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514"/>
  <workbookPr/>
  <mc:AlternateContent xmlns:mc="http://schemas.openxmlformats.org/markup-compatibility/2006">
    <mc:Choice Requires="x15">
      <x15ac:absPath xmlns:x15ac="http://schemas.microsoft.com/office/spreadsheetml/2010/11/ac" url="/Users/elliot/Documents/temp/"/>
    </mc:Choice>
  </mc:AlternateContent>
  <xr:revisionPtr revIDLastSave="0" documentId="8_{0BA26A15-9F31-7945-BB49-8A3B315FEB65}" xr6:coauthVersionLast="47" xr6:coauthVersionMax="47" xr10:uidLastSave="{00000000-0000-0000-0000-000000000000}"/>
  <bookViews>
    <workbookView xWindow="0" yWindow="760" windowWidth="36020" windowHeight="24120" xr2:uid="{00000000-000D-0000-FFFF-FFFF00000000}"/>
  </bookViews>
  <sheets>
    <sheet name="Version" sheetId="2" r:id="rId1"/>
    <sheet name="MSL" sheetId="12" r:id="rId2"/>
    <sheet name="Column Definitions" sheetId="4" r:id="rId3"/>
    <sheet name="Taxa Renamed in MSL38" sheetId="8" r:id="rId4"/>
    <sheet name="Taxon Counts" sheetId="9" r:id="rId5"/>
  </sheets>
  <definedNames>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T4750" i="12" l="1"/>
  <c r="T4765" i="12"/>
  <c r="E10" i="2" l="1"/>
  <c r="E4" i="2"/>
  <c r="T10670" i="12"/>
  <c r="T2" i="12" l="1"/>
  <c r="U2" i="12"/>
  <c r="T3" i="12"/>
  <c r="U3" i="12"/>
  <c r="T4" i="12"/>
  <c r="U4" i="12"/>
  <c r="T5" i="12"/>
  <c r="U5" i="12"/>
  <c r="T6" i="12"/>
  <c r="U6" i="12"/>
  <c r="T7" i="12"/>
  <c r="U7" i="12"/>
  <c r="T8" i="12"/>
  <c r="U8" i="12"/>
  <c r="T9" i="12"/>
  <c r="U9" i="12"/>
  <c r="T10" i="12"/>
  <c r="U10" i="12"/>
  <c r="T11" i="12"/>
  <c r="U11" i="12"/>
  <c r="T12" i="12"/>
  <c r="U12" i="12"/>
  <c r="T13" i="12"/>
  <c r="U13" i="12"/>
  <c r="T14" i="12"/>
  <c r="U14" i="12"/>
  <c r="T15" i="12"/>
  <c r="U15" i="12"/>
  <c r="T16" i="12"/>
  <c r="U16" i="12"/>
  <c r="T17" i="12"/>
  <c r="U17" i="12"/>
  <c r="T18" i="12"/>
  <c r="U18" i="12"/>
  <c r="T19" i="12"/>
  <c r="U19" i="12"/>
  <c r="T20" i="12"/>
  <c r="U20" i="12"/>
  <c r="T21" i="12"/>
  <c r="U21" i="12"/>
  <c r="T22" i="12"/>
  <c r="U22" i="12"/>
  <c r="T23" i="12"/>
  <c r="U23" i="12"/>
  <c r="T24" i="12"/>
  <c r="U24" i="12"/>
  <c r="T25" i="12"/>
  <c r="U25" i="12"/>
  <c r="T26" i="12"/>
  <c r="U26" i="12"/>
  <c r="T27" i="12"/>
  <c r="U27" i="12"/>
  <c r="T28" i="12"/>
  <c r="U28" i="12"/>
  <c r="T29" i="12"/>
  <c r="U29" i="12"/>
  <c r="T30" i="12"/>
  <c r="U30" i="12"/>
  <c r="T31" i="12"/>
  <c r="U31" i="12"/>
  <c r="T32" i="12"/>
  <c r="U32" i="12"/>
  <c r="T33" i="12"/>
  <c r="U33" i="12"/>
  <c r="T34" i="12"/>
  <c r="U34" i="12"/>
  <c r="T35" i="12"/>
  <c r="U35" i="12"/>
  <c r="T36" i="12"/>
  <c r="U36" i="12"/>
  <c r="T37" i="12"/>
  <c r="U37" i="12"/>
  <c r="T38" i="12"/>
  <c r="U38" i="12"/>
  <c r="T39" i="12"/>
  <c r="U39" i="12"/>
  <c r="T40" i="12"/>
  <c r="U40" i="12"/>
  <c r="T41" i="12"/>
  <c r="U41" i="12"/>
  <c r="T42" i="12"/>
  <c r="U42" i="12"/>
  <c r="T43" i="12"/>
  <c r="U43" i="12"/>
  <c r="T44" i="12"/>
  <c r="U44" i="12"/>
  <c r="T45" i="12"/>
  <c r="U45" i="12"/>
  <c r="T46" i="12"/>
  <c r="U46" i="12"/>
  <c r="T47" i="12"/>
  <c r="U47" i="12"/>
  <c r="T48" i="12"/>
  <c r="U48" i="12"/>
  <c r="T49" i="12"/>
  <c r="U49" i="12"/>
  <c r="T50" i="12"/>
  <c r="U50" i="12"/>
  <c r="T51" i="12"/>
  <c r="U51" i="12"/>
  <c r="T52" i="12"/>
  <c r="U52" i="12"/>
  <c r="T53" i="12"/>
  <c r="U53" i="12"/>
  <c r="T54" i="12"/>
  <c r="U54" i="12"/>
  <c r="T55" i="12"/>
  <c r="U55" i="12"/>
  <c r="T56" i="12"/>
  <c r="U56" i="12"/>
  <c r="T57" i="12"/>
  <c r="U57" i="12"/>
  <c r="T58" i="12"/>
  <c r="U58" i="12"/>
  <c r="T59" i="12"/>
  <c r="U59" i="12"/>
  <c r="T60" i="12"/>
  <c r="U60" i="12"/>
  <c r="T61" i="12"/>
  <c r="U61" i="12"/>
  <c r="T62" i="12"/>
  <c r="U62" i="12"/>
  <c r="T63" i="12"/>
  <c r="U63" i="12"/>
  <c r="T64" i="12"/>
  <c r="U64" i="12"/>
  <c r="T65" i="12"/>
  <c r="U65" i="12"/>
  <c r="T66" i="12"/>
  <c r="U66" i="12"/>
  <c r="T67" i="12"/>
  <c r="U67" i="12"/>
  <c r="T68" i="12"/>
  <c r="U68" i="12"/>
  <c r="T69" i="12"/>
  <c r="U69" i="12"/>
  <c r="T70" i="12"/>
  <c r="U70" i="12"/>
  <c r="T71" i="12"/>
  <c r="U71" i="12"/>
  <c r="T72" i="12"/>
  <c r="U72" i="12"/>
  <c r="T73" i="12"/>
  <c r="U73" i="12"/>
  <c r="T74" i="12"/>
  <c r="U74" i="12"/>
  <c r="T75" i="12"/>
  <c r="U75" i="12"/>
  <c r="T76" i="12"/>
  <c r="U76" i="12"/>
  <c r="T77" i="12"/>
  <c r="U77" i="12"/>
  <c r="T78" i="12"/>
  <c r="U78" i="12"/>
  <c r="T79" i="12"/>
  <c r="U79" i="12"/>
  <c r="T80" i="12"/>
  <c r="U80" i="12"/>
  <c r="T81" i="12"/>
  <c r="U81" i="12"/>
  <c r="T82" i="12"/>
  <c r="U82" i="12"/>
  <c r="T83" i="12"/>
  <c r="U83" i="12"/>
  <c r="T84" i="12"/>
  <c r="U84" i="12"/>
  <c r="T85" i="12"/>
  <c r="U85" i="12"/>
  <c r="T86" i="12"/>
  <c r="U86" i="12"/>
  <c r="T87" i="12"/>
  <c r="U87" i="12"/>
  <c r="T88" i="12"/>
  <c r="U88" i="12"/>
  <c r="T89" i="12"/>
  <c r="U89" i="12"/>
  <c r="T90" i="12"/>
  <c r="U90" i="12"/>
  <c r="T91" i="12"/>
  <c r="U91" i="12"/>
  <c r="T92" i="12"/>
  <c r="U92" i="12"/>
  <c r="T93" i="12"/>
  <c r="U93" i="12"/>
  <c r="T94" i="12"/>
  <c r="U94" i="12"/>
  <c r="T95" i="12"/>
  <c r="U95" i="12"/>
  <c r="T96" i="12"/>
  <c r="U96" i="12"/>
  <c r="T97" i="12"/>
  <c r="U97" i="12"/>
  <c r="T98" i="12"/>
  <c r="U98" i="12"/>
  <c r="T99" i="12"/>
  <c r="U99" i="12"/>
  <c r="T100" i="12"/>
  <c r="U100" i="12"/>
  <c r="T101" i="12"/>
  <c r="U101" i="12"/>
  <c r="T102" i="12"/>
  <c r="U102" i="12"/>
  <c r="T103" i="12"/>
  <c r="U103" i="12"/>
  <c r="T104" i="12"/>
  <c r="U104" i="12"/>
  <c r="T105" i="12"/>
  <c r="U105" i="12"/>
  <c r="T106" i="12"/>
  <c r="U106" i="12"/>
  <c r="T107" i="12"/>
  <c r="U107" i="12"/>
  <c r="T108" i="12"/>
  <c r="U108" i="12"/>
  <c r="T109" i="12"/>
  <c r="U109" i="12"/>
  <c r="T110" i="12"/>
  <c r="U110" i="12"/>
  <c r="T111" i="12"/>
  <c r="U111" i="12"/>
  <c r="T112" i="12"/>
  <c r="U112" i="12"/>
  <c r="T113" i="12"/>
  <c r="U113" i="12"/>
  <c r="T114" i="12"/>
  <c r="U114" i="12"/>
  <c r="T115" i="12"/>
  <c r="U115" i="12"/>
  <c r="T116" i="12"/>
  <c r="U116" i="12"/>
  <c r="T117" i="12"/>
  <c r="U117" i="12"/>
  <c r="T118" i="12"/>
  <c r="U118" i="12"/>
  <c r="T119" i="12"/>
  <c r="U119" i="12"/>
  <c r="T120" i="12"/>
  <c r="U120" i="12"/>
  <c r="T121" i="12"/>
  <c r="U121" i="12"/>
  <c r="T122" i="12"/>
  <c r="U122" i="12"/>
  <c r="T123" i="12"/>
  <c r="U123" i="12"/>
  <c r="T124" i="12"/>
  <c r="U124" i="12"/>
  <c r="T125" i="12"/>
  <c r="U125" i="12"/>
  <c r="T126" i="12"/>
  <c r="U126" i="12"/>
  <c r="T127" i="12"/>
  <c r="U127" i="12"/>
  <c r="T128" i="12"/>
  <c r="U128" i="12"/>
  <c r="T129" i="12"/>
  <c r="U129" i="12"/>
  <c r="T130" i="12"/>
  <c r="U130" i="12"/>
  <c r="T131" i="12"/>
  <c r="U131" i="12"/>
  <c r="T132" i="12"/>
  <c r="U132" i="12"/>
  <c r="T133" i="12"/>
  <c r="U133" i="12"/>
  <c r="T134" i="12"/>
  <c r="U134" i="12"/>
  <c r="T135" i="12"/>
  <c r="U135" i="12"/>
  <c r="T136" i="12"/>
  <c r="U136" i="12"/>
  <c r="T137" i="12"/>
  <c r="U137" i="12"/>
  <c r="T138" i="12"/>
  <c r="U138" i="12"/>
  <c r="T139" i="12"/>
  <c r="U139" i="12"/>
  <c r="T140" i="12"/>
  <c r="U140" i="12"/>
  <c r="T141" i="12"/>
  <c r="U141" i="12"/>
  <c r="T142" i="12"/>
  <c r="U142" i="12"/>
  <c r="T143" i="12"/>
  <c r="U143" i="12"/>
  <c r="T144" i="12"/>
  <c r="U144" i="12"/>
  <c r="T145" i="12"/>
  <c r="U145" i="12"/>
  <c r="T146" i="12"/>
  <c r="U146" i="12"/>
  <c r="T147" i="12"/>
  <c r="U147" i="12"/>
  <c r="T148" i="12"/>
  <c r="U148" i="12"/>
  <c r="T149" i="12"/>
  <c r="U149" i="12"/>
  <c r="T150" i="12"/>
  <c r="U150" i="12"/>
  <c r="T151" i="12"/>
  <c r="U151" i="12"/>
  <c r="T152" i="12"/>
  <c r="U152" i="12"/>
  <c r="T153" i="12"/>
  <c r="U153" i="12"/>
  <c r="T154" i="12"/>
  <c r="U154" i="12"/>
  <c r="T155" i="12"/>
  <c r="U155" i="12"/>
  <c r="T156" i="12"/>
  <c r="U156" i="12"/>
  <c r="T157" i="12"/>
  <c r="U157" i="12"/>
  <c r="T158" i="12"/>
  <c r="U158" i="12"/>
  <c r="T159" i="12"/>
  <c r="U159" i="12"/>
  <c r="T160" i="12"/>
  <c r="U160" i="12"/>
  <c r="T161" i="12"/>
  <c r="U161" i="12"/>
  <c r="T162" i="12"/>
  <c r="U162" i="12"/>
  <c r="T163" i="12"/>
  <c r="U163" i="12"/>
  <c r="T164" i="12"/>
  <c r="U164" i="12"/>
  <c r="T165" i="12"/>
  <c r="U165" i="12"/>
  <c r="T166" i="12"/>
  <c r="U166" i="12"/>
  <c r="T167" i="12"/>
  <c r="U167" i="12"/>
  <c r="T168" i="12"/>
  <c r="U168" i="12"/>
  <c r="T169" i="12"/>
  <c r="U169" i="12"/>
  <c r="T170" i="12"/>
  <c r="U170" i="12"/>
  <c r="T171" i="12"/>
  <c r="U171" i="12"/>
  <c r="T172" i="12"/>
  <c r="U172" i="12"/>
  <c r="T173" i="12"/>
  <c r="U173" i="12"/>
  <c r="T174" i="12"/>
  <c r="U174" i="12"/>
  <c r="T175" i="12"/>
  <c r="U175" i="12"/>
  <c r="T176" i="12"/>
  <c r="U176" i="12"/>
  <c r="T177" i="12"/>
  <c r="U177" i="12"/>
  <c r="T178" i="12"/>
  <c r="U178" i="12"/>
  <c r="T179" i="12"/>
  <c r="U179" i="12"/>
  <c r="T180" i="12"/>
  <c r="U180" i="12"/>
  <c r="T181" i="12"/>
  <c r="U181" i="12"/>
  <c r="T182" i="12"/>
  <c r="U182" i="12"/>
  <c r="T183" i="12"/>
  <c r="U183" i="12"/>
  <c r="T184" i="12"/>
  <c r="U184" i="12"/>
  <c r="T185" i="12"/>
  <c r="U185" i="12"/>
  <c r="T186" i="12"/>
  <c r="U186" i="12"/>
  <c r="T187" i="12"/>
  <c r="U187" i="12"/>
  <c r="T188" i="12"/>
  <c r="U188" i="12"/>
  <c r="T189" i="12"/>
  <c r="U189" i="12"/>
  <c r="T190" i="12"/>
  <c r="U190" i="12"/>
  <c r="T191" i="12"/>
  <c r="U191" i="12"/>
  <c r="T192" i="12"/>
  <c r="U192" i="12"/>
  <c r="T193" i="12"/>
  <c r="U193" i="12"/>
  <c r="T194" i="12"/>
  <c r="U194" i="12"/>
  <c r="T195" i="12"/>
  <c r="U195" i="12"/>
  <c r="T196" i="12"/>
  <c r="U196" i="12"/>
  <c r="T197" i="12"/>
  <c r="U197" i="12"/>
  <c r="T198" i="12"/>
  <c r="U198" i="12"/>
  <c r="T199" i="12"/>
  <c r="U199" i="12"/>
  <c r="T200" i="12"/>
  <c r="U200" i="12"/>
  <c r="T201" i="12"/>
  <c r="U201" i="12"/>
  <c r="T202" i="12"/>
  <c r="U202" i="12"/>
  <c r="T203" i="12"/>
  <c r="U203" i="12"/>
  <c r="T204" i="12"/>
  <c r="U204" i="12"/>
  <c r="T205" i="12"/>
  <c r="U205" i="12"/>
  <c r="T206" i="12"/>
  <c r="U206" i="12"/>
  <c r="T207" i="12"/>
  <c r="U207" i="12"/>
  <c r="T208" i="12"/>
  <c r="U208" i="12"/>
  <c r="T209" i="12"/>
  <c r="U209" i="12"/>
  <c r="T210" i="12"/>
  <c r="U210" i="12"/>
  <c r="T211" i="12"/>
  <c r="U211" i="12"/>
  <c r="T212" i="12"/>
  <c r="U212" i="12"/>
  <c r="T213" i="12"/>
  <c r="U213" i="12"/>
  <c r="T214" i="12"/>
  <c r="U214" i="12"/>
  <c r="T215" i="12"/>
  <c r="U215" i="12"/>
  <c r="T216" i="12"/>
  <c r="U216" i="12"/>
  <c r="T217" i="12"/>
  <c r="U217" i="12"/>
  <c r="T218" i="12"/>
  <c r="U218" i="12"/>
  <c r="T219" i="12"/>
  <c r="U219" i="12"/>
  <c r="T220" i="12"/>
  <c r="U220" i="12"/>
  <c r="T221" i="12"/>
  <c r="U221" i="12"/>
  <c r="T222" i="12"/>
  <c r="U222" i="12"/>
  <c r="T223" i="12"/>
  <c r="U223" i="12"/>
  <c r="T224" i="12"/>
  <c r="U224" i="12"/>
  <c r="T225" i="12"/>
  <c r="U225" i="12"/>
  <c r="T226" i="12"/>
  <c r="U226" i="12"/>
  <c r="T227" i="12"/>
  <c r="U227" i="12"/>
  <c r="T228" i="12"/>
  <c r="U228" i="12"/>
  <c r="T229" i="12"/>
  <c r="U229" i="12"/>
  <c r="T230" i="12"/>
  <c r="U230" i="12"/>
  <c r="T231" i="12"/>
  <c r="U231" i="12"/>
  <c r="T232" i="12"/>
  <c r="U232" i="12"/>
  <c r="T233" i="12"/>
  <c r="U233" i="12"/>
  <c r="T234" i="12"/>
  <c r="U234" i="12"/>
  <c r="T235" i="12"/>
  <c r="U235" i="12"/>
  <c r="T236" i="12"/>
  <c r="U236" i="12"/>
  <c r="T237" i="12"/>
  <c r="U237" i="12"/>
  <c r="T238" i="12"/>
  <c r="U238" i="12"/>
  <c r="T239" i="12"/>
  <c r="U239" i="12"/>
  <c r="T240" i="12"/>
  <c r="U240" i="12"/>
  <c r="T241" i="12"/>
  <c r="U241" i="12"/>
  <c r="T242" i="12"/>
  <c r="U242" i="12"/>
  <c r="T243" i="12"/>
  <c r="U243" i="12"/>
  <c r="T244" i="12"/>
  <c r="U244" i="12"/>
  <c r="T245" i="12"/>
  <c r="U245" i="12"/>
  <c r="T246" i="12"/>
  <c r="U246" i="12"/>
  <c r="T247" i="12"/>
  <c r="U247" i="12"/>
  <c r="T248" i="12"/>
  <c r="U248" i="12"/>
  <c r="T249" i="12"/>
  <c r="U249" i="12"/>
  <c r="T250" i="12"/>
  <c r="U250" i="12"/>
  <c r="T251" i="12"/>
  <c r="U251" i="12"/>
  <c r="T252" i="12"/>
  <c r="U252" i="12"/>
  <c r="T253" i="12"/>
  <c r="U253" i="12"/>
  <c r="T254" i="12"/>
  <c r="U254" i="12"/>
  <c r="T255" i="12"/>
  <c r="U255" i="12"/>
  <c r="T256" i="12"/>
  <c r="U256" i="12"/>
  <c r="T257" i="12"/>
  <c r="U257" i="12"/>
  <c r="T258" i="12"/>
  <c r="U258" i="12"/>
  <c r="T259" i="12"/>
  <c r="U259" i="12"/>
  <c r="T260" i="12"/>
  <c r="U260" i="12"/>
  <c r="T261" i="12"/>
  <c r="U261" i="12"/>
  <c r="T262" i="12"/>
  <c r="U262" i="12"/>
  <c r="T263" i="12"/>
  <c r="U263" i="12"/>
  <c r="T264" i="12"/>
  <c r="U264" i="12"/>
  <c r="T265" i="12"/>
  <c r="U265" i="12"/>
  <c r="T266" i="12"/>
  <c r="U266" i="12"/>
  <c r="T267" i="12"/>
  <c r="U267" i="12"/>
  <c r="T268" i="12"/>
  <c r="U268" i="12"/>
  <c r="T269" i="12"/>
  <c r="U269" i="12"/>
  <c r="T270" i="12"/>
  <c r="U270" i="12"/>
  <c r="T271" i="12"/>
  <c r="U271" i="12"/>
  <c r="T272" i="12"/>
  <c r="U272" i="12"/>
  <c r="T273" i="12"/>
  <c r="U273" i="12"/>
  <c r="T274" i="12"/>
  <c r="U274" i="12"/>
  <c r="T275" i="12"/>
  <c r="U275" i="12"/>
  <c r="T276" i="12"/>
  <c r="U276" i="12"/>
  <c r="T277" i="12"/>
  <c r="U277" i="12"/>
  <c r="T278" i="12"/>
  <c r="U278" i="12"/>
  <c r="T279" i="12"/>
  <c r="U279" i="12"/>
  <c r="T280" i="12"/>
  <c r="U280" i="12"/>
  <c r="T281" i="12"/>
  <c r="U281" i="12"/>
  <c r="T282" i="12"/>
  <c r="U282" i="12"/>
  <c r="T283" i="12"/>
  <c r="U283" i="12"/>
  <c r="T284" i="12"/>
  <c r="U284" i="12"/>
  <c r="T285" i="12"/>
  <c r="U285" i="12"/>
  <c r="T286" i="12"/>
  <c r="U286" i="12"/>
  <c r="T287" i="12"/>
  <c r="U287" i="12"/>
  <c r="T288" i="12"/>
  <c r="U288" i="12"/>
  <c r="T289" i="12"/>
  <c r="U289" i="12"/>
  <c r="T290" i="12"/>
  <c r="U290" i="12"/>
  <c r="T291" i="12"/>
  <c r="U291" i="12"/>
  <c r="T292" i="12"/>
  <c r="U292" i="12"/>
  <c r="T293" i="12"/>
  <c r="U293" i="12"/>
  <c r="T294" i="12"/>
  <c r="U294" i="12"/>
  <c r="T295" i="12"/>
  <c r="U295" i="12"/>
  <c r="T296" i="12"/>
  <c r="U296" i="12"/>
  <c r="T297" i="12"/>
  <c r="U297" i="12"/>
  <c r="T298" i="12"/>
  <c r="U298" i="12"/>
  <c r="T299" i="12"/>
  <c r="U299" i="12"/>
  <c r="T300" i="12"/>
  <c r="U300" i="12"/>
  <c r="T301" i="12"/>
  <c r="U301" i="12"/>
  <c r="T302" i="12"/>
  <c r="U302" i="12"/>
  <c r="T303" i="12"/>
  <c r="U303" i="12"/>
  <c r="T304" i="12"/>
  <c r="U304" i="12"/>
  <c r="T305" i="12"/>
  <c r="U305" i="12"/>
  <c r="T306" i="12"/>
  <c r="U306" i="12"/>
  <c r="T307" i="12"/>
  <c r="U307" i="12"/>
  <c r="T308" i="12"/>
  <c r="U308" i="12"/>
  <c r="T309" i="12"/>
  <c r="U309" i="12"/>
  <c r="T310" i="12"/>
  <c r="U310" i="12"/>
  <c r="T311" i="12"/>
  <c r="U311" i="12"/>
  <c r="T312" i="12"/>
  <c r="U312" i="12"/>
  <c r="T313" i="12"/>
  <c r="U313" i="12"/>
  <c r="T314" i="12"/>
  <c r="U314" i="12"/>
  <c r="T315" i="12"/>
  <c r="U315" i="12"/>
  <c r="T316" i="12"/>
  <c r="U316" i="12"/>
  <c r="T317" i="12"/>
  <c r="U317" i="12"/>
  <c r="T318" i="12"/>
  <c r="U318" i="12"/>
  <c r="T319" i="12"/>
  <c r="U319" i="12"/>
  <c r="T320" i="12"/>
  <c r="U320" i="12"/>
  <c r="T321" i="12"/>
  <c r="U321" i="12"/>
  <c r="T322" i="12"/>
  <c r="U322" i="12"/>
  <c r="T323" i="12"/>
  <c r="U323" i="12"/>
  <c r="T324" i="12"/>
  <c r="U324" i="12"/>
  <c r="T325" i="12"/>
  <c r="U325" i="12"/>
  <c r="T326" i="12"/>
  <c r="U326" i="12"/>
  <c r="T327" i="12"/>
  <c r="U327" i="12"/>
  <c r="T328" i="12"/>
  <c r="U328" i="12"/>
  <c r="T329" i="12"/>
  <c r="U329" i="12"/>
  <c r="T330" i="12"/>
  <c r="U330" i="12"/>
  <c r="T331" i="12"/>
  <c r="U331" i="12"/>
  <c r="T332" i="12"/>
  <c r="U332" i="12"/>
  <c r="T333" i="12"/>
  <c r="U333" i="12"/>
  <c r="T334" i="12"/>
  <c r="U334" i="12"/>
  <c r="T335" i="12"/>
  <c r="U335" i="12"/>
  <c r="T336" i="12"/>
  <c r="U336" i="12"/>
  <c r="T337" i="12"/>
  <c r="U337" i="12"/>
  <c r="T338" i="12"/>
  <c r="U338" i="12"/>
  <c r="T339" i="12"/>
  <c r="U339" i="12"/>
  <c r="T340" i="12"/>
  <c r="U340" i="12"/>
  <c r="T341" i="12"/>
  <c r="U341" i="12"/>
  <c r="T342" i="12"/>
  <c r="U342" i="12"/>
  <c r="T343" i="12"/>
  <c r="U343" i="12"/>
  <c r="T344" i="12"/>
  <c r="U344" i="12"/>
  <c r="T345" i="12"/>
  <c r="U345" i="12"/>
  <c r="T346" i="12"/>
  <c r="U346" i="12"/>
  <c r="T347" i="12"/>
  <c r="U347" i="12"/>
  <c r="T348" i="12"/>
  <c r="U348" i="12"/>
  <c r="T349" i="12"/>
  <c r="U349" i="12"/>
  <c r="T350" i="12"/>
  <c r="U350" i="12"/>
  <c r="T351" i="12"/>
  <c r="U351" i="12"/>
  <c r="T352" i="12"/>
  <c r="U352" i="12"/>
  <c r="T353" i="12"/>
  <c r="U353" i="12"/>
  <c r="T354" i="12"/>
  <c r="U354" i="12"/>
  <c r="T355" i="12"/>
  <c r="U355" i="12"/>
  <c r="T356" i="12"/>
  <c r="U356" i="12"/>
  <c r="T357" i="12"/>
  <c r="U357" i="12"/>
  <c r="T358" i="12"/>
  <c r="U358" i="12"/>
  <c r="T359" i="12"/>
  <c r="U359" i="12"/>
  <c r="T360" i="12"/>
  <c r="U360" i="12"/>
  <c r="T361" i="12"/>
  <c r="U361" i="12"/>
  <c r="T362" i="12"/>
  <c r="U362" i="12"/>
  <c r="T363" i="12"/>
  <c r="U363" i="12"/>
  <c r="T364" i="12"/>
  <c r="U364" i="12"/>
  <c r="T365" i="12"/>
  <c r="U365" i="12"/>
  <c r="T366" i="12"/>
  <c r="U366" i="12"/>
  <c r="T367" i="12"/>
  <c r="U367" i="12"/>
  <c r="T368" i="12"/>
  <c r="U368" i="12"/>
  <c r="T369" i="12"/>
  <c r="U369" i="12"/>
  <c r="T370" i="12"/>
  <c r="U370" i="12"/>
  <c r="T371" i="12"/>
  <c r="U371" i="12"/>
  <c r="T372" i="12"/>
  <c r="U372" i="12"/>
  <c r="T373" i="12"/>
  <c r="U373" i="12"/>
  <c r="T374" i="12"/>
  <c r="U374" i="12"/>
  <c r="T375" i="12"/>
  <c r="U375" i="12"/>
  <c r="T376" i="12"/>
  <c r="U376" i="12"/>
  <c r="T377" i="12"/>
  <c r="U377" i="12"/>
  <c r="T378" i="12"/>
  <c r="U378" i="12"/>
  <c r="T379" i="12"/>
  <c r="U379" i="12"/>
  <c r="T380" i="12"/>
  <c r="U380" i="12"/>
  <c r="T381" i="12"/>
  <c r="U381" i="12"/>
  <c r="T382" i="12"/>
  <c r="U382" i="12"/>
  <c r="T383" i="12"/>
  <c r="U383" i="12"/>
  <c r="T384" i="12"/>
  <c r="U384" i="12"/>
  <c r="T385" i="12"/>
  <c r="U385" i="12"/>
  <c r="T386" i="12"/>
  <c r="U386" i="12"/>
  <c r="T387" i="12"/>
  <c r="U387" i="12"/>
  <c r="T388" i="12"/>
  <c r="U388" i="12"/>
  <c r="T389" i="12"/>
  <c r="U389" i="12"/>
  <c r="T390" i="12"/>
  <c r="U390" i="12"/>
  <c r="T391" i="12"/>
  <c r="U391" i="12"/>
  <c r="T392" i="12"/>
  <c r="U392" i="12"/>
  <c r="T393" i="12"/>
  <c r="U393" i="12"/>
  <c r="T394" i="12"/>
  <c r="U394" i="12"/>
  <c r="T395" i="12"/>
  <c r="U395" i="12"/>
  <c r="T396" i="12"/>
  <c r="U396" i="12"/>
  <c r="T397" i="12"/>
  <c r="U397" i="12"/>
  <c r="T398" i="12"/>
  <c r="U398" i="12"/>
  <c r="T399" i="12"/>
  <c r="U399" i="12"/>
  <c r="T400" i="12"/>
  <c r="U400" i="12"/>
  <c r="T401" i="12"/>
  <c r="U401" i="12"/>
  <c r="T402" i="12"/>
  <c r="U402" i="12"/>
  <c r="T403" i="12"/>
  <c r="U403" i="12"/>
  <c r="T404" i="12"/>
  <c r="U404" i="12"/>
  <c r="T405" i="12"/>
  <c r="U405" i="12"/>
  <c r="T406" i="12"/>
  <c r="U406" i="12"/>
  <c r="T407" i="12"/>
  <c r="U407" i="12"/>
  <c r="T408" i="12"/>
  <c r="U408" i="12"/>
  <c r="T409" i="12"/>
  <c r="U409" i="12"/>
  <c r="T410" i="12"/>
  <c r="U410" i="12"/>
  <c r="T411" i="12"/>
  <c r="U411" i="12"/>
  <c r="T412" i="12"/>
  <c r="U412" i="12"/>
  <c r="T413" i="12"/>
  <c r="U413" i="12"/>
  <c r="T414" i="12"/>
  <c r="U414" i="12"/>
  <c r="T415" i="12"/>
  <c r="U415" i="12"/>
  <c r="T416" i="12"/>
  <c r="U416" i="12"/>
  <c r="T417" i="12"/>
  <c r="U417" i="12"/>
  <c r="T418" i="12"/>
  <c r="U418" i="12"/>
  <c r="T419" i="12"/>
  <c r="U419" i="12"/>
  <c r="T420" i="12"/>
  <c r="U420" i="12"/>
  <c r="T421" i="12"/>
  <c r="U421" i="12"/>
  <c r="T422" i="12"/>
  <c r="U422" i="12"/>
  <c r="T423" i="12"/>
  <c r="U423" i="12"/>
  <c r="T424" i="12"/>
  <c r="U424" i="12"/>
  <c r="T425" i="12"/>
  <c r="U425" i="12"/>
  <c r="T426" i="12"/>
  <c r="U426" i="12"/>
  <c r="T427" i="12"/>
  <c r="U427" i="12"/>
  <c r="T428" i="12"/>
  <c r="U428" i="12"/>
  <c r="T429" i="12"/>
  <c r="U429" i="12"/>
  <c r="T430" i="12"/>
  <c r="U430" i="12"/>
  <c r="T431" i="12"/>
  <c r="U431" i="12"/>
  <c r="T432" i="12"/>
  <c r="U432" i="12"/>
  <c r="T433" i="12"/>
  <c r="U433" i="12"/>
  <c r="T434" i="12"/>
  <c r="U434" i="12"/>
  <c r="T435" i="12"/>
  <c r="U435" i="12"/>
  <c r="T436" i="12"/>
  <c r="U436" i="12"/>
  <c r="T437" i="12"/>
  <c r="U437" i="12"/>
  <c r="T438" i="12"/>
  <c r="U438" i="12"/>
  <c r="T439" i="12"/>
  <c r="U439" i="12"/>
  <c r="T440" i="12"/>
  <c r="U440" i="12"/>
  <c r="T441" i="12"/>
  <c r="U441" i="12"/>
  <c r="T442" i="12"/>
  <c r="U442" i="12"/>
  <c r="T443" i="12"/>
  <c r="U443" i="12"/>
  <c r="T444" i="12"/>
  <c r="U444" i="12"/>
  <c r="T445" i="12"/>
  <c r="U445" i="12"/>
  <c r="T446" i="12"/>
  <c r="U446" i="12"/>
  <c r="T447" i="12"/>
  <c r="U447" i="12"/>
  <c r="T448" i="12"/>
  <c r="U448" i="12"/>
  <c r="T449" i="12"/>
  <c r="U449" i="12"/>
  <c r="T450" i="12"/>
  <c r="U450" i="12"/>
  <c r="T451" i="12"/>
  <c r="U451" i="12"/>
  <c r="T452" i="12"/>
  <c r="U452" i="12"/>
  <c r="T453" i="12"/>
  <c r="U453" i="12"/>
  <c r="T454" i="12"/>
  <c r="U454" i="12"/>
  <c r="T455" i="12"/>
  <c r="U455" i="12"/>
  <c r="T456" i="12"/>
  <c r="U456" i="12"/>
  <c r="T457" i="12"/>
  <c r="U457" i="12"/>
  <c r="T458" i="12"/>
  <c r="U458" i="12"/>
  <c r="T459" i="12"/>
  <c r="U459" i="12"/>
  <c r="T460" i="12"/>
  <c r="U460" i="12"/>
  <c r="T461" i="12"/>
  <c r="U461" i="12"/>
  <c r="T462" i="12"/>
  <c r="U462" i="12"/>
  <c r="T463" i="12"/>
  <c r="U463" i="12"/>
  <c r="T464" i="12"/>
  <c r="U464" i="12"/>
  <c r="T465" i="12"/>
  <c r="U465" i="12"/>
  <c r="T466" i="12"/>
  <c r="U466" i="12"/>
  <c r="T467" i="12"/>
  <c r="U467" i="12"/>
  <c r="T468" i="12"/>
  <c r="U468" i="12"/>
  <c r="T469" i="12"/>
  <c r="U469" i="12"/>
  <c r="T470" i="12"/>
  <c r="U470" i="12"/>
  <c r="T471" i="12"/>
  <c r="U471" i="12"/>
  <c r="T472" i="12"/>
  <c r="U472" i="12"/>
  <c r="T473" i="12"/>
  <c r="U473" i="12"/>
  <c r="T474" i="12"/>
  <c r="U474" i="12"/>
  <c r="T475" i="12"/>
  <c r="U475" i="12"/>
  <c r="T476" i="12"/>
  <c r="U476" i="12"/>
  <c r="T477" i="12"/>
  <c r="U477" i="12"/>
  <c r="T478" i="12"/>
  <c r="U478" i="12"/>
  <c r="T479" i="12"/>
  <c r="U479" i="12"/>
  <c r="T480" i="12"/>
  <c r="U480" i="12"/>
  <c r="T481" i="12"/>
  <c r="U481" i="12"/>
  <c r="T482" i="12"/>
  <c r="U482" i="12"/>
  <c r="T483" i="12"/>
  <c r="U483" i="12"/>
  <c r="T484" i="12"/>
  <c r="U484" i="12"/>
  <c r="T485" i="12"/>
  <c r="U485" i="12"/>
  <c r="T486" i="12"/>
  <c r="U486" i="12"/>
  <c r="T487" i="12"/>
  <c r="U487" i="12"/>
  <c r="T488" i="12"/>
  <c r="U488" i="12"/>
  <c r="T489" i="12"/>
  <c r="U489" i="12"/>
  <c r="T490" i="12"/>
  <c r="U490" i="12"/>
  <c r="T491" i="12"/>
  <c r="U491" i="12"/>
  <c r="T492" i="12"/>
  <c r="U492" i="12"/>
  <c r="T493" i="12"/>
  <c r="U493" i="12"/>
  <c r="T494" i="12"/>
  <c r="U494" i="12"/>
  <c r="T495" i="12"/>
  <c r="U495" i="12"/>
  <c r="T496" i="12"/>
  <c r="U496" i="12"/>
  <c r="T497" i="12"/>
  <c r="U497" i="12"/>
  <c r="T498" i="12"/>
  <c r="U498" i="12"/>
  <c r="T499" i="12"/>
  <c r="U499" i="12"/>
  <c r="T500" i="12"/>
  <c r="U500" i="12"/>
  <c r="T501" i="12"/>
  <c r="U501" i="12"/>
  <c r="T502" i="12"/>
  <c r="U502" i="12"/>
  <c r="T503" i="12"/>
  <c r="U503" i="12"/>
  <c r="T504" i="12"/>
  <c r="U504" i="12"/>
  <c r="T505" i="12"/>
  <c r="U505" i="12"/>
  <c r="T506" i="12"/>
  <c r="U506" i="12"/>
  <c r="T507" i="12"/>
  <c r="U507" i="12"/>
  <c r="T508" i="12"/>
  <c r="U508" i="12"/>
  <c r="T509" i="12"/>
  <c r="U509" i="12"/>
  <c r="T510" i="12"/>
  <c r="U510" i="12"/>
  <c r="T511" i="12"/>
  <c r="U511" i="12"/>
  <c r="T512" i="12"/>
  <c r="U512" i="12"/>
  <c r="T513" i="12"/>
  <c r="U513" i="12"/>
  <c r="T514" i="12"/>
  <c r="U514" i="12"/>
  <c r="T515" i="12"/>
  <c r="U515" i="12"/>
  <c r="T516" i="12"/>
  <c r="U516" i="12"/>
  <c r="T517" i="12"/>
  <c r="U517" i="12"/>
  <c r="T518" i="12"/>
  <c r="U518" i="12"/>
  <c r="T519" i="12"/>
  <c r="U519" i="12"/>
  <c r="T520" i="12"/>
  <c r="U520" i="12"/>
  <c r="T521" i="12"/>
  <c r="U521" i="12"/>
  <c r="T522" i="12"/>
  <c r="U522" i="12"/>
  <c r="T523" i="12"/>
  <c r="U523" i="12"/>
  <c r="T524" i="12"/>
  <c r="U524" i="12"/>
  <c r="T525" i="12"/>
  <c r="U525" i="12"/>
  <c r="T526" i="12"/>
  <c r="U526" i="12"/>
  <c r="T527" i="12"/>
  <c r="U527" i="12"/>
  <c r="T528" i="12"/>
  <c r="U528" i="12"/>
  <c r="T529" i="12"/>
  <c r="U529" i="12"/>
  <c r="T530" i="12"/>
  <c r="U530" i="12"/>
  <c r="T531" i="12"/>
  <c r="U531" i="12"/>
  <c r="T532" i="12"/>
  <c r="U532" i="12"/>
  <c r="T533" i="12"/>
  <c r="U533" i="12"/>
  <c r="T534" i="12"/>
  <c r="U534" i="12"/>
  <c r="T535" i="12"/>
  <c r="U535" i="12"/>
  <c r="T536" i="12"/>
  <c r="U536" i="12"/>
  <c r="T537" i="12"/>
  <c r="U537" i="12"/>
  <c r="T538" i="12"/>
  <c r="U538" i="12"/>
  <c r="T539" i="12"/>
  <c r="U539" i="12"/>
  <c r="T540" i="12"/>
  <c r="U540" i="12"/>
  <c r="T541" i="12"/>
  <c r="U541" i="12"/>
  <c r="T542" i="12"/>
  <c r="U542" i="12"/>
  <c r="T543" i="12"/>
  <c r="U543" i="12"/>
  <c r="T544" i="12"/>
  <c r="U544" i="12"/>
  <c r="T545" i="12"/>
  <c r="U545" i="12"/>
  <c r="T546" i="12"/>
  <c r="U546" i="12"/>
  <c r="T547" i="12"/>
  <c r="U547" i="12"/>
  <c r="T548" i="12"/>
  <c r="U548" i="12"/>
  <c r="T549" i="12"/>
  <c r="U549" i="12"/>
  <c r="T550" i="12"/>
  <c r="U550" i="12"/>
  <c r="T551" i="12"/>
  <c r="U551" i="12"/>
  <c r="T552" i="12"/>
  <c r="U552" i="12"/>
  <c r="T553" i="12"/>
  <c r="U553" i="12"/>
  <c r="T554" i="12"/>
  <c r="U554" i="12"/>
  <c r="T555" i="12"/>
  <c r="U555" i="12"/>
  <c r="T556" i="12"/>
  <c r="U556" i="12"/>
  <c r="T557" i="12"/>
  <c r="U557" i="12"/>
  <c r="T558" i="12"/>
  <c r="U558" i="12"/>
  <c r="T559" i="12"/>
  <c r="U559" i="12"/>
  <c r="T560" i="12"/>
  <c r="U560" i="12"/>
  <c r="T561" i="12"/>
  <c r="U561" i="12"/>
  <c r="T562" i="12"/>
  <c r="U562" i="12"/>
  <c r="T563" i="12"/>
  <c r="U563" i="12"/>
  <c r="T564" i="12"/>
  <c r="U564" i="12"/>
  <c r="T565" i="12"/>
  <c r="U565" i="12"/>
  <c r="T566" i="12"/>
  <c r="U566" i="12"/>
  <c r="T567" i="12"/>
  <c r="U567" i="12"/>
  <c r="T568" i="12"/>
  <c r="U568" i="12"/>
  <c r="T569" i="12"/>
  <c r="U569" i="12"/>
  <c r="T570" i="12"/>
  <c r="U570" i="12"/>
  <c r="T571" i="12"/>
  <c r="U571" i="12"/>
  <c r="T572" i="12"/>
  <c r="U572" i="12"/>
  <c r="T573" i="12"/>
  <c r="U573" i="12"/>
  <c r="T574" i="12"/>
  <c r="U574" i="12"/>
  <c r="T575" i="12"/>
  <c r="U575" i="12"/>
  <c r="T576" i="12"/>
  <c r="U576" i="12"/>
  <c r="T577" i="12"/>
  <c r="U577" i="12"/>
  <c r="T578" i="12"/>
  <c r="U578" i="12"/>
  <c r="T579" i="12"/>
  <c r="U579" i="12"/>
  <c r="T580" i="12"/>
  <c r="U580" i="12"/>
  <c r="T581" i="12"/>
  <c r="U581" i="12"/>
  <c r="T582" i="12"/>
  <c r="U582" i="12"/>
  <c r="T583" i="12"/>
  <c r="U583" i="12"/>
  <c r="T584" i="12"/>
  <c r="U584" i="12"/>
  <c r="T585" i="12"/>
  <c r="U585" i="12"/>
  <c r="T586" i="12"/>
  <c r="U586" i="12"/>
  <c r="T587" i="12"/>
  <c r="U587" i="12"/>
  <c r="T588" i="12"/>
  <c r="U588" i="12"/>
  <c r="T589" i="12"/>
  <c r="U589" i="12"/>
  <c r="T590" i="12"/>
  <c r="U590" i="12"/>
  <c r="T591" i="12"/>
  <c r="U591" i="12"/>
  <c r="T592" i="12"/>
  <c r="U592" i="12"/>
  <c r="T593" i="12"/>
  <c r="U593" i="12"/>
  <c r="T594" i="12"/>
  <c r="U594" i="12"/>
  <c r="T595" i="12"/>
  <c r="U595" i="12"/>
  <c r="T596" i="12"/>
  <c r="U596" i="12"/>
  <c r="T597" i="12"/>
  <c r="U597" i="12"/>
  <c r="T598" i="12"/>
  <c r="U598" i="12"/>
  <c r="T599" i="12"/>
  <c r="U599" i="12"/>
  <c r="T600" i="12"/>
  <c r="U600" i="12"/>
  <c r="T601" i="12"/>
  <c r="U601" i="12"/>
  <c r="T602" i="12"/>
  <c r="U602" i="12"/>
  <c r="T603" i="12"/>
  <c r="U603" i="12"/>
  <c r="T604" i="12"/>
  <c r="U604" i="12"/>
  <c r="T605" i="12"/>
  <c r="U605" i="12"/>
  <c r="T606" i="12"/>
  <c r="U606" i="12"/>
  <c r="T607" i="12"/>
  <c r="U607" i="12"/>
  <c r="T608" i="12"/>
  <c r="U608" i="12"/>
  <c r="T609" i="12"/>
  <c r="U609" i="12"/>
  <c r="T610" i="12"/>
  <c r="U610" i="12"/>
  <c r="T611" i="12"/>
  <c r="U611" i="12"/>
  <c r="T612" i="12"/>
  <c r="U612" i="12"/>
  <c r="T613" i="12"/>
  <c r="U613" i="12"/>
  <c r="T614" i="12"/>
  <c r="U614" i="12"/>
  <c r="T615" i="12"/>
  <c r="U615" i="12"/>
  <c r="T616" i="12"/>
  <c r="U616" i="12"/>
  <c r="T617" i="12"/>
  <c r="U617" i="12"/>
  <c r="T618" i="12"/>
  <c r="U618" i="12"/>
  <c r="T619" i="12"/>
  <c r="U619" i="12"/>
  <c r="T620" i="12"/>
  <c r="U620" i="12"/>
  <c r="T621" i="12"/>
  <c r="U621" i="12"/>
  <c r="T622" i="12"/>
  <c r="U622" i="12"/>
  <c r="T623" i="12"/>
  <c r="U623" i="12"/>
  <c r="T624" i="12"/>
  <c r="U624" i="12"/>
  <c r="T625" i="12"/>
  <c r="U625" i="12"/>
  <c r="T626" i="12"/>
  <c r="U626" i="12"/>
  <c r="T627" i="12"/>
  <c r="U627" i="12"/>
  <c r="T628" i="12"/>
  <c r="U628" i="12"/>
  <c r="T629" i="12"/>
  <c r="U629" i="12"/>
  <c r="T630" i="12"/>
  <c r="U630" i="12"/>
  <c r="T631" i="12"/>
  <c r="U631" i="12"/>
  <c r="T632" i="12"/>
  <c r="U632" i="12"/>
  <c r="T633" i="12"/>
  <c r="U633" i="12"/>
  <c r="T634" i="12"/>
  <c r="U634" i="12"/>
  <c r="T635" i="12"/>
  <c r="U635" i="12"/>
  <c r="T636" i="12"/>
  <c r="U636" i="12"/>
  <c r="T637" i="12"/>
  <c r="U637" i="12"/>
  <c r="T638" i="12"/>
  <c r="U638" i="12"/>
  <c r="T639" i="12"/>
  <c r="U639" i="12"/>
  <c r="T640" i="12"/>
  <c r="U640" i="12"/>
  <c r="T641" i="12"/>
  <c r="U641" i="12"/>
  <c r="T642" i="12"/>
  <c r="U642" i="12"/>
  <c r="T643" i="12"/>
  <c r="U643" i="12"/>
  <c r="T644" i="12"/>
  <c r="U644" i="12"/>
  <c r="T645" i="12"/>
  <c r="U645" i="12"/>
  <c r="T646" i="12"/>
  <c r="U646" i="12"/>
  <c r="T647" i="12"/>
  <c r="U647" i="12"/>
  <c r="T648" i="12"/>
  <c r="U648" i="12"/>
  <c r="T649" i="12"/>
  <c r="U649" i="12"/>
  <c r="T650" i="12"/>
  <c r="U650" i="12"/>
  <c r="T651" i="12"/>
  <c r="U651" i="12"/>
  <c r="T652" i="12"/>
  <c r="U652" i="12"/>
  <c r="T653" i="12"/>
  <c r="U653" i="12"/>
  <c r="T654" i="12"/>
  <c r="U654" i="12"/>
  <c r="T655" i="12"/>
  <c r="U655" i="12"/>
  <c r="T656" i="12"/>
  <c r="U656" i="12"/>
  <c r="T657" i="12"/>
  <c r="U657" i="12"/>
  <c r="T658" i="12"/>
  <c r="U658" i="12"/>
  <c r="T659" i="12"/>
  <c r="U659" i="12"/>
  <c r="T660" i="12"/>
  <c r="U660" i="12"/>
  <c r="T661" i="12"/>
  <c r="U661" i="12"/>
  <c r="T662" i="12"/>
  <c r="U662" i="12"/>
  <c r="T663" i="12"/>
  <c r="U663" i="12"/>
  <c r="T664" i="12"/>
  <c r="U664" i="12"/>
  <c r="T665" i="12"/>
  <c r="U665" i="12"/>
  <c r="T666" i="12"/>
  <c r="U666" i="12"/>
  <c r="T667" i="12"/>
  <c r="U667" i="12"/>
  <c r="T668" i="12"/>
  <c r="U668" i="12"/>
  <c r="T669" i="12"/>
  <c r="U669" i="12"/>
  <c r="T670" i="12"/>
  <c r="U670" i="12"/>
  <c r="T671" i="12"/>
  <c r="U671" i="12"/>
  <c r="T672" i="12"/>
  <c r="U672" i="12"/>
  <c r="T673" i="12"/>
  <c r="U673" i="12"/>
  <c r="T674" i="12"/>
  <c r="U674" i="12"/>
  <c r="T675" i="12"/>
  <c r="U675" i="12"/>
  <c r="T676" i="12"/>
  <c r="U676" i="12"/>
  <c r="T677" i="12"/>
  <c r="U677" i="12"/>
  <c r="T678" i="12"/>
  <c r="U678" i="12"/>
  <c r="T679" i="12"/>
  <c r="U679" i="12"/>
  <c r="T680" i="12"/>
  <c r="U680" i="12"/>
  <c r="T681" i="12"/>
  <c r="U681" i="12"/>
  <c r="T682" i="12"/>
  <c r="U682" i="12"/>
  <c r="T683" i="12"/>
  <c r="U683" i="12"/>
  <c r="T684" i="12"/>
  <c r="U684" i="12"/>
  <c r="T685" i="12"/>
  <c r="U685" i="12"/>
  <c r="T686" i="12"/>
  <c r="U686" i="12"/>
  <c r="T687" i="12"/>
  <c r="U687" i="12"/>
  <c r="T688" i="12"/>
  <c r="U688" i="12"/>
  <c r="T689" i="12"/>
  <c r="U689" i="12"/>
  <c r="T690" i="12"/>
  <c r="U690" i="12"/>
  <c r="T691" i="12"/>
  <c r="U691" i="12"/>
  <c r="T692" i="12"/>
  <c r="U692" i="12"/>
  <c r="T693" i="12"/>
  <c r="U693" i="12"/>
  <c r="T694" i="12"/>
  <c r="U694" i="12"/>
  <c r="T695" i="12"/>
  <c r="U695" i="12"/>
  <c r="T696" i="12"/>
  <c r="U696" i="12"/>
  <c r="T697" i="12"/>
  <c r="U697" i="12"/>
  <c r="T698" i="12"/>
  <c r="U698" i="12"/>
  <c r="T699" i="12"/>
  <c r="U699" i="12"/>
  <c r="T700" i="12"/>
  <c r="U700" i="12"/>
  <c r="T701" i="12"/>
  <c r="U701" i="12"/>
  <c r="T702" i="12"/>
  <c r="U702" i="12"/>
  <c r="T703" i="12"/>
  <c r="U703" i="12"/>
  <c r="T704" i="12"/>
  <c r="U704" i="12"/>
  <c r="T705" i="12"/>
  <c r="U705" i="12"/>
  <c r="T706" i="12"/>
  <c r="U706" i="12"/>
  <c r="T707" i="12"/>
  <c r="U707" i="12"/>
  <c r="T708" i="12"/>
  <c r="U708" i="12"/>
  <c r="T709" i="12"/>
  <c r="U709" i="12"/>
  <c r="T710" i="12"/>
  <c r="U710" i="12"/>
  <c r="T711" i="12"/>
  <c r="U711" i="12"/>
  <c r="T712" i="12"/>
  <c r="U712" i="12"/>
  <c r="T713" i="12"/>
  <c r="U713" i="12"/>
  <c r="T714" i="12"/>
  <c r="U714" i="12"/>
  <c r="T715" i="12"/>
  <c r="U715" i="12"/>
  <c r="T716" i="12"/>
  <c r="U716" i="12"/>
  <c r="T717" i="12"/>
  <c r="U717" i="12"/>
  <c r="T718" i="12"/>
  <c r="U718" i="12"/>
  <c r="T719" i="12"/>
  <c r="U719" i="12"/>
  <c r="T720" i="12"/>
  <c r="U720" i="12"/>
  <c r="T721" i="12"/>
  <c r="U721" i="12"/>
  <c r="T722" i="12"/>
  <c r="U722" i="12"/>
  <c r="T723" i="12"/>
  <c r="U723" i="12"/>
  <c r="T724" i="12"/>
  <c r="U724" i="12"/>
  <c r="T725" i="12"/>
  <c r="U725" i="12"/>
  <c r="T726" i="12"/>
  <c r="U726" i="12"/>
  <c r="T727" i="12"/>
  <c r="U727" i="12"/>
  <c r="T728" i="12"/>
  <c r="U728" i="12"/>
  <c r="T729" i="12"/>
  <c r="U729" i="12"/>
  <c r="T730" i="12"/>
  <c r="U730" i="12"/>
  <c r="T731" i="12"/>
  <c r="U731" i="12"/>
  <c r="T732" i="12"/>
  <c r="U732" i="12"/>
  <c r="T733" i="12"/>
  <c r="U733" i="12"/>
  <c r="T734" i="12"/>
  <c r="U734" i="12"/>
  <c r="T735" i="12"/>
  <c r="U735" i="12"/>
  <c r="T736" i="12"/>
  <c r="U736" i="12"/>
  <c r="T737" i="12"/>
  <c r="U737" i="12"/>
  <c r="T738" i="12"/>
  <c r="U738" i="12"/>
  <c r="T739" i="12"/>
  <c r="U739" i="12"/>
  <c r="T740" i="12"/>
  <c r="U740" i="12"/>
  <c r="T741" i="12"/>
  <c r="U741" i="12"/>
  <c r="T742" i="12"/>
  <c r="U742" i="12"/>
  <c r="T743" i="12"/>
  <c r="U743" i="12"/>
  <c r="T744" i="12"/>
  <c r="U744" i="12"/>
  <c r="T745" i="12"/>
  <c r="U745" i="12"/>
  <c r="T746" i="12"/>
  <c r="U746" i="12"/>
  <c r="T747" i="12"/>
  <c r="U747" i="12"/>
  <c r="T748" i="12"/>
  <c r="U748" i="12"/>
  <c r="T749" i="12"/>
  <c r="U749" i="12"/>
  <c r="T750" i="12"/>
  <c r="U750" i="12"/>
  <c r="T751" i="12"/>
  <c r="U751" i="12"/>
  <c r="T752" i="12"/>
  <c r="U752" i="12"/>
  <c r="T753" i="12"/>
  <c r="U753" i="12"/>
  <c r="T754" i="12"/>
  <c r="U754" i="12"/>
  <c r="T755" i="12"/>
  <c r="U755" i="12"/>
  <c r="T756" i="12"/>
  <c r="U756" i="12"/>
  <c r="T757" i="12"/>
  <c r="U757" i="12"/>
  <c r="T758" i="12"/>
  <c r="U758" i="12"/>
  <c r="T759" i="12"/>
  <c r="U759" i="12"/>
  <c r="T760" i="12"/>
  <c r="U760" i="12"/>
  <c r="T761" i="12"/>
  <c r="U761" i="12"/>
  <c r="T762" i="12"/>
  <c r="U762" i="12"/>
  <c r="T763" i="12"/>
  <c r="U763" i="12"/>
  <c r="T764" i="12"/>
  <c r="U764" i="12"/>
  <c r="T765" i="12"/>
  <c r="U765" i="12"/>
  <c r="T766" i="12"/>
  <c r="U766" i="12"/>
  <c r="T767" i="12"/>
  <c r="U767" i="12"/>
  <c r="T768" i="12"/>
  <c r="U768" i="12"/>
  <c r="T769" i="12"/>
  <c r="U769" i="12"/>
  <c r="T770" i="12"/>
  <c r="U770" i="12"/>
  <c r="T771" i="12"/>
  <c r="U771" i="12"/>
  <c r="T772" i="12"/>
  <c r="U772" i="12"/>
  <c r="T773" i="12"/>
  <c r="U773" i="12"/>
  <c r="T774" i="12"/>
  <c r="U774" i="12"/>
  <c r="T775" i="12"/>
  <c r="U775" i="12"/>
  <c r="T776" i="12"/>
  <c r="U776" i="12"/>
  <c r="T777" i="12"/>
  <c r="U777" i="12"/>
  <c r="T778" i="12"/>
  <c r="U778" i="12"/>
  <c r="T779" i="12"/>
  <c r="U779" i="12"/>
  <c r="T780" i="12"/>
  <c r="U780" i="12"/>
  <c r="T781" i="12"/>
  <c r="U781" i="12"/>
  <c r="T782" i="12"/>
  <c r="U782" i="12"/>
  <c r="T783" i="12"/>
  <c r="U783" i="12"/>
  <c r="T784" i="12"/>
  <c r="U784" i="12"/>
  <c r="T785" i="12"/>
  <c r="U785" i="12"/>
  <c r="T786" i="12"/>
  <c r="U786" i="12"/>
  <c r="T787" i="12"/>
  <c r="U787" i="12"/>
  <c r="T788" i="12"/>
  <c r="U788" i="12"/>
  <c r="T789" i="12"/>
  <c r="U789" i="12"/>
  <c r="T790" i="12"/>
  <c r="U790" i="12"/>
  <c r="T791" i="12"/>
  <c r="U791" i="12"/>
  <c r="T792" i="12"/>
  <c r="U792" i="12"/>
  <c r="T793" i="12"/>
  <c r="U793" i="12"/>
  <c r="T794" i="12"/>
  <c r="U794" i="12"/>
  <c r="T795" i="12"/>
  <c r="U795" i="12"/>
  <c r="T796" i="12"/>
  <c r="U796" i="12"/>
  <c r="T797" i="12"/>
  <c r="U797" i="12"/>
  <c r="T798" i="12"/>
  <c r="U798" i="12"/>
  <c r="T799" i="12"/>
  <c r="U799" i="12"/>
  <c r="T800" i="12"/>
  <c r="U800" i="12"/>
  <c r="T801" i="12"/>
  <c r="U801" i="12"/>
  <c r="T802" i="12"/>
  <c r="U802" i="12"/>
  <c r="T803" i="12"/>
  <c r="U803" i="12"/>
  <c r="T804" i="12"/>
  <c r="U804" i="12"/>
  <c r="T805" i="12"/>
  <c r="U805" i="12"/>
  <c r="T806" i="12"/>
  <c r="U806" i="12"/>
  <c r="T807" i="12"/>
  <c r="U807" i="12"/>
  <c r="T808" i="12"/>
  <c r="U808" i="12"/>
  <c r="T809" i="12"/>
  <c r="U809" i="12"/>
  <c r="T810" i="12"/>
  <c r="U810" i="12"/>
  <c r="T811" i="12"/>
  <c r="U811" i="12"/>
  <c r="T812" i="12"/>
  <c r="U812" i="12"/>
  <c r="T813" i="12"/>
  <c r="U813" i="12"/>
  <c r="T814" i="12"/>
  <c r="U814" i="12"/>
  <c r="T815" i="12"/>
  <c r="U815" i="12"/>
  <c r="T816" i="12"/>
  <c r="U816" i="12"/>
  <c r="T817" i="12"/>
  <c r="U817" i="12"/>
  <c r="T818" i="12"/>
  <c r="U818" i="12"/>
  <c r="T819" i="12"/>
  <c r="U819" i="12"/>
  <c r="T820" i="12"/>
  <c r="U820" i="12"/>
  <c r="T821" i="12"/>
  <c r="U821" i="12"/>
  <c r="T822" i="12"/>
  <c r="U822" i="12"/>
  <c r="T823" i="12"/>
  <c r="U823" i="12"/>
  <c r="T824" i="12"/>
  <c r="U824" i="12"/>
  <c r="T825" i="12"/>
  <c r="U825" i="12"/>
  <c r="T826" i="12"/>
  <c r="U826" i="12"/>
  <c r="T827" i="12"/>
  <c r="U827" i="12"/>
  <c r="T828" i="12"/>
  <c r="U828" i="12"/>
  <c r="T829" i="12"/>
  <c r="U829" i="12"/>
  <c r="T830" i="12"/>
  <c r="U830" i="12"/>
  <c r="T831" i="12"/>
  <c r="U831" i="12"/>
  <c r="T832" i="12"/>
  <c r="U832" i="12"/>
  <c r="T833" i="12"/>
  <c r="U833" i="12"/>
  <c r="T834" i="12"/>
  <c r="U834" i="12"/>
  <c r="T835" i="12"/>
  <c r="U835" i="12"/>
  <c r="T836" i="12"/>
  <c r="U836" i="12"/>
  <c r="T837" i="12"/>
  <c r="U837" i="12"/>
  <c r="T838" i="12"/>
  <c r="U838" i="12"/>
  <c r="T839" i="12"/>
  <c r="U839" i="12"/>
  <c r="T840" i="12"/>
  <c r="U840" i="12"/>
  <c r="T841" i="12"/>
  <c r="U841" i="12"/>
  <c r="T842" i="12"/>
  <c r="U842" i="12"/>
  <c r="T843" i="12"/>
  <c r="U843" i="12"/>
  <c r="T844" i="12"/>
  <c r="U844" i="12"/>
  <c r="T845" i="12"/>
  <c r="U845" i="12"/>
  <c r="T846" i="12"/>
  <c r="U846" i="12"/>
  <c r="T847" i="12"/>
  <c r="U847" i="12"/>
  <c r="T848" i="12"/>
  <c r="U848" i="12"/>
  <c r="T849" i="12"/>
  <c r="U849" i="12"/>
  <c r="T850" i="12"/>
  <c r="U850" i="12"/>
  <c r="T851" i="12"/>
  <c r="U851" i="12"/>
  <c r="T852" i="12"/>
  <c r="U852" i="12"/>
  <c r="T853" i="12"/>
  <c r="U853" i="12"/>
  <c r="T854" i="12"/>
  <c r="U854" i="12"/>
  <c r="T855" i="12"/>
  <c r="U855" i="12"/>
  <c r="T856" i="12"/>
  <c r="U856" i="12"/>
  <c r="T857" i="12"/>
  <c r="U857" i="12"/>
  <c r="T858" i="12"/>
  <c r="U858" i="12"/>
  <c r="T859" i="12"/>
  <c r="U859" i="12"/>
  <c r="T860" i="12"/>
  <c r="U860" i="12"/>
  <c r="T861" i="12"/>
  <c r="U861" i="12"/>
  <c r="T862" i="12"/>
  <c r="U862" i="12"/>
  <c r="T863" i="12"/>
  <c r="U863" i="12"/>
  <c r="T864" i="12"/>
  <c r="U864" i="12"/>
  <c r="T865" i="12"/>
  <c r="U865" i="12"/>
  <c r="T866" i="12"/>
  <c r="U866" i="12"/>
  <c r="T867" i="12"/>
  <c r="U867" i="12"/>
  <c r="T868" i="12"/>
  <c r="U868" i="12"/>
  <c r="T869" i="12"/>
  <c r="U869" i="12"/>
  <c r="T870" i="12"/>
  <c r="U870" i="12"/>
  <c r="T871" i="12"/>
  <c r="U871" i="12"/>
  <c r="T872" i="12"/>
  <c r="U872" i="12"/>
  <c r="T873" i="12"/>
  <c r="U873" i="12"/>
  <c r="T874" i="12"/>
  <c r="U874" i="12"/>
  <c r="T875" i="12"/>
  <c r="U875" i="12"/>
  <c r="T876" i="12"/>
  <c r="U876" i="12"/>
  <c r="T877" i="12"/>
  <c r="U877" i="12"/>
  <c r="T878" i="12"/>
  <c r="U878" i="12"/>
  <c r="T879" i="12"/>
  <c r="U879" i="12"/>
  <c r="T880" i="12"/>
  <c r="U880" i="12"/>
  <c r="T881" i="12"/>
  <c r="U881" i="12"/>
  <c r="T882" i="12"/>
  <c r="U882" i="12"/>
  <c r="T883" i="12"/>
  <c r="U883" i="12"/>
  <c r="T884" i="12"/>
  <c r="U884" i="12"/>
  <c r="T885" i="12"/>
  <c r="U885" i="12"/>
  <c r="T886" i="12"/>
  <c r="U886" i="12"/>
  <c r="T887" i="12"/>
  <c r="U887" i="12"/>
  <c r="T888" i="12"/>
  <c r="U888" i="12"/>
  <c r="T889" i="12"/>
  <c r="U889" i="12"/>
  <c r="T890" i="12"/>
  <c r="U890" i="12"/>
  <c r="T891" i="12"/>
  <c r="U891" i="12"/>
  <c r="T892" i="12"/>
  <c r="U892" i="12"/>
  <c r="T893" i="12"/>
  <c r="U893" i="12"/>
  <c r="T894" i="12"/>
  <c r="U894" i="12"/>
  <c r="T895" i="12"/>
  <c r="U895" i="12"/>
  <c r="T896" i="12"/>
  <c r="U896" i="12"/>
  <c r="T897" i="12"/>
  <c r="U897" i="12"/>
  <c r="T898" i="12"/>
  <c r="U898" i="12"/>
  <c r="T899" i="12"/>
  <c r="U899" i="12"/>
  <c r="T900" i="12"/>
  <c r="U900" i="12"/>
  <c r="T901" i="12"/>
  <c r="U901" i="12"/>
  <c r="T902" i="12"/>
  <c r="U902" i="12"/>
  <c r="T903" i="12"/>
  <c r="U903" i="12"/>
  <c r="T904" i="12"/>
  <c r="U904" i="12"/>
  <c r="T905" i="12"/>
  <c r="U905" i="12"/>
  <c r="T906" i="12"/>
  <c r="U906" i="12"/>
  <c r="T907" i="12"/>
  <c r="U907" i="12"/>
  <c r="T908" i="12"/>
  <c r="U908" i="12"/>
  <c r="T909" i="12"/>
  <c r="U909" i="12"/>
  <c r="T910" i="12"/>
  <c r="U910" i="12"/>
  <c r="T911" i="12"/>
  <c r="U911" i="12"/>
  <c r="T912" i="12"/>
  <c r="U912" i="12"/>
  <c r="T913" i="12"/>
  <c r="U913" i="12"/>
  <c r="T914" i="12"/>
  <c r="U914" i="12"/>
  <c r="T915" i="12"/>
  <c r="U915" i="12"/>
  <c r="T916" i="12"/>
  <c r="U916" i="12"/>
  <c r="T917" i="12"/>
  <c r="U917" i="12"/>
  <c r="T918" i="12"/>
  <c r="U918" i="12"/>
  <c r="T919" i="12"/>
  <c r="U919" i="12"/>
  <c r="T920" i="12"/>
  <c r="U920" i="12"/>
  <c r="T921" i="12"/>
  <c r="U921" i="12"/>
  <c r="T922" i="12"/>
  <c r="U922" i="12"/>
  <c r="T923" i="12"/>
  <c r="U923" i="12"/>
  <c r="T924" i="12"/>
  <c r="U924" i="12"/>
  <c r="T925" i="12"/>
  <c r="U925" i="12"/>
  <c r="T926" i="12"/>
  <c r="U926" i="12"/>
  <c r="T927" i="12"/>
  <c r="U927" i="12"/>
  <c r="T928" i="12"/>
  <c r="U928" i="12"/>
  <c r="T929" i="12"/>
  <c r="U929" i="12"/>
  <c r="T930" i="12"/>
  <c r="U930" i="12"/>
  <c r="T931" i="12"/>
  <c r="U931" i="12"/>
  <c r="T932" i="12"/>
  <c r="U932" i="12"/>
  <c r="T933" i="12"/>
  <c r="U933" i="12"/>
  <c r="T934" i="12"/>
  <c r="U934" i="12"/>
  <c r="T935" i="12"/>
  <c r="U935" i="12"/>
  <c r="T936" i="12"/>
  <c r="U936" i="12"/>
  <c r="T937" i="12"/>
  <c r="U937" i="12"/>
  <c r="T938" i="12"/>
  <c r="U938" i="12"/>
  <c r="T939" i="12"/>
  <c r="U939" i="12"/>
  <c r="T940" i="12"/>
  <c r="U940" i="12"/>
  <c r="T941" i="12"/>
  <c r="U941" i="12"/>
  <c r="T942" i="12"/>
  <c r="U942" i="12"/>
  <c r="T943" i="12"/>
  <c r="U943" i="12"/>
  <c r="T944" i="12"/>
  <c r="U944" i="12"/>
  <c r="T945" i="12"/>
  <c r="U945" i="12"/>
  <c r="T946" i="12"/>
  <c r="U946" i="12"/>
  <c r="T947" i="12"/>
  <c r="U947" i="12"/>
  <c r="T948" i="12"/>
  <c r="U948" i="12"/>
  <c r="T949" i="12"/>
  <c r="U949" i="12"/>
  <c r="T950" i="12"/>
  <c r="U950" i="12"/>
  <c r="T951" i="12"/>
  <c r="U951" i="12"/>
  <c r="T952" i="12"/>
  <c r="U952" i="12"/>
  <c r="T953" i="12"/>
  <c r="U953" i="12"/>
  <c r="T954" i="12"/>
  <c r="U954" i="12"/>
  <c r="T955" i="12"/>
  <c r="U955" i="12"/>
  <c r="T956" i="12"/>
  <c r="U956" i="12"/>
  <c r="T957" i="12"/>
  <c r="U957" i="12"/>
  <c r="T958" i="12"/>
  <c r="U958" i="12"/>
  <c r="T959" i="12"/>
  <c r="U959" i="12"/>
  <c r="T960" i="12"/>
  <c r="U960" i="12"/>
  <c r="T961" i="12"/>
  <c r="U961" i="12"/>
  <c r="T962" i="12"/>
  <c r="U962" i="12"/>
  <c r="T963" i="12"/>
  <c r="U963" i="12"/>
  <c r="T964" i="12"/>
  <c r="U964" i="12"/>
  <c r="T965" i="12"/>
  <c r="U965" i="12"/>
  <c r="T966" i="12"/>
  <c r="U966" i="12"/>
  <c r="T967" i="12"/>
  <c r="U967" i="12"/>
  <c r="T968" i="12"/>
  <c r="U968" i="12"/>
  <c r="T969" i="12"/>
  <c r="U969" i="12"/>
  <c r="T970" i="12"/>
  <c r="U970" i="12"/>
  <c r="T971" i="12"/>
  <c r="U971" i="12"/>
  <c r="T972" i="12"/>
  <c r="U972" i="12"/>
  <c r="T973" i="12"/>
  <c r="U973" i="12"/>
  <c r="T974" i="12"/>
  <c r="U974" i="12"/>
  <c r="T975" i="12"/>
  <c r="U975" i="12"/>
  <c r="T976" i="12"/>
  <c r="U976" i="12"/>
  <c r="T977" i="12"/>
  <c r="U977" i="12"/>
  <c r="T978" i="12"/>
  <c r="U978" i="12"/>
  <c r="T979" i="12"/>
  <c r="U979" i="12"/>
  <c r="T980" i="12"/>
  <c r="U980" i="12"/>
  <c r="T981" i="12"/>
  <c r="U981" i="12"/>
  <c r="T982" i="12"/>
  <c r="U982" i="12"/>
  <c r="T983" i="12"/>
  <c r="U983" i="12"/>
  <c r="T984" i="12"/>
  <c r="U984" i="12"/>
  <c r="T985" i="12"/>
  <c r="U985" i="12"/>
  <c r="T986" i="12"/>
  <c r="U986" i="12"/>
  <c r="T987" i="12"/>
  <c r="U987" i="12"/>
  <c r="T988" i="12"/>
  <c r="U988" i="12"/>
  <c r="T989" i="12"/>
  <c r="U989" i="12"/>
  <c r="T990" i="12"/>
  <c r="U990" i="12"/>
  <c r="T991" i="12"/>
  <c r="U991" i="12"/>
  <c r="T992" i="12"/>
  <c r="U992" i="12"/>
  <c r="T993" i="12"/>
  <c r="U993" i="12"/>
  <c r="T994" i="12"/>
  <c r="U994" i="12"/>
  <c r="T995" i="12"/>
  <c r="U995" i="12"/>
  <c r="T996" i="12"/>
  <c r="U996" i="12"/>
  <c r="T997" i="12"/>
  <c r="U997" i="12"/>
  <c r="T998" i="12"/>
  <c r="U998" i="12"/>
  <c r="T999" i="12"/>
  <c r="U999" i="12"/>
  <c r="T1000" i="12"/>
  <c r="U1000" i="12"/>
  <c r="T1001" i="12"/>
  <c r="U1001" i="12"/>
  <c r="T1002" i="12"/>
  <c r="U1002" i="12"/>
  <c r="T1003" i="12"/>
  <c r="U1003" i="12"/>
  <c r="T1004" i="12"/>
  <c r="U1004" i="12"/>
  <c r="T1005" i="12"/>
  <c r="U1005" i="12"/>
  <c r="T1006" i="12"/>
  <c r="U1006" i="12"/>
  <c r="T1007" i="12"/>
  <c r="U1007" i="12"/>
  <c r="T1008" i="12"/>
  <c r="U1008" i="12"/>
  <c r="T1009" i="12"/>
  <c r="U1009" i="12"/>
  <c r="T1010" i="12"/>
  <c r="U1010" i="12"/>
  <c r="T1011" i="12"/>
  <c r="U1011" i="12"/>
  <c r="T1012" i="12"/>
  <c r="U1012" i="12"/>
  <c r="T1013" i="12"/>
  <c r="U1013" i="12"/>
  <c r="T1014" i="12"/>
  <c r="U1014" i="12"/>
  <c r="T1015" i="12"/>
  <c r="U1015" i="12"/>
  <c r="T1016" i="12"/>
  <c r="U1016" i="12"/>
  <c r="T1017" i="12"/>
  <c r="U1017" i="12"/>
  <c r="T1018" i="12"/>
  <c r="U1018" i="12"/>
  <c r="T1019" i="12"/>
  <c r="U1019" i="12"/>
  <c r="T1020" i="12"/>
  <c r="U1020" i="12"/>
  <c r="T1021" i="12"/>
  <c r="U1021" i="12"/>
  <c r="T1022" i="12"/>
  <c r="U1022" i="12"/>
  <c r="T1023" i="12"/>
  <c r="U1023" i="12"/>
  <c r="T1024" i="12"/>
  <c r="U1024" i="12"/>
  <c r="T1025" i="12"/>
  <c r="U1025" i="12"/>
  <c r="T1026" i="12"/>
  <c r="U1026" i="12"/>
  <c r="T1027" i="12"/>
  <c r="U1027" i="12"/>
  <c r="T1028" i="12"/>
  <c r="U1028" i="12"/>
  <c r="T1029" i="12"/>
  <c r="U1029" i="12"/>
  <c r="T1030" i="12"/>
  <c r="U1030" i="12"/>
  <c r="T1031" i="12"/>
  <c r="U1031" i="12"/>
  <c r="T1032" i="12"/>
  <c r="U1032" i="12"/>
  <c r="T1033" i="12"/>
  <c r="U1033" i="12"/>
  <c r="T1034" i="12"/>
  <c r="U1034" i="12"/>
  <c r="T1035" i="12"/>
  <c r="U1035" i="12"/>
  <c r="T1036" i="12"/>
  <c r="U1036" i="12"/>
  <c r="T1037" i="12"/>
  <c r="U1037" i="12"/>
  <c r="T1038" i="12"/>
  <c r="U1038" i="12"/>
  <c r="T1039" i="12"/>
  <c r="U1039" i="12"/>
  <c r="T1040" i="12"/>
  <c r="U1040" i="12"/>
  <c r="T1041" i="12"/>
  <c r="U1041" i="12"/>
  <c r="T1042" i="12"/>
  <c r="U1042" i="12"/>
  <c r="T1043" i="12"/>
  <c r="U1043" i="12"/>
  <c r="T1044" i="12"/>
  <c r="U1044" i="12"/>
  <c r="T1045" i="12"/>
  <c r="U1045" i="12"/>
  <c r="T1046" i="12"/>
  <c r="U1046" i="12"/>
  <c r="T1047" i="12"/>
  <c r="U1047" i="12"/>
  <c r="T1048" i="12"/>
  <c r="U1048" i="12"/>
  <c r="T1049" i="12"/>
  <c r="U1049" i="12"/>
  <c r="T1050" i="12"/>
  <c r="U1050" i="12"/>
  <c r="T1051" i="12"/>
  <c r="U1051" i="12"/>
  <c r="T1052" i="12"/>
  <c r="U1052" i="12"/>
  <c r="T1053" i="12"/>
  <c r="U1053" i="12"/>
  <c r="T1054" i="12"/>
  <c r="U1054" i="12"/>
  <c r="T1055" i="12"/>
  <c r="U1055" i="12"/>
  <c r="T1056" i="12"/>
  <c r="U1056" i="12"/>
  <c r="T1057" i="12"/>
  <c r="U1057" i="12"/>
  <c r="T1058" i="12"/>
  <c r="U1058" i="12"/>
  <c r="T1059" i="12"/>
  <c r="U1059" i="12"/>
  <c r="T1060" i="12"/>
  <c r="U1060" i="12"/>
  <c r="T1061" i="12"/>
  <c r="U1061" i="12"/>
  <c r="T1062" i="12"/>
  <c r="U1062" i="12"/>
  <c r="T1063" i="12"/>
  <c r="U1063" i="12"/>
  <c r="T1064" i="12"/>
  <c r="U1064" i="12"/>
  <c r="T1065" i="12"/>
  <c r="U1065" i="12"/>
  <c r="T1066" i="12"/>
  <c r="U1066" i="12"/>
  <c r="T1067" i="12"/>
  <c r="U1067" i="12"/>
  <c r="T1068" i="12"/>
  <c r="U1068" i="12"/>
  <c r="T1069" i="12"/>
  <c r="U1069" i="12"/>
  <c r="T1070" i="12"/>
  <c r="U1070" i="12"/>
  <c r="T1071" i="12"/>
  <c r="U1071" i="12"/>
  <c r="T1072" i="12"/>
  <c r="U1072" i="12"/>
  <c r="T1073" i="12"/>
  <c r="U1073" i="12"/>
  <c r="T1074" i="12"/>
  <c r="U1074" i="12"/>
  <c r="T1075" i="12"/>
  <c r="U1075" i="12"/>
  <c r="T1076" i="12"/>
  <c r="U1076" i="12"/>
  <c r="T1077" i="12"/>
  <c r="U1077" i="12"/>
  <c r="T1078" i="12"/>
  <c r="U1078" i="12"/>
  <c r="T1079" i="12"/>
  <c r="U1079" i="12"/>
  <c r="T1080" i="12"/>
  <c r="U1080" i="12"/>
  <c r="T1081" i="12"/>
  <c r="U1081" i="12"/>
  <c r="T1082" i="12"/>
  <c r="U1082" i="12"/>
  <c r="T1083" i="12"/>
  <c r="U1083" i="12"/>
  <c r="T1084" i="12"/>
  <c r="U1084" i="12"/>
  <c r="T1085" i="12"/>
  <c r="U1085" i="12"/>
  <c r="T1086" i="12"/>
  <c r="U1086" i="12"/>
  <c r="T1087" i="12"/>
  <c r="U1087" i="12"/>
  <c r="T1088" i="12"/>
  <c r="U1088" i="12"/>
  <c r="T1089" i="12"/>
  <c r="U1089" i="12"/>
  <c r="T1090" i="12"/>
  <c r="U1090" i="12"/>
  <c r="T1091" i="12"/>
  <c r="U1091" i="12"/>
  <c r="T1092" i="12"/>
  <c r="U1092" i="12"/>
  <c r="T1093" i="12"/>
  <c r="U1093" i="12"/>
  <c r="T1094" i="12"/>
  <c r="U1094" i="12"/>
  <c r="T1095" i="12"/>
  <c r="U1095" i="12"/>
  <c r="T1096" i="12"/>
  <c r="U1096" i="12"/>
  <c r="T1097" i="12"/>
  <c r="U1097" i="12"/>
  <c r="T1098" i="12"/>
  <c r="U1098" i="12"/>
  <c r="T1099" i="12"/>
  <c r="U1099" i="12"/>
  <c r="T1100" i="12"/>
  <c r="U1100" i="12"/>
  <c r="T1101" i="12"/>
  <c r="U1101" i="12"/>
  <c r="T1102" i="12"/>
  <c r="U1102" i="12"/>
  <c r="T1103" i="12"/>
  <c r="U1103" i="12"/>
  <c r="T1104" i="12"/>
  <c r="U1104" i="12"/>
  <c r="T1105" i="12"/>
  <c r="U1105" i="12"/>
  <c r="T1106" i="12"/>
  <c r="U1106" i="12"/>
  <c r="T1107" i="12"/>
  <c r="U1107" i="12"/>
  <c r="T1108" i="12"/>
  <c r="U1108" i="12"/>
  <c r="T1109" i="12"/>
  <c r="U1109" i="12"/>
  <c r="T1110" i="12"/>
  <c r="U1110" i="12"/>
  <c r="T1111" i="12"/>
  <c r="U1111" i="12"/>
  <c r="T1112" i="12"/>
  <c r="U1112" i="12"/>
  <c r="T1113" i="12"/>
  <c r="U1113" i="12"/>
  <c r="T1114" i="12"/>
  <c r="U1114" i="12"/>
  <c r="T1115" i="12"/>
  <c r="U1115" i="12"/>
  <c r="T1116" i="12"/>
  <c r="U1116" i="12"/>
  <c r="T1117" i="12"/>
  <c r="U1117" i="12"/>
  <c r="T1118" i="12"/>
  <c r="U1118" i="12"/>
  <c r="T1119" i="12"/>
  <c r="U1119" i="12"/>
  <c r="T1120" i="12"/>
  <c r="U1120" i="12"/>
  <c r="T1121" i="12"/>
  <c r="U1121" i="12"/>
  <c r="T1122" i="12"/>
  <c r="U1122" i="12"/>
  <c r="T1123" i="12"/>
  <c r="U1123" i="12"/>
  <c r="T1124" i="12"/>
  <c r="U1124" i="12"/>
  <c r="T1125" i="12"/>
  <c r="U1125" i="12"/>
  <c r="T1126" i="12"/>
  <c r="U1126" i="12"/>
  <c r="T1127" i="12"/>
  <c r="U1127" i="12"/>
  <c r="T1128" i="12"/>
  <c r="U1128" i="12"/>
  <c r="T1129" i="12"/>
  <c r="U1129" i="12"/>
  <c r="T1130" i="12"/>
  <c r="U1130" i="12"/>
  <c r="T1131" i="12"/>
  <c r="U1131" i="12"/>
  <c r="T1132" i="12"/>
  <c r="U1132" i="12"/>
  <c r="T1133" i="12"/>
  <c r="U1133" i="12"/>
  <c r="T1134" i="12"/>
  <c r="U1134" i="12"/>
  <c r="T1135" i="12"/>
  <c r="U1135" i="12"/>
  <c r="T1136" i="12"/>
  <c r="U1136" i="12"/>
  <c r="T1137" i="12"/>
  <c r="U1137" i="12"/>
  <c r="T1138" i="12"/>
  <c r="U1138" i="12"/>
  <c r="T1139" i="12"/>
  <c r="U1139" i="12"/>
  <c r="T1140" i="12"/>
  <c r="U1140" i="12"/>
  <c r="T1141" i="12"/>
  <c r="U1141" i="12"/>
  <c r="T1142" i="12"/>
  <c r="U1142" i="12"/>
  <c r="T1143" i="12"/>
  <c r="U1143" i="12"/>
  <c r="T1144" i="12"/>
  <c r="U1144" i="12"/>
  <c r="T1145" i="12"/>
  <c r="U1145" i="12"/>
  <c r="T1146" i="12"/>
  <c r="U1146" i="12"/>
  <c r="T1147" i="12"/>
  <c r="U1147" i="12"/>
  <c r="T1148" i="12"/>
  <c r="U1148" i="12"/>
  <c r="T1149" i="12"/>
  <c r="U1149" i="12"/>
  <c r="T1150" i="12"/>
  <c r="U1150" i="12"/>
  <c r="T1151" i="12"/>
  <c r="U1151" i="12"/>
  <c r="T1152" i="12"/>
  <c r="U1152" i="12"/>
  <c r="T1153" i="12"/>
  <c r="U1153" i="12"/>
  <c r="T1154" i="12"/>
  <c r="U1154" i="12"/>
  <c r="T1155" i="12"/>
  <c r="U1155" i="12"/>
  <c r="T1156" i="12"/>
  <c r="U1156" i="12"/>
  <c r="T1157" i="12"/>
  <c r="U1157" i="12"/>
  <c r="T1158" i="12"/>
  <c r="U1158" i="12"/>
  <c r="T1159" i="12"/>
  <c r="U1159" i="12"/>
  <c r="T1160" i="12"/>
  <c r="U1160" i="12"/>
  <c r="T1161" i="12"/>
  <c r="U1161" i="12"/>
  <c r="T1162" i="12"/>
  <c r="U1162" i="12"/>
  <c r="T1163" i="12"/>
  <c r="U1163" i="12"/>
  <c r="T1164" i="12"/>
  <c r="U1164" i="12"/>
  <c r="T1165" i="12"/>
  <c r="U1165" i="12"/>
  <c r="T1166" i="12"/>
  <c r="U1166" i="12"/>
  <c r="T1167" i="12"/>
  <c r="U1167" i="12"/>
  <c r="T1168" i="12"/>
  <c r="U1168" i="12"/>
  <c r="T1169" i="12"/>
  <c r="U1169" i="12"/>
  <c r="T1170" i="12"/>
  <c r="U1170" i="12"/>
  <c r="T1171" i="12"/>
  <c r="U1171" i="12"/>
  <c r="T1172" i="12"/>
  <c r="U1172" i="12"/>
  <c r="T1173" i="12"/>
  <c r="U1173" i="12"/>
  <c r="T1174" i="12"/>
  <c r="U1174" i="12"/>
  <c r="T1175" i="12"/>
  <c r="U1175" i="12"/>
  <c r="T1176" i="12"/>
  <c r="U1176" i="12"/>
  <c r="T1177" i="12"/>
  <c r="U1177" i="12"/>
  <c r="T1178" i="12"/>
  <c r="U1178" i="12"/>
  <c r="T1179" i="12"/>
  <c r="U1179" i="12"/>
  <c r="T1180" i="12"/>
  <c r="U1180" i="12"/>
  <c r="T1181" i="12"/>
  <c r="U1181" i="12"/>
  <c r="T1182" i="12"/>
  <c r="U1182" i="12"/>
  <c r="T1183" i="12"/>
  <c r="U1183" i="12"/>
  <c r="T1184" i="12"/>
  <c r="U1184" i="12"/>
  <c r="T1185" i="12"/>
  <c r="U1185" i="12"/>
  <c r="T1186" i="12"/>
  <c r="U1186" i="12"/>
  <c r="T1187" i="12"/>
  <c r="U1187" i="12"/>
  <c r="T1188" i="12"/>
  <c r="U1188" i="12"/>
  <c r="T1189" i="12"/>
  <c r="U1189" i="12"/>
  <c r="T1190" i="12"/>
  <c r="U1190" i="12"/>
  <c r="T1191" i="12"/>
  <c r="U1191" i="12"/>
  <c r="T1192" i="12"/>
  <c r="U1192" i="12"/>
  <c r="T1193" i="12"/>
  <c r="U1193" i="12"/>
  <c r="T1194" i="12"/>
  <c r="U1194" i="12"/>
  <c r="T1195" i="12"/>
  <c r="U1195" i="12"/>
  <c r="T1196" i="12"/>
  <c r="U1196" i="12"/>
  <c r="T1197" i="12"/>
  <c r="U1197" i="12"/>
  <c r="T1198" i="12"/>
  <c r="U1198" i="12"/>
  <c r="T1199" i="12"/>
  <c r="U1199" i="12"/>
  <c r="T1200" i="12"/>
  <c r="U1200" i="12"/>
  <c r="T1201" i="12"/>
  <c r="U1201" i="12"/>
  <c r="T1202" i="12"/>
  <c r="U1202" i="12"/>
  <c r="T1203" i="12"/>
  <c r="U1203" i="12"/>
  <c r="T1204" i="12"/>
  <c r="U1204" i="12"/>
  <c r="T1205" i="12"/>
  <c r="U1205" i="12"/>
  <c r="T1206" i="12"/>
  <c r="U1206" i="12"/>
  <c r="T1207" i="12"/>
  <c r="U1207" i="12"/>
  <c r="T1208" i="12"/>
  <c r="U1208" i="12"/>
  <c r="T1209" i="12"/>
  <c r="U1209" i="12"/>
  <c r="T1210" i="12"/>
  <c r="U1210" i="12"/>
  <c r="T1211" i="12"/>
  <c r="U1211" i="12"/>
  <c r="T1212" i="12"/>
  <c r="U1212" i="12"/>
  <c r="T1213" i="12"/>
  <c r="U1213" i="12"/>
  <c r="T1214" i="12"/>
  <c r="U1214" i="12"/>
  <c r="T1215" i="12"/>
  <c r="U1215" i="12"/>
  <c r="T1216" i="12"/>
  <c r="U1216" i="12"/>
  <c r="T1217" i="12"/>
  <c r="U1217" i="12"/>
  <c r="T1218" i="12"/>
  <c r="U1218" i="12"/>
  <c r="T1219" i="12"/>
  <c r="U1219" i="12"/>
  <c r="T1220" i="12"/>
  <c r="U1220" i="12"/>
  <c r="T1221" i="12"/>
  <c r="U1221" i="12"/>
  <c r="T1222" i="12"/>
  <c r="U1222" i="12"/>
  <c r="T1223" i="12"/>
  <c r="U1223" i="12"/>
  <c r="T1224" i="12"/>
  <c r="U1224" i="12"/>
  <c r="T1225" i="12"/>
  <c r="U1225" i="12"/>
  <c r="T1226" i="12"/>
  <c r="U1226" i="12"/>
  <c r="T1227" i="12"/>
  <c r="U1227" i="12"/>
  <c r="T1228" i="12"/>
  <c r="U1228" i="12"/>
  <c r="T1229" i="12"/>
  <c r="U1229" i="12"/>
  <c r="T1230" i="12"/>
  <c r="U1230" i="12"/>
  <c r="T1231" i="12"/>
  <c r="U1231" i="12"/>
  <c r="T1232" i="12"/>
  <c r="U1232" i="12"/>
  <c r="T1233" i="12"/>
  <c r="U1233" i="12"/>
  <c r="T1234" i="12"/>
  <c r="U1234" i="12"/>
  <c r="T1235" i="12"/>
  <c r="U1235" i="12"/>
  <c r="T1236" i="12"/>
  <c r="U1236" i="12"/>
  <c r="T1237" i="12"/>
  <c r="U1237" i="12"/>
  <c r="T1238" i="12"/>
  <c r="U1238" i="12"/>
  <c r="T1239" i="12"/>
  <c r="U1239" i="12"/>
  <c r="T1240" i="12"/>
  <c r="U1240" i="12"/>
  <c r="T1241" i="12"/>
  <c r="U1241" i="12"/>
  <c r="T1242" i="12"/>
  <c r="U1242" i="12"/>
  <c r="T1243" i="12"/>
  <c r="U1243" i="12"/>
  <c r="T1244" i="12"/>
  <c r="U1244" i="12"/>
  <c r="T1245" i="12"/>
  <c r="U1245" i="12"/>
  <c r="T1246" i="12"/>
  <c r="U1246" i="12"/>
  <c r="T1247" i="12"/>
  <c r="U1247" i="12"/>
  <c r="T1248" i="12"/>
  <c r="U1248" i="12"/>
  <c r="T1249" i="12"/>
  <c r="U1249" i="12"/>
  <c r="T1250" i="12"/>
  <c r="U1250" i="12"/>
  <c r="T1251" i="12"/>
  <c r="U1251" i="12"/>
  <c r="T1252" i="12"/>
  <c r="U1252" i="12"/>
  <c r="T1253" i="12"/>
  <c r="U1253" i="12"/>
  <c r="T1254" i="12"/>
  <c r="U1254" i="12"/>
  <c r="T1255" i="12"/>
  <c r="U1255" i="12"/>
  <c r="T1256" i="12"/>
  <c r="U1256" i="12"/>
  <c r="T1257" i="12"/>
  <c r="U1257" i="12"/>
  <c r="T1258" i="12"/>
  <c r="U1258" i="12"/>
  <c r="T1259" i="12"/>
  <c r="U1259" i="12"/>
  <c r="T1260" i="12"/>
  <c r="U1260" i="12"/>
  <c r="T1261" i="12"/>
  <c r="U1261" i="12"/>
  <c r="T1262" i="12"/>
  <c r="U1262" i="12"/>
  <c r="T1263" i="12"/>
  <c r="U1263" i="12"/>
  <c r="T1264" i="12"/>
  <c r="U1264" i="12"/>
  <c r="T1265" i="12"/>
  <c r="U1265" i="12"/>
  <c r="T1266" i="12"/>
  <c r="U1266" i="12"/>
  <c r="T1267" i="12"/>
  <c r="U1267" i="12"/>
  <c r="T1268" i="12"/>
  <c r="U1268" i="12"/>
  <c r="T1269" i="12"/>
  <c r="U1269" i="12"/>
  <c r="T1270" i="12"/>
  <c r="U1270" i="12"/>
  <c r="T1271" i="12"/>
  <c r="U1271" i="12"/>
  <c r="T1272" i="12"/>
  <c r="U1272" i="12"/>
  <c r="T1273" i="12"/>
  <c r="U1273" i="12"/>
  <c r="T1274" i="12"/>
  <c r="U1274" i="12"/>
  <c r="T1275" i="12"/>
  <c r="U1275" i="12"/>
  <c r="T1276" i="12"/>
  <c r="U1276" i="12"/>
  <c r="T1277" i="12"/>
  <c r="U1277" i="12"/>
  <c r="T1278" i="12"/>
  <c r="U1278" i="12"/>
  <c r="T1279" i="12"/>
  <c r="U1279" i="12"/>
  <c r="T1280" i="12"/>
  <c r="U1280" i="12"/>
  <c r="T1281" i="12"/>
  <c r="U1281" i="12"/>
  <c r="T1282" i="12"/>
  <c r="U1282" i="12"/>
  <c r="T1283" i="12"/>
  <c r="U1283" i="12"/>
  <c r="T1284" i="12"/>
  <c r="U1284" i="12"/>
  <c r="T1285" i="12"/>
  <c r="U1285" i="12"/>
  <c r="T1286" i="12"/>
  <c r="U1286" i="12"/>
  <c r="T1287" i="12"/>
  <c r="U1287" i="12"/>
  <c r="T1288" i="12"/>
  <c r="U1288" i="12"/>
  <c r="T1289" i="12"/>
  <c r="U1289" i="12"/>
  <c r="T1290" i="12"/>
  <c r="U1290" i="12"/>
  <c r="T1291" i="12"/>
  <c r="U1291" i="12"/>
  <c r="T1292" i="12"/>
  <c r="U1292" i="12"/>
  <c r="T1293" i="12"/>
  <c r="U1293" i="12"/>
  <c r="T1294" i="12"/>
  <c r="U1294" i="12"/>
  <c r="T1295" i="12"/>
  <c r="U1295" i="12"/>
  <c r="T1296" i="12"/>
  <c r="U1296" i="12"/>
  <c r="T1297" i="12"/>
  <c r="U1297" i="12"/>
  <c r="T1298" i="12"/>
  <c r="U1298" i="12"/>
  <c r="T1299" i="12"/>
  <c r="U1299" i="12"/>
  <c r="T1300" i="12"/>
  <c r="U1300" i="12"/>
  <c r="T1301" i="12"/>
  <c r="U1301" i="12"/>
  <c r="T1302" i="12"/>
  <c r="U1302" i="12"/>
  <c r="T1303" i="12"/>
  <c r="U1303" i="12"/>
  <c r="T1304" i="12"/>
  <c r="U1304" i="12"/>
  <c r="T1305" i="12"/>
  <c r="U1305" i="12"/>
  <c r="T1306" i="12"/>
  <c r="U1306" i="12"/>
  <c r="T1307" i="12"/>
  <c r="U1307" i="12"/>
  <c r="T1308" i="12"/>
  <c r="U1308" i="12"/>
  <c r="T1309" i="12"/>
  <c r="U1309" i="12"/>
  <c r="T1310" i="12"/>
  <c r="U1310" i="12"/>
  <c r="T1311" i="12"/>
  <c r="U1311" i="12"/>
  <c r="T1312" i="12"/>
  <c r="U1312" i="12"/>
  <c r="T1313" i="12"/>
  <c r="U1313" i="12"/>
  <c r="T1314" i="12"/>
  <c r="U1314" i="12"/>
  <c r="T1315" i="12"/>
  <c r="U1315" i="12"/>
  <c r="T1316" i="12"/>
  <c r="U1316" i="12"/>
  <c r="T1317" i="12"/>
  <c r="U1317" i="12"/>
  <c r="T1318" i="12"/>
  <c r="U1318" i="12"/>
  <c r="T1319" i="12"/>
  <c r="U1319" i="12"/>
  <c r="T1320" i="12"/>
  <c r="U1320" i="12"/>
  <c r="T1321" i="12"/>
  <c r="U1321" i="12"/>
  <c r="T1322" i="12"/>
  <c r="U1322" i="12"/>
  <c r="T1323" i="12"/>
  <c r="U1323" i="12"/>
  <c r="T1324" i="12"/>
  <c r="U1324" i="12"/>
  <c r="T1325" i="12"/>
  <c r="U1325" i="12"/>
  <c r="T1326" i="12"/>
  <c r="U1326" i="12"/>
  <c r="T1327" i="12"/>
  <c r="U1327" i="12"/>
  <c r="T1328" i="12"/>
  <c r="U1328" i="12"/>
  <c r="T1329" i="12"/>
  <c r="U1329" i="12"/>
  <c r="T1330" i="12"/>
  <c r="U1330" i="12"/>
  <c r="T1331" i="12"/>
  <c r="U1331" i="12"/>
  <c r="T1332" i="12"/>
  <c r="U1332" i="12"/>
  <c r="T1333" i="12"/>
  <c r="U1333" i="12"/>
  <c r="T1334" i="12"/>
  <c r="U1334" i="12"/>
  <c r="T1335" i="12"/>
  <c r="U1335" i="12"/>
  <c r="T1336" i="12"/>
  <c r="U1336" i="12"/>
  <c r="T1337" i="12"/>
  <c r="U1337" i="12"/>
  <c r="T1338" i="12"/>
  <c r="U1338" i="12"/>
  <c r="T1339" i="12"/>
  <c r="U1339" i="12"/>
  <c r="T1340" i="12"/>
  <c r="U1340" i="12"/>
  <c r="T1341" i="12"/>
  <c r="U1341" i="12"/>
  <c r="T1342" i="12"/>
  <c r="U1342" i="12"/>
  <c r="T1343" i="12"/>
  <c r="U1343" i="12"/>
  <c r="T1344" i="12"/>
  <c r="U1344" i="12"/>
  <c r="T1345" i="12"/>
  <c r="U1345" i="12"/>
  <c r="T1346" i="12"/>
  <c r="U1346" i="12"/>
  <c r="T1347" i="12"/>
  <c r="U1347" i="12"/>
  <c r="T1348" i="12"/>
  <c r="U1348" i="12"/>
  <c r="T1349" i="12"/>
  <c r="U1349" i="12"/>
  <c r="T1350" i="12"/>
  <c r="U1350" i="12"/>
  <c r="T1351" i="12"/>
  <c r="U1351" i="12"/>
  <c r="T1352" i="12"/>
  <c r="U1352" i="12"/>
  <c r="T1353" i="12"/>
  <c r="U1353" i="12"/>
  <c r="T1354" i="12"/>
  <c r="U1354" i="12"/>
  <c r="T1355" i="12"/>
  <c r="U1355" i="12"/>
  <c r="T1356" i="12"/>
  <c r="U1356" i="12"/>
  <c r="T1357" i="12"/>
  <c r="U1357" i="12"/>
  <c r="T1358" i="12"/>
  <c r="U1358" i="12"/>
  <c r="T1359" i="12"/>
  <c r="U1359" i="12"/>
  <c r="T1360" i="12"/>
  <c r="U1360" i="12"/>
  <c r="T1361" i="12"/>
  <c r="U1361" i="12"/>
  <c r="T1362" i="12"/>
  <c r="U1362" i="12"/>
  <c r="T1363" i="12"/>
  <c r="U1363" i="12"/>
  <c r="T1364" i="12"/>
  <c r="U1364" i="12"/>
  <c r="T1365" i="12"/>
  <c r="U1365" i="12"/>
  <c r="T1366" i="12"/>
  <c r="U1366" i="12"/>
  <c r="T1367" i="12"/>
  <c r="U1367" i="12"/>
  <c r="T1368" i="12"/>
  <c r="U1368" i="12"/>
  <c r="T1369" i="12"/>
  <c r="U1369" i="12"/>
  <c r="T1370" i="12"/>
  <c r="U1370" i="12"/>
  <c r="T1371" i="12"/>
  <c r="U1371" i="12"/>
  <c r="T1372" i="12"/>
  <c r="U1372" i="12"/>
  <c r="T1373" i="12"/>
  <c r="U1373" i="12"/>
  <c r="T1374" i="12"/>
  <c r="U1374" i="12"/>
  <c r="T1375" i="12"/>
  <c r="U1375" i="12"/>
  <c r="T1376" i="12"/>
  <c r="U1376" i="12"/>
  <c r="T1377" i="12"/>
  <c r="U1377" i="12"/>
  <c r="T1378" i="12"/>
  <c r="U1378" i="12"/>
  <c r="T1379" i="12"/>
  <c r="U1379" i="12"/>
  <c r="T1380" i="12"/>
  <c r="U1380" i="12"/>
  <c r="T1381" i="12"/>
  <c r="U1381" i="12"/>
  <c r="T1382" i="12"/>
  <c r="U1382" i="12"/>
  <c r="T1383" i="12"/>
  <c r="U1383" i="12"/>
  <c r="T1384" i="12"/>
  <c r="U1384" i="12"/>
  <c r="T1385" i="12"/>
  <c r="U1385" i="12"/>
  <c r="T1386" i="12"/>
  <c r="U1386" i="12"/>
  <c r="T1387" i="12"/>
  <c r="U1387" i="12"/>
  <c r="T1388" i="12"/>
  <c r="U1388" i="12"/>
  <c r="T1389" i="12"/>
  <c r="U1389" i="12"/>
  <c r="T1390" i="12"/>
  <c r="U1390" i="12"/>
  <c r="T1391" i="12"/>
  <c r="U1391" i="12"/>
  <c r="T1392" i="12"/>
  <c r="U1392" i="12"/>
  <c r="T1393" i="12"/>
  <c r="U1393" i="12"/>
  <c r="T1394" i="12"/>
  <c r="U1394" i="12"/>
  <c r="T1395" i="12"/>
  <c r="U1395" i="12"/>
  <c r="T1396" i="12"/>
  <c r="U1396" i="12"/>
  <c r="T1397" i="12"/>
  <c r="U1397" i="12"/>
  <c r="T1398" i="12"/>
  <c r="U1398" i="12"/>
  <c r="T1399" i="12"/>
  <c r="U1399" i="12"/>
  <c r="T1400" i="12"/>
  <c r="U1400" i="12"/>
  <c r="T1401" i="12"/>
  <c r="U1401" i="12"/>
  <c r="T1402" i="12"/>
  <c r="U1402" i="12"/>
  <c r="T1403" i="12"/>
  <c r="U1403" i="12"/>
  <c r="T1404" i="12"/>
  <c r="U1404" i="12"/>
  <c r="T1405" i="12"/>
  <c r="U1405" i="12"/>
  <c r="T1406" i="12"/>
  <c r="U1406" i="12"/>
  <c r="T1407" i="12"/>
  <c r="U1407" i="12"/>
  <c r="T1408" i="12"/>
  <c r="U1408" i="12"/>
  <c r="T1409" i="12"/>
  <c r="U1409" i="12"/>
  <c r="T1410" i="12"/>
  <c r="U1410" i="12"/>
  <c r="T1411" i="12"/>
  <c r="U1411" i="12"/>
  <c r="T1412" i="12"/>
  <c r="U1412" i="12"/>
  <c r="T1413" i="12"/>
  <c r="U1413" i="12"/>
  <c r="T1414" i="12"/>
  <c r="U1414" i="12"/>
  <c r="T1415" i="12"/>
  <c r="U1415" i="12"/>
  <c r="T1416" i="12"/>
  <c r="U1416" i="12"/>
  <c r="T1417" i="12"/>
  <c r="U1417" i="12"/>
  <c r="T1418" i="12"/>
  <c r="U1418" i="12"/>
  <c r="T1419" i="12"/>
  <c r="U1419" i="12"/>
  <c r="T1420" i="12"/>
  <c r="U1420" i="12"/>
  <c r="T1421" i="12"/>
  <c r="U1421" i="12"/>
  <c r="T1422" i="12"/>
  <c r="U1422" i="12"/>
  <c r="T1423" i="12"/>
  <c r="U1423" i="12"/>
  <c r="T1424" i="12"/>
  <c r="U1424" i="12"/>
  <c r="T1425" i="12"/>
  <c r="U1425" i="12"/>
  <c r="T1426" i="12"/>
  <c r="U1426" i="12"/>
  <c r="T1427" i="12"/>
  <c r="U1427" i="12"/>
  <c r="T1428" i="12"/>
  <c r="U1428" i="12"/>
  <c r="T1429" i="12"/>
  <c r="U1429" i="12"/>
  <c r="T1430" i="12"/>
  <c r="U1430" i="12"/>
  <c r="T1431" i="12"/>
  <c r="U1431" i="12"/>
  <c r="T1432" i="12"/>
  <c r="U1432" i="12"/>
  <c r="T1433" i="12"/>
  <c r="U1433" i="12"/>
  <c r="T1434" i="12"/>
  <c r="U1434" i="12"/>
  <c r="T1435" i="12"/>
  <c r="U1435" i="12"/>
  <c r="T1436" i="12"/>
  <c r="U1436" i="12"/>
  <c r="T1437" i="12"/>
  <c r="U1437" i="12"/>
  <c r="T1438" i="12"/>
  <c r="U1438" i="12"/>
  <c r="T1439" i="12"/>
  <c r="U1439" i="12"/>
  <c r="T1440" i="12"/>
  <c r="U1440" i="12"/>
  <c r="T1441" i="12"/>
  <c r="U1441" i="12"/>
  <c r="T1442" i="12"/>
  <c r="U1442" i="12"/>
  <c r="T1443" i="12"/>
  <c r="U1443" i="12"/>
  <c r="T1444" i="12"/>
  <c r="U1444" i="12"/>
  <c r="T1445" i="12"/>
  <c r="U1445" i="12"/>
  <c r="T1446" i="12"/>
  <c r="U1446" i="12"/>
  <c r="T1447" i="12"/>
  <c r="U1447" i="12"/>
  <c r="T1448" i="12"/>
  <c r="U1448" i="12"/>
  <c r="T1449" i="12"/>
  <c r="U1449" i="12"/>
  <c r="T1450" i="12"/>
  <c r="U1450" i="12"/>
  <c r="T1451" i="12"/>
  <c r="U1451" i="12"/>
  <c r="T1452" i="12"/>
  <c r="U1452" i="12"/>
  <c r="T1453" i="12"/>
  <c r="U1453" i="12"/>
  <c r="T1454" i="12"/>
  <c r="U1454" i="12"/>
  <c r="T1455" i="12"/>
  <c r="U1455" i="12"/>
  <c r="T1456" i="12"/>
  <c r="U1456" i="12"/>
  <c r="T1457" i="12"/>
  <c r="U1457" i="12"/>
  <c r="T1458" i="12"/>
  <c r="U1458" i="12"/>
  <c r="T1459" i="12"/>
  <c r="U1459" i="12"/>
  <c r="T1460" i="12"/>
  <c r="U1460" i="12"/>
  <c r="T1461" i="12"/>
  <c r="U1461" i="12"/>
  <c r="T1462" i="12"/>
  <c r="U1462" i="12"/>
  <c r="T1463" i="12"/>
  <c r="U1463" i="12"/>
  <c r="T1464" i="12"/>
  <c r="U1464" i="12"/>
  <c r="T1465" i="12"/>
  <c r="U1465" i="12"/>
  <c r="T1466" i="12"/>
  <c r="U1466" i="12"/>
  <c r="T1467" i="12"/>
  <c r="U1467" i="12"/>
  <c r="T1468" i="12"/>
  <c r="U1468" i="12"/>
  <c r="T1469" i="12"/>
  <c r="U1469" i="12"/>
  <c r="T1470" i="12"/>
  <c r="U1470" i="12"/>
  <c r="T1471" i="12"/>
  <c r="U1471" i="12"/>
  <c r="T1472" i="12"/>
  <c r="U1472" i="12"/>
  <c r="T1473" i="12"/>
  <c r="U1473" i="12"/>
  <c r="T1474" i="12"/>
  <c r="U1474" i="12"/>
  <c r="T1475" i="12"/>
  <c r="U1475" i="12"/>
  <c r="T1476" i="12"/>
  <c r="U1476" i="12"/>
  <c r="T1477" i="12"/>
  <c r="U1477" i="12"/>
  <c r="T1478" i="12"/>
  <c r="U1478" i="12"/>
  <c r="T1479" i="12"/>
  <c r="U1479" i="12"/>
  <c r="T1480" i="12"/>
  <c r="U1480" i="12"/>
  <c r="T1481" i="12"/>
  <c r="U1481" i="12"/>
  <c r="T1482" i="12"/>
  <c r="U1482" i="12"/>
  <c r="T1483" i="12"/>
  <c r="U1483" i="12"/>
  <c r="T1484" i="12"/>
  <c r="U1484" i="12"/>
  <c r="T1485" i="12"/>
  <c r="U1485" i="12"/>
  <c r="T1486" i="12"/>
  <c r="U1486" i="12"/>
  <c r="T1487" i="12"/>
  <c r="U1487" i="12"/>
  <c r="T1488" i="12"/>
  <c r="U1488" i="12"/>
  <c r="T1489" i="12"/>
  <c r="U1489" i="12"/>
  <c r="T1490" i="12"/>
  <c r="U1490" i="12"/>
  <c r="T1491" i="12"/>
  <c r="U1491" i="12"/>
  <c r="T1492" i="12"/>
  <c r="U1492" i="12"/>
  <c r="T1493" i="12"/>
  <c r="U1493" i="12"/>
  <c r="T1494" i="12"/>
  <c r="U1494" i="12"/>
  <c r="T1495" i="12"/>
  <c r="U1495" i="12"/>
  <c r="T1496" i="12"/>
  <c r="U1496" i="12"/>
  <c r="T1497" i="12"/>
  <c r="U1497" i="12"/>
  <c r="T1498" i="12"/>
  <c r="U1498" i="12"/>
  <c r="T1499" i="12"/>
  <c r="U1499" i="12"/>
  <c r="T1500" i="12"/>
  <c r="U1500" i="12"/>
  <c r="T1501" i="12"/>
  <c r="U1501" i="12"/>
  <c r="T1502" i="12"/>
  <c r="U1502" i="12"/>
  <c r="T1503" i="12"/>
  <c r="U1503" i="12"/>
  <c r="T1504" i="12"/>
  <c r="U1504" i="12"/>
  <c r="T1505" i="12"/>
  <c r="U1505" i="12"/>
  <c r="T1506" i="12"/>
  <c r="U1506" i="12"/>
  <c r="T1507" i="12"/>
  <c r="U1507" i="12"/>
  <c r="T1508" i="12"/>
  <c r="U1508" i="12"/>
  <c r="T1509" i="12"/>
  <c r="U1509" i="12"/>
  <c r="T1510" i="12"/>
  <c r="U1510" i="12"/>
  <c r="T1511" i="12"/>
  <c r="U1511" i="12"/>
  <c r="T1512" i="12"/>
  <c r="U1512" i="12"/>
  <c r="T1513" i="12"/>
  <c r="U1513" i="12"/>
  <c r="T1514" i="12"/>
  <c r="U1514" i="12"/>
  <c r="T1515" i="12"/>
  <c r="U1515" i="12"/>
  <c r="T1516" i="12"/>
  <c r="U1516" i="12"/>
  <c r="T1517" i="12"/>
  <c r="U1517" i="12"/>
  <c r="T1518" i="12"/>
  <c r="U1518" i="12"/>
  <c r="T1519" i="12"/>
  <c r="U1519" i="12"/>
  <c r="T1520" i="12"/>
  <c r="U1520" i="12"/>
  <c r="T1521" i="12"/>
  <c r="U1521" i="12"/>
  <c r="T1522" i="12"/>
  <c r="U1522" i="12"/>
  <c r="T1523" i="12"/>
  <c r="U1523" i="12"/>
  <c r="T1524" i="12"/>
  <c r="U1524" i="12"/>
  <c r="T1525" i="12"/>
  <c r="U1525" i="12"/>
  <c r="T1526" i="12"/>
  <c r="U1526" i="12"/>
  <c r="T1527" i="12"/>
  <c r="U1527" i="12"/>
  <c r="T1528" i="12"/>
  <c r="U1528" i="12"/>
  <c r="T1529" i="12"/>
  <c r="U1529" i="12"/>
  <c r="T1530" i="12"/>
  <c r="U1530" i="12"/>
  <c r="T1531" i="12"/>
  <c r="U1531" i="12"/>
  <c r="T1532" i="12"/>
  <c r="U1532" i="12"/>
  <c r="T1533" i="12"/>
  <c r="U1533" i="12"/>
  <c r="T1534" i="12"/>
  <c r="U1534" i="12"/>
  <c r="T1535" i="12"/>
  <c r="U1535" i="12"/>
  <c r="T1536" i="12"/>
  <c r="U1536" i="12"/>
  <c r="T1537" i="12"/>
  <c r="U1537" i="12"/>
  <c r="T1538" i="12"/>
  <c r="U1538" i="12"/>
  <c r="T1539" i="12"/>
  <c r="U1539" i="12"/>
  <c r="T1540" i="12"/>
  <c r="U1540" i="12"/>
  <c r="T1541" i="12"/>
  <c r="U1541" i="12"/>
  <c r="T1542" i="12"/>
  <c r="U1542" i="12"/>
  <c r="T1543" i="12"/>
  <c r="U1543" i="12"/>
  <c r="T1544" i="12"/>
  <c r="U1544" i="12"/>
  <c r="T1545" i="12"/>
  <c r="U1545" i="12"/>
  <c r="T1546" i="12"/>
  <c r="U1546" i="12"/>
  <c r="T1547" i="12"/>
  <c r="U1547" i="12"/>
  <c r="T1548" i="12"/>
  <c r="U1548" i="12"/>
  <c r="T1549" i="12"/>
  <c r="U1549" i="12"/>
  <c r="T1550" i="12"/>
  <c r="U1550" i="12"/>
  <c r="T1551" i="12"/>
  <c r="U1551" i="12"/>
  <c r="T1552" i="12"/>
  <c r="U1552" i="12"/>
  <c r="T1553" i="12"/>
  <c r="U1553" i="12"/>
  <c r="T1554" i="12"/>
  <c r="U1554" i="12"/>
  <c r="T1555" i="12"/>
  <c r="U1555" i="12"/>
  <c r="T1556" i="12"/>
  <c r="U1556" i="12"/>
  <c r="T1557" i="12"/>
  <c r="U1557" i="12"/>
  <c r="T1558" i="12"/>
  <c r="U1558" i="12"/>
  <c r="T1559" i="12"/>
  <c r="U1559" i="12"/>
  <c r="T1560" i="12"/>
  <c r="U1560" i="12"/>
  <c r="T1561" i="12"/>
  <c r="U1561" i="12"/>
  <c r="T1562" i="12"/>
  <c r="U1562" i="12"/>
  <c r="T1563" i="12"/>
  <c r="U1563" i="12"/>
  <c r="T1564" i="12"/>
  <c r="U1564" i="12"/>
  <c r="T1565" i="12"/>
  <c r="U1565" i="12"/>
  <c r="T1566" i="12"/>
  <c r="U1566" i="12"/>
  <c r="T1567" i="12"/>
  <c r="U1567" i="12"/>
  <c r="T1568" i="12"/>
  <c r="U1568" i="12"/>
  <c r="T1569" i="12"/>
  <c r="U1569" i="12"/>
  <c r="T1570" i="12"/>
  <c r="U1570" i="12"/>
  <c r="T1571" i="12"/>
  <c r="U1571" i="12"/>
  <c r="T1572" i="12"/>
  <c r="U1572" i="12"/>
  <c r="T1573" i="12"/>
  <c r="U1573" i="12"/>
  <c r="T1574" i="12"/>
  <c r="U1574" i="12"/>
  <c r="T1575" i="12"/>
  <c r="U1575" i="12"/>
  <c r="T1576" i="12"/>
  <c r="U1576" i="12"/>
  <c r="T1577" i="12"/>
  <c r="U1577" i="12"/>
  <c r="T1578" i="12"/>
  <c r="U1578" i="12"/>
  <c r="T1579" i="12"/>
  <c r="U1579" i="12"/>
  <c r="T1580" i="12"/>
  <c r="U1580" i="12"/>
  <c r="T1581" i="12"/>
  <c r="U1581" i="12"/>
  <c r="T1582" i="12"/>
  <c r="U1582" i="12"/>
  <c r="T1583" i="12"/>
  <c r="U1583" i="12"/>
  <c r="T1584" i="12"/>
  <c r="U1584" i="12"/>
  <c r="T1585" i="12"/>
  <c r="U1585" i="12"/>
  <c r="T1586" i="12"/>
  <c r="U1586" i="12"/>
  <c r="T1587" i="12"/>
  <c r="U1587" i="12"/>
  <c r="T1588" i="12"/>
  <c r="U1588" i="12"/>
  <c r="T1589" i="12"/>
  <c r="U1589" i="12"/>
  <c r="T1590" i="12"/>
  <c r="U1590" i="12"/>
  <c r="T1591" i="12"/>
  <c r="U1591" i="12"/>
  <c r="T1592" i="12"/>
  <c r="U1592" i="12"/>
  <c r="T1593" i="12"/>
  <c r="U1593" i="12"/>
  <c r="T1594" i="12"/>
  <c r="U1594" i="12"/>
  <c r="T1595" i="12"/>
  <c r="U1595" i="12"/>
  <c r="T1596" i="12"/>
  <c r="U1596" i="12"/>
  <c r="T1597" i="12"/>
  <c r="U1597" i="12"/>
  <c r="T1598" i="12"/>
  <c r="U1598" i="12"/>
  <c r="T1599" i="12"/>
  <c r="U1599" i="12"/>
  <c r="T1600" i="12"/>
  <c r="U1600" i="12"/>
  <c r="T1601" i="12"/>
  <c r="U1601" i="12"/>
  <c r="T1602" i="12"/>
  <c r="U1602" i="12"/>
  <c r="T1603" i="12"/>
  <c r="U1603" i="12"/>
  <c r="T1604" i="12"/>
  <c r="U1604" i="12"/>
  <c r="T1605" i="12"/>
  <c r="U1605" i="12"/>
  <c r="T1606" i="12"/>
  <c r="U1606" i="12"/>
  <c r="T1607" i="12"/>
  <c r="U1607" i="12"/>
  <c r="T1608" i="12"/>
  <c r="U1608" i="12"/>
  <c r="T1609" i="12"/>
  <c r="U1609" i="12"/>
  <c r="T1610" i="12"/>
  <c r="U1610" i="12"/>
  <c r="T1611" i="12"/>
  <c r="U1611" i="12"/>
  <c r="T1612" i="12"/>
  <c r="U1612" i="12"/>
  <c r="T1613" i="12"/>
  <c r="U1613" i="12"/>
  <c r="T1614" i="12"/>
  <c r="U1614" i="12"/>
  <c r="T1615" i="12"/>
  <c r="U1615" i="12"/>
  <c r="T1616" i="12"/>
  <c r="U1616" i="12"/>
  <c r="T1617" i="12"/>
  <c r="U1617" i="12"/>
  <c r="T1618" i="12"/>
  <c r="U1618" i="12"/>
  <c r="T1619" i="12"/>
  <c r="U1619" i="12"/>
  <c r="T1620" i="12"/>
  <c r="U1620" i="12"/>
  <c r="T1621" i="12"/>
  <c r="U1621" i="12"/>
  <c r="T1622" i="12"/>
  <c r="U1622" i="12"/>
  <c r="T1623" i="12"/>
  <c r="U1623" i="12"/>
  <c r="T1624" i="12"/>
  <c r="U1624" i="12"/>
  <c r="T1625" i="12"/>
  <c r="U1625" i="12"/>
  <c r="T1626" i="12"/>
  <c r="U1626" i="12"/>
  <c r="T1627" i="12"/>
  <c r="U1627" i="12"/>
  <c r="T1628" i="12"/>
  <c r="U1628" i="12"/>
  <c r="T1629" i="12"/>
  <c r="U1629" i="12"/>
  <c r="T1630" i="12"/>
  <c r="U1630" i="12"/>
  <c r="T1631" i="12"/>
  <c r="U1631" i="12"/>
  <c r="T1632" i="12"/>
  <c r="U1632" i="12"/>
  <c r="T1633" i="12"/>
  <c r="U1633" i="12"/>
  <c r="T1634" i="12"/>
  <c r="U1634" i="12"/>
  <c r="T1635" i="12"/>
  <c r="U1635" i="12"/>
  <c r="T1636" i="12"/>
  <c r="U1636" i="12"/>
  <c r="T1637" i="12"/>
  <c r="U1637" i="12"/>
  <c r="T1638" i="12"/>
  <c r="U1638" i="12"/>
  <c r="T1639" i="12"/>
  <c r="U1639" i="12"/>
  <c r="T1640" i="12"/>
  <c r="U1640" i="12"/>
  <c r="T1641" i="12"/>
  <c r="U1641" i="12"/>
  <c r="T1642" i="12"/>
  <c r="U1642" i="12"/>
  <c r="T1643" i="12"/>
  <c r="U1643" i="12"/>
  <c r="T1644" i="12"/>
  <c r="U1644" i="12"/>
  <c r="T1645" i="12"/>
  <c r="U1645" i="12"/>
  <c r="T1646" i="12"/>
  <c r="U1646" i="12"/>
  <c r="T1647" i="12"/>
  <c r="U1647" i="12"/>
  <c r="T1648" i="12"/>
  <c r="U1648" i="12"/>
  <c r="T1649" i="12"/>
  <c r="U1649" i="12"/>
  <c r="T1650" i="12"/>
  <c r="U1650" i="12"/>
  <c r="T1651" i="12"/>
  <c r="U1651" i="12"/>
  <c r="T1652" i="12"/>
  <c r="U1652" i="12"/>
  <c r="T1653" i="12"/>
  <c r="U1653" i="12"/>
  <c r="T1654" i="12"/>
  <c r="U1654" i="12"/>
  <c r="T1655" i="12"/>
  <c r="U1655" i="12"/>
  <c r="T1656" i="12"/>
  <c r="U1656" i="12"/>
  <c r="T1657" i="12"/>
  <c r="U1657" i="12"/>
  <c r="T1658" i="12"/>
  <c r="U1658" i="12"/>
  <c r="T1659" i="12"/>
  <c r="U1659" i="12"/>
  <c r="T1660" i="12"/>
  <c r="U1660" i="12"/>
  <c r="T1661" i="12"/>
  <c r="U1661" i="12"/>
  <c r="T1662" i="12"/>
  <c r="U1662" i="12"/>
  <c r="T1663" i="12"/>
  <c r="U1663" i="12"/>
  <c r="T1664" i="12"/>
  <c r="U1664" i="12"/>
  <c r="T1665" i="12"/>
  <c r="U1665" i="12"/>
  <c r="T1666" i="12"/>
  <c r="U1666" i="12"/>
  <c r="T1667" i="12"/>
  <c r="U1667" i="12"/>
  <c r="T1668" i="12"/>
  <c r="U1668" i="12"/>
  <c r="T1669" i="12"/>
  <c r="U1669" i="12"/>
  <c r="T1670" i="12"/>
  <c r="U1670" i="12"/>
  <c r="T1671" i="12"/>
  <c r="U1671" i="12"/>
  <c r="T1672" i="12"/>
  <c r="U1672" i="12"/>
  <c r="T1673" i="12"/>
  <c r="U1673" i="12"/>
  <c r="T1674" i="12"/>
  <c r="U1674" i="12"/>
  <c r="T1675" i="12"/>
  <c r="U1675" i="12"/>
  <c r="T1676" i="12"/>
  <c r="U1676" i="12"/>
  <c r="T1677" i="12"/>
  <c r="U1677" i="12"/>
  <c r="T1678" i="12"/>
  <c r="U1678" i="12"/>
  <c r="T1679" i="12"/>
  <c r="U1679" i="12"/>
  <c r="T1680" i="12"/>
  <c r="U1680" i="12"/>
  <c r="T1681" i="12"/>
  <c r="U1681" i="12"/>
  <c r="T1682" i="12"/>
  <c r="U1682" i="12"/>
  <c r="T1683" i="12"/>
  <c r="U1683" i="12"/>
  <c r="T1684" i="12"/>
  <c r="U1684" i="12"/>
  <c r="T1685" i="12"/>
  <c r="U1685" i="12"/>
  <c r="T1686" i="12"/>
  <c r="U1686" i="12"/>
  <c r="T1687" i="12"/>
  <c r="U1687" i="12"/>
  <c r="T1688" i="12"/>
  <c r="U1688" i="12"/>
  <c r="T1689" i="12"/>
  <c r="U1689" i="12"/>
  <c r="T1690" i="12"/>
  <c r="U1690" i="12"/>
  <c r="T1691" i="12"/>
  <c r="U1691" i="12"/>
  <c r="T1692" i="12"/>
  <c r="U1692" i="12"/>
  <c r="T1693" i="12"/>
  <c r="U1693" i="12"/>
  <c r="T1694" i="12"/>
  <c r="U1694" i="12"/>
  <c r="T1695" i="12"/>
  <c r="U1695" i="12"/>
  <c r="T1696" i="12"/>
  <c r="U1696" i="12"/>
  <c r="T1697" i="12"/>
  <c r="U1697" i="12"/>
  <c r="T1698" i="12"/>
  <c r="U1698" i="12"/>
  <c r="T1699" i="12"/>
  <c r="U1699" i="12"/>
  <c r="T1700" i="12"/>
  <c r="U1700" i="12"/>
  <c r="T1701" i="12"/>
  <c r="U1701" i="12"/>
  <c r="T1702" i="12"/>
  <c r="U1702" i="12"/>
  <c r="T1703" i="12"/>
  <c r="U1703" i="12"/>
  <c r="T1704" i="12"/>
  <c r="U1704" i="12"/>
  <c r="T1705" i="12"/>
  <c r="U1705" i="12"/>
  <c r="T1706" i="12"/>
  <c r="U1706" i="12"/>
  <c r="T1707" i="12"/>
  <c r="U1707" i="12"/>
  <c r="T1708" i="12"/>
  <c r="U1708" i="12"/>
  <c r="T1709" i="12"/>
  <c r="U1709" i="12"/>
  <c r="T1710" i="12"/>
  <c r="U1710" i="12"/>
  <c r="T1711" i="12"/>
  <c r="U1711" i="12"/>
  <c r="T1712" i="12"/>
  <c r="U1712" i="12"/>
  <c r="T1713" i="12"/>
  <c r="U1713" i="12"/>
  <c r="T1714" i="12"/>
  <c r="U1714" i="12"/>
  <c r="T1715" i="12"/>
  <c r="U1715" i="12"/>
  <c r="T1716" i="12"/>
  <c r="U1716" i="12"/>
  <c r="T1717" i="12"/>
  <c r="U1717" i="12"/>
  <c r="T1718" i="12"/>
  <c r="U1718" i="12"/>
  <c r="T1719" i="12"/>
  <c r="U1719" i="12"/>
  <c r="T1720" i="12"/>
  <c r="U1720" i="12"/>
  <c r="T1721" i="12"/>
  <c r="U1721" i="12"/>
  <c r="T1722" i="12"/>
  <c r="U1722" i="12"/>
  <c r="T1723" i="12"/>
  <c r="U1723" i="12"/>
  <c r="T1724" i="12"/>
  <c r="U1724" i="12"/>
  <c r="T1725" i="12"/>
  <c r="U1725" i="12"/>
  <c r="T1726" i="12"/>
  <c r="U1726" i="12"/>
  <c r="T1727" i="12"/>
  <c r="U1727" i="12"/>
  <c r="T1728" i="12"/>
  <c r="U1728" i="12"/>
  <c r="T1729" i="12"/>
  <c r="U1729" i="12"/>
  <c r="T1730" i="12"/>
  <c r="U1730" i="12"/>
  <c r="T1731" i="12"/>
  <c r="U1731" i="12"/>
  <c r="T1732" i="12"/>
  <c r="U1732" i="12"/>
  <c r="T1733" i="12"/>
  <c r="U1733" i="12"/>
  <c r="T1734" i="12"/>
  <c r="U1734" i="12"/>
  <c r="T1735" i="12"/>
  <c r="U1735" i="12"/>
  <c r="T1736" i="12"/>
  <c r="U1736" i="12"/>
  <c r="T1737" i="12"/>
  <c r="U1737" i="12"/>
  <c r="T1738" i="12"/>
  <c r="U1738" i="12"/>
  <c r="T1739" i="12"/>
  <c r="U1739" i="12"/>
  <c r="T1740" i="12"/>
  <c r="U1740" i="12"/>
  <c r="T1741" i="12"/>
  <c r="U1741" i="12"/>
  <c r="T1742" i="12"/>
  <c r="U1742" i="12"/>
  <c r="T1743" i="12"/>
  <c r="U1743" i="12"/>
  <c r="T1744" i="12"/>
  <c r="U1744" i="12"/>
  <c r="T1745" i="12"/>
  <c r="U1745" i="12"/>
  <c r="T1746" i="12"/>
  <c r="U1746" i="12"/>
  <c r="T1747" i="12"/>
  <c r="U1747" i="12"/>
  <c r="T1748" i="12"/>
  <c r="U1748" i="12"/>
  <c r="T1749" i="12"/>
  <c r="U1749" i="12"/>
  <c r="T1750" i="12"/>
  <c r="U1750" i="12"/>
  <c r="T1751" i="12"/>
  <c r="U1751" i="12"/>
  <c r="T1752" i="12"/>
  <c r="U1752" i="12"/>
  <c r="T1753" i="12"/>
  <c r="U1753" i="12"/>
  <c r="T1754" i="12"/>
  <c r="U1754" i="12"/>
  <c r="T1755" i="12"/>
  <c r="U1755" i="12"/>
  <c r="T1756" i="12"/>
  <c r="U1756" i="12"/>
  <c r="T1757" i="12"/>
  <c r="U1757" i="12"/>
  <c r="T1758" i="12"/>
  <c r="U1758" i="12"/>
  <c r="T1759" i="12"/>
  <c r="U1759" i="12"/>
  <c r="T1760" i="12"/>
  <c r="U1760" i="12"/>
  <c r="T1761" i="12"/>
  <c r="U1761" i="12"/>
  <c r="T1762" i="12"/>
  <c r="U1762" i="12"/>
  <c r="T1763" i="12"/>
  <c r="U1763" i="12"/>
  <c r="T1764" i="12"/>
  <c r="U1764" i="12"/>
  <c r="T1765" i="12"/>
  <c r="U1765" i="12"/>
  <c r="T1766" i="12"/>
  <c r="U1766" i="12"/>
  <c r="T1767" i="12"/>
  <c r="U1767" i="12"/>
  <c r="T1768" i="12"/>
  <c r="U1768" i="12"/>
  <c r="T1769" i="12"/>
  <c r="U1769" i="12"/>
  <c r="T1770" i="12"/>
  <c r="U1770" i="12"/>
  <c r="T1771" i="12"/>
  <c r="U1771" i="12"/>
  <c r="T1772" i="12"/>
  <c r="U1772" i="12"/>
  <c r="T1773" i="12"/>
  <c r="U1773" i="12"/>
  <c r="T1774" i="12"/>
  <c r="U1774" i="12"/>
  <c r="T1775" i="12"/>
  <c r="U1775" i="12"/>
  <c r="T1776" i="12"/>
  <c r="U1776" i="12"/>
  <c r="T1777" i="12"/>
  <c r="U1777" i="12"/>
  <c r="T1778" i="12"/>
  <c r="U1778" i="12"/>
  <c r="T1779" i="12"/>
  <c r="U1779" i="12"/>
  <c r="T1780" i="12"/>
  <c r="U1780" i="12"/>
  <c r="T1781" i="12"/>
  <c r="U1781" i="12"/>
  <c r="T1782" i="12"/>
  <c r="U1782" i="12"/>
  <c r="T1783" i="12"/>
  <c r="U1783" i="12"/>
  <c r="T1784" i="12"/>
  <c r="U1784" i="12"/>
  <c r="T1785" i="12"/>
  <c r="U1785" i="12"/>
  <c r="T1786" i="12"/>
  <c r="U1786" i="12"/>
  <c r="T1787" i="12"/>
  <c r="U1787" i="12"/>
  <c r="T1788" i="12"/>
  <c r="U1788" i="12"/>
  <c r="T1789" i="12"/>
  <c r="U1789" i="12"/>
  <c r="T1790" i="12"/>
  <c r="U1790" i="12"/>
  <c r="T1791" i="12"/>
  <c r="U1791" i="12"/>
  <c r="T1792" i="12"/>
  <c r="U1792" i="12"/>
  <c r="T1793" i="12"/>
  <c r="U1793" i="12"/>
  <c r="T1794" i="12"/>
  <c r="U1794" i="12"/>
  <c r="T1795" i="12"/>
  <c r="U1795" i="12"/>
  <c r="T1796" i="12"/>
  <c r="U1796" i="12"/>
  <c r="T1797" i="12"/>
  <c r="U1797" i="12"/>
  <c r="T1798" i="12"/>
  <c r="U1798" i="12"/>
  <c r="T1799" i="12"/>
  <c r="U1799" i="12"/>
  <c r="T1800" i="12"/>
  <c r="U1800" i="12"/>
  <c r="T1801" i="12"/>
  <c r="U1801" i="12"/>
  <c r="T1802" i="12"/>
  <c r="U1802" i="12"/>
  <c r="T1803" i="12"/>
  <c r="U1803" i="12"/>
  <c r="T1804" i="12"/>
  <c r="U1804" i="12"/>
  <c r="T1805" i="12"/>
  <c r="U1805" i="12"/>
  <c r="T1806" i="12"/>
  <c r="U1806" i="12"/>
  <c r="T1807" i="12"/>
  <c r="U1807" i="12"/>
  <c r="T1808" i="12"/>
  <c r="U1808" i="12"/>
  <c r="T1809" i="12"/>
  <c r="U1809" i="12"/>
  <c r="T1810" i="12"/>
  <c r="U1810" i="12"/>
  <c r="T1811" i="12"/>
  <c r="U1811" i="12"/>
  <c r="T1812" i="12"/>
  <c r="U1812" i="12"/>
  <c r="T1813" i="12"/>
  <c r="U1813" i="12"/>
  <c r="T1814" i="12"/>
  <c r="U1814" i="12"/>
  <c r="T1815" i="12"/>
  <c r="U1815" i="12"/>
  <c r="T1816" i="12"/>
  <c r="U1816" i="12"/>
  <c r="T1817" i="12"/>
  <c r="U1817" i="12"/>
  <c r="T1818" i="12"/>
  <c r="U1818" i="12"/>
  <c r="T1819" i="12"/>
  <c r="U1819" i="12"/>
  <c r="T1820" i="12"/>
  <c r="U1820" i="12"/>
  <c r="T1821" i="12"/>
  <c r="U1821" i="12"/>
  <c r="T1822" i="12"/>
  <c r="U1822" i="12"/>
  <c r="T1823" i="12"/>
  <c r="U1823" i="12"/>
  <c r="T1824" i="12"/>
  <c r="U1824" i="12"/>
  <c r="T1825" i="12"/>
  <c r="U1825" i="12"/>
  <c r="T1826" i="12"/>
  <c r="U1826" i="12"/>
  <c r="T1827" i="12"/>
  <c r="U1827" i="12"/>
  <c r="T1828" i="12"/>
  <c r="U1828" i="12"/>
  <c r="T1829" i="12"/>
  <c r="U1829" i="12"/>
  <c r="T1830" i="12"/>
  <c r="U1830" i="12"/>
  <c r="T1831" i="12"/>
  <c r="U1831" i="12"/>
  <c r="T1832" i="12"/>
  <c r="U1832" i="12"/>
  <c r="T1833" i="12"/>
  <c r="U1833" i="12"/>
  <c r="T1834" i="12"/>
  <c r="U1834" i="12"/>
  <c r="T1835" i="12"/>
  <c r="U1835" i="12"/>
  <c r="T1836" i="12"/>
  <c r="U1836" i="12"/>
  <c r="T1837" i="12"/>
  <c r="U1837" i="12"/>
  <c r="T1838" i="12"/>
  <c r="U1838" i="12"/>
  <c r="T1839" i="12"/>
  <c r="U1839" i="12"/>
  <c r="T1840" i="12"/>
  <c r="U1840" i="12"/>
  <c r="T1841" i="12"/>
  <c r="U1841" i="12"/>
  <c r="T1842" i="12"/>
  <c r="U1842" i="12"/>
  <c r="T1843" i="12"/>
  <c r="U1843" i="12"/>
  <c r="T1844" i="12"/>
  <c r="U1844" i="12"/>
  <c r="T1845" i="12"/>
  <c r="U1845" i="12"/>
  <c r="T1846" i="12"/>
  <c r="U1846" i="12"/>
  <c r="T1847" i="12"/>
  <c r="U1847" i="12"/>
  <c r="T1848" i="12"/>
  <c r="U1848" i="12"/>
  <c r="T1849" i="12"/>
  <c r="U1849" i="12"/>
  <c r="T1850" i="12"/>
  <c r="U1850" i="12"/>
  <c r="T1851" i="12"/>
  <c r="U1851" i="12"/>
  <c r="T1852" i="12"/>
  <c r="U1852" i="12"/>
  <c r="T1853" i="12"/>
  <c r="U1853" i="12"/>
  <c r="T1854" i="12"/>
  <c r="U1854" i="12"/>
  <c r="T1855" i="12"/>
  <c r="U1855" i="12"/>
  <c r="T1856" i="12"/>
  <c r="U1856" i="12"/>
  <c r="T1857" i="12"/>
  <c r="U1857" i="12"/>
  <c r="T1858" i="12"/>
  <c r="U1858" i="12"/>
  <c r="T1859" i="12"/>
  <c r="U1859" i="12"/>
  <c r="T1860" i="12"/>
  <c r="U1860" i="12"/>
  <c r="T1861" i="12"/>
  <c r="U1861" i="12"/>
  <c r="T1862" i="12"/>
  <c r="U1862" i="12"/>
  <c r="T1863" i="12"/>
  <c r="U1863" i="12"/>
  <c r="T1864" i="12"/>
  <c r="U1864" i="12"/>
  <c r="T1865" i="12"/>
  <c r="U1865" i="12"/>
  <c r="T1866" i="12"/>
  <c r="U1866" i="12"/>
  <c r="T1867" i="12"/>
  <c r="U1867" i="12"/>
  <c r="T1868" i="12"/>
  <c r="U1868" i="12"/>
  <c r="T1869" i="12"/>
  <c r="U1869" i="12"/>
  <c r="T1870" i="12"/>
  <c r="U1870" i="12"/>
  <c r="T1871" i="12"/>
  <c r="U1871" i="12"/>
  <c r="T1872" i="12"/>
  <c r="U1872" i="12"/>
  <c r="T1873" i="12"/>
  <c r="U1873" i="12"/>
  <c r="T1874" i="12"/>
  <c r="U1874" i="12"/>
  <c r="T1875" i="12"/>
  <c r="U1875" i="12"/>
  <c r="T1876" i="12"/>
  <c r="U1876" i="12"/>
  <c r="T1877" i="12"/>
  <c r="U1877" i="12"/>
  <c r="T1878" i="12"/>
  <c r="U1878" i="12"/>
  <c r="T1879" i="12"/>
  <c r="U1879" i="12"/>
  <c r="T1880" i="12"/>
  <c r="U1880" i="12"/>
  <c r="T1881" i="12"/>
  <c r="U1881" i="12"/>
  <c r="T1882" i="12"/>
  <c r="U1882" i="12"/>
  <c r="T1883" i="12"/>
  <c r="U1883" i="12"/>
  <c r="T1884" i="12"/>
  <c r="U1884" i="12"/>
  <c r="T1885" i="12"/>
  <c r="U1885" i="12"/>
  <c r="T1886" i="12"/>
  <c r="U1886" i="12"/>
  <c r="T1887" i="12"/>
  <c r="U1887" i="12"/>
  <c r="T1888" i="12"/>
  <c r="U1888" i="12"/>
  <c r="T1889" i="12"/>
  <c r="U1889" i="12"/>
  <c r="T1890" i="12"/>
  <c r="U1890" i="12"/>
  <c r="T1891" i="12"/>
  <c r="U1891" i="12"/>
  <c r="T1892" i="12"/>
  <c r="U1892" i="12"/>
  <c r="T1893" i="12"/>
  <c r="U1893" i="12"/>
  <c r="T1894" i="12"/>
  <c r="U1894" i="12"/>
  <c r="T1895" i="12"/>
  <c r="U1895" i="12"/>
  <c r="T1896" i="12"/>
  <c r="U1896" i="12"/>
  <c r="T1897" i="12"/>
  <c r="U1897" i="12"/>
  <c r="T1898" i="12"/>
  <c r="U1898" i="12"/>
  <c r="T1899" i="12"/>
  <c r="U1899" i="12"/>
  <c r="T1900" i="12"/>
  <c r="U1900" i="12"/>
  <c r="T1901" i="12"/>
  <c r="U1901" i="12"/>
  <c r="T1902" i="12"/>
  <c r="U1902" i="12"/>
  <c r="T1903" i="12"/>
  <c r="U1903" i="12"/>
  <c r="T1904" i="12"/>
  <c r="U1904" i="12"/>
  <c r="T1905" i="12"/>
  <c r="U1905" i="12"/>
  <c r="T1906" i="12"/>
  <c r="U1906" i="12"/>
  <c r="T1907" i="12"/>
  <c r="U1907" i="12"/>
  <c r="T1908" i="12"/>
  <c r="U1908" i="12"/>
  <c r="T1909" i="12"/>
  <c r="U1909" i="12"/>
  <c r="T1910" i="12"/>
  <c r="U1910" i="12"/>
  <c r="T1911" i="12"/>
  <c r="U1911" i="12"/>
  <c r="T1912" i="12"/>
  <c r="U1912" i="12"/>
  <c r="T1913" i="12"/>
  <c r="U1913" i="12"/>
  <c r="T1914" i="12"/>
  <c r="U1914" i="12"/>
  <c r="T1915" i="12"/>
  <c r="U1915" i="12"/>
  <c r="T1916" i="12"/>
  <c r="U1916" i="12"/>
  <c r="T1917" i="12"/>
  <c r="U1917" i="12"/>
  <c r="T1918" i="12"/>
  <c r="U1918" i="12"/>
  <c r="T1919" i="12"/>
  <c r="U1919" i="12"/>
  <c r="T1920" i="12"/>
  <c r="U1920" i="12"/>
  <c r="T1921" i="12"/>
  <c r="U1921" i="12"/>
  <c r="T1922" i="12"/>
  <c r="U1922" i="12"/>
  <c r="T1923" i="12"/>
  <c r="U1923" i="12"/>
  <c r="T1924" i="12"/>
  <c r="U1924" i="12"/>
  <c r="T1925" i="12"/>
  <c r="U1925" i="12"/>
  <c r="T1926" i="12"/>
  <c r="U1926" i="12"/>
  <c r="T1927" i="12"/>
  <c r="U1927" i="12"/>
  <c r="T1928" i="12"/>
  <c r="U1928" i="12"/>
  <c r="T1929" i="12"/>
  <c r="U1929" i="12"/>
  <c r="T1930" i="12"/>
  <c r="U1930" i="12"/>
  <c r="T1931" i="12"/>
  <c r="U1931" i="12"/>
  <c r="T1932" i="12"/>
  <c r="U1932" i="12"/>
  <c r="T1933" i="12"/>
  <c r="U1933" i="12"/>
  <c r="T1934" i="12"/>
  <c r="U1934" i="12"/>
  <c r="T1935" i="12"/>
  <c r="U1935" i="12"/>
  <c r="T1936" i="12"/>
  <c r="U1936" i="12"/>
  <c r="T1937" i="12"/>
  <c r="U1937" i="12"/>
  <c r="T1938" i="12"/>
  <c r="U1938" i="12"/>
  <c r="T1939" i="12"/>
  <c r="U1939" i="12"/>
  <c r="T1940" i="12"/>
  <c r="U1940" i="12"/>
  <c r="T1941" i="12"/>
  <c r="U1941" i="12"/>
  <c r="T1942" i="12"/>
  <c r="U1942" i="12"/>
  <c r="T1943" i="12"/>
  <c r="U1943" i="12"/>
  <c r="T1944" i="12"/>
  <c r="U1944" i="12"/>
  <c r="T1945" i="12"/>
  <c r="U1945" i="12"/>
  <c r="T1946" i="12"/>
  <c r="U1946" i="12"/>
  <c r="T1947" i="12"/>
  <c r="U1947" i="12"/>
  <c r="T1948" i="12"/>
  <c r="U1948" i="12"/>
  <c r="T1949" i="12"/>
  <c r="U1949" i="12"/>
  <c r="T1950" i="12"/>
  <c r="U1950" i="12"/>
  <c r="T1951" i="12"/>
  <c r="U1951" i="12"/>
  <c r="T1952" i="12"/>
  <c r="U1952" i="12"/>
  <c r="T1953" i="12"/>
  <c r="U1953" i="12"/>
  <c r="T1954" i="12"/>
  <c r="U1954" i="12"/>
  <c r="T1955" i="12"/>
  <c r="U1955" i="12"/>
  <c r="T1956" i="12"/>
  <c r="U1956" i="12"/>
  <c r="T1957" i="12"/>
  <c r="U1957" i="12"/>
  <c r="T1958" i="12"/>
  <c r="U1958" i="12"/>
  <c r="T1959" i="12"/>
  <c r="U1959" i="12"/>
  <c r="T1960" i="12"/>
  <c r="U1960" i="12"/>
  <c r="T1961" i="12"/>
  <c r="U1961" i="12"/>
  <c r="T1962" i="12"/>
  <c r="U1962" i="12"/>
  <c r="T1963" i="12"/>
  <c r="U1963" i="12"/>
  <c r="T1964" i="12"/>
  <c r="U1964" i="12"/>
  <c r="T1965" i="12"/>
  <c r="U1965" i="12"/>
  <c r="T1966" i="12"/>
  <c r="U1966" i="12"/>
  <c r="T1967" i="12"/>
  <c r="U1967" i="12"/>
  <c r="T1968" i="12"/>
  <c r="U1968" i="12"/>
  <c r="T1969" i="12"/>
  <c r="U1969" i="12"/>
  <c r="T1970" i="12"/>
  <c r="U1970" i="12"/>
  <c r="T1971" i="12"/>
  <c r="U1971" i="12"/>
  <c r="T1972" i="12"/>
  <c r="U1972" i="12"/>
  <c r="T1973" i="12"/>
  <c r="U1973" i="12"/>
  <c r="T1974" i="12"/>
  <c r="U1974" i="12"/>
  <c r="T1975" i="12"/>
  <c r="U1975" i="12"/>
  <c r="T1976" i="12"/>
  <c r="U1976" i="12"/>
  <c r="T1977" i="12"/>
  <c r="U1977" i="12"/>
  <c r="T1978" i="12"/>
  <c r="U1978" i="12"/>
  <c r="T1979" i="12"/>
  <c r="U1979" i="12"/>
  <c r="T1980" i="12"/>
  <c r="U1980" i="12"/>
  <c r="T1981" i="12"/>
  <c r="U1981" i="12"/>
  <c r="T1982" i="12"/>
  <c r="U1982" i="12"/>
  <c r="T1983" i="12"/>
  <c r="U1983" i="12"/>
  <c r="T1984" i="12"/>
  <c r="U1984" i="12"/>
  <c r="T1985" i="12"/>
  <c r="U1985" i="12"/>
  <c r="T1986" i="12"/>
  <c r="U1986" i="12"/>
  <c r="T1987" i="12"/>
  <c r="U1987" i="12"/>
  <c r="T1988" i="12"/>
  <c r="U1988" i="12"/>
  <c r="T1989" i="12"/>
  <c r="U1989" i="12"/>
  <c r="T1990" i="12"/>
  <c r="U1990" i="12"/>
  <c r="T1991" i="12"/>
  <c r="U1991" i="12"/>
  <c r="T1992" i="12"/>
  <c r="U1992" i="12"/>
  <c r="T1993" i="12"/>
  <c r="U1993" i="12"/>
  <c r="T1994" i="12"/>
  <c r="U1994" i="12"/>
  <c r="T1995" i="12"/>
  <c r="U1995" i="12"/>
  <c r="T1996" i="12"/>
  <c r="U1996" i="12"/>
  <c r="T1997" i="12"/>
  <c r="U1997" i="12"/>
  <c r="T1998" i="12"/>
  <c r="U1998" i="12"/>
  <c r="T1999" i="12"/>
  <c r="U1999" i="12"/>
  <c r="T2000" i="12"/>
  <c r="U2000" i="12"/>
  <c r="T2001" i="12"/>
  <c r="U2001" i="12"/>
  <c r="T2002" i="12"/>
  <c r="U2002" i="12"/>
  <c r="T2003" i="12"/>
  <c r="U2003" i="12"/>
  <c r="T2004" i="12"/>
  <c r="U2004" i="12"/>
  <c r="T2005" i="12"/>
  <c r="U2005" i="12"/>
  <c r="T2006" i="12"/>
  <c r="U2006" i="12"/>
  <c r="T2007" i="12"/>
  <c r="U2007" i="12"/>
  <c r="T2008" i="12"/>
  <c r="U2008" i="12"/>
  <c r="T2009" i="12"/>
  <c r="U2009" i="12"/>
  <c r="T2010" i="12"/>
  <c r="U2010" i="12"/>
  <c r="T2011" i="12"/>
  <c r="U2011" i="12"/>
  <c r="T2012" i="12"/>
  <c r="U2012" i="12"/>
  <c r="T2013" i="12"/>
  <c r="U2013" i="12"/>
  <c r="T2014" i="12"/>
  <c r="U2014" i="12"/>
  <c r="T2015" i="12"/>
  <c r="U2015" i="12"/>
  <c r="T2016" i="12"/>
  <c r="U2016" i="12"/>
  <c r="T2017" i="12"/>
  <c r="U2017" i="12"/>
  <c r="T2018" i="12"/>
  <c r="U2018" i="12"/>
  <c r="T2019" i="12"/>
  <c r="U2019" i="12"/>
  <c r="T2020" i="12"/>
  <c r="U2020" i="12"/>
  <c r="T2021" i="12"/>
  <c r="U2021" i="12"/>
  <c r="T2022" i="12"/>
  <c r="U2022" i="12"/>
  <c r="T2023" i="12"/>
  <c r="U2023" i="12"/>
  <c r="T2024" i="12"/>
  <c r="U2024" i="12"/>
  <c r="T2025" i="12"/>
  <c r="U2025" i="12"/>
  <c r="T2026" i="12"/>
  <c r="U2026" i="12"/>
  <c r="T2027" i="12"/>
  <c r="U2027" i="12"/>
  <c r="T2028" i="12"/>
  <c r="U2028" i="12"/>
  <c r="T2029" i="12"/>
  <c r="U2029" i="12"/>
  <c r="T2030" i="12"/>
  <c r="U2030" i="12"/>
  <c r="T2031" i="12"/>
  <c r="U2031" i="12"/>
  <c r="T2032" i="12"/>
  <c r="U2032" i="12"/>
  <c r="T2033" i="12"/>
  <c r="U2033" i="12"/>
  <c r="T2034" i="12"/>
  <c r="U2034" i="12"/>
  <c r="T2035" i="12"/>
  <c r="U2035" i="12"/>
  <c r="T2036" i="12"/>
  <c r="U2036" i="12"/>
  <c r="T2037" i="12"/>
  <c r="U2037" i="12"/>
  <c r="T2038" i="12"/>
  <c r="U2038" i="12"/>
  <c r="T2039" i="12"/>
  <c r="U2039" i="12"/>
  <c r="T2040" i="12"/>
  <c r="U2040" i="12"/>
  <c r="T2041" i="12"/>
  <c r="U2041" i="12"/>
  <c r="T2042" i="12"/>
  <c r="U2042" i="12"/>
  <c r="T2043" i="12"/>
  <c r="U2043" i="12"/>
  <c r="T2044" i="12"/>
  <c r="U2044" i="12"/>
  <c r="T2045" i="12"/>
  <c r="U2045" i="12"/>
  <c r="T2046" i="12"/>
  <c r="U2046" i="12"/>
  <c r="T2047" i="12"/>
  <c r="U2047" i="12"/>
  <c r="T2048" i="12"/>
  <c r="U2048" i="12"/>
  <c r="T2049" i="12"/>
  <c r="U2049" i="12"/>
  <c r="T2050" i="12"/>
  <c r="U2050" i="12"/>
  <c r="T2051" i="12"/>
  <c r="U2051" i="12"/>
  <c r="T2052" i="12"/>
  <c r="U2052" i="12"/>
  <c r="T2053" i="12"/>
  <c r="U2053" i="12"/>
  <c r="T2054" i="12"/>
  <c r="U2054" i="12"/>
  <c r="T2055" i="12"/>
  <c r="U2055" i="12"/>
  <c r="T2056" i="12"/>
  <c r="U2056" i="12"/>
  <c r="T2057" i="12"/>
  <c r="U2057" i="12"/>
  <c r="T2058" i="12"/>
  <c r="U2058" i="12"/>
  <c r="T2059" i="12"/>
  <c r="U2059" i="12"/>
  <c r="T2060" i="12"/>
  <c r="U2060" i="12"/>
  <c r="T2061" i="12"/>
  <c r="U2061" i="12"/>
  <c r="T2062" i="12"/>
  <c r="U2062" i="12"/>
  <c r="T2063" i="12"/>
  <c r="U2063" i="12"/>
  <c r="T2064" i="12"/>
  <c r="U2064" i="12"/>
  <c r="T2065" i="12"/>
  <c r="U2065" i="12"/>
  <c r="T2066" i="12"/>
  <c r="U2066" i="12"/>
  <c r="T2067" i="12"/>
  <c r="U2067" i="12"/>
  <c r="T2068" i="12"/>
  <c r="U2068" i="12"/>
  <c r="T2069" i="12"/>
  <c r="U2069" i="12"/>
  <c r="T2070" i="12"/>
  <c r="U2070" i="12"/>
  <c r="T2071" i="12"/>
  <c r="U2071" i="12"/>
  <c r="T2072" i="12"/>
  <c r="U2072" i="12"/>
  <c r="T2073" i="12"/>
  <c r="U2073" i="12"/>
  <c r="T2074" i="12"/>
  <c r="U2074" i="12"/>
  <c r="T2075" i="12"/>
  <c r="U2075" i="12"/>
  <c r="T2076" i="12"/>
  <c r="U2076" i="12"/>
  <c r="T2077" i="12"/>
  <c r="U2077" i="12"/>
  <c r="T2078" i="12"/>
  <c r="U2078" i="12"/>
  <c r="T2079" i="12"/>
  <c r="U2079" i="12"/>
  <c r="T2080" i="12"/>
  <c r="U2080" i="12"/>
  <c r="T2081" i="12"/>
  <c r="U2081" i="12"/>
  <c r="T2082" i="12"/>
  <c r="U2082" i="12"/>
  <c r="T2083" i="12"/>
  <c r="U2083" i="12"/>
  <c r="T2084" i="12"/>
  <c r="U2084" i="12"/>
  <c r="T2085" i="12"/>
  <c r="U2085" i="12"/>
  <c r="T2086" i="12"/>
  <c r="U2086" i="12"/>
  <c r="T2087" i="12"/>
  <c r="U2087" i="12"/>
  <c r="T2088" i="12"/>
  <c r="U2088" i="12"/>
  <c r="T2089" i="12"/>
  <c r="U2089" i="12"/>
  <c r="T2090" i="12"/>
  <c r="U2090" i="12"/>
  <c r="T2091" i="12"/>
  <c r="U2091" i="12"/>
  <c r="T2092" i="12"/>
  <c r="U2092" i="12"/>
  <c r="T2093" i="12"/>
  <c r="U2093" i="12"/>
  <c r="T2094" i="12"/>
  <c r="U2094" i="12"/>
  <c r="T2095" i="12"/>
  <c r="U2095" i="12"/>
  <c r="T2096" i="12"/>
  <c r="U2096" i="12"/>
  <c r="T2097" i="12"/>
  <c r="U2097" i="12"/>
  <c r="T2098" i="12"/>
  <c r="U2098" i="12"/>
  <c r="T2099" i="12"/>
  <c r="U2099" i="12"/>
  <c r="T2100" i="12"/>
  <c r="U2100" i="12"/>
  <c r="T2101" i="12"/>
  <c r="U2101" i="12"/>
  <c r="T2102" i="12"/>
  <c r="U2102" i="12"/>
  <c r="T2103" i="12"/>
  <c r="U2103" i="12"/>
  <c r="T2104" i="12"/>
  <c r="U2104" i="12"/>
  <c r="T2105" i="12"/>
  <c r="U2105" i="12"/>
  <c r="T2106" i="12"/>
  <c r="U2106" i="12"/>
  <c r="T2107" i="12"/>
  <c r="U2107" i="12"/>
  <c r="T2108" i="12"/>
  <c r="U2108" i="12"/>
  <c r="T2109" i="12"/>
  <c r="U2109" i="12"/>
  <c r="T2110" i="12"/>
  <c r="U2110" i="12"/>
  <c r="T2111" i="12"/>
  <c r="U2111" i="12"/>
  <c r="T2112" i="12"/>
  <c r="U2112" i="12"/>
  <c r="T2113" i="12"/>
  <c r="U2113" i="12"/>
  <c r="T2114" i="12"/>
  <c r="U2114" i="12"/>
  <c r="T2115" i="12"/>
  <c r="U2115" i="12"/>
  <c r="T2116" i="12"/>
  <c r="U2116" i="12"/>
  <c r="T2117" i="12"/>
  <c r="U2117" i="12"/>
  <c r="T2118" i="12"/>
  <c r="U2118" i="12"/>
  <c r="T2119" i="12"/>
  <c r="U2119" i="12"/>
  <c r="T2120" i="12"/>
  <c r="U2120" i="12"/>
  <c r="T2121" i="12"/>
  <c r="U2121" i="12"/>
  <c r="T2122" i="12"/>
  <c r="U2122" i="12"/>
  <c r="T2123" i="12"/>
  <c r="U2123" i="12"/>
  <c r="T2124" i="12"/>
  <c r="U2124" i="12"/>
  <c r="T2125" i="12"/>
  <c r="U2125" i="12"/>
  <c r="T2126" i="12"/>
  <c r="U2126" i="12"/>
  <c r="T2127" i="12"/>
  <c r="U2127" i="12"/>
  <c r="T2128" i="12"/>
  <c r="U2128" i="12"/>
  <c r="T2129" i="12"/>
  <c r="U2129" i="12"/>
  <c r="T2130" i="12"/>
  <c r="U2130" i="12"/>
  <c r="T2131" i="12"/>
  <c r="U2131" i="12"/>
  <c r="T2132" i="12"/>
  <c r="U2132" i="12"/>
  <c r="T2133" i="12"/>
  <c r="U2133" i="12"/>
  <c r="T2134" i="12"/>
  <c r="U2134" i="12"/>
  <c r="T2135" i="12"/>
  <c r="U2135" i="12"/>
  <c r="T2136" i="12"/>
  <c r="U2136" i="12"/>
  <c r="T2137" i="12"/>
  <c r="U2137" i="12"/>
  <c r="T2138" i="12"/>
  <c r="U2138" i="12"/>
  <c r="T2139" i="12"/>
  <c r="U2139" i="12"/>
  <c r="T2140" i="12"/>
  <c r="U2140" i="12"/>
  <c r="T2141" i="12"/>
  <c r="U2141" i="12"/>
  <c r="T2142" i="12"/>
  <c r="U2142" i="12"/>
  <c r="T2143" i="12"/>
  <c r="U2143" i="12"/>
  <c r="T2144" i="12"/>
  <c r="U2144" i="12"/>
  <c r="T2145" i="12"/>
  <c r="U2145" i="12"/>
  <c r="T2146" i="12"/>
  <c r="U2146" i="12"/>
  <c r="T2147" i="12"/>
  <c r="U2147" i="12"/>
  <c r="T2148" i="12"/>
  <c r="U2148" i="12"/>
  <c r="T2149" i="12"/>
  <c r="U2149" i="12"/>
  <c r="T2150" i="12"/>
  <c r="U2150" i="12"/>
  <c r="T2151" i="12"/>
  <c r="U2151" i="12"/>
  <c r="T2152" i="12"/>
  <c r="U2152" i="12"/>
  <c r="T2153" i="12"/>
  <c r="U2153" i="12"/>
  <c r="T2154" i="12"/>
  <c r="U2154" i="12"/>
  <c r="T2155" i="12"/>
  <c r="U2155" i="12"/>
  <c r="T2156" i="12"/>
  <c r="U2156" i="12"/>
  <c r="T2157" i="12"/>
  <c r="U2157" i="12"/>
  <c r="T2158" i="12"/>
  <c r="U2158" i="12"/>
  <c r="T2159" i="12"/>
  <c r="U2159" i="12"/>
  <c r="T2160" i="12"/>
  <c r="U2160" i="12"/>
  <c r="T2161" i="12"/>
  <c r="U2161" i="12"/>
  <c r="T2162" i="12"/>
  <c r="U2162" i="12"/>
  <c r="T2163" i="12"/>
  <c r="U2163" i="12"/>
  <c r="T2164" i="12"/>
  <c r="U2164" i="12"/>
  <c r="T2165" i="12"/>
  <c r="U2165" i="12"/>
  <c r="T2166" i="12"/>
  <c r="U2166" i="12"/>
  <c r="T2167" i="12"/>
  <c r="U2167" i="12"/>
  <c r="T2168" i="12"/>
  <c r="U2168" i="12"/>
  <c r="T2169" i="12"/>
  <c r="U2169" i="12"/>
  <c r="T2170" i="12"/>
  <c r="U2170" i="12"/>
  <c r="T2171" i="12"/>
  <c r="U2171" i="12"/>
  <c r="T2172" i="12"/>
  <c r="U2172" i="12"/>
  <c r="T2173" i="12"/>
  <c r="U2173" i="12"/>
  <c r="T2174" i="12"/>
  <c r="U2174" i="12"/>
  <c r="T2175" i="12"/>
  <c r="U2175" i="12"/>
  <c r="T2176" i="12"/>
  <c r="U2176" i="12"/>
  <c r="T2177" i="12"/>
  <c r="U2177" i="12"/>
  <c r="T2178" i="12"/>
  <c r="U2178" i="12"/>
  <c r="T2179" i="12"/>
  <c r="U2179" i="12"/>
  <c r="T2180" i="12"/>
  <c r="U2180" i="12"/>
  <c r="T2181" i="12"/>
  <c r="U2181" i="12"/>
  <c r="T2182" i="12"/>
  <c r="U2182" i="12"/>
  <c r="T2183" i="12"/>
  <c r="U2183" i="12"/>
  <c r="T2184" i="12"/>
  <c r="U2184" i="12"/>
  <c r="T2185" i="12"/>
  <c r="U2185" i="12"/>
  <c r="T2186" i="12"/>
  <c r="U2186" i="12"/>
  <c r="T2187" i="12"/>
  <c r="U2187" i="12"/>
  <c r="T2188" i="12"/>
  <c r="U2188" i="12"/>
  <c r="T2189" i="12"/>
  <c r="U2189" i="12"/>
  <c r="T2190" i="12"/>
  <c r="U2190" i="12"/>
  <c r="T2191" i="12"/>
  <c r="U2191" i="12"/>
  <c r="T2192" i="12"/>
  <c r="U2192" i="12"/>
  <c r="T2193" i="12"/>
  <c r="U2193" i="12"/>
  <c r="T2194" i="12"/>
  <c r="U2194" i="12"/>
  <c r="T2195" i="12"/>
  <c r="U2195" i="12"/>
  <c r="T2196" i="12"/>
  <c r="U2196" i="12"/>
  <c r="T2197" i="12"/>
  <c r="U2197" i="12"/>
  <c r="T2198" i="12"/>
  <c r="U2198" i="12"/>
  <c r="T2199" i="12"/>
  <c r="U2199" i="12"/>
  <c r="T2200" i="12"/>
  <c r="U2200" i="12"/>
  <c r="T2201" i="12"/>
  <c r="U2201" i="12"/>
  <c r="T2202" i="12"/>
  <c r="U2202" i="12"/>
  <c r="T2203" i="12"/>
  <c r="U2203" i="12"/>
  <c r="T2204" i="12"/>
  <c r="U2204" i="12"/>
  <c r="T2205" i="12"/>
  <c r="U2205" i="12"/>
  <c r="T2206" i="12"/>
  <c r="U2206" i="12"/>
  <c r="T2207" i="12"/>
  <c r="U2207" i="12"/>
  <c r="T2208" i="12"/>
  <c r="U2208" i="12"/>
  <c r="T2209" i="12"/>
  <c r="U2209" i="12"/>
  <c r="T2210" i="12"/>
  <c r="U2210" i="12"/>
  <c r="T2211" i="12"/>
  <c r="U2211" i="12"/>
  <c r="T2212" i="12"/>
  <c r="U2212" i="12"/>
  <c r="T2213" i="12"/>
  <c r="U2213" i="12"/>
  <c r="T2214" i="12"/>
  <c r="U2214" i="12"/>
  <c r="T2215" i="12"/>
  <c r="U2215" i="12"/>
  <c r="T2216" i="12"/>
  <c r="U2216" i="12"/>
  <c r="T2217" i="12"/>
  <c r="U2217" i="12"/>
  <c r="T2218" i="12"/>
  <c r="U2218" i="12"/>
  <c r="T2219" i="12"/>
  <c r="U2219" i="12"/>
  <c r="T2220" i="12"/>
  <c r="U2220" i="12"/>
  <c r="T2221" i="12"/>
  <c r="U2221" i="12"/>
  <c r="T2222" i="12"/>
  <c r="U2222" i="12"/>
  <c r="T2223" i="12"/>
  <c r="U2223" i="12"/>
  <c r="T2224" i="12"/>
  <c r="U2224" i="12"/>
  <c r="T2225" i="12"/>
  <c r="U2225" i="12"/>
  <c r="T2226" i="12"/>
  <c r="U2226" i="12"/>
  <c r="T2227" i="12"/>
  <c r="U2227" i="12"/>
  <c r="T2228" i="12"/>
  <c r="U2228" i="12"/>
  <c r="T2229" i="12"/>
  <c r="U2229" i="12"/>
  <c r="T2230" i="12"/>
  <c r="U2230" i="12"/>
  <c r="T2231" i="12"/>
  <c r="U2231" i="12"/>
  <c r="T2232" i="12"/>
  <c r="U2232" i="12"/>
  <c r="T2233" i="12"/>
  <c r="U2233" i="12"/>
  <c r="T2234" i="12"/>
  <c r="U2234" i="12"/>
  <c r="T2235" i="12"/>
  <c r="U2235" i="12"/>
  <c r="T2236" i="12"/>
  <c r="U2236" i="12"/>
  <c r="T2237" i="12"/>
  <c r="U2237" i="12"/>
  <c r="T2238" i="12"/>
  <c r="U2238" i="12"/>
  <c r="T2239" i="12"/>
  <c r="U2239" i="12"/>
  <c r="T2240" i="12"/>
  <c r="U2240" i="12"/>
  <c r="T2241" i="12"/>
  <c r="U2241" i="12"/>
  <c r="T2242" i="12"/>
  <c r="U2242" i="12"/>
  <c r="T2243" i="12"/>
  <c r="U2243" i="12"/>
  <c r="T2244" i="12"/>
  <c r="U2244" i="12"/>
  <c r="T2245" i="12"/>
  <c r="U2245" i="12"/>
  <c r="T2246" i="12"/>
  <c r="U2246" i="12"/>
  <c r="T2247" i="12"/>
  <c r="U2247" i="12"/>
  <c r="T2248" i="12"/>
  <c r="U2248" i="12"/>
  <c r="T2249" i="12"/>
  <c r="U2249" i="12"/>
  <c r="T2250" i="12"/>
  <c r="U2250" i="12"/>
  <c r="T2251" i="12"/>
  <c r="U2251" i="12"/>
  <c r="T2252" i="12"/>
  <c r="U2252" i="12"/>
  <c r="T2253" i="12"/>
  <c r="U2253" i="12"/>
  <c r="T2254" i="12"/>
  <c r="U2254" i="12"/>
  <c r="T2255" i="12"/>
  <c r="U2255" i="12"/>
  <c r="T2256" i="12"/>
  <c r="U2256" i="12"/>
  <c r="T2257" i="12"/>
  <c r="U2257" i="12"/>
  <c r="T2258" i="12"/>
  <c r="U2258" i="12"/>
  <c r="T2259" i="12"/>
  <c r="U2259" i="12"/>
  <c r="T2260" i="12"/>
  <c r="U2260" i="12"/>
  <c r="T2261" i="12"/>
  <c r="U2261" i="12"/>
  <c r="T2262" i="12"/>
  <c r="U2262" i="12"/>
  <c r="T2263" i="12"/>
  <c r="U2263" i="12"/>
  <c r="T2264" i="12"/>
  <c r="U2264" i="12"/>
  <c r="T2265" i="12"/>
  <c r="U2265" i="12"/>
  <c r="T2266" i="12"/>
  <c r="U2266" i="12"/>
  <c r="T2267" i="12"/>
  <c r="U2267" i="12"/>
  <c r="T2268" i="12"/>
  <c r="U2268" i="12"/>
  <c r="T2269" i="12"/>
  <c r="U2269" i="12"/>
  <c r="T2270" i="12"/>
  <c r="U2270" i="12"/>
  <c r="T2271" i="12"/>
  <c r="U2271" i="12"/>
  <c r="T2272" i="12"/>
  <c r="U2272" i="12"/>
  <c r="T2273" i="12"/>
  <c r="U2273" i="12"/>
  <c r="T2274" i="12"/>
  <c r="U2274" i="12"/>
  <c r="T2275" i="12"/>
  <c r="U2275" i="12"/>
  <c r="T2276" i="12"/>
  <c r="U2276" i="12"/>
  <c r="T2277" i="12"/>
  <c r="U2277" i="12"/>
  <c r="T2278" i="12"/>
  <c r="U2278" i="12"/>
  <c r="T2279" i="12"/>
  <c r="U2279" i="12"/>
  <c r="T2280" i="12"/>
  <c r="U2280" i="12"/>
  <c r="T2281" i="12"/>
  <c r="U2281" i="12"/>
  <c r="T2282" i="12"/>
  <c r="U2282" i="12"/>
  <c r="T2283" i="12"/>
  <c r="U2283" i="12"/>
  <c r="T2284" i="12"/>
  <c r="U2284" i="12"/>
  <c r="T2285" i="12"/>
  <c r="U2285" i="12"/>
  <c r="T2286" i="12"/>
  <c r="U2286" i="12"/>
  <c r="T2287" i="12"/>
  <c r="U2287" i="12"/>
  <c r="T2288" i="12"/>
  <c r="U2288" i="12"/>
  <c r="T2289" i="12"/>
  <c r="U2289" i="12"/>
  <c r="T2290" i="12"/>
  <c r="U2290" i="12"/>
  <c r="T2291" i="12"/>
  <c r="U2291" i="12"/>
  <c r="T2292" i="12"/>
  <c r="U2292" i="12"/>
  <c r="T2293" i="12"/>
  <c r="U2293" i="12"/>
  <c r="T2294" i="12"/>
  <c r="U2294" i="12"/>
  <c r="T2295" i="12"/>
  <c r="U2295" i="12"/>
  <c r="T2296" i="12"/>
  <c r="U2296" i="12"/>
  <c r="T2297" i="12"/>
  <c r="U2297" i="12"/>
  <c r="T2298" i="12"/>
  <c r="U2298" i="12"/>
  <c r="T2299" i="12"/>
  <c r="U2299" i="12"/>
  <c r="T2300" i="12"/>
  <c r="U2300" i="12"/>
  <c r="T2301" i="12"/>
  <c r="U2301" i="12"/>
  <c r="T2302" i="12"/>
  <c r="U2302" i="12"/>
  <c r="T2303" i="12"/>
  <c r="U2303" i="12"/>
  <c r="T2304" i="12"/>
  <c r="U2304" i="12"/>
  <c r="T2305" i="12"/>
  <c r="U2305" i="12"/>
  <c r="T2306" i="12"/>
  <c r="U2306" i="12"/>
  <c r="T2307" i="12"/>
  <c r="U2307" i="12"/>
  <c r="T2308" i="12"/>
  <c r="U2308" i="12"/>
  <c r="T2309" i="12"/>
  <c r="U2309" i="12"/>
  <c r="T2310" i="12"/>
  <c r="U2310" i="12"/>
  <c r="T2311" i="12"/>
  <c r="U2311" i="12"/>
  <c r="T2312" i="12"/>
  <c r="U2312" i="12"/>
  <c r="T2313" i="12"/>
  <c r="U2313" i="12"/>
  <c r="T2314" i="12"/>
  <c r="U2314" i="12"/>
  <c r="T2315" i="12"/>
  <c r="U2315" i="12"/>
  <c r="T2316" i="12"/>
  <c r="U2316" i="12"/>
  <c r="T2317" i="12"/>
  <c r="U2317" i="12"/>
  <c r="T2318" i="12"/>
  <c r="U2318" i="12"/>
  <c r="T2319" i="12"/>
  <c r="U2319" i="12"/>
  <c r="T2320" i="12"/>
  <c r="U2320" i="12"/>
  <c r="T2321" i="12"/>
  <c r="U2321" i="12"/>
  <c r="T2322" i="12"/>
  <c r="U2322" i="12"/>
  <c r="T2323" i="12"/>
  <c r="U2323" i="12"/>
  <c r="T2324" i="12"/>
  <c r="U2324" i="12"/>
  <c r="T2325" i="12"/>
  <c r="U2325" i="12"/>
  <c r="T2326" i="12"/>
  <c r="U2326" i="12"/>
  <c r="T2327" i="12"/>
  <c r="U2327" i="12"/>
  <c r="T2328" i="12"/>
  <c r="U2328" i="12"/>
  <c r="T2329" i="12"/>
  <c r="U2329" i="12"/>
  <c r="T2330" i="12"/>
  <c r="U2330" i="12"/>
  <c r="T2331" i="12"/>
  <c r="U2331" i="12"/>
  <c r="T2332" i="12"/>
  <c r="U2332" i="12"/>
  <c r="T2333" i="12"/>
  <c r="U2333" i="12"/>
  <c r="T2334" i="12"/>
  <c r="U2334" i="12"/>
  <c r="T2335" i="12"/>
  <c r="U2335" i="12"/>
  <c r="T2336" i="12"/>
  <c r="U2336" i="12"/>
  <c r="T2337" i="12"/>
  <c r="U2337" i="12"/>
  <c r="T2338" i="12"/>
  <c r="U2338" i="12"/>
  <c r="T2339" i="12"/>
  <c r="U2339" i="12"/>
  <c r="T2340" i="12"/>
  <c r="U2340" i="12"/>
  <c r="T2341" i="12"/>
  <c r="U2341" i="12"/>
  <c r="T2342" i="12"/>
  <c r="U2342" i="12"/>
  <c r="T2343" i="12"/>
  <c r="U2343" i="12"/>
  <c r="T2344" i="12"/>
  <c r="U2344" i="12"/>
  <c r="T2345" i="12"/>
  <c r="U2345" i="12"/>
  <c r="T2346" i="12"/>
  <c r="U2346" i="12"/>
  <c r="T2347" i="12"/>
  <c r="U2347" i="12"/>
  <c r="T2348" i="12"/>
  <c r="U2348" i="12"/>
  <c r="T2349" i="12"/>
  <c r="U2349" i="12"/>
  <c r="T2350" i="12"/>
  <c r="U2350" i="12"/>
  <c r="T2351" i="12"/>
  <c r="U2351" i="12"/>
  <c r="T2352" i="12"/>
  <c r="U2352" i="12"/>
  <c r="T2353" i="12"/>
  <c r="U2353" i="12"/>
  <c r="T2354" i="12"/>
  <c r="U2354" i="12"/>
  <c r="T2355" i="12"/>
  <c r="U2355" i="12"/>
  <c r="T2356" i="12"/>
  <c r="U2356" i="12"/>
  <c r="T2357" i="12"/>
  <c r="U2357" i="12"/>
  <c r="T2358" i="12"/>
  <c r="U2358" i="12"/>
  <c r="T2359" i="12"/>
  <c r="U2359" i="12"/>
  <c r="T2360" i="12"/>
  <c r="U2360" i="12"/>
  <c r="T2361" i="12"/>
  <c r="U2361" i="12"/>
  <c r="T2362" i="12"/>
  <c r="U2362" i="12"/>
  <c r="T2363" i="12"/>
  <c r="U2363" i="12"/>
  <c r="T2364" i="12"/>
  <c r="U2364" i="12"/>
  <c r="T2365" i="12"/>
  <c r="U2365" i="12"/>
  <c r="T2366" i="12"/>
  <c r="U2366" i="12"/>
  <c r="T2367" i="12"/>
  <c r="U2367" i="12"/>
  <c r="T2368" i="12"/>
  <c r="U2368" i="12"/>
  <c r="T2369" i="12"/>
  <c r="U2369" i="12"/>
  <c r="T2370" i="12"/>
  <c r="U2370" i="12"/>
  <c r="T2371" i="12"/>
  <c r="U2371" i="12"/>
  <c r="T2372" i="12"/>
  <c r="U2372" i="12"/>
  <c r="T2373" i="12"/>
  <c r="U2373" i="12"/>
  <c r="T2374" i="12"/>
  <c r="U2374" i="12"/>
  <c r="T2375" i="12"/>
  <c r="U2375" i="12"/>
  <c r="T2376" i="12"/>
  <c r="U2376" i="12"/>
  <c r="T2377" i="12"/>
  <c r="U2377" i="12"/>
  <c r="T2378" i="12"/>
  <c r="U2378" i="12"/>
  <c r="T2379" i="12"/>
  <c r="U2379" i="12"/>
  <c r="T2380" i="12"/>
  <c r="U2380" i="12"/>
  <c r="T2381" i="12"/>
  <c r="U2381" i="12"/>
  <c r="T2382" i="12"/>
  <c r="U2382" i="12"/>
  <c r="T2383" i="12"/>
  <c r="U2383" i="12"/>
  <c r="T2384" i="12"/>
  <c r="U2384" i="12"/>
  <c r="T2385" i="12"/>
  <c r="U2385" i="12"/>
  <c r="T2386" i="12"/>
  <c r="U2386" i="12"/>
  <c r="T2387" i="12"/>
  <c r="U2387" i="12"/>
  <c r="T2388" i="12"/>
  <c r="U2388" i="12"/>
  <c r="T2389" i="12"/>
  <c r="U2389" i="12"/>
  <c r="T2390" i="12"/>
  <c r="U2390" i="12"/>
  <c r="T2391" i="12"/>
  <c r="U2391" i="12"/>
  <c r="T2392" i="12"/>
  <c r="U2392" i="12"/>
  <c r="T2393" i="12"/>
  <c r="U2393" i="12"/>
  <c r="T2394" i="12"/>
  <c r="U2394" i="12"/>
  <c r="T2395" i="12"/>
  <c r="U2395" i="12"/>
  <c r="T2396" i="12"/>
  <c r="U2396" i="12"/>
  <c r="T2397" i="12"/>
  <c r="U2397" i="12"/>
  <c r="T2398" i="12"/>
  <c r="U2398" i="12"/>
  <c r="T2399" i="12"/>
  <c r="U2399" i="12"/>
  <c r="T2400" i="12"/>
  <c r="U2400" i="12"/>
  <c r="T2401" i="12"/>
  <c r="U2401" i="12"/>
  <c r="T2402" i="12"/>
  <c r="U2402" i="12"/>
  <c r="T2403" i="12"/>
  <c r="U2403" i="12"/>
  <c r="T2404" i="12"/>
  <c r="U2404" i="12"/>
  <c r="T2405" i="12"/>
  <c r="U2405" i="12"/>
  <c r="T2406" i="12"/>
  <c r="U2406" i="12"/>
  <c r="T2407" i="12"/>
  <c r="U2407" i="12"/>
  <c r="T2408" i="12"/>
  <c r="U2408" i="12"/>
  <c r="T2409" i="12"/>
  <c r="U2409" i="12"/>
  <c r="T2410" i="12"/>
  <c r="U2410" i="12"/>
  <c r="T2411" i="12"/>
  <c r="U2411" i="12"/>
  <c r="T2412" i="12"/>
  <c r="U2412" i="12"/>
  <c r="T2413" i="12"/>
  <c r="U2413" i="12"/>
  <c r="T2414" i="12"/>
  <c r="U2414" i="12"/>
  <c r="T2415" i="12"/>
  <c r="U2415" i="12"/>
  <c r="T2416" i="12"/>
  <c r="U2416" i="12"/>
  <c r="T2417" i="12"/>
  <c r="U2417" i="12"/>
  <c r="T2418" i="12"/>
  <c r="U2418" i="12"/>
  <c r="T2419" i="12"/>
  <c r="U2419" i="12"/>
  <c r="T2420" i="12"/>
  <c r="U2420" i="12"/>
  <c r="T2421" i="12"/>
  <c r="U2421" i="12"/>
  <c r="T2422" i="12"/>
  <c r="U2422" i="12"/>
  <c r="T2423" i="12"/>
  <c r="U2423" i="12"/>
  <c r="T2424" i="12"/>
  <c r="U2424" i="12"/>
  <c r="T2425" i="12"/>
  <c r="U2425" i="12"/>
  <c r="T2426" i="12"/>
  <c r="U2426" i="12"/>
  <c r="T2427" i="12"/>
  <c r="U2427" i="12"/>
  <c r="T2428" i="12"/>
  <c r="U2428" i="12"/>
  <c r="T2429" i="12"/>
  <c r="U2429" i="12"/>
  <c r="T2430" i="12"/>
  <c r="U2430" i="12"/>
  <c r="T2431" i="12"/>
  <c r="U2431" i="12"/>
  <c r="T2432" i="12"/>
  <c r="U2432" i="12"/>
  <c r="T2433" i="12"/>
  <c r="U2433" i="12"/>
  <c r="T2434" i="12"/>
  <c r="U2434" i="12"/>
  <c r="T2435" i="12"/>
  <c r="U2435" i="12"/>
  <c r="T2436" i="12"/>
  <c r="U2436" i="12"/>
  <c r="T2437" i="12"/>
  <c r="U2437" i="12"/>
  <c r="T2438" i="12"/>
  <c r="U2438" i="12"/>
  <c r="T2439" i="12"/>
  <c r="U2439" i="12"/>
  <c r="T2440" i="12"/>
  <c r="U2440" i="12"/>
  <c r="T2441" i="12"/>
  <c r="U2441" i="12"/>
  <c r="T2442" i="12"/>
  <c r="U2442" i="12"/>
  <c r="T2443" i="12"/>
  <c r="U2443" i="12"/>
  <c r="T2444" i="12"/>
  <c r="U2444" i="12"/>
  <c r="T2445" i="12"/>
  <c r="U2445" i="12"/>
  <c r="T2446" i="12"/>
  <c r="U2446" i="12"/>
  <c r="T2447" i="12"/>
  <c r="U2447" i="12"/>
  <c r="T2448" i="12"/>
  <c r="U2448" i="12"/>
  <c r="T2449" i="12"/>
  <c r="U2449" i="12"/>
  <c r="T2450" i="12"/>
  <c r="U2450" i="12"/>
  <c r="T2451" i="12"/>
  <c r="U2451" i="12"/>
  <c r="T2452" i="12"/>
  <c r="U2452" i="12"/>
  <c r="T2453" i="12"/>
  <c r="U2453" i="12"/>
  <c r="T2454" i="12"/>
  <c r="U2454" i="12"/>
  <c r="T2455" i="12"/>
  <c r="U2455" i="12"/>
  <c r="T2456" i="12"/>
  <c r="U2456" i="12"/>
  <c r="T2457" i="12"/>
  <c r="U2457" i="12"/>
  <c r="T2458" i="12"/>
  <c r="U2458" i="12"/>
  <c r="T2459" i="12"/>
  <c r="U2459" i="12"/>
  <c r="T2460" i="12"/>
  <c r="U2460" i="12"/>
  <c r="T2461" i="12"/>
  <c r="U2461" i="12"/>
  <c r="T2462" i="12"/>
  <c r="U2462" i="12"/>
  <c r="T2463" i="12"/>
  <c r="U2463" i="12"/>
  <c r="T2464" i="12"/>
  <c r="U2464" i="12"/>
  <c r="T2465" i="12"/>
  <c r="U2465" i="12"/>
  <c r="T2466" i="12"/>
  <c r="U2466" i="12"/>
  <c r="T2467" i="12"/>
  <c r="U2467" i="12"/>
  <c r="T2468" i="12"/>
  <c r="U2468" i="12"/>
  <c r="T2469" i="12"/>
  <c r="U2469" i="12"/>
  <c r="T2470" i="12"/>
  <c r="U2470" i="12"/>
  <c r="T2471" i="12"/>
  <c r="U2471" i="12"/>
  <c r="T2472" i="12"/>
  <c r="U2472" i="12"/>
  <c r="T2473" i="12"/>
  <c r="U2473" i="12"/>
  <c r="T2474" i="12"/>
  <c r="U2474" i="12"/>
  <c r="T2475" i="12"/>
  <c r="U2475" i="12"/>
  <c r="T2476" i="12"/>
  <c r="U2476" i="12"/>
  <c r="T2477" i="12"/>
  <c r="U2477" i="12"/>
  <c r="T2478" i="12"/>
  <c r="U2478" i="12"/>
  <c r="T2479" i="12"/>
  <c r="U2479" i="12"/>
  <c r="T2480" i="12"/>
  <c r="U2480" i="12"/>
  <c r="T2481" i="12"/>
  <c r="U2481" i="12"/>
  <c r="T2482" i="12"/>
  <c r="U2482" i="12"/>
  <c r="T2483" i="12"/>
  <c r="U2483" i="12"/>
  <c r="T2484" i="12"/>
  <c r="U2484" i="12"/>
  <c r="T2485" i="12"/>
  <c r="U2485" i="12"/>
  <c r="T2486" i="12"/>
  <c r="U2486" i="12"/>
  <c r="T2487" i="12"/>
  <c r="U2487" i="12"/>
  <c r="T2488" i="12"/>
  <c r="U2488" i="12"/>
  <c r="T2489" i="12"/>
  <c r="U2489" i="12"/>
  <c r="T2490" i="12"/>
  <c r="U2490" i="12"/>
  <c r="T2491" i="12"/>
  <c r="U2491" i="12"/>
  <c r="T2492" i="12"/>
  <c r="U2492" i="12"/>
  <c r="T2493" i="12"/>
  <c r="U2493" i="12"/>
  <c r="T2494" i="12"/>
  <c r="U2494" i="12"/>
  <c r="T2495" i="12"/>
  <c r="U2495" i="12"/>
  <c r="T2496" i="12"/>
  <c r="U2496" i="12"/>
  <c r="T2497" i="12"/>
  <c r="U2497" i="12"/>
  <c r="T2498" i="12"/>
  <c r="U2498" i="12"/>
  <c r="T2499" i="12"/>
  <c r="U2499" i="12"/>
  <c r="T2500" i="12"/>
  <c r="U2500" i="12"/>
  <c r="T2501" i="12"/>
  <c r="U2501" i="12"/>
  <c r="T2502" i="12"/>
  <c r="U2502" i="12"/>
  <c r="T2503" i="12"/>
  <c r="U2503" i="12"/>
  <c r="T2504" i="12"/>
  <c r="U2504" i="12"/>
  <c r="T2505" i="12"/>
  <c r="U2505" i="12"/>
  <c r="T2506" i="12"/>
  <c r="U2506" i="12"/>
  <c r="T2507" i="12"/>
  <c r="U2507" i="12"/>
  <c r="T2508" i="12"/>
  <c r="U2508" i="12"/>
  <c r="T2509" i="12"/>
  <c r="U2509" i="12"/>
  <c r="T2510" i="12"/>
  <c r="U2510" i="12"/>
  <c r="T2511" i="12"/>
  <c r="U2511" i="12"/>
  <c r="T2512" i="12"/>
  <c r="U2512" i="12"/>
  <c r="T2513" i="12"/>
  <c r="U2513" i="12"/>
  <c r="T2514" i="12"/>
  <c r="U2514" i="12"/>
  <c r="T2515" i="12"/>
  <c r="U2515" i="12"/>
  <c r="T2516" i="12"/>
  <c r="U2516" i="12"/>
  <c r="T2517" i="12"/>
  <c r="U2517" i="12"/>
  <c r="T2518" i="12"/>
  <c r="U2518" i="12"/>
  <c r="T2519" i="12"/>
  <c r="U2519" i="12"/>
  <c r="T2520" i="12"/>
  <c r="U2520" i="12"/>
  <c r="T2521" i="12"/>
  <c r="U2521" i="12"/>
  <c r="T2522" i="12"/>
  <c r="U2522" i="12"/>
  <c r="T2523" i="12"/>
  <c r="U2523" i="12"/>
  <c r="T2524" i="12"/>
  <c r="U2524" i="12"/>
  <c r="T2525" i="12"/>
  <c r="U2525" i="12"/>
  <c r="T2526" i="12"/>
  <c r="U2526" i="12"/>
  <c r="T2527" i="12"/>
  <c r="U2527" i="12"/>
  <c r="T2528" i="12"/>
  <c r="U2528" i="12"/>
  <c r="T2529" i="12"/>
  <c r="U2529" i="12"/>
  <c r="T2530" i="12"/>
  <c r="U2530" i="12"/>
  <c r="T2531" i="12"/>
  <c r="U2531" i="12"/>
  <c r="T2532" i="12"/>
  <c r="U2532" i="12"/>
  <c r="T2533" i="12"/>
  <c r="U2533" i="12"/>
  <c r="T2534" i="12"/>
  <c r="U2534" i="12"/>
  <c r="T2535" i="12"/>
  <c r="U2535" i="12"/>
  <c r="T2536" i="12"/>
  <c r="U2536" i="12"/>
  <c r="T2537" i="12"/>
  <c r="U2537" i="12"/>
  <c r="T2538" i="12"/>
  <c r="U2538" i="12"/>
  <c r="T2539" i="12"/>
  <c r="U2539" i="12"/>
  <c r="T2540" i="12"/>
  <c r="U2540" i="12"/>
  <c r="T2541" i="12"/>
  <c r="U2541" i="12"/>
  <c r="T2542" i="12"/>
  <c r="U2542" i="12"/>
  <c r="T2543" i="12"/>
  <c r="U2543" i="12"/>
  <c r="T2544" i="12"/>
  <c r="U2544" i="12"/>
  <c r="T2545" i="12"/>
  <c r="U2545" i="12"/>
  <c r="T2546" i="12"/>
  <c r="U2546" i="12"/>
  <c r="T2547" i="12"/>
  <c r="U2547" i="12"/>
  <c r="T2548" i="12"/>
  <c r="U2548" i="12"/>
  <c r="T2549" i="12"/>
  <c r="U2549" i="12"/>
  <c r="T2550" i="12"/>
  <c r="U2550" i="12"/>
  <c r="T2551" i="12"/>
  <c r="U2551" i="12"/>
  <c r="T2552" i="12"/>
  <c r="U2552" i="12"/>
  <c r="T2553" i="12"/>
  <c r="U2553" i="12"/>
  <c r="T2554" i="12"/>
  <c r="U2554" i="12"/>
  <c r="T2555" i="12"/>
  <c r="U2555" i="12"/>
  <c r="T2556" i="12"/>
  <c r="U2556" i="12"/>
  <c r="T2557" i="12"/>
  <c r="U2557" i="12"/>
  <c r="T2558" i="12"/>
  <c r="U2558" i="12"/>
  <c r="T2559" i="12"/>
  <c r="U2559" i="12"/>
  <c r="T2560" i="12"/>
  <c r="U2560" i="12"/>
  <c r="T2561" i="12"/>
  <c r="U2561" i="12"/>
  <c r="T2562" i="12"/>
  <c r="U2562" i="12"/>
  <c r="T2563" i="12"/>
  <c r="U2563" i="12"/>
  <c r="T2564" i="12"/>
  <c r="U2564" i="12"/>
  <c r="T2565" i="12"/>
  <c r="U2565" i="12"/>
  <c r="T2566" i="12"/>
  <c r="U2566" i="12"/>
  <c r="T2567" i="12"/>
  <c r="U2567" i="12"/>
  <c r="T2568" i="12"/>
  <c r="U2568" i="12"/>
  <c r="T2569" i="12"/>
  <c r="U2569" i="12"/>
  <c r="T2570" i="12"/>
  <c r="U2570" i="12"/>
  <c r="T2571" i="12"/>
  <c r="U2571" i="12"/>
  <c r="T2572" i="12"/>
  <c r="U2572" i="12"/>
  <c r="T2573" i="12"/>
  <c r="U2573" i="12"/>
  <c r="T2574" i="12"/>
  <c r="U2574" i="12"/>
  <c r="T2575" i="12"/>
  <c r="U2575" i="12"/>
  <c r="T2576" i="12"/>
  <c r="U2576" i="12"/>
  <c r="T2577" i="12"/>
  <c r="U2577" i="12"/>
  <c r="T2578" i="12"/>
  <c r="U2578" i="12"/>
  <c r="T2579" i="12"/>
  <c r="U2579" i="12"/>
  <c r="T2580" i="12"/>
  <c r="U2580" i="12"/>
  <c r="T2581" i="12"/>
  <c r="U2581" i="12"/>
  <c r="T2582" i="12"/>
  <c r="U2582" i="12"/>
  <c r="T2583" i="12"/>
  <c r="U2583" i="12"/>
  <c r="T2584" i="12"/>
  <c r="U2584" i="12"/>
  <c r="T2585" i="12"/>
  <c r="U2585" i="12"/>
  <c r="T2586" i="12"/>
  <c r="U2586" i="12"/>
  <c r="T2587" i="12"/>
  <c r="U2587" i="12"/>
  <c r="T2588" i="12"/>
  <c r="U2588" i="12"/>
  <c r="T2589" i="12"/>
  <c r="U2589" i="12"/>
  <c r="T2590" i="12"/>
  <c r="U2590" i="12"/>
  <c r="T2591" i="12"/>
  <c r="U2591" i="12"/>
  <c r="T2592" i="12"/>
  <c r="U2592" i="12"/>
  <c r="T2593" i="12"/>
  <c r="U2593" i="12"/>
  <c r="T2594" i="12"/>
  <c r="U2594" i="12"/>
  <c r="T2595" i="12"/>
  <c r="U2595" i="12"/>
  <c r="T2596" i="12"/>
  <c r="U2596" i="12"/>
  <c r="T2597" i="12"/>
  <c r="U2597" i="12"/>
  <c r="T2598" i="12"/>
  <c r="U2598" i="12"/>
  <c r="T2599" i="12"/>
  <c r="U2599" i="12"/>
  <c r="T2600" i="12"/>
  <c r="U2600" i="12"/>
  <c r="T2601" i="12"/>
  <c r="U2601" i="12"/>
  <c r="T2602" i="12"/>
  <c r="U2602" i="12"/>
  <c r="T2603" i="12"/>
  <c r="U2603" i="12"/>
  <c r="T2604" i="12"/>
  <c r="U2604" i="12"/>
  <c r="T2605" i="12"/>
  <c r="U2605" i="12"/>
  <c r="T2606" i="12"/>
  <c r="U2606" i="12"/>
  <c r="T2607" i="12"/>
  <c r="U2607" i="12"/>
  <c r="T2608" i="12"/>
  <c r="U2608" i="12"/>
  <c r="T2609" i="12"/>
  <c r="U2609" i="12"/>
  <c r="T2610" i="12"/>
  <c r="U2610" i="12"/>
  <c r="T2611" i="12"/>
  <c r="U2611" i="12"/>
  <c r="T2612" i="12"/>
  <c r="U2612" i="12"/>
  <c r="T2613" i="12"/>
  <c r="U2613" i="12"/>
  <c r="T2614" i="12"/>
  <c r="U2614" i="12"/>
  <c r="T2615" i="12"/>
  <c r="U2615" i="12"/>
  <c r="T2616" i="12"/>
  <c r="U2616" i="12"/>
  <c r="T2617" i="12"/>
  <c r="U2617" i="12"/>
  <c r="T2618" i="12"/>
  <c r="U2618" i="12"/>
  <c r="T2619" i="12"/>
  <c r="U2619" i="12"/>
  <c r="T2620" i="12"/>
  <c r="U2620" i="12"/>
  <c r="T2621" i="12"/>
  <c r="U2621" i="12"/>
  <c r="T2622" i="12"/>
  <c r="U2622" i="12"/>
  <c r="T2623" i="12"/>
  <c r="U2623" i="12"/>
  <c r="T2624" i="12"/>
  <c r="U2624" i="12"/>
  <c r="T2625" i="12"/>
  <c r="U2625" i="12"/>
  <c r="T2626" i="12"/>
  <c r="U2626" i="12"/>
  <c r="T2627" i="12"/>
  <c r="U2627" i="12"/>
  <c r="T2628" i="12"/>
  <c r="U2628" i="12"/>
  <c r="T2629" i="12"/>
  <c r="U2629" i="12"/>
  <c r="T2630" i="12"/>
  <c r="U2630" i="12"/>
  <c r="T2631" i="12"/>
  <c r="U2631" i="12"/>
  <c r="T2632" i="12"/>
  <c r="U2632" i="12"/>
  <c r="T2633" i="12"/>
  <c r="U2633" i="12"/>
  <c r="T2634" i="12"/>
  <c r="U2634" i="12"/>
  <c r="T2635" i="12"/>
  <c r="U2635" i="12"/>
  <c r="T2636" i="12"/>
  <c r="U2636" i="12"/>
  <c r="T2637" i="12"/>
  <c r="U2637" i="12"/>
  <c r="T2638" i="12"/>
  <c r="U2638" i="12"/>
  <c r="T2639" i="12"/>
  <c r="U2639" i="12"/>
  <c r="T2640" i="12"/>
  <c r="U2640" i="12"/>
  <c r="T2641" i="12"/>
  <c r="U2641" i="12"/>
  <c r="T2642" i="12"/>
  <c r="U2642" i="12"/>
  <c r="T2643" i="12"/>
  <c r="U2643" i="12"/>
  <c r="T2644" i="12"/>
  <c r="U2644" i="12"/>
  <c r="T2645" i="12"/>
  <c r="U2645" i="12"/>
  <c r="T2646" i="12"/>
  <c r="U2646" i="12"/>
  <c r="T2647" i="12"/>
  <c r="U2647" i="12"/>
  <c r="T2648" i="12"/>
  <c r="U2648" i="12"/>
  <c r="T2649" i="12"/>
  <c r="U2649" i="12"/>
  <c r="T2650" i="12"/>
  <c r="U2650" i="12"/>
  <c r="T2651" i="12"/>
  <c r="U2651" i="12"/>
  <c r="T2652" i="12"/>
  <c r="U2652" i="12"/>
  <c r="T2653" i="12"/>
  <c r="U2653" i="12"/>
  <c r="T2654" i="12"/>
  <c r="U2654" i="12"/>
  <c r="T2655" i="12"/>
  <c r="U2655" i="12"/>
  <c r="T2656" i="12"/>
  <c r="U2656" i="12"/>
  <c r="T2657" i="12"/>
  <c r="U2657" i="12"/>
  <c r="T2658" i="12"/>
  <c r="U2658" i="12"/>
  <c r="T2659" i="12"/>
  <c r="U2659" i="12"/>
  <c r="T2660" i="12"/>
  <c r="U2660" i="12"/>
  <c r="T2661" i="12"/>
  <c r="U2661" i="12"/>
  <c r="T2662" i="12"/>
  <c r="U2662" i="12"/>
  <c r="T2663" i="12"/>
  <c r="U2663" i="12"/>
  <c r="T2664" i="12"/>
  <c r="U2664" i="12"/>
  <c r="T2665" i="12"/>
  <c r="U2665" i="12"/>
  <c r="T2666" i="12"/>
  <c r="U2666" i="12"/>
  <c r="T2667" i="12"/>
  <c r="U2667" i="12"/>
  <c r="T2668" i="12"/>
  <c r="U2668" i="12"/>
  <c r="T2669" i="12"/>
  <c r="U2669" i="12"/>
  <c r="T2670" i="12"/>
  <c r="U2670" i="12"/>
  <c r="T2671" i="12"/>
  <c r="U2671" i="12"/>
  <c r="T2672" i="12"/>
  <c r="U2672" i="12"/>
  <c r="T2673" i="12"/>
  <c r="U2673" i="12"/>
  <c r="T2674" i="12"/>
  <c r="U2674" i="12"/>
  <c r="T2675" i="12"/>
  <c r="U2675" i="12"/>
  <c r="T2676" i="12"/>
  <c r="U2676" i="12"/>
  <c r="T2677" i="12"/>
  <c r="U2677" i="12"/>
  <c r="T2678" i="12"/>
  <c r="U2678" i="12"/>
  <c r="T2679" i="12"/>
  <c r="U2679" i="12"/>
  <c r="T2680" i="12"/>
  <c r="U2680" i="12"/>
  <c r="T2681" i="12"/>
  <c r="U2681" i="12"/>
  <c r="T2682" i="12"/>
  <c r="U2682" i="12"/>
  <c r="T2683" i="12"/>
  <c r="U2683" i="12"/>
  <c r="T2684" i="12"/>
  <c r="U2684" i="12"/>
  <c r="T2685" i="12"/>
  <c r="U2685" i="12"/>
  <c r="T2686" i="12"/>
  <c r="U2686" i="12"/>
  <c r="T2687" i="12"/>
  <c r="U2687" i="12"/>
  <c r="T2688" i="12"/>
  <c r="U2688" i="12"/>
  <c r="T2689" i="12"/>
  <c r="U2689" i="12"/>
  <c r="T2690" i="12"/>
  <c r="U2690" i="12"/>
  <c r="T2691" i="12"/>
  <c r="U2691" i="12"/>
  <c r="T2692" i="12"/>
  <c r="U2692" i="12"/>
  <c r="T2693" i="12"/>
  <c r="U2693" i="12"/>
  <c r="T2694" i="12"/>
  <c r="U2694" i="12"/>
  <c r="T2695" i="12"/>
  <c r="U2695" i="12"/>
  <c r="T2696" i="12"/>
  <c r="U2696" i="12"/>
  <c r="T2697" i="12"/>
  <c r="U2697" i="12"/>
  <c r="T2698" i="12"/>
  <c r="U2698" i="12"/>
  <c r="T2699" i="12"/>
  <c r="U2699" i="12"/>
  <c r="T2700" i="12"/>
  <c r="U2700" i="12"/>
  <c r="T2701" i="12"/>
  <c r="U2701" i="12"/>
  <c r="T2702" i="12"/>
  <c r="U2702" i="12"/>
  <c r="T2703" i="12"/>
  <c r="U2703" i="12"/>
  <c r="T2704" i="12"/>
  <c r="U2704" i="12"/>
  <c r="T2705" i="12"/>
  <c r="U2705" i="12"/>
  <c r="T2706" i="12"/>
  <c r="U2706" i="12"/>
  <c r="T2707" i="12"/>
  <c r="U2707" i="12"/>
  <c r="T2708" i="12"/>
  <c r="U2708" i="12"/>
  <c r="T2709" i="12"/>
  <c r="U2709" i="12"/>
  <c r="T2710" i="12"/>
  <c r="U2710" i="12"/>
  <c r="T2711" i="12"/>
  <c r="U2711" i="12"/>
  <c r="T2712" i="12"/>
  <c r="U2712" i="12"/>
  <c r="T2713" i="12"/>
  <c r="U2713" i="12"/>
  <c r="T2714" i="12"/>
  <c r="U2714" i="12"/>
  <c r="T2715" i="12"/>
  <c r="U2715" i="12"/>
  <c r="T2716" i="12"/>
  <c r="U2716" i="12"/>
  <c r="T2717" i="12"/>
  <c r="U2717" i="12"/>
  <c r="T2718" i="12"/>
  <c r="U2718" i="12"/>
  <c r="T2719" i="12"/>
  <c r="U2719" i="12"/>
  <c r="T2720" i="12"/>
  <c r="U2720" i="12"/>
  <c r="T2721" i="12"/>
  <c r="U2721" i="12"/>
  <c r="T2722" i="12"/>
  <c r="U2722" i="12"/>
  <c r="T2723" i="12"/>
  <c r="U2723" i="12"/>
  <c r="T2724" i="12"/>
  <c r="U2724" i="12"/>
  <c r="T2725" i="12"/>
  <c r="U2725" i="12"/>
  <c r="T2726" i="12"/>
  <c r="U2726" i="12"/>
  <c r="T2727" i="12"/>
  <c r="U2727" i="12"/>
  <c r="T2728" i="12"/>
  <c r="U2728" i="12"/>
  <c r="T2729" i="12"/>
  <c r="U2729" i="12"/>
  <c r="T2730" i="12"/>
  <c r="U2730" i="12"/>
  <c r="T2731" i="12"/>
  <c r="U2731" i="12"/>
  <c r="T2732" i="12"/>
  <c r="U2732" i="12"/>
  <c r="T2733" i="12"/>
  <c r="U2733" i="12"/>
  <c r="T2734" i="12"/>
  <c r="U2734" i="12"/>
  <c r="T2735" i="12"/>
  <c r="U2735" i="12"/>
  <c r="T2736" i="12"/>
  <c r="U2736" i="12"/>
  <c r="T2737" i="12"/>
  <c r="U2737" i="12"/>
  <c r="T2738" i="12"/>
  <c r="U2738" i="12"/>
  <c r="T2739" i="12"/>
  <c r="U2739" i="12"/>
  <c r="T2740" i="12"/>
  <c r="U2740" i="12"/>
  <c r="T2741" i="12"/>
  <c r="U2741" i="12"/>
  <c r="T2742" i="12"/>
  <c r="U2742" i="12"/>
  <c r="T2743" i="12"/>
  <c r="U2743" i="12"/>
  <c r="T2744" i="12"/>
  <c r="U2744" i="12"/>
  <c r="T2745" i="12"/>
  <c r="U2745" i="12"/>
  <c r="T2746" i="12"/>
  <c r="U2746" i="12"/>
  <c r="T2747" i="12"/>
  <c r="U2747" i="12"/>
  <c r="T2748" i="12"/>
  <c r="U2748" i="12"/>
  <c r="T2749" i="12"/>
  <c r="U2749" i="12"/>
  <c r="T2750" i="12"/>
  <c r="U2750" i="12"/>
  <c r="T2751" i="12"/>
  <c r="U2751" i="12"/>
  <c r="T2752" i="12"/>
  <c r="U2752" i="12"/>
  <c r="T2753" i="12"/>
  <c r="U2753" i="12"/>
  <c r="T2754" i="12"/>
  <c r="U2754" i="12"/>
  <c r="T2755" i="12"/>
  <c r="U2755" i="12"/>
  <c r="T2756" i="12"/>
  <c r="U2756" i="12"/>
  <c r="T2757" i="12"/>
  <c r="U2757" i="12"/>
  <c r="T2758" i="12"/>
  <c r="U2758" i="12"/>
  <c r="T2759" i="12"/>
  <c r="U2759" i="12"/>
  <c r="T2760" i="12"/>
  <c r="U2760" i="12"/>
  <c r="T2761" i="12"/>
  <c r="U2761" i="12"/>
  <c r="T2762" i="12"/>
  <c r="U2762" i="12"/>
  <c r="T2763" i="12"/>
  <c r="U2763" i="12"/>
  <c r="T2764" i="12"/>
  <c r="U2764" i="12"/>
  <c r="T2765" i="12"/>
  <c r="U2765" i="12"/>
  <c r="T2766" i="12"/>
  <c r="U2766" i="12"/>
  <c r="T2767" i="12"/>
  <c r="U2767" i="12"/>
  <c r="T2768" i="12"/>
  <c r="U2768" i="12"/>
  <c r="T2769" i="12"/>
  <c r="U2769" i="12"/>
  <c r="T2770" i="12"/>
  <c r="U2770" i="12"/>
  <c r="T2771" i="12"/>
  <c r="U2771" i="12"/>
  <c r="T2772" i="12"/>
  <c r="U2772" i="12"/>
  <c r="T2773" i="12"/>
  <c r="U2773" i="12"/>
  <c r="T2774" i="12"/>
  <c r="U2774" i="12"/>
  <c r="T2775" i="12"/>
  <c r="U2775" i="12"/>
  <c r="T2776" i="12"/>
  <c r="U2776" i="12"/>
  <c r="T2777" i="12"/>
  <c r="U2777" i="12"/>
  <c r="T2778" i="12"/>
  <c r="U2778" i="12"/>
  <c r="T2779" i="12"/>
  <c r="U2779" i="12"/>
  <c r="T2780" i="12"/>
  <c r="U2780" i="12"/>
  <c r="T2781" i="12"/>
  <c r="U2781" i="12"/>
  <c r="T2782" i="12"/>
  <c r="U2782" i="12"/>
  <c r="T2783" i="12"/>
  <c r="U2783" i="12"/>
  <c r="T2784" i="12"/>
  <c r="U2784" i="12"/>
  <c r="T2785" i="12"/>
  <c r="U2785" i="12"/>
  <c r="T2786" i="12"/>
  <c r="U2786" i="12"/>
  <c r="T2787" i="12"/>
  <c r="U2787" i="12"/>
  <c r="T2788" i="12"/>
  <c r="U2788" i="12"/>
  <c r="T2789" i="12"/>
  <c r="U2789" i="12"/>
  <c r="T2790" i="12"/>
  <c r="U2790" i="12"/>
  <c r="T2791" i="12"/>
  <c r="U2791" i="12"/>
  <c r="T2792" i="12"/>
  <c r="U2792" i="12"/>
  <c r="T2793" i="12"/>
  <c r="U2793" i="12"/>
  <c r="T2794" i="12"/>
  <c r="U2794" i="12"/>
  <c r="T2795" i="12"/>
  <c r="U2795" i="12"/>
  <c r="T2796" i="12"/>
  <c r="U2796" i="12"/>
  <c r="T2797" i="12"/>
  <c r="U2797" i="12"/>
  <c r="T2798" i="12"/>
  <c r="U2798" i="12"/>
  <c r="T2799" i="12"/>
  <c r="U2799" i="12"/>
  <c r="T2800" i="12"/>
  <c r="U2800" i="12"/>
  <c r="T2801" i="12"/>
  <c r="U2801" i="12"/>
  <c r="T2802" i="12"/>
  <c r="U2802" i="12"/>
  <c r="T2803" i="12"/>
  <c r="U2803" i="12"/>
  <c r="T2804" i="12"/>
  <c r="U2804" i="12"/>
  <c r="T2805" i="12"/>
  <c r="U2805" i="12"/>
  <c r="T2806" i="12"/>
  <c r="U2806" i="12"/>
  <c r="T2807" i="12"/>
  <c r="U2807" i="12"/>
  <c r="T2808" i="12"/>
  <c r="U2808" i="12"/>
  <c r="T2809" i="12"/>
  <c r="U2809" i="12"/>
  <c r="T2810" i="12"/>
  <c r="U2810" i="12"/>
  <c r="T2811" i="12"/>
  <c r="U2811" i="12"/>
  <c r="T2812" i="12"/>
  <c r="U2812" i="12"/>
  <c r="T2813" i="12"/>
  <c r="U2813" i="12"/>
  <c r="T2814" i="12"/>
  <c r="U2814" i="12"/>
  <c r="T2815" i="12"/>
  <c r="U2815" i="12"/>
  <c r="T2816" i="12"/>
  <c r="U2816" i="12"/>
  <c r="T2817" i="12"/>
  <c r="U2817" i="12"/>
  <c r="T2818" i="12"/>
  <c r="U2818" i="12"/>
  <c r="T2819" i="12"/>
  <c r="U2819" i="12"/>
  <c r="T2820" i="12"/>
  <c r="U2820" i="12"/>
  <c r="T2821" i="12"/>
  <c r="U2821" i="12"/>
  <c r="T2822" i="12"/>
  <c r="U2822" i="12"/>
  <c r="T2823" i="12"/>
  <c r="U2823" i="12"/>
  <c r="T2824" i="12"/>
  <c r="U2824" i="12"/>
  <c r="T2825" i="12"/>
  <c r="U2825" i="12"/>
  <c r="T2826" i="12"/>
  <c r="U2826" i="12"/>
  <c r="T2827" i="12"/>
  <c r="U2827" i="12"/>
  <c r="T2828" i="12"/>
  <c r="U2828" i="12"/>
  <c r="T2829" i="12"/>
  <c r="U2829" i="12"/>
  <c r="T2830" i="12"/>
  <c r="U2830" i="12"/>
  <c r="T2831" i="12"/>
  <c r="U2831" i="12"/>
  <c r="T2832" i="12"/>
  <c r="U2832" i="12"/>
  <c r="T2833" i="12"/>
  <c r="U2833" i="12"/>
  <c r="T2834" i="12"/>
  <c r="U2834" i="12"/>
  <c r="T2835" i="12"/>
  <c r="U2835" i="12"/>
  <c r="T2836" i="12"/>
  <c r="U2836" i="12"/>
  <c r="T2837" i="12"/>
  <c r="U2837" i="12"/>
  <c r="T2838" i="12"/>
  <c r="U2838" i="12"/>
  <c r="T2839" i="12"/>
  <c r="U2839" i="12"/>
  <c r="T2840" i="12"/>
  <c r="U2840" i="12"/>
  <c r="T2841" i="12"/>
  <c r="U2841" i="12"/>
  <c r="T2842" i="12"/>
  <c r="U2842" i="12"/>
  <c r="T2843" i="12"/>
  <c r="U2843" i="12"/>
  <c r="T2844" i="12"/>
  <c r="U2844" i="12"/>
  <c r="T2845" i="12"/>
  <c r="U2845" i="12"/>
  <c r="T2846" i="12"/>
  <c r="U2846" i="12"/>
  <c r="T2847" i="12"/>
  <c r="U2847" i="12"/>
  <c r="T2848" i="12"/>
  <c r="U2848" i="12"/>
  <c r="T2849" i="12"/>
  <c r="U2849" i="12"/>
  <c r="T2850" i="12"/>
  <c r="U2850" i="12"/>
  <c r="T2851" i="12"/>
  <c r="U2851" i="12"/>
  <c r="T2852" i="12"/>
  <c r="U2852" i="12"/>
  <c r="T2853" i="12"/>
  <c r="U2853" i="12"/>
  <c r="T2854" i="12"/>
  <c r="U2854" i="12"/>
  <c r="T2855" i="12"/>
  <c r="U2855" i="12"/>
  <c r="T2856" i="12"/>
  <c r="U2856" i="12"/>
  <c r="T2857" i="12"/>
  <c r="U2857" i="12"/>
  <c r="T2858" i="12"/>
  <c r="U2858" i="12"/>
  <c r="T2859" i="12"/>
  <c r="U2859" i="12"/>
  <c r="T2860" i="12"/>
  <c r="U2860" i="12"/>
  <c r="T2861" i="12"/>
  <c r="U2861" i="12"/>
  <c r="T2862" i="12"/>
  <c r="U2862" i="12"/>
  <c r="T2863" i="12"/>
  <c r="U2863" i="12"/>
  <c r="T2864" i="12"/>
  <c r="U2864" i="12"/>
  <c r="T2865" i="12"/>
  <c r="U2865" i="12"/>
  <c r="T2866" i="12"/>
  <c r="U2866" i="12"/>
  <c r="T2867" i="12"/>
  <c r="U2867" i="12"/>
  <c r="T2868" i="12"/>
  <c r="U2868" i="12"/>
  <c r="T2869" i="12"/>
  <c r="U2869" i="12"/>
  <c r="T2870" i="12"/>
  <c r="U2870" i="12"/>
  <c r="T2871" i="12"/>
  <c r="U2871" i="12"/>
  <c r="T2872" i="12"/>
  <c r="U2872" i="12"/>
  <c r="T2873" i="12"/>
  <c r="U2873" i="12"/>
  <c r="T2874" i="12"/>
  <c r="U2874" i="12"/>
  <c r="T2875" i="12"/>
  <c r="U2875" i="12"/>
  <c r="T2876" i="12"/>
  <c r="U2876" i="12"/>
  <c r="T2877" i="12"/>
  <c r="U2877" i="12"/>
  <c r="T2878" i="12"/>
  <c r="U2878" i="12"/>
  <c r="T2879" i="12"/>
  <c r="U2879" i="12"/>
  <c r="T2880" i="12"/>
  <c r="U2880" i="12"/>
  <c r="T2881" i="12"/>
  <c r="U2881" i="12"/>
  <c r="T2882" i="12"/>
  <c r="U2882" i="12"/>
  <c r="T2883" i="12"/>
  <c r="U2883" i="12"/>
  <c r="T2884" i="12"/>
  <c r="U2884" i="12"/>
  <c r="T2885" i="12"/>
  <c r="U2885" i="12"/>
  <c r="T2886" i="12"/>
  <c r="U2886" i="12"/>
  <c r="T2887" i="12"/>
  <c r="U2887" i="12"/>
  <c r="T2888" i="12"/>
  <c r="U2888" i="12"/>
  <c r="T2889" i="12"/>
  <c r="U2889" i="12"/>
  <c r="T2890" i="12"/>
  <c r="U2890" i="12"/>
  <c r="T2891" i="12"/>
  <c r="U2891" i="12"/>
  <c r="T2892" i="12"/>
  <c r="U2892" i="12"/>
  <c r="T2893" i="12"/>
  <c r="U2893" i="12"/>
  <c r="T2894" i="12"/>
  <c r="U2894" i="12"/>
  <c r="T2895" i="12"/>
  <c r="U2895" i="12"/>
  <c r="T2896" i="12"/>
  <c r="U2896" i="12"/>
  <c r="T2897" i="12"/>
  <c r="U2897" i="12"/>
  <c r="T2898" i="12"/>
  <c r="U2898" i="12"/>
  <c r="T2899" i="12"/>
  <c r="U2899" i="12"/>
  <c r="T2900" i="12"/>
  <c r="U2900" i="12"/>
  <c r="T2901" i="12"/>
  <c r="U2901" i="12"/>
  <c r="T2902" i="12"/>
  <c r="U2902" i="12"/>
  <c r="T2903" i="12"/>
  <c r="U2903" i="12"/>
  <c r="T2904" i="12"/>
  <c r="U2904" i="12"/>
  <c r="T2905" i="12"/>
  <c r="U2905" i="12"/>
  <c r="T2906" i="12"/>
  <c r="U2906" i="12"/>
  <c r="T2907" i="12"/>
  <c r="U2907" i="12"/>
  <c r="T2908" i="12"/>
  <c r="U2908" i="12"/>
  <c r="T2909" i="12"/>
  <c r="U2909" i="12"/>
  <c r="T2910" i="12"/>
  <c r="U2910" i="12"/>
  <c r="T2911" i="12"/>
  <c r="U2911" i="12"/>
  <c r="T2912" i="12"/>
  <c r="U2912" i="12"/>
  <c r="T2913" i="12"/>
  <c r="U2913" i="12"/>
  <c r="T2914" i="12"/>
  <c r="U2914" i="12"/>
  <c r="T2915" i="12"/>
  <c r="U2915" i="12"/>
  <c r="T2916" i="12"/>
  <c r="U2916" i="12"/>
  <c r="T2917" i="12"/>
  <c r="U2917" i="12"/>
  <c r="T2918" i="12"/>
  <c r="U2918" i="12"/>
  <c r="T2919" i="12"/>
  <c r="U2919" i="12"/>
  <c r="T2920" i="12"/>
  <c r="U2920" i="12"/>
  <c r="T2921" i="12"/>
  <c r="U2921" i="12"/>
  <c r="T2922" i="12"/>
  <c r="U2922" i="12"/>
  <c r="T2923" i="12"/>
  <c r="U2923" i="12"/>
  <c r="T2924" i="12"/>
  <c r="U2924" i="12"/>
  <c r="T2925" i="12"/>
  <c r="U2925" i="12"/>
  <c r="T2926" i="12"/>
  <c r="U2926" i="12"/>
  <c r="T2927" i="12"/>
  <c r="U2927" i="12"/>
  <c r="T2928" i="12"/>
  <c r="U2928" i="12"/>
  <c r="T2929" i="12"/>
  <c r="U2929" i="12"/>
  <c r="T2930" i="12"/>
  <c r="U2930" i="12"/>
  <c r="T2931" i="12"/>
  <c r="U2931" i="12"/>
  <c r="T2932" i="12"/>
  <c r="U2932" i="12"/>
  <c r="T2933" i="12"/>
  <c r="U2933" i="12"/>
  <c r="T2934" i="12"/>
  <c r="U2934" i="12"/>
  <c r="T2935" i="12"/>
  <c r="U2935" i="12"/>
  <c r="T2936" i="12"/>
  <c r="U2936" i="12"/>
  <c r="T2937" i="12"/>
  <c r="U2937" i="12"/>
  <c r="T2938" i="12"/>
  <c r="U2938" i="12"/>
  <c r="T2939" i="12"/>
  <c r="U2939" i="12"/>
  <c r="T2940" i="12"/>
  <c r="U2940" i="12"/>
  <c r="T2941" i="12"/>
  <c r="U2941" i="12"/>
  <c r="T2942" i="12"/>
  <c r="U2942" i="12"/>
  <c r="T2943" i="12"/>
  <c r="U2943" i="12"/>
  <c r="T2944" i="12"/>
  <c r="U2944" i="12"/>
  <c r="T2945" i="12"/>
  <c r="U2945" i="12"/>
  <c r="T2946" i="12"/>
  <c r="U2946" i="12"/>
  <c r="T2947" i="12"/>
  <c r="U2947" i="12"/>
  <c r="T2948" i="12"/>
  <c r="U2948" i="12"/>
  <c r="T2949" i="12"/>
  <c r="U2949" i="12"/>
  <c r="T2950" i="12"/>
  <c r="U2950" i="12"/>
  <c r="T2951" i="12"/>
  <c r="U2951" i="12"/>
  <c r="T2952" i="12"/>
  <c r="U2952" i="12"/>
  <c r="T2953" i="12"/>
  <c r="U2953" i="12"/>
  <c r="T2954" i="12"/>
  <c r="U2954" i="12"/>
  <c r="T2955" i="12"/>
  <c r="U2955" i="12"/>
  <c r="T2956" i="12"/>
  <c r="U2956" i="12"/>
  <c r="T2957" i="12"/>
  <c r="U2957" i="12"/>
  <c r="T2958" i="12"/>
  <c r="U2958" i="12"/>
  <c r="T2959" i="12"/>
  <c r="U2959" i="12"/>
  <c r="T2960" i="12"/>
  <c r="U2960" i="12"/>
  <c r="T2961" i="12"/>
  <c r="U2961" i="12"/>
  <c r="T2962" i="12"/>
  <c r="U2962" i="12"/>
  <c r="T2963" i="12"/>
  <c r="U2963" i="12"/>
  <c r="T2964" i="12"/>
  <c r="U2964" i="12"/>
  <c r="T2965" i="12"/>
  <c r="U2965" i="12"/>
  <c r="T2966" i="12"/>
  <c r="U2966" i="12"/>
  <c r="T2967" i="12"/>
  <c r="U2967" i="12"/>
  <c r="T2968" i="12"/>
  <c r="U2968" i="12"/>
  <c r="T2969" i="12"/>
  <c r="U2969" i="12"/>
  <c r="T2970" i="12"/>
  <c r="U2970" i="12"/>
  <c r="T2971" i="12"/>
  <c r="U2971" i="12"/>
  <c r="T2972" i="12"/>
  <c r="U2972" i="12"/>
  <c r="T2973" i="12"/>
  <c r="U2973" i="12"/>
  <c r="T2974" i="12"/>
  <c r="U2974" i="12"/>
  <c r="T2975" i="12"/>
  <c r="U2975" i="12"/>
  <c r="T2976" i="12"/>
  <c r="U2976" i="12"/>
  <c r="T2977" i="12"/>
  <c r="U2977" i="12"/>
  <c r="T2978" i="12"/>
  <c r="U2978" i="12"/>
  <c r="T2979" i="12"/>
  <c r="U2979" i="12"/>
  <c r="T2980" i="12"/>
  <c r="U2980" i="12"/>
  <c r="T2981" i="12"/>
  <c r="U2981" i="12"/>
  <c r="T2982" i="12"/>
  <c r="U2982" i="12"/>
  <c r="T2983" i="12"/>
  <c r="U2983" i="12"/>
  <c r="T2984" i="12"/>
  <c r="U2984" i="12"/>
  <c r="T2985" i="12"/>
  <c r="U2985" i="12"/>
  <c r="T2986" i="12"/>
  <c r="U2986" i="12"/>
  <c r="T2987" i="12"/>
  <c r="U2987" i="12"/>
  <c r="T2988" i="12"/>
  <c r="U2988" i="12"/>
  <c r="T2989" i="12"/>
  <c r="U2989" i="12"/>
  <c r="T2990" i="12"/>
  <c r="U2990" i="12"/>
  <c r="T2991" i="12"/>
  <c r="U2991" i="12"/>
  <c r="T2992" i="12"/>
  <c r="U2992" i="12"/>
  <c r="T2993" i="12"/>
  <c r="U2993" i="12"/>
  <c r="T2994" i="12"/>
  <c r="U2994" i="12"/>
  <c r="T2995" i="12"/>
  <c r="U2995" i="12"/>
  <c r="T2996" i="12"/>
  <c r="U2996" i="12"/>
  <c r="T2997" i="12"/>
  <c r="U2997" i="12"/>
  <c r="T2998" i="12"/>
  <c r="U2998" i="12"/>
  <c r="T2999" i="12"/>
  <c r="U2999" i="12"/>
  <c r="T3000" i="12"/>
  <c r="U3000" i="12"/>
  <c r="T3001" i="12"/>
  <c r="U3001" i="12"/>
  <c r="T3002" i="12"/>
  <c r="U3002" i="12"/>
  <c r="T3003" i="12"/>
  <c r="U3003" i="12"/>
  <c r="T3004" i="12"/>
  <c r="U3004" i="12"/>
  <c r="T3005" i="12"/>
  <c r="U3005" i="12"/>
  <c r="T3006" i="12"/>
  <c r="U3006" i="12"/>
  <c r="T3007" i="12"/>
  <c r="U3007" i="12"/>
  <c r="T3008" i="12"/>
  <c r="U3008" i="12"/>
  <c r="T3009" i="12"/>
  <c r="U3009" i="12"/>
  <c r="T3010" i="12"/>
  <c r="U3010" i="12"/>
  <c r="T3011" i="12"/>
  <c r="U3011" i="12"/>
  <c r="T3012" i="12"/>
  <c r="U3012" i="12"/>
  <c r="T3013" i="12"/>
  <c r="U3013" i="12"/>
  <c r="T3014" i="12"/>
  <c r="U3014" i="12"/>
  <c r="T3015" i="12"/>
  <c r="U3015" i="12"/>
  <c r="T3016" i="12"/>
  <c r="U3016" i="12"/>
  <c r="T3017" i="12"/>
  <c r="U3017" i="12"/>
  <c r="T3018" i="12"/>
  <c r="U3018" i="12"/>
  <c r="T3019" i="12"/>
  <c r="U3019" i="12"/>
  <c r="T3020" i="12"/>
  <c r="U3020" i="12"/>
  <c r="T3021" i="12"/>
  <c r="U3021" i="12"/>
  <c r="T3022" i="12"/>
  <c r="U3022" i="12"/>
  <c r="T3023" i="12"/>
  <c r="U3023" i="12"/>
  <c r="T3024" i="12"/>
  <c r="U3024" i="12"/>
  <c r="T3025" i="12"/>
  <c r="U3025" i="12"/>
  <c r="T3026" i="12"/>
  <c r="U3026" i="12"/>
  <c r="T3027" i="12"/>
  <c r="U3027" i="12"/>
  <c r="T3028" i="12"/>
  <c r="U3028" i="12"/>
  <c r="T3029" i="12"/>
  <c r="U3029" i="12"/>
  <c r="T3030" i="12"/>
  <c r="U3030" i="12"/>
  <c r="T3031" i="12"/>
  <c r="U3031" i="12"/>
  <c r="T3032" i="12"/>
  <c r="U3032" i="12"/>
  <c r="T3033" i="12"/>
  <c r="U3033" i="12"/>
  <c r="T3034" i="12"/>
  <c r="U3034" i="12"/>
  <c r="T3035" i="12"/>
  <c r="U3035" i="12"/>
  <c r="T3036" i="12"/>
  <c r="U3036" i="12"/>
  <c r="T3037" i="12"/>
  <c r="U3037" i="12"/>
  <c r="T3038" i="12"/>
  <c r="U3038" i="12"/>
  <c r="T3039" i="12"/>
  <c r="U3039" i="12"/>
  <c r="T3040" i="12"/>
  <c r="U3040" i="12"/>
  <c r="T3041" i="12"/>
  <c r="U3041" i="12"/>
  <c r="T3042" i="12"/>
  <c r="U3042" i="12"/>
  <c r="T3043" i="12"/>
  <c r="U3043" i="12"/>
  <c r="T3044" i="12"/>
  <c r="U3044" i="12"/>
  <c r="T3045" i="12"/>
  <c r="U3045" i="12"/>
  <c r="T3046" i="12"/>
  <c r="U3046" i="12"/>
  <c r="T3047" i="12"/>
  <c r="U3047" i="12"/>
  <c r="T3048" i="12"/>
  <c r="U3048" i="12"/>
  <c r="T3049" i="12"/>
  <c r="U3049" i="12"/>
  <c r="T3050" i="12"/>
  <c r="U3050" i="12"/>
  <c r="T3051" i="12"/>
  <c r="U3051" i="12"/>
  <c r="T3052" i="12"/>
  <c r="U3052" i="12"/>
  <c r="T3053" i="12"/>
  <c r="U3053" i="12"/>
  <c r="T3054" i="12"/>
  <c r="U3054" i="12"/>
  <c r="T3055" i="12"/>
  <c r="U3055" i="12"/>
  <c r="T3056" i="12"/>
  <c r="U3056" i="12"/>
  <c r="T3057" i="12"/>
  <c r="U3057" i="12"/>
  <c r="T3058" i="12"/>
  <c r="U3058" i="12"/>
  <c r="T3059" i="12"/>
  <c r="U3059" i="12"/>
  <c r="T3060" i="12"/>
  <c r="U3060" i="12"/>
  <c r="T3061" i="12"/>
  <c r="U3061" i="12"/>
  <c r="T3062" i="12"/>
  <c r="U3062" i="12"/>
  <c r="T3063" i="12"/>
  <c r="U3063" i="12"/>
  <c r="T3064" i="12"/>
  <c r="U3064" i="12"/>
  <c r="T3065" i="12"/>
  <c r="U3065" i="12"/>
  <c r="T3066" i="12"/>
  <c r="U3066" i="12"/>
  <c r="T3067" i="12"/>
  <c r="U3067" i="12"/>
  <c r="T3068" i="12"/>
  <c r="U3068" i="12"/>
  <c r="T3069" i="12"/>
  <c r="U3069" i="12"/>
  <c r="T3070" i="12"/>
  <c r="U3070" i="12"/>
  <c r="T3071" i="12"/>
  <c r="U3071" i="12"/>
  <c r="T3072" i="12"/>
  <c r="U3072" i="12"/>
  <c r="T3073" i="12"/>
  <c r="U3073" i="12"/>
  <c r="T3074" i="12"/>
  <c r="U3074" i="12"/>
  <c r="T3075" i="12"/>
  <c r="U3075" i="12"/>
  <c r="T3076" i="12"/>
  <c r="U3076" i="12"/>
  <c r="T3077" i="12"/>
  <c r="U3077" i="12"/>
  <c r="T3078" i="12"/>
  <c r="U3078" i="12"/>
  <c r="T3079" i="12"/>
  <c r="U3079" i="12"/>
  <c r="T3080" i="12"/>
  <c r="U3080" i="12"/>
  <c r="T3081" i="12"/>
  <c r="U3081" i="12"/>
  <c r="T3082" i="12"/>
  <c r="U3082" i="12"/>
  <c r="T3083" i="12"/>
  <c r="U3083" i="12"/>
  <c r="T3084" i="12"/>
  <c r="U3084" i="12"/>
  <c r="T3085" i="12"/>
  <c r="U3085" i="12"/>
  <c r="T3086" i="12"/>
  <c r="U3086" i="12"/>
  <c r="T3087" i="12"/>
  <c r="U3087" i="12"/>
  <c r="T3088" i="12"/>
  <c r="U3088" i="12"/>
  <c r="T3089" i="12"/>
  <c r="U3089" i="12"/>
  <c r="T3090" i="12"/>
  <c r="U3090" i="12"/>
  <c r="T3091" i="12"/>
  <c r="U3091" i="12"/>
  <c r="T3092" i="12"/>
  <c r="U3092" i="12"/>
  <c r="T3093" i="12"/>
  <c r="U3093" i="12"/>
  <c r="T3094" i="12"/>
  <c r="U3094" i="12"/>
  <c r="T3095" i="12"/>
  <c r="U3095" i="12"/>
  <c r="T3096" i="12"/>
  <c r="U3096" i="12"/>
  <c r="T3097" i="12"/>
  <c r="U3097" i="12"/>
  <c r="T3098" i="12"/>
  <c r="U3098" i="12"/>
  <c r="T3099" i="12"/>
  <c r="U3099" i="12"/>
  <c r="T3100" i="12"/>
  <c r="U3100" i="12"/>
  <c r="T3101" i="12"/>
  <c r="U3101" i="12"/>
  <c r="T3102" i="12"/>
  <c r="U3102" i="12"/>
  <c r="T3103" i="12"/>
  <c r="U3103" i="12"/>
  <c r="T3104" i="12"/>
  <c r="U3104" i="12"/>
  <c r="T3105" i="12"/>
  <c r="U3105" i="12"/>
  <c r="T3106" i="12"/>
  <c r="U3106" i="12"/>
  <c r="T3107" i="12"/>
  <c r="U3107" i="12"/>
  <c r="T3108" i="12"/>
  <c r="U3108" i="12"/>
  <c r="T3109" i="12"/>
  <c r="U3109" i="12"/>
  <c r="T3110" i="12"/>
  <c r="U3110" i="12"/>
  <c r="T3111" i="12"/>
  <c r="U3111" i="12"/>
  <c r="T3112" i="12"/>
  <c r="U3112" i="12"/>
  <c r="T3113" i="12"/>
  <c r="U3113" i="12"/>
  <c r="T3114" i="12"/>
  <c r="U3114" i="12"/>
  <c r="T3115" i="12"/>
  <c r="U3115" i="12"/>
  <c r="T3116" i="12"/>
  <c r="U3116" i="12"/>
  <c r="T3117" i="12"/>
  <c r="U3117" i="12"/>
  <c r="T3118" i="12"/>
  <c r="U3118" i="12"/>
  <c r="T3119" i="12"/>
  <c r="U3119" i="12"/>
  <c r="T3120" i="12"/>
  <c r="U3120" i="12"/>
  <c r="T3121" i="12"/>
  <c r="U3121" i="12"/>
  <c r="T3122" i="12"/>
  <c r="U3122" i="12"/>
  <c r="T3123" i="12"/>
  <c r="U3123" i="12"/>
  <c r="T3124" i="12"/>
  <c r="U3124" i="12"/>
  <c r="T3125" i="12"/>
  <c r="U3125" i="12"/>
  <c r="T3126" i="12"/>
  <c r="U3126" i="12"/>
  <c r="T3127" i="12"/>
  <c r="U3127" i="12"/>
  <c r="T3128" i="12"/>
  <c r="U3128" i="12"/>
  <c r="T3129" i="12"/>
  <c r="U3129" i="12"/>
  <c r="T3130" i="12"/>
  <c r="U3130" i="12"/>
  <c r="T3131" i="12"/>
  <c r="U3131" i="12"/>
  <c r="T3132" i="12"/>
  <c r="U3132" i="12"/>
  <c r="T3133" i="12"/>
  <c r="U3133" i="12"/>
  <c r="T3134" i="12"/>
  <c r="U3134" i="12"/>
  <c r="T3135" i="12"/>
  <c r="U3135" i="12"/>
  <c r="T3136" i="12"/>
  <c r="U3136" i="12"/>
  <c r="T3137" i="12"/>
  <c r="U3137" i="12"/>
  <c r="T3138" i="12"/>
  <c r="U3138" i="12"/>
  <c r="T3139" i="12"/>
  <c r="U3139" i="12"/>
  <c r="T3140" i="12"/>
  <c r="U3140" i="12"/>
  <c r="T3141" i="12"/>
  <c r="U3141" i="12"/>
  <c r="T3142" i="12"/>
  <c r="U3142" i="12"/>
  <c r="T3143" i="12"/>
  <c r="U3143" i="12"/>
  <c r="T3144" i="12"/>
  <c r="U3144" i="12"/>
  <c r="T3145" i="12"/>
  <c r="U3145" i="12"/>
  <c r="T3146" i="12"/>
  <c r="U3146" i="12"/>
  <c r="T3147" i="12"/>
  <c r="U3147" i="12"/>
  <c r="T3148" i="12"/>
  <c r="U3148" i="12"/>
  <c r="T3149" i="12"/>
  <c r="U3149" i="12"/>
  <c r="T3150" i="12"/>
  <c r="U3150" i="12"/>
  <c r="T3151" i="12"/>
  <c r="U3151" i="12"/>
  <c r="T3152" i="12"/>
  <c r="U3152" i="12"/>
  <c r="T3153" i="12"/>
  <c r="U3153" i="12"/>
  <c r="T3154" i="12"/>
  <c r="U3154" i="12"/>
  <c r="T3155" i="12"/>
  <c r="U3155" i="12"/>
  <c r="T3156" i="12"/>
  <c r="U3156" i="12"/>
  <c r="T3157" i="12"/>
  <c r="U3157" i="12"/>
  <c r="T3158" i="12"/>
  <c r="U3158" i="12"/>
  <c r="T3159" i="12"/>
  <c r="U3159" i="12"/>
  <c r="T3160" i="12"/>
  <c r="U3160" i="12"/>
  <c r="T3161" i="12"/>
  <c r="U3161" i="12"/>
  <c r="T3162" i="12"/>
  <c r="U3162" i="12"/>
  <c r="T3163" i="12"/>
  <c r="U3163" i="12"/>
  <c r="T3164" i="12"/>
  <c r="U3164" i="12"/>
  <c r="T3165" i="12"/>
  <c r="U3165" i="12"/>
  <c r="T3166" i="12"/>
  <c r="U3166" i="12"/>
  <c r="T3167" i="12"/>
  <c r="U3167" i="12"/>
  <c r="T3168" i="12"/>
  <c r="U3168" i="12"/>
  <c r="T3169" i="12"/>
  <c r="U3169" i="12"/>
  <c r="T3170" i="12"/>
  <c r="U3170" i="12"/>
  <c r="T3171" i="12"/>
  <c r="U3171" i="12"/>
  <c r="T3172" i="12"/>
  <c r="U3172" i="12"/>
  <c r="T3173" i="12"/>
  <c r="U3173" i="12"/>
  <c r="T3174" i="12"/>
  <c r="U3174" i="12"/>
  <c r="T3175" i="12"/>
  <c r="U3175" i="12"/>
  <c r="T3176" i="12"/>
  <c r="U3176" i="12"/>
  <c r="T3177" i="12"/>
  <c r="U3177" i="12"/>
  <c r="T3178" i="12"/>
  <c r="U3178" i="12"/>
  <c r="T3179" i="12"/>
  <c r="U3179" i="12"/>
  <c r="T3180" i="12"/>
  <c r="U3180" i="12"/>
  <c r="T3181" i="12"/>
  <c r="U3181" i="12"/>
  <c r="T3182" i="12"/>
  <c r="U3182" i="12"/>
  <c r="T3183" i="12"/>
  <c r="U3183" i="12"/>
  <c r="T3184" i="12"/>
  <c r="U3184" i="12"/>
  <c r="T3185" i="12"/>
  <c r="U3185" i="12"/>
  <c r="T3186" i="12"/>
  <c r="U3186" i="12"/>
  <c r="T3187" i="12"/>
  <c r="U3187" i="12"/>
  <c r="T3188" i="12"/>
  <c r="U3188" i="12"/>
  <c r="T3189" i="12"/>
  <c r="U3189" i="12"/>
  <c r="T3190" i="12"/>
  <c r="U3190" i="12"/>
  <c r="T3191" i="12"/>
  <c r="U3191" i="12"/>
  <c r="T3192" i="12"/>
  <c r="U3192" i="12"/>
  <c r="T3193" i="12"/>
  <c r="U3193" i="12"/>
  <c r="T3194" i="12"/>
  <c r="U3194" i="12"/>
  <c r="T3195" i="12"/>
  <c r="U3195" i="12"/>
  <c r="T3196" i="12"/>
  <c r="U3196" i="12"/>
  <c r="T3197" i="12"/>
  <c r="U3197" i="12"/>
  <c r="T3198" i="12"/>
  <c r="U3198" i="12"/>
  <c r="T3199" i="12"/>
  <c r="U3199" i="12"/>
  <c r="T3200" i="12"/>
  <c r="U3200" i="12"/>
  <c r="T3201" i="12"/>
  <c r="U3201" i="12"/>
  <c r="T3202" i="12"/>
  <c r="U3202" i="12"/>
  <c r="T3203" i="12"/>
  <c r="U3203" i="12"/>
  <c r="T3204" i="12"/>
  <c r="U3204" i="12"/>
  <c r="T3205" i="12"/>
  <c r="U3205" i="12"/>
  <c r="T3206" i="12"/>
  <c r="U3206" i="12"/>
  <c r="T3207" i="12"/>
  <c r="U3207" i="12"/>
  <c r="T3208" i="12"/>
  <c r="U3208" i="12"/>
  <c r="T3209" i="12"/>
  <c r="U3209" i="12"/>
  <c r="T3210" i="12"/>
  <c r="U3210" i="12"/>
  <c r="T3211" i="12"/>
  <c r="U3211" i="12"/>
  <c r="T3212" i="12"/>
  <c r="U3212" i="12"/>
  <c r="T3213" i="12"/>
  <c r="U3213" i="12"/>
  <c r="T3214" i="12"/>
  <c r="U3214" i="12"/>
  <c r="T3215" i="12"/>
  <c r="U3215" i="12"/>
  <c r="T3216" i="12"/>
  <c r="U3216" i="12"/>
  <c r="T3217" i="12"/>
  <c r="U3217" i="12"/>
  <c r="T3218" i="12"/>
  <c r="U3218" i="12"/>
  <c r="T3219" i="12"/>
  <c r="U3219" i="12"/>
  <c r="T3220" i="12"/>
  <c r="U3220" i="12"/>
  <c r="T3221" i="12"/>
  <c r="U3221" i="12"/>
  <c r="T3222" i="12"/>
  <c r="U3222" i="12"/>
  <c r="T3223" i="12"/>
  <c r="U3223" i="12"/>
  <c r="T3224" i="12"/>
  <c r="U3224" i="12"/>
  <c r="T3225" i="12"/>
  <c r="U3225" i="12"/>
  <c r="T3226" i="12"/>
  <c r="U3226" i="12"/>
  <c r="T3227" i="12"/>
  <c r="U3227" i="12"/>
  <c r="T3228" i="12"/>
  <c r="U3228" i="12"/>
  <c r="T3229" i="12"/>
  <c r="U3229" i="12"/>
  <c r="T3230" i="12"/>
  <c r="U3230" i="12"/>
  <c r="T3231" i="12"/>
  <c r="U3231" i="12"/>
  <c r="T3232" i="12"/>
  <c r="U3232" i="12"/>
  <c r="T3233" i="12"/>
  <c r="U3233" i="12"/>
  <c r="T3234" i="12"/>
  <c r="U3234" i="12"/>
  <c r="T3235" i="12"/>
  <c r="U3235" i="12"/>
  <c r="T3236" i="12"/>
  <c r="U3236" i="12"/>
  <c r="T3237" i="12"/>
  <c r="U3237" i="12"/>
  <c r="T3238" i="12"/>
  <c r="U3238" i="12"/>
  <c r="T3239" i="12"/>
  <c r="U3239" i="12"/>
  <c r="T3240" i="12"/>
  <c r="U3240" i="12"/>
  <c r="T3241" i="12"/>
  <c r="U3241" i="12"/>
  <c r="T3242" i="12"/>
  <c r="U3242" i="12"/>
  <c r="T3243" i="12"/>
  <c r="U3243" i="12"/>
  <c r="T3244" i="12"/>
  <c r="U3244" i="12"/>
  <c r="T3245" i="12"/>
  <c r="U3245" i="12"/>
  <c r="T3246" i="12"/>
  <c r="U3246" i="12"/>
  <c r="T3247" i="12"/>
  <c r="U3247" i="12"/>
  <c r="T3248" i="12"/>
  <c r="U3248" i="12"/>
  <c r="T3249" i="12"/>
  <c r="U3249" i="12"/>
  <c r="T3250" i="12"/>
  <c r="U3250" i="12"/>
  <c r="T3251" i="12"/>
  <c r="U3251" i="12"/>
  <c r="T3252" i="12"/>
  <c r="U3252" i="12"/>
  <c r="T3253" i="12"/>
  <c r="U3253" i="12"/>
  <c r="T3254" i="12"/>
  <c r="U3254" i="12"/>
  <c r="T3255" i="12"/>
  <c r="U3255" i="12"/>
  <c r="T3256" i="12"/>
  <c r="U3256" i="12"/>
  <c r="T3257" i="12"/>
  <c r="U3257" i="12"/>
  <c r="T3258" i="12"/>
  <c r="U3258" i="12"/>
  <c r="T3259" i="12"/>
  <c r="U3259" i="12"/>
  <c r="T3260" i="12"/>
  <c r="U3260" i="12"/>
  <c r="T3261" i="12"/>
  <c r="U3261" i="12"/>
  <c r="T3262" i="12"/>
  <c r="U3262" i="12"/>
  <c r="T3263" i="12"/>
  <c r="U3263" i="12"/>
  <c r="T3264" i="12"/>
  <c r="U3264" i="12"/>
  <c r="T3265" i="12"/>
  <c r="U3265" i="12"/>
  <c r="T3266" i="12"/>
  <c r="U3266" i="12"/>
  <c r="T3267" i="12"/>
  <c r="U3267" i="12"/>
  <c r="T3268" i="12"/>
  <c r="U3268" i="12"/>
  <c r="T3269" i="12"/>
  <c r="U3269" i="12"/>
  <c r="T3270" i="12"/>
  <c r="U3270" i="12"/>
  <c r="T3271" i="12"/>
  <c r="U3271" i="12"/>
  <c r="T3272" i="12"/>
  <c r="U3272" i="12"/>
  <c r="T3273" i="12"/>
  <c r="U3273" i="12"/>
  <c r="T3274" i="12"/>
  <c r="U3274" i="12"/>
  <c r="T3275" i="12"/>
  <c r="U3275" i="12"/>
  <c r="T3276" i="12"/>
  <c r="U3276" i="12"/>
  <c r="T3277" i="12"/>
  <c r="U3277" i="12"/>
  <c r="T3278" i="12"/>
  <c r="U3278" i="12"/>
  <c r="T3279" i="12"/>
  <c r="U3279" i="12"/>
  <c r="T3280" i="12"/>
  <c r="U3280" i="12"/>
  <c r="T3281" i="12"/>
  <c r="U3281" i="12"/>
  <c r="T3282" i="12"/>
  <c r="U3282" i="12"/>
  <c r="T3283" i="12"/>
  <c r="U3283" i="12"/>
  <c r="T3284" i="12"/>
  <c r="U3284" i="12"/>
  <c r="T3285" i="12"/>
  <c r="U3285" i="12"/>
  <c r="T3286" i="12"/>
  <c r="U3286" i="12"/>
  <c r="T3287" i="12"/>
  <c r="U3287" i="12"/>
  <c r="T3288" i="12"/>
  <c r="U3288" i="12"/>
  <c r="T3289" i="12"/>
  <c r="U3289" i="12"/>
  <c r="T3290" i="12"/>
  <c r="U3290" i="12"/>
  <c r="T3291" i="12"/>
  <c r="U3291" i="12"/>
  <c r="T3292" i="12"/>
  <c r="U3292" i="12"/>
  <c r="T3293" i="12"/>
  <c r="U3293" i="12"/>
  <c r="T3294" i="12"/>
  <c r="U3294" i="12"/>
  <c r="T3295" i="12"/>
  <c r="U3295" i="12"/>
  <c r="T3296" i="12"/>
  <c r="U3296" i="12"/>
  <c r="T3297" i="12"/>
  <c r="U3297" i="12"/>
  <c r="T3298" i="12"/>
  <c r="U3298" i="12"/>
  <c r="T3299" i="12"/>
  <c r="U3299" i="12"/>
  <c r="T3300" i="12"/>
  <c r="U3300" i="12"/>
  <c r="T3301" i="12"/>
  <c r="U3301" i="12"/>
  <c r="T3302" i="12"/>
  <c r="U3302" i="12"/>
  <c r="T3303" i="12"/>
  <c r="U3303" i="12"/>
  <c r="T3304" i="12"/>
  <c r="U3304" i="12"/>
  <c r="T3305" i="12"/>
  <c r="U3305" i="12"/>
  <c r="T3306" i="12"/>
  <c r="U3306" i="12"/>
  <c r="T3307" i="12"/>
  <c r="U3307" i="12"/>
  <c r="T3308" i="12"/>
  <c r="U3308" i="12"/>
  <c r="T3309" i="12"/>
  <c r="U3309" i="12"/>
  <c r="T3310" i="12"/>
  <c r="U3310" i="12"/>
  <c r="T3311" i="12"/>
  <c r="U3311" i="12"/>
  <c r="T3312" i="12"/>
  <c r="U3312" i="12"/>
  <c r="T3313" i="12"/>
  <c r="U3313" i="12"/>
  <c r="T3314" i="12"/>
  <c r="U3314" i="12"/>
  <c r="T3315" i="12"/>
  <c r="U3315" i="12"/>
  <c r="T3316" i="12"/>
  <c r="U3316" i="12"/>
  <c r="T3317" i="12"/>
  <c r="U3317" i="12"/>
  <c r="T3318" i="12"/>
  <c r="U3318" i="12"/>
  <c r="T3319" i="12"/>
  <c r="U3319" i="12"/>
  <c r="T3320" i="12"/>
  <c r="U3320" i="12"/>
  <c r="T3321" i="12"/>
  <c r="U3321" i="12"/>
  <c r="T3322" i="12"/>
  <c r="U3322" i="12"/>
  <c r="T3323" i="12"/>
  <c r="U3323" i="12"/>
  <c r="T3324" i="12"/>
  <c r="U3324" i="12"/>
  <c r="T3325" i="12"/>
  <c r="U3325" i="12"/>
  <c r="T3326" i="12"/>
  <c r="U3326" i="12"/>
  <c r="T3327" i="12"/>
  <c r="U3327" i="12"/>
  <c r="T3328" i="12"/>
  <c r="U3328" i="12"/>
  <c r="T3329" i="12"/>
  <c r="U3329" i="12"/>
  <c r="T3330" i="12"/>
  <c r="U3330" i="12"/>
  <c r="T3331" i="12"/>
  <c r="U3331" i="12"/>
  <c r="T3332" i="12"/>
  <c r="U3332" i="12"/>
  <c r="T3333" i="12"/>
  <c r="U3333" i="12"/>
  <c r="T3334" i="12"/>
  <c r="U3334" i="12"/>
  <c r="T3335" i="12"/>
  <c r="U3335" i="12"/>
  <c r="T3336" i="12"/>
  <c r="U3336" i="12"/>
  <c r="T3337" i="12"/>
  <c r="U3337" i="12"/>
  <c r="T3338" i="12"/>
  <c r="U3338" i="12"/>
  <c r="T3339" i="12"/>
  <c r="U3339" i="12"/>
  <c r="T3340" i="12"/>
  <c r="U3340" i="12"/>
  <c r="T3341" i="12"/>
  <c r="U3341" i="12"/>
  <c r="T3342" i="12"/>
  <c r="U3342" i="12"/>
  <c r="T3343" i="12"/>
  <c r="U3343" i="12"/>
  <c r="T3344" i="12"/>
  <c r="U3344" i="12"/>
  <c r="T3345" i="12"/>
  <c r="U3345" i="12"/>
  <c r="T3346" i="12"/>
  <c r="U3346" i="12"/>
  <c r="T3347" i="12"/>
  <c r="U3347" i="12"/>
  <c r="T3348" i="12"/>
  <c r="U3348" i="12"/>
  <c r="T3349" i="12"/>
  <c r="U3349" i="12"/>
  <c r="T3350" i="12"/>
  <c r="U3350" i="12"/>
  <c r="T3351" i="12"/>
  <c r="U3351" i="12"/>
  <c r="T3352" i="12"/>
  <c r="U3352" i="12"/>
  <c r="T3353" i="12"/>
  <c r="U3353" i="12"/>
  <c r="T3354" i="12"/>
  <c r="U3354" i="12"/>
  <c r="T3355" i="12"/>
  <c r="U3355" i="12"/>
  <c r="T3356" i="12"/>
  <c r="U3356" i="12"/>
  <c r="T3357" i="12"/>
  <c r="U3357" i="12"/>
  <c r="T3358" i="12"/>
  <c r="U3358" i="12"/>
  <c r="T3359" i="12"/>
  <c r="U3359" i="12"/>
  <c r="T3360" i="12"/>
  <c r="U3360" i="12"/>
  <c r="T3361" i="12"/>
  <c r="U3361" i="12"/>
  <c r="T3362" i="12"/>
  <c r="U3362" i="12"/>
  <c r="T3363" i="12"/>
  <c r="U3363" i="12"/>
  <c r="T3364" i="12"/>
  <c r="U3364" i="12"/>
  <c r="T3365" i="12"/>
  <c r="U3365" i="12"/>
  <c r="T3366" i="12"/>
  <c r="U3366" i="12"/>
  <c r="T3367" i="12"/>
  <c r="U3367" i="12"/>
  <c r="T3368" i="12"/>
  <c r="U3368" i="12"/>
  <c r="T3369" i="12"/>
  <c r="U3369" i="12"/>
  <c r="T3370" i="12"/>
  <c r="U3370" i="12"/>
  <c r="T3371" i="12"/>
  <c r="U3371" i="12"/>
  <c r="T3372" i="12"/>
  <c r="U3372" i="12"/>
  <c r="T3373" i="12"/>
  <c r="U3373" i="12"/>
  <c r="T3374" i="12"/>
  <c r="U3374" i="12"/>
  <c r="T3375" i="12"/>
  <c r="U3375" i="12"/>
  <c r="T3376" i="12"/>
  <c r="U3376" i="12"/>
  <c r="T3377" i="12"/>
  <c r="U3377" i="12"/>
  <c r="T3378" i="12"/>
  <c r="U3378" i="12"/>
  <c r="T3379" i="12"/>
  <c r="U3379" i="12"/>
  <c r="T3380" i="12"/>
  <c r="U3380" i="12"/>
  <c r="T3381" i="12"/>
  <c r="U3381" i="12"/>
  <c r="T3382" i="12"/>
  <c r="U3382" i="12"/>
  <c r="T3383" i="12"/>
  <c r="U3383" i="12"/>
  <c r="T3384" i="12"/>
  <c r="U3384" i="12"/>
  <c r="T3385" i="12"/>
  <c r="U3385" i="12"/>
  <c r="T3386" i="12"/>
  <c r="U3386" i="12"/>
  <c r="T3387" i="12"/>
  <c r="U3387" i="12"/>
  <c r="T3388" i="12"/>
  <c r="U3388" i="12"/>
  <c r="T3389" i="12"/>
  <c r="U3389" i="12"/>
  <c r="T3390" i="12"/>
  <c r="U3390" i="12"/>
  <c r="T3391" i="12"/>
  <c r="U3391" i="12"/>
  <c r="T3392" i="12"/>
  <c r="U3392" i="12"/>
  <c r="T3393" i="12"/>
  <c r="U3393" i="12"/>
  <c r="T3394" i="12"/>
  <c r="U3394" i="12"/>
  <c r="T3395" i="12"/>
  <c r="U3395" i="12"/>
  <c r="T3396" i="12"/>
  <c r="U3396" i="12"/>
  <c r="T3397" i="12"/>
  <c r="U3397" i="12"/>
  <c r="T3398" i="12"/>
  <c r="U3398" i="12"/>
  <c r="T3399" i="12"/>
  <c r="U3399" i="12"/>
  <c r="T3400" i="12"/>
  <c r="U3400" i="12"/>
  <c r="T3401" i="12"/>
  <c r="U3401" i="12"/>
  <c r="T3402" i="12"/>
  <c r="U3402" i="12"/>
  <c r="T3403" i="12"/>
  <c r="U3403" i="12"/>
  <c r="T3404" i="12"/>
  <c r="U3404" i="12"/>
  <c r="T3405" i="12"/>
  <c r="U3405" i="12"/>
  <c r="T3406" i="12"/>
  <c r="U3406" i="12"/>
  <c r="T3407" i="12"/>
  <c r="U3407" i="12"/>
  <c r="T3408" i="12"/>
  <c r="U3408" i="12"/>
  <c r="T3409" i="12"/>
  <c r="U3409" i="12"/>
  <c r="T3410" i="12"/>
  <c r="U3410" i="12"/>
  <c r="T3411" i="12"/>
  <c r="U3411" i="12"/>
  <c r="T3412" i="12"/>
  <c r="U3412" i="12"/>
  <c r="T3413" i="12"/>
  <c r="U3413" i="12"/>
  <c r="T3414" i="12"/>
  <c r="U3414" i="12"/>
  <c r="T3415" i="12"/>
  <c r="U3415" i="12"/>
  <c r="T3416" i="12"/>
  <c r="U3416" i="12"/>
  <c r="T3417" i="12"/>
  <c r="U3417" i="12"/>
  <c r="T3418" i="12"/>
  <c r="U3418" i="12"/>
  <c r="T3419" i="12"/>
  <c r="U3419" i="12"/>
  <c r="T3420" i="12"/>
  <c r="U3420" i="12"/>
  <c r="T3421" i="12"/>
  <c r="U3421" i="12"/>
  <c r="T3422" i="12"/>
  <c r="U3422" i="12"/>
  <c r="T3423" i="12"/>
  <c r="U3423" i="12"/>
  <c r="T3424" i="12"/>
  <c r="U3424" i="12"/>
  <c r="T3425" i="12"/>
  <c r="U3425" i="12"/>
  <c r="T3426" i="12"/>
  <c r="U3426" i="12"/>
  <c r="T3427" i="12"/>
  <c r="U3427" i="12"/>
  <c r="T3428" i="12"/>
  <c r="U3428" i="12"/>
  <c r="T3429" i="12"/>
  <c r="U3429" i="12"/>
  <c r="T3430" i="12"/>
  <c r="U3430" i="12"/>
  <c r="T3431" i="12"/>
  <c r="U3431" i="12"/>
  <c r="T3432" i="12"/>
  <c r="U3432" i="12"/>
  <c r="T3433" i="12"/>
  <c r="U3433" i="12"/>
  <c r="T3434" i="12"/>
  <c r="U3434" i="12"/>
  <c r="T3435" i="12"/>
  <c r="U3435" i="12"/>
  <c r="T3436" i="12"/>
  <c r="U3436" i="12"/>
  <c r="T3437" i="12"/>
  <c r="U3437" i="12"/>
  <c r="T3438" i="12"/>
  <c r="U3438" i="12"/>
  <c r="T3439" i="12"/>
  <c r="U3439" i="12"/>
  <c r="T3440" i="12"/>
  <c r="U3440" i="12"/>
  <c r="T3441" i="12"/>
  <c r="U3441" i="12"/>
  <c r="T3442" i="12"/>
  <c r="U3442" i="12"/>
  <c r="T3443" i="12"/>
  <c r="U3443" i="12"/>
  <c r="T3444" i="12"/>
  <c r="U3444" i="12"/>
  <c r="T3445" i="12"/>
  <c r="U3445" i="12"/>
  <c r="T3446" i="12"/>
  <c r="U3446" i="12"/>
  <c r="T3447" i="12"/>
  <c r="U3447" i="12"/>
  <c r="T3448" i="12"/>
  <c r="U3448" i="12"/>
  <c r="T3449" i="12"/>
  <c r="U3449" i="12"/>
  <c r="T3450" i="12"/>
  <c r="U3450" i="12"/>
  <c r="T3451" i="12"/>
  <c r="U3451" i="12"/>
  <c r="T3452" i="12"/>
  <c r="U3452" i="12"/>
  <c r="T3453" i="12"/>
  <c r="U3453" i="12"/>
  <c r="T3454" i="12"/>
  <c r="U3454" i="12"/>
  <c r="T3455" i="12"/>
  <c r="U3455" i="12"/>
  <c r="T3456" i="12"/>
  <c r="U3456" i="12"/>
  <c r="T3457" i="12"/>
  <c r="U3457" i="12"/>
  <c r="T3458" i="12"/>
  <c r="U3458" i="12"/>
  <c r="T3459" i="12"/>
  <c r="U3459" i="12"/>
  <c r="T3460" i="12"/>
  <c r="U3460" i="12"/>
  <c r="T3461" i="12"/>
  <c r="U3461" i="12"/>
  <c r="T3462" i="12"/>
  <c r="U3462" i="12"/>
  <c r="T3463" i="12"/>
  <c r="U3463" i="12"/>
  <c r="T3464" i="12"/>
  <c r="U3464" i="12"/>
  <c r="T3465" i="12"/>
  <c r="U3465" i="12"/>
  <c r="T3466" i="12"/>
  <c r="U3466" i="12"/>
  <c r="T3467" i="12"/>
  <c r="U3467" i="12"/>
  <c r="T3468" i="12"/>
  <c r="U3468" i="12"/>
  <c r="T3469" i="12"/>
  <c r="U3469" i="12"/>
  <c r="T3470" i="12"/>
  <c r="U3470" i="12"/>
  <c r="T3471" i="12"/>
  <c r="U3471" i="12"/>
  <c r="T3472" i="12"/>
  <c r="U3472" i="12"/>
  <c r="T3473" i="12"/>
  <c r="U3473" i="12"/>
  <c r="T3474" i="12"/>
  <c r="U3474" i="12"/>
  <c r="T3475" i="12"/>
  <c r="U3475" i="12"/>
  <c r="T3476" i="12"/>
  <c r="U3476" i="12"/>
  <c r="T3477" i="12"/>
  <c r="U3477" i="12"/>
  <c r="T3478" i="12"/>
  <c r="U3478" i="12"/>
  <c r="T3479" i="12"/>
  <c r="U3479" i="12"/>
  <c r="T3480" i="12"/>
  <c r="U3480" i="12"/>
  <c r="T3481" i="12"/>
  <c r="U3481" i="12"/>
  <c r="T3482" i="12"/>
  <c r="U3482" i="12"/>
  <c r="T3483" i="12"/>
  <c r="U3483" i="12"/>
  <c r="T3484" i="12"/>
  <c r="U3484" i="12"/>
  <c r="T3485" i="12"/>
  <c r="U3485" i="12"/>
  <c r="T3486" i="12"/>
  <c r="U3486" i="12"/>
  <c r="T3487" i="12"/>
  <c r="U3487" i="12"/>
  <c r="T3488" i="12"/>
  <c r="U3488" i="12"/>
  <c r="T3489" i="12"/>
  <c r="U3489" i="12"/>
  <c r="T3490" i="12"/>
  <c r="U3490" i="12"/>
  <c r="T3491" i="12"/>
  <c r="U3491" i="12"/>
  <c r="T3492" i="12"/>
  <c r="U3492" i="12"/>
  <c r="T3493" i="12"/>
  <c r="U3493" i="12"/>
  <c r="T3494" i="12"/>
  <c r="U3494" i="12"/>
  <c r="T3495" i="12"/>
  <c r="U3495" i="12"/>
  <c r="T3496" i="12"/>
  <c r="U3496" i="12"/>
  <c r="T3497" i="12"/>
  <c r="U3497" i="12"/>
  <c r="T3498" i="12"/>
  <c r="U3498" i="12"/>
  <c r="T3499" i="12"/>
  <c r="U3499" i="12"/>
  <c r="T3500" i="12"/>
  <c r="U3500" i="12"/>
  <c r="T3501" i="12"/>
  <c r="U3501" i="12"/>
  <c r="T3502" i="12"/>
  <c r="U3502" i="12"/>
  <c r="T3503" i="12"/>
  <c r="U3503" i="12"/>
  <c r="T3504" i="12"/>
  <c r="U3504" i="12"/>
  <c r="T3505" i="12"/>
  <c r="U3505" i="12"/>
  <c r="T3506" i="12"/>
  <c r="U3506" i="12"/>
  <c r="T3507" i="12"/>
  <c r="U3507" i="12"/>
  <c r="T3508" i="12"/>
  <c r="U3508" i="12"/>
  <c r="T3509" i="12"/>
  <c r="U3509" i="12"/>
  <c r="T3510" i="12"/>
  <c r="U3510" i="12"/>
  <c r="T3511" i="12"/>
  <c r="U3511" i="12"/>
  <c r="T3512" i="12"/>
  <c r="U3512" i="12"/>
  <c r="T3513" i="12"/>
  <c r="U3513" i="12"/>
  <c r="T3514" i="12"/>
  <c r="U3514" i="12"/>
  <c r="T3515" i="12"/>
  <c r="U3515" i="12"/>
  <c r="T3516" i="12"/>
  <c r="U3516" i="12"/>
  <c r="T3517" i="12"/>
  <c r="U3517" i="12"/>
  <c r="T3518" i="12"/>
  <c r="U3518" i="12"/>
  <c r="T3519" i="12"/>
  <c r="U3519" i="12"/>
  <c r="T3520" i="12"/>
  <c r="U3520" i="12"/>
  <c r="T3521" i="12"/>
  <c r="U3521" i="12"/>
  <c r="T3522" i="12"/>
  <c r="U3522" i="12"/>
  <c r="T3523" i="12"/>
  <c r="U3523" i="12"/>
  <c r="T3524" i="12"/>
  <c r="U3524" i="12"/>
  <c r="T3525" i="12"/>
  <c r="U3525" i="12"/>
  <c r="T3526" i="12"/>
  <c r="U3526" i="12"/>
  <c r="T3527" i="12"/>
  <c r="U3527" i="12"/>
  <c r="T3528" i="12"/>
  <c r="U3528" i="12"/>
  <c r="T3529" i="12"/>
  <c r="U3529" i="12"/>
  <c r="T3530" i="12"/>
  <c r="U3530" i="12"/>
  <c r="T3531" i="12"/>
  <c r="U3531" i="12"/>
  <c r="T3532" i="12"/>
  <c r="U3532" i="12"/>
  <c r="T3533" i="12"/>
  <c r="U3533" i="12"/>
  <c r="T3534" i="12"/>
  <c r="U3534" i="12"/>
  <c r="T3535" i="12"/>
  <c r="U3535" i="12"/>
  <c r="T3536" i="12"/>
  <c r="U3536" i="12"/>
  <c r="T3537" i="12"/>
  <c r="U3537" i="12"/>
  <c r="T3538" i="12"/>
  <c r="U3538" i="12"/>
  <c r="T3539" i="12"/>
  <c r="U3539" i="12"/>
  <c r="T3540" i="12"/>
  <c r="U3540" i="12"/>
  <c r="T3541" i="12"/>
  <c r="U3541" i="12"/>
  <c r="T3542" i="12"/>
  <c r="U3542" i="12"/>
  <c r="T3543" i="12"/>
  <c r="U3543" i="12"/>
  <c r="T3544" i="12"/>
  <c r="U3544" i="12"/>
  <c r="T3545" i="12"/>
  <c r="U3545" i="12"/>
  <c r="T3546" i="12"/>
  <c r="U3546" i="12"/>
  <c r="T3547" i="12"/>
  <c r="U3547" i="12"/>
  <c r="T3548" i="12"/>
  <c r="U3548" i="12"/>
  <c r="T3549" i="12"/>
  <c r="U3549" i="12"/>
  <c r="T3550" i="12"/>
  <c r="U3550" i="12"/>
  <c r="T3551" i="12"/>
  <c r="U3551" i="12"/>
  <c r="T3552" i="12"/>
  <c r="U3552" i="12"/>
  <c r="T3553" i="12"/>
  <c r="U3553" i="12"/>
  <c r="T3554" i="12"/>
  <c r="U3554" i="12"/>
  <c r="T3555" i="12"/>
  <c r="U3555" i="12"/>
  <c r="T3556" i="12"/>
  <c r="U3556" i="12"/>
  <c r="T3557" i="12"/>
  <c r="U3557" i="12"/>
  <c r="T3558" i="12"/>
  <c r="U3558" i="12"/>
  <c r="T3559" i="12"/>
  <c r="U3559" i="12"/>
  <c r="T3560" i="12"/>
  <c r="U3560" i="12"/>
  <c r="T3561" i="12"/>
  <c r="U3561" i="12"/>
  <c r="T3562" i="12"/>
  <c r="U3562" i="12"/>
  <c r="T3563" i="12"/>
  <c r="U3563" i="12"/>
  <c r="T3564" i="12"/>
  <c r="U3564" i="12"/>
  <c r="T3565" i="12"/>
  <c r="U3565" i="12"/>
  <c r="T3566" i="12"/>
  <c r="U3566" i="12"/>
  <c r="T3567" i="12"/>
  <c r="U3567" i="12"/>
  <c r="T3568" i="12"/>
  <c r="U3568" i="12"/>
  <c r="T3569" i="12"/>
  <c r="U3569" i="12"/>
  <c r="T3570" i="12"/>
  <c r="U3570" i="12"/>
  <c r="T3571" i="12"/>
  <c r="U3571" i="12"/>
  <c r="T3572" i="12"/>
  <c r="U3572" i="12"/>
  <c r="T3573" i="12"/>
  <c r="U3573" i="12"/>
  <c r="T3574" i="12"/>
  <c r="U3574" i="12"/>
  <c r="T3575" i="12"/>
  <c r="U3575" i="12"/>
  <c r="T3576" i="12"/>
  <c r="U3576" i="12"/>
  <c r="T3577" i="12"/>
  <c r="U3577" i="12"/>
  <c r="T3578" i="12"/>
  <c r="U3578" i="12"/>
  <c r="T3579" i="12"/>
  <c r="U3579" i="12"/>
  <c r="T3580" i="12"/>
  <c r="U3580" i="12"/>
  <c r="T3581" i="12"/>
  <c r="U3581" i="12"/>
  <c r="T3582" i="12"/>
  <c r="U3582" i="12"/>
  <c r="T3583" i="12"/>
  <c r="U3583" i="12"/>
  <c r="T3584" i="12"/>
  <c r="U3584" i="12"/>
  <c r="T3585" i="12"/>
  <c r="U3585" i="12"/>
  <c r="T3586" i="12"/>
  <c r="U3586" i="12"/>
  <c r="T3587" i="12"/>
  <c r="U3587" i="12"/>
  <c r="T3588" i="12"/>
  <c r="U3588" i="12"/>
  <c r="T3589" i="12"/>
  <c r="U3589" i="12"/>
  <c r="T3590" i="12"/>
  <c r="U3590" i="12"/>
  <c r="T3591" i="12"/>
  <c r="U3591" i="12"/>
  <c r="T3592" i="12"/>
  <c r="U3592" i="12"/>
  <c r="T3593" i="12"/>
  <c r="U3593" i="12"/>
  <c r="T3594" i="12"/>
  <c r="U3594" i="12"/>
  <c r="T3595" i="12"/>
  <c r="U3595" i="12"/>
  <c r="T3596" i="12"/>
  <c r="U3596" i="12"/>
  <c r="T3597" i="12"/>
  <c r="U3597" i="12"/>
  <c r="T3598" i="12"/>
  <c r="U3598" i="12"/>
  <c r="T3599" i="12"/>
  <c r="U3599" i="12"/>
  <c r="T3600" i="12"/>
  <c r="U3600" i="12"/>
  <c r="T3601" i="12"/>
  <c r="U3601" i="12"/>
  <c r="T3602" i="12"/>
  <c r="U3602" i="12"/>
  <c r="T3603" i="12"/>
  <c r="U3603" i="12"/>
  <c r="T3604" i="12"/>
  <c r="U3604" i="12"/>
  <c r="T3605" i="12"/>
  <c r="U3605" i="12"/>
  <c r="T3606" i="12"/>
  <c r="U3606" i="12"/>
  <c r="T3607" i="12"/>
  <c r="U3607" i="12"/>
  <c r="T3608" i="12"/>
  <c r="U3608" i="12"/>
  <c r="T3609" i="12"/>
  <c r="U3609" i="12"/>
  <c r="T3610" i="12"/>
  <c r="U3610" i="12"/>
  <c r="T3611" i="12"/>
  <c r="U3611" i="12"/>
  <c r="T3612" i="12"/>
  <c r="U3612" i="12"/>
  <c r="T3613" i="12"/>
  <c r="U3613" i="12"/>
  <c r="T3614" i="12"/>
  <c r="U3614" i="12"/>
  <c r="T3615" i="12"/>
  <c r="U3615" i="12"/>
  <c r="T3616" i="12"/>
  <c r="U3616" i="12"/>
  <c r="T3617" i="12"/>
  <c r="U3617" i="12"/>
  <c r="T3618" i="12"/>
  <c r="U3618" i="12"/>
  <c r="T3619" i="12"/>
  <c r="U3619" i="12"/>
  <c r="T3620" i="12"/>
  <c r="U3620" i="12"/>
  <c r="T3621" i="12"/>
  <c r="U3621" i="12"/>
  <c r="T3622" i="12"/>
  <c r="U3622" i="12"/>
  <c r="T3623" i="12"/>
  <c r="U3623" i="12"/>
  <c r="T3624" i="12"/>
  <c r="U3624" i="12"/>
  <c r="T3625" i="12"/>
  <c r="U3625" i="12"/>
  <c r="T3626" i="12"/>
  <c r="U3626" i="12"/>
  <c r="T3627" i="12"/>
  <c r="U3627" i="12"/>
  <c r="T3628" i="12"/>
  <c r="U3628" i="12"/>
  <c r="T3629" i="12"/>
  <c r="U3629" i="12"/>
  <c r="T3630" i="12"/>
  <c r="U3630" i="12"/>
  <c r="T3631" i="12"/>
  <c r="U3631" i="12"/>
  <c r="T3632" i="12"/>
  <c r="U3632" i="12"/>
  <c r="T3633" i="12"/>
  <c r="U3633" i="12"/>
  <c r="T3634" i="12"/>
  <c r="U3634" i="12"/>
  <c r="T3635" i="12"/>
  <c r="U3635" i="12"/>
  <c r="T3636" i="12"/>
  <c r="U3636" i="12"/>
  <c r="T3637" i="12"/>
  <c r="U3637" i="12"/>
  <c r="T3638" i="12"/>
  <c r="U3638" i="12"/>
  <c r="T3639" i="12"/>
  <c r="U3639" i="12"/>
  <c r="T3640" i="12"/>
  <c r="U3640" i="12"/>
  <c r="T3641" i="12"/>
  <c r="U3641" i="12"/>
  <c r="T3642" i="12"/>
  <c r="U3642" i="12"/>
  <c r="T3643" i="12"/>
  <c r="U3643" i="12"/>
  <c r="T3644" i="12"/>
  <c r="U3644" i="12"/>
  <c r="T3645" i="12"/>
  <c r="U3645" i="12"/>
  <c r="T3646" i="12"/>
  <c r="U3646" i="12"/>
  <c r="T3647" i="12"/>
  <c r="U3647" i="12"/>
  <c r="T3648" i="12"/>
  <c r="U3648" i="12"/>
  <c r="T3649" i="12"/>
  <c r="U3649" i="12"/>
  <c r="T3650" i="12"/>
  <c r="U3650" i="12"/>
  <c r="T3651" i="12"/>
  <c r="U3651" i="12"/>
  <c r="T3652" i="12"/>
  <c r="U3652" i="12"/>
  <c r="T3653" i="12"/>
  <c r="U3653" i="12"/>
  <c r="T3654" i="12"/>
  <c r="U3654" i="12"/>
  <c r="T3655" i="12"/>
  <c r="U3655" i="12"/>
  <c r="T3656" i="12"/>
  <c r="U3656" i="12"/>
  <c r="T3657" i="12"/>
  <c r="U3657" i="12"/>
  <c r="T3658" i="12"/>
  <c r="U3658" i="12"/>
  <c r="T3659" i="12"/>
  <c r="U3659" i="12"/>
  <c r="T3660" i="12"/>
  <c r="U3660" i="12"/>
  <c r="T3661" i="12"/>
  <c r="U3661" i="12"/>
  <c r="T3662" i="12"/>
  <c r="U3662" i="12"/>
  <c r="T3663" i="12"/>
  <c r="U3663" i="12"/>
  <c r="T3664" i="12"/>
  <c r="U3664" i="12"/>
  <c r="T3665" i="12"/>
  <c r="U3665" i="12"/>
  <c r="T3666" i="12"/>
  <c r="U3666" i="12"/>
  <c r="T3667" i="12"/>
  <c r="U3667" i="12"/>
  <c r="T3668" i="12"/>
  <c r="U3668" i="12"/>
  <c r="T3669" i="12"/>
  <c r="U3669" i="12"/>
  <c r="T3670" i="12"/>
  <c r="U3670" i="12"/>
  <c r="T3671" i="12"/>
  <c r="U3671" i="12"/>
  <c r="T3672" i="12"/>
  <c r="U3672" i="12"/>
  <c r="T3673" i="12"/>
  <c r="U3673" i="12"/>
  <c r="T3674" i="12"/>
  <c r="U3674" i="12"/>
  <c r="T3675" i="12"/>
  <c r="U3675" i="12"/>
  <c r="T3676" i="12"/>
  <c r="U3676" i="12"/>
  <c r="T3677" i="12"/>
  <c r="U3677" i="12"/>
  <c r="T3678" i="12"/>
  <c r="U3678" i="12"/>
  <c r="T3679" i="12"/>
  <c r="U3679" i="12"/>
  <c r="T3680" i="12"/>
  <c r="U3680" i="12"/>
  <c r="T3681" i="12"/>
  <c r="U3681" i="12"/>
  <c r="T3682" i="12"/>
  <c r="U3682" i="12"/>
  <c r="T3683" i="12"/>
  <c r="U3683" i="12"/>
  <c r="T3684" i="12"/>
  <c r="U3684" i="12"/>
  <c r="T3685" i="12"/>
  <c r="U3685" i="12"/>
  <c r="T3686" i="12"/>
  <c r="U3686" i="12"/>
  <c r="T3687" i="12"/>
  <c r="U3687" i="12"/>
  <c r="T3688" i="12"/>
  <c r="U3688" i="12"/>
  <c r="T3689" i="12"/>
  <c r="U3689" i="12"/>
  <c r="T3690" i="12"/>
  <c r="U3690" i="12"/>
  <c r="T3691" i="12"/>
  <c r="U3691" i="12"/>
  <c r="T3692" i="12"/>
  <c r="U3692" i="12"/>
  <c r="T3693" i="12"/>
  <c r="U3693" i="12"/>
  <c r="T3694" i="12"/>
  <c r="U3694" i="12"/>
  <c r="T3695" i="12"/>
  <c r="U3695" i="12"/>
  <c r="T3696" i="12"/>
  <c r="U3696" i="12"/>
  <c r="T3697" i="12"/>
  <c r="U3697" i="12"/>
  <c r="T3698" i="12"/>
  <c r="U3698" i="12"/>
  <c r="T3699" i="12"/>
  <c r="U3699" i="12"/>
  <c r="T3700" i="12"/>
  <c r="U3700" i="12"/>
  <c r="T3701" i="12"/>
  <c r="U3701" i="12"/>
  <c r="T3702" i="12"/>
  <c r="U3702" i="12"/>
  <c r="T3703" i="12"/>
  <c r="U3703" i="12"/>
  <c r="T3704" i="12"/>
  <c r="U3704" i="12"/>
  <c r="T3705" i="12"/>
  <c r="U3705" i="12"/>
  <c r="T3706" i="12"/>
  <c r="U3706" i="12"/>
  <c r="T3707" i="12"/>
  <c r="U3707" i="12"/>
  <c r="T3708" i="12"/>
  <c r="U3708" i="12"/>
  <c r="T3709" i="12"/>
  <c r="U3709" i="12"/>
  <c r="T3710" i="12"/>
  <c r="U3710" i="12"/>
  <c r="T3711" i="12"/>
  <c r="U3711" i="12"/>
  <c r="T3712" i="12"/>
  <c r="U3712" i="12"/>
  <c r="T3713" i="12"/>
  <c r="U3713" i="12"/>
  <c r="T3714" i="12"/>
  <c r="U3714" i="12"/>
  <c r="T3715" i="12"/>
  <c r="U3715" i="12"/>
  <c r="T3716" i="12"/>
  <c r="U3716" i="12"/>
  <c r="T3717" i="12"/>
  <c r="U3717" i="12"/>
  <c r="T3718" i="12"/>
  <c r="U3718" i="12"/>
  <c r="T3719" i="12"/>
  <c r="U3719" i="12"/>
  <c r="T3720" i="12"/>
  <c r="U3720" i="12"/>
  <c r="T3721" i="12"/>
  <c r="U3721" i="12"/>
  <c r="T3722" i="12"/>
  <c r="U3722" i="12"/>
  <c r="T3723" i="12"/>
  <c r="U3723" i="12"/>
  <c r="T3724" i="12"/>
  <c r="U3724" i="12"/>
  <c r="T3725" i="12"/>
  <c r="U3725" i="12"/>
  <c r="T3726" i="12"/>
  <c r="U3726" i="12"/>
  <c r="T3727" i="12"/>
  <c r="U3727" i="12"/>
  <c r="T3728" i="12"/>
  <c r="U3728" i="12"/>
  <c r="T3729" i="12"/>
  <c r="U3729" i="12"/>
  <c r="T3730" i="12"/>
  <c r="U3730" i="12"/>
  <c r="T3731" i="12"/>
  <c r="U3731" i="12"/>
  <c r="T3732" i="12"/>
  <c r="U3732" i="12"/>
  <c r="T3733" i="12"/>
  <c r="U3733" i="12"/>
  <c r="T3734" i="12"/>
  <c r="U3734" i="12"/>
  <c r="T3735" i="12"/>
  <c r="U3735" i="12"/>
  <c r="T3736" i="12"/>
  <c r="U3736" i="12"/>
  <c r="T3737" i="12"/>
  <c r="U3737" i="12"/>
  <c r="T3738" i="12"/>
  <c r="U3738" i="12"/>
  <c r="T3739" i="12"/>
  <c r="U3739" i="12"/>
  <c r="T3740" i="12"/>
  <c r="U3740" i="12"/>
  <c r="T3741" i="12"/>
  <c r="U3741" i="12"/>
  <c r="T3742" i="12"/>
  <c r="U3742" i="12"/>
  <c r="T3743" i="12"/>
  <c r="U3743" i="12"/>
  <c r="T3744" i="12"/>
  <c r="U3744" i="12"/>
  <c r="T3745" i="12"/>
  <c r="U3745" i="12"/>
  <c r="T3746" i="12"/>
  <c r="U3746" i="12"/>
  <c r="T3747" i="12"/>
  <c r="U3747" i="12"/>
  <c r="T3748" i="12"/>
  <c r="U3748" i="12"/>
  <c r="T3749" i="12"/>
  <c r="U3749" i="12"/>
  <c r="T3750" i="12"/>
  <c r="U3750" i="12"/>
  <c r="T3751" i="12"/>
  <c r="U3751" i="12"/>
  <c r="T3752" i="12"/>
  <c r="U3752" i="12"/>
  <c r="T3753" i="12"/>
  <c r="U3753" i="12"/>
  <c r="T3754" i="12"/>
  <c r="U3754" i="12"/>
  <c r="T3755" i="12"/>
  <c r="U3755" i="12"/>
  <c r="T3756" i="12"/>
  <c r="U3756" i="12"/>
  <c r="T3757" i="12"/>
  <c r="U3757" i="12"/>
  <c r="T3758" i="12"/>
  <c r="U3758" i="12"/>
  <c r="T3759" i="12"/>
  <c r="U3759" i="12"/>
  <c r="T3760" i="12"/>
  <c r="U3760" i="12"/>
  <c r="T3761" i="12"/>
  <c r="U3761" i="12"/>
  <c r="T3762" i="12"/>
  <c r="U3762" i="12"/>
  <c r="T3763" i="12"/>
  <c r="U3763" i="12"/>
  <c r="T3764" i="12"/>
  <c r="U3764" i="12"/>
  <c r="T3765" i="12"/>
  <c r="U3765" i="12"/>
  <c r="T3766" i="12"/>
  <c r="U3766" i="12"/>
  <c r="T3767" i="12"/>
  <c r="U3767" i="12"/>
  <c r="T3768" i="12"/>
  <c r="U3768" i="12"/>
  <c r="T3769" i="12"/>
  <c r="U3769" i="12"/>
  <c r="T3770" i="12"/>
  <c r="U3770" i="12"/>
  <c r="T3771" i="12"/>
  <c r="U3771" i="12"/>
  <c r="T3772" i="12"/>
  <c r="U3772" i="12"/>
  <c r="T3773" i="12"/>
  <c r="U3773" i="12"/>
  <c r="T3774" i="12"/>
  <c r="U3774" i="12"/>
  <c r="T3775" i="12"/>
  <c r="U3775" i="12"/>
  <c r="T3776" i="12"/>
  <c r="U3776" i="12"/>
  <c r="T3777" i="12"/>
  <c r="U3777" i="12"/>
  <c r="T3778" i="12"/>
  <c r="U3778" i="12"/>
  <c r="T3779" i="12"/>
  <c r="U3779" i="12"/>
  <c r="T3780" i="12"/>
  <c r="U3780" i="12"/>
  <c r="T3781" i="12"/>
  <c r="U3781" i="12"/>
  <c r="T3782" i="12"/>
  <c r="U3782" i="12"/>
  <c r="T3783" i="12"/>
  <c r="U3783" i="12"/>
  <c r="T3784" i="12"/>
  <c r="U3784" i="12"/>
  <c r="T3785" i="12"/>
  <c r="U3785" i="12"/>
  <c r="T3786" i="12"/>
  <c r="U3786" i="12"/>
  <c r="T3787" i="12"/>
  <c r="U3787" i="12"/>
  <c r="T3788" i="12"/>
  <c r="U3788" i="12"/>
  <c r="T3789" i="12"/>
  <c r="U3789" i="12"/>
  <c r="T3790" i="12"/>
  <c r="U3790" i="12"/>
  <c r="T3791" i="12"/>
  <c r="U3791" i="12"/>
  <c r="T3792" i="12"/>
  <c r="U3792" i="12"/>
  <c r="T3793" i="12"/>
  <c r="U3793" i="12"/>
  <c r="T3794" i="12"/>
  <c r="U3794" i="12"/>
  <c r="T3795" i="12"/>
  <c r="U3795" i="12"/>
  <c r="T3796" i="12"/>
  <c r="U3796" i="12"/>
  <c r="T3797" i="12"/>
  <c r="U3797" i="12"/>
  <c r="T3798" i="12"/>
  <c r="U3798" i="12"/>
  <c r="T3799" i="12"/>
  <c r="U3799" i="12"/>
  <c r="T3800" i="12"/>
  <c r="U3800" i="12"/>
  <c r="T3801" i="12"/>
  <c r="U3801" i="12"/>
  <c r="T3802" i="12"/>
  <c r="U3802" i="12"/>
  <c r="T3803" i="12"/>
  <c r="U3803" i="12"/>
  <c r="T3804" i="12"/>
  <c r="U3804" i="12"/>
  <c r="T3805" i="12"/>
  <c r="U3805" i="12"/>
  <c r="T3806" i="12"/>
  <c r="U3806" i="12"/>
  <c r="T3807" i="12"/>
  <c r="U3807" i="12"/>
  <c r="T3808" i="12"/>
  <c r="U3808" i="12"/>
  <c r="T3809" i="12"/>
  <c r="U3809" i="12"/>
  <c r="T3810" i="12"/>
  <c r="U3810" i="12"/>
  <c r="T3811" i="12"/>
  <c r="U3811" i="12"/>
  <c r="T3812" i="12"/>
  <c r="U3812" i="12"/>
  <c r="T3813" i="12"/>
  <c r="U3813" i="12"/>
  <c r="T3814" i="12"/>
  <c r="U3814" i="12"/>
  <c r="T3815" i="12"/>
  <c r="U3815" i="12"/>
  <c r="T3816" i="12"/>
  <c r="U3816" i="12"/>
  <c r="T3817" i="12"/>
  <c r="U3817" i="12"/>
  <c r="T3818" i="12"/>
  <c r="U3818" i="12"/>
  <c r="T3819" i="12"/>
  <c r="U3819" i="12"/>
  <c r="T3820" i="12"/>
  <c r="U3820" i="12"/>
  <c r="T3821" i="12"/>
  <c r="U3821" i="12"/>
  <c r="T3822" i="12"/>
  <c r="U3822" i="12"/>
  <c r="T3823" i="12"/>
  <c r="U3823" i="12"/>
  <c r="T3824" i="12"/>
  <c r="U3824" i="12"/>
  <c r="T3825" i="12"/>
  <c r="U3825" i="12"/>
  <c r="T3826" i="12"/>
  <c r="U3826" i="12"/>
  <c r="T3827" i="12"/>
  <c r="U3827" i="12"/>
  <c r="T3828" i="12"/>
  <c r="U3828" i="12"/>
  <c r="T3829" i="12"/>
  <c r="U3829" i="12"/>
  <c r="T3830" i="12"/>
  <c r="U3830" i="12"/>
  <c r="T3831" i="12"/>
  <c r="U3831" i="12"/>
  <c r="T3832" i="12"/>
  <c r="U3832" i="12"/>
  <c r="T3833" i="12"/>
  <c r="U3833" i="12"/>
  <c r="T3834" i="12"/>
  <c r="U3834" i="12"/>
  <c r="T3835" i="12"/>
  <c r="U3835" i="12"/>
  <c r="T3836" i="12"/>
  <c r="U3836" i="12"/>
  <c r="T3837" i="12"/>
  <c r="U3837" i="12"/>
  <c r="T3838" i="12"/>
  <c r="U3838" i="12"/>
  <c r="T3839" i="12"/>
  <c r="U3839" i="12"/>
  <c r="T3840" i="12"/>
  <c r="U3840" i="12"/>
  <c r="T3841" i="12"/>
  <c r="U3841" i="12"/>
  <c r="T3842" i="12"/>
  <c r="U3842" i="12"/>
  <c r="T3843" i="12"/>
  <c r="U3843" i="12"/>
  <c r="T3844" i="12"/>
  <c r="U3844" i="12"/>
  <c r="T3845" i="12"/>
  <c r="U3845" i="12"/>
  <c r="T3846" i="12"/>
  <c r="U3846" i="12"/>
  <c r="T3847" i="12"/>
  <c r="U3847" i="12"/>
  <c r="T3848" i="12"/>
  <c r="U3848" i="12"/>
  <c r="T3849" i="12"/>
  <c r="U3849" i="12"/>
  <c r="T3850" i="12"/>
  <c r="U3850" i="12"/>
  <c r="T3851" i="12"/>
  <c r="U3851" i="12"/>
  <c r="T3852" i="12"/>
  <c r="U3852" i="12"/>
  <c r="T3853" i="12"/>
  <c r="U3853" i="12"/>
  <c r="T3854" i="12"/>
  <c r="U3854" i="12"/>
  <c r="T3855" i="12"/>
  <c r="U3855" i="12"/>
  <c r="T3856" i="12"/>
  <c r="U3856" i="12"/>
  <c r="T3857" i="12"/>
  <c r="U3857" i="12"/>
  <c r="T3858" i="12"/>
  <c r="U3858" i="12"/>
  <c r="T3859" i="12"/>
  <c r="U3859" i="12"/>
  <c r="T3860" i="12"/>
  <c r="U3860" i="12"/>
  <c r="T3861" i="12"/>
  <c r="U3861" i="12"/>
  <c r="T3862" i="12"/>
  <c r="U3862" i="12"/>
  <c r="T3863" i="12"/>
  <c r="U3863" i="12"/>
  <c r="T3864" i="12"/>
  <c r="U3864" i="12"/>
  <c r="T3865" i="12"/>
  <c r="U3865" i="12"/>
  <c r="T3866" i="12"/>
  <c r="U3866" i="12"/>
  <c r="T3867" i="12"/>
  <c r="U3867" i="12"/>
  <c r="T3868" i="12"/>
  <c r="U3868" i="12"/>
  <c r="T3869" i="12"/>
  <c r="U3869" i="12"/>
  <c r="T3870" i="12"/>
  <c r="U3870" i="12"/>
  <c r="T3871" i="12"/>
  <c r="U3871" i="12"/>
  <c r="T3872" i="12"/>
  <c r="U3872" i="12"/>
  <c r="T3873" i="12"/>
  <c r="U3873" i="12"/>
  <c r="T3874" i="12"/>
  <c r="U3874" i="12"/>
  <c r="T3875" i="12"/>
  <c r="U3875" i="12"/>
  <c r="T3876" i="12"/>
  <c r="U3876" i="12"/>
  <c r="T3877" i="12"/>
  <c r="U3877" i="12"/>
  <c r="T3878" i="12"/>
  <c r="U3878" i="12"/>
  <c r="T3879" i="12"/>
  <c r="U3879" i="12"/>
  <c r="T3880" i="12"/>
  <c r="U3880" i="12"/>
  <c r="T3881" i="12"/>
  <c r="U3881" i="12"/>
  <c r="T3882" i="12"/>
  <c r="U3882" i="12"/>
  <c r="T3883" i="12"/>
  <c r="U3883" i="12"/>
  <c r="T3884" i="12"/>
  <c r="U3884" i="12"/>
  <c r="T3885" i="12"/>
  <c r="U3885" i="12"/>
  <c r="T3886" i="12"/>
  <c r="U3886" i="12"/>
  <c r="T3887" i="12"/>
  <c r="U3887" i="12"/>
  <c r="T3888" i="12"/>
  <c r="U3888" i="12"/>
  <c r="T3889" i="12"/>
  <c r="U3889" i="12"/>
  <c r="T3890" i="12"/>
  <c r="U3890" i="12"/>
  <c r="T3891" i="12"/>
  <c r="U3891" i="12"/>
  <c r="T3892" i="12"/>
  <c r="U3892" i="12"/>
  <c r="T3893" i="12"/>
  <c r="U3893" i="12"/>
  <c r="T3894" i="12"/>
  <c r="U3894" i="12"/>
  <c r="T3895" i="12"/>
  <c r="U3895" i="12"/>
  <c r="T3896" i="12"/>
  <c r="U3896" i="12"/>
  <c r="T3897" i="12"/>
  <c r="U3897" i="12"/>
  <c r="T3898" i="12"/>
  <c r="U3898" i="12"/>
  <c r="T3899" i="12"/>
  <c r="U3899" i="12"/>
  <c r="T3900" i="12"/>
  <c r="U3900" i="12"/>
  <c r="T3901" i="12"/>
  <c r="U3901" i="12"/>
  <c r="T3902" i="12"/>
  <c r="U3902" i="12"/>
  <c r="T3903" i="12"/>
  <c r="U3903" i="12"/>
  <c r="T3904" i="12"/>
  <c r="U3904" i="12"/>
  <c r="T3905" i="12"/>
  <c r="U3905" i="12"/>
  <c r="T3906" i="12"/>
  <c r="U3906" i="12"/>
  <c r="T3907" i="12"/>
  <c r="U3907" i="12"/>
  <c r="T3908" i="12"/>
  <c r="U3908" i="12"/>
  <c r="T3909" i="12"/>
  <c r="U3909" i="12"/>
  <c r="T3910" i="12"/>
  <c r="U3910" i="12"/>
  <c r="T3911" i="12"/>
  <c r="U3911" i="12"/>
  <c r="T3912" i="12"/>
  <c r="U3912" i="12"/>
  <c r="T3913" i="12"/>
  <c r="U3913" i="12"/>
  <c r="T3914" i="12"/>
  <c r="U3914" i="12"/>
  <c r="T3915" i="12"/>
  <c r="U3915" i="12"/>
  <c r="T3916" i="12"/>
  <c r="U3916" i="12"/>
  <c r="T3917" i="12"/>
  <c r="U3917" i="12"/>
  <c r="T3918" i="12"/>
  <c r="U3918" i="12"/>
  <c r="T3919" i="12"/>
  <c r="U3919" i="12"/>
  <c r="T3920" i="12"/>
  <c r="U3920" i="12"/>
  <c r="T3921" i="12"/>
  <c r="U3921" i="12"/>
  <c r="T3922" i="12"/>
  <c r="U3922" i="12"/>
  <c r="T3923" i="12"/>
  <c r="U3923" i="12"/>
  <c r="T3924" i="12"/>
  <c r="U3924" i="12"/>
  <c r="T3925" i="12"/>
  <c r="U3925" i="12"/>
  <c r="T3926" i="12"/>
  <c r="U3926" i="12"/>
  <c r="T3927" i="12"/>
  <c r="U3927" i="12"/>
  <c r="T3928" i="12"/>
  <c r="U3928" i="12"/>
  <c r="T3929" i="12"/>
  <c r="U3929" i="12"/>
  <c r="T3930" i="12"/>
  <c r="U3930" i="12"/>
  <c r="T3931" i="12"/>
  <c r="U3931" i="12"/>
  <c r="T3932" i="12"/>
  <c r="U3932" i="12"/>
  <c r="T3933" i="12"/>
  <c r="U3933" i="12"/>
  <c r="T3934" i="12"/>
  <c r="U3934" i="12"/>
  <c r="T3935" i="12"/>
  <c r="U3935" i="12"/>
  <c r="T3936" i="12"/>
  <c r="U3936" i="12"/>
  <c r="T3937" i="12"/>
  <c r="U3937" i="12"/>
  <c r="T3938" i="12"/>
  <c r="U3938" i="12"/>
  <c r="T3939" i="12"/>
  <c r="U3939" i="12"/>
  <c r="T3940" i="12"/>
  <c r="U3940" i="12"/>
  <c r="T3941" i="12"/>
  <c r="U3941" i="12"/>
  <c r="T3942" i="12"/>
  <c r="U3942" i="12"/>
  <c r="T3943" i="12"/>
  <c r="U3943" i="12"/>
  <c r="T3944" i="12"/>
  <c r="U3944" i="12"/>
  <c r="T3945" i="12"/>
  <c r="U3945" i="12"/>
  <c r="T3946" i="12"/>
  <c r="U3946" i="12"/>
  <c r="T3947" i="12"/>
  <c r="U3947" i="12"/>
  <c r="T3948" i="12"/>
  <c r="U3948" i="12"/>
  <c r="T3949" i="12"/>
  <c r="U3949" i="12"/>
  <c r="T3950" i="12"/>
  <c r="U3950" i="12"/>
  <c r="T3951" i="12"/>
  <c r="U3951" i="12"/>
  <c r="T3952" i="12"/>
  <c r="U3952" i="12"/>
  <c r="T3953" i="12"/>
  <c r="U3953" i="12"/>
  <c r="T3954" i="12"/>
  <c r="U3954" i="12"/>
  <c r="T3955" i="12"/>
  <c r="U3955" i="12"/>
  <c r="T3956" i="12"/>
  <c r="U3956" i="12"/>
  <c r="T3957" i="12"/>
  <c r="U3957" i="12"/>
  <c r="T3958" i="12"/>
  <c r="U3958" i="12"/>
  <c r="T3959" i="12"/>
  <c r="U3959" i="12"/>
  <c r="T3960" i="12"/>
  <c r="U3960" i="12"/>
  <c r="T3961" i="12"/>
  <c r="U3961" i="12"/>
  <c r="T3962" i="12"/>
  <c r="U3962" i="12"/>
  <c r="T3963" i="12"/>
  <c r="U3963" i="12"/>
  <c r="T3964" i="12"/>
  <c r="U3964" i="12"/>
  <c r="T3965" i="12"/>
  <c r="U3965" i="12"/>
  <c r="T3966" i="12"/>
  <c r="U3966" i="12"/>
  <c r="T3967" i="12"/>
  <c r="U3967" i="12"/>
  <c r="T3968" i="12"/>
  <c r="U3968" i="12"/>
  <c r="T3969" i="12"/>
  <c r="U3969" i="12"/>
  <c r="T3970" i="12"/>
  <c r="U3970" i="12"/>
  <c r="T3971" i="12"/>
  <c r="U3971" i="12"/>
  <c r="T3972" i="12"/>
  <c r="U3972" i="12"/>
  <c r="T3973" i="12"/>
  <c r="U3973" i="12"/>
  <c r="T3974" i="12"/>
  <c r="U3974" i="12"/>
  <c r="T3975" i="12"/>
  <c r="U3975" i="12"/>
  <c r="T3976" i="12"/>
  <c r="U3976" i="12"/>
  <c r="T3977" i="12"/>
  <c r="U3977" i="12"/>
  <c r="T3978" i="12"/>
  <c r="U3978" i="12"/>
  <c r="T3979" i="12"/>
  <c r="U3979" i="12"/>
  <c r="T3980" i="12"/>
  <c r="U3980" i="12"/>
  <c r="T3981" i="12"/>
  <c r="U3981" i="12"/>
  <c r="T3982" i="12"/>
  <c r="U3982" i="12"/>
  <c r="T3983" i="12"/>
  <c r="U3983" i="12"/>
  <c r="T3984" i="12"/>
  <c r="U3984" i="12"/>
  <c r="T3985" i="12"/>
  <c r="U3985" i="12"/>
  <c r="T3986" i="12"/>
  <c r="U3986" i="12"/>
  <c r="T3987" i="12"/>
  <c r="U3987" i="12"/>
  <c r="T3988" i="12"/>
  <c r="U3988" i="12"/>
  <c r="T3989" i="12"/>
  <c r="U3989" i="12"/>
  <c r="T3990" i="12"/>
  <c r="U3990" i="12"/>
  <c r="T3991" i="12"/>
  <c r="U3991" i="12"/>
  <c r="T3992" i="12"/>
  <c r="U3992" i="12"/>
  <c r="T3993" i="12"/>
  <c r="U3993" i="12"/>
  <c r="T3994" i="12"/>
  <c r="U3994" i="12"/>
  <c r="T3995" i="12"/>
  <c r="U3995" i="12"/>
  <c r="T3996" i="12"/>
  <c r="U3996" i="12"/>
  <c r="T3997" i="12"/>
  <c r="U3997" i="12"/>
  <c r="T3998" i="12"/>
  <c r="U3998" i="12"/>
  <c r="T3999" i="12"/>
  <c r="U3999" i="12"/>
  <c r="T4000" i="12"/>
  <c r="U4000" i="12"/>
  <c r="T4001" i="12"/>
  <c r="U4001" i="12"/>
  <c r="T4002" i="12"/>
  <c r="U4002" i="12"/>
  <c r="T4003" i="12"/>
  <c r="U4003" i="12"/>
  <c r="T4004" i="12"/>
  <c r="U4004" i="12"/>
  <c r="T4005" i="12"/>
  <c r="U4005" i="12"/>
  <c r="T4006" i="12"/>
  <c r="U4006" i="12"/>
  <c r="T4007" i="12"/>
  <c r="U4007" i="12"/>
  <c r="T4008" i="12"/>
  <c r="U4008" i="12"/>
  <c r="T4009" i="12"/>
  <c r="U4009" i="12"/>
  <c r="T4010" i="12"/>
  <c r="U4010" i="12"/>
  <c r="T4011" i="12"/>
  <c r="U4011" i="12"/>
  <c r="T4012" i="12"/>
  <c r="U4012" i="12"/>
  <c r="T4013" i="12"/>
  <c r="U4013" i="12"/>
  <c r="T4014" i="12"/>
  <c r="U4014" i="12"/>
  <c r="T4015" i="12"/>
  <c r="U4015" i="12"/>
  <c r="T4016" i="12"/>
  <c r="U4016" i="12"/>
  <c r="T4017" i="12"/>
  <c r="U4017" i="12"/>
  <c r="T4018" i="12"/>
  <c r="U4018" i="12"/>
  <c r="T4019" i="12"/>
  <c r="U4019" i="12"/>
  <c r="T4020" i="12"/>
  <c r="U4020" i="12"/>
  <c r="T4021" i="12"/>
  <c r="U4021" i="12"/>
  <c r="T4022" i="12"/>
  <c r="U4022" i="12"/>
  <c r="T4023" i="12"/>
  <c r="U4023" i="12"/>
  <c r="T4024" i="12"/>
  <c r="U4024" i="12"/>
  <c r="T4025" i="12"/>
  <c r="U4025" i="12"/>
  <c r="T4026" i="12"/>
  <c r="U4026" i="12"/>
  <c r="T4027" i="12"/>
  <c r="U4027" i="12"/>
  <c r="T4028" i="12"/>
  <c r="U4028" i="12"/>
  <c r="T4029" i="12"/>
  <c r="U4029" i="12"/>
  <c r="T4030" i="12"/>
  <c r="U4030" i="12"/>
  <c r="T4031" i="12"/>
  <c r="U4031" i="12"/>
  <c r="T4032" i="12"/>
  <c r="U4032" i="12"/>
  <c r="T4033" i="12"/>
  <c r="U4033" i="12"/>
  <c r="T4034" i="12"/>
  <c r="U4034" i="12"/>
  <c r="T4035" i="12"/>
  <c r="U4035" i="12"/>
  <c r="T4036" i="12"/>
  <c r="U4036" i="12"/>
  <c r="T4037" i="12"/>
  <c r="U4037" i="12"/>
  <c r="T4038" i="12"/>
  <c r="U4038" i="12"/>
  <c r="T4039" i="12"/>
  <c r="U4039" i="12"/>
  <c r="T4040" i="12"/>
  <c r="U4040" i="12"/>
  <c r="T4041" i="12"/>
  <c r="U4041" i="12"/>
  <c r="T4042" i="12"/>
  <c r="U4042" i="12"/>
  <c r="T4043" i="12"/>
  <c r="U4043" i="12"/>
  <c r="T4044" i="12"/>
  <c r="U4044" i="12"/>
  <c r="T4045" i="12"/>
  <c r="U4045" i="12"/>
  <c r="T4046" i="12"/>
  <c r="U4046" i="12"/>
  <c r="T4047" i="12"/>
  <c r="U4047" i="12"/>
  <c r="T4048" i="12"/>
  <c r="U4048" i="12"/>
  <c r="T4049" i="12"/>
  <c r="U4049" i="12"/>
  <c r="T4050" i="12"/>
  <c r="U4050" i="12"/>
  <c r="T4051" i="12"/>
  <c r="U4051" i="12"/>
  <c r="T4052" i="12"/>
  <c r="U4052" i="12"/>
  <c r="T4053" i="12"/>
  <c r="U4053" i="12"/>
  <c r="T4054" i="12"/>
  <c r="U4054" i="12"/>
  <c r="T4055" i="12"/>
  <c r="U4055" i="12"/>
  <c r="T4056" i="12"/>
  <c r="U4056" i="12"/>
  <c r="T4057" i="12"/>
  <c r="U4057" i="12"/>
  <c r="T4058" i="12"/>
  <c r="U4058" i="12"/>
  <c r="T4059" i="12"/>
  <c r="U4059" i="12"/>
  <c r="T4060" i="12"/>
  <c r="U4060" i="12"/>
  <c r="T4061" i="12"/>
  <c r="U4061" i="12"/>
  <c r="T4062" i="12"/>
  <c r="U4062" i="12"/>
  <c r="T4063" i="12"/>
  <c r="U4063" i="12"/>
  <c r="T4064" i="12"/>
  <c r="U4064" i="12"/>
  <c r="T4065" i="12"/>
  <c r="U4065" i="12"/>
  <c r="T4066" i="12"/>
  <c r="U4066" i="12"/>
  <c r="T4067" i="12"/>
  <c r="U4067" i="12"/>
  <c r="T4068" i="12"/>
  <c r="U4068" i="12"/>
  <c r="T4069" i="12"/>
  <c r="U4069" i="12"/>
  <c r="T4070" i="12"/>
  <c r="U4070" i="12"/>
  <c r="T4071" i="12"/>
  <c r="U4071" i="12"/>
  <c r="T4072" i="12"/>
  <c r="U4072" i="12"/>
  <c r="T4073" i="12"/>
  <c r="U4073" i="12"/>
  <c r="T4074" i="12"/>
  <c r="U4074" i="12"/>
  <c r="T4075" i="12"/>
  <c r="U4075" i="12"/>
  <c r="T4076" i="12"/>
  <c r="U4076" i="12"/>
  <c r="T4077" i="12"/>
  <c r="U4077" i="12"/>
  <c r="T4078" i="12"/>
  <c r="U4078" i="12"/>
  <c r="T4079" i="12"/>
  <c r="U4079" i="12"/>
  <c r="T4080" i="12"/>
  <c r="U4080" i="12"/>
  <c r="T4081" i="12"/>
  <c r="U4081" i="12"/>
  <c r="T4082" i="12"/>
  <c r="U4082" i="12"/>
  <c r="T4083" i="12"/>
  <c r="U4083" i="12"/>
  <c r="T4084" i="12"/>
  <c r="U4084" i="12"/>
  <c r="T4085" i="12"/>
  <c r="U4085" i="12"/>
  <c r="T4086" i="12"/>
  <c r="U4086" i="12"/>
  <c r="T4087" i="12"/>
  <c r="U4087" i="12"/>
  <c r="T4088" i="12"/>
  <c r="U4088" i="12"/>
  <c r="T4089" i="12"/>
  <c r="U4089" i="12"/>
  <c r="T4090" i="12"/>
  <c r="U4090" i="12"/>
  <c r="T4091" i="12"/>
  <c r="U4091" i="12"/>
  <c r="T4092" i="12"/>
  <c r="U4092" i="12"/>
  <c r="T4093" i="12"/>
  <c r="U4093" i="12"/>
  <c r="T4094" i="12"/>
  <c r="U4094" i="12"/>
  <c r="T4095" i="12"/>
  <c r="U4095" i="12"/>
  <c r="T4096" i="12"/>
  <c r="U4096" i="12"/>
  <c r="T4097" i="12"/>
  <c r="U4097" i="12"/>
  <c r="T4098" i="12"/>
  <c r="U4098" i="12"/>
  <c r="T4099" i="12"/>
  <c r="U4099" i="12"/>
  <c r="T4100" i="12"/>
  <c r="U4100" i="12"/>
  <c r="T4101" i="12"/>
  <c r="U4101" i="12"/>
  <c r="T4102" i="12"/>
  <c r="U4102" i="12"/>
  <c r="T4103" i="12"/>
  <c r="U4103" i="12"/>
  <c r="T4104" i="12"/>
  <c r="U4104" i="12"/>
  <c r="T4105" i="12"/>
  <c r="U4105" i="12"/>
  <c r="T4106" i="12"/>
  <c r="U4106" i="12"/>
  <c r="T4107" i="12"/>
  <c r="U4107" i="12"/>
  <c r="T4108" i="12"/>
  <c r="U4108" i="12"/>
  <c r="T4109" i="12"/>
  <c r="U4109" i="12"/>
  <c r="T4110" i="12"/>
  <c r="U4110" i="12"/>
  <c r="T4111" i="12"/>
  <c r="U4111" i="12"/>
  <c r="T4112" i="12"/>
  <c r="U4112" i="12"/>
  <c r="T4113" i="12"/>
  <c r="U4113" i="12"/>
  <c r="T4114" i="12"/>
  <c r="U4114" i="12"/>
  <c r="T4115" i="12"/>
  <c r="U4115" i="12"/>
  <c r="T4116" i="12"/>
  <c r="U4116" i="12"/>
  <c r="T4117" i="12"/>
  <c r="U4117" i="12"/>
  <c r="T4118" i="12"/>
  <c r="U4118" i="12"/>
  <c r="T4119" i="12"/>
  <c r="U4119" i="12"/>
  <c r="T4120" i="12"/>
  <c r="U4120" i="12"/>
  <c r="T4121" i="12"/>
  <c r="U4121" i="12"/>
  <c r="T4122" i="12"/>
  <c r="U4122" i="12"/>
  <c r="T4123" i="12"/>
  <c r="U4123" i="12"/>
  <c r="T4124" i="12"/>
  <c r="U4124" i="12"/>
  <c r="T4125" i="12"/>
  <c r="U4125" i="12"/>
  <c r="T4126" i="12"/>
  <c r="U4126" i="12"/>
  <c r="T4127" i="12"/>
  <c r="U4127" i="12"/>
  <c r="T4128" i="12"/>
  <c r="U4128" i="12"/>
  <c r="T4129" i="12"/>
  <c r="U4129" i="12"/>
  <c r="T4130" i="12"/>
  <c r="U4130" i="12"/>
  <c r="T4131" i="12"/>
  <c r="U4131" i="12"/>
  <c r="T4132" i="12"/>
  <c r="U4132" i="12"/>
  <c r="T4133" i="12"/>
  <c r="U4133" i="12"/>
  <c r="T4134" i="12"/>
  <c r="U4134" i="12"/>
  <c r="T4135" i="12"/>
  <c r="U4135" i="12"/>
  <c r="T4136" i="12"/>
  <c r="U4136" i="12"/>
  <c r="T4137" i="12"/>
  <c r="U4137" i="12"/>
  <c r="T4138" i="12"/>
  <c r="U4138" i="12"/>
  <c r="T4139" i="12"/>
  <c r="U4139" i="12"/>
  <c r="T4140" i="12"/>
  <c r="U4140" i="12"/>
  <c r="T4141" i="12"/>
  <c r="U4141" i="12"/>
  <c r="T4142" i="12"/>
  <c r="U4142" i="12"/>
  <c r="T4143" i="12"/>
  <c r="U4143" i="12"/>
  <c r="T4144" i="12"/>
  <c r="U4144" i="12"/>
  <c r="T4145" i="12"/>
  <c r="U4145" i="12"/>
  <c r="T4146" i="12"/>
  <c r="U4146" i="12"/>
  <c r="T4147" i="12"/>
  <c r="U4147" i="12"/>
  <c r="T4148" i="12"/>
  <c r="U4148" i="12"/>
  <c r="T4149" i="12"/>
  <c r="U4149" i="12"/>
  <c r="T4150" i="12"/>
  <c r="U4150" i="12"/>
  <c r="T4151" i="12"/>
  <c r="U4151" i="12"/>
  <c r="T4152" i="12"/>
  <c r="U4152" i="12"/>
  <c r="T4153" i="12"/>
  <c r="U4153" i="12"/>
  <c r="T4154" i="12"/>
  <c r="U4154" i="12"/>
  <c r="T4155" i="12"/>
  <c r="U4155" i="12"/>
  <c r="T4156" i="12"/>
  <c r="U4156" i="12"/>
  <c r="T4157" i="12"/>
  <c r="U4157" i="12"/>
  <c r="T4158" i="12"/>
  <c r="U4158" i="12"/>
  <c r="T4159" i="12"/>
  <c r="U4159" i="12"/>
  <c r="T4160" i="12"/>
  <c r="U4160" i="12"/>
  <c r="T4161" i="12"/>
  <c r="U4161" i="12"/>
  <c r="T4162" i="12"/>
  <c r="U4162" i="12"/>
  <c r="T4163" i="12"/>
  <c r="U4163" i="12"/>
  <c r="T4164" i="12"/>
  <c r="U4164" i="12"/>
  <c r="T4165" i="12"/>
  <c r="U4165" i="12"/>
  <c r="T4166" i="12"/>
  <c r="U4166" i="12"/>
  <c r="T4167" i="12"/>
  <c r="U4167" i="12"/>
  <c r="T4168" i="12"/>
  <c r="U4168" i="12"/>
  <c r="T4169" i="12"/>
  <c r="U4169" i="12"/>
  <c r="T4170" i="12"/>
  <c r="U4170" i="12"/>
  <c r="T4171" i="12"/>
  <c r="U4171" i="12"/>
  <c r="T4172" i="12"/>
  <c r="U4172" i="12"/>
  <c r="T4173" i="12"/>
  <c r="U4173" i="12"/>
  <c r="T4174" i="12"/>
  <c r="U4174" i="12"/>
  <c r="T4175" i="12"/>
  <c r="U4175" i="12"/>
  <c r="T4176" i="12"/>
  <c r="U4176" i="12"/>
  <c r="T4177" i="12"/>
  <c r="U4177" i="12"/>
  <c r="T4178" i="12"/>
  <c r="U4178" i="12"/>
  <c r="T4179" i="12"/>
  <c r="U4179" i="12"/>
  <c r="T4180" i="12"/>
  <c r="U4180" i="12"/>
  <c r="T4181" i="12"/>
  <c r="U4181" i="12"/>
  <c r="T4182" i="12"/>
  <c r="U4182" i="12"/>
  <c r="T4183" i="12"/>
  <c r="U4183" i="12"/>
  <c r="T4184" i="12"/>
  <c r="U4184" i="12"/>
  <c r="T4185" i="12"/>
  <c r="U4185" i="12"/>
  <c r="T4186" i="12"/>
  <c r="U4186" i="12"/>
  <c r="T4187" i="12"/>
  <c r="U4187" i="12"/>
  <c r="T4188" i="12"/>
  <c r="U4188" i="12"/>
  <c r="T4189" i="12"/>
  <c r="U4189" i="12"/>
  <c r="T4190" i="12"/>
  <c r="U4190" i="12"/>
  <c r="T4191" i="12"/>
  <c r="U4191" i="12"/>
  <c r="T4192" i="12"/>
  <c r="U4192" i="12"/>
  <c r="T4193" i="12"/>
  <c r="U4193" i="12"/>
  <c r="T4194" i="12"/>
  <c r="U4194" i="12"/>
  <c r="T4195" i="12"/>
  <c r="U4195" i="12"/>
  <c r="T4196" i="12"/>
  <c r="U4196" i="12"/>
  <c r="T4197" i="12"/>
  <c r="U4197" i="12"/>
  <c r="T4198" i="12"/>
  <c r="U4198" i="12"/>
  <c r="T4199" i="12"/>
  <c r="U4199" i="12"/>
  <c r="T4200" i="12"/>
  <c r="U4200" i="12"/>
  <c r="T4201" i="12"/>
  <c r="U4201" i="12"/>
  <c r="T4202" i="12"/>
  <c r="U4202" i="12"/>
  <c r="T4203" i="12"/>
  <c r="U4203" i="12"/>
  <c r="T4204" i="12"/>
  <c r="U4204" i="12"/>
  <c r="T4205" i="12"/>
  <c r="U4205" i="12"/>
  <c r="T4206" i="12"/>
  <c r="U4206" i="12"/>
  <c r="T4207" i="12"/>
  <c r="U4207" i="12"/>
  <c r="T4208" i="12"/>
  <c r="U4208" i="12"/>
  <c r="T4209" i="12"/>
  <c r="U4209" i="12"/>
  <c r="T4210" i="12"/>
  <c r="U4210" i="12"/>
  <c r="T4211" i="12"/>
  <c r="U4211" i="12"/>
  <c r="T4212" i="12"/>
  <c r="U4212" i="12"/>
  <c r="T4213" i="12"/>
  <c r="U4213" i="12"/>
  <c r="T4214" i="12"/>
  <c r="U4214" i="12"/>
  <c r="T4215" i="12"/>
  <c r="U4215" i="12"/>
  <c r="T4216" i="12"/>
  <c r="U4216" i="12"/>
  <c r="T4217" i="12"/>
  <c r="U4217" i="12"/>
  <c r="T4218" i="12"/>
  <c r="U4218" i="12"/>
  <c r="T4219" i="12"/>
  <c r="U4219" i="12"/>
  <c r="T4220" i="12"/>
  <c r="U4220" i="12"/>
  <c r="T4221" i="12"/>
  <c r="U4221" i="12"/>
  <c r="T4222" i="12"/>
  <c r="U4222" i="12"/>
  <c r="T4223" i="12"/>
  <c r="U4223" i="12"/>
  <c r="T4224" i="12"/>
  <c r="U4224" i="12"/>
  <c r="T4225" i="12"/>
  <c r="U4225" i="12"/>
  <c r="T4226" i="12"/>
  <c r="U4226" i="12"/>
  <c r="T4227" i="12"/>
  <c r="U4227" i="12"/>
  <c r="T4228" i="12"/>
  <c r="U4228" i="12"/>
  <c r="T4229" i="12"/>
  <c r="U4229" i="12"/>
  <c r="T4230" i="12"/>
  <c r="U4230" i="12"/>
  <c r="T4231" i="12"/>
  <c r="U4231" i="12"/>
  <c r="T4232" i="12"/>
  <c r="U4232" i="12"/>
  <c r="T4233" i="12"/>
  <c r="U4233" i="12"/>
  <c r="T4234" i="12"/>
  <c r="U4234" i="12"/>
  <c r="T4235" i="12"/>
  <c r="U4235" i="12"/>
  <c r="T4236" i="12"/>
  <c r="U4236" i="12"/>
  <c r="T4237" i="12"/>
  <c r="U4237" i="12"/>
  <c r="T4238" i="12"/>
  <c r="U4238" i="12"/>
  <c r="T4239" i="12"/>
  <c r="U4239" i="12"/>
  <c r="T4240" i="12"/>
  <c r="U4240" i="12"/>
  <c r="T4241" i="12"/>
  <c r="U4241" i="12"/>
  <c r="T4242" i="12"/>
  <c r="U4242" i="12"/>
  <c r="T4243" i="12"/>
  <c r="U4243" i="12"/>
  <c r="T4244" i="12"/>
  <c r="U4244" i="12"/>
  <c r="T4245" i="12"/>
  <c r="U4245" i="12"/>
  <c r="T4246" i="12"/>
  <c r="U4246" i="12"/>
  <c r="T4247" i="12"/>
  <c r="U4247" i="12"/>
  <c r="T4248" i="12"/>
  <c r="U4248" i="12"/>
  <c r="T4249" i="12"/>
  <c r="U4249" i="12"/>
  <c r="T4250" i="12"/>
  <c r="U4250" i="12"/>
  <c r="T4251" i="12"/>
  <c r="U4251" i="12"/>
  <c r="T4252" i="12"/>
  <c r="U4252" i="12"/>
  <c r="T4253" i="12"/>
  <c r="U4253" i="12"/>
  <c r="T4254" i="12"/>
  <c r="U4254" i="12"/>
  <c r="T4255" i="12"/>
  <c r="U4255" i="12"/>
  <c r="T4256" i="12"/>
  <c r="U4256" i="12"/>
  <c r="T4257" i="12"/>
  <c r="U4257" i="12"/>
  <c r="T4258" i="12"/>
  <c r="U4258" i="12"/>
  <c r="T4259" i="12"/>
  <c r="U4259" i="12"/>
  <c r="T4260" i="12"/>
  <c r="U4260" i="12"/>
  <c r="T4261" i="12"/>
  <c r="U4261" i="12"/>
  <c r="T4262" i="12"/>
  <c r="U4262" i="12"/>
  <c r="T4263" i="12"/>
  <c r="U4263" i="12"/>
  <c r="T4264" i="12"/>
  <c r="U4264" i="12"/>
  <c r="T4265" i="12"/>
  <c r="U4265" i="12"/>
  <c r="T4266" i="12"/>
  <c r="U4266" i="12"/>
  <c r="T4267" i="12"/>
  <c r="U4267" i="12"/>
  <c r="T4268" i="12"/>
  <c r="U4268" i="12"/>
  <c r="T4269" i="12"/>
  <c r="U4269" i="12"/>
  <c r="T4270" i="12"/>
  <c r="U4270" i="12"/>
  <c r="T4271" i="12"/>
  <c r="U4271" i="12"/>
  <c r="T4272" i="12"/>
  <c r="U4272" i="12"/>
  <c r="T4273" i="12"/>
  <c r="U4273" i="12"/>
  <c r="T4274" i="12"/>
  <c r="U4274" i="12"/>
  <c r="T4275" i="12"/>
  <c r="U4275" i="12"/>
  <c r="T4276" i="12"/>
  <c r="U4276" i="12"/>
  <c r="T4277" i="12"/>
  <c r="U4277" i="12"/>
  <c r="T4278" i="12"/>
  <c r="U4278" i="12"/>
  <c r="T4279" i="12"/>
  <c r="U4279" i="12"/>
  <c r="T4280" i="12"/>
  <c r="U4280" i="12"/>
  <c r="T4281" i="12"/>
  <c r="U4281" i="12"/>
  <c r="T4282" i="12"/>
  <c r="U4282" i="12"/>
  <c r="T4283" i="12"/>
  <c r="U4283" i="12"/>
  <c r="T4284" i="12"/>
  <c r="U4284" i="12"/>
  <c r="T4285" i="12"/>
  <c r="U4285" i="12"/>
  <c r="T4286" i="12"/>
  <c r="U4286" i="12"/>
  <c r="T4287" i="12"/>
  <c r="U4287" i="12"/>
  <c r="T4288" i="12"/>
  <c r="U4288" i="12"/>
  <c r="T4289" i="12"/>
  <c r="U4289" i="12"/>
  <c r="T4290" i="12"/>
  <c r="U4290" i="12"/>
  <c r="T4291" i="12"/>
  <c r="U4291" i="12"/>
  <c r="T4292" i="12"/>
  <c r="U4292" i="12"/>
  <c r="T4293" i="12"/>
  <c r="U4293" i="12"/>
  <c r="T4294" i="12"/>
  <c r="U4294" i="12"/>
  <c r="T4295" i="12"/>
  <c r="U4295" i="12"/>
  <c r="T4296" i="12"/>
  <c r="U4296" i="12"/>
  <c r="T4297" i="12"/>
  <c r="U4297" i="12"/>
  <c r="T4298" i="12"/>
  <c r="U4298" i="12"/>
  <c r="T4299" i="12"/>
  <c r="U4299" i="12"/>
  <c r="T4300" i="12"/>
  <c r="U4300" i="12"/>
  <c r="T4301" i="12"/>
  <c r="U4301" i="12"/>
  <c r="T4302" i="12"/>
  <c r="U4302" i="12"/>
  <c r="T4303" i="12"/>
  <c r="U4303" i="12"/>
  <c r="T4304" i="12"/>
  <c r="U4304" i="12"/>
  <c r="T4305" i="12"/>
  <c r="U4305" i="12"/>
  <c r="T4306" i="12"/>
  <c r="U4306" i="12"/>
  <c r="T4307" i="12"/>
  <c r="U4307" i="12"/>
  <c r="T4308" i="12"/>
  <c r="U4308" i="12"/>
  <c r="T4309" i="12"/>
  <c r="U4309" i="12"/>
  <c r="T4310" i="12"/>
  <c r="U4310" i="12"/>
  <c r="T4311" i="12"/>
  <c r="U4311" i="12"/>
  <c r="T4312" i="12"/>
  <c r="U4312" i="12"/>
  <c r="T4313" i="12"/>
  <c r="U4313" i="12"/>
  <c r="T4314" i="12"/>
  <c r="U4314" i="12"/>
  <c r="T4315" i="12"/>
  <c r="U4315" i="12"/>
  <c r="T4316" i="12"/>
  <c r="U4316" i="12"/>
  <c r="T4317" i="12"/>
  <c r="U4317" i="12"/>
  <c r="T4318" i="12"/>
  <c r="U4318" i="12"/>
  <c r="T4319" i="12"/>
  <c r="U4319" i="12"/>
  <c r="T4320" i="12"/>
  <c r="U4320" i="12"/>
  <c r="T4321" i="12"/>
  <c r="U4321" i="12"/>
  <c r="T4322" i="12"/>
  <c r="U4322" i="12"/>
  <c r="T4323" i="12"/>
  <c r="U4323" i="12"/>
  <c r="T4324" i="12"/>
  <c r="U4324" i="12"/>
  <c r="T4325" i="12"/>
  <c r="U4325" i="12"/>
  <c r="T4326" i="12"/>
  <c r="U4326" i="12"/>
  <c r="T4327" i="12"/>
  <c r="U4327" i="12"/>
  <c r="T4328" i="12"/>
  <c r="U4328" i="12"/>
  <c r="T4329" i="12"/>
  <c r="U4329" i="12"/>
  <c r="T4330" i="12"/>
  <c r="U4330" i="12"/>
  <c r="T4331" i="12"/>
  <c r="U4331" i="12"/>
  <c r="T4332" i="12"/>
  <c r="U4332" i="12"/>
  <c r="T4333" i="12"/>
  <c r="U4333" i="12"/>
  <c r="T4334" i="12"/>
  <c r="U4334" i="12"/>
  <c r="T4335" i="12"/>
  <c r="U4335" i="12"/>
  <c r="T4336" i="12"/>
  <c r="U4336" i="12"/>
  <c r="T4337" i="12"/>
  <c r="U4337" i="12"/>
  <c r="T4338" i="12"/>
  <c r="U4338" i="12"/>
  <c r="T4339" i="12"/>
  <c r="U4339" i="12"/>
  <c r="T4340" i="12"/>
  <c r="U4340" i="12"/>
  <c r="T4341" i="12"/>
  <c r="U4341" i="12"/>
  <c r="T4342" i="12"/>
  <c r="U4342" i="12"/>
  <c r="T4343" i="12"/>
  <c r="U4343" i="12"/>
  <c r="T4344" i="12"/>
  <c r="U4344" i="12"/>
  <c r="T4345" i="12"/>
  <c r="U4345" i="12"/>
  <c r="T4346" i="12"/>
  <c r="U4346" i="12"/>
  <c r="T4347" i="12"/>
  <c r="U4347" i="12"/>
  <c r="T4348" i="12"/>
  <c r="U4348" i="12"/>
  <c r="T4349" i="12"/>
  <c r="U4349" i="12"/>
  <c r="T4350" i="12"/>
  <c r="U4350" i="12"/>
  <c r="T4351" i="12"/>
  <c r="U4351" i="12"/>
  <c r="T4352" i="12"/>
  <c r="U4352" i="12"/>
  <c r="T4353" i="12"/>
  <c r="U4353" i="12"/>
  <c r="T4354" i="12"/>
  <c r="U4354" i="12"/>
  <c r="T4355" i="12"/>
  <c r="U4355" i="12"/>
  <c r="T4356" i="12"/>
  <c r="U4356" i="12"/>
  <c r="T4357" i="12"/>
  <c r="U4357" i="12"/>
  <c r="T4358" i="12"/>
  <c r="U4358" i="12"/>
  <c r="T4359" i="12"/>
  <c r="U4359" i="12"/>
  <c r="T4360" i="12"/>
  <c r="U4360" i="12"/>
  <c r="T4361" i="12"/>
  <c r="U4361" i="12"/>
  <c r="T4362" i="12"/>
  <c r="U4362" i="12"/>
  <c r="T4363" i="12"/>
  <c r="U4363" i="12"/>
  <c r="T4364" i="12"/>
  <c r="U4364" i="12"/>
  <c r="T4365" i="12"/>
  <c r="U4365" i="12"/>
  <c r="T4366" i="12"/>
  <c r="U4366" i="12"/>
  <c r="T4367" i="12"/>
  <c r="U4367" i="12"/>
  <c r="T4368" i="12"/>
  <c r="U4368" i="12"/>
  <c r="T4369" i="12"/>
  <c r="U4369" i="12"/>
  <c r="T4370" i="12"/>
  <c r="U4370" i="12"/>
  <c r="T4371" i="12"/>
  <c r="U4371" i="12"/>
  <c r="T4372" i="12"/>
  <c r="U4372" i="12"/>
  <c r="T4373" i="12"/>
  <c r="U4373" i="12"/>
  <c r="T4374" i="12"/>
  <c r="U4374" i="12"/>
  <c r="T4375" i="12"/>
  <c r="U4375" i="12"/>
  <c r="T4376" i="12"/>
  <c r="U4376" i="12"/>
  <c r="T4377" i="12"/>
  <c r="U4377" i="12"/>
  <c r="T4378" i="12"/>
  <c r="U4378" i="12"/>
  <c r="T4379" i="12"/>
  <c r="U4379" i="12"/>
  <c r="T4380" i="12"/>
  <c r="U4380" i="12"/>
  <c r="T4381" i="12"/>
  <c r="U4381" i="12"/>
  <c r="T4382" i="12"/>
  <c r="U4382" i="12"/>
  <c r="T4383" i="12"/>
  <c r="U4383" i="12"/>
  <c r="T4384" i="12"/>
  <c r="U4384" i="12"/>
  <c r="T4385" i="12"/>
  <c r="U4385" i="12"/>
  <c r="T4386" i="12"/>
  <c r="U4386" i="12"/>
  <c r="T4387" i="12"/>
  <c r="U4387" i="12"/>
  <c r="T4388" i="12"/>
  <c r="U4388" i="12"/>
  <c r="T4389" i="12"/>
  <c r="U4389" i="12"/>
  <c r="T4390" i="12"/>
  <c r="U4390" i="12"/>
  <c r="T4391" i="12"/>
  <c r="U4391" i="12"/>
  <c r="T4392" i="12"/>
  <c r="U4392" i="12"/>
  <c r="T4393" i="12"/>
  <c r="U4393" i="12"/>
  <c r="T4394" i="12"/>
  <c r="U4394" i="12"/>
  <c r="T4395" i="12"/>
  <c r="U4395" i="12"/>
  <c r="T4396" i="12"/>
  <c r="U4396" i="12"/>
  <c r="T4397" i="12"/>
  <c r="U4397" i="12"/>
  <c r="T4398" i="12"/>
  <c r="U4398" i="12"/>
  <c r="T4399" i="12"/>
  <c r="U4399" i="12"/>
  <c r="T4400" i="12"/>
  <c r="U4400" i="12"/>
  <c r="T4401" i="12"/>
  <c r="U4401" i="12"/>
  <c r="T4402" i="12"/>
  <c r="U4402" i="12"/>
  <c r="T4403" i="12"/>
  <c r="U4403" i="12"/>
  <c r="T4404" i="12"/>
  <c r="U4404" i="12"/>
  <c r="T4405" i="12"/>
  <c r="U4405" i="12"/>
  <c r="T4406" i="12"/>
  <c r="U4406" i="12"/>
  <c r="T4407" i="12"/>
  <c r="U4407" i="12"/>
  <c r="T4408" i="12"/>
  <c r="U4408" i="12"/>
  <c r="T4409" i="12"/>
  <c r="U4409" i="12"/>
  <c r="T4410" i="12"/>
  <c r="U4410" i="12"/>
  <c r="T4411" i="12"/>
  <c r="U4411" i="12"/>
  <c r="T4412" i="12"/>
  <c r="U4412" i="12"/>
  <c r="T4413" i="12"/>
  <c r="U4413" i="12"/>
  <c r="T4414" i="12"/>
  <c r="U4414" i="12"/>
  <c r="T4415" i="12"/>
  <c r="U4415" i="12"/>
  <c r="T4416" i="12"/>
  <c r="U4416" i="12"/>
  <c r="T4417" i="12"/>
  <c r="U4417" i="12"/>
  <c r="T4418" i="12"/>
  <c r="U4418" i="12"/>
  <c r="T4419" i="12"/>
  <c r="U4419" i="12"/>
  <c r="T4420" i="12"/>
  <c r="U4420" i="12"/>
  <c r="T4421" i="12"/>
  <c r="U4421" i="12"/>
  <c r="T4422" i="12"/>
  <c r="U4422" i="12"/>
  <c r="T4423" i="12"/>
  <c r="U4423" i="12"/>
  <c r="T4424" i="12"/>
  <c r="U4424" i="12"/>
  <c r="T4425" i="12"/>
  <c r="U4425" i="12"/>
  <c r="T4426" i="12"/>
  <c r="U4426" i="12"/>
  <c r="T4427" i="12"/>
  <c r="U4427" i="12"/>
  <c r="T4428" i="12"/>
  <c r="U4428" i="12"/>
  <c r="T4429" i="12"/>
  <c r="U4429" i="12"/>
  <c r="T4430" i="12"/>
  <c r="U4430" i="12"/>
  <c r="T4431" i="12"/>
  <c r="U4431" i="12"/>
  <c r="T4432" i="12"/>
  <c r="U4432" i="12"/>
  <c r="T4433" i="12"/>
  <c r="U4433" i="12"/>
  <c r="T4434" i="12"/>
  <c r="U4434" i="12"/>
  <c r="T4435" i="12"/>
  <c r="U4435" i="12"/>
  <c r="T4436" i="12"/>
  <c r="U4436" i="12"/>
  <c r="T4437" i="12"/>
  <c r="U4437" i="12"/>
  <c r="T4438" i="12"/>
  <c r="U4438" i="12"/>
  <c r="T4439" i="12"/>
  <c r="U4439" i="12"/>
  <c r="T4440" i="12"/>
  <c r="U4440" i="12"/>
  <c r="T4441" i="12"/>
  <c r="U4441" i="12"/>
  <c r="T4442" i="12"/>
  <c r="U4442" i="12"/>
  <c r="T4443" i="12"/>
  <c r="U4443" i="12"/>
  <c r="T4444" i="12"/>
  <c r="U4444" i="12"/>
  <c r="T4445" i="12"/>
  <c r="U4445" i="12"/>
  <c r="T4446" i="12"/>
  <c r="U4446" i="12"/>
  <c r="T4447" i="12"/>
  <c r="U4447" i="12"/>
  <c r="T4448" i="12"/>
  <c r="U4448" i="12"/>
  <c r="T4449" i="12"/>
  <c r="U4449" i="12"/>
  <c r="T4450" i="12"/>
  <c r="U4450" i="12"/>
  <c r="T4451" i="12"/>
  <c r="U4451" i="12"/>
  <c r="T4452" i="12"/>
  <c r="U4452" i="12"/>
  <c r="T4453" i="12"/>
  <c r="U4453" i="12"/>
  <c r="T4454" i="12"/>
  <c r="U4454" i="12"/>
  <c r="T4455" i="12"/>
  <c r="U4455" i="12"/>
  <c r="T4456" i="12"/>
  <c r="U4456" i="12"/>
  <c r="T4457" i="12"/>
  <c r="U4457" i="12"/>
  <c r="T4458" i="12"/>
  <c r="U4458" i="12"/>
  <c r="T4459" i="12"/>
  <c r="U4459" i="12"/>
  <c r="T4460" i="12"/>
  <c r="U4460" i="12"/>
  <c r="T4461" i="12"/>
  <c r="U4461" i="12"/>
  <c r="T4462" i="12"/>
  <c r="U4462" i="12"/>
  <c r="T4463" i="12"/>
  <c r="U4463" i="12"/>
  <c r="T4464" i="12"/>
  <c r="U4464" i="12"/>
  <c r="T4465" i="12"/>
  <c r="U4465" i="12"/>
  <c r="T4466" i="12"/>
  <c r="U4466" i="12"/>
  <c r="T4467" i="12"/>
  <c r="U4467" i="12"/>
  <c r="T4468" i="12"/>
  <c r="U4468" i="12"/>
  <c r="T4469" i="12"/>
  <c r="U4469" i="12"/>
  <c r="T4470" i="12"/>
  <c r="U4470" i="12"/>
  <c r="T4471" i="12"/>
  <c r="U4471" i="12"/>
  <c r="T4472" i="12"/>
  <c r="U4472" i="12"/>
  <c r="T4473" i="12"/>
  <c r="U4473" i="12"/>
  <c r="T4474" i="12"/>
  <c r="U4474" i="12"/>
  <c r="T4475" i="12"/>
  <c r="U4475" i="12"/>
  <c r="T4476" i="12"/>
  <c r="U4476" i="12"/>
  <c r="T4477" i="12"/>
  <c r="U4477" i="12"/>
  <c r="T4478" i="12"/>
  <c r="U4478" i="12"/>
  <c r="T4479" i="12"/>
  <c r="U4479" i="12"/>
  <c r="T4480" i="12"/>
  <c r="U4480" i="12"/>
  <c r="T4481" i="12"/>
  <c r="U4481" i="12"/>
  <c r="T4482" i="12"/>
  <c r="U4482" i="12"/>
  <c r="T4483" i="12"/>
  <c r="U4483" i="12"/>
  <c r="T4484" i="12"/>
  <c r="U4484" i="12"/>
  <c r="T4485" i="12"/>
  <c r="U4485" i="12"/>
  <c r="T4486" i="12"/>
  <c r="U4486" i="12"/>
  <c r="T4487" i="12"/>
  <c r="U4487" i="12"/>
  <c r="T4488" i="12"/>
  <c r="U4488" i="12"/>
  <c r="T4489" i="12"/>
  <c r="U4489" i="12"/>
  <c r="T4490" i="12"/>
  <c r="U4490" i="12"/>
  <c r="T4491" i="12"/>
  <c r="U4491" i="12"/>
  <c r="T4492" i="12"/>
  <c r="U4492" i="12"/>
  <c r="T4493" i="12"/>
  <c r="U4493" i="12"/>
  <c r="T4494" i="12"/>
  <c r="U4494" i="12"/>
  <c r="T4495" i="12"/>
  <c r="U4495" i="12"/>
  <c r="T4496" i="12"/>
  <c r="U4496" i="12"/>
  <c r="T4497" i="12"/>
  <c r="U4497" i="12"/>
  <c r="T4498" i="12"/>
  <c r="U4498" i="12"/>
  <c r="T4499" i="12"/>
  <c r="U4499" i="12"/>
  <c r="T4500" i="12"/>
  <c r="U4500" i="12"/>
  <c r="T4501" i="12"/>
  <c r="U4501" i="12"/>
  <c r="T4502" i="12"/>
  <c r="U4502" i="12"/>
  <c r="T4503" i="12"/>
  <c r="U4503" i="12"/>
  <c r="T4504" i="12"/>
  <c r="U4504" i="12"/>
  <c r="T4505" i="12"/>
  <c r="U4505" i="12"/>
  <c r="T4506" i="12"/>
  <c r="U4506" i="12"/>
  <c r="T4507" i="12"/>
  <c r="U4507" i="12"/>
  <c r="T4508" i="12"/>
  <c r="U4508" i="12"/>
  <c r="T4509" i="12"/>
  <c r="U4509" i="12"/>
  <c r="T4510" i="12"/>
  <c r="U4510" i="12"/>
  <c r="T4511" i="12"/>
  <c r="U4511" i="12"/>
  <c r="T4512" i="12"/>
  <c r="U4512" i="12"/>
  <c r="T4513" i="12"/>
  <c r="U4513" i="12"/>
  <c r="T4514" i="12"/>
  <c r="U4514" i="12"/>
  <c r="T4515" i="12"/>
  <c r="U4515" i="12"/>
  <c r="T4516" i="12"/>
  <c r="U4516" i="12"/>
  <c r="T4517" i="12"/>
  <c r="U4517" i="12"/>
  <c r="T4518" i="12"/>
  <c r="U4518" i="12"/>
  <c r="T4519" i="12"/>
  <c r="U4519" i="12"/>
  <c r="T4520" i="12"/>
  <c r="U4520" i="12"/>
  <c r="T4521" i="12"/>
  <c r="U4521" i="12"/>
  <c r="T4522" i="12"/>
  <c r="U4522" i="12"/>
  <c r="T4523" i="12"/>
  <c r="U4523" i="12"/>
  <c r="T4524" i="12"/>
  <c r="U4524" i="12"/>
  <c r="T4525" i="12"/>
  <c r="U4525" i="12"/>
  <c r="T4526" i="12"/>
  <c r="U4526" i="12"/>
  <c r="T4527" i="12"/>
  <c r="U4527" i="12"/>
  <c r="T4528" i="12"/>
  <c r="U4528" i="12"/>
  <c r="T4529" i="12"/>
  <c r="U4529" i="12"/>
  <c r="T4530" i="12"/>
  <c r="U4530" i="12"/>
  <c r="T4531" i="12"/>
  <c r="U4531" i="12"/>
  <c r="T4532" i="12"/>
  <c r="U4532" i="12"/>
  <c r="T4533" i="12"/>
  <c r="U4533" i="12"/>
  <c r="T4534" i="12"/>
  <c r="U4534" i="12"/>
  <c r="T4535" i="12"/>
  <c r="U4535" i="12"/>
  <c r="T4536" i="12"/>
  <c r="U4536" i="12"/>
  <c r="T4537" i="12"/>
  <c r="U4537" i="12"/>
  <c r="T4538" i="12"/>
  <c r="U4538" i="12"/>
  <c r="T4539" i="12"/>
  <c r="U4539" i="12"/>
  <c r="T4540" i="12"/>
  <c r="U4540" i="12"/>
  <c r="T4541" i="12"/>
  <c r="U4541" i="12"/>
  <c r="T4542" i="12"/>
  <c r="U4542" i="12"/>
  <c r="T4543" i="12"/>
  <c r="U4543" i="12"/>
  <c r="T4544" i="12"/>
  <c r="U4544" i="12"/>
  <c r="T4545" i="12"/>
  <c r="U4545" i="12"/>
  <c r="T4546" i="12"/>
  <c r="U4546" i="12"/>
  <c r="T4547" i="12"/>
  <c r="U4547" i="12"/>
  <c r="T4548" i="12"/>
  <c r="U4548" i="12"/>
  <c r="T4549" i="12"/>
  <c r="U4549" i="12"/>
  <c r="T4550" i="12"/>
  <c r="U4550" i="12"/>
  <c r="T4551" i="12"/>
  <c r="U4551" i="12"/>
  <c r="T4552" i="12"/>
  <c r="U4552" i="12"/>
  <c r="T4553" i="12"/>
  <c r="U4553" i="12"/>
  <c r="T4554" i="12"/>
  <c r="U4554" i="12"/>
  <c r="T4555" i="12"/>
  <c r="U4555" i="12"/>
  <c r="T4556" i="12"/>
  <c r="U4556" i="12"/>
  <c r="T4557" i="12"/>
  <c r="U4557" i="12"/>
  <c r="T4558" i="12"/>
  <c r="U4558" i="12"/>
  <c r="T4559" i="12"/>
  <c r="U4559" i="12"/>
  <c r="T4560" i="12"/>
  <c r="U4560" i="12"/>
  <c r="T4561" i="12"/>
  <c r="U4561" i="12"/>
  <c r="T4562" i="12"/>
  <c r="U4562" i="12"/>
  <c r="T4563" i="12"/>
  <c r="U4563" i="12"/>
  <c r="T4564" i="12"/>
  <c r="U4564" i="12"/>
  <c r="T4565" i="12"/>
  <c r="U4565" i="12"/>
  <c r="T4566" i="12"/>
  <c r="U4566" i="12"/>
  <c r="T4567" i="12"/>
  <c r="U4567" i="12"/>
  <c r="T4568" i="12"/>
  <c r="U4568" i="12"/>
  <c r="T4569" i="12"/>
  <c r="U4569" i="12"/>
  <c r="T4570" i="12"/>
  <c r="U4570" i="12"/>
  <c r="T4571" i="12"/>
  <c r="U4571" i="12"/>
  <c r="T4572" i="12"/>
  <c r="U4572" i="12"/>
  <c r="T4573" i="12"/>
  <c r="U4573" i="12"/>
  <c r="T4574" i="12"/>
  <c r="U4574" i="12"/>
  <c r="T4575" i="12"/>
  <c r="U4575" i="12"/>
  <c r="T4576" i="12"/>
  <c r="U4576" i="12"/>
  <c r="T4577" i="12"/>
  <c r="U4577" i="12"/>
  <c r="T4578" i="12"/>
  <c r="U4578" i="12"/>
  <c r="T4579" i="12"/>
  <c r="U4579" i="12"/>
  <c r="T4580" i="12"/>
  <c r="U4580" i="12"/>
  <c r="T4581" i="12"/>
  <c r="U4581" i="12"/>
  <c r="T4582" i="12"/>
  <c r="U4582" i="12"/>
  <c r="T4583" i="12"/>
  <c r="U4583" i="12"/>
  <c r="T4584" i="12"/>
  <c r="U4584" i="12"/>
  <c r="T4585" i="12"/>
  <c r="U4585" i="12"/>
  <c r="T4586" i="12"/>
  <c r="U4586" i="12"/>
  <c r="T4587" i="12"/>
  <c r="U4587" i="12"/>
  <c r="T4588" i="12"/>
  <c r="U4588" i="12"/>
  <c r="T4589" i="12"/>
  <c r="U4589" i="12"/>
  <c r="T4590" i="12"/>
  <c r="U4590" i="12"/>
  <c r="T4591" i="12"/>
  <c r="U4591" i="12"/>
  <c r="T4592" i="12"/>
  <c r="U4592" i="12"/>
  <c r="T4593" i="12"/>
  <c r="U4593" i="12"/>
  <c r="T4594" i="12"/>
  <c r="U4594" i="12"/>
  <c r="T4595" i="12"/>
  <c r="U4595" i="12"/>
  <c r="T4596" i="12"/>
  <c r="U4596" i="12"/>
  <c r="T4597" i="12"/>
  <c r="U4597" i="12"/>
  <c r="T4598" i="12"/>
  <c r="U4598" i="12"/>
  <c r="T4599" i="12"/>
  <c r="U4599" i="12"/>
  <c r="T4600" i="12"/>
  <c r="U4600" i="12"/>
  <c r="T4601" i="12"/>
  <c r="U4601" i="12"/>
  <c r="T4602" i="12"/>
  <c r="U4602" i="12"/>
  <c r="T4603" i="12"/>
  <c r="U4603" i="12"/>
  <c r="T4604" i="12"/>
  <c r="U4604" i="12"/>
  <c r="T4605" i="12"/>
  <c r="U4605" i="12"/>
  <c r="T4606" i="12"/>
  <c r="U4606" i="12"/>
  <c r="T4607" i="12"/>
  <c r="U4607" i="12"/>
  <c r="T4608" i="12"/>
  <c r="U4608" i="12"/>
  <c r="T4609" i="12"/>
  <c r="U4609" i="12"/>
  <c r="T4610" i="12"/>
  <c r="U4610" i="12"/>
  <c r="T4611" i="12"/>
  <c r="U4611" i="12"/>
  <c r="T4612" i="12"/>
  <c r="U4612" i="12"/>
  <c r="T4613" i="12"/>
  <c r="U4613" i="12"/>
  <c r="T4614" i="12"/>
  <c r="U4614" i="12"/>
  <c r="T4615" i="12"/>
  <c r="U4615" i="12"/>
  <c r="T4616" i="12"/>
  <c r="U4616" i="12"/>
  <c r="T4617" i="12"/>
  <c r="U4617" i="12"/>
  <c r="T4618" i="12"/>
  <c r="U4618" i="12"/>
  <c r="T4619" i="12"/>
  <c r="U4619" i="12"/>
  <c r="T4620" i="12"/>
  <c r="U4620" i="12"/>
  <c r="T4621" i="12"/>
  <c r="U4621" i="12"/>
  <c r="T4622" i="12"/>
  <c r="U4622" i="12"/>
  <c r="T4623" i="12"/>
  <c r="U4623" i="12"/>
  <c r="T4624" i="12"/>
  <c r="U4624" i="12"/>
  <c r="T4625" i="12"/>
  <c r="U4625" i="12"/>
  <c r="T4626" i="12"/>
  <c r="U4626" i="12"/>
  <c r="T4627" i="12"/>
  <c r="U4627" i="12"/>
  <c r="T4628" i="12"/>
  <c r="U4628" i="12"/>
  <c r="T4629" i="12"/>
  <c r="U4629" i="12"/>
  <c r="T4630" i="12"/>
  <c r="U4630" i="12"/>
  <c r="T4631" i="12"/>
  <c r="U4631" i="12"/>
  <c r="T4632" i="12"/>
  <c r="U4632" i="12"/>
  <c r="T4633" i="12"/>
  <c r="U4633" i="12"/>
  <c r="T4634" i="12"/>
  <c r="U4634" i="12"/>
  <c r="T4635" i="12"/>
  <c r="U4635" i="12"/>
  <c r="T4636" i="12"/>
  <c r="U4636" i="12"/>
  <c r="T4637" i="12"/>
  <c r="U4637" i="12"/>
  <c r="T4638" i="12"/>
  <c r="U4638" i="12"/>
  <c r="T4639" i="12"/>
  <c r="U4639" i="12"/>
  <c r="T4640" i="12"/>
  <c r="U4640" i="12"/>
  <c r="T4641" i="12"/>
  <c r="U4641" i="12"/>
  <c r="T4642" i="12"/>
  <c r="U4642" i="12"/>
  <c r="T4643" i="12"/>
  <c r="U4643" i="12"/>
  <c r="T4644" i="12"/>
  <c r="U4644" i="12"/>
  <c r="T4645" i="12"/>
  <c r="U4645" i="12"/>
  <c r="T4646" i="12"/>
  <c r="U4646" i="12"/>
  <c r="T4647" i="12"/>
  <c r="U4647" i="12"/>
  <c r="T4648" i="12"/>
  <c r="U4648" i="12"/>
  <c r="T4649" i="12"/>
  <c r="U4649" i="12"/>
  <c r="T4650" i="12"/>
  <c r="U4650" i="12"/>
  <c r="T4651" i="12"/>
  <c r="U4651" i="12"/>
  <c r="T4652" i="12"/>
  <c r="U4652" i="12"/>
  <c r="T4653" i="12"/>
  <c r="U4653" i="12"/>
  <c r="T4654" i="12"/>
  <c r="U4654" i="12"/>
  <c r="T4655" i="12"/>
  <c r="U4655" i="12"/>
  <c r="T4656" i="12"/>
  <c r="U4656" i="12"/>
  <c r="T4657" i="12"/>
  <c r="U4657" i="12"/>
  <c r="T4658" i="12"/>
  <c r="U4658" i="12"/>
  <c r="T4659" i="12"/>
  <c r="U4659" i="12"/>
  <c r="T4660" i="12"/>
  <c r="U4660" i="12"/>
  <c r="T4661" i="12"/>
  <c r="U4661" i="12"/>
  <c r="T4662" i="12"/>
  <c r="U4662" i="12"/>
  <c r="T4663" i="12"/>
  <c r="U4663" i="12"/>
  <c r="T4664" i="12"/>
  <c r="U4664" i="12"/>
  <c r="T4665" i="12"/>
  <c r="U4665" i="12"/>
  <c r="T4666" i="12"/>
  <c r="U4666" i="12"/>
  <c r="T4667" i="12"/>
  <c r="U4667" i="12"/>
  <c r="T4668" i="12"/>
  <c r="U4668" i="12"/>
  <c r="T4669" i="12"/>
  <c r="U4669" i="12"/>
  <c r="T4670" i="12"/>
  <c r="U4670" i="12"/>
  <c r="T4671" i="12"/>
  <c r="U4671" i="12"/>
  <c r="T4672" i="12"/>
  <c r="U4672" i="12"/>
  <c r="T4673" i="12"/>
  <c r="U4673" i="12"/>
  <c r="T4674" i="12"/>
  <c r="U4674" i="12"/>
  <c r="T4675" i="12"/>
  <c r="U4675" i="12"/>
  <c r="T4676" i="12"/>
  <c r="U4676" i="12"/>
  <c r="T4677" i="12"/>
  <c r="U4677" i="12"/>
  <c r="T4678" i="12"/>
  <c r="U4678" i="12"/>
  <c r="T4679" i="12"/>
  <c r="U4679" i="12"/>
  <c r="T4680" i="12"/>
  <c r="U4680" i="12"/>
  <c r="T4681" i="12"/>
  <c r="U4681" i="12"/>
  <c r="T4682" i="12"/>
  <c r="U4682" i="12"/>
  <c r="T4683" i="12"/>
  <c r="U4683" i="12"/>
  <c r="T4684" i="12"/>
  <c r="U4684" i="12"/>
  <c r="T4685" i="12"/>
  <c r="U4685" i="12"/>
  <c r="T4686" i="12"/>
  <c r="U4686" i="12"/>
  <c r="T4687" i="12"/>
  <c r="U4687" i="12"/>
  <c r="T4688" i="12"/>
  <c r="U4688" i="12"/>
  <c r="T4689" i="12"/>
  <c r="U4689" i="12"/>
  <c r="T4690" i="12"/>
  <c r="U4690" i="12"/>
  <c r="T4691" i="12"/>
  <c r="U4691" i="12"/>
  <c r="T4692" i="12"/>
  <c r="U4692" i="12"/>
  <c r="T4693" i="12"/>
  <c r="U4693" i="12"/>
  <c r="T4694" i="12"/>
  <c r="U4694" i="12"/>
  <c r="T4695" i="12"/>
  <c r="U4695" i="12"/>
  <c r="T4696" i="12"/>
  <c r="U4696" i="12"/>
  <c r="T4697" i="12"/>
  <c r="U4697" i="12"/>
  <c r="T4698" i="12"/>
  <c r="U4698" i="12"/>
  <c r="T4699" i="12"/>
  <c r="U4699" i="12"/>
  <c r="T4700" i="12"/>
  <c r="U4700" i="12"/>
  <c r="T4701" i="12"/>
  <c r="U4701" i="12"/>
  <c r="T4702" i="12"/>
  <c r="U4702" i="12"/>
  <c r="T4703" i="12"/>
  <c r="U4703" i="12"/>
  <c r="T4704" i="12"/>
  <c r="U4704" i="12"/>
  <c r="T4705" i="12"/>
  <c r="U4705" i="12"/>
  <c r="T4706" i="12"/>
  <c r="U4706" i="12"/>
  <c r="T4707" i="12"/>
  <c r="U4707" i="12"/>
  <c r="T4708" i="12"/>
  <c r="U4708" i="12"/>
  <c r="T4709" i="12"/>
  <c r="U4709" i="12"/>
  <c r="T4710" i="12"/>
  <c r="U4710" i="12"/>
  <c r="T4711" i="12"/>
  <c r="U4711" i="12"/>
  <c r="T4712" i="12"/>
  <c r="U4712" i="12"/>
  <c r="T4713" i="12"/>
  <c r="U4713" i="12"/>
  <c r="T4714" i="12"/>
  <c r="U4714" i="12"/>
  <c r="T4715" i="12"/>
  <c r="U4715" i="12"/>
  <c r="T4716" i="12"/>
  <c r="U4716" i="12"/>
  <c r="T4717" i="12"/>
  <c r="U4717" i="12"/>
  <c r="T4718" i="12"/>
  <c r="U4718" i="12"/>
  <c r="T4719" i="12"/>
  <c r="U4719" i="12"/>
  <c r="T4720" i="12"/>
  <c r="U4720" i="12"/>
  <c r="T4721" i="12"/>
  <c r="U4721" i="12"/>
  <c r="T4722" i="12"/>
  <c r="U4722" i="12"/>
  <c r="T4723" i="12"/>
  <c r="U4723" i="12"/>
  <c r="T4724" i="12"/>
  <c r="U4724" i="12"/>
  <c r="T4725" i="12"/>
  <c r="U4725" i="12"/>
  <c r="T4726" i="12"/>
  <c r="U4726" i="12"/>
  <c r="T4727" i="12"/>
  <c r="U4727" i="12"/>
  <c r="T4728" i="12"/>
  <c r="U4728" i="12"/>
  <c r="T4729" i="12"/>
  <c r="U4729" i="12"/>
  <c r="T4730" i="12"/>
  <c r="U4730" i="12"/>
  <c r="T4731" i="12"/>
  <c r="U4731" i="12"/>
  <c r="T4732" i="12"/>
  <c r="U4732" i="12"/>
  <c r="T4733" i="12"/>
  <c r="U4733" i="12"/>
  <c r="T4734" i="12"/>
  <c r="U4734" i="12"/>
  <c r="T4735" i="12"/>
  <c r="U4735" i="12"/>
  <c r="T4736" i="12"/>
  <c r="U4736" i="12"/>
  <c r="T4737" i="12"/>
  <c r="U4737" i="12"/>
  <c r="T4738" i="12"/>
  <c r="U4738" i="12"/>
  <c r="T4739" i="12"/>
  <c r="U4739" i="12"/>
  <c r="T4740" i="12"/>
  <c r="U4740" i="12"/>
  <c r="T4741" i="12"/>
  <c r="U4741" i="12"/>
  <c r="T4742" i="12"/>
  <c r="U4742" i="12"/>
  <c r="T4743" i="12"/>
  <c r="U4743" i="12"/>
  <c r="T4744" i="12"/>
  <c r="U4744" i="12"/>
  <c r="T4745" i="12"/>
  <c r="U4745" i="12"/>
  <c r="T4746" i="12"/>
  <c r="U4746" i="12"/>
  <c r="T4747" i="12"/>
  <c r="U4747" i="12"/>
  <c r="T4748" i="12"/>
  <c r="U4748" i="12"/>
  <c r="T4749" i="12"/>
  <c r="U4749" i="12"/>
  <c r="T4751" i="12"/>
  <c r="U4751" i="12"/>
  <c r="T4752" i="12"/>
  <c r="U4752" i="12"/>
  <c r="T4753" i="12"/>
  <c r="U4753" i="12"/>
  <c r="T4754" i="12"/>
  <c r="U4754" i="12"/>
  <c r="T4755" i="12"/>
  <c r="U4755" i="12"/>
  <c r="T4756" i="12"/>
  <c r="U4756" i="12"/>
  <c r="T4757" i="12"/>
  <c r="U4757" i="12"/>
  <c r="T4758" i="12"/>
  <c r="U4758" i="12"/>
  <c r="T4759" i="12"/>
  <c r="U4759" i="12"/>
  <c r="T4760" i="12"/>
  <c r="U4760" i="12"/>
  <c r="U4765" i="12"/>
  <c r="T4761" i="12"/>
  <c r="U4761" i="12"/>
  <c r="T4762" i="12"/>
  <c r="U4762" i="12"/>
  <c r="T4763" i="12"/>
  <c r="U4763" i="12"/>
  <c r="T4764" i="12"/>
  <c r="U4764" i="12"/>
  <c r="U4750" i="12"/>
  <c r="T4766" i="12"/>
  <c r="U4766" i="12"/>
  <c r="T4767" i="12"/>
  <c r="U4767" i="12"/>
  <c r="T4768" i="12"/>
  <c r="U4768" i="12"/>
  <c r="T4769" i="12"/>
  <c r="U4769" i="12"/>
  <c r="T4770" i="12"/>
  <c r="U4770" i="12"/>
  <c r="T4771" i="12"/>
  <c r="U4771" i="12"/>
  <c r="T4772" i="12"/>
  <c r="U4772" i="12"/>
  <c r="T4773" i="12"/>
  <c r="U4773" i="12"/>
  <c r="T4774" i="12"/>
  <c r="U4774" i="12"/>
  <c r="T4775" i="12"/>
  <c r="U4775" i="12"/>
  <c r="T4776" i="12"/>
  <c r="U4776" i="12"/>
  <c r="T4777" i="12"/>
  <c r="U4777" i="12"/>
  <c r="T4778" i="12"/>
  <c r="U4778" i="12"/>
  <c r="T4779" i="12"/>
  <c r="U4779" i="12"/>
  <c r="T4780" i="12"/>
  <c r="U4780" i="12"/>
  <c r="T4781" i="12"/>
  <c r="U4781" i="12"/>
  <c r="T4782" i="12"/>
  <c r="U4782" i="12"/>
  <c r="T4783" i="12"/>
  <c r="U4783" i="12"/>
  <c r="T4784" i="12"/>
  <c r="U4784" i="12"/>
  <c r="T4785" i="12"/>
  <c r="U4785" i="12"/>
  <c r="T4786" i="12"/>
  <c r="U4786" i="12"/>
  <c r="T4787" i="12"/>
  <c r="U4787" i="12"/>
  <c r="T4788" i="12"/>
  <c r="U4788" i="12"/>
  <c r="T4789" i="12"/>
  <c r="U4789" i="12"/>
  <c r="T4790" i="12"/>
  <c r="U4790" i="12"/>
  <c r="T4791" i="12"/>
  <c r="U4791" i="12"/>
  <c r="T4792" i="12"/>
  <c r="U4792" i="12"/>
  <c r="T4793" i="12"/>
  <c r="U4793" i="12"/>
  <c r="T4794" i="12"/>
  <c r="U4794" i="12"/>
  <c r="T4795" i="12"/>
  <c r="U4795" i="12"/>
  <c r="T4796" i="12"/>
  <c r="U4796" i="12"/>
  <c r="T4797" i="12"/>
  <c r="U4797" i="12"/>
  <c r="T4798" i="12"/>
  <c r="U4798" i="12"/>
  <c r="T4799" i="12"/>
  <c r="U4799" i="12"/>
  <c r="T4800" i="12"/>
  <c r="U4800" i="12"/>
  <c r="T4801" i="12"/>
  <c r="U4801" i="12"/>
  <c r="T4802" i="12"/>
  <c r="U4802" i="12"/>
  <c r="T4803" i="12"/>
  <c r="U4803" i="12"/>
  <c r="T4804" i="12"/>
  <c r="U4804" i="12"/>
  <c r="T4805" i="12"/>
  <c r="U4805" i="12"/>
  <c r="T4806" i="12"/>
  <c r="U4806" i="12"/>
  <c r="T4807" i="12"/>
  <c r="U4807" i="12"/>
  <c r="T4808" i="12"/>
  <c r="U4808" i="12"/>
  <c r="T4809" i="12"/>
  <c r="U4809" i="12"/>
  <c r="T4810" i="12"/>
  <c r="U4810" i="12"/>
  <c r="T4811" i="12"/>
  <c r="U4811" i="12"/>
  <c r="T4812" i="12"/>
  <c r="U4812" i="12"/>
  <c r="T4813" i="12"/>
  <c r="U4813" i="12"/>
  <c r="T4814" i="12"/>
  <c r="U4814" i="12"/>
  <c r="T4815" i="12"/>
  <c r="U4815" i="12"/>
  <c r="T4816" i="12"/>
  <c r="U4816" i="12"/>
  <c r="T4817" i="12"/>
  <c r="U4817" i="12"/>
  <c r="T4818" i="12"/>
  <c r="U4818" i="12"/>
  <c r="T4819" i="12"/>
  <c r="U4819" i="12"/>
  <c r="T4820" i="12"/>
  <c r="U4820" i="12"/>
  <c r="T4821" i="12"/>
  <c r="U4821" i="12"/>
  <c r="T4822" i="12"/>
  <c r="U4822" i="12"/>
  <c r="T4823" i="12"/>
  <c r="U4823" i="12"/>
  <c r="T4824" i="12"/>
  <c r="U4824" i="12"/>
  <c r="T4825" i="12"/>
  <c r="U4825" i="12"/>
  <c r="T4826" i="12"/>
  <c r="U4826" i="12"/>
  <c r="T4827" i="12"/>
  <c r="U4827" i="12"/>
  <c r="T4828" i="12"/>
  <c r="U4828" i="12"/>
  <c r="T4829" i="12"/>
  <c r="U4829" i="12"/>
  <c r="T4830" i="12"/>
  <c r="U4830" i="12"/>
  <c r="T4831" i="12"/>
  <c r="U4831" i="12"/>
  <c r="T4832" i="12"/>
  <c r="U4832" i="12"/>
  <c r="T4833" i="12"/>
  <c r="U4833" i="12"/>
  <c r="T4834" i="12"/>
  <c r="U4834" i="12"/>
  <c r="T4835" i="12"/>
  <c r="U4835" i="12"/>
  <c r="T4836" i="12"/>
  <c r="U4836" i="12"/>
  <c r="T4837" i="12"/>
  <c r="U4837" i="12"/>
  <c r="T4838" i="12"/>
  <c r="U4838" i="12"/>
  <c r="T4839" i="12"/>
  <c r="U4839" i="12"/>
  <c r="T4840" i="12"/>
  <c r="U4840" i="12"/>
  <c r="T4841" i="12"/>
  <c r="U4841" i="12"/>
  <c r="T4842" i="12"/>
  <c r="U4842" i="12"/>
  <c r="T4843" i="12"/>
  <c r="U4843" i="12"/>
  <c r="T4844" i="12"/>
  <c r="U4844" i="12"/>
  <c r="T4845" i="12"/>
  <c r="U4845" i="12"/>
  <c r="T4846" i="12"/>
  <c r="U4846" i="12"/>
  <c r="T4847" i="12"/>
  <c r="U4847" i="12"/>
  <c r="T4848" i="12"/>
  <c r="U4848" i="12"/>
  <c r="T4849" i="12"/>
  <c r="U4849" i="12"/>
  <c r="T4850" i="12"/>
  <c r="U4850" i="12"/>
  <c r="T4851" i="12"/>
  <c r="U4851" i="12"/>
  <c r="T4852" i="12"/>
  <c r="U4852" i="12"/>
  <c r="T4853" i="12"/>
  <c r="U4853" i="12"/>
  <c r="T4854" i="12"/>
  <c r="U4854" i="12"/>
  <c r="T4855" i="12"/>
  <c r="U4855" i="12"/>
  <c r="T4856" i="12"/>
  <c r="U4856" i="12"/>
  <c r="T4857" i="12"/>
  <c r="U4857" i="12"/>
  <c r="T4858" i="12"/>
  <c r="U4858" i="12"/>
  <c r="T4859" i="12"/>
  <c r="U4859" i="12"/>
  <c r="T4860" i="12"/>
  <c r="U4860" i="12"/>
  <c r="T4861" i="12"/>
  <c r="U4861" i="12"/>
  <c r="T4862" i="12"/>
  <c r="U4862" i="12"/>
  <c r="T4863" i="12"/>
  <c r="U4863" i="12"/>
  <c r="T4864" i="12"/>
  <c r="U4864" i="12"/>
  <c r="T4865" i="12"/>
  <c r="U4865" i="12"/>
  <c r="T4866" i="12"/>
  <c r="U4866" i="12"/>
  <c r="T4867" i="12"/>
  <c r="U4867" i="12"/>
  <c r="T4868" i="12"/>
  <c r="U4868" i="12"/>
  <c r="T4869" i="12"/>
  <c r="U4869" i="12"/>
  <c r="T4870" i="12"/>
  <c r="U4870" i="12"/>
  <c r="T4871" i="12"/>
  <c r="U4871" i="12"/>
  <c r="T4872" i="12"/>
  <c r="U4872" i="12"/>
  <c r="T4873" i="12"/>
  <c r="U4873" i="12"/>
  <c r="T4874" i="12"/>
  <c r="U4874" i="12"/>
  <c r="T4875" i="12"/>
  <c r="U4875" i="12"/>
  <c r="T4876" i="12"/>
  <c r="U4876" i="12"/>
  <c r="T4877" i="12"/>
  <c r="U4877" i="12"/>
  <c r="T4878" i="12"/>
  <c r="U4878" i="12"/>
  <c r="T4879" i="12"/>
  <c r="U4879" i="12"/>
  <c r="T4880" i="12"/>
  <c r="U4880" i="12"/>
  <c r="T4881" i="12"/>
  <c r="U4881" i="12"/>
  <c r="T4882" i="12"/>
  <c r="U4882" i="12"/>
  <c r="T4883" i="12"/>
  <c r="U4883" i="12"/>
  <c r="T4884" i="12"/>
  <c r="U4884" i="12"/>
  <c r="T4885" i="12"/>
  <c r="U4885" i="12"/>
  <c r="T4886" i="12"/>
  <c r="U4886" i="12"/>
  <c r="T4887" i="12"/>
  <c r="U4887" i="12"/>
  <c r="T4888" i="12"/>
  <c r="U4888" i="12"/>
  <c r="T4889" i="12"/>
  <c r="U4889" i="12"/>
  <c r="T4890" i="12"/>
  <c r="U4890" i="12"/>
  <c r="T4891" i="12"/>
  <c r="U4891" i="12"/>
  <c r="T4892" i="12"/>
  <c r="U4892" i="12"/>
  <c r="T4893" i="12"/>
  <c r="U4893" i="12"/>
  <c r="T4894" i="12"/>
  <c r="U4894" i="12"/>
  <c r="T4895" i="12"/>
  <c r="U4895" i="12"/>
  <c r="T4896" i="12"/>
  <c r="U4896" i="12"/>
  <c r="T4897" i="12"/>
  <c r="U4897" i="12"/>
  <c r="T4898" i="12"/>
  <c r="U4898" i="12"/>
  <c r="T4899" i="12"/>
  <c r="U4899" i="12"/>
  <c r="T4900" i="12"/>
  <c r="U4900" i="12"/>
  <c r="T4901" i="12"/>
  <c r="U4901" i="12"/>
  <c r="T4902" i="12"/>
  <c r="U4902" i="12"/>
  <c r="T4903" i="12"/>
  <c r="U4903" i="12"/>
  <c r="T4904" i="12"/>
  <c r="U4904" i="12"/>
  <c r="T4905" i="12"/>
  <c r="U4905" i="12"/>
  <c r="T4906" i="12"/>
  <c r="U4906" i="12"/>
  <c r="T4907" i="12"/>
  <c r="U4907" i="12"/>
  <c r="T4908" i="12"/>
  <c r="U4908" i="12"/>
  <c r="T4909" i="12"/>
  <c r="U4909" i="12"/>
  <c r="T4910" i="12"/>
  <c r="U4910" i="12"/>
  <c r="T4911" i="12"/>
  <c r="U4911" i="12"/>
  <c r="T4912" i="12"/>
  <c r="U4912" i="12"/>
  <c r="T4913" i="12"/>
  <c r="U4913" i="12"/>
  <c r="T4914" i="12"/>
  <c r="U4914" i="12"/>
  <c r="T4915" i="12"/>
  <c r="U4915" i="12"/>
  <c r="T4916" i="12"/>
  <c r="U4916" i="12"/>
  <c r="T4917" i="12"/>
  <c r="U4917" i="12"/>
  <c r="T4918" i="12"/>
  <c r="U4918" i="12"/>
  <c r="T4919" i="12"/>
  <c r="U4919" i="12"/>
  <c r="T4920" i="12"/>
  <c r="U4920" i="12"/>
  <c r="T4921" i="12"/>
  <c r="U4921" i="12"/>
  <c r="T4922" i="12"/>
  <c r="U4922" i="12"/>
  <c r="T4923" i="12"/>
  <c r="U4923" i="12"/>
  <c r="T4924" i="12"/>
  <c r="U4924" i="12"/>
  <c r="T4925" i="12"/>
  <c r="U4925" i="12"/>
  <c r="T4926" i="12"/>
  <c r="U4926" i="12"/>
  <c r="T4927" i="12"/>
  <c r="U4927" i="12"/>
  <c r="T4928" i="12"/>
  <c r="U4928" i="12"/>
  <c r="T4929" i="12"/>
  <c r="U4929" i="12"/>
  <c r="T4930" i="12"/>
  <c r="U4930" i="12"/>
  <c r="T4931" i="12"/>
  <c r="U4931" i="12"/>
  <c r="T4932" i="12"/>
  <c r="U4932" i="12"/>
  <c r="T4933" i="12"/>
  <c r="U4933" i="12"/>
  <c r="T4934" i="12"/>
  <c r="U4934" i="12"/>
  <c r="T4935" i="12"/>
  <c r="U4935" i="12"/>
  <c r="T4936" i="12"/>
  <c r="U4936" i="12"/>
  <c r="T4937" i="12"/>
  <c r="U4937" i="12"/>
  <c r="T4938" i="12"/>
  <c r="U4938" i="12"/>
  <c r="T4939" i="12"/>
  <c r="U4939" i="12"/>
  <c r="T4940" i="12"/>
  <c r="U4940" i="12"/>
  <c r="T4941" i="12"/>
  <c r="U4941" i="12"/>
  <c r="T4942" i="12"/>
  <c r="U4942" i="12"/>
  <c r="T4943" i="12"/>
  <c r="U4943" i="12"/>
  <c r="T4944" i="12"/>
  <c r="U4944" i="12"/>
  <c r="T4945" i="12"/>
  <c r="U4945" i="12"/>
  <c r="T4946" i="12"/>
  <c r="U4946" i="12"/>
  <c r="T4947" i="12"/>
  <c r="U4947" i="12"/>
  <c r="T4948" i="12"/>
  <c r="U4948" i="12"/>
  <c r="T4949" i="12"/>
  <c r="U4949" i="12"/>
  <c r="T4950" i="12"/>
  <c r="U4950" i="12"/>
  <c r="T4951" i="12"/>
  <c r="U4951" i="12"/>
  <c r="T4952" i="12"/>
  <c r="U4952" i="12"/>
  <c r="T4953" i="12"/>
  <c r="U4953" i="12"/>
  <c r="T4954" i="12"/>
  <c r="U4954" i="12"/>
  <c r="T4955" i="12"/>
  <c r="U4955" i="12"/>
  <c r="T4956" i="12"/>
  <c r="U4956" i="12"/>
  <c r="T4957" i="12"/>
  <c r="U4957" i="12"/>
  <c r="T4958" i="12"/>
  <c r="U4958" i="12"/>
  <c r="T4959" i="12"/>
  <c r="U4959" i="12"/>
  <c r="T4960" i="12"/>
  <c r="U4960" i="12"/>
  <c r="T4961" i="12"/>
  <c r="U4961" i="12"/>
  <c r="T4962" i="12"/>
  <c r="U4962" i="12"/>
  <c r="T4963" i="12"/>
  <c r="U4963" i="12"/>
  <c r="T4964" i="12"/>
  <c r="U4964" i="12"/>
  <c r="T4965" i="12"/>
  <c r="U4965" i="12"/>
  <c r="T4966" i="12"/>
  <c r="U4966" i="12"/>
  <c r="T4967" i="12"/>
  <c r="U4967" i="12"/>
  <c r="T4968" i="12"/>
  <c r="U4968" i="12"/>
  <c r="T4969" i="12"/>
  <c r="U4969" i="12"/>
  <c r="T4970" i="12"/>
  <c r="U4970" i="12"/>
  <c r="T4971" i="12"/>
  <c r="U4971" i="12"/>
  <c r="T4972" i="12"/>
  <c r="U4972" i="12"/>
  <c r="T4973" i="12"/>
  <c r="U4973" i="12"/>
  <c r="T4974" i="12"/>
  <c r="U4974" i="12"/>
  <c r="T4975" i="12"/>
  <c r="U4975" i="12"/>
  <c r="T4976" i="12"/>
  <c r="U4976" i="12"/>
  <c r="T4977" i="12"/>
  <c r="U4977" i="12"/>
  <c r="T4978" i="12"/>
  <c r="U4978" i="12"/>
  <c r="T4979" i="12"/>
  <c r="U4979" i="12"/>
  <c r="T4980" i="12"/>
  <c r="U4980" i="12"/>
  <c r="T4981" i="12"/>
  <c r="U4981" i="12"/>
  <c r="T4982" i="12"/>
  <c r="U4982" i="12"/>
  <c r="T4983" i="12"/>
  <c r="U4983" i="12"/>
  <c r="T4984" i="12"/>
  <c r="U4984" i="12"/>
  <c r="T4985" i="12"/>
  <c r="U4985" i="12"/>
  <c r="T4986" i="12"/>
  <c r="U4986" i="12"/>
  <c r="T4987" i="12"/>
  <c r="U4987" i="12"/>
  <c r="T4988" i="12"/>
  <c r="U4988" i="12"/>
  <c r="T4989" i="12"/>
  <c r="U4989" i="12"/>
  <c r="T4990" i="12"/>
  <c r="U4990" i="12"/>
  <c r="T4991" i="12"/>
  <c r="U4991" i="12"/>
  <c r="T4992" i="12"/>
  <c r="U4992" i="12"/>
  <c r="T4993" i="12"/>
  <c r="U4993" i="12"/>
  <c r="T4994" i="12"/>
  <c r="U4994" i="12"/>
  <c r="T4995" i="12"/>
  <c r="U4995" i="12"/>
  <c r="T4996" i="12"/>
  <c r="U4996" i="12"/>
  <c r="T4997" i="12"/>
  <c r="U4997" i="12"/>
  <c r="T4998" i="12"/>
  <c r="U4998" i="12"/>
  <c r="T4999" i="12"/>
  <c r="U4999" i="12"/>
  <c r="T5000" i="12"/>
  <c r="U5000" i="12"/>
  <c r="T5001" i="12"/>
  <c r="U5001" i="12"/>
  <c r="T5002" i="12"/>
  <c r="U5002" i="12"/>
  <c r="T5003" i="12"/>
  <c r="U5003" i="12"/>
  <c r="T5004" i="12"/>
  <c r="U5004" i="12"/>
  <c r="T5005" i="12"/>
  <c r="U5005" i="12"/>
  <c r="T5006" i="12"/>
  <c r="U5006" i="12"/>
  <c r="T5007" i="12"/>
  <c r="U5007" i="12"/>
  <c r="T5008" i="12"/>
  <c r="U5008" i="12"/>
  <c r="T5009" i="12"/>
  <c r="U5009" i="12"/>
  <c r="T5010" i="12"/>
  <c r="U5010" i="12"/>
  <c r="T5011" i="12"/>
  <c r="U5011" i="12"/>
  <c r="T5012" i="12"/>
  <c r="U5012" i="12"/>
  <c r="T5013" i="12"/>
  <c r="U5013" i="12"/>
  <c r="T5014" i="12"/>
  <c r="U5014" i="12"/>
  <c r="T5015" i="12"/>
  <c r="U5015" i="12"/>
  <c r="T5016" i="12"/>
  <c r="U5016" i="12"/>
  <c r="T5017" i="12"/>
  <c r="U5017" i="12"/>
  <c r="T5018" i="12"/>
  <c r="U5018" i="12"/>
  <c r="T5019" i="12"/>
  <c r="U5019" i="12"/>
  <c r="T5020" i="12"/>
  <c r="U5020" i="12"/>
  <c r="T5021" i="12"/>
  <c r="U5021" i="12"/>
  <c r="T5022" i="12"/>
  <c r="U5022" i="12"/>
  <c r="T5023" i="12"/>
  <c r="U5023" i="12"/>
  <c r="T5024" i="12"/>
  <c r="U5024" i="12"/>
  <c r="T5025" i="12"/>
  <c r="U5025" i="12"/>
  <c r="T5026" i="12"/>
  <c r="U5026" i="12"/>
  <c r="T5027" i="12"/>
  <c r="U5027" i="12"/>
  <c r="T5028" i="12"/>
  <c r="U5028" i="12"/>
  <c r="T5029" i="12"/>
  <c r="U5029" i="12"/>
  <c r="T5030" i="12"/>
  <c r="U5030" i="12"/>
  <c r="T5031" i="12"/>
  <c r="U5031" i="12"/>
  <c r="T5032" i="12"/>
  <c r="U5032" i="12"/>
  <c r="T5033" i="12"/>
  <c r="U5033" i="12"/>
  <c r="T5034" i="12"/>
  <c r="U5034" i="12"/>
  <c r="T5035" i="12"/>
  <c r="U5035" i="12"/>
  <c r="T5036" i="12"/>
  <c r="U5036" i="12"/>
  <c r="T5037" i="12"/>
  <c r="U5037" i="12"/>
  <c r="T5038" i="12"/>
  <c r="U5038" i="12"/>
  <c r="T5039" i="12"/>
  <c r="U5039" i="12"/>
  <c r="T5040" i="12"/>
  <c r="U5040" i="12"/>
  <c r="T5041" i="12"/>
  <c r="U5041" i="12"/>
  <c r="T5042" i="12"/>
  <c r="U5042" i="12"/>
  <c r="T5043" i="12"/>
  <c r="U5043" i="12"/>
  <c r="T5044" i="12"/>
  <c r="U5044" i="12"/>
  <c r="T5045" i="12"/>
  <c r="U5045" i="12"/>
  <c r="T5046" i="12"/>
  <c r="U5046" i="12"/>
  <c r="T5047" i="12"/>
  <c r="U5047" i="12"/>
  <c r="T5048" i="12"/>
  <c r="U5048" i="12"/>
  <c r="T5049" i="12"/>
  <c r="U5049" i="12"/>
  <c r="T5050" i="12"/>
  <c r="U5050" i="12"/>
  <c r="T5051" i="12"/>
  <c r="U5051" i="12"/>
  <c r="T5052" i="12"/>
  <c r="U5052" i="12"/>
  <c r="T5053" i="12"/>
  <c r="U5053" i="12"/>
  <c r="T5054" i="12"/>
  <c r="U5054" i="12"/>
  <c r="T5055" i="12"/>
  <c r="U5055" i="12"/>
  <c r="T5056" i="12"/>
  <c r="U5056" i="12"/>
  <c r="T5057" i="12"/>
  <c r="U5057" i="12"/>
  <c r="T5058" i="12"/>
  <c r="U5058" i="12"/>
  <c r="T5059" i="12"/>
  <c r="U5059" i="12"/>
  <c r="T5060" i="12"/>
  <c r="U5060" i="12"/>
  <c r="T5061" i="12"/>
  <c r="U5061" i="12"/>
  <c r="T5062" i="12"/>
  <c r="U5062" i="12"/>
  <c r="T5063" i="12"/>
  <c r="U5063" i="12"/>
  <c r="T5064" i="12"/>
  <c r="U5064" i="12"/>
  <c r="T5065" i="12"/>
  <c r="U5065" i="12"/>
  <c r="T5066" i="12"/>
  <c r="U5066" i="12"/>
  <c r="T5067" i="12"/>
  <c r="U5067" i="12"/>
  <c r="T5068" i="12"/>
  <c r="U5068" i="12"/>
  <c r="T5069" i="12"/>
  <c r="U5069" i="12"/>
  <c r="T5070" i="12"/>
  <c r="U5070" i="12"/>
  <c r="T5071" i="12"/>
  <c r="U5071" i="12"/>
  <c r="T5072" i="12"/>
  <c r="U5072" i="12"/>
  <c r="T5073" i="12"/>
  <c r="U5073" i="12"/>
  <c r="T5074" i="12"/>
  <c r="U5074" i="12"/>
  <c r="T5075" i="12"/>
  <c r="U5075" i="12"/>
  <c r="T5076" i="12"/>
  <c r="U5076" i="12"/>
  <c r="T5077" i="12"/>
  <c r="U5077" i="12"/>
  <c r="T5078" i="12"/>
  <c r="U5078" i="12"/>
  <c r="T5079" i="12"/>
  <c r="U5079" i="12"/>
  <c r="T5080" i="12"/>
  <c r="U5080" i="12"/>
  <c r="T5081" i="12"/>
  <c r="U5081" i="12"/>
  <c r="T5082" i="12"/>
  <c r="U5082" i="12"/>
  <c r="T5083" i="12"/>
  <c r="U5083" i="12"/>
  <c r="T5084" i="12"/>
  <c r="U5084" i="12"/>
  <c r="T5085" i="12"/>
  <c r="U5085" i="12"/>
  <c r="T5086" i="12"/>
  <c r="U5086" i="12"/>
  <c r="T5087" i="12"/>
  <c r="U5087" i="12"/>
  <c r="T5088" i="12"/>
  <c r="U5088" i="12"/>
  <c r="T5089" i="12"/>
  <c r="U5089" i="12"/>
  <c r="T5090" i="12"/>
  <c r="U5090" i="12"/>
  <c r="T5091" i="12"/>
  <c r="U5091" i="12"/>
  <c r="T5092" i="12"/>
  <c r="U5092" i="12"/>
  <c r="T5093" i="12"/>
  <c r="U5093" i="12"/>
  <c r="T5094" i="12"/>
  <c r="U5094" i="12"/>
  <c r="T5095" i="12"/>
  <c r="U5095" i="12"/>
  <c r="T5096" i="12"/>
  <c r="U5096" i="12"/>
  <c r="T5097" i="12"/>
  <c r="U5097" i="12"/>
  <c r="T5098" i="12"/>
  <c r="U5098" i="12"/>
  <c r="T5099" i="12"/>
  <c r="U5099" i="12"/>
  <c r="T5100" i="12"/>
  <c r="U5100" i="12"/>
  <c r="T5101" i="12"/>
  <c r="U5101" i="12"/>
  <c r="T5102" i="12"/>
  <c r="U5102" i="12"/>
  <c r="T5103" i="12"/>
  <c r="U5103" i="12"/>
  <c r="T5104" i="12"/>
  <c r="U5104" i="12"/>
  <c r="T5105" i="12"/>
  <c r="U5105" i="12"/>
  <c r="T5106" i="12"/>
  <c r="U5106" i="12"/>
  <c r="T5107" i="12"/>
  <c r="U5107" i="12"/>
  <c r="T5108" i="12"/>
  <c r="U5108" i="12"/>
  <c r="T5109" i="12"/>
  <c r="U5109" i="12"/>
  <c r="T5110" i="12"/>
  <c r="U5110" i="12"/>
  <c r="T5111" i="12"/>
  <c r="U5111" i="12"/>
  <c r="T5112" i="12"/>
  <c r="U5112" i="12"/>
  <c r="T5113" i="12"/>
  <c r="U5113" i="12"/>
  <c r="T5114" i="12"/>
  <c r="U5114" i="12"/>
  <c r="T5115" i="12"/>
  <c r="U5115" i="12"/>
  <c r="T5116" i="12"/>
  <c r="U5116" i="12"/>
  <c r="T5117" i="12"/>
  <c r="U5117" i="12"/>
  <c r="T5118" i="12"/>
  <c r="U5118" i="12"/>
  <c r="T5119" i="12"/>
  <c r="U5119" i="12"/>
  <c r="T5120" i="12"/>
  <c r="U5120" i="12"/>
  <c r="T5121" i="12"/>
  <c r="U5121" i="12"/>
  <c r="T5122" i="12"/>
  <c r="U5122" i="12"/>
  <c r="T5123" i="12"/>
  <c r="U5123" i="12"/>
  <c r="T5124" i="12"/>
  <c r="U5124" i="12"/>
  <c r="T5125" i="12"/>
  <c r="U5125" i="12"/>
  <c r="T5126" i="12"/>
  <c r="U5126" i="12"/>
  <c r="T5127" i="12"/>
  <c r="U5127" i="12"/>
  <c r="T5128" i="12"/>
  <c r="U5128" i="12"/>
  <c r="T5129" i="12"/>
  <c r="U5129" i="12"/>
  <c r="T5130" i="12"/>
  <c r="U5130" i="12"/>
  <c r="T5131" i="12"/>
  <c r="U5131" i="12"/>
  <c r="T5132" i="12"/>
  <c r="U5132" i="12"/>
  <c r="T5133" i="12"/>
  <c r="U5133" i="12"/>
  <c r="T5134" i="12"/>
  <c r="U5134" i="12"/>
  <c r="T5135" i="12"/>
  <c r="U5135" i="12"/>
  <c r="T5136" i="12"/>
  <c r="U5136" i="12"/>
  <c r="T5137" i="12"/>
  <c r="U5137" i="12"/>
  <c r="T5138" i="12"/>
  <c r="U5138" i="12"/>
  <c r="T5139" i="12"/>
  <c r="U5139" i="12"/>
  <c r="T5140" i="12"/>
  <c r="U5140" i="12"/>
  <c r="T5141" i="12"/>
  <c r="U5141" i="12"/>
  <c r="T5142" i="12"/>
  <c r="U5142" i="12"/>
  <c r="T5143" i="12"/>
  <c r="U5143" i="12"/>
  <c r="T5144" i="12"/>
  <c r="U5144" i="12"/>
  <c r="T5145" i="12"/>
  <c r="U5145" i="12"/>
  <c r="T5146" i="12"/>
  <c r="U5146" i="12"/>
  <c r="T5147" i="12"/>
  <c r="U5147" i="12"/>
  <c r="T5148" i="12"/>
  <c r="U5148" i="12"/>
  <c r="T5149" i="12"/>
  <c r="U5149" i="12"/>
  <c r="T5150" i="12"/>
  <c r="U5150" i="12"/>
  <c r="T5151" i="12"/>
  <c r="U5151" i="12"/>
  <c r="T5152" i="12"/>
  <c r="U5152" i="12"/>
  <c r="T5153" i="12"/>
  <c r="U5153" i="12"/>
  <c r="T5154" i="12"/>
  <c r="U5154" i="12"/>
  <c r="T5155" i="12"/>
  <c r="U5155" i="12"/>
  <c r="T5156" i="12"/>
  <c r="U5156" i="12"/>
  <c r="T5157" i="12"/>
  <c r="U5157" i="12"/>
  <c r="T5158" i="12"/>
  <c r="U5158" i="12"/>
  <c r="T5159" i="12"/>
  <c r="U5159" i="12"/>
  <c r="T5160" i="12"/>
  <c r="U5160" i="12"/>
  <c r="T5161" i="12"/>
  <c r="U5161" i="12"/>
  <c r="T5162" i="12"/>
  <c r="U5162" i="12"/>
  <c r="T5163" i="12"/>
  <c r="U5163" i="12"/>
  <c r="T5164" i="12"/>
  <c r="U5164" i="12"/>
  <c r="T5165" i="12"/>
  <c r="U5165" i="12"/>
  <c r="T5166" i="12"/>
  <c r="U5166" i="12"/>
  <c r="T5167" i="12"/>
  <c r="U5167" i="12"/>
  <c r="T5168" i="12"/>
  <c r="U5168" i="12"/>
  <c r="T5169" i="12"/>
  <c r="U5169" i="12"/>
  <c r="T5170" i="12"/>
  <c r="U5170" i="12"/>
  <c r="T5171" i="12"/>
  <c r="U5171" i="12"/>
  <c r="T5172" i="12"/>
  <c r="U5172" i="12"/>
  <c r="T5173" i="12"/>
  <c r="U5173" i="12"/>
  <c r="T5174" i="12"/>
  <c r="U5174" i="12"/>
  <c r="T5175" i="12"/>
  <c r="U5175" i="12"/>
  <c r="T5176" i="12"/>
  <c r="U5176" i="12"/>
  <c r="T5177" i="12"/>
  <c r="U5177" i="12"/>
  <c r="T5178" i="12"/>
  <c r="U5178" i="12"/>
  <c r="T5179" i="12"/>
  <c r="U5179" i="12"/>
  <c r="T5180" i="12"/>
  <c r="U5180" i="12"/>
  <c r="T5181" i="12"/>
  <c r="U5181" i="12"/>
  <c r="T5182" i="12"/>
  <c r="U5182" i="12"/>
  <c r="T5183" i="12"/>
  <c r="U5183" i="12"/>
  <c r="T5184" i="12"/>
  <c r="U5184" i="12"/>
  <c r="T5185" i="12"/>
  <c r="U5185" i="12"/>
  <c r="T5186" i="12"/>
  <c r="U5186" i="12"/>
  <c r="T5187" i="12"/>
  <c r="U5187" i="12"/>
  <c r="T5188" i="12"/>
  <c r="U5188" i="12"/>
  <c r="T5189" i="12"/>
  <c r="U5189" i="12"/>
  <c r="T5190" i="12"/>
  <c r="U5190" i="12"/>
  <c r="T5191" i="12"/>
  <c r="U5191" i="12"/>
  <c r="T5192" i="12"/>
  <c r="U5192" i="12"/>
  <c r="T5193" i="12"/>
  <c r="U5193" i="12"/>
  <c r="T5194" i="12"/>
  <c r="U5194" i="12"/>
  <c r="T5195" i="12"/>
  <c r="U5195" i="12"/>
  <c r="T5196" i="12"/>
  <c r="U5196" i="12"/>
  <c r="T5197" i="12"/>
  <c r="U5197" i="12"/>
  <c r="T5198" i="12"/>
  <c r="U5198" i="12"/>
  <c r="T5199" i="12"/>
  <c r="U5199" i="12"/>
  <c r="T5200" i="12"/>
  <c r="U5200" i="12"/>
  <c r="T5201" i="12"/>
  <c r="U5201" i="12"/>
  <c r="T5202" i="12"/>
  <c r="U5202" i="12"/>
  <c r="T5203" i="12"/>
  <c r="U5203" i="12"/>
  <c r="T5204" i="12"/>
  <c r="U5204" i="12"/>
  <c r="T5205" i="12"/>
  <c r="U5205" i="12"/>
  <c r="T5206" i="12"/>
  <c r="U5206" i="12"/>
  <c r="T5207" i="12"/>
  <c r="U5207" i="12"/>
  <c r="T5208" i="12"/>
  <c r="U5208" i="12"/>
  <c r="T5209" i="12"/>
  <c r="U5209" i="12"/>
  <c r="T5210" i="12"/>
  <c r="U5210" i="12"/>
  <c r="T5211" i="12"/>
  <c r="U5211" i="12"/>
  <c r="T5212" i="12"/>
  <c r="U5212" i="12"/>
  <c r="T5213" i="12"/>
  <c r="U5213" i="12"/>
  <c r="T5214" i="12"/>
  <c r="U5214" i="12"/>
  <c r="T5215" i="12"/>
  <c r="U5215" i="12"/>
  <c r="T5216" i="12"/>
  <c r="U5216" i="12"/>
  <c r="T5217" i="12"/>
  <c r="U5217" i="12"/>
  <c r="T5218" i="12"/>
  <c r="U5218" i="12"/>
  <c r="T5219" i="12"/>
  <c r="U5219" i="12"/>
  <c r="T5220" i="12"/>
  <c r="U5220" i="12"/>
  <c r="T5221" i="12"/>
  <c r="U5221" i="12"/>
  <c r="T5222" i="12"/>
  <c r="U5222" i="12"/>
  <c r="T5223" i="12"/>
  <c r="U5223" i="12"/>
  <c r="T5224" i="12"/>
  <c r="U5224" i="12"/>
  <c r="T5225" i="12"/>
  <c r="U5225" i="12"/>
  <c r="T5226" i="12"/>
  <c r="U5226" i="12"/>
  <c r="T5227" i="12"/>
  <c r="U5227" i="12"/>
  <c r="T5228" i="12"/>
  <c r="U5228" i="12"/>
  <c r="T5229" i="12"/>
  <c r="U5229" i="12"/>
  <c r="T5230" i="12"/>
  <c r="U5230" i="12"/>
  <c r="T5231" i="12"/>
  <c r="U5231" i="12"/>
  <c r="T5232" i="12"/>
  <c r="U5232" i="12"/>
  <c r="T5233" i="12"/>
  <c r="U5233" i="12"/>
  <c r="T5234" i="12"/>
  <c r="U5234" i="12"/>
  <c r="T5235" i="12"/>
  <c r="U5235" i="12"/>
  <c r="T5236" i="12"/>
  <c r="U5236" i="12"/>
  <c r="T5237" i="12"/>
  <c r="U5237" i="12"/>
  <c r="T5238" i="12"/>
  <c r="U5238" i="12"/>
  <c r="T5239" i="12"/>
  <c r="U5239" i="12"/>
  <c r="T5240" i="12"/>
  <c r="U5240" i="12"/>
  <c r="T5241" i="12"/>
  <c r="U5241" i="12"/>
  <c r="T5242" i="12"/>
  <c r="U5242" i="12"/>
  <c r="T5243" i="12"/>
  <c r="U5243" i="12"/>
  <c r="T5244" i="12"/>
  <c r="U5244" i="12"/>
  <c r="T5245" i="12"/>
  <c r="U5245" i="12"/>
  <c r="T5246" i="12"/>
  <c r="U5246" i="12"/>
  <c r="T5247" i="12"/>
  <c r="U5247" i="12"/>
  <c r="T5248" i="12"/>
  <c r="U5248" i="12"/>
  <c r="T5249" i="12"/>
  <c r="U5249" i="12"/>
  <c r="T5250" i="12"/>
  <c r="U5250" i="12"/>
  <c r="T5251" i="12"/>
  <c r="U5251" i="12"/>
  <c r="T5252" i="12"/>
  <c r="U5252" i="12"/>
  <c r="T5253" i="12"/>
  <c r="U5253" i="12"/>
  <c r="T5254" i="12"/>
  <c r="U5254" i="12"/>
  <c r="T5255" i="12"/>
  <c r="U5255" i="12"/>
  <c r="T5256" i="12"/>
  <c r="U5256" i="12"/>
  <c r="T5257" i="12"/>
  <c r="U5257" i="12"/>
  <c r="T5258" i="12"/>
  <c r="U5258" i="12"/>
  <c r="T5259" i="12"/>
  <c r="U5259" i="12"/>
  <c r="T5260" i="12"/>
  <c r="U5260" i="12"/>
  <c r="T5261" i="12"/>
  <c r="U5261" i="12"/>
  <c r="T5262" i="12"/>
  <c r="U5262" i="12"/>
  <c r="T5263" i="12"/>
  <c r="U5263" i="12"/>
  <c r="T5264" i="12"/>
  <c r="U5264" i="12"/>
  <c r="T5265" i="12"/>
  <c r="U5265" i="12"/>
  <c r="T5266" i="12"/>
  <c r="U5266" i="12"/>
  <c r="T5267" i="12"/>
  <c r="U5267" i="12"/>
  <c r="T5268" i="12"/>
  <c r="U5268" i="12"/>
  <c r="T5269" i="12"/>
  <c r="U5269" i="12"/>
  <c r="T5270" i="12"/>
  <c r="U5270" i="12"/>
  <c r="T5271" i="12"/>
  <c r="U5271" i="12"/>
  <c r="T5272" i="12"/>
  <c r="U5272" i="12"/>
  <c r="T5273" i="12"/>
  <c r="U5273" i="12"/>
  <c r="T5274" i="12"/>
  <c r="U5274" i="12"/>
  <c r="T5275" i="12"/>
  <c r="U5275" i="12"/>
  <c r="T5276" i="12"/>
  <c r="U5276" i="12"/>
  <c r="T5277" i="12"/>
  <c r="U5277" i="12"/>
  <c r="T5278" i="12"/>
  <c r="U5278" i="12"/>
  <c r="T5279" i="12"/>
  <c r="U5279" i="12"/>
  <c r="T5280" i="12"/>
  <c r="U5280" i="12"/>
  <c r="T5281" i="12"/>
  <c r="U5281" i="12"/>
  <c r="T5282" i="12"/>
  <c r="U5282" i="12"/>
  <c r="T5283" i="12"/>
  <c r="U5283" i="12"/>
  <c r="T5284" i="12"/>
  <c r="U5284" i="12"/>
  <c r="T5285" i="12"/>
  <c r="U5285" i="12"/>
  <c r="T5286" i="12"/>
  <c r="U5286" i="12"/>
  <c r="T5287" i="12"/>
  <c r="U5287" i="12"/>
  <c r="T5288" i="12"/>
  <c r="U5288" i="12"/>
  <c r="T5289" i="12"/>
  <c r="U5289" i="12"/>
  <c r="T5290" i="12"/>
  <c r="U5290" i="12"/>
  <c r="T5291" i="12"/>
  <c r="U5291" i="12"/>
  <c r="T5292" i="12"/>
  <c r="U5292" i="12"/>
  <c r="T5293" i="12"/>
  <c r="U5293" i="12"/>
  <c r="T5294" i="12"/>
  <c r="U5294" i="12"/>
  <c r="T5295" i="12"/>
  <c r="U5295" i="12"/>
  <c r="T5296" i="12"/>
  <c r="U5296" i="12"/>
  <c r="T5297" i="12"/>
  <c r="U5297" i="12"/>
  <c r="T5298" i="12"/>
  <c r="U5298" i="12"/>
  <c r="T5299" i="12"/>
  <c r="U5299" i="12"/>
  <c r="T5300" i="12"/>
  <c r="U5300" i="12"/>
  <c r="T5301" i="12"/>
  <c r="U5301" i="12"/>
  <c r="T5302" i="12"/>
  <c r="U5302" i="12"/>
  <c r="T5303" i="12"/>
  <c r="U5303" i="12"/>
  <c r="T5304" i="12"/>
  <c r="U5304" i="12"/>
  <c r="T5305" i="12"/>
  <c r="U5305" i="12"/>
  <c r="T5306" i="12"/>
  <c r="U5306" i="12"/>
  <c r="T5307" i="12"/>
  <c r="U5307" i="12"/>
  <c r="T5308" i="12"/>
  <c r="U5308" i="12"/>
  <c r="T5309" i="12"/>
  <c r="U5309" i="12"/>
  <c r="T5310" i="12"/>
  <c r="U5310" i="12"/>
  <c r="T5311" i="12"/>
  <c r="U5311" i="12"/>
  <c r="T5312" i="12"/>
  <c r="U5312" i="12"/>
  <c r="T5313" i="12"/>
  <c r="U5313" i="12"/>
  <c r="T5314" i="12"/>
  <c r="U5314" i="12"/>
  <c r="T5315" i="12"/>
  <c r="U5315" i="12"/>
  <c r="T5316" i="12"/>
  <c r="U5316" i="12"/>
  <c r="T5317" i="12"/>
  <c r="U5317" i="12"/>
  <c r="T5318" i="12"/>
  <c r="U5318" i="12"/>
  <c r="T5319" i="12"/>
  <c r="U5319" i="12"/>
  <c r="T5320" i="12"/>
  <c r="U5320" i="12"/>
  <c r="T5321" i="12"/>
  <c r="U5321" i="12"/>
  <c r="T5322" i="12"/>
  <c r="U5322" i="12"/>
  <c r="T5323" i="12"/>
  <c r="U5323" i="12"/>
  <c r="T5324" i="12"/>
  <c r="U5324" i="12"/>
  <c r="T5325" i="12"/>
  <c r="U5325" i="12"/>
  <c r="T5326" i="12"/>
  <c r="U5326" i="12"/>
  <c r="T5327" i="12"/>
  <c r="U5327" i="12"/>
  <c r="T5328" i="12"/>
  <c r="U5328" i="12"/>
  <c r="T5329" i="12"/>
  <c r="U5329" i="12"/>
  <c r="T5330" i="12"/>
  <c r="U5330" i="12"/>
  <c r="T5331" i="12"/>
  <c r="U5331" i="12"/>
  <c r="T5332" i="12"/>
  <c r="U5332" i="12"/>
  <c r="T5333" i="12"/>
  <c r="U5333" i="12"/>
  <c r="T5334" i="12"/>
  <c r="U5334" i="12"/>
  <c r="T5335" i="12"/>
  <c r="U5335" i="12"/>
  <c r="T5336" i="12"/>
  <c r="U5336" i="12"/>
  <c r="T5337" i="12"/>
  <c r="U5337" i="12"/>
  <c r="T5338" i="12"/>
  <c r="U5338" i="12"/>
  <c r="T5339" i="12"/>
  <c r="U5339" i="12"/>
  <c r="T5340" i="12"/>
  <c r="U5340" i="12"/>
  <c r="T5341" i="12"/>
  <c r="U5341" i="12"/>
  <c r="T5342" i="12"/>
  <c r="U5342" i="12"/>
  <c r="T5343" i="12"/>
  <c r="U5343" i="12"/>
  <c r="T5344" i="12"/>
  <c r="U5344" i="12"/>
  <c r="T5345" i="12"/>
  <c r="U5345" i="12"/>
  <c r="T5346" i="12"/>
  <c r="U5346" i="12"/>
  <c r="T5347" i="12"/>
  <c r="U5347" i="12"/>
  <c r="T5348" i="12"/>
  <c r="U5348" i="12"/>
  <c r="T5349" i="12"/>
  <c r="U5349" i="12"/>
  <c r="T5350" i="12"/>
  <c r="U5350" i="12"/>
  <c r="T5351" i="12"/>
  <c r="U5351" i="12"/>
  <c r="T5352" i="12"/>
  <c r="U5352" i="12"/>
  <c r="T5353" i="12"/>
  <c r="U5353" i="12"/>
  <c r="T5354" i="12"/>
  <c r="U5354" i="12"/>
  <c r="T5355" i="12"/>
  <c r="U5355" i="12"/>
  <c r="T5356" i="12"/>
  <c r="U5356" i="12"/>
  <c r="T5357" i="12"/>
  <c r="U5357" i="12"/>
  <c r="T5358" i="12"/>
  <c r="U5358" i="12"/>
  <c r="T5359" i="12"/>
  <c r="U5359" i="12"/>
  <c r="T5360" i="12"/>
  <c r="U5360" i="12"/>
  <c r="T5361" i="12"/>
  <c r="U5361" i="12"/>
  <c r="T5362" i="12"/>
  <c r="U5362" i="12"/>
  <c r="T5363" i="12"/>
  <c r="U5363" i="12"/>
  <c r="T5364" i="12"/>
  <c r="U5364" i="12"/>
  <c r="T5365" i="12"/>
  <c r="U5365" i="12"/>
  <c r="T5366" i="12"/>
  <c r="U5366" i="12"/>
  <c r="T5367" i="12"/>
  <c r="U5367" i="12"/>
  <c r="T5368" i="12"/>
  <c r="U5368" i="12"/>
  <c r="T5369" i="12"/>
  <c r="U5369" i="12"/>
  <c r="T5370" i="12"/>
  <c r="U5370" i="12"/>
  <c r="T5371" i="12"/>
  <c r="U5371" i="12"/>
  <c r="T5372" i="12"/>
  <c r="U5372" i="12"/>
  <c r="T5373" i="12"/>
  <c r="U5373" i="12"/>
  <c r="T5374" i="12"/>
  <c r="U5374" i="12"/>
  <c r="T5375" i="12"/>
  <c r="U5375" i="12"/>
  <c r="T5376" i="12"/>
  <c r="U5376" i="12"/>
  <c r="T5377" i="12"/>
  <c r="U5377" i="12"/>
  <c r="T5378" i="12"/>
  <c r="U5378" i="12"/>
  <c r="T5379" i="12"/>
  <c r="U5379" i="12"/>
  <c r="T5380" i="12"/>
  <c r="U5380" i="12"/>
  <c r="T5381" i="12"/>
  <c r="U5381" i="12"/>
  <c r="T5382" i="12"/>
  <c r="U5382" i="12"/>
  <c r="T5383" i="12"/>
  <c r="U5383" i="12"/>
  <c r="T5384" i="12"/>
  <c r="U5384" i="12"/>
  <c r="T5385" i="12"/>
  <c r="U5385" i="12"/>
  <c r="T5386" i="12"/>
  <c r="U5386" i="12"/>
  <c r="T5387" i="12"/>
  <c r="U5387" i="12"/>
  <c r="T5388" i="12"/>
  <c r="U5388" i="12"/>
  <c r="T5389" i="12"/>
  <c r="U5389" i="12"/>
  <c r="T5390" i="12"/>
  <c r="U5390" i="12"/>
  <c r="T5391" i="12"/>
  <c r="U5391" i="12"/>
  <c r="T5392" i="12"/>
  <c r="U5392" i="12"/>
  <c r="T5393" i="12"/>
  <c r="U5393" i="12"/>
  <c r="T5394" i="12"/>
  <c r="U5394" i="12"/>
  <c r="T5395" i="12"/>
  <c r="U5395" i="12"/>
  <c r="T5396" i="12"/>
  <c r="U5396" i="12"/>
  <c r="T5397" i="12"/>
  <c r="U5397" i="12"/>
  <c r="T5398" i="12"/>
  <c r="U5398" i="12"/>
  <c r="T5399" i="12"/>
  <c r="U5399" i="12"/>
  <c r="T5400" i="12"/>
  <c r="U5400" i="12"/>
  <c r="T5401" i="12"/>
  <c r="U5401" i="12"/>
  <c r="T5402" i="12"/>
  <c r="U5402" i="12"/>
  <c r="T5403" i="12"/>
  <c r="U5403" i="12"/>
  <c r="T5404" i="12"/>
  <c r="U5404" i="12"/>
  <c r="T5405" i="12"/>
  <c r="U5405" i="12"/>
  <c r="T5406" i="12"/>
  <c r="U5406" i="12"/>
  <c r="T5407" i="12"/>
  <c r="U5407" i="12"/>
  <c r="T5408" i="12"/>
  <c r="U5408" i="12"/>
  <c r="T5409" i="12"/>
  <c r="U5409" i="12"/>
  <c r="T5410" i="12"/>
  <c r="U5410" i="12"/>
  <c r="T5411" i="12"/>
  <c r="U5411" i="12"/>
  <c r="T5412" i="12"/>
  <c r="U5412" i="12"/>
  <c r="T5413" i="12"/>
  <c r="U5413" i="12"/>
  <c r="T5414" i="12"/>
  <c r="U5414" i="12"/>
  <c r="T5415" i="12"/>
  <c r="U5415" i="12"/>
  <c r="T5416" i="12"/>
  <c r="U5416" i="12"/>
  <c r="T5417" i="12"/>
  <c r="U5417" i="12"/>
  <c r="T5418" i="12"/>
  <c r="U5418" i="12"/>
  <c r="T5419" i="12"/>
  <c r="U5419" i="12"/>
  <c r="T5420" i="12"/>
  <c r="U5420" i="12"/>
  <c r="T5421" i="12"/>
  <c r="U5421" i="12"/>
  <c r="T5422" i="12"/>
  <c r="U5422" i="12"/>
  <c r="T5423" i="12"/>
  <c r="U5423" i="12"/>
  <c r="T5424" i="12"/>
  <c r="U5424" i="12"/>
  <c r="T5425" i="12"/>
  <c r="U5425" i="12"/>
  <c r="T5426" i="12"/>
  <c r="U5426" i="12"/>
  <c r="T5427" i="12"/>
  <c r="U5427" i="12"/>
  <c r="T5428" i="12"/>
  <c r="U5428" i="12"/>
  <c r="T5429" i="12"/>
  <c r="U5429" i="12"/>
  <c r="T5430" i="12"/>
  <c r="U5430" i="12"/>
  <c r="T5431" i="12"/>
  <c r="U5431" i="12"/>
  <c r="T5432" i="12"/>
  <c r="U5432" i="12"/>
  <c r="T5433" i="12"/>
  <c r="U5433" i="12"/>
  <c r="T5434" i="12"/>
  <c r="U5434" i="12"/>
  <c r="T5435" i="12"/>
  <c r="U5435" i="12"/>
  <c r="T5436" i="12"/>
  <c r="U5436" i="12"/>
  <c r="T5437" i="12"/>
  <c r="U5437" i="12"/>
  <c r="T5438" i="12"/>
  <c r="U5438" i="12"/>
  <c r="T5439" i="12"/>
  <c r="U5439" i="12"/>
  <c r="T5440" i="12"/>
  <c r="U5440" i="12"/>
  <c r="T5441" i="12"/>
  <c r="U5441" i="12"/>
  <c r="T5442" i="12"/>
  <c r="U5442" i="12"/>
  <c r="T5443" i="12"/>
  <c r="U5443" i="12"/>
  <c r="T5444" i="12"/>
  <c r="U5444" i="12"/>
  <c r="T5445" i="12"/>
  <c r="U5445" i="12"/>
  <c r="T5446" i="12"/>
  <c r="U5446" i="12"/>
  <c r="T5447" i="12"/>
  <c r="U5447" i="12"/>
  <c r="T5448" i="12"/>
  <c r="U5448" i="12"/>
  <c r="T5449" i="12"/>
  <c r="U5449" i="12"/>
  <c r="T5450" i="12"/>
  <c r="U5450" i="12"/>
  <c r="T5451" i="12"/>
  <c r="U5451" i="12"/>
  <c r="T5452" i="12"/>
  <c r="U5452" i="12"/>
  <c r="T5453" i="12"/>
  <c r="U5453" i="12"/>
  <c r="T5454" i="12"/>
  <c r="U5454" i="12"/>
  <c r="T5455" i="12"/>
  <c r="U5455" i="12"/>
  <c r="T5456" i="12"/>
  <c r="U5456" i="12"/>
  <c r="T5457" i="12"/>
  <c r="U5457" i="12"/>
  <c r="T5458" i="12"/>
  <c r="U5458" i="12"/>
  <c r="T5459" i="12"/>
  <c r="U5459" i="12"/>
  <c r="T5460" i="12"/>
  <c r="U5460" i="12"/>
  <c r="T5461" i="12"/>
  <c r="U5461" i="12"/>
  <c r="T5462" i="12"/>
  <c r="U5462" i="12"/>
  <c r="T5463" i="12"/>
  <c r="U5463" i="12"/>
  <c r="T5464" i="12"/>
  <c r="U5464" i="12"/>
  <c r="T5465" i="12"/>
  <c r="U5465" i="12"/>
  <c r="T5466" i="12"/>
  <c r="U5466" i="12"/>
  <c r="T5467" i="12"/>
  <c r="U5467" i="12"/>
  <c r="T5468" i="12"/>
  <c r="U5468" i="12"/>
  <c r="T5469" i="12"/>
  <c r="U5469" i="12"/>
  <c r="T5470" i="12"/>
  <c r="U5470" i="12"/>
  <c r="T5471" i="12"/>
  <c r="U5471" i="12"/>
  <c r="T5472" i="12"/>
  <c r="U5472" i="12"/>
  <c r="T5473" i="12"/>
  <c r="U5473" i="12"/>
  <c r="T5474" i="12"/>
  <c r="U5474" i="12"/>
  <c r="T5475" i="12"/>
  <c r="U5475" i="12"/>
  <c r="T5476" i="12"/>
  <c r="U5476" i="12"/>
  <c r="T5477" i="12"/>
  <c r="U5477" i="12"/>
  <c r="T5478" i="12"/>
  <c r="U5478" i="12"/>
  <c r="T5479" i="12"/>
  <c r="U5479" i="12"/>
  <c r="T5480" i="12"/>
  <c r="U5480" i="12"/>
  <c r="T5481" i="12"/>
  <c r="U5481" i="12"/>
  <c r="T5482" i="12"/>
  <c r="U5482" i="12"/>
  <c r="T5483" i="12"/>
  <c r="U5483" i="12"/>
  <c r="T5484" i="12"/>
  <c r="U5484" i="12"/>
  <c r="T5485" i="12"/>
  <c r="U5485" i="12"/>
  <c r="T5486" i="12"/>
  <c r="U5486" i="12"/>
  <c r="T5487" i="12"/>
  <c r="U5487" i="12"/>
  <c r="T5488" i="12"/>
  <c r="U5488" i="12"/>
  <c r="T5489" i="12"/>
  <c r="U5489" i="12"/>
  <c r="T5490" i="12"/>
  <c r="U5490" i="12"/>
  <c r="T5491" i="12"/>
  <c r="U5491" i="12"/>
  <c r="T5492" i="12"/>
  <c r="U5492" i="12"/>
  <c r="T5493" i="12"/>
  <c r="U5493" i="12"/>
  <c r="T5494" i="12"/>
  <c r="U5494" i="12"/>
  <c r="T5495" i="12"/>
  <c r="U5495" i="12"/>
  <c r="T5496" i="12"/>
  <c r="U5496" i="12"/>
  <c r="T5497" i="12"/>
  <c r="U5497" i="12"/>
  <c r="T5498" i="12"/>
  <c r="U5498" i="12"/>
  <c r="T5499" i="12"/>
  <c r="U5499" i="12"/>
  <c r="T5500" i="12"/>
  <c r="U5500" i="12"/>
  <c r="T5501" i="12"/>
  <c r="U5501" i="12"/>
  <c r="T5502" i="12"/>
  <c r="U5502" i="12"/>
  <c r="T5503" i="12"/>
  <c r="U5503" i="12"/>
  <c r="T5504" i="12"/>
  <c r="U5504" i="12"/>
  <c r="T5505" i="12"/>
  <c r="U5505" i="12"/>
  <c r="T5506" i="12"/>
  <c r="U5506" i="12"/>
  <c r="T5507" i="12"/>
  <c r="U5507" i="12"/>
  <c r="T5508" i="12"/>
  <c r="U5508" i="12"/>
  <c r="T5509" i="12"/>
  <c r="U5509" i="12"/>
  <c r="T5510" i="12"/>
  <c r="U5510" i="12"/>
  <c r="T5511" i="12"/>
  <c r="U5511" i="12"/>
  <c r="T5512" i="12"/>
  <c r="U5512" i="12"/>
  <c r="T5513" i="12"/>
  <c r="U5513" i="12"/>
  <c r="T5514" i="12"/>
  <c r="U5514" i="12"/>
  <c r="T5515" i="12"/>
  <c r="U5515" i="12"/>
  <c r="T5516" i="12"/>
  <c r="U5516" i="12"/>
  <c r="T5517" i="12"/>
  <c r="U5517" i="12"/>
  <c r="T5518" i="12"/>
  <c r="U5518" i="12"/>
  <c r="T5519" i="12"/>
  <c r="U5519" i="12"/>
  <c r="T5520" i="12"/>
  <c r="U5520" i="12"/>
  <c r="T5521" i="12"/>
  <c r="U5521" i="12"/>
  <c r="T5522" i="12"/>
  <c r="U5522" i="12"/>
  <c r="T5523" i="12"/>
  <c r="U5523" i="12"/>
  <c r="T5524" i="12"/>
  <c r="U5524" i="12"/>
  <c r="T5525" i="12"/>
  <c r="U5525" i="12"/>
  <c r="T5526" i="12"/>
  <c r="U5526" i="12"/>
  <c r="T5527" i="12"/>
  <c r="U5527" i="12"/>
  <c r="T5528" i="12"/>
  <c r="U5528" i="12"/>
  <c r="T5529" i="12"/>
  <c r="U5529" i="12"/>
  <c r="T5530" i="12"/>
  <c r="U5530" i="12"/>
  <c r="T5531" i="12"/>
  <c r="U5531" i="12"/>
  <c r="T5532" i="12"/>
  <c r="U5532" i="12"/>
  <c r="T5533" i="12"/>
  <c r="U5533" i="12"/>
  <c r="T5534" i="12"/>
  <c r="U5534" i="12"/>
  <c r="T5535" i="12"/>
  <c r="U5535" i="12"/>
  <c r="T5536" i="12"/>
  <c r="U5536" i="12"/>
  <c r="T5537" i="12"/>
  <c r="U5537" i="12"/>
  <c r="T5538" i="12"/>
  <c r="U5538" i="12"/>
  <c r="T5539" i="12"/>
  <c r="U5539" i="12"/>
  <c r="T5540" i="12"/>
  <c r="U5540" i="12"/>
  <c r="T5541" i="12"/>
  <c r="U5541" i="12"/>
  <c r="T5542" i="12"/>
  <c r="U5542" i="12"/>
  <c r="T5543" i="12"/>
  <c r="U5543" i="12"/>
  <c r="T5544" i="12"/>
  <c r="U5544" i="12"/>
  <c r="T5545" i="12"/>
  <c r="U5545" i="12"/>
  <c r="T5546" i="12"/>
  <c r="U5546" i="12"/>
  <c r="T5547" i="12"/>
  <c r="U5547" i="12"/>
  <c r="T5548" i="12"/>
  <c r="U5548" i="12"/>
  <c r="T5549" i="12"/>
  <c r="U5549" i="12"/>
  <c r="T5550" i="12"/>
  <c r="U5550" i="12"/>
  <c r="T5551" i="12"/>
  <c r="U5551" i="12"/>
  <c r="T5552" i="12"/>
  <c r="U5552" i="12"/>
  <c r="T5553" i="12"/>
  <c r="U5553" i="12"/>
  <c r="T5554" i="12"/>
  <c r="U5554" i="12"/>
  <c r="T5555" i="12"/>
  <c r="U5555" i="12"/>
  <c r="T5556" i="12"/>
  <c r="U5556" i="12"/>
  <c r="T5557" i="12"/>
  <c r="U5557" i="12"/>
  <c r="T5558" i="12"/>
  <c r="U5558" i="12"/>
  <c r="T5559" i="12"/>
  <c r="U5559" i="12"/>
  <c r="T5560" i="12"/>
  <c r="U5560" i="12"/>
  <c r="T5561" i="12"/>
  <c r="U5561" i="12"/>
  <c r="T5562" i="12"/>
  <c r="U5562" i="12"/>
  <c r="T5563" i="12"/>
  <c r="U5563" i="12"/>
  <c r="T5564" i="12"/>
  <c r="U5564" i="12"/>
  <c r="T5565" i="12"/>
  <c r="U5565" i="12"/>
  <c r="T5566" i="12"/>
  <c r="U5566" i="12"/>
  <c r="T5567" i="12"/>
  <c r="U5567" i="12"/>
  <c r="T5568" i="12"/>
  <c r="U5568" i="12"/>
  <c r="T5569" i="12"/>
  <c r="U5569" i="12"/>
  <c r="T5570" i="12"/>
  <c r="U5570" i="12"/>
  <c r="T5571" i="12"/>
  <c r="U5571" i="12"/>
  <c r="T5572" i="12"/>
  <c r="U5572" i="12"/>
  <c r="T5573" i="12"/>
  <c r="U5573" i="12"/>
  <c r="T5574" i="12"/>
  <c r="U5574" i="12"/>
  <c r="T5575" i="12"/>
  <c r="U5575" i="12"/>
  <c r="T5576" i="12"/>
  <c r="U5576" i="12"/>
  <c r="T5577" i="12"/>
  <c r="U5577" i="12"/>
  <c r="T5578" i="12"/>
  <c r="U5578" i="12"/>
  <c r="T5579" i="12"/>
  <c r="U5579" i="12"/>
  <c r="T5580" i="12"/>
  <c r="U5580" i="12"/>
  <c r="T5581" i="12"/>
  <c r="U5581" i="12"/>
  <c r="T5582" i="12"/>
  <c r="U5582" i="12"/>
  <c r="T5583" i="12"/>
  <c r="U5583" i="12"/>
  <c r="T5584" i="12"/>
  <c r="U5584" i="12"/>
  <c r="T5585" i="12"/>
  <c r="U5585" i="12"/>
  <c r="T5586" i="12"/>
  <c r="U5586" i="12"/>
  <c r="T5587" i="12"/>
  <c r="U5587" i="12"/>
  <c r="T5588" i="12"/>
  <c r="U5588" i="12"/>
  <c r="T5589" i="12"/>
  <c r="U5589" i="12"/>
  <c r="T5590" i="12"/>
  <c r="U5590" i="12"/>
  <c r="T5591" i="12"/>
  <c r="U5591" i="12"/>
  <c r="T5592" i="12"/>
  <c r="U5592" i="12"/>
  <c r="T5593" i="12"/>
  <c r="U5593" i="12"/>
  <c r="T5594" i="12"/>
  <c r="U5594" i="12"/>
  <c r="T5595" i="12"/>
  <c r="U5595" i="12"/>
  <c r="T5596" i="12"/>
  <c r="U5596" i="12"/>
  <c r="T5597" i="12"/>
  <c r="U5597" i="12"/>
  <c r="T5598" i="12"/>
  <c r="U5598" i="12"/>
  <c r="T5599" i="12"/>
  <c r="U5599" i="12"/>
  <c r="T5600" i="12"/>
  <c r="U5600" i="12"/>
  <c r="T5601" i="12"/>
  <c r="U5601" i="12"/>
  <c r="T5602" i="12"/>
  <c r="U5602" i="12"/>
  <c r="T5603" i="12"/>
  <c r="U5603" i="12"/>
  <c r="T5604" i="12"/>
  <c r="U5604" i="12"/>
  <c r="T5605" i="12"/>
  <c r="U5605" i="12"/>
  <c r="T5606" i="12"/>
  <c r="U5606" i="12"/>
  <c r="T5607" i="12"/>
  <c r="U5607" i="12"/>
  <c r="T5608" i="12"/>
  <c r="U5608" i="12"/>
  <c r="T5609" i="12"/>
  <c r="U5609" i="12"/>
  <c r="T5610" i="12"/>
  <c r="U5610" i="12"/>
  <c r="T5611" i="12"/>
  <c r="U5611" i="12"/>
  <c r="T5612" i="12"/>
  <c r="U5612" i="12"/>
  <c r="T5613" i="12"/>
  <c r="U5613" i="12"/>
  <c r="T5614" i="12"/>
  <c r="U5614" i="12"/>
  <c r="T5615" i="12"/>
  <c r="U5615" i="12"/>
  <c r="T5616" i="12"/>
  <c r="U5616" i="12"/>
  <c r="T5617" i="12"/>
  <c r="U5617" i="12"/>
  <c r="T5618" i="12"/>
  <c r="U5618" i="12"/>
  <c r="T5619" i="12"/>
  <c r="U5619" i="12"/>
  <c r="T5620" i="12"/>
  <c r="U5620" i="12"/>
  <c r="T5621" i="12"/>
  <c r="U5621" i="12"/>
  <c r="T5622" i="12"/>
  <c r="U5622" i="12"/>
  <c r="T5623" i="12"/>
  <c r="U5623" i="12"/>
  <c r="T5624" i="12"/>
  <c r="U5624" i="12"/>
  <c r="T5625" i="12"/>
  <c r="U5625" i="12"/>
  <c r="T5626" i="12"/>
  <c r="U5626" i="12"/>
  <c r="T5627" i="12"/>
  <c r="U5627" i="12"/>
  <c r="T5628" i="12"/>
  <c r="U5628" i="12"/>
  <c r="T5629" i="12"/>
  <c r="U5629" i="12"/>
  <c r="T5630" i="12"/>
  <c r="U5630" i="12"/>
  <c r="T5631" i="12"/>
  <c r="U5631" i="12"/>
  <c r="T5632" i="12"/>
  <c r="U5632" i="12"/>
  <c r="T5633" i="12"/>
  <c r="U5633" i="12"/>
  <c r="T5634" i="12"/>
  <c r="U5634" i="12"/>
  <c r="T5635" i="12"/>
  <c r="U5635" i="12"/>
  <c r="T5636" i="12"/>
  <c r="U5636" i="12"/>
  <c r="T5637" i="12"/>
  <c r="U5637" i="12"/>
  <c r="T5638" i="12"/>
  <c r="U5638" i="12"/>
  <c r="T5639" i="12"/>
  <c r="U5639" i="12"/>
  <c r="T5640" i="12"/>
  <c r="U5640" i="12"/>
  <c r="T5641" i="12"/>
  <c r="U5641" i="12"/>
  <c r="T5642" i="12"/>
  <c r="U5642" i="12"/>
  <c r="T5643" i="12"/>
  <c r="U5643" i="12"/>
  <c r="T5644" i="12"/>
  <c r="U5644" i="12"/>
  <c r="T5645" i="12"/>
  <c r="U5645" i="12"/>
  <c r="T5646" i="12"/>
  <c r="U5646" i="12"/>
  <c r="T5647" i="12"/>
  <c r="U5647" i="12"/>
  <c r="T5648" i="12"/>
  <c r="U5648" i="12"/>
  <c r="T5649" i="12"/>
  <c r="U5649" i="12"/>
  <c r="T5650" i="12"/>
  <c r="U5650" i="12"/>
  <c r="T5651" i="12"/>
  <c r="U5651" i="12"/>
  <c r="T5652" i="12"/>
  <c r="U5652" i="12"/>
  <c r="T5653" i="12"/>
  <c r="U5653" i="12"/>
  <c r="T5654" i="12"/>
  <c r="U5654" i="12"/>
  <c r="T5655" i="12"/>
  <c r="U5655" i="12"/>
  <c r="T5656" i="12"/>
  <c r="U5656" i="12"/>
  <c r="T5657" i="12"/>
  <c r="U5657" i="12"/>
  <c r="T5658" i="12"/>
  <c r="U5658" i="12"/>
  <c r="T5659" i="12"/>
  <c r="U5659" i="12"/>
  <c r="T5660" i="12"/>
  <c r="U5660" i="12"/>
  <c r="T5661" i="12"/>
  <c r="U5661" i="12"/>
  <c r="T5662" i="12"/>
  <c r="U5662" i="12"/>
  <c r="T5663" i="12"/>
  <c r="U5663" i="12"/>
  <c r="T5664" i="12"/>
  <c r="U5664" i="12"/>
  <c r="T5665" i="12"/>
  <c r="U5665" i="12"/>
  <c r="T5666" i="12"/>
  <c r="U5666" i="12"/>
  <c r="T5667" i="12"/>
  <c r="U5667" i="12"/>
  <c r="T5668" i="12"/>
  <c r="U5668" i="12"/>
  <c r="T5669" i="12"/>
  <c r="U5669" i="12"/>
  <c r="T5670" i="12"/>
  <c r="U5670" i="12"/>
  <c r="T5671" i="12"/>
  <c r="U5671" i="12"/>
  <c r="T5672" i="12"/>
  <c r="U5672" i="12"/>
  <c r="T5673" i="12"/>
  <c r="U5673" i="12"/>
  <c r="T5674" i="12"/>
  <c r="U5674" i="12"/>
  <c r="T5675" i="12"/>
  <c r="U5675" i="12"/>
  <c r="T5676" i="12"/>
  <c r="U5676" i="12"/>
  <c r="T5677" i="12"/>
  <c r="U5677" i="12"/>
  <c r="T5678" i="12"/>
  <c r="U5678" i="12"/>
  <c r="T5679" i="12"/>
  <c r="U5679" i="12"/>
  <c r="T5680" i="12"/>
  <c r="U5680" i="12"/>
  <c r="T5681" i="12"/>
  <c r="U5681" i="12"/>
  <c r="T5682" i="12"/>
  <c r="U5682" i="12"/>
  <c r="T5683" i="12"/>
  <c r="U5683" i="12"/>
  <c r="T5684" i="12"/>
  <c r="U5684" i="12"/>
  <c r="T5685" i="12"/>
  <c r="U5685" i="12"/>
  <c r="T5686" i="12"/>
  <c r="U5686" i="12"/>
  <c r="T5687" i="12"/>
  <c r="U5687" i="12"/>
  <c r="T5688" i="12"/>
  <c r="U5688" i="12"/>
  <c r="T5689" i="12"/>
  <c r="U5689" i="12"/>
  <c r="T5690" i="12"/>
  <c r="U5690" i="12"/>
  <c r="T5691" i="12"/>
  <c r="U5691" i="12"/>
  <c r="T5692" i="12"/>
  <c r="U5692" i="12"/>
  <c r="T5693" i="12"/>
  <c r="U5693" i="12"/>
  <c r="T5694" i="12"/>
  <c r="U5694" i="12"/>
  <c r="T5695" i="12"/>
  <c r="U5695" i="12"/>
  <c r="T5696" i="12"/>
  <c r="U5696" i="12"/>
  <c r="T5697" i="12"/>
  <c r="U5697" i="12"/>
  <c r="T5698" i="12"/>
  <c r="U5698" i="12"/>
  <c r="T5699" i="12"/>
  <c r="U5699" i="12"/>
  <c r="T5700" i="12"/>
  <c r="U5700" i="12"/>
  <c r="T5701" i="12"/>
  <c r="U5701" i="12"/>
  <c r="T5702" i="12"/>
  <c r="U5702" i="12"/>
  <c r="T5703" i="12"/>
  <c r="U5703" i="12"/>
  <c r="T5704" i="12"/>
  <c r="U5704" i="12"/>
  <c r="T5705" i="12"/>
  <c r="U5705" i="12"/>
  <c r="T5706" i="12"/>
  <c r="U5706" i="12"/>
  <c r="T5707" i="12"/>
  <c r="U5707" i="12"/>
  <c r="T5708" i="12"/>
  <c r="U5708" i="12"/>
  <c r="T5709" i="12"/>
  <c r="U5709" i="12"/>
  <c r="T5710" i="12"/>
  <c r="U5710" i="12"/>
  <c r="T5711" i="12"/>
  <c r="U5711" i="12"/>
  <c r="T5712" i="12"/>
  <c r="U5712" i="12"/>
  <c r="T5713" i="12"/>
  <c r="U5713" i="12"/>
  <c r="T5714" i="12"/>
  <c r="U5714" i="12"/>
  <c r="T5715" i="12"/>
  <c r="U5715" i="12"/>
  <c r="T5716" i="12"/>
  <c r="U5716" i="12"/>
  <c r="T5717" i="12"/>
  <c r="U5717" i="12"/>
  <c r="T5718" i="12"/>
  <c r="U5718" i="12"/>
  <c r="T5719" i="12"/>
  <c r="U5719" i="12"/>
  <c r="T5720" i="12"/>
  <c r="U5720" i="12"/>
  <c r="T5721" i="12"/>
  <c r="U5721" i="12"/>
  <c r="T5722" i="12"/>
  <c r="U5722" i="12"/>
  <c r="T5723" i="12"/>
  <c r="U5723" i="12"/>
  <c r="T5724" i="12"/>
  <c r="U5724" i="12"/>
  <c r="T5725" i="12"/>
  <c r="U5725" i="12"/>
  <c r="T5726" i="12"/>
  <c r="U5726" i="12"/>
  <c r="T5727" i="12"/>
  <c r="U5727" i="12"/>
  <c r="T5728" i="12"/>
  <c r="U5728" i="12"/>
  <c r="T5729" i="12"/>
  <c r="U5729" i="12"/>
  <c r="T5730" i="12"/>
  <c r="U5730" i="12"/>
  <c r="T5731" i="12"/>
  <c r="U5731" i="12"/>
  <c r="T5732" i="12"/>
  <c r="U5732" i="12"/>
  <c r="T5733" i="12"/>
  <c r="U5733" i="12"/>
  <c r="T5734" i="12"/>
  <c r="U5734" i="12"/>
  <c r="T5735" i="12"/>
  <c r="U5735" i="12"/>
  <c r="T5736" i="12"/>
  <c r="U5736" i="12"/>
  <c r="T5737" i="12"/>
  <c r="U5737" i="12"/>
  <c r="T5738" i="12"/>
  <c r="U5738" i="12"/>
  <c r="T5739" i="12"/>
  <c r="U5739" i="12"/>
  <c r="T5740" i="12"/>
  <c r="U5740" i="12"/>
  <c r="T5741" i="12"/>
  <c r="U5741" i="12"/>
  <c r="T5742" i="12"/>
  <c r="U5742" i="12"/>
  <c r="T5743" i="12"/>
  <c r="U5743" i="12"/>
  <c r="T5744" i="12"/>
  <c r="U5744" i="12"/>
  <c r="T5745" i="12"/>
  <c r="U5745" i="12"/>
  <c r="T5746" i="12"/>
  <c r="U5746" i="12"/>
  <c r="T5747" i="12"/>
  <c r="U5747" i="12"/>
  <c r="T5748" i="12"/>
  <c r="U5748" i="12"/>
  <c r="T5749" i="12"/>
  <c r="U5749" i="12"/>
  <c r="T5750" i="12"/>
  <c r="U5750" i="12"/>
  <c r="T5751" i="12"/>
  <c r="U5751" i="12"/>
  <c r="T5752" i="12"/>
  <c r="U5752" i="12"/>
  <c r="T5753" i="12"/>
  <c r="U5753" i="12"/>
  <c r="T5754" i="12"/>
  <c r="U5754" i="12"/>
  <c r="T5755" i="12"/>
  <c r="U5755" i="12"/>
  <c r="T5756" i="12"/>
  <c r="U5756" i="12"/>
  <c r="T5757" i="12"/>
  <c r="U5757" i="12"/>
  <c r="T5758" i="12"/>
  <c r="U5758" i="12"/>
  <c r="T5759" i="12"/>
  <c r="U5759" i="12"/>
  <c r="T5760" i="12"/>
  <c r="U5760" i="12"/>
  <c r="T5761" i="12"/>
  <c r="U5761" i="12"/>
  <c r="T5762" i="12"/>
  <c r="U5762" i="12"/>
  <c r="T5763" i="12"/>
  <c r="U5763" i="12"/>
  <c r="T5764" i="12"/>
  <c r="U5764" i="12"/>
  <c r="T5765" i="12"/>
  <c r="U5765" i="12"/>
  <c r="T5766" i="12"/>
  <c r="U5766" i="12"/>
  <c r="T5767" i="12"/>
  <c r="U5767" i="12"/>
  <c r="T5768" i="12"/>
  <c r="U5768" i="12"/>
  <c r="T5769" i="12"/>
  <c r="U5769" i="12"/>
  <c r="T5770" i="12"/>
  <c r="U5770" i="12"/>
  <c r="T5771" i="12"/>
  <c r="U5771" i="12"/>
  <c r="T5772" i="12"/>
  <c r="U5772" i="12"/>
  <c r="T5773" i="12"/>
  <c r="U5773" i="12"/>
  <c r="T5774" i="12"/>
  <c r="U5774" i="12"/>
  <c r="T5775" i="12"/>
  <c r="U5775" i="12"/>
  <c r="T5776" i="12"/>
  <c r="U5776" i="12"/>
  <c r="T5777" i="12"/>
  <c r="U5777" i="12"/>
  <c r="T5778" i="12"/>
  <c r="U5778" i="12"/>
  <c r="T5779" i="12"/>
  <c r="U5779" i="12"/>
  <c r="T5780" i="12"/>
  <c r="U5780" i="12"/>
  <c r="T5781" i="12"/>
  <c r="U5781" i="12"/>
  <c r="T5782" i="12"/>
  <c r="U5782" i="12"/>
  <c r="T5783" i="12"/>
  <c r="U5783" i="12"/>
  <c r="T5784" i="12"/>
  <c r="U5784" i="12"/>
  <c r="T5785" i="12"/>
  <c r="U5785" i="12"/>
  <c r="T5786" i="12"/>
  <c r="U5786" i="12"/>
  <c r="T5787" i="12"/>
  <c r="U5787" i="12"/>
  <c r="T5788" i="12"/>
  <c r="U5788" i="12"/>
  <c r="T5789" i="12"/>
  <c r="U5789" i="12"/>
  <c r="T5790" i="12"/>
  <c r="U5790" i="12"/>
  <c r="T5791" i="12"/>
  <c r="U5791" i="12"/>
  <c r="T5792" i="12"/>
  <c r="U5792" i="12"/>
  <c r="T5793" i="12"/>
  <c r="U5793" i="12"/>
  <c r="T5794" i="12"/>
  <c r="U5794" i="12"/>
  <c r="T5795" i="12"/>
  <c r="U5795" i="12"/>
  <c r="T5796" i="12"/>
  <c r="U5796" i="12"/>
  <c r="T5797" i="12"/>
  <c r="U5797" i="12"/>
  <c r="T5798" i="12"/>
  <c r="U5798" i="12"/>
  <c r="T5799" i="12"/>
  <c r="U5799" i="12"/>
  <c r="T5800" i="12"/>
  <c r="U5800" i="12"/>
  <c r="T5801" i="12"/>
  <c r="U5801" i="12"/>
  <c r="T5802" i="12"/>
  <c r="U5802" i="12"/>
  <c r="T5803" i="12"/>
  <c r="U5803" i="12"/>
  <c r="T5804" i="12"/>
  <c r="U5804" i="12"/>
  <c r="T5805" i="12"/>
  <c r="U5805" i="12"/>
  <c r="T5806" i="12"/>
  <c r="U5806" i="12"/>
  <c r="T5807" i="12"/>
  <c r="U5807" i="12"/>
  <c r="T5808" i="12"/>
  <c r="U5808" i="12"/>
  <c r="T5809" i="12"/>
  <c r="U5809" i="12"/>
  <c r="T5810" i="12"/>
  <c r="U5810" i="12"/>
  <c r="T5811" i="12"/>
  <c r="U5811" i="12"/>
  <c r="T5812" i="12"/>
  <c r="U5812" i="12"/>
  <c r="T5813" i="12"/>
  <c r="U5813" i="12"/>
  <c r="T5814" i="12"/>
  <c r="U5814" i="12"/>
  <c r="T5815" i="12"/>
  <c r="U5815" i="12"/>
  <c r="T5816" i="12"/>
  <c r="U5816" i="12"/>
  <c r="T5817" i="12"/>
  <c r="U5817" i="12"/>
  <c r="T5818" i="12"/>
  <c r="U5818" i="12"/>
  <c r="T5819" i="12"/>
  <c r="U5819" i="12"/>
  <c r="T5820" i="12"/>
  <c r="U5820" i="12"/>
  <c r="T5821" i="12"/>
  <c r="U5821" i="12"/>
  <c r="T5822" i="12"/>
  <c r="U5822" i="12"/>
  <c r="T5823" i="12"/>
  <c r="U5823" i="12"/>
  <c r="T5824" i="12"/>
  <c r="U5824" i="12"/>
  <c r="T5825" i="12"/>
  <c r="U5825" i="12"/>
  <c r="T5826" i="12"/>
  <c r="U5826" i="12"/>
  <c r="T5827" i="12"/>
  <c r="U5827" i="12"/>
  <c r="T5828" i="12"/>
  <c r="U5828" i="12"/>
  <c r="T5829" i="12"/>
  <c r="U5829" i="12"/>
  <c r="T5830" i="12"/>
  <c r="U5830" i="12"/>
  <c r="T5831" i="12"/>
  <c r="U5831" i="12"/>
  <c r="T5832" i="12"/>
  <c r="U5832" i="12"/>
  <c r="T5833" i="12"/>
  <c r="U5833" i="12"/>
  <c r="T5834" i="12"/>
  <c r="U5834" i="12"/>
  <c r="T5835" i="12"/>
  <c r="U5835" i="12"/>
  <c r="T5836" i="12"/>
  <c r="U5836" i="12"/>
  <c r="T5837" i="12"/>
  <c r="U5837" i="12"/>
  <c r="T5838" i="12"/>
  <c r="U5838" i="12"/>
  <c r="T5839" i="12"/>
  <c r="U5839" i="12"/>
  <c r="T5840" i="12"/>
  <c r="U5840" i="12"/>
  <c r="T5841" i="12"/>
  <c r="U5841" i="12"/>
  <c r="T5842" i="12"/>
  <c r="U5842" i="12"/>
  <c r="T5843" i="12"/>
  <c r="U5843" i="12"/>
  <c r="T5844" i="12"/>
  <c r="U5844" i="12"/>
  <c r="T5845" i="12"/>
  <c r="U5845" i="12"/>
  <c r="T5846" i="12"/>
  <c r="U5846" i="12"/>
  <c r="T5847" i="12"/>
  <c r="U5847" i="12"/>
  <c r="T5848" i="12"/>
  <c r="U5848" i="12"/>
  <c r="T5849" i="12"/>
  <c r="U5849" i="12"/>
  <c r="T5850" i="12"/>
  <c r="U5850" i="12"/>
  <c r="T5851" i="12"/>
  <c r="U5851" i="12"/>
  <c r="T5852" i="12"/>
  <c r="U5852" i="12"/>
  <c r="T5853" i="12"/>
  <c r="U5853" i="12"/>
  <c r="T5854" i="12"/>
  <c r="U5854" i="12"/>
  <c r="T5855" i="12"/>
  <c r="U5855" i="12"/>
  <c r="T5856" i="12"/>
  <c r="U5856" i="12"/>
  <c r="T5857" i="12"/>
  <c r="U5857" i="12"/>
  <c r="T5858" i="12"/>
  <c r="U5858" i="12"/>
  <c r="T5859" i="12"/>
  <c r="U5859" i="12"/>
  <c r="T5860" i="12"/>
  <c r="U5860" i="12"/>
  <c r="T5861" i="12"/>
  <c r="U5861" i="12"/>
  <c r="T5862" i="12"/>
  <c r="U5862" i="12"/>
  <c r="T5863" i="12"/>
  <c r="U5863" i="12"/>
  <c r="T5864" i="12"/>
  <c r="U5864" i="12"/>
  <c r="T5865" i="12"/>
  <c r="U5865" i="12"/>
  <c r="T5866" i="12"/>
  <c r="U5866" i="12"/>
  <c r="T5867" i="12"/>
  <c r="U5867" i="12"/>
  <c r="T5868" i="12"/>
  <c r="U5868" i="12"/>
  <c r="T5869" i="12"/>
  <c r="U5869" i="12"/>
  <c r="T5870" i="12"/>
  <c r="U5870" i="12"/>
  <c r="T5871" i="12"/>
  <c r="U5871" i="12"/>
  <c r="T5872" i="12"/>
  <c r="U5872" i="12"/>
  <c r="T5873" i="12"/>
  <c r="U5873" i="12"/>
  <c r="T5874" i="12"/>
  <c r="U5874" i="12"/>
  <c r="T5875" i="12"/>
  <c r="U5875" i="12"/>
  <c r="T5876" i="12"/>
  <c r="U5876" i="12"/>
  <c r="T5877" i="12"/>
  <c r="U5877" i="12"/>
  <c r="T5878" i="12"/>
  <c r="U5878" i="12"/>
  <c r="T5879" i="12"/>
  <c r="U5879" i="12"/>
  <c r="T5880" i="12"/>
  <c r="U5880" i="12"/>
  <c r="T5881" i="12"/>
  <c r="U5881" i="12"/>
  <c r="T5882" i="12"/>
  <c r="U5882" i="12"/>
  <c r="T5883" i="12"/>
  <c r="U5883" i="12"/>
  <c r="T5884" i="12"/>
  <c r="U5884" i="12"/>
  <c r="T5885" i="12"/>
  <c r="U5885" i="12"/>
  <c r="T5886" i="12"/>
  <c r="U5886" i="12"/>
  <c r="T5887" i="12"/>
  <c r="U5887" i="12"/>
  <c r="T5888" i="12"/>
  <c r="U5888" i="12"/>
  <c r="T5889" i="12"/>
  <c r="U5889" i="12"/>
  <c r="T5890" i="12"/>
  <c r="U5890" i="12"/>
  <c r="T5891" i="12"/>
  <c r="U5891" i="12"/>
  <c r="T5892" i="12"/>
  <c r="U5892" i="12"/>
  <c r="T5893" i="12"/>
  <c r="U5893" i="12"/>
  <c r="T5894" i="12"/>
  <c r="U5894" i="12"/>
  <c r="T5895" i="12"/>
  <c r="U5895" i="12"/>
  <c r="T5896" i="12"/>
  <c r="U5896" i="12"/>
  <c r="T5897" i="12"/>
  <c r="U5897" i="12"/>
  <c r="T5898" i="12"/>
  <c r="U5898" i="12"/>
  <c r="T5899" i="12"/>
  <c r="U5899" i="12"/>
  <c r="T5900" i="12"/>
  <c r="U5900" i="12"/>
  <c r="T5901" i="12"/>
  <c r="U5901" i="12"/>
  <c r="T5902" i="12"/>
  <c r="U5902" i="12"/>
  <c r="T5903" i="12"/>
  <c r="U5903" i="12"/>
  <c r="T5904" i="12"/>
  <c r="U5904" i="12"/>
  <c r="T5905" i="12"/>
  <c r="U5905" i="12"/>
  <c r="T5906" i="12"/>
  <c r="U5906" i="12"/>
  <c r="T5907" i="12"/>
  <c r="U5907" i="12"/>
  <c r="T5908" i="12"/>
  <c r="U5908" i="12"/>
  <c r="T5909" i="12"/>
  <c r="U5909" i="12"/>
  <c r="T5910" i="12"/>
  <c r="U5910" i="12"/>
  <c r="T5911" i="12"/>
  <c r="U5911" i="12"/>
  <c r="T5912" i="12"/>
  <c r="U5912" i="12"/>
  <c r="T5913" i="12"/>
  <c r="U5913" i="12"/>
  <c r="T5914" i="12"/>
  <c r="U5914" i="12"/>
  <c r="T5915" i="12"/>
  <c r="U5915" i="12"/>
  <c r="T5916" i="12"/>
  <c r="U5916" i="12"/>
  <c r="T5917" i="12"/>
  <c r="U5917" i="12"/>
  <c r="T5918" i="12"/>
  <c r="U5918" i="12"/>
  <c r="T5919" i="12"/>
  <c r="U5919" i="12"/>
  <c r="T5920" i="12"/>
  <c r="U5920" i="12"/>
  <c r="T5921" i="12"/>
  <c r="U5921" i="12"/>
  <c r="T5922" i="12"/>
  <c r="U5922" i="12"/>
  <c r="T5923" i="12"/>
  <c r="U5923" i="12"/>
  <c r="T5924" i="12"/>
  <c r="U5924" i="12"/>
  <c r="T5925" i="12"/>
  <c r="U5925" i="12"/>
  <c r="T5926" i="12"/>
  <c r="U5926" i="12"/>
  <c r="T5927" i="12"/>
  <c r="U5927" i="12"/>
  <c r="T5928" i="12"/>
  <c r="U5928" i="12"/>
  <c r="T5929" i="12"/>
  <c r="U5929" i="12"/>
  <c r="T5930" i="12"/>
  <c r="U5930" i="12"/>
  <c r="T5931" i="12"/>
  <c r="U5931" i="12"/>
  <c r="T5932" i="12"/>
  <c r="U5932" i="12"/>
  <c r="T5933" i="12"/>
  <c r="U5933" i="12"/>
  <c r="T5934" i="12"/>
  <c r="U5934" i="12"/>
  <c r="T5935" i="12"/>
  <c r="U5935" i="12"/>
  <c r="T5936" i="12"/>
  <c r="U5936" i="12"/>
  <c r="T5937" i="12"/>
  <c r="U5937" i="12"/>
  <c r="T5938" i="12"/>
  <c r="U5938" i="12"/>
  <c r="T5939" i="12"/>
  <c r="U5939" i="12"/>
  <c r="T5940" i="12"/>
  <c r="U5940" i="12"/>
  <c r="T5941" i="12"/>
  <c r="U5941" i="12"/>
  <c r="T5942" i="12"/>
  <c r="U5942" i="12"/>
  <c r="T5943" i="12"/>
  <c r="U5943" i="12"/>
  <c r="T5944" i="12"/>
  <c r="U5944" i="12"/>
  <c r="T5945" i="12"/>
  <c r="U5945" i="12"/>
  <c r="T5946" i="12"/>
  <c r="U5946" i="12"/>
  <c r="T5947" i="12"/>
  <c r="U5947" i="12"/>
  <c r="T5948" i="12"/>
  <c r="U5948" i="12"/>
  <c r="T5949" i="12"/>
  <c r="U5949" i="12"/>
  <c r="T5950" i="12"/>
  <c r="U5950" i="12"/>
  <c r="T5951" i="12"/>
  <c r="U5951" i="12"/>
  <c r="T5952" i="12"/>
  <c r="U5952" i="12"/>
  <c r="T5953" i="12"/>
  <c r="U5953" i="12"/>
  <c r="T5954" i="12"/>
  <c r="U5954" i="12"/>
  <c r="T5955" i="12"/>
  <c r="U5955" i="12"/>
  <c r="T5956" i="12"/>
  <c r="U5956" i="12"/>
  <c r="T5957" i="12"/>
  <c r="U5957" i="12"/>
  <c r="T5958" i="12"/>
  <c r="U5958" i="12"/>
  <c r="T5959" i="12"/>
  <c r="U5959" i="12"/>
  <c r="T5960" i="12"/>
  <c r="U5960" i="12"/>
  <c r="T5961" i="12"/>
  <c r="U5961" i="12"/>
  <c r="T5962" i="12"/>
  <c r="U5962" i="12"/>
  <c r="T5963" i="12"/>
  <c r="U5963" i="12"/>
  <c r="T5964" i="12"/>
  <c r="U5964" i="12"/>
  <c r="T5965" i="12"/>
  <c r="U5965" i="12"/>
  <c r="T5966" i="12"/>
  <c r="U5966" i="12"/>
  <c r="T5967" i="12"/>
  <c r="U5967" i="12"/>
  <c r="T5968" i="12"/>
  <c r="U5968" i="12"/>
  <c r="T5969" i="12"/>
  <c r="U5969" i="12"/>
  <c r="T5970" i="12"/>
  <c r="U5970" i="12"/>
  <c r="T5971" i="12"/>
  <c r="U5971" i="12"/>
  <c r="T5972" i="12"/>
  <c r="U5972" i="12"/>
  <c r="T5973" i="12"/>
  <c r="U5973" i="12"/>
  <c r="T5974" i="12"/>
  <c r="U5974" i="12"/>
  <c r="T5975" i="12"/>
  <c r="U5975" i="12"/>
  <c r="T5976" i="12"/>
  <c r="U5976" i="12"/>
  <c r="T5977" i="12"/>
  <c r="U5977" i="12"/>
  <c r="T5978" i="12"/>
  <c r="U5978" i="12"/>
  <c r="T5979" i="12"/>
  <c r="U5979" i="12"/>
  <c r="T5980" i="12"/>
  <c r="U5980" i="12"/>
  <c r="T5981" i="12"/>
  <c r="U5981" i="12"/>
  <c r="T5982" i="12"/>
  <c r="U5982" i="12"/>
  <c r="T5983" i="12"/>
  <c r="U5983" i="12"/>
  <c r="T5984" i="12"/>
  <c r="U5984" i="12"/>
  <c r="T5985" i="12"/>
  <c r="U5985" i="12"/>
  <c r="T5986" i="12"/>
  <c r="U5986" i="12"/>
  <c r="T5987" i="12"/>
  <c r="U5987" i="12"/>
  <c r="T5988" i="12"/>
  <c r="U5988" i="12"/>
  <c r="T5989" i="12"/>
  <c r="U5989" i="12"/>
  <c r="T5990" i="12"/>
  <c r="U5990" i="12"/>
  <c r="T5991" i="12"/>
  <c r="U5991" i="12"/>
  <c r="T5992" i="12"/>
  <c r="U5992" i="12"/>
  <c r="T5993" i="12"/>
  <c r="U5993" i="12"/>
  <c r="T5994" i="12"/>
  <c r="U5994" i="12"/>
  <c r="T5995" i="12"/>
  <c r="U5995" i="12"/>
  <c r="T5996" i="12"/>
  <c r="U5996" i="12"/>
  <c r="T5997" i="12"/>
  <c r="U5997" i="12"/>
  <c r="T5998" i="12"/>
  <c r="U5998" i="12"/>
  <c r="T5999" i="12"/>
  <c r="U5999" i="12"/>
  <c r="T6000" i="12"/>
  <c r="U6000" i="12"/>
  <c r="T6001" i="12"/>
  <c r="U6001" i="12"/>
  <c r="T6002" i="12"/>
  <c r="U6002" i="12"/>
  <c r="T6003" i="12"/>
  <c r="U6003" i="12"/>
  <c r="T6004" i="12"/>
  <c r="U6004" i="12"/>
  <c r="T6005" i="12"/>
  <c r="U6005" i="12"/>
  <c r="T6006" i="12"/>
  <c r="U6006" i="12"/>
  <c r="T6007" i="12"/>
  <c r="U6007" i="12"/>
  <c r="T6008" i="12"/>
  <c r="U6008" i="12"/>
  <c r="T6009" i="12"/>
  <c r="U6009" i="12"/>
  <c r="T6010" i="12"/>
  <c r="U6010" i="12"/>
  <c r="T6011" i="12"/>
  <c r="U6011" i="12"/>
  <c r="T6012" i="12"/>
  <c r="U6012" i="12"/>
  <c r="T6013" i="12"/>
  <c r="U6013" i="12"/>
  <c r="T6014" i="12"/>
  <c r="U6014" i="12"/>
  <c r="T6015" i="12"/>
  <c r="U6015" i="12"/>
  <c r="T6016" i="12"/>
  <c r="U6016" i="12"/>
  <c r="T6017" i="12"/>
  <c r="U6017" i="12"/>
  <c r="T6018" i="12"/>
  <c r="U6018" i="12"/>
  <c r="T6019" i="12"/>
  <c r="U6019" i="12"/>
  <c r="T6020" i="12"/>
  <c r="U6020" i="12"/>
  <c r="T6021" i="12"/>
  <c r="U6021" i="12"/>
  <c r="T6022" i="12"/>
  <c r="U6022" i="12"/>
  <c r="T6023" i="12"/>
  <c r="U6023" i="12"/>
  <c r="T6024" i="12"/>
  <c r="U6024" i="12"/>
  <c r="T6025" i="12"/>
  <c r="U6025" i="12"/>
  <c r="T6026" i="12"/>
  <c r="U6026" i="12"/>
  <c r="T6027" i="12"/>
  <c r="U6027" i="12"/>
  <c r="T6028" i="12"/>
  <c r="U6028" i="12"/>
  <c r="T6029" i="12"/>
  <c r="U6029" i="12"/>
  <c r="T6030" i="12"/>
  <c r="U6030" i="12"/>
  <c r="T6031" i="12"/>
  <c r="U6031" i="12"/>
  <c r="T6032" i="12"/>
  <c r="U6032" i="12"/>
  <c r="T6033" i="12"/>
  <c r="U6033" i="12"/>
  <c r="T6034" i="12"/>
  <c r="U6034" i="12"/>
  <c r="T6035" i="12"/>
  <c r="U6035" i="12"/>
  <c r="T6036" i="12"/>
  <c r="U6036" i="12"/>
  <c r="T6037" i="12"/>
  <c r="U6037" i="12"/>
  <c r="T6038" i="12"/>
  <c r="U6038" i="12"/>
  <c r="T6039" i="12"/>
  <c r="U6039" i="12"/>
  <c r="T6040" i="12"/>
  <c r="U6040" i="12"/>
  <c r="T6041" i="12"/>
  <c r="U6041" i="12"/>
  <c r="T6042" i="12"/>
  <c r="U6042" i="12"/>
  <c r="T6043" i="12"/>
  <c r="U6043" i="12"/>
  <c r="T6044" i="12"/>
  <c r="U6044" i="12"/>
  <c r="T6045" i="12"/>
  <c r="U6045" i="12"/>
  <c r="T6046" i="12"/>
  <c r="U6046" i="12"/>
  <c r="T6047" i="12"/>
  <c r="U6047" i="12"/>
  <c r="T6048" i="12"/>
  <c r="U6048" i="12"/>
  <c r="T6049" i="12"/>
  <c r="U6049" i="12"/>
  <c r="T6050" i="12"/>
  <c r="U6050" i="12"/>
  <c r="T6051" i="12"/>
  <c r="U6051" i="12"/>
  <c r="T6052" i="12"/>
  <c r="U6052" i="12"/>
  <c r="T6053" i="12"/>
  <c r="U6053" i="12"/>
  <c r="T6054" i="12"/>
  <c r="U6054" i="12"/>
  <c r="T6055" i="12"/>
  <c r="U6055" i="12"/>
  <c r="T6056" i="12"/>
  <c r="U6056" i="12"/>
  <c r="T6057" i="12"/>
  <c r="U6057" i="12"/>
  <c r="T6058" i="12"/>
  <c r="U6058" i="12"/>
  <c r="T6059" i="12"/>
  <c r="U6059" i="12"/>
  <c r="T6060" i="12"/>
  <c r="U6060" i="12"/>
  <c r="T6061" i="12"/>
  <c r="U6061" i="12"/>
  <c r="T6062" i="12"/>
  <c r="U6062" i="12"/>
  <c r="T6063" i="12"/>
  <c r="U6063" i="12"/>
  <c r="T6064" i="12"/>
  <c r="U6064" i="12"/>
  <c r="T6065" i="12"/>
  <c r="U6065" i="12"/>
  <c r="T6066" i="12"/>
  <c r="U6066" i="12"/>
  <c r="T6067" i="12"/>
  <c r="U6067" i="12"/>
  <c r="T6068" i="12"/>
  <c r="U6068" i="12"/>
  <c r="T6069" i="12"/>
  <c r="U6069" i="12"/>
  <c r="T6070" i="12"/>
  <c r="U6070" i="12"/>
  <c r="T6071" i="12"/>
  <c r="U6071" i="12"/>
  <c r="T6072" i="12"/>
  <c r="U6072" i="12"/>
  <c r="T6073" i="12"/>
  <c r="U6073" i="12"/>
  <c r="T6074" i="12"/>
  <c r="U6074" i="12"/>
  <c r="T6075" i="12"/>
  <c r="U6075" i="12"/>
  <c r="T6076" i="12"/>
  <c r="U6076" i="12"/>
  <c r="T6077" i="12"/>
  <c r="U6077" i="12"/>
  <c r="T6078" i="12"/>
  <c r="U6078" i="12"/>
  <c r="T6079" i="12"/>
  <c r="U6079" i="12"/>
  <c r="T6080" i="12"/>
  <c r="U6080" i="12"/>
  <c r="T6081" i="12"/>
  <c r="U6081" i="12"/>
  <c r="T6082" i="12"/>
  <c r="U6082" i="12"/>
  <c r="T6083" i="12"/>
  <c r="U6083" i="12"/>
  <c r="T6084" i="12"/>
  <c r="U6084" i="12"/>
  <c r="T6085" i="12"/>
  <c r="U6085" i="12"/>
  <c r="T6086" i="12"/>
  <c r="U6086" i="12"/>
  <c r="T6087" i="12"/>
  <c r="U6087" i="12"/>
  <c r="T6088" i="12"/>
  <c r="U6088" i="12"/>
  <c r="T6089" i="12"/>
  <c r="U6089" i="12"/>
  <c r="T6090" i="12"/>
  <c r="U6090" i="12"/>
  <c r="T6091" i="12"/>
  <c r="U6091" i="12"/>
  <c r="T6092" i="12"/>
  <c r="U6092" i="12"/>
  <c r="T6093" i="12"/>
  <c r="U6093" i="12"/>
  <c r="T6094" i="12"/>
  <c r="U6094" i="12"/>
  <c r="T6095" i="12"/>
  <c r="U6095" i="12"/>
  <c r="T6096" i="12"/>
  <c r="U6096" i="12"/>
  <c r="T6097" i="12"/>
  <c r="U6097" i="12"/>
  <c r="T6098" i="12"/>
  <c r="U6098" i="12"/>
  <c r="T6099" i="12"/>
  <c r="U6099" i="12"/>
  <c r="T6100" i="12"/>
  <c r="U6100" i="12"/>
  <c r="T6101" i="12"/>
  <c r="U6101" i="12"/>
  <c r="T6102" i="12"/>
  <c r="U6102" i="12"/>
  <c r="T6103" i="12"/>
  <c r="U6103" i="12"/>
  <c r="T6104" i="12"/>
  <c r="U6104" i="12"/>
  <c r="T6105" i="12"/>
  <c r="U6105" i="12"/>
  <c r="T6106" i="12"/>
  <c r="U6106" i="12"/>
  <c r="T6107" i="12"/>
  <c r="U6107" i="12"/>
  <c r="T6108" i="12"/>
  <c r="U6108" i="12"/>
  <c r="T6109" i="12"/>
  <c r="U6109" i="12"/>
  <c r="T6110" i="12"/>
  <c r="U6110" i="12"/>
  <c r="T6111" i="12"/>
  <c r="U6111" i="12"/>
  <c r="T6112" i="12"/>
  <c r="U6112" i="12"/>
  <c r="T6113" i="12"/>
  <c r="U6113" i="12"/>
  <c r="T6114" i="12"/>
  <c r="U6114" i="12"/>
  <c r="T6115" i="12"/>
  <c r="U6115" i="12"/>
  <c r="T6116" i="12"/>
  <c r="U6116" i="12"/>
  <c r="T6117" i="12"/>
  <c r="U6117" i="12"/>
  <c r="T6118" i="12"/>
  <c r="U6118" i="12"/>
  <c r="T6119" i="12"/>
  <c r="U6119" i="12"/>
  <c r="T6120" i="12"/>
  <c r="U6120" i="12"/>
  <c r="T6121" i="12"/>
  <c r="U6121" i="12"/>
  <c r="T6122" i="12"/>
  <c r="U6122" i="12"/>
  <c r="T6123" i="12"/>
  <c r="U6123" i="12"/>
  <c r="T6124" i="12"/>
  <c r="U6124" i="12"/>
  <c r="T6125" i="12"/>
  <c r="U6125" i="12"/>
  <c r="T6126" i="12"/>
  <c r="U6126" i="12"/>
  <c r="T6127" i="12"/>
  <c r="U6127" i="12"/>
  <c r="T6128" i="12"/>
  <c r="U6128" i="12"/>
  <c r="T6129" i="12"/>
  <c r="U6129" i="12"/>
  <c r="T6130" i="12"/>
  <c r="U6130" i="12"/>
  <c r="T6131" i="12"/>
  <c r="U6131" i="12"/>
  <c r="T6132" i="12"/>
  <c r="U6132" i="12"/>
  <c r="T6133" i="12"/>
  <c r="U6133" i="12"/>
  <c r="T6134" i="12"/>
  <c r="U6134" i="12"/>
  <c r="T6135" i="12"/>
  <c r="U6135" i="12"/>
  <c r="T6136" i="12"/>
  <c r="U6136" i="12"/>
  <c r="T6137" i="12"/>
  <c r="U6137" i="12"/>
  <c r="T6138" i="12"/>
  <c r="U6138" i="12"/>
  <c r="T6139" i="12"/>
  <c r="U6139" i="12"/>
  <c r="T6140" i="12"/>
  <c r="U6140" i="12"/>
  <c r="T6141" i="12"/>
  <c r="U6141" i="12"/>
  <c r="T6142" i="12"/>
  <c r="U6142" i="12"/>
  <c r="T6143" i="12"/>
  <c r="U6143" i="12"/>
  <c r="T6144" i="12"/>
  <c r="U6144" i="12"/>
  <c r="T6145" i="12"/>
  <c r="U6145" i="12"/>
  <c r="T6146" i="12"/>
  <c r="U6146" i="12"/>
  <c r="T6147" i="12"/>
  <c r="U6147" i="12"/>
  <c r="T6148" i="12"/>
  <c r="U6148" i="12"/>
  <c r="T6149" i="12"/>
  <c r="U6149" i="12"/>
  <c r="T6150" i="12"/>
  <c r="U6150" i="12"/>
  <c r="T6151" i="12"/>
  <c r="U6151" i="12"/>
  <c r="T6152" i="12"/>
  <c r="U6152" i="12"/>
  <c r="T6153" i="12"/>
  <c r="U6153" i="12"/>
  <c r="T6154" i="12"/>
  <c r="U6154" i="12"/>
  <c r="T6155" i="12"/>
  <c r="U6155" i="12"/>
  <c r="T6156" i="12"/>
  <c r="U6156" i="12"/>
  <c r="T6157" i="12"/>
  <c r="U6157" i="12"/>
  <c r="T6158" i="12"/>
  <c r="U6158" i="12"/>
  <c r="T6159" i="12"/>
  <c r="U6159" i="12"/>
  <c r="T6160" i="12"/>
  <c r="U6160" i="12"/>
  <c r="T6161" i="12"/>
  <c r="U6161" i="12"/>
  <c r="T6162" i="12"/>
  <c r="U6162" i="12"/>
  <c r="T6163" i="12"/>
  <c r="U6163" i="12"/>
  <c r="T6164" i="12"/>
  <c r="U6164" i="12"/>
  <c r="T6165" i="12"/>
  <c r="U6165" i="12"/>
  <c r="T6166" i="12"/>
  <c r="U6166" i="12"/>
  <c r="T6167" i="12"/>
  <c r="U6167" i="12"/>
  <c r="T6168" i="12"/>
  <c r="U6168" i="12"/>
  <c r="T6169" i="12"/>
  <c r="U6169" i="12"/>
  <c r="T6170" i="12"/>
  <c r="U6170" i="12"/>
  <c r="T6171" i="12"/>
  <c r="U6171" i="12"/>
  <c r="T6172" i="12"/>
  <c r="U6172" i="12"/>
  <c r="T6173" i="12"/>
  <c r="U6173" i="12"/>
  <c r="T6174" i="12"/>
  <c r="U6174" i="12"/>
  <c r="T6175" i="12"/>
  <c r="U6175" i="12"/>
  <c r="T6176" i="12"/>
  <c r="U6176" i="12"/>
  <c r="T6177" i="12"/>
  <c r="U6177" i="12"/>
  <c r="T6178" i="12"/>
  <c r="U6178" i="12"/>
  <c r="T6179" i="12"/>
  <c r="U6179" i="12"/>
  <c r="T6180" i="12"/>
  <c r="U6180" i="12"/>
  <c r="T6181" i="12"/>
  <c r="U6181" i="12"/>
  <c r="T6182" i="12"/>
  <c r="U6182" i="12"/>
  <c r="T6183" i="12"/>
  <c r="U6183" i="12"/>
  <c r="T6184" i="12"/>
  <c r="U6184" i="12"/>
  <c r="T6185" i="12"/>
  <c r="U6185" i="12"/>
  <c r="T6186" i="12"/>
  <c r="U6186" i="12"/>
  <c r="T6187" i="12"/>
  <c r="U6187" i="12"/>
  <c r="T6188" i="12"/>
  <c r="U6188" i="12"/>
  <c r="T6189" i="12"/>
  <c r="U6189" i="12"/>
  <c r="T6190" i="12"/>
  <c r="U6190" i="12"/>
  <c r="T6191" i="12"/>
  <c r="U6191" i="12"/>
  <c r="T6192" i="12"/>
  <c r="U6192" i="12"/>
  <c r="T6193" i="12"/>
  <c r="U6193" i="12"/>
  <c r="T6194" i="12"/>
  <c r="U6194" i="12"/>
  <c r="T6195" i="12"/>
  <c r="U6195" i="12"/>
  <c r="T6196" i="12"/>
  <c r="U6196" i="12"/>
  <c r="T6197" i="12"/>
  <c r="U6197" i="12"/>
  <c r="T6198" i="12"/>
  <c r="U6198" i="12"/>
  <c r="T6199" i="12"/>
  <c r="U6199" i="12"/>
  <c r="T6200" i="12"/>
  <c r="U6200" i="12"/>
  <c r="T6201" i="12"/>
  <c r="U6201" i="12"/>
  <c r="T6202" i="12"/>
  <c r="U6202" i="12"/>
  <c r="T6203" i="12"/>
  <c r="U6203" i="12"/>
  <c r="T6204" i="12"/>
  <c r="U6204" i="12"/>
  <c r="T6205" i="12"/>
  <c r="U6205" i="12"/>
  <c r="T6206" i="12"/>
  <c r="U6206" i="12"/>
  <c r="T6207" i="12"/>
  <c r="U6207" i="12"/>
  <c r="T6208" i="12"/>
  <c r="U6208" i="12"/>
  <c r="T6209" i="12"/>
  <c r="U6209" i="12"/>
  <c r="T6210" i="12"/>
  <c r="U6210" i="12"/>
  <c r="T6211" i="12"/>
  <c r="U6211" i="12"/>
  <c r="T6212" i="12"/>
  <c r="U6212" i="12"/>
  <c r="T6213" i="12"/>
  <c r="U6213" i="12"/>
  <c r="T6214" i="12"/>
  <c r="U6214" i="12"/>
  <c r="T6215" i="12"/>
  <c r="U6215" i="12"/>
  <c r="T6216" i="12"/>
  <c r="U6216" i="12"/>
  <c r="T6217" i="12"/>
  <c r="U6217" i="12"/>
  <c r="T6218" i="12"/>
  <c r="U6218" i="12"/>
  <c r="T6219" i="12"/>
  <c r="U6219" i="12"/>
  <c r="T6220" i="12"/>
  <c r="U6220" i="12"/>
  <c r="T6221" i="12"/>
  <c r="U6221" i="12"/>
  <c r="T6222" i="12"/>
  <c r="U6222" i="12"/>
  <c r="T6223" i="12"/>
  <c r="U6223" i="12"/>
  <c r="T6224" i="12"/>
  <c r="U6224" i="12"/>
  <c r="T6225" i="12"/>
  <c r="U6225" i="12"/>
  <c r="T6226" i="12"/>
  <c r="U6226" i="12"/>
  <c r="T6227" i="12"/>
  <c r="U6227" i="12"/>
  <c r="T6228" i="12"/>
  <c r="U6228" i="12"/>
  <c r="T6229" i="12"/>
  <c r="U6229" i="12"/>
  <c r="T6230" i="12"/>
  <c r="U6230" i="12"/>
  <c r="T6231" i="12"/>
  <c r="U6231" i="12"/>
  <c r="T6232" i="12"/>
  <c r="U6232" i="12"/>
  <c r="T6233" i="12"/>
  <c r="U6233" i="12"/>
  <c r="T6234" i="12"/>
  <c r="U6234" i="12"/>
  <c r="T6235" i="12"/>
  <c r="U6235" i="12"/>
  <c r="T6236" i="12"/>
  <c r="U6236" i="12"/>
  <c r="T6237" i="12"/>
  <c r="U6237" i="12"/>
  <c r="T6238" i="12"/>
  <c r="U6238" i="12"/>
  <c r="T6239" i="12"/>
  <c r="U6239" i="12"/>
  <c r="T6240" i="12"/>
  <c r="U6240" i="12"/>
  <c r="T6241" i="12"/>
  <c r="U6241" i="12"/>
  <c r="T6242" i="12"/>
  <c r="U6242" i="12"/>
  <c r="T6243" i="12"/>
  <c r="U6243" i="12"/>
  <c r="T6244" i="12"/>
  <c r="U6244" i="12"/>
  <c r="T6245" i="12"/>
  <c r="U6245" i="12"/>
  <c r="T6246" i="12"/>
  <c r="U6246" i="12"/>
  <c r="T6247" i="12"/>
  <c r="U6247" i="12"/>
  <c r="T6248" i="12"/>
  <c r="U6248" i="12"/>
  <c r="T6249" i="12"/>
  <c r="U6249" i="12"/>
  <c r="T6250" i="12"/>
  <c r="U6250" i="12"/>
  <c r="T6251" i="12"/>
  <c r="U6251" i="12"/>
  <c r="T6252" i="12"/>
  <c r="U6252" i="12"/>
  <c r="T6253" i="12"/>
  <c r="U6253" i="12"/>
  <c r="T6254" i="12"/>
  <c r="U6254" i="12"/>
  <c r="T6255" i="12"/>
  <c r="U6255" i="12"/>
  <c r="T6256" i="12"/>
  <c r="U6256" i="12"/>
  <c r="T6257" i="12"/>
  <c r="U6257" i="12"/>
  <c r="T6258" i="12"/>
  <c r="U6258" i="12"/>
  <c r="T6259" i="12"/>
  <c r="U6259" i="12"/>
  <c r="T6260" i="12"/>
  <c r="U6260" i="12"/>
  <c r="T6261" i="12"/>
  <c r="U6261" i="12"/>
  <c r="T6262" i="12"/>
  <c r="U6262" i="12"/>
  <c r="T6263" i="12"/>
  <c r="U6263" i="12"/>
  <c r="T6264" i="12"/>
  <c r="U6264" i="12"/>
  <c r="T6265" i="12"/>
  <c r="U6265" i="12"/>
  <c r="T6266" i="12"/>
  <c r="U6266" i="12"/>
  <c r="T6267" i="12"/>
  <c r="U6267" i="12"/>
  <c r="T6268" i="12"/>
  <c r="U6268" i="12"/>
  <c r="T6269" i="12"/>
  <c r="U6269" i="12"/>
  <c r="T6270" i="12"/>
  <c r="U6270" i="12"/>
  <c r="T6271" i="12"/>
  <c r="U6271" i="12"/>
  <c r="T6272" i="12"/>
  <c r="U6272" i="12"/>
  <c r="T6273" i="12"/>
  <c r="U6273" i="12"/>
  <c r="T6274" i="12"/>
  <c r="U6274" i="12"/>
  <c r="T6275" i="12"/>
  <c r="U6275" i="12"/>
  <c r="T6276" i="12"/>
  <c r="U6276" i="12"/>
  <c r="T6277" i="12"/>
  <c r="U6277" i="12"/>
  <c r="T6278" i="12"/>
  <c r="U6278" i="12"/>
  <c r="T6279" i="12"/>
  <c r="U6279" i="12"/>
  <c r="T6280" i="12"/>
  <c r="U6280" i="12"/>
  <c r="T6281" i="12"/>
  <c r="U6281" i="12"/>
  <c r="T6282" i="12"/>
  <c r="U6282" i="12"/>
  <c r="T6283" i="12"/>
  <c r="U6283" i="12"/>
  <c r="T6284" i="12"/>
  <c r="U6284" i="12"/>
  <c r="T6285" i="12"/>
  <c r="U6285" i="12"/>
  <c r="T6286" i="12"/>
  <c r="U6286" i="12"/>
  <c r="T6287" i="12"/>
  <c r="U6287" i="12"/>
  <c r="T6288" i="12"/>
  <c r="U6288" i="12"/>
  <c r="T6289" i="12"/>
  <c r="U6289" i="12"/>
  <c r="T6290" i="12"/>
  <c r="U6290" i="12"/>
  <c r="T6291" i="12"/>
  <c r="U6291" i="12"/>
  <c r="T6292" i="12"/>
  <c r="U6292" i="12"/>
  <c r="T6293" i="12"/>
  <c r="U6293" i="12"/>
  <c r="T6294" i="12"/>
  <c r="U6294" i="12"/>
  <c r="T6295" i="12"/>
  <c r="U6295" i="12"/>
  <c r="T6296" i="12"/>
  <c r="U6296" i="12"/>
  <c r="T6297" i="12"/>
  <c r="U6297" i="12"/>
  <c r="T6298" i="12"/>
  <c r="U6298" i="12"/>
  <c r="T6299" i="12"/>
  <c r="U6299" i="12"/>
  <c r="T6300" i="12"/>
  <c r="U6300" i="12"/>
  <c r="T6301" i="12"/>
  <c r="U6301" i="12"/>
  <c r="T6302" i="12"/>
  <c r="U6302" i="12"/>
  <c r="T6303" i="12"/>
  <c r="U6303" i="12"/>
  <c r="T6304" i="12"/>
  <c r="U6304" i="12"/>
  <c r="T6305" i="12"/>
  <c r="U6305" i="12"/>
  <c r="T6306" i="12"/>
  <c r="U6306" i="12"/>
  <c r="T6307" i="12"/>
  <c r="U6307" i="12"/>
  <c r="T6308" i="12"/>
  <c r="U6308" i="12"/>
  <c r="T6309" i="12"/>
  <c r="U6309" i="12"/>
  <c r="T6310" i="12"/>
  <c r="U6310" i="12"/>
  <c r="T6311" i="12"/>
  <c r="U6311" i="12"/>
  <c r="T6312" i="12"/>
  <c r="U6312" i="12"/>
  <c r="T6313" i="12"/>
  <c r="U6313" i="12"/>
  <c r="T6314" i="12"/>
  <c r="U6314" i="12"/>
  <c r="T6315" i="12"/>
  <c r="U6315" i="12"/>
  <c r="T6316" i="12"/>
  <c r="U6316" i="12"/>
  <c r="T6317" i="12"/>
  <c r="U6317" i="12"/>
  <c r="T6318" i="12"/>
  <c r="U6318" i="12"/>
  <c r="T6319" i="12"/>
  <c r="U6319" i="12"/>
  <c r="T6320" i="12"/>
  <c r="U6320" i="12"/>
  <c r="T6321" i="12"/>
  <c r="U6321" i="12"/>
  <c r="T6322" i="12"/>
  <c r="U6322" i="12"/>
  <c r="T6323" i="12"/>
  <c r="U6323" i="12"/>
  <c r="T6324" i="12"/>
  <c r="U6324" i="12"/>
  <c r="T6325" i="12"/>
  <c r="U6325" i="12"/>
  <c r="T6326" i="12"/>
  <c r="U6326" i="12"/>
  <c r="T6327" i="12"/>
  <c r="U6327" i="12"/>
  <c r="T6328" i="12"/>
  <c r="U6328" i="12"/>
  <c r="T6329" i="12"/>
  <c r="U6329" i="12"/>
  <c r="T6330" i="12"/>
  <c r="U6330" i="12"/>
  <c r="T6331" i="12"/>
  <c r="U6331" i="12"/>
  <c r="T6332" i="12"/>
  <c r="U6332" i="12"/>
  <c r="T6333" i="12"/>
  <c r="U6333" i="12"/>
  <c r="T6334" i="12"/>
  <c r="U6334" i="12"/>
  <c r="T6335" i="12"/>
  <c r="U6335" i="12"/>
  <c r="T6336" i="12"/>
  <c r="U6336" i="12"/>
  <c r="T6337" i="12"/>
  <c r="U6337" i="12"/>
  <c r="T6338" i="12"/>
  <c r="U6338" i="12"/>
  <c r="T6339" i="12"/>
  <c r="U6339" i="12"/>
  <c r="T6340" i="12"/>
  <c r="U6340" i="12"/>
  <c r="T6341" i="12"/>
  <c r="U6341" i="12"/>
  <c r="T6342" i="12"/>
  <c r="U6342" i="12"/>
  <c r="T6343" i="12"/>
  <c r="U6343" i="12"/>
  <c r="T6344" i="12"/>
  <c r="U6344" i="12"/>
  <c r="T6345" i="12"/>
  <c r="U6345" i="12"/>
  <c r="T6346" i="12"/>
  <c r="U6346" i="12"/>
  <c r="T6347" i="12"/>
  <c r="U6347" i="12"/>
  <c r="T6348" i="12"/>
  <c r="U6348" i="12"/>
  <c r="T6349" i="12"/>
  <c r="U6349" i="12"/>
  <c r="T6350" i="12"/>
  <c r="U6350" i="12"/>
  <c r="T6351" i="12"/>
  <c r="U6351" i="12"/>
  <c r="T6352" i="12"/>
  <c r="U6352" i="12"/>
  <c r="T6353" i="12"/>
  <c r="U6353" i="12"/>
  <c r="T6354" i="12"/>
  <c r="U6354" i="12"/>
  <c r="T6355" i="12"/>
  <c r="U6355" i="12"/>
  <c r="T6356" i="12"/>
  <c r="U6356" i="12"/>
  <c r="T6357" i="12"/>
  <c r="U6357" i="12"/>
  <c r="T6358" i="12"/>
  <c r="U6358" i="12"/>
  <c r="T6359" i="12"/>
  <c r="U6359" i="12"/>
  <c r="T6360" i="12"/>
  <c r="U6360" i="12"/>
  <c r="T6361" i="12"/>
  <c r="U6361" i="12"/>
  <c r="T6362" i="12"/>
  <c r="U6362" i="12"/>
  <c r="T6363" i="12"/>
  <c r="U6363" i="12"/>
  <c r="T6364" i="12"/>
  <c r="U6364" i="12"/>
  <c r="T6365" i="12"/>
  <c r="U6365" i="12"/>
  <c r="T6366" i="12"/>
  <c r="U6366" i="12"/>
  <c r="T6367" i="12"/>
  <c r="U6367" i="12"/>
  <c r="T6368" i="12"/>
  <c r="U6368" i="12"/>
  <c r="T6369" i="12"/>
  <c r="U6369" i="12"/>
  <c r="T6370" i="12"/>
  <c r="U6370" i="12"/>
  <c r="T6371" i="12"/>
  <c r="U6371" i="12"/>
  <c r="T6372" i="12"/>
  <c r="U6372" i="12"/>
  <c r="T6373" i="12"/>
  <c r="U6373" i="12"/>
  <c r="T6374" i="12"/>
  <c r="U6374" i="12"/>
  <c r="T6375" i="12"/>
  <c r="U6375" i="12"/>
  <c r="T6376" i="12"/>
  <c r="U6376" i="12"/>
  <c r="T6377" i="12"/>
  <c r="U6377" i="12"/>
  <c r="T6378" i="12"/>
  <c r="U6378" i="12"/>
  <c r="T6379" i="12"/>
  <c r="U6379" i="12"/>
  <c r="T6380" i="12"/>
  <c r="U6380" i="12"/>
  <c r="T6381" i="12"/>
  <c r="U6381" i="12"/>
  <c r="T6382" i="12"/>
  <c r="U6382" i="12"/>
  <c r="T6383" i="12"/>
  <c r="U6383" i="12"/>
  <c r="T6384" i="12"/>
  <c r="U6384" i="12"/>
  <c r="T6385" i="12"/>
  <c r="U6385" i="12"/>
  <c r="T6386" i="12"/>
  <c r="U6386" i="12"/>
  <c r="T6387" i="12"/>
  <c r="U6387" i="12"/>
  <c r="T6388" i="12"/>
  <c r="U6388" i="12"/>
  <c r="T6389" i="12"/>
  <c r="U6389" i="12"/>
  <c r="T6390" i="12"/>
  <c r="U6390" i="12"/>
  <c r="T6391" i="12"/>
  <c r="U6391" i="12"/>
  <c r="T6392" i="12"/>
  <c r="U6392" i="12"/>
  <c r="T6393" i="12"/>
  <c r="U6393" i="12"/>
  <c r="T6394" i="12"/>
  <c r="U6394" i="12"/>
  <c r="T6395" i="12"/>
  <c r="U6395" i="12"/>
  <c r="T6396" i="12"/>
  <c r="U6396" i="12"/>
  <c r="T6397" i="12"/>
  <c r="U6397" i="12"/>
  <c r="T6398" i="12"/>
  <c r="U6398" i="12"/>
  <c r="T6399" i="12"/>
  <c r="U6399" i="12"/>
  <c r="T6400" i="12"/>
  <c r="U6400" i="12"/>
  <c r="T6401" i="12"/>
  <c r="U6401" i="12"/>
  <c r="T6402" i="12"/>
  <c r="U6402" i="12"/>
  <c r="T6403" i="12"/>
  <c r="U6403" i="12"/>
  <c r="T6404" i="12"/>
  <c r="U6404" i="12"/>
  <c r="T6405" i="12"/>
  <c r="U6405" i="12"/>
  <c r="T6406" i="12"/>
  <c r="U6406" i="12"/>
  <c r="T6407" i="12"/>
  <c r="U6407" i="12"/>
  <c r="T6408" i="12"/>
  <c r="U6408" i="12"/>
  <c r="T6409" i="12"/>
  <c r="U6409" i="12"/>
  <c r="T6410" i="12"/>
  <c r="U6410" i="12"/>
  <c r="T6411" i="12"/>
  <c r="U6411" i="12"/>
  <c r="T6412" i="12"/>
  <c r="U6412" i="12"/>
  <c r="T6413" i="12"/>
  <c r="U6413" i="12"/>
  <c r="T6414" i="12"/>
  <c r="U6414" i="12"/>
  <c r="T6415" i="12"/>
  <c r="U6415" i="12"/>
  <c r="T6416" i="12"/>
  <c r="U6416" i="12"/>
  <c r="T6417" i="12"/>
  <c r="U6417" i="12"/>
  <c r="T6418" i="12"/>
  <c r="U6418" i="12"/>
  <c r="T6419" i="12"/>
  <c r="U6419" i="12"/>
  <c r="T6420" i="12"/>
  <c r="U6420" i="12"/>
  <c r="T6421" i="12"/>
  <c r="U6421" i="12"/>
  <c r="T6422" i="12"/>
  <c r="U6422" i="12"/>
  <c r="T6423" i="12"/>
  <c r="U6423" i="12"/>
  <c r="T6424" i="12"/>
  <c r="U6424" i="12"/>
  <c r="T6425" i="12"/>
  <c r="U6425" i="12"/>
  <c r="T6426" i="12"/>
  <c r="U6426" i="12"/>
  <c r="T6427" i="12"/>
  <c r="U6427" i="12"/>
  <c r="T6428" i="12"/>
  <c r="U6428" i="12"/>
  <c r="T6429" i="12"/>
  <c r="U6429" i="12"/>
  <c r="T6430" i="12"/>
  <c r="U6430" i="12"/>
  <c r="T6431" i="12"/>
  <c r="U6431" i="12"/>
  <c r="T6432" i="12"/>
  <c r="U6432" i="12"/>
  <c r="T6433" i="12"/>
  <c r="U6433" i="12"/>
  <c r="T6434" i="12"/>
  <c r="U6434" i="12"/>
  <c r="T6435" i="12"/>
  <c r="U6435" i="12"/>
  <c r="T6436" i="12"/>
  <c r="U6436" i="12"/>
  <c r="T6437" i="12"/>
  <c r="U6437" i="12"/>
  <c r="T6438" i="12"/>
  <c r="U6438" i="12"/>
  <c r="T6439" i="12"/>
  <c r="U6439" i="12"/>
  <c r="T6440" i="12"/>
  <c r="U6440" i="12"/>
  <c r="T6441" i="12"/>
  <c r="U6441" i="12"/>
  <c r="T6442" i="12"/>
  <c r="U6442" i="12"/>
  <c r="T6443" i="12"/>
  <c r="U6443" i="12"/>
  <c r="T6444" i="12"/>
  <c r="U6444" i="12"/>
  <c r="T6445" i="12"/>
  <c r="U6445" i="12"/>
  <c r="T6446" i="12"/>
  <c r="U6446" i="12"/>
  <c r="T6447" i="12"/>
  <c r="U6447" i="12"/>
  <c r="T6448" i="12"/>
  <c r="U6448" i="12"/>
  <c r="T6449" i="12"/>
  <c r="U6449" i="12"/>
  <c r="T6450" i="12"/>
  <c r="U6450" i="12"/>
  <c r="T6451" i="12"/>
  <c r="U6451" i="12"/>
  <c r="T6452" i="12"/>
  <c r="U6452" i="12"/>
  <c r="T6453" i="12"/>
  <c r="U6453" i="12"/>
  <c r="T6454" i="12"/>
  <c r="U6454" i="12"/>
  <c r="T6455" i="12"/>
  <c r="U6455" i="12"/>
  <c r="T6456" i="12"/>
  <c r="U6456" i="12"/>
  <c r="T6457" i="12"/>
  <c r="U6457" i="12"/>
  <c r="T6458" i="12"/>
  <c r="U6458" i="12"/>
  <c r="T6459" i="12"/>
  <c r="U6459" i="12"/>
  <c r="T6460" i="12"/>
  <c r="U6460" i="12"/>
  <c r="T6461" i="12"/>
  <c r="U6461" i="12"/>
  <c r="T6462" i="12"/>
  <c r="U6462" i="12"/>
  <c r="T6463" i="12"/>
  <c r="U6463" i="12"/>
  <c r="T6464" i="12"/>
  <c r="U6464" i="12"/>
  <c r="T6465" i="12"/>
  <c r="U6465" i="12"/>
  <c r="T6466" i="12"/>
  <c r="U6466" i="12"/>
  <c r="T6467" i="12"/>
  <c r="U6467" i="12"/>
  <c r="T6468" i="12"/>
  <c r="U6468" i="12"/>
  <c r="T6469" i="12"/>
  <c r="U6469" i="12"/>
  <c r="T6470" i="12"/>
  <c r="U6470" i="12"/>
  <c r="T6471" i="12"/>
  <c r="U6471" i="12"/>
  <c r="T6472" i="12"/>
  <c r="U6472" i="12"/>
  <c r="T6473" i="12"/>
  <c r="U6473" i="12"/>
  <c r="T6474" i="12"/>
  <c r="U6474" i="12"/>
  <c r="T6475" i="12"/>
  <c r="U6475" i="12"/>
  <c r="T6476" i="12"/>
  <c r="U6476" i="12"/>
  <c r="T6477" i="12"/>
  <c r="U6477" i="12"/>
  <c r="T6478" i="12"/>
  <c r="U6478" i="12"/>
  <c r="T6479" i="12"/>
  <c r="U6479" i="12"/>
  <c r="T6480" i="12"/>
  <c r="U6480" i="12"/>
  <c r="T6481" i="12"/>
  <c r="U6481" i="12"/>
  <c r="T6482" i="12"/>
  <c r="U6482" i="12"/>
  <c r="T6483" i="12"/>
  <c r="U6483" i="12"/>
  <c r="T6484" i="12"/>
  <c r="U6484" i="12"/>
  <c r="T6485" i="12"/>
  <c r="U6485" i="12"/>
  <c r="T6486" i="12"/>
  <c r="U6486" i="12"/>
  <c r="T6487" i="12"/>
  <c r="U6487" i="12"/>
  <c r="T6488" i="12"/>
  <c r="U6488" i="12"/>
  <c r="T6489" i="12"/>
  <c r="U6489" i="12"/>
  <c r="T6490" i="12"/>
  <c r="U6490" i="12"/>
  <c r="T6491" i="12"/>
  <c r="U6491" i="12"/>
  <c r="T6492" i="12"/>
  <c r="U6492" i="12"/>
  <c r="T6493" i="12"/>
  <c r="U6493" i="12"/>
  <c r="T6494" i="12"/>
  <c r="U6494" i="12"/>
  <c r="T6495" i="12"/>
  <c r="U6495" i="12"/>
  <c r="T6496" i="12"/>
  <c r="U6496" i="12"/>
  <c r="T6497" i="12"/>
  <c r="U6497" i="12"/>
  <c r="T6498" i="12"/>
  <c r="U6498" i="12"/>
  <c r="T6499" i="12"/>
  <c r="U6499" i="12"/>
  <c r="T6500" i="12"/>
  <c r="U6500" i="12"/>
  <c r="T6501" i="12"/>
  <c r="U6501" i="12"/>
  <c r="T6502" i="12"/>
  <c r="U6502" i="12"/>
  <c r="T6503" i="12"/>
  <c r="U6503" i="12"/>
  <c r="T6504" i="12"/>
  <c r="U6504" i="12"/>
  <c r="T6505" i="12"/>
  <c r="U6505" i="12"/>
  <c r="T6506" i="12"/>
  <c r="U6506" i="12"/>
  <c r="T6507" i="12"/>
  <c r="U6507" i="12"/>
  <c r="T6508" i="12"/>
  <c r="U6508" i="12"/>
  <c r="T6509" i="12"/>
  <c r="U6509" i="12"/>
  <c r="T6510" i="12"/>
  <c r="U6510" i="12"/>
  <c r="T6511" i="12"/>
  <c r="U6511" i="12"/>
  <c r="T6512" i="12"/>
  <c r="U6512" i="12"/>
  <c r="T6513" i="12"/>
  <c r="U6513" i="12"/>
  <c r="T6514" i="12"/>
  <c r="U6514" i="12"/>
  <c r="T6515" i="12"/>
  <c r="U6515" i="12"/>
  <c r="T6516" i="12"/>
  <c r="U6516" i="12"/>
  <c r="T6517" i="12"/>
  <c r="U6517" i="12"/>
  <c r="T6518" i="12"/>
  <c r="U6518" i="12"/>
  <c r="T6519" i="12"/>
  <c r="U6519" i="12"/>
  <c r="T6520" i="12"/>
  <c r="U6520" i="12"/>
  <c r="T6521" i="12"/>
  <c r="U6521" i="12"/>
  <c r="T6522" i="12"/>
  <c r="U6522" i="12"/>
  <c r="T6523" i="12"/>
  <c r="U6523" i="12"/>
  <c r="T6524" i="12"/>
  <c r="U6524" i="12"/>
  <c r="T6525" i="12"/>
  <c r="U6525" i="12"/>
  <c r="T6526" i="12"/>
  <c r="U6526" i="12"/>
  <c r="T6527" i="12"/>
  <c r="U6527" i="12"/>
  <c r="T6528" i="12"/>
  <c r="U6528" i="12"/>
  <c r="T6529" i="12"/>
  <c r="U6529" i="12"/>
  <c r="T6530" i="12"/>
  <c r="U6530" i="12"/>
  <c r="T6531" i="12"/>
  <c r="U6531" i="12"/>
  <c r="T6532" i="12"/>
  <c r="U6532" i="12"/>
  <c r="T6533" i="12"/>
  <c r="U6533" i="12"/>
  <c r="T6534" i="12"/>
  <c r="U6534" i="12"/>
  <c r="T6535" i="12"/>
  <c r="U6535" i="12"/>
  <c r="T6536" i="12"/>
  <c r="U6536" i="12"/>
  <c r="T6537" i="12"/>
  <c r="U6537" i="12"/>
  <c r="T6538" i="12"/>
  <c r="U6538" i="12"/>
  <c r="T6539" i="12"/>
  <c r="U6539" i="12"/>
  <c r="T6540" i="12"/>
  <c r="U6540" i="12"/>
  <c r="T6541" i="12"/>
  <c r="U6541" i="12"/>
  <c r="T6542" i="12"/>
  <c r="U6542" i="12"/>
  <c r="T6543" i="12"/>
  <c r="U6543" i="12"/>
  <c r="T6544" i="12"/>
  <c r="U6544" i="12"/>
  <c r="T6545" i="12"/>
  <c r="U6545" i="12"/>
  <c r="T6546" i="12"/>
  <c r="U6546" i="12"/>
  <c r="T6547" i="12"/>
  <c r="U6547" i="12"/>
  <c r="T6548" i="12"/>
  <c r="U6548" i="12"/>
  <c r="T6549" i="12"/>
  <c r="U6549" i="12"/>
  <c r="T6550" i="12"/>
  <c r="U6550" i="12"/>
  <c r="T6551" i="12"/>
  <c r="U6551" i="12"/>
  <c r="T6552" i="12"/>
  <c r="U6552" i="12"/>
  <c r="T6553" i="12"/>
  <c r="U6553" i="12"/>
  <c r="T6554" i="12"/>
  <c r="U6554" i="12"/>
  <c r="T6555" i="12"/>
  <c r="U6555" i="12"/>
  <c r="T6556" i="12"/>
  <c r="U6556" i="12"/>
  <c r="T6557" i="12"/>
  <c r="U6557" i="12"/>
  <c r="T6558" i="12"/>
  <c r="U6558" i="12"/>
  <c r="T6559" i="12"/>
  <c r="U6559" i="12"/>
  <c r="T6560" i="12"/>
  <c r="U6560" i="12"/>
  <c r="T6561" i="12"/>
  <c r="U6561" i="12"/>
  <c r="T6562" i="12"/>
  <c r="U6562" i="12"/>
  <c r="T6563" i="12"/>
  <c r="U6563" i="12"/>
  <c r="T6564" i="12"/>
  <c r="U6564" i="12"/>
  <c r="T6565" i="12"/>
  <c r="U6565" i="12"/>
  <c r="T6566" i="12"/>
  <c r="U6566" i="12"/>
  <c r="T6567" i="12"/>
  <c r="U6567" i="12"/>
  <c r="T6568" i="12"/>
  <c r="U6568" i="12"/>
  <c r="T6569" i="12"/>
  <c r="U6569" i="12"/>
  <c r="T6570" i="12"/>
  <c r="U6570" i="12"/>
  <c r="T6571" i="12"/>
  <c r="U6571" i="12"/>
  <c r="T6572" i="12"/>
  <c r="U6572" i="12"/>
  <c r="T6573" i="12"/>
  <c r="U6573" i="12"/>
  <c r="T6574" i="12"/>
  <c r="U6574" i="12"/>
  <c r="T6575" i="12"/>
  <c r="U6575" i="12"/>
  <c r="T6576" i="12"/>
  <c r="U6576" i="12"/>
  <c r="T6577" i="12"/>
  <c r="U6577" i="12"/>
  <c r="T6578" i="12"/>
  <c r="U6578" i="12"/>
  <c r="T6579" i="12"/>
  <c r="U6579" i="12"/>
  <c r="T6580" i="12"/>
  <c r="U6580" i="12"/>
  <c r="T6581" i="12"/>
  <c r="U6581" i="12"/>
  <c r="T6582" i="12"/>
  <c r="U6582" i="12"/>
  <c r="T6583" i="12"/>
  <c r="U6583" i="12"/>
  <c r="T6584" i="12"/>
  <c r="U6584" i="12"/>
  <c r="T6585" i="12"/>
  <c r="U6585" i="12"/>
  <c r="T6586" i="12"/>
  <c r="U6586" i="12"/>
  <c r="T6587" i="12"/>
  <c r="U6587" i="12"/>
  <c r="T6588" i="12"/>
  <c r="U6588" i="12"/>
  <c r="T6589" i="12"/>
  <c r="U6589" i="12"/>
  <c r="T6590" i="12"/>
  <c r="U6590" i="12"/>
  <c r="T6591" i="12"/>
  <c r="U6591" i="12"/>
  <c r="T6592" i="12"/>
  <c r="U6592" i="12"/>
  <c r="T6593" i="12"/>
  <c r="U6593" i="12"/>
  <c r="T6594" i="12"/>
  <c r="U6594" i="12"/>
  <c r="T6595" i="12"/>
  <c r="U6595" i="12"/>
  <c r="T6596" i="12"/>
  <c r="U6596" i="12"/>
  <c r="T6597" i="12"/>
  <c r="U6597" i="12"/>
  <c r="T6598" i="12"/>
  <c r="U6598" i="12"/>
  <c r="T6599" i="12"/>
  <c r="U6599" i="12"/>
  <c r="T6600" i="12"/>
  <c r="U6600" i="12"/>
  <c r="T6601" i="12"/>
  <c r="U6601" i="12"/>
  <c r="T6602" i="12"/>
  <c r="U6602" i="12"/>
  <c r="T6603" i="12"/>
  <c r="U6603" i="12"/>
  <c r="T6604" i="12"/>
  <c r="U6604" i="12"/>
  <c r="T6605" i="12"/>
  <c r="U6605" i="12"/>
  <c r="T6606" i="12"/>
  <c r="U6606" i="12"/>
  <c r="T6607" i="12"/>
  <c r="U6607" i="12"/>
  <c r="T6608" i="12"/>
  <c r="U6608" i="12"/>
  <c r="T6609" i="12"/>
  <c r="U6609" i="12"/>
  <c r="T6610" i="12"/>
  <c r="U6610" i="12"/>
  <c r="T6611" i="12"/>
  <c r="U6611" i="12"/>
  <c r="T6612" i="12"/>
  <c r="U6612" i="12"/>
  <c r="T6613" i="12"/>
  <c r="U6613" i="12"/>
  <c r="T6614" i="12"/>
  <c r="U6614" i="12"/>
  <c r="T6615" i="12"/>
  <c r="U6615" i="12"/>
  <c r="T6616" i="12"/>
  <c r="U6616" i="12"/>
  <c r="T6617" i="12"/>
  <c r="U6617" i="12"/>
  <c r="T6618" i="12"/>
  <c r="U6618" i="12"/>
  <c r="T6619" i="12"/>
  <c r="U6619" i="12"/>
  <c r="T6620" i="12"/>
  <c r="U6620" i="12"/>
  <c r="T6621" i="12"/>
  <c r="U6621" i="12"/>
  <c r="T6622" i="12"/>
  <c r="U6622" i="12"/>
  <c r="T6623" i="12"/>
  <c r="U6623" i="12"/>
  <c r="T6624" i="12"/>
  <c r="U6624" i="12"/>
  <c r="T6625" i="12"/>
  <c r="U6625" i="12"/>
  <c r="T6626" i="12"/>
  <c r="U6626" i="12"/>
  <c r="T6627" i="12"/>
  <c r="U6627" i="12"/>
  <c r="T6628" i="12"/>
  <c r="U6628" i="12"/>
  <c r="T6629" i="12"/>
  <c r="U6629" i="12"/>
  <c r="T6630" i="12"/>
  <c r="U6630" i="12"/>
  <c r="T6631" i="12"/>
  <c r="U6631" i="12"/>
  <c r="T6632" i="12"/>
  <c r="U6632" i="12"/>
  <c r="T6633" i="12"/>
  <c r="U6633" i="12"/>
  <c r="T6634" i="12"/>
  <c r="U6634" i="12"/>
  <c r="T6635" i="12"/>
  <c r="U6635" i="12"/>
  <c r="T6636" i="12"/>
  <c r="U6636" i="12"/>
  <c r="T6637" i="12"/>
  <c r="U6637" i="12"/>
  <c r="T6638" i="12"/>
  <c r="U6638" i="12"/>
  <c r="T6639" i="12"/>
  <c r="U6639" i="12"/>
  <c r="T6640" i="12"/>
  <c r="U6640" i="12"/>
  <c r="T6641" i="12"/>
  <c r="U6641" i="12"/>
  <c r="T6642" i="12"/>
  <c r="U6642" i="12"/>
  <c r="T6643" i="12"/>
  <c r="U6643" i="12"/>
  <c r="T6644" i="12"/>
  <c r="U6644" i="12"/>
  <c r="T6645" i="12"/>
  <c r="U6645" i="12"/>
  <c r="T6646" i="12"/>
  <c r="U6646" i="12"/>
  <c r="T6647" i="12"/>
  <c r="U6647" i="12"/>
  <c r="T6648" i="12"/>
  <c r="U6648" i="12"/>
  <c r="T6649" i="12"/>
  <c r="U6649" i="12"/>
  <c r="T6650" i="12"/>
  <c r="U6650" i="12"/>
  <c r="T6651" i="12"/>
  <c r="U6651" i="12"/>
  <c r="T6652" i="12"/>
  <c r="U6652" i="12"/>
  <c r="T6653" i="12"/>
  <c r="U6653" i="12"/>
  <c r="T6654" i="12"/>
  <c r="U6654" i="12"/>
  <c r="T6655" i="12"/>
  <c r="U6655" i="12"/>
  <c r="T6656" i="12"/>
  <c r="U6656" i="12"/>
  <c r="T6657" i="12"/>
  <c r="U6657" i="12"/>
  <c r="T6658" i="12"/>
  <c r="U6658" i="12"/>
  <c r="T6659" i="12"/>
  <c r="U6659" i="12"/>
  <c r="T6660" i="12"/>
  <c r="U6660" i="12"/>
  <c r="T6661" i="12"/>
  <c r="U6661" i="12"/>
  <c r="T6662" i="12"/>
  <c r="U6662" i="12"/>
  <c r="T6663" i="12"/>
  <c r="U6663" i="12"/>
  <c r="T6664" i="12"/>
  <c r="U6664" i="12"/>
  <c r="T6665" i="12"/>
  <c r="U6665" i="12"/>
  <c r="T6666" i="12"/>
  <c r="U6666" i="12"/>
  <c r="T6667" i="12"/>
  <c r="U6667" i="12"/>
  <c r="T6668" i="12"/>
  <c r="U6668" i="12"/>
  <c r="T6669" i="12"/>
  <c r="U6669" i="12"/>
  <c r="T6670" i="12"/>
  <c r="U6670" i="12"/>
  <c r="T6671" i="12"/>
  <c r="U6671" i="12"/>
  <c r="T6672" i="12"/>
  <c r="U6672" i="12"/>
  <c r="T6673" i="12"/>
  <c r="U6673" i="12"/>
  <c r="T6674" i="12"/>
  <c r="U6674" i="12"/>
  <c r="T6675" i="12"/>
  <c r="U6675" i="12"/>
  <c r="T6676" i="12"/>
  <c r="U6676" i="12"/>
  <c r="T6677" i="12"/>
  <c r="U6677" i="12"/>
  <c r="T6678" i="12"/>
  <c r="U6678" i="12"/>
  <c r="T6679" i="12"/>
  <c r="U6679" i="12"/>
  <c r="T6680" i="12"/>
  <c r="U6680" i="12"/>
  <c r="T6681" i="12"/>
  <c r="U6681" i="12"/>
  <c r="T6682" i="12"/>
  <c r="U6682" i="12"/>
  <c r="T6683" i="12"/>
  <c r="U6683" i="12"/>
  <c r="T6684" i="12"/>
  <c r="U6684" i="12"/>
  <c r="T6685" i="12"/>
  <c r="U6685" i="12"/>
  <c r="T6686" i="12"/>
  <c r="U6686" i="12"/>
  <c r="T6687" i="12"/>
  <c r="U6687" i="12"/>
  <c r="T6688" i="12"/>
  <c r="U6688" i="12"/>
  <c r="T6689" i="12"/>
  <c r="U6689" i="12"/>
  <c r="T6690" i="12"/>
  <c r="U6690" i="12"/>
  <c r="T6691" i="12"/>
  <c r="U6691" i="12"/>
  <c r="T6692" i="12"/>
  <c r="U6692" i="12"/>
  <c r="T6693" i="12"/>
  <c r="U6693" i="12"/>
  <c r="T6694" i="12"/>
  <c r="U6694" i="12"/>
  <c r="T6695" i="12"/>
  <c r="U6695" i="12"/>
  <c r="T6696" i="12"/>
  <c r="U6696" i="12"/>
  <c r="T6697" i="12"/>
  <c r="U6697" i="12"/>
  <c r="T6698" i="12"/>
  <c r="U6698" i="12"/>
  <c r="T6699" i="12"/>
  <c r="U6699" i="12"/>
  <c r="T6700" i="12"/>
  <c r="U6700" i="12"/>
  <c r="T6701" i="12"/>
  <c r="U6701" i="12"/>
  <c r="T6702" i="12"/>
  <c r="U6702" i="12"/>
  <c r="T6703" i="12"/>
  <c r="U6703" i="12"/>
  <c r="T6704" i="12"/>
  <c r="U6704" i="12"/>
  <c r="T6705" i="12"/>
  <c r="U6705" i="12"/>
  <c r="T6706" i="12"/>
  <c r="U6706" i="12"/>
  <c r="T6707" i="12"/>
  <c r="U6707" i="12"/>
  <c r="T6708" i="12"/>
  <c r="U6708" i="12"/>
  <c r="T6709" i="12"/>
  <c r="U6709" i="12"/>
  <c r="T6710" i="12"/>
  <c r="U6710" i="12"/>
  <c r="T6711" i="12"/>
  <c r="U6711" i="12"/>
  <c r="T6712" i="12"/>
  <c r="U6712" i="12"/>
  <c r="T6713" i="12"/>
  <c r="U6713" i="12"/>
  <c r="T6714" i="12"/>
  <c r="U6714" i="12"/>
  <c r="T6715" i="12"/>
  <c r="U6715" i="12"/>
  <c r="T6716" i="12"/>
  <c r="U6716" i="12"/>
  <c r="T6717" i="12"/>
  <c r="U6717" i="12"/>
  <c r="T6718" i="12"/>
  <c r="U6718" i="12"/>
  <c r="T6719" i="12"/>
  <c r="U6719" i="12"/>
  <c r="T6720" i="12"/>
  <c r="U6720" i="12"/>
  <c r="T6721" i="12"/>
  <c r="U6721" i="12"/>
  <c r="T6722" i="12"/>
  <c r="U6722" i="12"/>
  <c r="T6723" i="12"/>
  <c r="U6723" i="12"/>
  <c r="T6724" i="12"/>
  <c r="U6724" i="12"/>
  <c r="T6725" i="12"/>
  <c r="U6725" i="12"/>
  <c r="T6726" i="12"/>
  <c r="U6726" i="12"/>
  <c r="T6727" i="12"/>
  <c r="U6727" i="12"/>
  <c r="T6728" i="12"/>
  <c r="U6728" i="12"/>
  <c r="T6729" i="12"/>
  <c r="U6729" i="12"/>
  <c r="T6730" i="12"/>
  <c r="U6730" i="12"/>
  <c r="T6731" i="12"/>
  <c r="U6731" i="12"/>
  <c r="T6732" i="12"/>
  <c r="U6732" i="12"/>
  <c r="T6733" i="12"/>
  <c r="U6733" i="12"/>
  <c r="T6734" i="12"/>
  <c r="U6734" i="12"/>
  <c r="T6735" i="12"/>
  <c r="U6735" i="12"/>
  <c r="T6736" i="12"/>
  <c r="U6736" i="12"/>
  <c r="T6737" i="12"/>
  <c r="U6737" i="12"/>
  <c r="T6738" i="12"/>
  <c r="U6738" i="12"/>
  <c r="T6739" i="12"/>
  <c r="U6739" i="12"/>
  <c r="T6740" i="12"/>
  <c r="U6740" i="12"/>
  <c r="T6741" i="12"/>
  <c r="U6741" i="12"/>
  <c r="T6742" i="12"/>
  <c r="U6742" i="12"/>
  <c r="T6743" i="12"/>
  <c r="U6743" i="12"/>
  <c r="T6744" i="12"/>
  <c r="U6744" i="12"/>
  <c r="T6745" i="12"/>
  <c r="U6745" i="12"/>
  <c r="T6746" i="12"/>
  <c r="U6746" i="12"/>
  <c r="T6747" i="12"/>
  <c r="U6747" i="12"/>
  <c r="T6748" i="12"/>
  <c r="U6748" i="12"/>
  <c r="T6749" i="12"/>
  <c r="U6749" i="12"/>
  <c r="T6750" i="12"/>
  <c r="U6750" i="12"/>
  <c r="T6751" i="12"/>
  <c r="U6751" i="12"/>
  <c r="T6752" i="12"/>
  <c r="U6752" i="12"/>
  <c r="T6753" i="12"/>
  <c r="U6753" i="12"/>
  <c r="T6754" i="12"/>
  <c r="U6754" i="12"/>
  <c r="T6755" i="12"/>
  <c r="U6755" i="12"/>
  <c r="T6756" i="12"/>
  <c r="U6756" i="12"/>
  <c r="T6757" i="12"/>
  <c r="U6757" i="12"/>
  <c r="T6758" i="12"/>
  <c r="U6758" i="12"/>
  <c r="T6759" i="12"/>
  <c r="U6759" i="12"/>
  <c r="T6760" i="12"/>
  <c r="U6760" i="12"/>
  <c r="T6761" i="12"/>
  <c r="U6761" i="12"/>
  <c r="T6762" i="12"/>
  <c r="U6762" i="12"/>
  <c r="T6763" i="12"/>
  <c r="U6763" i="12"/>
  <c r="T6764" i="12"/>
  <c r="U6764" i="12"/>
  <c r="T6765" i="12"/>
  <c r="U6765" i="12"/>
  <c r="T6766" i="12"/>
  <c r="U6766" i="12"/>
  <c r="T6767" i="12"/>
  <c r="U6767" i="12"/>
  <c r="T6768" i="12"/>
  <c r="U6768" i="12"/>
  <c r="T6769" i="12"/>
  <c r="U6769" i="12"/>
  <c r="T6770" i="12"/>
  <c r="U6770" i="12"/>
  <c r="T6771" i="12"/>
  <c r="U6771" i="12"/>
  <c r="T6772" i="12"/>
  <c r="U6772" i="12"/>
  <c r="T6773" i="12"/>
  <c r="U6773" i="12"/>
  <c r="T6774" i="12"/>
  <c r="U6774" i="12"/>
  <c r="T6775" i="12"/>
  <c r="U6775" i="12"/>
  <c r="T6776" i="12"/>
  <c r="U6776" i="12"/>
  <c r="T6777" i="12"/>
  <c r="U6777" i="12"/>
  <c r="T6778" i="12"/>
  <c r="U6778" i="12"/>
  <c r="T6779" i="12"/>
  <c r="U6779" i="12"/>
  <c r="T6780" i="12"/>
  <c r="U6780" i="12"/>
  <c r="T6781" i="12"/>
  <c r="U6781" i="12"/>
  <c r="T6782" i="12"/>
  <c r="U6782" i="12"/>
  <c r="T6783" i="12"/>
  <c r="U6783" i="12"/>
  <c r="T6784" i="12"/>
  <c r="U6784" i="12"/>
  <c r="T6785" i="12"/>
  <c r="U6785" i="12"/>
  <c r="T6786" i="12"/>
  <c r="U6786" i="12"/>
  <c r="T6787" i="12"/>
  <c r="U6787" i="12"/>
  <c r="T6788" i="12"/>
  <c r="U6788" i="12"/>
  <c r="T6789" i="12"/>
  <c r="U6789" i="12"/>
  <c r="T6790" i="12"/>
  <c r="U6790" i="12"/>
  <c r="T6791" i="12"/>
  <c r="U6791" i="12"/>
  <c r="T6792" i="12"/>
  <c r="U6792" i="12"/>
  <c r="T6793" i="12"/>
  <c r="U6793" i="12"/>
  <c r="T6794" i="12"/>
  <c r="U6794" i="12"/>
  <c r="T6795" i="12"/>
  <c r="U6795" i="12"/>
  <c r="T6796" i="12"/>
  <c r="U6796" i="12"/>
  <c r="T6797" i="12"/>
  <c r="U6797" i="12"/>
  <c r="T6798" i="12"/>
  <c r="U6798" i="12"/>
  <c r="T6799" i="12"/>
  <c r="U6799" i="12"/>
  <c r="T6800" i="12"/>
  <c r="U6800" i="12"/>
  <c r="T6801" i="12"/>
  <c r="U6801" i="12"/>
  <c r="T6802" i="12"/>
  <c r="U6802" i="12"/>
  <c r="T6803" i="12"/>
  <c r="U6803" i="12"/>
  <c r="T6804" i="12"/>
  <c r="U6804" i="12"/>
  <c r="T6805" i="12"/>
  <c r="U6805" i="12"/>
  <c r="T6806" i="12"/>
  <c r="U6806" i="12"/>
  <c r="T6807" i="12"/>
  <c r="U6807" i="12"/>
  <c r="T6808" i="12"/>
  <c r="U6808" i="12"/>
  <c r="T6809" i="12"/>
  <c r="U6809" i="12"/>
  <c r="T6810" i="12"/>
  <c r="U6810" i="12"/>
  <c r="T6811" i="12"/>
  <c r="U6811" i="12"/>
  <c r="T6812" i="12"/>
  <c r="U6812" i="12"/>
  <c r="T6813" i="12"/>
  <c r="U6813" i="12"/>
  <c r="T6814" i="12"/>
  <c r="U6814" i="12"/>
  <c r="T6815" i="12"/>
  <c r="U6815" i="12"/>
  <c r="T6816" i="12"/>
  <c r="U6816" i="12"/>
  <c r="T6817" i="12"/>
  <c r="U6817" i="12"/>
  <c r="T6818" i="12"/>
  <c r="U6818" i="12"/>
  <c r="T6819" i="12"/>
  <c r="U6819" i="12"/>
  <c r="T6820" i="12"/>
  <c r="U6820" i="12"/>
  <c r="T6821" i="12"/>
  <c r="U6821" i="12"/>
  <c r="T6822" i="12"/>
  <c r="U6822" i="12"/>
  <c r="T6823" i="12"/>
  <c r="U6823" i="12"/>
  <c r="T6824" i="12"/>
  <c r="U6824" i="12"/>
  <c r="T6825" i="12"/>
  <c r="U6825" i="12"/>
  <c r="T6826" i="12"/>
  <c r="U6826" i="12"/>
  <c r="T6827" i="12"/>
  <c r="U6827" i="12"/>
  <c r="T6828" i="12"/>
  <c r="U6828" i="12"/>
  <c r="T6829" i="12"/>
  <c r="U6829" i="12"/>
  <c r="T6830" i="12"/>
  <c r="U6830" i="12"/>
  <c r="T6831" i="12"/>
  <c r="U6831" i="12"/>
  <c r="T6832" i="12"/>
  <c r="U6832" i="12"/>
  <c r="T6833" i="12"/>
  <c r="U6833" i="12"/>
  <c r="T6834" i="12"/>
  <c r="U6834" i="12"/>
  <c r="T6835" i="12"/>
  <c r="U6835" i="12"/>
  <c r="T6836" i="12"/>
  <c r="U6836" i="12"/>
  <c r="T6837" i="12"/>
  <c r="U6837" i="12"/>
  <c r="T6838" i="12"/>
  <c r="U6838" i="12"/>
  <c r="T6839" i="12"/>
  <c r="U6839" i="12"/>
  <c r="T6840" i="12"/>
  <c r="U6840" i="12"/>
  <c r="T6841" i="12"/>
  <c r="U6841" i="12"/>
  <c r="T6842" i="12"/>
  <c r="U6842" i="12"/>
  <c r="T6843" i="12"/>
  <c r="U6843" i="12"/>
  <c r="T6844" i="12"/>
  <c r="U6844" i="12"/>
  <c r="T6845" i="12"/>
  <c r="U6845" i="12"/>
  <c r="T6846" i="12"/>
  <c r="U6846" i="12"/>
  <c r="T6847" i="12"/>
  <c r="U6847" i="12"/>
  <c r="T6848" i="12"/>
  <c r="U6848" i="12"/>
  <c r="T6849" i="12"/>
  <c r="U6849" i="12"/>
  <c r="T6850" i="12"/>
  <c r="U6850" i="12"/>
  <c r="T6851" i="12"/>
  <c r="U6851" i="12"/>
  <c r="T6852" i="12"/>
  <c r="U6852" i="12"/>
  <c r="T6853" i="12"/>
  <c r="U6853" i="12"/>
  <c r="T6854" i="12"/>
  <c r="U6854" i="12"/>
  <c r="T6855" i="12"/>
  <c r="U6855" i="12"/>
  <c r="T6856" i="12"/>
  <c r="U6856" i="12"/>
  <c r="T6857" i="12"/>
  <c r="U6857" i="12"/>
  <c r="T6858" i="12"/>
  <c r="U6858" i="12"/>
  <c r="T6859" i="12"/>
  <c r="U6859" i="12"/>
  <c r="T6860" i="12"/>
  <c r="U6860" i="12"/>
  <c r="T6861" i="12"/>
  <c r="U6861" i="12"/>
  <c r="T6862" i="12"/>
  <c r="U6862" i="12"/>
  <c r="T6863" i="12"/>
  <c r="U6863" i="12"/>
  <c r="T6864" i="12"/>
  <c r="U6864" i="12"/>
  <c r="T6865" i="12"/>
  <c r="U6865" i="12"/>
  <c r="T6866" i="12"/>
  <c r="U6866" i="12"/>
  <c r="T6867" i="12"/>
  <c r="U6867" i="12"/>
  <c r="T6868" i="12"/>
  <c r="U6868" i="12"/>
  <c r="T6869" i="12"/>
  <c r="U6869" i="12"/>
  <c r="T6870" i="12"/>
  <c r="U6870" i="12"/>
  <c r="T6871" i="12"/>
  <c r="U6871" i="12"/>
  <c r="T6872" i="12"/>
  <c r="U6872" i="12"/>
  <c r="T6873" i="12"/>
  <c r="U6873" i="12"/>
  <c r="T6874" i="12"/>
  <c r="U6874" i="12"/>
  <c r="T6875" i="12"/>
  <c r="U6875" i="12"/>
  <c r="T6876" i="12"/>
  <c r="U6876" i="12"/>
  <c r="T6877" i="12"/>
  <c r="U6877" i="12"/>
  <c r="T6878" i="12"/>
  <c r="U6878" i="12"/>
  <c r="T6879" i="12"/>
  <c r="U6879" i="12"/>
  <c r="T6880" i="12"/>
  <c r="U6880" i="12"/>
  <c r="T6881" i="12"/>
  <c r="U6881" i="12"/>
  <c r="T6882" i="12"/>
  <c r="U6882" i="12"/>
  <c r="T6883" i="12"/>
  <c r="U6883" i="12"/>
  <c r="T6884" i="12"/>
  <c r="U6884" i="12"/>
  <c r="T6885" i="12"/>
  <c r="U6885" i="12"/>
  <c r="T6886" i="12"/>
  <c r="U6886" i="12"/>
  <c r="T6887" i="12"/>
  <c r="U6887" i="12"/>
  <c r="T6888" i="12"/>
  <c r="U6888" i="12"/>
  <c r="T6889" i="12"/>
  <c r="U6889" i="12"/>
  <c r="T6890" i="12"/>
  <c r="U6890" i="12"/>
  <c r="T6891" i="12"/>
  <c r="U6891" i="12"/>
  <c r="T6892" i="12"/>
  <c r="U6892" i="12"/>
  <c r="T6893" i="12"/>
  <c r="U6893" i="12"/>
  <c r="T6894" i="12"/>
  <c r="U6894" i="12"/>
  <c r="T6895" i="12"/>
  <c r="U6895" i="12"/>
  <c r="T6896" i="12"/>
  <c r="U6896" i="12"/>
  <c r="T6897" i="12"/>
  <c r="U6897" i="12"/>
  <c r="T6898" i="12"/>
  <c r="U6898" i="12"/>
  <c r="T6899" i="12"/>
  <c r="U6899" i="12"/>
  <c r="T6900" i="12"/>
  <c r="U6900" i="12"/>
  <c r="T6901" i="12"/>
  <c r="U6901" i="12"/>
  <c r="T6902" i="12"/>
  <c r="U6902" i="12"/>
  <c r="T6903" i="12"/>
  <c r="U6903" i="12"/>
  <c r="T6904" i="12"/>
  <c r="U6904" i="12"/>
  <c r="T6905" i="12"/>
  <c r="U6905" i="12"/>
  <c r="T6906" i="12"/>
  <c r="U6906" i="12"/>
  <c r="T6907" i="12"/>
  <c r="U6907" i="12"/>
  <c r="T6908" i="12"/>
  <c r="U6908" i="12"/>
  <c r="T6909" i="12"/>
  <c r="U6909" i="12"/>
  <c r="T6910" i="12"/>
  <c r="U6910" i="12"/>
  <c r="T6911" i="12"/>
  <c r="U6911" i="12"/>
  <c r="T6912" i="12"/>
  <c r="U6912" i="12"/>
  <c r="T6913" i="12"/>
  <c r="U6913" i="12"/>
  <c r="T6914" i="12"/>
  <c r="U6914" i="12"/>
  <c r="T6915" i="12"/>
  <c r="U6915" i="12"/>
  <c r="T6916" i="12"/>
  <c r="U6916" i="12"/>
  <c r="T6917" i="12"/>
  <c r="U6917" i="12"/>
  <c r="T6918" i="12"/>
  <c r="U6918" i="12"/>
  <c r="T6919" i="12"/>
  <c r="U6919" i="12"/>
  <c r="T6920" i="12"/>
  <c r="U6920" i="12"/>
  <c r="T6921" i="12"/>
  <c r="U6921" i="12"/>
  <c r="T6922" i="12"/>
  <c r="U6922" i="12"/>
  <c r="T6923" i="12"/>
  <c r="U6923" i="12"/>
  <c r="T6924" i="12"/>
  <c r="U6924" i="12"/>
  <c r="T6925" i="12"/>
  <c r="U6925" i="12"/>
  <c r="T6926" i="12"/>
  <c r="U6926" i="12"/>
  <c r="T6927" i="12"/>
  <c r="U6927" i="12"/>
  <c r="T6928" i="12"/>
  <c r="U6928" i="12"/>
  <c r="T6929" i="12"/>
  <c r="U6929" i="12"/>
  <c r="T6930" i="12"/>
  <c r="U6930" i="12"/>
  <c r="T6931" i="12"/>
  <c r="U6931" i="12"/>
  <c r="T6932" i="12"/>
  <c r="U6932" i="12"/>
  <c r="T6933" i="12"/>
  <c r="U6933" i="12"/>
  <c r="T6934" i="12"/>
  <c r="U6934" i="12"/>
  <c r="T6935" i="12"/>
  <c r="U6935" i="12"/>
  <c r="T6936" i="12"/>
  <c r="U6936" i="12"/>
  <c r="T6937" i="12"/>
  <c r="U6937" i="12"/>
  <c r="T6938" i="12"/>
  <c r="U6938" i="12"/>
  <c r="T6939" i="12"/>
  <c r="U6939" i="12"/>
  <c r="T6940" i="12"/>
  <c r="U6940" i="12"/>
  <c r="T6941" i="12"/>
  <c r="U6941" i="12"/>
  <c r="T6942" i="12"/>
  <c r="U6942" i="12"/>
  <c r="T6943" i="12"/>
  <c r="U6943" i="12"/>
  <c r="T6944" i="12"/>
  <c r="U6944" i="12"/>
  <c r="T6945" i="12"/>
  <c r="U6945" i="12"/>
  <c r="T6946" i="12"/>
  <c r="U6946" i="12"/>
  <c r="T6947" i="12"/>
  <c r="U6947" i="12"/>
  <c r="T6948" i="12"/>
  <c r="U6948" i="12"/>
  <c r="T6949" i="12"/>
  <c r="U6949" i="12"/>
  <c r="T6950" i="12"/>
  <c r="U6950" i="12"/>
  <c r="T6951" i="12"/>
  <c r="U6951" i="12"/>
  <c r="T6952" i="12"/>
  <c r="U6952" i="12"/>
  <c r="T6953" i="12"/>
  <c r="U6953" i="12"/>
  <c r="T6954" i="12"/>
  <c r="U6954" i="12"/>
  <c r="T6955" i="12"/>
  <c r="U6955" i="12"/>
  <c r="T6956" i="12"/>
  <c r="U6956" i="12"/>
  <c r="T6957" i="12"/>
  <c r="U6957" i="12"/>
  <c r="T6958" i="12"/>
  <c r="U6958" i="12"/>
  <c r="T6959" i="12"/>
  <c r="U6959" i="12"/>
  <c r="T6960" i="12"/>
  <c r="U6960" i="12"/>
  <c r="T6961" i="12"/>
  <c r="U6961" i="12"/>
  <c r="T6962" i="12"/>
  <c r="U6962" i="12"/>
  <c r="T6963" i="12"/>
  <c r="U6963" i="12"/>
  <c r="T6964" i="12"/>
  <c r="U6964" i="12"/>
  <c r="T6965" i="12"/>
  <c r="U6965" i="12"/>
  <c r="T6966" i="12"/>
  <c r="U6966" i="12"/>
  <c r="T6967" i="12"/>
  <c r="U6967" i="12"/>
  <c r="T6968" i="12"/>
  <c r="U6968" i="12"/>
  <c r="T6969" i="12"/>
  <c r="U6969" i="12"/>
  <c r="T6970" i="12"/>
  <c r="U6970" i="12"/>
  <c r="T6971" i="12"/>
  <c r="U6971" i="12"/>
  <c r="T6972" i="12"/>
  <c r="U6972" i="12"/>
  <c r="T6973" i="12"/>
  <c r="U6973" i="12"/>
  <c r="T6974" i="12"/>
  <c r="U6974" i="12"/>
  <c r="T6975" i="12"/>
  <c r="U6975" i="12"/>
  <c r="T6976" i="12"/>
  <c r="U6976" i="12"/>
  <c r="T6977" i="12"/>
  <c r="U6977" i="12"/>
  <c r="T6978" i="12"/>
  <c r="U6978" i="12"/>
  <c r="T6979" i="12"/>
  <c r="U6979" i="12"/>
  <c r="T6980" i="12"/>
  <c r="U6980" i="12"/>
  <c r="T6981" i="12"/>
  <c r="U6981" i="12"/>
  <c r="T6982" i="12"/>
  <c r="U6982" i="12"/>
  <c r="T6983" i="12"/>
  <c r="U6983" i="12"/>
  <c r="T6984" i="12"/>
  <c r="U6984" i="12"/>
  <c r="T6985" i="12"/>
  <c r="U6985" i="12"/>
  <c r="T6986" i="12"/>
  <c r="U6986" i="12"/>
  <c r="T6987" i="12"/>
  <c r="U6987" i="12"/>
  <c r="T6988" i="12"/>
  <c r="U6988" i="12"/>
  <c r="T6989" i="12"/>
  <c r="U6989" i="12"/>
  <c r="T6990" i="12"/>
  <c r="U6990" i="12"/>
  <c r="T6991" i="12"/>
  <c r="U6991" i="12"/>
  <c r="T6992" i="12"/>
  <c r="U6992" i="12"/>
  <c r="T6993" i="12"/>
  <c r="U6993" i="12"/>
  <c r="T6994" i="12"/>
  <c r="U6994" i="12"/>
  <c r="T6995" i="12"/>
  <c r="U6995" i="12"/>
  <c r="T6996" i="12"/>
  <c r="U6996" i="12"/>
  <c r="T6997" i="12"/>
  <c r="U6997" i="12"/>
  <c r="T6998" i="12"/>
  <c r="U6998" i="12"/>
  <c r="T6999" i="12"/>
  <c r="U6999" i="12"/>
  <c r="T7000" i="12"/>
  <c r="U7000" i="12"/>
  <c r="T7001" i="12"/>
  <c r="U7001" i="12"/>
  <c r="T7002" i="12"/>
  <c r="U7002" i="12"/>
  <c r="T7003" i="12"/>
  <c r="U7003" i="12"/>
  <c r="T7004" i="12"/>
  <c r="U7004" i="12"/>
  <c r="T7005" i="12"/>
  <c r="U7005" i="12"/>
  <c r="T7006" i="12"/>
  <c r="U7006" i="12"/>
  <c r="T7007" i="12"/>
  <c r="U7007" i="12"/>
  <c r="T7008" i="12"/>
  <c r="U7008" i="12"/>
  <c r="T7009" i="12"/>
  <c r="U7009" i="12"/>
  <c r="T7010" i="12"/>
  <c r="U7010" i="12"/>
  <c r="T7011" i="12"/>
  <c r="U7011" i="12"/>
  <c r="T7012" i="12"/>
  <c r="U7012" i="12"/>
  <c r="T7013" i="12"/>
  <c r="U7013" i="12"/>
  <c r="T7014" i="12"/>
  <c r="U7014" i="12"/>
  <c r="T7015" i="12"/>
  <c r="U7015" i="12"/>
  <c r="T7016" i="12"/>
  <c r="U7016" i="12"/>
  <c r="T7017" i="12"/>
  <c r="U7017" i="12"/>
  <c r="T7018" i="12"/>
  <c r="U7018" i="12"/>
  <c r="T7019" i="12"/>
  <c r="U7019" i="12"/>
  <c r="T7020" i="12"/>
  <c r="U7020" i="12"/>
  <c r="T7021" i="12"/>
  <c r="U7021" i="12"/>
  <c r="T7022" i="12"/>
  <c r="U7022" i="12"/>
  <c r="T7023" i="12"/>
  <c r="U7023" i="12"/>
  <c r="T7024" i="12"/>
  <c r="U7024" i="12"/>
  <c r="T7025" i="12"/>
  <c r="U7025" i="12"/>
  <c r="T7026" i="12"/>
  <c r="U7026" i="12"/>
  <c r="T7027" i="12"/>
  <c r="U7027" i="12"/>
  <c r="T7028" i="12"/>
  <c r="U7028" i="12"/>
  <c r="T7029" i="12"/>
  <c r="U7029" i="12"/>
  <c r="T7030" i="12"/>
  <c r="U7030" i="12"/>
  <c r="T7031" i="12"/>
  <c r="U7031" i="12"/>
  <c r="T7032" i="12"/>
  <c r="U7032" i="12"/>
  <c r="T7033" i="12"/>
  <c r="U7033" i="12"/>
  <c r="T7034" i="12"/>
  <c r="U7034" i="12"/>
  <c r="T7035" i="12"/>
  <c r="U7035" i="12"/>
  <c r="T7036" i="12"/>
  <c r="U7036" i="12"/>
  <c r="T7037" i="12"/>
  <c r="U7037" i="12"/>
  <c r="T7038" i="12"/>
  <c r="U7038" i="12"/>
  <c r="T7039" i="12"/>
  <c r="U7039" i="12"/>
  <c r="T7040" i="12"/>
  <c r="U7040" i="12"/>
  <c r="T7041" i="12"/>
  <c r="U7041" i="12"/>
  <c r="T7042" i="12"/>
  <c r="U7042" i="12"/>
  <c r="T7043" i="12"/>
  <c r="U7043" i="12"/>
  <c r="T7044" i="12"/>
  <c r="U7044" i="12"/>
  <c r="T7045" i="12"/>
  <c r="U7045" i="12"/>
  <c r="T7046" i="12"/>
  <c r="U7046" i="12"/>
  <c r="T7047" i="12"/>
  <c r="U7047" i="12"/>
  <c r="T7048" i="12"/>
  <c r="U7048" i="12"/>
  <c r="T7049" i="12"/>
  <c r="U7049" i="12"/>
  <c r="T7050" i="12"/>
  <c r="U7050" i="12"/>
  <c r="T7051" i="12"/>
  <c r="U7051" i="12"/>
  <c r="T7052" i="12"/>
  <c r="U7052" i="12"/>
  <c r="T7053" i="12"/>
  <c r="U7053" i="12"/>
  <c r="T7054" i="12"/>
  <c r="U7054" i="12"/>
  <c r="T7055" i="12"/>
  <c r="U7055" i="12"/>
  <c r="T7056" i="12"/>
  <c r="U7056" i="12"/>
  <c r="T7057" i="12"/>
  <c r="U7057" i="12"/>
  <c r="T7058" i="12"/>
  <c r="U7058" i="12"/>
  <c r="T7059" i="12"/>
  <c r="U7059" i="12"/>
  <c r="T7060" i="12"/>
  <c r="U7060" i="12"/>
  <c r="T7061" i="12"/>
  <c r="U7061" i="12"/>
  <c r="T7062" i="12"/>
  <c r="U7062" i="12"/>
  <c r="T7063" i="12"/>
  <c r="U7063" i="12"/>
  <c r="T7064" i="12"/>
  <c r="U7064" i="12"/>
  <c r="T7065" i="12"/>
  <c r="U7065" i="12"/>
  <c r="T7066" i="12"/>
  <c r="U7066" i="12"/>
  <c r="T7067" i="12"/>
  <c r="U7067" i="12"/>
  <c r="T7068" i="12"/>
  <c r="U7068" i="12"/>
  <c r="T7069" i="12"/>
  <c r="U7069" i="12"/>
  <c r="T7070" i="12"/>
  <c r="U7070" i="12"/>
  <c r="T7071" i="12"/>
  <c r="U7071" i="12"/>
  <c r="T7072" i="12"/>
  <c r="U7072" i="12"/>
  <c r="T7073" i="12"/>
  <c r="U7073" i="12"/>
  <c r="T7074" i="12"/>
  <c r="U7074" i="12"/>
  <c r="T7075" i="12"/>
  <c r="U7075" i="12"/>
  <c r="T7076" i="12"/>
  <c r="U7076" i="12"/>
  <c r="T7077" i="12"/>
  <c r="U7077" i="12"/>
  <c r="T7078" i="12"/>
  <c r="U7078" i="12"/>
  <c r="T7079" i="12"/>
  <c r="U7079" i="12"/>
  <c r="T7080" i="12"/>
  <c r="U7080" i="12"/>
  <c r="T7081" i="12"/>
  <c r="U7081" i="12"/>
  <c r="T7082" i="12"/>
  <c r="U7082" i="12"/>
  <c r="T7083" i="12"/>
  <c r="U7083" i="12"/>
  <c r="T7084" i="12"/>
  <c r="U7084" i="12"/>
  <c r="T7085" i="12"/>
  <c r="U7085" i="12"/>
  <c r="T7086" i="12"/>
  <c r="U7086" i="12"/>
  <c r="T7087" i="12"/>
  <c r="U7087" i="12"/>
  <c r="T7088" i="12"/>
  <c r="U7088" i="12"/>
  <c r="T7089" i="12"/>
  <c r="U7089" i="12"/>
  <c r="T7090" i="12"/>
  <c r="U7090" i="12"/>
  <c r="T7091" i="12"/>
  <c r="U7091" i="12"/>
  <c r="T7092" i="12"/>
  <c r="U7092" i="12"/>
  <c r="T7093" i="12"/>
  <c r="U7093" i="12"/>
  <c r="T7094" i="12"/>
  <c r="U7094" i="12"/>
  <c r="T7095" i="12"/>
  <c r="U7095" i="12"/>
  <c r="T7096" i="12"/>
  <c r="U7096" i="12"/>
  <c r="T7097" i="12"/>
  <c r="U7097" i="12"/>
  <c r="T7098" i="12"/>
  <c r="U7098" i="12"/>
  <c r="T7099" i="12"/>
  <c r="U7099" i="12"/>
  <c r="T7100" i="12"/>
  <c r="U7100" i="12"/>
  <c r="T7101" i="12"/>
  <c r="U7101" i="12"/>
  <c r="T7102" i="12"/>
  <c r="U7102" i="12"/>
  <c r="T7103" i="12"/>
  <c r="U7103" i="12"/>
  <c r="T7104" i="12"/>
  <c r="U7104" i="12"/>
  <c r="T7105" i="12"/>
  <c r="U7105" i="12"/>
  <c r="T7106" i="12"/>
  <c r="U7106" i="12"/>
  <c r="T7107" i="12"/>
  <c r="U7107" i="12"/>
  <c r="T7108" i="12"/>
  <c r="U7108" i="12"/>
  <c r="T7109" i="12"/>
  <c r="U7109" i="12"/>
  <c r="T7110" i="12"/>
  <c r="U7110" i="12"/>
  <c r="T7111" i="12"/>
  <c r="U7111" i="12"/>
  <c r="T7112" i="12"/>
  <c r="U7112" i="12"/>
  <c r="T7113" i="12"/>
  <c r="U7113" i="12"/>
  <c r="T7114" i="12"/>
  <c r="U7114" i="12"/>
  <c r="T7115" i="12"/>
  <c r="U7115" i="12"/>
  <c r="T7116" i="12"/>
  <c r="U7116" i="12"/>
  <c r="T7117" i="12"/>
  <c r="U7117" i="12"/>
  <c r="T7118" i="12"/>
  <c r="U7118" i="12"/>
  <c r="T7119" i="12"/>
  <c r="U7119" i="12"/>
  <c r="T7120" i="12"/>
  <c r="U7120" i="12"/>
  <c r="T7121" i="12"/>
  <c r="U7121" i="12"/>
  <c r="T7122" i="12"/>
  <c r="U7122" i="12"/>
  <c r="T7123" i="12"/>
  <c r="U7123" i="12"/>
  <c r="T7124" i="12"/>
  <c r="U7124" i="12"/>
  <c r="T7125" i="12"/>
  <c r="U7125" i="12"/>
  <c r="T7126" i="12"/>
  <c r="U7126" i="12"/>
  <c r="T7127" i="12"/>
  <c r="U7127" i="12"/>
  <c r="T7128" i="12"/>
  <c r="U7128" i="12"/>
  <c r="T7129" i="12"/>
  <c r="U7129" i="12"/>
  <c r="T7130" i="12"/>
  <c r="U7130" i="12"/>
  <c r="T7131" i="12"/>
  <c r="U7131" i="12"/>
  <c r="T7132" i="12"/>
  <c r="U7132" i="12"/>
  <c r="T7133" i="12"/>
  <c r="U7133" i="12"/>
  <c r="T7134" i="12"/>
  <c r="U7134" i="12"/>
  <c r="T7135" i="12"/>
  <c r="U7135" i="12"/>
  <c r="T7136" i="12"/>
  <c r="U7136" i="12"/>
  <c r="T7137" i="12"/>
  <c r="U7137" i="12"/>
  <c r="T7138" i="12"/>
  <c r="U7138" i="12"/>
  <c r="T7139" i="12"/>
  <c r="U7139" i="12"/>
  <c r="T7140" i="12"/>
  <c r="U7140" i="12"/>
  <c r="T7141" i="12"/>
  <c r="U7141" i="12"/>
  <c r="T7142" i="12"/>
  <c r="U7142" i="12"/>
  <c r="T7143" i="12"/>
  <c r="U7143" i="12"/>
  <c r="T7144" i="12"/>
  <c r="U7144" i="12"/>
  <c r="T7145" i="12"/>
  <c r="U7145" i="12"/>
  <c r="T7146" i="12"/>
  <c r="U7146" i="12"/>
  <c r="T7147" i="12"/>
  <c r="U7147" i="12"/>
  <c r="T7148" i="12"/>
  <c r="U7148" i="12"/>
  <c r="T7149" i="12"/>
  <c r="U7149" i="12"/>
  <c r="T7150" i="12"/>
  <c r="U7150" i="12"/>
  <c r="T7151" i="12"/>
  <c r="U7151" i="12"/>
  <c r="T7152" i="12"/>
  <c r="U7152" i="12"/>
  <c r="T7153" i="12"/>
  <c r="U7153" i="12"/>
  <c r="T7154" i="12"/>
  <c r="U7154" i="12"/>
  <c r="T7155" i="12"/>
  <c r="U7155" i="12"/>
  <c r="T7156" i="12"/>
  <c r="U7156" i="12"/>
  <c r="T7157" i="12"/>
  <c r="U7157" i="12"/>
  <c r="T7158" i="12"/>
  <c r="U7158" i="12"/>
  <c r="T7159" i="12"/>
  <c r="U7159" i="12"/>
  <c r="T7160" i="12"/>
  <c r="U7160" i="12"/>
  <c r="T7161" i="12"/>
  <c r="U7161" i="12"/>
  <c r="T7162" i="12"/>
  <c r="U7162" i="12"/>
  <c r="T7163" i="12"/>
  <c r="U7163" i="12"/>
  <c r="T7164" i="12"/>
  <c r="U7164" i="12"/>
  <c r="T7165" i="12"/>
  <c r="U7165" i="12"/>
  <c r="T7166" i="12"/>
  <c r="U7166" i="12"/>
  <c r="T7167" i="12"/>
  <c r="U7167" i="12"/>
  <c r="T7168" i="12"/>
  <c r="U7168" i="12"/>
  <c r="T7169" i="12"/>
  <c r="U7169" i="12"/>
  <c r="T7170" i="12"/>
  <c r="U7170" i="12"/>
  <c r="T7171" i="12"/>
  <c r="U7171" i="12"/>
  <c r="T7172" i="12"/>
  <c r="U7172" i="12"/>
  <c r="T7173" i="12"/>
  <c r="U7173" i="12"/>
  <c r="T7174" i="12"/>
  <c r="U7174" i="12"/>
  <c r="T7175" i="12"/>
  <c r="U7175" i="12"/>
  <c r="T7176" i="12"/>
  <c r="U7176" i="12"/>
  <c r="T7177" i="12"/>
  <c r="U7177" i="12"/>
  <c r="T7178" i="12"/>
  <c r="U7178" i="12"/>
  <c r="T7179" i="12"/>
  <c r="U7179" i="12"/>
  <c r="T7180" i="12"/>
  <c r="U7180" i="12"/>
  <c r="T7181" i="12"/>
  <c r="U7181" i="12"/>
  <c r="T7182" i="12"/>
  <c r="U7182" i="12"/>
  <c r="T7183" i="12"/>
  <c r="U7183" i="12"/>
  <c r="T7184" i="12"/>
  <c r="U7184" i="12"/>
  <c r="T7185" i="12"/>
  <c r="U7185" i="12"/>
  <c r="T7186" i="12"/>
  <c r="U7186" i="12"/>
  <c r="T7187" i="12"/>
  <c r="U7187" i="12"/>
  <c r="T7188" i="12"/>
  <c r="U7188" i="12"/>
  <c r="T7189" i="12"/>
  <c r="U7189" i="12"/>
  <c r="T7190" i="12"/>
  <c r="U7190" i="12"/>
  <c r="T7191" i="12"/>
  <c r="U7191" i="12"/>
  <c r="T7192" i="12"/>
  <c r="U7192" i="12"/>
  <c r="T7193" i="12"/>
  <c r="U7193" i="12"/>
  <c r="T7194" i="12"/>
  <c r="U7194" i="12"/>
  <c r="T7195" i="12"/>
  <c r="U7195" i="12"/>
  <c r="T7196" i="12"/>
  <c r="U7196" i="12"/>
  <c r="T7197" i="12"/>
  <c r="U7197" i="12"/>
  <c r="T7198" i="12"/>
  <c r="U7198" i="12"/>
  <c r="T7199" i="12"/>
  <c r="U7199" i="12"/>
  <c r="T7200" i="12"/>
  <c r="U7200" i="12"/>
  <c r="T7201" i="12"/>
  <c r="U7201" i="12"/>
  <c r="T7202" i="12"/>
  <c r="U7202" i="12"/>
  <c r="T7203" i="12"/>
  <c r="U7203" i="12"/>
  <c r="T7204" i="12"/>
  <c r="U7204" i="12"/>
  <c r="T7205" i="12"/>
  <c r="U7205" i="12"/>
  <c r="T7206" i="12"/>
  <c r="U7206" i="12"/>
  <c r="T7207" i="12"/>
  <c r="U7207" i="12"/>
  <c r="T7208" i="12"/>
  <c r="U7208" i="12"/>
  <c r="T7209" i="12"/>
  <c r="U7209" i="12"/>
  <c r="T7210" i="12"/>
  <c r="U7210" i="12"/>
  <c r="T7211" i="12"/>
  <c r="U7211" i="12"/>
  <c r="T7212" i="12"/>
  <c r="U7212" i="12"/>
  <c r="T7213" i="12"/>
  <c r="U7213" i="12"/>
  <c r="T7214" i="12"/>
  <c r="U7214" i="12"/>
  <c r="T7215" i="12"/>
  <c r="U7215" i="12"/>
  <c r="T7216" i="12"/>
  <c r="U7216" i="12"/>
  <c r="T7217" i="12"/>
  <c r="U7217" i="12"/>
  <c r="T7218" i="12"/>
  <c r="U7218" i="12"/>
  <c r="T7219" i="12"/>
  <c r="U7219" i="12"/>
  <c r="T7220" i="12"/>
  <c r="U7220" i="12"/>
  <c r="T7221" i="12"/>
  <c r="U7221" i="12"/>
  <c r="T7222" i="12"/>
  <c r="U7222" i="12"/>
  <c r="T7223" i="12"/>
  <c r="U7223" i="12"/>
  <c r="T7224" i="12"/>
  <c r="U7224" i="12"/>
  <c r="T7225" i="12"/>
  <c r="U7225" i="12"/>
  <c r="T7226" i="12"/>
  <c r="U7226" i="12"/>
  <c r="T7227" i="12"/>
  <c r="U7227" i="12"/>
  <c r="T7228" i="12"/>
  <c r="U7228" i="12"/>
  <c r="T7229" i="12"/>
  <c r="U7229" i="12"/>
  <c r="T7230" i="12"/>
  <c r="U7230" i="12"/>
  <c r="T7231" i="12"/>
  <c r="U7231" i="12"/>
  <c r="T7232" i="12"/>
  <c r="U7232" i="12"/>
  <c r="T7233" i="12"/>
  <c r="U7233" i="12"/>
  <c r="T7234" i="12"/>
  <c r="U7234" i="12"/>
  <c r="T7235" i="12"/>
  <c r="U7235" i="12"/>
  <c r="T7236" i="12"/>
  <c r="U7236" i="12"/>
  <c r="T7237" i="12"/>
  <c r="U7237" i="12"/>
  <c r="T7238" i="12"/>
  <c r="U7238" i="12"/>
  <c r="T7239" i="12"/>
  <c r="U7239" i="12"/>
  <c r="T7240" i="12"/>
  <c r="U7240" i="12"/>
  <c r="T7241" i="12"/>
  <c r="U7241" i="12"/>
  <c r="T7242" i="12"/>
  <c r="U7242" i="12"/>
  <c r="T7243" i="12"/>
  <c r="U7243" i="12"/>
  <c r="T7244" i="12"/>
  <c r="U7244" i="12"/>
  <c r="T7245" i="12"/>
  <c r="U7245" i="12"/>
  <c r="T7246" i="12"/>
  <c r="U7246" i="12"/>
  <c r="T7247" i="12"/>
  <c r="U7247" i="12"/>
  <c r="T7248" i="12"/>
  <c r="U7248" i="12"/>
  <c r="T7249" i="12"/>
  <c r="U7249" i="12"/>
  <c r="T7250" i="12"/>
  <c r="U7250" i="12"/>
  <c r="T7251" i="12"/>
  <c r="U7251" i="12"/>
  <c r="T7252" i="12"/>
  <c r="U7252" i="12"/>
  <c r="T7253" i="12"/>
  <c r="U7253" i="12"/>
  <c r="T7254" i="12"/>
  <c r="U7254" i="12"/>
  <c r="T7255" i="12"/>
  <c r="U7255" i="12"/>
  <c r="T7256" i="12"/>
  <c r="U7256" i="12"/>
  <c r="T7257" i="12"/>
  <c r="U7257" i="12"/>
  <c r="T7258" i="12"/>
  <c r="U7258" i="12"/>
  <c r="T7259" i="12"/>
  <c r="U7259" i="12"/>
  <c r="T7260" i="12"/>
  <c r="U7260" i="12"/>
  <c r="T7261" i="12"/>
  <c r="U7261" i="12"/>
  <c r="T7262" i="12"/>
  <c r="U7262" i="12"/>
  <c r="T7263" i="12"/>
  <c r="U7263" i="12"/>
  <c r="T7264" i="12"/>
  <c r="U7264" i="12"/>
  <c r="T7265" i="12"/>
  <c r="U7265" i="12"/>
  <c r="T7266" i="12"/>
  <c r="U7266" i="12"/>
  <c r="T7267" i="12"/>
  <c r="U7267" i="12"/>
  <c r="T7268" i="12"/>
  <c r="U7268" i="12"/>
  <c r="T7269" i="12"/>
  <c r="U7269" i="12"/>
  <c r="T7270" i="12"/>
  <c r="U7270" i="12"/>
  <c r="T7271" i="12"/>
  <c r="U7271" i="12"/>
  <c r="T7272" i="12"/>
  <c r="U7272" i="12"/>
  <c r="T7273" i="12"/>
  <c r="U7273" i="12"/>
  <c r="T7274" i="12"/>
  <c r="U7274" i="12"/>
  <c r="T7275" i="12"/>
  <c r="U7275" i="12"/>
  <c r="T7276" i="12"/>
  <c r="U7276" i="12"/>
  <c r="T7277" i="12"/>
  <c r="U7277" i="12"/>
  <c r="T7278" i="12"/>
  <c r="U7278" i="12"/>
  <c r="T7279" i="12"/>
  <c r="U7279" i="12"/>
  <c r="T7280" i="12"/>
  <c r="U7280" i="12"/>
  <c r="T7281" i="12"/>
  <c r="U7281" i="12"/>
  <c r="T7282" i="12"/>
  <c r="U7282" i="12"/>
  <c r="T7283" i="12"/>
  <c r="U7283" i="12"/>
  <c r="T7284" i="12"/>
  <c r="U7284" i="12"/>
  <c r="T7285" i="12"/>
  <c r="U7285" i="12"/>
  <c r="T7286" i="12"/>
  <c r="U7286" i="12"/>
  <c r="T7287" i="12"/>
  <c r="U7287" i="12"/>
  <c r="T7288" i="12"/>
  <c r="U7288" i="12"/>
  <c r="T7289" i="12"/>
  <c r="U7289" i="12"/>
  <c r="T7290" i="12"/>
  <c r="U7290" i="12"/>
  <c r="T7291" i="12"/>
  <c r="U7291" i="12"/>
  <c r="T7292" i="12"/>
  <c r="U7292" i="12"/>
  <c r="T7293" i="12"/>
  <c r="U7293" i="12"/>
  <c r="T7294" i="12"/>
  <c r="U7294" i="12"/>
  <c r="T7295" i="12"/>
  <c r="U7295" i="12"/>
  <c r="T7296" i="12"/>
  <c r="U7296" i="12"/>
  <c r="T7297" i="12"/>
  <c r="U7297" i="12"/>
  <c r="T7298" i="12"/>
  <c r="U7298" i="12"/>
  <c r="T7299" i="12"/>
  <c r="U7299" i="12"/>
  <c r="T7300" i="12"/>
  <c r="U7300" i="12"/>
  <c r="T7301" i="12"/>
  <c r="U7301" i="12"/>
  <c r="T7302" i="12"/>
  <c r="U7302" i="12"/>
  <c r="T7303" i="12"/>
  <c r="U7303" i="12"/>
  <c r="T7304" i="12"/>
  <c r="U7304" i="12"/>
  <c r="T7305" i="12"/>
  <c r="U7305" i="12"/>
  <c r="T7306" i="12"/>
  <c r="U7306" i="12"/>
  <c r="T7307" i="12"/>
  <c r="U7307" i="12"/>
  <c r="T7308" i="12"/>
  <c r="U7308" i="12"/>
  <c r="T7309" i="12"/>
  <c r="U7309" i="12"/>
  <c r="T7310" i="12"/>
  <c r="U7310" i="12"/>
  <c r="T7311" i="12"/>
  <c r="U7311" i="12"/>
  <c r="T7312" i="12"/>
  <c r="U7312" i="12"/>
  <c r="T7313" i="12"/>
  <c r="U7313" i="12"/>
  <c r="T7314" i="12"/>
  <c r="U7314" i="12"/>
  <c r="T7315" i="12"/>
  <c r="U7315" i="12"/>
  <c r="T7316" i="12"/>
  <c r="U7316" i="12"/>
  <c r="T7317" i="12"/>
  <c r="U7317" i="12"/>
  <c r="T7318" i="12"/>
  <c r="U7318" i="12"/>
  <c r="T7319" i="12"/>
  <c r="U7319" i="12"/>
  <c r="T7320" i="12"/>
  <c r="U7320" i="12"/>
  <c r="T7321" i="12"/>
  <c r="U7321" i="12"/>
  <c r="T7322" i="12"/>
  <c r="U7322" i="12"/>
  <c r="T7323" i="12"/>
  <c r="U7323" i="12"/>
  <c r="T7324" i="12"/>
  <c r="U7324" i="12"/>
  <c r="T7325" i="12"/>
  <c r="U7325" i="12"/>
  <c r="T7326" i="12"/>
  <c r="U7326" i="12"/>
  <c r="T7327" i="12"/>
  <c r="U7327" i="12"/>
  <c r="T7328" i="12"/>
  <c r="U7328" i="12"/>
  <c r="T7329" i="12"/>
  <c r="U7329" i="12"/>
  <c r="T7330" i="12"/>
  <c r="U7330" i="12"/>
  <c r="T7331" i="12"/>
  <c r="U7331" i="12"/>
  <c r="T7332" i="12"/>
  <c r="U7332" i="12"/>
  <c r="T7333" i="12"/>
  <c r="U7333" i="12"/>
  <c r="T7334" i="12"/>
  <c r="U7334" i="12"/>
  <c r="T7335" i="12"/>
  <c r="U7335" i="12"/>
  <c r="T7336" i="12"/>
  <c r="U7336" i="12"/>
  <c r="T7337" i="12"/>
  <c r="U7337" i="12"/>
  <c r="T7338" i="12"/>
  <c r="U7338" i="12"/>
  <c r="T7339" i="12"/>
  <c r="U7339" i="12"/>
  <c r="T7340" i="12"/>
  <c r="U7340" i="12"/>
  <c r="T7341" i="12"/>
  <c r="U7341" i="12"/>
  <c r="T7342" i="12"/>
  <c r="U7342" i="12"/>
  <c r="T7343" i="12"/>
  <c r="U7343" i="12"/>
  <c r="T7344" i="12"/>
  <c r="U7344" i="12"/>
  <c r="T7345" i="12"/>
  <c r="U7345" i="12"/>
  <c r="T7346" i="12"/>
  <c r="U7346" i="12"/>
  <c r="T7347" i="12"/>
  <c r="U7347" i="12"/>
  <c r="T7348" i="12"/>
  <c r="U7348" i="12"/>
  <c r="T7349" i="12"/>
  <c r="U7349" i="12"/>
  <c r="T7350" i="12"/>
  <c r="U7350" i="12"/>
  <c r="T7351" i="12"/>
  <c r="U7351" i="12"/>
  <c r="T7352" i="12"/>
  <c r="U7352" i="12"/>
  <c r="T7353" i="12"/>
  <c r="U7353" i="12"/>
  <c r="T7354" i="12"/>
  <c r="U7354" i="12"/>
  <c r="T7355" i="12"/>
  <c r="U7355" i="12"/>
  <c r="T7356" i="12"/>
  <c r="U7356" i="12"/>
  <c r="T7357" i="12"/>
  <c r="U7357" i="12"/>
  <c r="T7358" i="12"/>
  <c r="U7358" i="12"/>
  <c r="T7359" i="12"/>
  <c r="U7359" i="12"/>
  <c r="T7360" i="12"/>
  <c r="U7360" i="12"/>
  <c r="T7361" i="12"/>
  <c r="U7361" i="12"/>
  <c r="T7362" i="12"/>
  <c r="U7362" i="12"/>
  <c r="T7363" i="12"/>
  <c r="U7363" i="12"/>
  <c r="T7364" i="12"/>
  <c r="U7364" i="12"/>
  <c r="T7365" i="12"/>
  <c r="U7365" i="12"/>
  <c r="T7366" i="12"/>
  <c r="U7366" i="12"/>
  <c r="T7367" i="12"/>
  <c r="U7367" i="12"/>
  <c r="T7368" i="12"/>
  <c r="U7368" i="12"/>
  <c r="T7369" i="12"/>
  <c r="U7369" i="12"/>
  <c r="T7370" i="12"/>
  <c r="U7370" i="12"/>
  <c r="T7371" i="12"/>
  <c r="U7371" i="12"/>
  <c r="T7372" i="12"/>
  <c r="U7372" i="12"/>
  <c r="T7373" i="12"/>
  <c r="U7373" i="12"/>
  <c r="T7374" i="12"/>
  <c r="U7374" i="12"/>
  <c r="T7375" i="12"/>
  <c r="U7375" i="12"/>
  <c r="T7376" i="12"/>
  <c r="U7376" i="12"/>
  <c r="T7377" i="12"/>
  <c r="U7377" i="12"/>
  <c r="T7378" i="12"/>
  <c r="U7378" i="12"/>
  <c r="T7379" i="12"/>
  <c r="U7379" i="12"/>
  <c r="T7380" i="12"/>
  <c r="U7380" i="12"/>
  <c r="T7381" i="12"/>
  <c r="U7381" i="12"/>
  <c r="T7382" i="12"/>
  <c r="U7382" i="12"/>
  <c r="T7383" i="12"/>
  <c r="U7383" i="12"/>
  <c r="T7384" i="12"/>
  <c r="U7384" i="12"/>
  <c r="T7385" i="12"/>
  <c r="U7385" i="12"/>
  <c r="T7386" i="12"/>
  <c r="U7386" i="12"/>
  <c r="T7387" i="12"/>
  <c r="U7387" i="12"/>
  <c r="T7388" i="12"/>
  <c r="U7388" i="12"/>
  <c r="T7389" i="12"/>
  <c r="U7389" i="12"/>
  <c r="T7390" i="12"/>
  <c r="U7390" i="12"/>
  <c r="T7391" i="12"/>
  <c r="U7391" i="12"/>
  <c r="T7392" i="12"/>
  <c r="U7392" i="12"/>
  <c r="T7393" i="12"/>
  <c r="U7393" i="12"/>
  <c r="T7394" i="12"/>
  <c r="U7394" i="12"/>
  <c r="T7395" i="12"/>
  <c r="U7395" i="12"/>
  <c r="T7396" i="12"/>
  <c r="U7396" i="12"/>
  <c r="T7397" i="12"/>
  <c r="U7397" i="12"/>
  <c r="T7398" i="12"/>
  <c r="U7398" i="12"/>
  <c r="T7399" i="12"/>
  <c r="U7399" i="12"/>
  <c r="T7400" i="12"/>
  <c r="U7400" i="12"/>
  <c r="T7401" i="12"/>
  <c r="U7401" i="12"/>
  <c r="T7402" i="12"/>
  <c r="U7402" i="12"/>
  <c r="T7403" i="12"/>
  <c r="U7403" i="12"/>
  <c r="T7404" i="12"/>
  <c r="U7404" i="12"/>
  <c r="T7405" i="12"/>
  <c r="U7405" i="12"/>
  <c r="T7406" i="12"/>
  <c r="U7406" i="12"/>
  <c r="T7407" i="12"/>
  <c r="U7407" i="12"/>
  <c r="T7408" i="12"/>
  <c r="U7408" i="12"/>
  <c r="T7409" i="12"/>
  <c r="U7409" i="12"/>
  <c r="T7410" i="12"/>
  <c r="U7410" i="12"/>
  <c r="T7411" i="12"/>
  <c r="U7411" i="12"/>
  <c r="T7412" i="12"/>
  <c r="U7412" i="12"/>
  <c r="T7413" i="12"/>
  <c r="U7413" i="12"/>
  <c r="T7414" i="12"/>
  <c r="U7414" i="12"/>
  <c r="T7415" i="12"/>
  <c r="U7415" i="12"/>
  <c r="T7416" i="12"/>
  <c r="U7416" i="12"/>
  <c r="T7417" i="12"/>
  <c r="U7417" i="12"/>
  <c r="T7418" i="12"/>
  <c r="U7418" i="12"/>
  <c r="T7419" i="12"/>
  <c r="U7419" i="12"/>
  <c r="T7420" i="12"/>
  <c r="U7420" i="12"/>
  <c r="T7421" i="12"/>
  <c r="U7421" i="12"/>
  <c r="T7422" i="12"/>
  <c r="U7422" i="12"/>
  <c r="T7423" i="12"/>
  <c r="U7423" i="12"/>
  <c r="T7424" i="12"/>
  <c r="U7424" i="12"/>
  <c r="T7425" i="12"/>
  <c r="U7425" i="12"/>
  <c r="T7426" i="12"/>
  <c r="U7426" i="12"/>
  <c r="T7427" i="12"/>
  <c r="U7427" i="12"/>
  <c r="T7428" i="12"/>
  <c r="U7428" i="12"/>
  <c r="T7429" i="12"/>
  <c r="U7429" i="12"/>
  <c r="T7430" i="12"/>
  <c r="U7430" i="12"/>
  <c r="T7431" i="12"/>
  <c r="U7431" i="12"/>
  <c r="T7432" i="12"/>
  <c r="U7432" i="12"/>
  <c r="T7433" i="12"/>
  <c r="U7433" i="12"/>
  <c r="T7434" i="12"/>
  <c r="U7434" i="12"/>
  <c r="T7435" i="12"/>
  <c r="U7435" i="12"/>
  <c r="T7436" i="12"/>
  <c r="U7436" i="12"/>
  <c r="T7437" i="12"/>
  <c r="U7437" i="12"/>
  <c r="T7438" i="12"/>
  <c r="U7438" i="12"/>
  <c r="T7439" i="12"/>
  <c r="U7439" i="12"/>
  <c r="T7440" i="12"/>
  <c r="U7440" i="12"/>
  <c r="T7441" i="12"/>
  <c r="U7441" i="12"/>
  <c r="T7442" i="12"/>
  <c r="U7442" i="12"/>
  <c r="T7443" i="12"/>
  <c r="U7443" i="12"/>
  <c r="T7444" i="12"/>
  <c r="U7444" i="12"/>
  <c r="T7445" i="12"/>
  <c r="U7445" i="12"/>
  <c r="T7446" i="12"/>
  <c r="U7446" i="12"/>
  <c r="T7447" i="12"/>
  <c r="U7447" i="12"/>
  <c r="T7448" i="12"/>
  <c r="U7448" i="12"/>
  <c r="T7449" i="12"/>
  <c r="U7449" i="12"/>
  <c r="T7450" i="12"/>
  <c r="U7450" i="12"/>
  <c r="T7451" i="12"/>
  <c r="U7451" i="12"/>
  <c r="T7452" i="12"/>
  <c r="U7452" i="12"/>
  <c r="T7453" i="12"/>
  <c r="U7453" i="12"/>
  <c r="T7454" i="12"/>
  <c r="U7454" i="12"/>
  <c r="T7455" i="12"/>
  <c r="U7455" i="12"/>
  <c r="T7456" i="12"/>
  <c r="U7456" i="12"/>
  <c r="T7457" i="12"/>
  <c r="U7457" i="12"/>
  <c r="T7458" i="12"/>
  <c r="U7458" i="12"/>
  <c r="T7459" i="12"/>
  <c r="U7459" i="12"/>
  <c r="T7460" i="12"/>
  <c r="U7460" i="12"/>
  <c r="T7461" i="12"/>
  <c r="U7461" i="12"/>
  <c r="T7462" i="12"/>
  <c r="U7462" i="12"/>
  <c r="T7463" i="12"/>
  <c r="U7463" i="12"/>
  <c r="T7464" i="12"/>
  <c r="U7464" i="12"/>
  <c r="T7465" i="12"/>
  <c r="U7465" i="12"/>
  <c r="T7466" i="12"/>
  <c r="U7466" i="12"/>
  <c r="T7467" i="12"/>
  <c r="U7467" i="12"/>
  <c r="T7468" i="12"/>
  <c r="U7468" i="12"/>
  <c r="T7469" i="12"/>
  <c r="U7469" i="12"/>
  <c r="T7470" i="12"/>
  <c r="U7470" i="12"/>
  <c r="T7471" i="12"/>
  <c r="U7471" i="12"/>
  <c r="T7472" i="12"/>
  <c r="U7472" i="12"/>
  <c r="T7473" i="12"/>
  <c r="U7473" i="12"/>
  <c r="T7474" i="12"/>
  <c r="U7474" i="12"/>
  <c r="T7475" i="12"/>
  <c r="U7475" i="12"/>
  <c r="T7476" i="12"/>
  <c r="U7476" i="12"/>
  <c r="T7477" i="12"/>
  <c r="U7477" i="12"/>
  <c r="T7478" i="12"/>
  <c r="U7478" i="12"/>
  <c r="T7479" i="12"/>
  <c r="U7479" i="12"/>
  <c r="T7480" i="12"/>
  <c r="U7480" i="12"/>
  <c r="T7481" i="12"/>
  <c r="U7481" i="12"/>
  <c r="T7482" i="12"/>
  <c r="U7482" i="12"/>
  <c r="T7483" i="12"/>
  <c r="U7483" i="12"/>
  <c r="T7484" i="12"/>
  <c r="U7484" i="12"/>
  <c r="T7485" i="12"/>
  <c r="U7485" i="12"/>
  <c r="T7486" i="12"/>
  <c r="U7486" i="12"/>
  <c r="T7487" i="12"/>
  <c r="U7487" i="12"/>
  <c r="T7488" i="12"/>
  <c r="U7488" i="12"/>
  <c r="T7489" i="12"/>
  <c r="U7489" i="12"/>
  <c r="T7490" i="12"/>
  <c r="U7490" i="12"/>
  <c r="T7491" i="12"/>
  <c r="U7491" i="12"/>
  <c r="T7492" i="12"/>
  <c r="U7492" i="12"/>
  <c r="T7493" i="12"/>
  <c r="U7493" i="12"/>
  <c r="T7494" i="12"/>
  <c r="U7494" i="12"/>
  <c r="T7495" i="12"/>
  <c r="U7495" i="12"/>
  <c r="T7496" i="12"/>
  <c r="U7496" i="12"/>
  <c r="T7497" i="12"/>
  <c r="U7497" i="12"/>
  <c r="T7498" i="12"/>
  <c r="U7498" i="12"/>
  <c r="T7499" i="12"/>
  <c r="U7499" i="12"/>
  <c r="T7500" i="12"/>
  <c r="U7500" i="12"/>
  <c r="T7501" i="12"/>
  <c r="U7501" i="12"/>
  <c r="T7502" i="12"/>
  <c r="U7502" i="12"/>
  <c r="T7503" i="12"/>
  <c r="U7503" i="12"/>
  <c r="T7504" i="12"/>
  <c r="U7504" i="12"/>
  <c r="T7505" i="12"/>
  <c r="U7505" i="12"/>
  <c r="T7506" i="12"/>
  <c r="U7506" i="12"/>
  <c r="T7507" i="12"/>
  <c r="U7507" i="12"/>
  <c r="T7508" i="12"/>
  <c r="U7508" i="12"/>
  <c r="T7509" i="12"/>
  <c r="U7509" i="12"/>
  <c r="T7510" i="12"/>
  <c r="U7510" i="12"/>
  <c r="T7511" i="12"/>
  <c r="U7511" i="12"/>
  <c r="T7512" i="12"/>
  <c r="U7512" i="12"/>
  <c r="T7513" i="12"/>
  <c r="U7513" i="12"/>
  <c r="T7514" i="12"/>
  <c r="U7514" i="12"/>
  <c r="T7515" i="12"/>
  <c r="U7515" i="12"/>
  <c r="T7516" i="12"/>
  <c r="U7516" i="12"/>
  <c r="T7517" i="12"/>
  <c r="U7517" i="12"/>
  <c r="T7518" i="12"/>
  <c r="U7518" i="12"/>
  <c r="T7519" i="12"/>
  <c r="U7519" i="12"/>
  <c r="T7520" i="12"/>
  <c r="U7520" i="12"/>
  <c r="T7521" i="12"/>
  <c r="U7521" i="12"/>
  <c r="T7522" i="12"/>
  <c r="U7522" i="12"/>
  <c r="T7523" i="12"/>
  <c r="U7523" i="12"/>
  <c r="T7524" i="12"/>
  <c r="U7524" i="12"/>
  <c r="T7525" i="12"/>
  <c r="U7525" i="12"/>
  <c r="T7526" i="12"/>
  <c r="U7526" i="12"/>
  <c r="T7527" i="12"/>
  <c r="U7527" i="12"/>
  <c r="T7528" i="12"/>
  <c r="U7528" i="12"/>
  <c r="T7529" i="12"/>
  <c r="U7529" i="12"/>
  <c r="T7530" i="12"/>
  <c r="U7530" i="12"/>
  <c r="T7531" i="12"/>
  <c r="U7531" i="12"/>
  <c r="T7532" i="12"/>
  <c r="U7532" i="12"/>
  <c r="T7533" i="12"/>
  <c r="U7533" i="12"/>
  <c r="T7534" i="12"/>
  <c r="U7534" i="12"/>
  <c r="T7535" i="12"/>
  <c r="U7535" i="12"/>
  <c r="T7536" i="12"/>
  <c r="U7536" i="12"/>
  <c r="T7537" i="12"/>
  <c r="U7537" i="12"/>
  <c r="T7538" i="12"/>
  <c r="U7538" i="12"/>
  <c r="T7539" i="12"/>
  <c r="U7539" i="12"/>
  <c r="T7540" i="12"/>
  <c r="U7540" i="12"/>
  <c r="T7541" i="12"/>
  <c r="U7541" i="12"/>
  <c r="T7542" i="12"/>
  <c r="U7542" i="12"/>
  <c r="T7543" i="12"/>
  <c r="U7543" i="12"/>
  <c r="T7544" i="12"/>
  <c r="U7544" i="12"/>
  <c r="T7545" i="12"/>
  <c r="U7545" i="12"/>
  <c r="T7546" i="12"/>
  <c r="U7546" i="12"/>
  <c r="T7547" i="12"/>
  <c r="U7547" i="12"/>
  <c r="T7548" i="12"/>
  <c r="U7548" i="12"/>
  <c r="T7549" i="12"/>
  <c r="U7549" i="12"/>
  <c r="T7550" i="12"/>
  <c r="U7550" i="12"/>
  <c r="T7551" i="12"/>
  <c r="U7551" i="12"/>
  <c r="T7552" i="12"/>
  <c r="U7552" i="12"/>
  <c r="T7553" i="12"/>
  <c r="U7553" i="12"/>
  <c r="T7554" i="12"/>
  <c r="U7554" i="12"/>
  <c r="T7555" i="12"/>
  <c r="U7555" i="12"/>
  <c r="T7556" i="12"/>
  <c r="U7556" i="12"/>
  <c r="T7557" i="12"/>
  <c r="U7557" i="12"/>
  <c r="T7558" i="12"/>
  <c r="U7558" i="12"/>
  <c r="T7559" i="12"/>
  <c r="U7559" i="12"/>
  <c r="T7560" i="12"/>
  <c r="U7560" i="12"/>
  <c r="T7561" i="12"/>
  <c r="U7561" i="12"/>
  <c r="T7562" i="12"/>
  <c r="U7562" i="12"/>
  <c r="T7563" i="12"/>
  <c r="U7563" i="12"/>
  <c r="T7564" i="12"/>
  <c r="U7564" i="12"/>
  <c r="T7565" i="12"/>
  <c r="U7565" i="12"/>
  <c r="T7566" i="12"/>
  <c r="U7566" i="12"/>
  <c r="T7567" i="12"/>
  <c r="U7567" i="12"/>
  <c r="T7568" i="12"/>
  <c r="U7568" i="12"/>
  <c r="T7569" i="12"/>
  <c r="U7569" i="12"/>
  <c r="T7570" i="12"/>
  <c r="U7570" i="12"/>
  <c r="T7571" i="12"/>
  <c r="U7571" i="12"/>
  <c r="T7572" i="12"/>
  <c r="U7572" i="12"/>
  <c r="T7573" i="12"/>
  <c r="U7573" i="12"/>
  <c r="T7574" i="12"/>
  <c r="U7574" i="12"/>
  <c r="T7575" i="12"/>
  <c r="U7575" i="12"/>
  <c r="T7576" i="12"/>
  <c r="U7576" i="12"/>
  <c r="T7577" i="12"/>
  <c r="U7577" i="12"/>
  <c r="T7578" i="12"/>
  <c r="U7578" i="12"/>
  <c r="T7579" i="12"/>
  <c r="U7579" i="12"/>
  <c r="T7580" i="12"/>
  <c r="U7580" i="12"/>
  <c r="T7581" i="12"/>
  <c r="U7581" i="12"/>
  <c r="T7582" i="12"/>
  <c r="U7582" i="12"/>
  <c r="T7583" i="12"/>
  <c r="U7583" i="12"/>
  <c r="T7584" i="12"/>
  <c r="U7584" i="12"/>
  <c r="T7585" i="12"/>
  <c r="U7585" i="12"/>
  <c r="T7586" i="12"/>
  <c r="U7586" i="12"/>
  <c r="T7587" i="12"/>
  <c r="U7587" i="12"/>
  <c r="T7588" i="12"/>
  <c r="U7588" i="12"/>
  <c r="T7589" i="12"/>
  <c r="U7589" i="12"/>
  <c r="T7590" i="12"/>
  <c r="U7590" i="12"/>
  <c r="T7591" i="12"/>
  <c r="U7591" i="12"/>
  <c r="T7592" i="12"/>
  <c r="U7592" i="12"/>
  <c r="T7593" i="12"/>
  <c r="U7593" i="12"/>
  <c r="T7594" i="12"/>
  <c r="U7594" i="12"/>
  <c r="T7595" i="12"/>
  <c r="U7595" i="12"/>
  <c r="T7596" i="12"/>
  <c r="U7596" i="12"/>
  <c r="T7597" i="12"/>
  <c r="U7597" i="12"/>
  <c r="T7598" i="12"/>
  <c r="U7598" i="12"/>
  <c r="T7599" i="12"/>
  <c r="U7599" i="12"/>
  <c r="T7600" i="12"/>
  <c r="U7600" i="12"/>
  <c r="T7601" i="12"/>
  <c r="U7601" i="12"/>
  <c r="T7602" i="12"/>
  <c r="U7602" i="12"/>
  <c r="T7603" i="12"/>
  <c r="U7603" i="12"/>
  <c r="T7604" i="12"/>
  <c r="U7604" i="12"/>
  <c r="T7605" i="12"/>
  <c r="U7605" i="12"/>
  <c r="T7606" i="12"/>
  <c r="U7606" i="12"/>
  <c r="T7607" i="12"/>
  <c r="U7607" i="12"/>
  <c r="T7608" i="12"/>
  <c r="U7608" i="12"/>
  <c r="T7609" i="12"/>
  <c r="U7609" i="12"/>
  <c r="T7610" i="12"/>
  <c r="U7610" i="12"/>
  <c r="T7611" i="12"/>
  <c r="U7611" i="12"/>
  <c r="T7612" i="12"/>
  <c r="U7612" i="12"/>
  <c r="T7613" i="12"/>
  <c r="U7613" i="12"/>
  <c r="T7614" i="12"/>
  <c r="U7614" i="12"/>
  <c r="T7615" i="12"/>
  <c r="U7615" i="12"/>
  <c r="T7616" i="12"/>
  <c r="U7616" i="12"/>
  <c r="T7617" i="12"/>
  <c r="U7617" i="12"/>
  <c r="T7618" i="12"/>
  <c r="U7618" i="12"/>
  <c r="T7619" i="12"/>
  <c r="U7619" i="12"/>
  <c r="T7620" i="12"/>
  <c r="U7620" i="12"/>
  <c r="T7621" i="12"/>
  <c r="U7621" i="12"/>
  <c r="T7622" i="12"/>
  <c r="U7622" i="12"/>
  <c r="T7623" i="12"/>
  <c r="U7623" i="12"/>
  <c r="T7624" i="12"/>
  <c r="U7624" i="12"/>
  <c r="T7625" i="12"/>
  <c r="U7625" i="12"/>
  <c r="T7626" i="12"/>
  <c r="U7626" i="12"/>
  <c r="T7627" i="12"/>
  <c r="U7627" i="12"/>
  <c r="T7628" i="12"/>
  <c r="U7628" i="12"/>
  <c r="T7629" i="12"/>
  <c r="U7629" i="12"/>
  <c r="T7630" i="12"/>
  <c r="U7630" i="12"/>
  <c r="T7631" i="12"/>
  <c r="U7631" i="12"/>
  <c r="T7632" i="12"/>
  <c r="U7632" i="12"/>
  <c r="T7633" i="12"/>
  <c r="U7633" i="12"/>
  <c r="T7634" i="12"/>
  <c r="U7634" i="12"/>
  <c r="T7635" i="12"/>
  <c r="U7635" i="12"/>
  <c r="T7636" i="12"/>
  <c r="U7636" i="12"/>
  <c r="T7637" i="12"/>
  <c r="U7637" i="12"/>
  <c r="T7638" i="12"/>
  <c r="U7638" i="12"/>
  <c r="T7639" i="12"/>
  <c r="U7639" i="12"/>
  <c r="T7640" i="12"/>
  <c r="U7640" i="12"/>
  <c r="T7641" i="12"/>
  <c r="U7641" i="12"/>
  <c r="T7642" i="12"/>
  <c r="U7642" i="12"/>
  <c r="T7643" i="12"/>
  <c r="U7643" i="12"/>
  <c r="T7644" i="12"/>
  <c r="U7644" i="12"/>
  <c r="T7645" i="12"/>
  <c r="U7645" i="12"/>
  <c r="T7646" i="12"/>
  <c r="U7646" i="12"/>
  <c r="T7647" i="12"/>
  <c r="U7647" i="12"/>
  <c r="T7648" i="12"/>
  <c r="U7648" i="12"/>
  <c r="T7649" i="12"/>
  <c r="U7649" i="12"/>
  <c r="T7650" i="12"/>
  <c r="U7650" i="12"/>
  <c r="T7651" i="12"/>
  <c r="U7651" i="12"/>
  <c r="T7652" i="12"/>
  <c r="U7652" i="12"/>
  <c r="T7653" i="12"/>
  <c r="U7653" i="12"/>
  <c r="T7654" i="12"/>
  <c r="U7654" i="12"/>
  <c r="T7655" i="12"/>
  <c r="U7655" i="12"/>
  <c r="T7656" i="12"/>
  <c r="U7656" i="12"/>
  <c r="T7657" i="12"/>
  <c r="U7657" i="12"/>
  <c r="T7658" i="12"/>
  <c r="U7658" i="12"/>
  <c r="T7659" i="12"/>
  <c r="U7659" i="12"/>
  <c r="T7660" i="12"/>
  <c r="U7660" i="12"/>
  <c r="T7661" i="12"/>
  <c r="U7661" i="12"/>
  <c r="T7662" i="12"/>
  <c r="U7662" i="12"/>
  <c r="T7663" i="12"/>
  <c r="U7663" i="12"/>
  <c r="T7664" i="12"/>
  <c r="U7664" i="12"/>
  <c r="T7665" i="12"/>
  <c r="U7665" i="12"/>
  <c r="T7666" i="12"/>
  <c r="U7666" i="12"/>
  <c r="T7667" i="12"/>
  <c r="U7667" i="12"/>
  <c r="T7668" i="12"/>
  <c r="U7668" i="12"/>
  <c r="T7669" i="12"/>
  <c r="U7669" i="12"/>
  <c r="T7670" i="12"/>
  <c r="U7670" i="12"/>
  <c r="T7671" i="12"/>
  <c r="U7671" i="12"/>
  <c r="T7672" i="12"/>
  <c r="U7672" i="12"/>
  <c r="T7673" i="12"/>
  <c r="U7673" i="12"/>
  <c r="T7674" i="12"/>
  <c r="U7674" i="12"/>
  <c r="T7675" i="12"/>
  <c r="U7675" i="12"/>
  <c r="T7676" i="12"/>
  <c r="U7676" i="12"/>
  <c r="T7677" i="12"/>
  <c r="U7677" i="12"/>
  <c r="T7678" i="12"/>
  <c r="U7678" i="12"/>
  <c r="T7679" i="12"/>
  <c r="U7679" i="12"/>
  <c r="T7680" i="12"/>
  <c r="U7680" i="12"/>
  <c r="T7681" i="12"/>
  <c r="U7681" i="12"/>
  <c r="T7682" i="12"/>
  <c r="U7682" i="12"/>
  <c r="T7683" i="12"/>
  <c r="U7683" i="12"/>
  <c r="T7684" i="12"/>
  <c r="U7684" i="12"/>
  <c r="T7685" i="12"/>
  <c r="U7685" i="12"/>
  <c r="T7686" i="12"/>
  <c r="U7686" i="12"/>
  <c r="T7687" i="12"/>
  <c r="U7687" i="12"/>
  <c r="T7688" i="12"/>
  <c r="U7688" i="12"/>
  <c r="T7689" i="12"/>
  <c r="U7689" i="12"/>
  <c r="T7690" i="12"/>
  <c r="U7690" i="12"/>
  <c r="T7691" i="12"/>
  <c r="U7691" i="12"/>
  <c r="T7692" i="12"/>
  <c r="U7692" i="12"/>
  <c r="T7693" i="12"/>
  <c r="U7693" i="12"/>
  <c r="T7694" i="12"/>
  <c r="U7694" i="12"/>
  <c r="T7695" i="12"/>
  <c r="U7695" i="12"/>
  <c r="T7696" i="12"/>
  <c r="U7696" i="12"/>
  <c r="T7697" i="12"/>
  <c r="U7697" i="12"/>
  <c r="T7698" i="12"/>
  <c r="U7698" i="12"/>
  <c r="T7699" i="12"/>
  <c r="U7699" i="12"/>
  <c r="T7700" i="12"/>
  <c r="U7700" i="12"/>
  <c r="T7701" i="12"/>
  <c r="U7701" i="12"/>
  <c r="T7702" i="12"/>
  <c r="U7702" i="12"/>
  <c r="T7703" i="12"/>
  <c r="U7703" i="12"/>
  <c r="T7704" i="12"/>
  <c r="U7704" i="12"/>
  <c r="T7705" i="12"/>
  <c r="U7705" i="12"/>
  <c r="T7706" i="12"/>
  <c r="U7706" i="12"/>
  <c r="T7707" i="12"/>
  <c r="U7707" i="12"/>
  <c r="T7708" i="12"/>
  <c r="U7708" i="12"/>
  <c r="T7709" i="12"/>
  <c r="U7709" i="12"/>
  <c r="T7710" i="12"/>
  <c r="U7710" i="12"/>
  <c r="T7711" i="12"/>
  <c r="U7711" i="12"/>
  <c r="T7712" i="12"/>
  <c r="U7712" i="12"/>
  <c r="T7713" i="12"/>
  <c r="U7713" i="12"/>
  <c r="T7714" i="12"/>
  <c r="U7714" i="12"/>
  <c r="T7715" i="12"/>
  <c r="U7715" i="12"/>
  <c r="T7716" i="12"/>
  <c r="U7716" i="12"/>
  <c r="T7717" i="12"/>
  <c r="U7717" i="12"/>
  <c r="T7718" i="12"/>
  <c r="U7718" i="12"/>
  <c r="T7719" i="12"/>
  <c r="U7719" i="12"/>
  <c r="T7720" i="12"/>
  <c r="U7720" i="12"/>
  <c r="T7721" i="12"/>
  <c r="U7721" i="12"/>
  <c r="T7722" i="12"/>
  <c r="U7722" i="12"/>
  <c r="T7723" i="12"/>
  <c r="U7723" i="12"/>
  <c r="T7724" i="12"/>
  <c r="U7724" i="12"/>
  <c r="T7725" i="12"/>
  <c r="U7725" i="12"/>
  <c r="T7726" i="12"/>
  <c r="U7726" i="12"/>
  <c r="T7727" i="12"/>
  <c r="U7727" i="12"/>
  <c r="T7728" i="12"/>
  <c r="U7728" i="12"/>
  <c r="T7729" i="12"/>
  <c r="U7729" i="12"/>
  <c r="T7730" i="12"/>
  <c r="U7730" i="12"/>
  <c r="T7731" i="12"/>
  <c r="U7731" i="12"/>
  <c r="T7732" i="12"/>
  <c r="U7732" i="12"/>
  <c r="T7733" i="12"/>
  <c r="U7733" i="12"/>
  <c r="T7734" i="12"/>
  <c r="U7734" i="12"/>
  <c r="T7735" i="12"/>
  <c r="U7735" i="12"/>
  <c r="T7736" i="12"/>
  <c r="U7736" i="12"/>
  <c r="T7737" i="12"/>
  <c r="U7737" i="12"/>
  <c r="T7738" i="12"/>
  <c r="U7738" i="12"/>
  <c r="T7739" i="12"/>
  <c r="U7739" i="12"/>
  <c r="T7740" i="12"/>
  <c r="U7740" i="12"/>
  <c r="T7741" i="12"/>
  <c r="U7741" i="12"/>
  <c r="T7742" i="12"/>
  <c r="U7742" i="12"/>
  <c r="T7743" i="12"/>
  <c r="U7743" i="12"/>
  <c r="T7744" i="12"/>
  <c r="U7744" i="12"/>
  <c r="T7745" i="12"/>
  <c r="U7745" i="12"/>
  <c r="T7746" i="12"/>
  <c r="U7746" i="12"/>
  <c r="T7747" i="12"/>
  <c r="U7747" i="12"/>
  <c r="T7748" i="12"/>
  <c r="U7748" i="12"/>
  <c r="T7749" i="12"/>
  <c r="U7749" i="12"/>
  <c r="T7750" i="12"/>
  <c r="U7750" i="12"/>
  <c r="T7751" i="12"/>
  <c r="U7751" i="12"/>
  <c r="T7752" i="12"/>
  <c r="U7752" i="12"/>
  <c r="T7753" i="12"/>
  <c r="U7753" i="12"/>
  <c r="T7754" i="12"/>
  <c r="U7754" i="12"/>
  <c r="T7755" i="12"/>
  <c r="U7755" i="12"/>
  <c r="T7756" i="12"/>
  <c r="U7756" i="12"/>
  <c r="T7757" i="12"/>
  <c r="U7757" i="12"/>
  <c r="T7758" i="12"/>
  <c r="U7758" i="12"/>
  <c r="T7759" i="12"/>
  <c r="U7759" i="12"/>
  <c r="T7760" i="12"/>
  <c r="U7760" i="12"/>
  <c r="T7761" i="12"/>
  <c r="U7761" i="12"/>
  <c r="T7762" i="12"/>
  <c r="U7762" i="12"/>
  <c r="T7763" i="12"/>
  <c r="U7763" i="12"/>
  <c r="T7764" i="12"/>
  <c r="U7764" i="12"/>
  <c r="T7765" i="12"/>
  <c r="U7765" i="12"/>
  <c r="T7766" i="12"/>
  <c r="U7766" i="12"/>
  <c r="T7767" i="12"/>
  <c r="U7767" i="12"/>
  <c r="T7768" i="12"/>
  <c r="U7768" i="12"/>
  <c r="T7769" i="12"/>
  <c r="U7769" i="12"/>
  <c r="T7770" i="12"/>
  <c r="U7770" i="12"/>
  <c r="T7771" i="12"/>
  <c r="U7771" i="12"/>
  <c r="T7772" i="12"/>
  <c r="U7772" i="12"/>
  <c r="T7773" i="12"/>
  <c r="U7773" i="12"/>
  <c r="T7774" i="12"/>
  <c r="U7774" i="12"/>
  <c r="T7775" i="12"/>
  <c r="U7775" i="12"/>
  <c r="T7776" i="12"/>
  <c r="U7776" i="12"/>
  <c r="T7777" i="12"/>
  <c r="U7777" i="12"/>
  <c r="T7778" i="12"/>
  <c r="U7778" i="12"/>
  <c r="T7779" i="12"/>
  <c r="U7779" i="12"/>
  <c r="T7780" i="12"/>
  <c r="U7780" i="12"/>
  <c r="T7781" i="12"/>
  <c r="U7781" i="12"/>
  <c r="T7782" i="12"/>
  <c r="U7782" i="12"/>
  <c r="T7783" i="12"/>
  <c r="U7783" i="12"/>
  <c r="T7784" i="12"/>
  <c r="U7784" i="12"/>
  <c r="T7785" i="12"/>
  <c r="U7785" i="12"/>
  <c r="T7786" i="12"/>
  <c r="U7786" i="12"/>
  <c r="T7787" i="12"/>
  <c r="U7787" i="12"/>
  <c r="T7788" i="12"/>
  <c r="U7788" i="12"/>
  <c r="T7789" i="12"/>
  <c r="U7789" i="12"/>
  <c r="T7790" i="12"/>
  <c r="U7790" i="12"/>
  <c r="T7791" i="12"/>
  <c r="U7791" i="12"/>
  <c r="T7792" i="12"/>
  <c r="U7792" i="12"/>
  <c r="T7793" i="12"/>
  <c r="U7793" i="12"/>
  <c r="T7794" i="12"/>
  <c r="U7794" i="12"/>
  <c r="T7795" i="12"/>
  <c r="U7795" i="12"/>
  <c r="T7796" i="12"/>
  <c r="U7796" i="12"/>
  <c r="T7797" i="12"/>
  <c r="U7797" i="12"/>
  <c r="T7798" i="12"/>
  <c r="U7798" i="12"/>
  <c r="T7799" i="12"/>
  <c r="U7799" i="12"/>
  <c r="T7800" i="12"/>
  <c r="U7800" i="12"/>
  <c r="T7801" i="12"/>
  <c r="U7801" i="12"/>
  <c r="T7802" i="12"/>
  <c r="U7802" i="12"/>
  <c r="T7803" i="12"/>
  <c r="U7803" i="12"/>
  <c r="T7804" i="12"/>
  <c r="U7804" i="12"/>
  <c r="T7805" i="12"/>
  <c r="U7805" i="12"/>
  <c r="T7806" i="12"/>
  <c r="U7806" i="12"/>
  <c r="T7807" i="12"/>
  <c r="U7807" i="12"/>
  <c r="T7808" i="12"/>
  <c r="U7808" i="12"/>
  <c r="T7809" i="12"/>
  <c r="U7809" i="12"/>
  <c r="T7810" i="12"/>
  <c r="U7810" i="12"/>
  <c r="T7811" i="12"/>
  <c r="U7811" i="12"/>
  <c r="T7812" i="12"/>
  <c r="U7812" i="12"/>
  <c r="T7813" i="12"/>
  <c r="U7813" i="12"/>
  <c r="T7814" i="12"/>
  <c r="U7814" i="12"/>
  <c r="T7815" i="12"/>
  <c r="U7815" i="12"/>
  <c r="T7816" i="12"/>
  <c r="U7816" i="12"/>
  <c r="T7817" i="12"/>
  <c r="U7817" i="12"/>
  <c r="T7818" i="12"/>
  <c r="U7818" i="12"/>
  <c r="T7819" i="12"/>
  <c r="U7819" i="12"/>
  <c r="T7820" i="12"/>
  <c r="U7820" i="12"/>
  <c r="T7821" i="12"/>
  <c r="U7821" i="12"/>
  <c r="T7822" i="12"/>
  <c r="U7822" i="12"/>
  <c r="T7823" i="12"/>
  <c r="U7823" i="12"/>
  <c r="T7824" i="12"/>
  <c r="U7824" i="12"/>
  <c r="T7825" i="12"/>
  <c r="U7825" i="12"/>
  <c r="T7826" i="12"/>
  <c r="U7826" i="12"/>
  <c r="T7827" i="12"/>
  <c r="U7827" i="12"/>
  <c r="T7828" i="12"/>
  <c r="U7828" i="12"/>
  <c r="T7829" i="12"/>
  <c r="U7829" i="12"/>
  <c r="T7830" i="12"/>
  <c r="U7830" i="12"/>
  <c r="T7831" i="12"/>
  <c r="U7831" i="12"/>
  <c r="T7832" i="12"/>
  <c r="U7832" i="12"/>
  <c r="T7833" i="12"/>
  <c r="U7833" i="12"/>
  <c r="T7834" i="12"/>
  <c r="U7834" i="12"/>
  <c r="T7835" i="12"/>
  <c r="U7835" i="12"/>
  <c r="T7836" i="12"/>
  <c r="U7836" i="12"/>
  <c r="T7837" i="12"/>
  <c r="U7837" i="12"/>
  <c r="T7838" i="12"/>
  <c r="U7838" i="12"/>
  <c r="T7839" i="12"/>
  <c r="U7839" i="12"/>
  <c r="T7840" i="12"/>
  <c r="U7840" i="12"/>
  <c r="T7841" i="12"/>
  <c r="U7841" i="12"/>
  <c r="T7842" i="12"/>
  <c r="U7842" i="12"/>
  <c r="T7843" i="12"/>
  <c r="U7843" i="12"/>
  <c r="T7844" i="12"/>
  <c r="U7844" i="12"/>
  <c r="T7845" i="12"/>
  <c r="U7845" i="12"/>
  <c r="T7846" i="12"/>
  <c r="U7846" i="12"/>
  <c r="T7847" i="12"/>
  <c r="U7847" i="12"/>
  <c r="T7848" i="12"/>
  <c r="U7848" i="12"/>
  <c r="T7849" i="12"/>
  <c r="U7849" i="12"/>
  <c r="T7850" i="12"/>
  <c r="U7850" i="12"/>
  <c r="T7851" i="12"/>
  <c r="U7851" i="12"/>
  <c r="T7852" i="12"/>
  <c r="U7852" i="12"/>
  <c r="T7853" i="12"/>
  <c r="U7853" i="12"/>
  <c r="T7854" i="12"/>
  <c r="U7854" i="12"/>
  <c r="T7855" i="12"/>
  <c r="U7855" i="12"/>
  <c r="T7856" i="12"/>
  <c r="U7856" i="12"/>
  <c r="T7857" i="12"/>
  <c r="U7857" i="12"/>
  <c r="T7858" i="12"/>
  <c r="U7858" i="12"/>
  <c r="T7859" i="12"/>
  <c r="U7859" i="12"/>
  <c r="T7860" i="12"/>
  <c r="U7860" i="12"/>
  <c r="T7861" i="12"/>
  <c r="U7861" i="12"/>
  <c r="T7862" i="12"/>
  <c r="U7862" i="12"/>
  <c r="T7863" i="12"/>
  <c r="U7863" i="12"/>
  <c r="T7864" i="12"/>
  <c r="U7864" i="12"/>
  <c r="T7865" i="12"/>
  <c r="U7865" i="12"/>
  <c r="T7866" i="12"/>
  <c r="U7866" i="12"/>
  <c r="T7867" i="12"/>
  <c r="U7867" i="12"/>
  <c r="T7868" i="12"/>
  <c r="U7868" i="12"/>
  <c r="T7869" i="12"/>
  <c r="U7869" i="12"/>
  <c r="T7870" i="12"/>
  <c r="U7870" i="12"/>
  <c r="T7871" i="12"/>
  <c r="U7871" i="12"/>
  <c r="T7872" i="12"/>
  <c r="U7872" i="12"/>
  <c r="T7873" i="12"/>
  <c r="U7873" i="12"/>
  <c r="T7874" i="12"/>
  <c r="U7874" i="12"/>
  <c r="T7875" i="12"/>
  <c r="U7875" i="12"/>
  <c r="T7876" i="12"/>
  <c r="U7876" i="12"/>
  <c r="T7877" i="12"/>
  <c r="U7877" i="12"/>
  <c r="T7878" i="12"/>
  <c r="U7878" i="12"/>
  <c r="T7879" i="12"/>
  <c r="U7879" i="12"/>
  <c r="T7880" i="12"/>
  <c r="U7880" i="12"/>
  <c r="T7881" i="12"/>
  <c r="U7881" i="12"/>
  <c r="T7882" i="12"/>
  <c r="U7882" i="12"/>
  <c r="T7883" i="12"/>
  <c r="U7883" i="12"/>
  <c r="T7884" i="12"/>
  <c r="U7884" i="12"/>
  <c r="T7885" i="12"/>
  <c r="U7885" i="12"/>
  <c r="T7886" i="12"/>
  <c r="U7886" i="12"/>
  <c r="T7887" i="12"/>
  <c r="U7887" i="12"/>
  <c r="T7888" i="12"/>
  <c r="U7888" i="12"/>
  <c r="T7889" i="12"/>
  <c r="U7889" i="12"/>
  <c r="T7890" i="12"/>
  <c r="U7890" i="12"/>
  <c r="T7891" i="12"/>
  <c r="U7891" i="12"/>
  <c r="T7892" i="12"/>
  <c r="U7892" i="12"/>
  <c r="T7893" i="12"/>
  <c r="U7893" i="12"/>
  <c r="T7894" i="12"/>
  <c r="U7894" i="12"/>
  <c r="T7895" i="12"/>
  <c r="U7895" i="12"/>
  <c r="T7896" i="12"/>
  <c r="U7896" i="12"/>
  <c r="T7897" i="12"/>
  <c r="U7897" i="12"/>
  <c r="T7898" i="12"/>
  <c r="U7898" i="12"/>
  <c r="T7899" i="12"/>
  <c r="U7899" i="12"/>
  <c r="T7900" i="12"/>
  <c r="U7900" i="12"/>
  <c r="T7901" i="12"/>
  <c r="U7901" i="12"/>
  <c r="T7902" i="12"/>
  <c r="U7902" i="12"/>
  <c r="T7903" i="12"/>
  <c r="U7903" i="12"/>
  <c r="T7904" i="12"/>
  <c r="U7904" i="12"/>
  <c r="T7905" i="12"/>
  <c r="U7905" i="12"/>
  <c r="T7906" i="12"/>
  <c r="U7906" i="12"/>
  <c r="T7907" i="12"/>
  <c r="U7907" i="12"/>
  <c r="T7908" i="12"/>
  <c r="U7908" i="12"/>
  <c r="T7909" i="12"/>
  <c r="U7909" i="12"/>
  <c r="T7910" i="12"/>
  <c r="U7910" i="12"/>
  <c r="T7911" i="12"/>
  <c r="U7911" i="12"/>
  <c r="T7912" i="12"/>
  <c r="U7912" i="12"/>
  <c r="T7913" i="12"/>
  <c r="U7913" i="12"/>
  <c r="T7914" i="12"/>
  <c r="U7914" i="12"/>
  <c r="T7915" i="12"/>
  <c r="U7915" i="12"/>
  <c r="T7916" i="12"/>
  <c r="U7916" i="12"/>
  <c r="T7917" i="12"/>
  <c r="U7917" i="12"/>
  <c r="T7918" i="12"/>
  <c r="U7918" i="12"/>
  <c r="T7919" i="12"/>
  <c r="U7919" i="12"/>
  <c r="T7920" i="12"/>
  <c r="U7920" i="12"/>
  <c r="T7921" i="12"/>
  <c r="U7921" i="12"/>
  <c r="T7922" i="12"/>
  <c r="U7922" i="12"/>
  <c r="T7923" i="12"/>
  <c r="U7923" i="12"/>
  <c r="T7924" i="12"/>
  <c r="U7924" i="12"/>
  <c r="T7925" i="12"/>
  <c r="U7925" i="12"/>
  <c r="T7926" i="12"/>
  <c r="U7926" i="12"/>
  <c r="T7927" i="12"/>
  <c r="U7927" i="12"/>
  <c r="T7928" i="12"/>
  <c r="U7928" i="12"/>
  <c r="T7929" i="12"/>
  <c r="U7929" i="12"/>
  <c r="T7930" i="12"/>
  <c r="U7930" i="12"/>
  <c r="T7931" i="12"/>
  <c r="U7931" i="12"/>
  <c r="T7932" i="12"/>
  <c r="U7932" i="12"/>
  <c r="T7933" i="12"/>
  <c r="U7933" i="12"/>
  <c r="T7934" i="12"/>
  <c r="U7934" i="12"/>
  <c r="T7935" i="12"/>
  <c r="U7935" i="12"/>
  <c r="T7936" i="12"/>
  <c r="U7936" i="12"/>
  <c r="T7937" i="12"/>
  <c r="U7937" i="12"/>
  <c r="T7938" i="12"/>
  <c r="U7938" i="12"/>
  <c r="T7939" i="12"/>
  <c r="U7939" i="12"/>
  <c r="T7940" i="12"/>
  <c r="U7940" i="12"/>
  <c r="T7941" i="12"/>
  <c r="U7941" i="12"/>
  <c r="T7942" i="12"/>
  <c r="U7942" i="12"/>
  <c r="T7943" i="12"/>
  <c r="U7943" i="12"/>
  <c r="T7944" i="12"/>
  <c r="U7944" i="12"/>
  <c r="T7945" i="12"/>
  <c r="U7945" i="12"/>
  <c r="T7946" i="12"/>
  <c r="U7946" i="12"/>
  <c r="T7947" i="12"/>
  <c r="U7947" i="12"/>
  <c r="T7948" i="12"/>
  <c r="U7948" i="12"/>
  <c r="T7949" i="12"/>
  <c r="U7949" i="12"/>
  <c r="T7950" i="12"/>
  <c r="U7950" i="12"/>
  <c r="T7951" i="12"/>
  <c r="U7951" i="12"/>
  <c r="T7952" i="12"/>
  <c r="U7952" i="12"/>
  <c r="T7953" i="12"/>
  <c r="U7953" i="12"/>
  <c r="T7954" i="12"/>
  <c r="U7954" i="12"/>
  <c r="T7955" i="12"/>
  <c r="U7955" i="12"/>
  <c r="T7956" i="12"/>
  <c r="U7956" i="12"/>
  <c r="T7957" i="12"/>
  <c r="U7957" i="12"/>
  <c r="T7958" i="12"/>
  <c r="U7958" i="12"/>
  <c r="T7959" i="12"/>
  <c r="U7959" i="12"/>
  <c r="T7960" i="12"/>
  <c r="U7960" i="12"/>
  <c r="T7961" i="12"/>
  <c r="U7961" i="12"/>
  <c r="T7962" i="12"/>
  <c r="U7962" i="12"/>
  <c r="T7963" i="12"/>
  <c r="U7963" i="12"/>
  <c r="T7964" i="12"/>
  <c r="U7964" i="12"/>
  <c r="T7965" i="12"/>
  <c r="U7965" i="12"/>
  <c r="T7966" i="12"/>
  <c r="U7966" i="12"/>
  <c r="T7967" i="12"/>
  <c r="U7967" i="12"/>
  <c r="T7968" i="12"/>
  <c r="U7968" i="12"/>
  <c r="T7969" i="12"/>
  <c r="U7969" i="12"/>
  <c r="T7970" i="12"/>
  <c r="U7970" i="12"/>
  <c r="T7971" i="12"/>
  <c r="U7971" i="12"/>
  <c r="T7972" i="12"/>
  <c r="U7972" i="12"/>
  <c r="T7973" i="12"/>
  <c r="U7973" i="12"/>
  <c r="T7974" i="12"/>
  <c r="U7974" i="12"/>
  <c r="T7975" i="12"/>
  <c r="U7975" i="12"/>
  <c r="T7976" i="12"/>
  <c r="U7976" i="12"/>
  <c r="T7977" i="12"/>
  <c r="U7977" i="12"/>
  <c r="T7978" i="12"/>
  <c r="U7978" i="12"/>
  <c r="T7979" i="12"/>
  <c r="U7979" i="12"/>
  <c r="T7980" i="12"/>
  <c r="U7980" i="12"/>
  <c r="T7981" i="12"/>
  <c r="U7981" i="12"/>
  <c r="T7982" i="12"/>
  <c r="U7982" i="12"/>
  <c r="T7983" i="12"/>
  <c r="U7983" i="12"/>
  <c r="T7984" i="12"/>
  <c r="U7984" i="12"/>
  <c r="T7985" i="12"/>
  <c r="U7985" i="12"/>
  <c r="T7986" i="12"/>
  <c r="U7986" i="12"/>
  <c r="T7987" i="12"/>
  <c r="U7987" i="12"/>
  <c r="T7988" i="12"/>
  <c r="U7988" i="12"/>
  <c r="T7989" i="12"/>
  <c r="U7989" i="12"/>
  <c r="T7990" i="12"/>
  <c r="U7990" i="12"/>
  <c r="T7991" i="12"/>
  <c r="U7991" i="12"/>
  <c r="T7992" i="12"/>
  <c r="U7992" i="12"/>
  <c r="T7993" i="12"/>
  <c r="U7993" i="12"/>
  <c r="T7994" i="12"/>
  <c r="U7994" i="12"/>
  <c r="T7995" i="12"/>
  <c r="U7995" i="12"/>
  <c r="T7996" i="12"/>
  <c r="U7996" i="12"/>
  <c r="T7997" i="12"/>
  <c r="U7997" i="12"/>
  <c r="T7998" i="12"/>
  <c r="U7998" i="12"/>
  <c r="T7999" i="12"/>
  <c r="U7999" i="12"/>
  <c r="T8000" i="12"/>
  <c r="U8000" i="12"/>
  <c r="T8001" i="12"/>
  <c r="U8001" i="12"/>
  <c r="T8002" i="12"/>
  <c r="U8002" i="12"/>
  <c r="T8003" i="12"/>
  <c r="U8003" i="12"/>
  <c r="T8004" i="12"/>
  <c r="U8004" i="12"/>
  <c r="T8005" i="12"/>
  <c r="U8005" i="12"/>
  <c r="T8006" i="12"/>
  <c r="U8006" i="12"/>
  <c r="T8007" i="12"/>
  <c r="U8007" i="12"/>
  <c r="T8008" i="12"/>
  <c r="U8008" i="12"/>
  <c r="T8009" i="12"/>
  <c r="U8009" i="12"/>
  <c r="T8010" i="12"/>
  <c r="U8010" i="12"/>
  <c r="T8011" i="12"/>
  <c r="U8011" i="12"/>
  <c r="T8012" i="12"/>
  <c r="U8012" i="12"/>
  <c r="T8013" i="12"/>
  <c r="U8013" i="12"/>
  <c r="T8014" i="12"/>
  <c r="U8014" i="12"/>
  <c r="T8015" i="12"/>
  <c r="U8015" i="12"/>
  <c r="T8016" i="12"/>
  <c r="U8016" i="12"/>
  <c r="T8017" i="12"/>
  <c r="U8017" i="12"/>
  <c r="T8018" i="12"/>
  <c r="U8018" i="12"/>
  <c r="T8019" i="12"/>
  <c r="U8019" i="12"/>
  <c r="T8020" i="12"/>
  <c r="U8020" i="12"/>
  <c r="T8021" i="12"/>
  <c r="U8021" i="12"/>
  <c r="T8022" i="12"/>
  <c r="U8022" i="12"/>
  <c r="T8023" i="12"/>
  <c r="U8023" i="12"/>
  <c r="T8024" i="12"/>
  <c r="U8024" i="12"/>
  <c r="T8025" i="12"/>
  <c r="U8025" i="12"/>
  <c r="T8026" i="12"/>
  <c r="U8026" i="12"/>
  <c r="T8027" i="12"/>
  <c r="U8027" i="12"/>
  <c r="T8028" i="12"/>
  <c r="U8028" i="12"/>
  <c r="T8029" i="12"/>
  <c r="U8029" i="12"/>
  <c r="T8030" i="12"/>
  <c r="U8030" i="12"/>
  <c r="T8031" i="12"/>
  <c r="U8031" i="12"/>
  <c r="T8032" i="12"/>
  <c r="U8032" i="12"/>
  <c r="T8033" i="12"/>
  <c r="U8033" i="12"/>
  <c r="T8034" i="12"/>
  <c r="U8034" i="12"/>
  <c r="T8035" i="12"/>
  <c r="U8035" i="12"/>
  <c r="T8036" i="12"/>
  <c r="U8036" i="12"/>
  <c r="T8037" i="12"/>
  <c r="U8037" i="12"/>
  <c r="T8038" i="12"/>
  <c r="U8038" i="12"/>
  <c r="T8039" i="12"/>
  <c r="U8039" i="12"/>
  <c r="T8040" i="12"/>
  <c r="U8040" i="12"/>
  <c r="T8041" i="12"/>
  <c r="U8041" i="12"/>
  <c r="T8042" i="12"/>
  <c r="U8042" i="12"/>
  <c r="T8043" i="12"/>
  <c r="U8043" i="12"/>
  <c r="T8044" i="12"/>
  <c r="U8044" i="12"/>
  <c r="T8045" i="12"/>
  <c r="U8045" i="12"/>
  <c r="T8046" i="12"/>
  <c r="U8046" i="12"/>
  <c r="T8047" i="12"/>
  <c r="U8047" i="12"/>
  <c r="T8048" i="12"/>
  <c r="U8048" i="12"/>
  <c r="T8049" i="12"/>
  <c r="U8049" i="12"/>
  <c r="T8050" i="12"/>
  <c r="U8050" i="12"/>
  <c r="T8051" i="12"/>
  <c r="U8051" i="12"/>
  <c r="T8052" i="12"/>
  <c r="U8052" i="12"/>
  <c r="T8053" i="12"/>
  <c r="U8053" i="12"/>
  <c r="T8054" i="12"/>
  <c r="U8054" i="12"/>
  <c r="T8055" i="12"/>
  <c r="U8055" i="12"/>
  <c r="T8056" i="12"/>
  <c r="U8056" i="12"/>
  <c r="T8057" i="12"/>
  <c r="U8057" i="12"/>
  <c r="T8058" i="12"/>
  <c r="U8058" i="12"/>
  <c r="T8059" i="12"/>
  <c r="U8059" i="12"/>
  <c r="T8060" i="12"/>
  <c r="U8060" i="12"/>
  <c r="T8061" i="12"/>
  <c r="U8061" i="12"/>
  <c r="T8062" i="12"/>
  <c r="U8062" i="12"/>
  <c r="T8063" i="12"/>
  <c r="U8063" i="12"/>
  <c r="T8064" i="12"/>
  <c r="U8064" i="12"/>
  <c r="T8065" i="12"/>
  <c r="U8065" i="12"/>
  <c r="T8066" i="12"/>
  <c r="U8066" i="12"/>
  <c r="T8067" i="12"/>
  <c r="U8067" i="12"/>
  <c r="T8068" i="12"/>
  <c r="U8068" i="12"/>
  <c r="T8069" i="12"/>
  <c r="U8069" i="12"/>
  <c r="T8070" i="12"/>
  <c r="U8070" i="12"/>
  <c r="T8071" i="12"/>
  <c r="U8071" i="12"/>
  <c r="T8072" i="12"/>
  <c r="U8072" i="12"/>
  <c r="T8073" i="12"/>
  <c r="U8073" i="12"/>
  <c r="T8074" i="12"/>
  <c r="U8074" i="12"/>
  <c r="T8075" i="12"/>
  <c r="U8075" i="12"/>
  <c r="T8076" i="12"/>
  <c r="U8076" i="12"/>
  <c r="T8077" i="12"/>
  <c r="U8077" i="12"/>
  <c r="T8078" i="12"/>
  <c r="U8078" i="12"/>
  <c r="T8079" i="12"/>
  <c r="U8079" i="12"/>
  <c r="T8080" i="12"/>
  <c r="U8080" i="12"/>
  <c r="T8081" i="12"/>
  <c r="U8081" i="12"/>
  <c r="T8082" i="12"/>
  <c r="U8082" i="12"/>
  <c r="T8083" i="12"/>
  <c r="U8083" i="12"/>
  <c r="T8084" i="12"/>
  <c r="U8084" i="12"/>
  <c r="T8085" i="12"/>
  <c r="U8085" i="12"/>
  <c r="T8086" i="12"/>
  <c r="U8086" i="12"/>
  <c r="T8087" i="12"/>
  <c r="U8087" i="12"/>
  <c r="T8088" i="12"/>
  <c r="U8088" i="12"/>
  <c r="T8089" i="12"/>
  <c r="U8089" i="12"/>
  <c r="T8090" i="12"/>
  <c r="U8090" i="12"/>
  <c r="T8091" i="12"/>
  <c r="U8091" i="12"/>
  <c r="T8092" i="12"/>
  <c r="U8092" i="12"/>
  <c r="T8093" i="12"/>
  <c r="U8093" i="12"/>
  <c r="T8094" i="12"/>
  <c r="U8094" i="12"/>
  <c r="T8095" i="12"/>
  <c r="U8095" i="12"/>
  <c r="T8096" i="12"/>
  <c r="U8096" i="12"/>
  <c r="T8097" i="12"/>
  <c r="U8097" i="12"/>
  <c r="T8098" i="12"/>
  <c r="U8098" i="12"/>
  <c r="T8099" i="12"/>
  <c r="U8099" i="12"/>
  <c r="T8100" i="12"/>
  <c r="U8100" i="12"/>
  <c r="T8101" i="12"/>
  <c r="U8101" i="12"/>
  <c r="T8102" i="12"/>
  <c r="U8102" i="12"/>
  <c r="T8103" i="12"/>
  <c r="U8103" i="12"/>
  <c r="T8104" i="12"/>
  <c r="U8104" i="12"/>
  <c r="T8105" i="12"/>
  <c r="U8105" i="12"/>
  <c r="T8106" i="12"/>
  <c r="U8106" i="12"/>
  <c r="T8107" i="12"/>
  <c r="U8107" i="12"/>
  <c r="T8108" i="12"/>
  <c r="U8108" i="12"/>
  <c r="T8109" i="12"/>
  <c r="U8109" i="12"/>
  <c r="T8110" i="12"/>
  <c r="U8110" i="12"/>
  <c r="T8111" i="12"/>
  <c r="U8111" i="12"/>
  <c r="T8112" i="12"/>
  <c r="U8112" i="12"/>
  <c r="T8113" i="12"/>
  <c r="U8113" i="12"/>
  <c r="T8114" i="12"/>
  <c r="U8114" i="12"/>
  <c r="T8115" i="12"/>
  <c r="U8115" i="12"/>
  <c r="T8116" i="12"/>
  <c r="U8116" i="12"/>
  <c r="T8117" i="12"/>
  <c r="U8117" i="12"/>
  <c r="T8118" i="12"/>
  <c r="U8118" i="12"/>
  <c r="T8119" i="12"/>
  <c r="U8119" i="12"/>
  <c r="T8120" i="12"/>
  <c r="U8120" i="12"/>
  <c r="T8121" i="12"/>
  <c r="U8121" i="12"/>
  <c r="T8122" i="12"/>
  <c r="U8122" i="12"/>
  <c r="T8123" i="12"/>
  <c r="U8123" i="12"/>
  <c r="T8124" i="12"/>
  <c r="U8124" i="12"/>
  <c r="T8125" i="12"/>
  <c r="U8125" i="12"/>
  <c r="T8126" i="12"/>
  <c r="U8126" i="12"/>
  <c r="T8127" i="12"/>
  <c r="U8127" i="12"/>
  <c r="T8128" i="12"/>
  <c r="U8128" i="12"/>
  <c r="T8129" i="12"/>
  <c r="U8129" i="12"/>
  <c r="T8130" i="12"/>
  <c r="U8130" i="12"/>
  <c r="T8131" i="12"/>
  <c r="U8131" i="12"/>
  <c r="T8132" i="12"/>
  <c r="U8132" i="12"/>
  <c r="T8133" i="12"/>
  <c r="U8133" i="12"/>
  <c r="T8134" i="12"/>
  <c r="U8134" i="12"/>
  <c r="T8135" i="12"/>
  <c r="U8135" i="12"/>
  <c r="T8136" i="12"/>
  <c r="U8136" i="12"/>
  <c r="T8137" i="12"/>
  <c r="U8137" i="12"/>
  <c r="T8138" i="12"/>
  <c r="U8138" i="12"/>
  <c r="T8139" i="12"/>
  <c r="U8139" i="12"/>
  <c r="T8140" i="12"/>
  <c r="U8140" i="12"/>
  <c r="T8141" i="12"/>
  <c r="U8141" i="12"/>
  <c r="T8142" i="12"/>
  <c r="U8142" i="12"/>
  <c r="T8143" i="12"/>
  <c r="U8143" i="12"/>
  <c r="T8144" i="12"/>
  <c r="U8144" i="12"/>
  <c r="T8145" i="12"/>
  <c r="U8145" i="12"/>
  <c r="T8146" i="12"/>
  <c r="U8146" i="12"/>
  <c r="T8147" i="12"/>
  <c r="U8147" i="12"/>
  <c r="T8148" i="12"/>
  <c r="U8148" i="12"/>
  <c r="T8149" i="12"/>
  <c r="U8149" i="12"/>
  <c r="T8150" i="12"/>
  <c r="U8150" i="12"/>
  <c r="T8151" i="12"/>
  <c r="U8151" i="12"/>
  <c r="T8152" i="12"/>
  <c r="U8152" i="12"/>
  <c r="T8153" i="12"/>
  <c r="U8153" i="12"/>
  <c r="T8154" i="12"/>
  <c r="U8154" i="12"/>
  <c r="T8155" i="12"/>
  <c r="U8155" i="12"/>
  <c r="T8156" i="12"/>
  <c r="U8156" i="12"/>
  <c r="T8157" i="12"/>
  <c r="U8157" i="12"/>
  <c r="T8158" i="12"/>
  <c r="U8158" i="12"/>
  <c r="T8159" i="12"/>
  <c r="U8159" i="12"/>
  <c r="T8160" i="12"/>
  <c r="U8160" i="12"/>
  <c r="T8161" i="12"/>
  <c r="U8161" i="12"/>
  <c r="T8162" i="12"/>
  <c r="U8162" i="12"/>
  <c r="T8163" i="12"/>
  <c r="U8163" i="12"/>
  <c r="T8164" i="12"/>
  <c r="U8164" i="12"/>
  <c r="T8165" i="12"/>
  <c r="U8165" i="12"/>
  <c r="T8166" i="12"/>
  <c r="U8166" i="12"/>
  <c r="T8167" i="12"/>
  <c r="U8167" i="12"/>
  <c r="T8168" i="12"/>
  <c r="U8168" i="12"/>
  <c r="T8169" i="12"/>
  <c r="U8169" i="12"/>
  <c r="T8170" i="12"/>
  <c r="U8170" i="12"/>
  <c r="T8171" i="12"/>
  <c r="U8171" i="12"/>
  <c r="T8172" i="12"/>
  <c r="U8172" i="12"/>
  <c r="T8173" i="12"/>
  <c r="U8173" i="12"/>
  <c r="T8174" i="12"/>
  <c r="U8174" i="12"/>
  <c r="T8175" i="12"/>
  <c r="U8175" i="12"/>
  <c r="T8176" i="12"/>
  <c r="U8176" i="12"/>
  <c r="T8177" i="12"/>
  <c r="U8177" i="12"/>
  <c r="T8178" i="12"/>
  <c r="U8178" i="12"/>
  <c r="T8179" i="12"/>
  <c r="U8179" i="12"/>
  <c r="T8180" i="12"/>
  <c r="U8180" i="12"/>
  <c r="T8181" i="12"/>
  <c r="U8181" i="12"/>
  <c r="T8182" i="12"/>
  <c r="U8182" i="12"/>
  <c r="T8183" i="12"/>
  <c r="U8183" i="12"/>
  <c r="T8184" i="12"/>
  <c r="U8184" i="12"/>
  <c r="T8185" i="12"/>
  <c r="U8185" i="12"/>
  <c r="T8186" i="12"/>
  <c r="U8186" i="12"/>
  <c r="T8187" i="12"/>
  <c r="U8187" i="12"/>
  <c r="T8188" i="12"/>
  <c r="U8188" i="12"/>
  <c r="T8189" i="12"/>
  <c r="U8189" i="12"/>
  <c r="T8190" i="12"/>
  <c r="U8190" i="12"/>
  <c r="T8191" i="12"/>
  <c r="U8191" i="12"/>
  <c r="T8192" i="12"/>
  <c r="U8192" i="12"/>
  <c r="T8193" i="12"/>
  <c r="U8193" i="12"/>
  <c r="T8194" i="12"/>
  <c r="U8194" i="12"/>
  <c r="T8195" i="12"/>
  <c r="U8195" i="12"/>
  <c r="T8196" i="12"/>
  <c r="U8196" i="12"/>
  <c r="T8197" i="12"/>
  <c r="U8197" i="12"/>
  <c r="T8198" i="12"/>
  <c r="U8198" i="12"/>
  <c r="T8199" i="12"/>
  <c r="U8199" i="12"/>
  <c r="T8200" i="12"/>
  <c r="U8200" i="12"/>
  <c r="T8201" i="12"/>
  <c r="U8201" i="12"/>
  <c r="T8202" i="12"/>
  <c r="U8202" i="12"/>
  <c r="T8203" i="12"/>
  <c r="U8203" i="12"/>
  <c r="T8204" i="12"/>
  <c r="U8204" i="12"/>
  <c r="T8205" i="12"/>
  <c r="U8205" i="12"/>
  <c r="T8206" i="12"/>
  <c r="U8206" i="12"/>
  <c r="T8207" i="12"/>
  <c r="U8207" i="12"/>
  <c r="T8208" i="12"/>
  <c r="U8208" i="12"/>
  <c r="T8209" i="12"/>
  <c r="U8209" i="12"/>
  <c r="T8210" i="12"/>
  <c r="U8210" i="12"/>
  <c r="T8211" i="12"/>
  <c r="U8211" i="12"/>
  <c r="T8212" i="12"/>
  <c r="U8212" i="12"/>
  <c r="T8213" i="12"/>
  <c r="U8213" i="12"/>
  <c r="T8214" i="12"/>
  <c r="U8214" i="12"/>
  <c r="T8215" i="12"/>
  <c r="U8215" i="12"/>
  <c r="T8216" i="12"/>
  <c r="U8216" i="12"/>
  <c r="T8217" i="12"/>
  <c r="U8217" i="12"/>
  <c r="T8218" i="12"/>
  <c r="U8218" i="12"/>
  <c r="T8219" i="12"/>
  <c r="U8219" i="12"/>
  <c r="T8220" i="12"/>
  <c r="U8220" i="12"/>
  <c r="T8221" i="12"/>
  <c r="U8221" i="12"/>
  <c r="T8222" i="12"/>
  <c r="U8222" i="12"/>
  <c r="T8223" i="12"/>
  <c r="U8223" i="12"/>
  <c r="T8224" i="12"/>
  <c r="U8224" i="12"/>
  <c r="T8225" i="12"/>
  <c r="U8225" i="12"/>
  <c r="T8226" i="12"/>
  <c r="U8226" i="12"/>
  <c r="T8227" i="12"/>
  <c r="U8227" i="12"/>
  <c r="T8228" i="12"/>
  <c r="U8228" i="12"/>
  <c r="T8229" i="12"/>
  <c r="U8229" i="12"/>
  <c r="T8230" i="12"/>
  <c r="U8230" i="12"/>
  <c r="T8231" i="12"/>
  <c r="U8231" i="12"/>
  <c r="T8232" i="12"/>
  <c r="U8232" i="12"/>
  <c r="T8233" i="12"/>
  <c r="U8233" i="12"/>
  <c r="T8234" i="12"/>
  <c r="U8234" i="12"/>
  <c r="T8235" i="12"/>
  <c r="U8235" i="12"/>
  <c r="T8236" i="12"/>
  <c r="U8236" i="12"/>
  <c r="T8237" i="12"/>
  <c r="U8237" i="12"/>
  <c r="T8238" i="12"/>
  <c r="U8238" i="12"/>
  <c r="T8239" i="12"/>
  <c r="U8239" i="12"/>
  <c r="T8240" i="12"/>
  <c r="U8240" i="12"/>
  <c r="T8241" i="12"/>
  <c r="U8241" i="12"/>
  <c r="T8242" i="12"/>
  <c r="U8242" i="12"/>
  <c r="T8243" i="12"/>
  <c r="U8243" i="12"/>
  <c r="T8244" i="12"/>
  <c r="U8244" i="12"/>
  <c r="T8245" i="12"/>
  <c r="U8245" i="12"/>
  <c r="T8246" i="12"/>
  <c r="U8246" i="12"/>
  <c r="T8247" i="12"/>
  <c r="U8247" i="12"/>
  <c r="T8248" i="12"/>
  <c r="U8248" i="12"/>
  <c r="T8249" i="12"/>
  <c r="U8249" i="12"/>
  <c r="T8250" i="12"/>
  <c r="U8250" i="12"/>
  <c r="T8251" i="12"/>
  <c r="U8251" i="12"/>
  <c r="T8252" i="12"/>
  <c r="U8252" i="12"/>
  <c r="T8253" i="12"/>
  <c r="U8253" i="12"/>
  <c r="T8254" i="12"/>
  <c r="U8254" i="12"/>
  <c r="T8255" i="12"/>
  <c r="U8255" i="12"/>
  <c r="T8256" i="12"/>
  <c r="U8256" i="12"/>
  <c r="T8257" i="12"/>
  <c r="U8257" i="12"/>
  <c r="T8258" i="12"/>
  <c r="U8258" i="12"/>
  <c r="T8259" i="12"/>
  <c r="U8259" i="12"/>
  <c r="T8260" i="12"/>
  <c r="U8260" i="12"/>
  <c r="T8261" i="12"/>
  <c r="U8261" i="12"/>
  <c r="T8262" i="12"/>
  <c r="U8262" i="12"/>
  <c r="T8263" i="12"/>
  <c r="U8263" i="12"/>
  <c r="T8264" i="12"/>
  <c r="U8264" i="12"/>
  <c r="T8265" i="12"/>
  <c r="U8265" i="12"/>
  <c r="T8266" i="12"/>
  <c r="U8266" i="12"/>
  <c r="T8267" i="12"/>
  <c r="U8267" i="12"/>
  <c r="T8268" i="12"/>
  <c r="U8268" i="12"/>
  <c r="T8269" i="12"/>
  <c r="U8269" i="12"/>
  <c r="T8270" i="12"/>
  <c r="U8270" i="12"/>
  <c r="T8271" i="12"/>
  <c r="U8271" i="12"/>
  <c r="T8272" i="12"/>
  <c r="U8272" i="12"/>
  <c r="T8273" i="12"/>
  <c r="U8273" i="12"/>
  <c r="T8274" i="12"/>
  <c r="U8274" i="12"/>
  <c r="T8275" i="12"/>
  <c r="U8275" i="12"/>
  <c r="T8276" i="12"/>
  <c r="U8276" i="12"/>
  <c r="T8277" i="12"/>
  <c r="U8277" i="12"/>
  <c r="T8278" i="12"/>
  <c r="U8278" i="12"/>
  <c r="T8279" i="12"/>
  <c r="U8279" i="12"/>
  <c r="T8280" i="12"/>
  <c r="U8280" i="12"/>
  <c r="T8281" i="12"/>
  <c r="U8281" i="12"/>
  <c r="T8282" i="12"/>
  <c r="U8282" i="12"/>
  <c r="T8283" i="12"/>
  <c r="U8283" i="12"/>
  <c r="T8284" i="12"/>
  <c r="U8284" i="12"/>
  <c r="T8285" i="12"/>
  <c r="U8285" i="12"/>
  <c r="T8286" i="12"/>
  <c r="U8286" i="12"/>
  <c r="T8287" i="12"/>
  <c r="U8287" i="12"/>
  <c r="T8288" i="12"/>
  <c r="U8288" i="12"/>
  <c r="T8289" i="12"/>
  <c r="U8289" i="12"/>
  <c r="T8290" i="12"/>
  <c r="U8290" i="12"/>
  <c r="T8291" i="12"/>
  <c r="U8291" i="12"/>
  <c r="T8292" i="12"/>
  <c r="U8292" i="12"/>
  <c r="T8293" i="12"/>
  <c r="U8293" i="12"/>
  <c r="T8294" i="12"/>
  <c r="U8294" i="12"/>
  <c r="T8295" i="12"/>
  <c r="U8295" i="12"/>
  <c r="T8296" i="12"/>
  <c r="U8296" i="12"/>
  <c r="T8297" i="12"/>
  <c r="U8297" i="12"/>
  <c r="T8298" i="12"/>
  <c r="U8298" i="12"/>
  <c r="T8299" i="12"/>
  <c r="U8299" i="12"/>
  <c r="T8300" i="12"/>
  <c r="U8300" i="12"/>
  <c r="T8301" i="12"/>
  <c r="U8301" i="12"/>
  <c r="T8302" i="12"/>
  <c r="U8302" i="12"/>
  <c r="T8303" i="12"/>
  <c r="U8303" i="12"/>
  <c r="T8304" i="12"/>
  <c r="U8304" i="12"/>
  <c r="T8305" i="12"/>
  <c r="U8305" i="12"/>
  <c r="T8306" i="12"/>
  <c r="U8306" i="12"/>
  <c r="T8307" i="12"/>
  <c r="U8307" i="12"/>
  <c r="T8308" i="12"/>
  <c r="U8308" i="12"/>
  <c r="T8309" i="12"/>
  <c r="U8309" i="12"/>
  <c r="T8310" i="12"/>
  <c r="U8310" i="12"/>
  <c r="T8311" i="12"/>
  <c r="U8311" i="12"/>
  <c r="T8312" i="12"/>
  <c r="U8312" i="12"/>
  <c r="T8313" i="12"/>
  <c r="U8313" i="12"/>
  <c r="T8314" i="12"/>
  <c r="U8314" i="12"/>
  <c r="T8315" i="12"/>
  <c r="U8315" i="12"/>
  <c r="T8316" i="12"/>
  <c r="U8316" i="12"/>
  <c r="T8317" i="12"/>
  <c r="U8317" i="12"/>
  <c r="T8318" i="12"/>
  <c r="U8318" i="12"/>
  <c r="T8319" i="12"/>
  <c r="U8319" i="12"/>
  <c r="T8320" i="12"/>
  <c r="U8320" i="12"/>
  <c r="T8321" i="12"/>
  <c r="U8321" i="12"/>
  <c r="T8322" i="12"/>
  <c r="U8322" i="12"/>
  <c r="T8323" i="12"/>
  <c r="U8323" i="12"/>
  <c r="T8324" i="12"/>
  <c r="U8324" i="12"/>
  <c r="T8325" i="12"/>
  <c r="U8325" i="12"/>
  <c r="T8326" i="12"/>
  <c r="U8326" i="12"/>
  <c r="T8327" i="12"/>
  <c r="U8327" i="12"/>
  <c r="T8328" i="12"/>
  <c r="U8328" i="12"/>
  <c r="T8329" i="12"/>
  <c r="U8329" i="12"/>
  <c r="T8330" i="12"/>
  <c r="U8330" i="12"/>
  <c r="T8331" i="12"/>
  <c r="U8331" i="12"/>
  <c r="T8332" i="12"/>
  <c r="U8332" i="12"/>
  <c r="T8333" i="12"/>
  <c r="U8333" i="12"/>
  <c r="T8334" i="12"/>
  <c r="U8334" i="12"/>
  <c r="T8335" i="12"/>
  <c r="U8335" i="12"/>
  <c r="T8336" i="12"/>
  <c r="U8336" i="12"/>
  <c r="T8337" i="12"/>
  <c r="U8337" i="12"/>
  <c r="T8338" i="12"/>
  <c r="U8338" i="12"/>
  <c r="T8339" i="12"/>
  <c r="U8339" i="12"/>
  <c r="T8340" i="12"/>
  <c r="U8340" i="12"/>
  <c r="T8341" i="12"/>
  <c r="U8341" i="12"/>
  <c r="T8342" i="12"/>
  <c r="U8342" i="12"/>
  <c r="T8343" i="12"/>
  <c r="U8343" i="12"/>
  <c r="T8344" i="12"/>
  <c r="U8344" i="12"/>
  <c r="T8345" i="12"/>
  <c r="U8345" i="12"/>
  <c r="T8346" i="12"/>
  <c r="U8346" i="12"/>
  <c r="T8347" i="12"/>
  <c r="U8347" i="12"/>
  <c r="T8348" i="12"/>
  <c r="U8348" i="12"/>
  <c r="T8349" i="12"/>
  <c r="U8349" i="12"/>
  <c r="T8350" i="12"/>
  <c r="U8350" i="12"/>
  <c r="T8351" i="12"/>
  <c r="U8351" i="12"/>
  <c r="T8352" i="12"/>
  <c r="U8352" i="12"/>
  <c r="T8353" i="12"/>
  <c r="U8353" i="12"/>
  <c r="T8354" i="12"/>
  <c r="U8354" i="12"/>
  <c r="T8355" i="12"/>
  <c r="U8355" i="12"/>
  <c r="T8356" i="12"/>
  <c r="U8356" i="12"/>
  <c r="T8357" i="12"/>
  <c r="U8357" i="12"/>
  <c r="T8358" i="12"/>
  <c r="U8358" i="12"/>
  <c r="T8359" i="12"/>
  <c r="U8359" i="12"/>
  <c r="T8360" i="12"/>
  <c r="U8360" i="12"/>
  <c r="T8361" i="12"/>
  <c r="U8361" i="12"/>
  <c r="T8362" i="12"/>
  <c r="U8362" i="12"/>
  <c r="T8363" i="12"/>
  <c r="U8363" i="12"/>
  <c r="T8364" i="12"/>
  <c r="U8364" i="12"/>
  <c r="T8365" i="12"/>
  <c r="U8365" i="12"/>
  <c r="T8366" i="12"/>
  <c r="U8366" i="12"/>
  <c r="T8367" i="12"/>
  <c r="U8367" i="12"/>
  <c r="T8368" i="12"/>
  <c r="U8368" i="12"/>
  <c r="T8369" i="12"/>
  <c r="U8369" i="12"/>
  <c r="T8370" i="12"/>
  <c r="U8370" i="12"/>
  <c r="T8371" i="12"/>
  <c r="U8371" i="12"/>
  <c r="T8372" i="12"/>
  <c r="U8372" i="12"/>
  <c r="T8373" i="12"/>
  <c r="U8373" i="12"/>
  <c r="T8374" i="12"/>
  <c r="U8374" i="12"/>
  <c r="T8375" i="12"/>
  <c r="U8375" i="12"/>
  <c r="T8376" i="12"/>
  <c r="U8376" i="12"/>
  <c r="T8377" i="12"/>
  <c r="U8377" i="12"/>
  <c r="T8378" i="12"/>
  <c r="U8378" i="12"/>
  <c r="T8379" i="12"/>
  <c r="U8379" i="12"/>
  <c r="T8380" i="12"/>
  <c r="U8380" i="12"/>
  <c r="T8381" i="12"/>
  <c r="U8381" i="12"/>
  <c r="T8382" i="12"/>
  <c r="U8382" i="12"/>
  <c r="T8383" i="12"/>
  <c r="U8383" i="12"/>
  <c r="T8384" i="12"/>
  <c r="U8384" i="12"/>
  <c r="T8385" i="12"/>
  <c r="U8385" i="12"/>
  <c r="T8386" i="12"/>
  <c r="U8386" i="12"/>
  <c r="T8387" i="12"/>
  <c r="U8387" i="12"/>
  <c r="T8388" i="12"/>
  <c r="U8388" i="12"/>
  <c r="T8389" i="12"/>
  <c r="U8389" i="12"/>
  <c r="T8390" i="12"/>
  <c r="U8390" i="12"/>
  <c r="T8391" i="12"/>
  <c r="U8391" i="12"/>
  <c r="T8392" i="12"/>
  <c r="U8392" i="12"/>
  <c r="T8393" i="12"/>
  <c r="U8393" i="12"/>
  <c r="T8394" i="12"/>
  <c r="U8394" i="12"/>
  <c r="T8395" i="12"/>
  <c r="U8395" i="12"/>
  <c r="T8396" i="12"/>
  <c r="U8396" i="12"/>
  <c r="T8397" i="12"/>
  <c r="U8397" i="12"/>
  <c r="T8398" i="12"/>
  <c r="U8398" i="12"/>
  <c r="T8399" i="12"/>
  <c r="U8399" i="12"/>
  <c r="T8400" i="12"/>
  <c r="U8400" i="12"/>
  <c r="T8401" i="12"/>
  <c r="U8401" i="12"/>
  <c r="T8402" i="12"/>
  <c r="U8402" i="12"/>
  <c r="T8403" i="12"/>
  <c r="U8403" i="12"/>
  <c r="T8404" i="12"/>
  <c r="U8404" i="12"/>
  <c r="T8405" i="12"/>
  <c r="U8405" i="12"/>
  <c r="T8406" i="12"/>
  <c r="U8406" i="12"/>
  <c r="T8407" i="12"/>
  <c r="U8407" i="12"/>
  <c r="T8408" i="12"/>
  <c r="U8408" i="12"/>
  <c r="T8409" i="12"/>
  <c r="U8409" i="12"/>
  <c r="T8410" i="12"/>
  <c r="U8410" i="12"/>
  <c r="T8411" i="12"/>
  <c r="U8411" i="12"/>
  <c r="T8412" i="12"/>
  <c r="U8412" i="12"/>
  <c r="T8413" i="12"/>
  <c r="U8413" i="12"/>
  <c r="T8414" i="12"/>
  <c r="U8414" i="12"/>
  <c r="T8415" i="12"/>
  <c r="U8415" i="12"/>
  <c r="T8416" i="12"/>
  <c r="U8416" i="12"/>
  <c r="T8417" i="12"/>
  <c r="U8417" i="12"/>
  <c r="T8418" i="12"/>
  <c r="U8418" i="12"/>
  <c r="T8419" i="12"/>
  <c r="U8419" i="12"/>
  <c r="T8420" i="12"/>
  <c r="U8420" i="12"/>
  <c r="T8421" i="12"/>
  <c r="U8421" i="12"/>
  <c r="T8422" i="12"/>
  <c r="U8422" i="12"/>
  <c r="T8423" i="12"/>
  <c r="U8423" i="12"/>
  <c r="T8424" i="12"/>
  <c r="U8424" i="12"/>
  <c r="T8425" i="12"/>
  <c r="U8425" i="12"/>
  <c r="T8426" i="12"/>
  <c r="U8426" i="12"/>
  <c r="T8427" i="12"/>
  <c r="U8427" i="12"/>
  <c r="T8428" i="12"/>
  <c r="U8428" i="12"/>
  <c r="T8429" i="12"/>
  <c r="U8429" i="12"/>
  <c r="T8430" i="12"/>
  <c r="U8430" i="12"/>
  <c r="T8431" i="12"/>
  <c r="U8431" i="12"/>
  <c r="T8432" i="12"/>
  <c r="U8432" i="12"/>
  <c r="T8433" i="12"/>
  <c r="U8433" i="12"/>
  <c r="T8434" i="12"/>
  <c r="U8434" i="12"/>
  <c r="T8435" i="12"/>
  <c r="U8435" i="12"/>
  <c r="T8436" i="12"/>
  <c r="U8436" i="12"/>
  <c r="T8437" i="12"/>
  <c r="U8437" i="12"/>
  <c r="T8438" i="12"/>
  <c r="U8438" i="12"/>
  <c r="T8439" i="12"/>
  <c r="U8439" i="12"/>
  <c r="T8440" i="12"/>
  <c r="U8440" i="12"/>
  <c r="T8441" i="12"/>
  <c r="U8441" i="12"/>
  <c r="T8442" i="12"/>
  <c r="U8442" i="12"/>
  <c r="T8443" i="12"/>
  <c r="U8443" i="12"/>
  <c r="T8444" i="12"/>
  <c r="U8444" i="12"/>
  <c r="T8445" i="12"/>
  <c r="U8445" i="12"/>
  <c r="T8446" i="12"/>
  <c r="U8446" i="12"/>
  <c r="T8447" i="12"/>
  <c r="U8447" i="12"/>
  <c r="T8448" i="12"/>
  <c r="U8448" i="12"/>
  <c r="T8449" i="12"/>
  <c r="U8449" i="12"/>
  <c r="T8450" i="12"/>
  <c r="U8450" i="12"/>
  <c r="T8451" i="12"/>
  <c r="U8451" i="12"/>
  <c r="T8452" i="12"/>
  <c r="U8452" i="12"/>
  <c r="T8453" i="12"/>
  <c r="U8453" i="12"/>
  <c r="T8454" i="12"/>
  <c r="U8454" i="12"/>
  <c r="T8455" i="12"/>
  <c r="U8455" i="12"/>
  <c r="T8456" i="12"/>
  <c r="U8456" i="12"/>
  <c r="T8457" i="12"/>
  <c r="U8457" i="12"/>
  <c r="T8458" i="12"/>
  <c r="U8458" i="12"/>
  <c r="T8459" i="12"/>
  <c r="U8459" i="12"/>
  <c r="T8460" i="12"/>
  <c r="U8460" i="12"/>
  <c r="T8461" i="12"/>
  <c r="U8461" i="12"/>
  <c r="T8462" i="12"/>
  <c r="U8462" i="12"/>
  <c r="T8463" i="12"/>
  <c r="U8463" i="12"/>
  <c r="T8464" i="12"/>
  <c r="U8464" i="12"/>
  <c r="T8465" i="12"/>
  <c r="U8465" i="12"/>
  <c r="T8466" i="12"/>
  <c r="U8466" i="12"/>
  <c r="T8467" i="12"/>
  <c r="U8467" i="12"/>
  <c r="T8468" i="12"/>
  <c r="U8468" i="12"/>
  <c r="T8469" i="12"/>
  <c r="U8469" i="12"/>
  <c r="T8470" i="12"/>
  <c r="U8470" i="12"/>
  <c r="T8471" i="12"/>
  <c r="U8471" i="12"/>
  <c r="T8472" i="12"/>
  <c r="U8472" i="12"/>
  <c r="T8473" i="12"/>
  <c r="U8473" i="12"/>
  <c r="T8474" i="12"/>
  <c r="U8474" i="12"/>
  <c r="T8475" i="12"/>
  <c r="U8475" i="12"/>
  <c r="T8476" i="12"/>
  <c r="U8476" i="12"/>
  <c r="T8477" i="12"/>
  <c r="U8477" i="12"/>
  <c r="T8478" i="12"/>
  <c r="U8478" i="12"/>
  <c r="T8479" i="12"/>
  <c r="U8479" i="12"/>
  <c r="T8480" i="12"/>
  <c r="U8480" i="12"/>
  <c r="T8481" i="12"/>
  <c r="U8481" i="12"/>
  <c r="T8482" i="12"/>
  <c r="U8482" i="12"/>
  <c r="T8483" i="12"/>
  <c r="U8483" i="12"/>
  <c r="T8484" i="12"/>
  <c r="U8484" i="12"/>
  <c r="T8485" i="12"/>
  <c r="U8485" i="12"/>
  <c r="T8486" i="12"/>
  <c r="U8486" i="12"/>
  <c r="T8487" i="12"/>
  <c r="U8487" i="12"/>
  <c r="T8488" i="12"/>
  <c r="U8488" i="12"/>
  <c r="T8489" i="12"/>
  <c r="U8489" i="12"/>
  <c r="T8490" i="12"/>
  <c r="U8490" i="12"/>
  <c r="T8491" i="12"/>
  <c r="U8491" i="12"/>
  <c r="T8492" i="12"/>
  <c r="U8492" i="12"/>
  <c r="T8493" i="12"/>
  <c r="U8493" i="12"/>
  <c r="T8494" i="12"/>
  <c r="U8494" i="12"/>
  <c r="T8495" i="12"/>
  <c r="U8495" i="12"/>
  <c r="T8496" i="12"/>
  <c r="U8496" i="12"/>
  <c r="T8497" i="12"/>
  <c r="U8497" i="12"/>
  <c r="T8498" i="12"/>
  <c r="U8498" i="12"/>
  <c r="T8499" i="12"/>
  <c r="U8499" i="12"/>
  <c r="T8500" i="12"/>
  <c r="U8500" i="12"/>
  <c r="T8501" i="12"/>
  <c r="U8501" i="12"/>
  <c r="T8502" i="12"/>
  <c r="U8502" i="12"/>
  <c r="T8503" i="12"/>
  <c r="U8503" i="12"/>
  <c r="T8504" i="12"/>
  <c r="U8504" i="12"/>
  <c r="T8505" i="12"/>
  <c r="U8505" i="12"/>
  <c r="T8506" i="12"/>
  <c r="U8506" i="12"/>
  <c r="T8507" i="12"/>
  <c r="U8507" i="12"/>
  <c r="T8508" i="12"/>
  <c r="U8508" i="12"/>
  <c r="T8509" i="12"/>
  <c r="U8509" i="12"/>
  <c r="T8510" i="12"/>
  <c r="U8510" i="12"/>
  <c r="T8511" i="12"/>
  <c r="U8511" i="12"/>
  <c r="T8512" i="12"/>
  <c r="U8512" i="12"/>
  <c r="T8513" i="12"/>
  <c r="U8513" i="12"/>
  <c r="T8514" i="12"/>
  <c r="U8514" i="12"/>
  <c r="T8515" i="12"/>
  <c r="U8515" i="12"/>
  <c r="T8516" i="12"/>
  <c r="U8516" i="12"/>
  <c r="T8517" i="12"/>
  <c r="U8517" i="12"/>
  <c r="T8518" i="12"/>
  <c r="U8518" i="12"/>
  <c r="T8519" i="12"/>
  <c r="U8519" i="12"/>
  <c r="T8520" i="12"/>
  <c r="U8520" i="12"/>
  <c r="T8521" i="12"/>
  <c r="U8521" i="12"/>
  <c r="T8522" i="12"/>
  <c r="U8522" i="12"/>
  <c r="T8523" i="12"/>
  <c r="U8523" i="12"/>
  <c r="T8524" i="12"/>
  <c r="U8524" i="12"/>
  <c r="T8525" i="12"/>
  <c r="U8525" i="12"/>
  <c r="T8526" i="12"/>
  <c r="U8526" i="12"/>
  <c r="T8527" i="12"/>
  <c r="U8527" i="12"/>
  <c r="T8528" i="12"/>
  <c r="U8528" i="12"/>
  <c r="T8529" i="12"/>
  <c r="U8529" i="12"/>
  <c r="T8530" i="12"/>
  <c r="U8530" i="12"/>
  <c r="T8531" i="12"/>
  <c r="U8531" i="12"/>
  <c r="T8532" i="12"/>
  <c r="U8532" i="12"/>
  <c r="T8533" i="12"/>
  <c r="U8533" i="12"/>
  <c r="T8534" i="12"/>
  <c r="U8534" i="12"/>
  <c r="T8535" i="12"/>
  <c r="U8535" i="12"/>
  <c r="T8536" i="12"/>
  <c r="U8536" i="12"/>
  <c r="T8537" i="12"/>
  <c r="U8537" i="12"/>
  <c r="T8538" i="12"/>
  <c r="U8538" i="12"/>
  <c r="T8539" i="12"/>
  <c r="U8539" i="12"/>
  <c r="T8540" i="12"/>
  <c r="U8540" i="12"/>
  <c r="T8541" i="12"/>
  <c r="U8541" i="12"/>
  <c r="T8542" i="12"/>
  <c r="U8542" i="12"/>
  <c r="T8543" i="12"/>
  <c r="U8543" i="12"/>
  <c r="T8544" i="12"/>
  <c r="U8544" i="12"/>
  <c r="T8545" i="12"/>
  <c r="U8545" i="12"/>
  <c r="T8546" i="12"/>
  <c r="U8546" i="12"/>
  <c r="T8547" i="12"/>
  <c r="U8547" i="12"/>
  <c r="T8548" i="12"/>
  <c r="U8548" i="12"/>
  <c r="T8549" i="12"/>
  <c r="U8549" i="12"/>
  <c r="T8550" i="12"/>
  <c r="U8550" i="12"/>
  <c r="T8551" i="12"/>
  <c r="U8551" i="12"/>
  <c r="T8552" i="12"/>
  <c r="U8552" i="12"/>
  <c r="T8553" i="12"/>
  <c r="U8553" i="12"/>
  <c r="T8554" i="12"/>
  <c r="U8554" i="12"/>
  <c r="T8555" i="12"/>
  <c r="U8555" i="12"/>
  <c r="T8556" i="12"/>
  <c r="U8556" i="12"/>
  <c r="T8557" i="12"/>
  <c r="U8557" i="12"/>
  <c r="T8558" i="12"/>
  <c r="U8558" i="12"/>
  <c r="T8559" i="12"/>
  <c r="U8559" i="12"/>
  <c r="T8560" i="12"/>
  <c r="U8560" i="12"/>
  <c r="T8561" i="12"/>
  <c r="U8561" i="12"/>
  <c r="T8562" i="12"/>
  <c r="U8562" i="12"/>
  <c r="T8563" i="12"/>
  <c r="U8563" i="12"/>
  <c r="T8564" i="12"/>
  <c r="U8564" i="12"/>
  <c r="T8565" i="12"/>
  <c r="U8565" i="12"/>
  <c r="T8566" i="12"/>
  <c r="U8566" i="12"/>
  <c r="T8567" i="12"/>
  <c r="U8567" i="12"/>
  <c r="T8568" i="12"/>
  <c r="U8568" i="12"/>
  <c r="T8569" i="12"/>
  <c r="U8569" i="12"/>
  <c r="T8570" i="12"/>
  <c r="U8570" i="12"/>
  <c r="T8571" i="12"/>
  <c r="U8571" i="12"/>
  <c r="T8572" i="12"/>
  <c r="U8572" i="12"/>
  <c r="T8573" i="12"/>
  <c r="U8573" i="12"/>
  <c r="T8574" i="12"/>
  <c r="U8574" i="12"/>
  <c r="T8575" i="12"/>
  <c r="U8575" i="12"/>
  <c r="T8576" i="12"/>
  <c r="U8576" i="12"/>
  <c r="T8577" i="12"/>
  <c r="U8577" i="12"/>
  <c r="T8578" i="12"/>
  <c r="U8578" i="12"/>
  <c r="T8579" i="12"/>
  <c r="U8579" i="12"/>
  <c r="T8580" i="12"/>
  <c r="U8580" i="12"/>
  <c r="T8581" i="12"/>
  <c r="U8581" i="12"/>
  <c r="T8582" i="12"/>
  <c r="U8582" i="12"/>
  <c r="T8583" i="12"/>
  <c r="U8583" i="12"/>
  <c r="T8584" i="12"/>
  <c r="U8584" i="12"/>
  <c r="T8585" i="12"/>
  <c r="U8585" i="12"/>
  <c r="T8586" i="12"/>
  <c r="U8586" i="12"/>
  <c r="T8587" i="12"/>
  <c r="U8587" i="12"/>
  <c r="T8588" i="12"/>
  <c r="U8588" i="12"/>
  <c r="T8589" i="12"/>
  <c r="U8589" i="12"/>
  <c r="T8590" i="12"/>
  <c r="U8590" i="12"/>
  <c r="T8591" i="12"/>
  <c r="U8591" i="12"/>
  <c r="T8592" i="12"/>
  <c r="U8592" i="12"/>
  <c r="T8593" i="12"/>
  <c r="U8593" i="12"/>
  <c r="T8594" i="12"/>
  <c r="U8594" i="12"/>
  <c r="T8595" i="12"/>
  <c r="U8595" i="12"/>
  <c r="T8596" i="12"/>
  <c r="U8596" i="12"/>
  <c r="T8597" i="12"/>
  <c r="U8597" i="12"/>
  <c r="T8598" i="12"/>
  <c r="U8598" i="12"/>
  <c r="T8599" i="12"/>
  <c r="U8599" i="12"/>
  <c r="T8600" i="12"/>
  <c r="U8600" i="12"/>
  <c r="T8601" i="12"/>
  <c r="U8601" i="12"/>
  <c r="T8602" i="12"/>
  <c r="U8602" i="12"/>
  <c r="T8603" i="12"/>
  <c r="U8603" i="12"/>
  <c r="T8604" i="12"/>
  <c r="U8604" i="12"/>
  <c r="T8605" i="12"/>
  <c r="U8605" i="12"/>
  <c r="T8606" i="12"/>
  <c r="U8606" i="12"/>
  <c r="T8607" i="12"/>
  <c r="U8607" i="12"/>
  <c r="T8608" i="12"/>
  <c r="U8608" i="12"/>
  <c r="T8609" i="12"/>
  <c r="U8609" i="12"/>
  <c r="T8610" i="12"/>
  <c r="U8610" i="12"/>
  <c r="T8611" i="12"/>
  <c r="U8611" i="12"/>
  <c r="T8612" i="12"/>
  <c r="U8612" i="12"/>
  <c r="T8613" i="12"/>
  <c r="U8613" i="12"/>
  <c r="T8614" i="12"/>
  <c r="U8614" i="12"/>
  <c r="T8615" i="12"/>
  <c r="U8615" i="12"/>
  <c r="T8616" i="12"/>
  <c r="U8616" i="12"/>
  <c r="T8617" i="12"/>
  <c r="U8617" i="12"/>
  <c r="T8618" i="12"/>
  <c r="U8618" i="12"/>
  <c r="T8619" i="12"/>
  <c r="U8619" i="12"/>
  <c r="T8620" i="12"/>
  <c r="U8620" i="12"/>
  <c r="T8621" i="12"/>
  <c r="U8621" i="12"/>
  <c r="T8622" i="12"/>
  <c r="U8622" i="12"/>
  <c r="T8623" i="12"/>
  <c r="U8623" i="12"/>
  <c r="T8624" i="12"/>
  <c r="U8624" i="12"/>
  <c r="T8625" i="12"/>
  <c r="U8625" i="12"/>
  <c r="T8626" i="12"/>
  <c r="U8626" i="12"/>
  <c r="T8627" i="12"/>
  <c r="U8627" i="12"/>
  <c r="T8628" i="12"/>
  <c r="U8628" i="12"/>
  <c r="T8629" i="12"/>
  <c r="U8629" i="12"/>
  <c r="T8630" i="12"/>
  <c r="U8630" i="12"/>
  <c r="T8631" i="12"/>
  <c r="U8631" i="12"/>
  <c r="T8632" i="12"/>
  <c r="U8632" i="12"/>
  <c r="T8633" i="12"/>
  <c r="U8633" i="12"/>
  <c r="T8634" i="12"/>
  <c r="U8634" i="12"/>
  <c r="T8635" i="12"/>
  <c r="U8635" i="12"/>
  <c r="T8636" i="12"/>
  <c r="U8636" i="12"/>
  <c r="T8637" i="12"/>
  <c r="U8637" i="12"/>
  <c r="T8638" i="12"/>
  <c r="U8638" i="12"/>
  <c r="T8639" i="12"/>
  <c r="U8639" i="12"/>
  <c r="T8640" i="12"/>
  <c r="U8640" i="12"/>
  <c r="T8641" i="12"/>
  <c r="U8641" i="12"/>
  <c r="T8642" i="12"/>
  <c r="U8642" i="12"/>
  <c r="T8643" i="12"/>
  <c r="U8643" i="12"/>
  <c r="T8644" i="12"/>
  <c r="U8644" i="12"/>
  <c r="T8645" i="12"/>
  <c r="U8645" i="12"/>
  <c r="T8646" i="12"/>
  <c r="U8646" i="12"/>
  <c r="T8647" i="12"/>
  <c r="U8647" i="12"/>
  <c r="T8648" i="12"/>
  <c r="U8648" i="12"/>
  <c r="T8649" i="12"/>
  <c r="U8649" i="12"/>
  <c r="T8650" i="12"/>
  <c r="U8650" i="12"/>
  <c r="T8651" i="12"/>
  <c r="U8651" i="12"/>
  <c r="T8652" i="12"/>
  <c r="U8652" i="12"/>
  <c r="T8653" i="12"/>
  <c r="U8653" i="12"/>
  <c r="T8654" i="12"/>
  <c r="U8654" i="12"/>
  <c r="T8655" i="12"/>
  <c r="U8655" i="12"/>
  <c r="T8656" i="12"/>
  <c r="U8656" i="12"/>
  <c r="T8657" i="12"/>
  <c r="U8657" i="12"/>
  <c r="T8658" i="12"/>
  <c r="U8658" i="12"/>
  <c r="T8659" i="12"/>
  <c r="U8659" i="12"/>
  <c r="T8660" i="12"/>
  <c r="U8660" i="12"/>
  <c r="T8661" i="12"/>
  <c r="U8661" i="12"/>
  <c r="T8662" i="12"/>
  <c r="U8662" i="12"/>
  <c r="T8663" i="12"/>
  <c r="U8663" i="12"/>
  <c r="T8664" i="12"/>
  <c r="U8664" i="12"/>
  <c r="T8665" i="12"/>
  <c r="U8665" i="12"/>
  <c r="T8666" i="12"/>
  <c r="U8666" i="12"/>
  <c r="T8667" i="12"/>
  <c r="U8667" i="12"/>
  <c r="T8668" i="12"/>
  <c r="U8668" i="12"/>
  <c r="T8669" i="12"/>
  <c r="U8669" i="12"/>
  <c r="T8670" i="12"/>
  <c r="U8670" i="12"/>
  <c r="T8671" i="12"/>
  <c r="U8671" i="12"/>
  <c r="T8672" i="12"/>
  <c r="U8672" i="12"/>
  <c r="T8673" i="12"/>
  <c r="U8673" i="12"/>
  <c r="T8674" i="12"/>
  <c r="U8674" i="12"/>
  <c r="T8675" i="12"/>
  <c r="U8675" i="12"/>
  <c r="T8676" i="12"/>
  <c r="U8676" i="12"/>
  <c r="T8677" i="12"/>
  <c r="U8677" i="12"/>
  <c r="T8678" i="12"/>
  <c r="U8678" i="12"/>
  <c r="T8679" i="12"/>
  <c r="U8679" i="12"/>
  <c r="T8680" i="12"/>
  <c r="U8680" i="12"/>
  <c r="T8681" i="12"/>
  <c r="U8681" i="12"/>
  <c r="T8682" i="12"/>
  <c r="U8682" i="12"/>
  <c r="T8683" i="12"/>
  <c r="U8683" i="12"/>
  <c r="T8684" i="12"/>
  <c r="U8684" i="12"/>
  <c r="T8685" i="12"/>
  <c r="U8685" i="12"/>
  <c r="T8686" i="12"/>
  <c r="U8686" i="12"/>
  <c r="T8687" i="12"/>
  <c r="U8687" i="12"/>
  <c r="T8688" i="12"/>
  <c r="U8688" i="12"/>
  <c r="T8689" i="12"/>
  <c r="U8689" i="12"/>
  <c r="T8690" i="12"/>
  <c r="U8690" i="12"/>
  <c r="T8691" i="12"/>
  <c r="U8691" i="12"/>
  <c r="T8692" i="12"/>
  <c r="U8692" i="12"/>
  <c r="T8693" i="12"/>
  <c r="U8693" i="12"/>
  <c r="T8694" i="12"/>
  <c r="U8694" i="12"/>
  <c r="T8695" i="12"/>
  <c r="U8695" i="12"/>
  <c r="T8696" i="12"/>
  <c r="U8696" i="12"/>
  <c r="T8697" i="12"/>
  <c r="U8697" i="12"/>
  <c r="T8698" i="12"/>
  <c r="U8698" i="12"/>
  <c r="T8699" i="12"/>
  <c r="U8699" i="12"/>
  <c r="T8700" i="12"/>
  <c r="U8700" i="12"/>
  <c r="T8701" i="12"/>
  <c r="U8701" i="12"/>
  <c r="T8702" i="12"/>
  <c r="U8702" i="12"/>
  <c r="T8703" i="12"/>
  <c r="U8703" i="12"/>
  <c r="T8704" i="12"/>
  <c r="U8704" i="12"/>
  <c r="T8705" i="12"/>
  <c r="U8705" i="12"/>
  <c r="T8706" i="12"/>
  <c r="U8706" i="12"/>
  <c r="T8707" i="12"/>
  <c r="U8707" i="12"/>
  <c r="T8708" i="12"/>
  <c r="U8708" i="12"/>
  <c r="T8709" i="12"/>
  <c r="U8709" i="12"/>
  <c r="T8710" i="12"/>
  <c r="U8710" i="12"/>
  <c r="T8711" i="12"/>
  <c r="U8711" i="12"/>
  <c r="T8712" i="12"/>
  <c r="U8712" i="12"/>
  <c r="T8713" i="12"/>
  <c r="U8713" i="12"/>
  <c r="T8714" i="12"/>
  <c r="U8714" i="12"/>
  <c r="T8715" i="12"/>
  <c r="U8715" i="12"/>
  <c r="T8716" i="12"/>
  <c r="U8716" i="12"/>
  <c r="T8717" i="12"/>
  <c r="U8717" i="12"/>
  <c r="T8718" i="12"/>
  <c r="U8718" i="12"/>
  <c r="T8719" i="12"/>
  <c r="U8719" i="12"/>
  <c r="T8720" i="12"/>
  <c r="U8720" i="12"/>
  <c r="T8721" i="12"/>
  <c r="U8721" i="12"/>
  <c r="T8722" i="12"/>
  <c r="U8722" i="12"/>
  <c r="T8723" i="12"/>
  <c r="U8723" i="12"/>
  <c r="T8724" i="12"/>
  <c r="U8724" i="12"/>
  <c r="T8725" i="12"/>
  <c r="U8725" i="12"/>
  <c r="T8726" i="12"/>
  <c r="U8726" i="12"/>
  <c r="T8727" i="12"/>
  <c r="U8727" i="12"/>
  <c r="T8728" i="12"/>
  <c r="U8728" i="12"/>
  <c r="T8729" i="12"/>
  <c r="U8729" i="12"/>
  <c r="T8730" i="12"/>
  <c r="U8730" i="12"/>
  <c r="T8731" i="12"/>
  <c r="U8731" i="12"/>
  <c r="T8732" i="12"/>
  <c r="U8732" i="12"/>
  <c r="T8733" i="12"/>
  <c r="U8733" i="12"/>
  <c r="T8734" i="12"/>
  <c r="U8734" i="12"/>
  <c r="T8735" i="12"/>
  <c r="U8735" i="12"/>
  <c r="T8736" i="12"/>
  <c r="U8736" i="12"/>
  <c r="T8737" i="12"/>
  <c r="U8737" i="12"/>
  <c r="T8738" i="12"/>
  <c r="U8738" i="12"/>
  <c r="T8739" i="12"/>
  <c r="U8739" i="12"/>
  <c r="T8740" i="12"/>
  <c r="U8740" i="12"/>
  <c r="T8741" i="12"/>
  <c r="U8741" i="12"/>
  <c r="T8742" i="12"/>
  <c r="U8742" i="12"/>
  <c r="T8743" i="12"/>
  <c r="U8743" i="12"/>
  <c r="T8744" i="12"/>
  <c r="U8744" i="12"/>
  <c r="T8745" i="12"/>
  <c r="U8745" i="12"/>
  <c r="T8746" i="12"/>
  <c r="U8746" i="12"/>
  <c r="T8747" i="12"/>
  <c r="U8747" i="12"/>
  <c r="T8748" i="12"/>
  <c r="U8748" i="12"/>
  <c r="T8749" i="12"/>
  <c r="U8749" i="12"/>
  <c r="T8750" i="12"/>
  <c r="U8750" i="12"/>
  <c r="T8751" i="12"/>
  <c r="U8751" i="12"/>
  <c r="T8752" i="12"/>
  <c r="U8752" i="12"/>
  <c r="T8753" i="12"/>
  <c r="U8753" i="12"/>
  <c r="T8754" i="12"/>
  <c r="U8754" i="12"/>
  <c r="T8755" i="12"/>
  <c r="U8755" i="12"/>
  <c r="T8756" i="12"/>
  <c r="U8756" i="12"/>
  <c r="T8757" i="12"/>
  <c r="U8757" i="12"/>
  <c r="T8758" i="12"/>
  <c r="U8758" i="12"/>
  <c r="T8759" i="12"/>
  <c r="U8759" i="12"/>
  <c r="T8760" i="12"/>
  <c r="U8760" i="12"/>
  <c r="T8761" i="12"/>
  <c r="U8761" i="12"/>
  <c r="T8762" i="12"/>
  <c r="U8762" i="12"/>
  <c r="T8763" i="12"/>
  <c r="U8763" i="12"/>
  <c r="T8764" i="12"/>
  <c r="U8764" i="12"/>
  <c r="T8765" i="12"/>
  <c r="U8765" i="12"/>
  <c r="T8766" i="12"/>
  <c r="U8766" i="12"/>
  <c r="T8767" i="12"/>
  <c r="U8767" i="12"/>
  <c r="T8768" i="12"/>
  <c r="U8768" i="12"/>
  <c r="T8769" i="12"/>
  <c r="U8769" i="12"/>
  <c r="T8770" i="12"/>
  <c r="U8770" i="12"/>
  <c r="T8771" i="12"/>
  <c r="U8771" i="12"/>
  <c r="T8772" i="12"/>
  <c r="U8772" i="12"/>
  <c r="T8773" i="12"/>
  <c r="U8773" i="12"/>
  <c r="T8774" i="12"/>
  <c r="U8774" i="12"/>
  <c r="T8775" i="12"/>
  <c r="U8775" i="12"/>
  <c r="T8776" i="12"/>
  <c r="U8776" i="12"/>
  <c r="T8777" i="12"/>
  <c r="U8777" i="12"/>
  <c r="T8778" i="12"/>
  <c r="U8778" i="12"/>
  <c r="T8779" i="12"/>
  <c r="U8779" i="12"/>
  <c r="T8780" i="12"/>
  <c r="U8780" i="12"/>
  <c r="T8781" i="12"/>
  <c r="U8781" i="12"/>
  <c r="T8782" i="12"/>
  <c r="U8782" i="12"/>
  <c r="T8783" i="12"/>
  <c r="U8783" i="12"/>
  <c r="T8784" i="12"/>
  <c r="U8784" i="12"/>
  <c r="T8785" i="12"/>
  <c r="U8785" i="12"/>
  <c r="T8786" i="12"/>
  <c r="U8786" i="12"/>
  <c r="T8787" i="12"/>
  <c r="U8787" i="12"/>
  <c r="T8788" i="12"/>
  <c r="U8788" i="12"/>
  <c r="T8789" i="12"/>
  <c r="U8789" i="12"/>
  <c r="T8790" i="12"/>
  <c r="U8790" i="12"/>
  <c r="T8791" i="12"/>
  <c r="U8791" i="12"/>
  <c r="T8792" i="12"/>
  <c r="U8792" i="12"/>
  <c r="T8793" i="12"/>
  <c r="U8793" i="12"/>
  <c r="T8794" i="12"/>
  <c r="U8794" i="12"/>
  <c r="T8795" i="12"/>
  <c r="U8795" i="12"/>
  <c r="T8796" i="12"/>
  <c r="U8796" i="12"/>
  <c r="T8797" i="12"/>
  <c r="U8797" i="12"/>
  <c r="T8798" i="12"/>
  <c r="U8798" i="12"/>
  <c r="T8799" i="12"/>
  <c r="U8799" i="12"/>
  <c r="T8800" i="12"/>
  <c r="U8800" i="12"/>
  <c r="T8801" i="12"/>
  <c r="U8801" i="12"/>
  <c r="T8802" i="12"/>
  <c r="U8802" i="12"/>
  <c r="T8803" i="12"/>
  <c r="U8803" i="12"/>
  <c r="T8804" i="12"/>
  <c r="U8804" i="12"/>
  <c r="T8805" i="12"/>
  <c r="U8805" i="12"/>
  <c r="T8806" i="12"/>
  <c r="U8806" i="12"/>
  <c r="T8807" i="12"/>
  <c r="U8807" i="12"/>
  <c r="T8808" i="12"/>
  <c r="U8808" i="12"/>
  <c r="T8809" i="12"/>
  <c r="U8809" i="12"/>
  <c r="T8810" i="12"/>
  <c r="U8810" i="12"/>
  <c r="T8811" i="12"/>
  <c r="U8811" i="12"/>
  <c r="T8812" i="12"/>
  <c r="U8812" i="12"/>
  <c r="T8813" i="12"/>
  <c r="U8813" i="12"/>
  <c r="T8814" i="12"/>
  <c r="U8814" i="12"/>
  <c r="T8815" i="12"/>
  <c r="U8815" i="12"/>
  <c r="T8816" i="12"/>
  <c r="U8816" i="12"/>
  <c r="T8817" i="12"/>
  <c r="U8817" i="12"/>
  <c r="T8818" i="12"/>
  <c r="U8818" i="12"/>
  <c r="T8819" i="12"/>
  <c r="U8819" i="12"/>
  <c r="T8820" i="12"/>
  <c r="U8820" i="12"/>
  <c r="T8821" i="12"/>
  <c r="U8821" i="12"/>
  <c r="T8822" i="12"/>
  <c r="U8822" i="12"/>
  <c r="T8823" i="12"/>
  <c r="U8823" i="12"/>
  <c r="T8824" i="12"/>
  <c r="U8824" i="12"/>
  <c r="T8825" i="12"/>
  <c r="U8825" i="12"/>
  <c r="T8826" i="12"/>
  <c r="U8826" i="12"/>
  <c r="T8827" i="12"/>
  <c r="U8827" i="12"/>
  <c r="T8828" i="12"/>
  <c r="U8828" i="12"/>
  <c r="T8829" i="12"/>
  <c r="U8829" i="12"/>
  <c r="T8830" i="12"/>
  <c r="U8830" i="12"/>
  <c r="T8831" i="12"/>
  <c r="U8831" i="12"/>
  <c r="T8832" i="12"/>
  <c r="U8832" i="12"/>
  <c r="T8833" i="12"/>
  <c r="U8833" i="12"/>
  <c r="T8834" i="12"/>
  <c r="U8834" i="12"/>
  <c r="T8835" i="12"/>
  <c r="U8835" i="12"/>
  <c r="T8836" i="12"/>
  <c r="U8836" i="12"/>
  <c r="T8837" i="12"/>
  <c r="U8837" i="12"/>
  <c r="T8838" i="12"/>
  <c r="U8838" i="12"/>
  <c r="T8839" i="12"/>
  <c r="U8839" i="12"/>
  <c r="T8840" i="12"/>
  <c r="U8840" i="12"/>
  <c r="T8841" i="12"/>
  <c r="U8841" i="12"/>
  <c r="T8842" i="12"/>
  <c r="U8842" i="12"/>
  <c r="T8843" i="12"/>
  <c r="U8843" i="12"/>
  <c r="T8844" i="12"/>
  <c r="U8844" i="12"/>
  <c r="T8845" i="12"/>
  <c r="U8845" i="12"/>
  <c r="T8846" i="12"/>
  <c r="U8846" i="12"/>
  <c r="T8847" i="12"/>
  <c r="U8847" i="12"/>
  <c r="T8848" i="12"/>
  <c r="U8848" i="12"/>
  <c r="T8849" i="12"/>
  <c r="U8849" i="12"/>
  <c r="T8850" i="12"/>
  <c r="U8850" i="12"/>
  <c r="T8851" i="12"/>
  <c r="U8851" i="12"/>
  <c r="T8852" i="12"/>
  <c r="U8852" i="12"/>
  <c r="T8853" i="12"/>
  <c r="U8853" i="12"/>
  <c r="T8854" i="12"/>
  <c r="U8854" i="12"/>
  <c r="T8855" i="12"/>
  <c r="U8855" i="12"/>
  <c r="T8856" i="12"/>
  <c r="U8856" i="12"/>
  <c r="T8857" i="12"/>
  <c r="U8857" i="12"/>
  <c r="T8858" i="12"/>
  <c r="U8858" i="12"/>
  <c r="T8859" i="12"/>
  <c r="U8859" i="12"/>
  <c r="T8860" i="12"/>
  <c r="U8860" i="12"/>
  <c r="T8861" i="12"/>
  <c r="U8861" i="12"/>
  <c r="T8862" i="12"/>
  <c r="U8862" i="12"/>
  <c r="T8863" i="12"/>
  <c r="U8863" i="12"/>
  <c r="T8864" i="12"/>
  <c r="U8864" i="12"/>
  <c r="T8865" i="12"/>
  <c r="U8865" i="12"/>
  <c r="T8866" i="12"/>
  <c r="U8866" i="12"/>
  <c r="T8867" i="12"/>
  <c r="U8867" i="12"/>
  <c r="T8868" i="12"/>
  <c r="U8868" i="12"/>
  <c r="T8869" i="12"/>
  <c r="U8869" i="12"/>
  <c r="T8870" i="12"/>
  <c r="U8870" i="12"/>
  <c r="T8871" i="12"/>
  <c r="U8871" i="12"/>
  <c r="T8872" i="12"/>
  <c r="U8872" i="12"/>
  <c r="T8873" i="12"/>
  <c r="U8873" i="12"/>
  <c r="T8874" i="12"/>
  <c r="U8874" i="12"/>
  <c r="T8875" i="12"/>
  <c r="U8875" i="12"/>
  <c r="T8876" i="12"/>
  <c r="U8876" i="12"/>
  <c r="T8877" i="12"/>
  <c r="U8877" i="12"/>
  <c r="T8878" i="12"/>
  <c r="U8878" i="12"/>
  <c r="T8879" i="12"/>
  <c r="U8879" i="12"/>
  <c r="T8880" i="12"/>
  <c r="U8880" i="12"/>
  <c r="T8881" i="12"/>
  <c r="U8881" i="12"/>
  <c r="T8882" i="12"/>
  <c r="U8882" i="12"/>
  <c r="T8883" i="12"/>
  <c r="U8883" i="12"/>
  <c r="T8884" i="12"/>
  <c r="U8884" i="12"/>
  <c r="T8885" i="12"/>
  <c r="U8885" i="12"/>
  <c r="T8886" i="12"/>
  <c r="U8886" i="12"/>
  <c r="T8887" i="12"/>
  <c r="U8887" i="12"/>
  <c r="T8888" i="12"/>
  <c r="U8888" i="12"/>
  <c r="T8889" i="12"/>
  <c r="U8889" i="12"/>
  <c r="T8890" i="12"/>
  <c r="U8890" i="12"/>
  <c r="T8891" i="12"/>
  <c r="U8891" i="12"/>
  <c r="T8892" i="12"/>
  <c r="U8892" i="12"/>
  <c r="T8893" i="12"/>
  <c r="U8893" i="12"/>
  <c r="T8894" i="12"/>
  <c r="U8894" i="12"/>
  <c r="T8895" i="12"/>
  <c r="U8895" i="12"/>
  <c r="T8896" i="12"/>
  <c r="U8896" i="12"/>
  <c r="T8897" i="12"/>
  <c r="U8897" i="12"/>
  <c r="T8898" i="12"/>
  <c r="U8898" i="12"/>
  <c r="T8899" i="12"/>
  <c r="U8899" i="12"/>
  <c r="T8900" i="12"/>
  <c r="U8900" i="12"/>
  <c r="T8901" i="12"/>
  <c r="U8901" i="12"/>
  <c r="T8902" i="12"/>
  <c r="U8902" i="12"/>
  <c r="T8903" i="12"/>
  <c r="U8903" i="12"/>
  <c r="T8904" i="12"/>
  <c r="U8904" i="12"/>
  <c r="T8905" i="12"/>
  <c r="U8905" i="12"/>
  <c r="T8906" i="12"/>
  <c r="U8906" i="12"/>
  <c r="T8907" i="12"/>
  <c r="U8907" i="12"/>
  <c r="T8908" i="12"/>
  <c r="U8908" i="12"/>
  <c r="T8909" i="12"/>
  <c r="U8909" i="12"/>
  <c r="T8910" i="12"/>
  <c r="U8910" i="12"/>
  <c r="T8911" i="12"/>
  <c r="U8911" i="12"/>
  <c r="T8912" i="12"/>
  <c r="U8912" i="12"/>
  <c r="T8913" i="12"/>
  <c r="U8913" i="12"/>
  <c r="T8914" i="12"/>
  <c r="U8914" i="12"/>
  <c r="T8915" i="12"/>
  <c r="U8915" i="12"/>
  <c r="T8916" i="12"/>
  <c r="U8916" i="12"/>
  <c r="T8917" i="12"/>
  <c r="U8917" i="12"/>
  <c r="T8918" i="12"/>
  <c r="U8918" i="12"/>
  <c r="T8919" i="12"/>
  <c r="U8919" i="12"/>
  <c r="T8920" i="12"/>
  <c r="U8920" i="12"/>
  <c r="T8921" i="12"/>
  <c r="U8921" i="12"/>
  <c r="T8922" i="12"/>
  <c r="U8922" i="12"/>
  <c r="T8923" i="12"/>
  <c r="U8923" i="12"/>
  <c r="T8924" i="12"/>
  <c r="U8924" i="12"/>
  <c r="T8925" i="12"/>
  <c r="U8925" i="12"/>
  <c r="T8926" i="12"/>
  <c r="U8926" i="12"/>
  <c r="T8927" i="12"/>
  <c r="U8927" i="12"/>
  <c r="T8928" i="12"/>
  <c r="U8928" i="12"/>
  <c r="T8929" i="12"/>
  <c r="U8929" i="12"/>
  <c r="T8930" i="12"/>
  <c r="U8930" i="12"/>
  <c r="T8931" i="12"/>
  <c r="U8931" i="12"/>
  <c r="T8932" i="12"/>
  <c r="U8932" i="12"/>
  <c r="T8933" i="12"/>
  <c r="U8933" i="12"/>
  <c r="T8934" i="12"/>
  <c r="U8934" i="12"/>
  <c r="T8935" i="12"/>
  <c r="U8935" i="12"/>
  <c r="T8936" i="12"/>
  <c r="U8936" i="12"/>
  <c r="T8937" i="12"/>
  <c r="U8937" i="12"/>
  <c r="T8938" i="12"/>
  <c r="U8938" i="12"/>
  <c r="T8939" i="12"/>
  <c r="U8939" i="12"/>
  <c r="T8940" i="12"/>
  <c r="U8940" i="12"/>
  <c r="T8941" i="12"/>
  <c r="U8941" i="12"/>
  <c r="T8942" i="12"/>
  <c r="U8942" i="12"/>
  <c r="T8943" i="12"/>
  <c r="U8943" i="12"/>
  <c r="T8944" i="12"/>
  <c r="U8944" i="12"/>
  <c r="T8945" i="12"/>
  <c r="U8945" i="12"/>
  <c r="T8946" i="12"/>
  <c r="U8946" i="12"/>
  <c r="T8947" i="12"/>
  <c r="U8947" i="12"/>
  <c r="T8948" i="12"/>
  <c r="U8948" i="12"/>
  <c r="T8949" i="12"/>
  <c r="U8949" i="12"/>
  <c r="T8950" i="12"/>
  <c r="U8950" i="12"/>
  <c r="T8951" i="12"/>
  <c r="U8951" i="12"/>
  <c r="T8952" i="12"/>
  <c r="U8952" i="12"/>
  <c r="T8953" i="12"/>
  <c r="U8953" i="12"/>
  <c r="T8954" i="12"/>
  <c r="U8954" i="12"/>
  <c r="T8955" i="12"/>
  <c r="U8955" i="12"/>
  <c r="T8956" i="12"/>
  <c r="U8956" i="12"/>
  <c r="T8957" i="12"/>
  <c r="U8957" i="12"/>
  <c r="T8958" i="12"/>
  <c r="U8958" i="12"/>
  <c r="T8959" i="12"/>
  <c r="U8959" i="12"/>
  <c r="T8960" i="12"/>
  <c r="U8960" i="12"/>
  <c r="T8961" i="12"/>
  <c r="U8961" i="12"/>
  <c r="T8962" i="12"/>
  <c r="U8962" i="12"/>
  <c r="T8963" i="12"/>
  <c r="U8963" i="12"/>
  <c r="T8964" i="12"/>
  <c r="U8964" i="12"/>
  <c r="T8965" i="12"/>
  <c r="U8965" i="12"/>
  <c r="T8966" i="12"/>
  <c r="U8966" i="12"/>
  <c r="T8967" i="12"/>
  <c r="U8967" i="12"/>
  <c r="T8968" i="12"/>
  <c r="U8968" i="12"/>
  <c r="T8969" i="12"/>
  <c r="U8969" i="12"/>
  <c r="T8970" i="12"/>
  <c r="U8970" i="12"/>
  <c r="T8971" i="12"/>
  <c r="U8971" i="12"/>
  <c r="T8972" i="12"/>
  <c r="U8972" i="12"/>
  <c r="T8973" i="12"/>
  <c r="U8973" i="12"/>
  <c r="T8974" i="12"/>
  <c r="U8974" i="12"/>
  <c r="T8975" i="12"/>
  <c r="U8975" i="12"/>
  <c r="T8976" i="12"/>
  <c r="U8976" i="12"/>
  <c r="T8977" i="12"/>
  <c r="U8977" i="12"/>
  <c r="T8978" i="12"/>
  <c r="U8978" i="12"/>
  <c r="T8979" i="12"/>
  <c r="U8979" i="12"/>
  <c r="T8980" i="12"/>
  <c r="U8980" i="12"/>
  <c r="T8981" i="12"/>
  <c r="U8981" i="12"/>
  <c r="T8982" i="12"/>
  <c r="U8982" i="12"/>
  <c r="T8983" i="12"/>
  <c r="U8983" i="12"/>
  <c r="T8984" i="12"/>
  <c r="U8984" i="12"/>
  <c r="T8985" i="12"/>
  <c r="U8985" i="12"/>
  <c r="T8986" i="12"/>
  <c r="U8986" i="12"/>
  <c r="T8987" i="12"/>
  <c r="U8987" i="12"/>
  <c r="T8988" i="12"/>
  <c r="U8988" i="12"/>
  <c r="T8989" i="12"/>
  <c r="U8989" i="12"/>
  <c r="T8990" i="12"/>
  <c r="U8990" i="12"/>
  <c r="T8991" i="12"/>
  <c r="U8991" i="12"/>
  <c r="T8992" i="12"/>
  <c r="U8992" i="12"/>
  <c r="T8993" i="12"/>
  <c r="U8993" i="12"/>
  <c r="T8994" i="12"/>
  <c r="U8994" i="12"/>
  <c r="T8995" i="12"/>
  <c r="U8995" i="12"/>
  <c r="T8996" i="12"/>
  <c r="U8996" i="12"/>
  <c r="T8997" i="12"/>
  <c r="U8997" i="12"/>
  <c r="T8998" i="12"/>
  <c r="U8998" i="12"/>
  <c r="T8999" i="12"/>
  <c r="U8999" i="12"/>
  <c r="T9000" i="12"/>
  <c r="U9000" i="12"/>
  <c r="T9001" i="12"/>
  <c r="U9001" i="12"/>
  <c r="T9002" i="12"/>
  <c r="U9002" i="12"/>
  <c r="T9003" i="12"/>
  <c r="U9003" i="12"/>
  <c r="T9004" i="12"/>
  <c r="U9004" i="12"/>
  <c r="T9005" i="12"/>
  <c r="U9005" i="12"/>
  <c r="T9006" i="12"/>
  <c r="U9006" i="12"/>
  <c r="T9007" i="12"/>
  <c r="U9007" i="12"/>
  <c r="T9008" i="12"/>
  <c r="U9008" i="12"/>
  <c r="T9009" i="12"/>
  <c r="U9009" i="12"/>
  <c r="T9010" i="12"/>
  <c r="U9010" i="12"/>
  <c r="T9011" i="12"/>
  <c r="U9011" i="12"/>
  <c r="T9012" i="12"/>
  <c r="U9012" i="12"/>
  <c r="T9013" i="12"/>
  <c r="U9013" i="12"/>
  <c r="T9014" i="12"/>
  <c r="U9014" i="12"/>
  <c r="T9015" i="12"/>
  <c r="U9015" i="12"/>
  <c r="T9016" i="12"/>
  <c r="U9016" i="12"/>
  <c r="T9017" i="12"/>
  <c r="U9017" i="12"/>
  <c r="T9018" i="12"/>
  <c r="U9018" i="12"/>
  <c r="T9019" i="12"/>
  <c r="U9019" i="12"/>
  <c r="T9020" i="12"/>
  <c r="U9020" i="12"/>
  <c r="T9021" i="12"/>
  <c r="U9021" i="12"/>
  <c r="T9022" i="12"/>
  <c r="U9022" i="12"/>
  <c r="T9023" i="12"/>
  <c r="U9023" i="12"/>
  <c r="T9024" i="12"/>
  <c r="U9024" i="12"/>
  <c r="T9025" i="12"/>
  <c r="U9025" i="12"/>
  <c r="T9026" i="12"/>
  <c r="U9026" i="12"/>
  <c r="T9027" i="12"/>
  <c r="U9027" i="12"/>
  <c r="T9028" i="12"/>
  <c r="U9028" i="12"/>
  <c r="T9029" i="12"/>
  <c r="U9029" i="12"/>
  <c r="T9030" i="12"/>
  <c r="U9030" i="12"/>
  <c r="T9031" i="12"/>
  <c r="U9031" i="12"/>
  <c r="T9032" i="12"/>
  <c r="U9032" i="12"/>
  <c r="T9033" i="12"/>
  <c r="U9033" i="12"/>
  <c r="T9034" i="12"/>
  <c r="U9034" i="12"/>
  <c r="T9035" i="12"/>
  <c r="U9035" i="12"/>
  <c r="T9036" i="12"/>
  <c r="U9036" i="12"/>
  <c r="T9037" i="12"/>
  <c r="U9037" i="12"/>
  <c r="T9038" i="12"/>
  <c r="U9038" i="12"/>
  <c r="T9039" i="12"/>
  <c r="U9039" i="12"/>
  <c r="T9040" i="12"/>
  <c r="U9040" i="12"/>
  <c r="T9041" i="12"/>
  <c r="U9041" i="12"/>
  <c r="T9042" i="12"/>
  <c r="U9042" i="12"/>
  <c r="T9043" i="12"/>
  <c r="U9043" i="12"/>
  <c r="T9044" i="12"/>
  <c r="U9044" i="12"/>
  <c r="T9045" i="12"/>
  <c r="U9045" i="12"/>
  <c r="T9046" i="12"/>
  <c r="U9046" i="12"/>
  <c r="T9047" i="12"/>
  <c r="U9047" i="12"/>
  <c r="T9048" i="12"/>
  <c r="U9048" i="12"/>
  <c r="T9049" i="12"/>
  <c r="U9049" i="12"/>
  <c r="T9050" i="12"/>
  <c r="U9050" i="12"/>
  <c r="T9051" i="12"/>
  <c r="U9051" i="12"/>
  <c r="T9052" i="12"/>
  <c r="U9052" i="12"/>
  <c r="T9053" i="12"/>
  <c r="U9053" i="12"/>
  <c r="T9054" i="12"/>
  <c r="U9054" i="12"/>
  <c r="T9055" i="12"/>
  <c r="U9055" i="12"/>
  <c r="T9056" i="12"/>
  <c r="U9056" i="12"/>
  <c r="T9057" i="12"/>
  <c r="U9057" i="12"/>
  <c r="T9058" i="12"/>
  <c r="U9058" i="12"/>
  <c r="T9059" i="12"/>
  <c r="U9059" i="12"/>
  <c r="T9060" i="12"/>
  <c r="U9060" i="12"/>
  <c r="T9061" i="12"/>
  <c r="U9061" i="12"/>
  <c r="T9062" i="12"/>
  <c r="U9062" i="12"/>
  <c r="T9063" i="12"/>
  <c r="U9063" i="12"/>
  <c r="T9064" i="12"/>
  <c r="U9064" i="12"/>
  <c r="T9065" i="12"/>
  <c r="U9065" i="12"/>
  <c r="T9066" i="12"/>
  <c r="U9066" i="12"/>
  <c r="T9067" i="12"/>
  <c r="U9067" i="12"/>
  <c r="T9068" i="12"/>
  <c r="U9068" i="12"/>
  <c r="T9069" i="12"/>
  <c r="U9069" i="12"/>
  <c r="T9070" i="12"/>
  <c r="U9070" i="12"/>
  <c r="T9071" i="12"/>
  <c r="U9071" i="12"/>
  <c r="T9072" i="12"/>
  <c r="U9072" i="12"/>
  <c r="T9073" i="12"/>
  <c r="U9073" i="12"/>
  <c r="T9074" i="12"/>
  <c r="U9074" i="12"/>
  <c r="T9075" i="12"/>
  <c r="U9075" i="12"/>
  <c r="T9076" i="12"/>
  <c r="U9076" i="12"/>
  <c r="T9077" i="12"/>
  <c r="U9077" i="12"/>
  <c r="T9078" i="12"/>
  <c r="U9078" i="12"/>
  <c r="T9079" i="12"/>
  <c r="U9079" i="12"/>
  <c r="T9080" i="12"/>
  <c r="U9080" i="12"/>
  <c r="T9081" i="12"/>
  <c r="U9081" i="12"/>
  <c r="T9082" i="12"/>
  <c r="U9082" i="12"/>
  <c r="T9083" i="12"/>
  <c r="U9083" i="12"/>
  <c r="T9084" i="12"/>
  <c r="U9084" i="12"/>
  <c r="T9085" i="12"/>
  <c r="U9085" i="12"/>
  <c r="T9086" i="12"/>
  <c r="U9086" i="12"/>
  <c r="T9087" i="12"/>
  <c r="U9087" i="12"/>
  <c r="T9088" i="12"/>
  <c r="U9088" i="12"/>
  <c r="T9089" i="12"/>
  <c r="U9089" i="12"/>
  <c r="T9090" i="12"/>
  <c r="U9090" i="12"/>
  <c r="T9091" i="12"/>
  <c r="U9091" i="12"/>
  <c r="T9092" i="12"/>
  <c r="U9092" i="12"/>
  <c r="T9093" i="12"/>
  <c r="U9093" i="12"/>
  <c r="T9094" i="12"/>
  <c r="U9094" i="12"/>
  <c r="T9095" i="12"/>
  <c r="U9095" i="12"/>
  <c r="T9096" i="12"/>
  <c r="U9096" i="12"/>
  <c r="T9097" i="12"/>
  <c r="U9097" i="12"/>
  <c r="T9098" i="12"/>
  <c r="U9098" i="12"/>
  <c r="T9099" i="12"/>
  <c r="U9099" i="12"/>
  <c r="T9100" i="12"/>
  <c r="U9100" i="12"/>
  <c r="T9101" i="12"/>
  <c r="U9101" i="12"/>
  <c r="T9102" i="12"/>
  <c r="U9102" i="12"/>
  <c r="T9103" i="12"/>
  <c r="U9103" i="12"/>
  <c r="T9104" i="12"/>
  <c r="U9104" i="12"/>
  <c r="T9105" i="12"/>
  <c r="U9105" i="12"/>
  <c r="T9106" i="12"/>
  <c r="U9106" i="12"/>
  <c r="T9107" i="12"/>
  <c r="U9107" i="12"/>
  <c r="T9108" i="12"/>
  <c r="U9108" i="12"/>
  <c r="T9109" i="12"/>
  <c r="U9109" i="12"/>
  <c r="T9110" i="12"/>
  <c r="U9110" i="12"/>
  <c r="T9111" i="12"/>
  <c r="U9111" i="12"/>
  <c r="T9112" i="12"/>
  <c r="U9112" i="12"/>
  <c r="T9113" i="12"/>
  <c r="U9113" i="12"/>
  <c r="T9114" i="12"/>
  <c r="U9114" i="12"/>
  <c r="T9115" i="12"/>
  <c r="U9115" i="12"/>
  <c r="T9116" i="12"/>
  <c r="U9116" i="12"/>
  <c r="T9117" i="12"/>
  <c r="U9117" i="12"/>
  <c r="T9118" i="12"/>
  <c r="U9118" i="12"/>
  <c r="T9119" i="12"/>
  <c r="U9119" i="12"/>
  <c r="T9120" i="12"/>
  <c r="U9120" i="12"/>
  <c r="T9121" i="12"/>
  <c r="U9121" i="12"/>
  <c r="T9122" i="12"/>
  <c r="U9122" i="12"/>
  <c r="T9123" i="12"/>
  <c r="U9123" i="12"/>
  <c r="T9124" i="12"/>
  <c r="U9124" i="12"/>
  <c r="T9125" i="12"/>
  <c r="U9125" i="12"/>
  <c r="T9126" i="12"/>
  <c r="U9126" i="12"/>
  <c r="T9127" i="12"/>
  <c r="U9127" i="12"/>
  <c r="T9128" i="12"/>
  <c r="U9128" i="12"/>
  <c r="T9129" i="12"/>
  <c r="U9129" i="12"/>
  <c r="T9130" i="12"/>
  <c r="U9130" i="12"/>
  <c r="T9131" i="12"/>
  <c r="U9131" i="12"/>
  <c r="T9132" i="12"/>
  <c r="U9132" i="12"/>
  <c r="T9133" i="12"/>
  <c r="U9133" i="12"/>
  <c r="T9134" i="12"/>
  <c r="U9134" i="12"/>
  <c r="T9135" i="12"/>
  <c r="U9135" i="12"/>
  <c r="T9136" i="12"/>
  <c r="U9136" i="12"/>
  <c r="T9137" i="12"/>
  <c r="U9137" i="12"/>
  <c r="T9138" i="12"/>
  <c r="U9138" i="12"/>
  <c r="T9139" i="12"/>
  <c r="U9139" i="12"/>
  <c r="T9140" i="12"/>
  <c r="U9140" i="12"/>
  <c r="T9141" i="12"/>
  <c r="U9141" i="12"/>
  <c r="T9142" i="12"/>
  <c r="U9142" i="12"/>
  <c r="T9143" i="12"/>
  <c r="U9143" i="12"/>
  <c r="T9144" i="12"/>
  <c r="U9144" i="12"/>
  <c r="T9145" i="12"/>
  <c r="U9145" i="12"/>
  <c r="T9146" i="12"/>
  <c r="U9146" i="12"/>
  <c r="T9147" i="12"/>
  <c r="U9147" i="12"/>
  <c r="T9148" i="12"/>
  <c r="U9148" i="12"/>
  <c r="T9149" i="12"/>
  <c r="U9149" i="12"/>
  <c r="T9150" i="12"/>
  <c r="U9150" i="12"/>
  <c r="T9151" i="12"/>
  <c r="U9151" i="12"/>
  <c r="T9152" i="12"/>
  <c r="U9152" i="12"/>
  <c r="T9153" i="12"/>
  <c r="U9153" i="12"/>
  <c r="T9154" i="12"/>
  <c r="U9154" i="12"/>
  <c r="T9155" i="12"/>
  <c r="U9155" i="12"/>
  <c r="T9156" i="12"/>
  <c r="U9156" i="12"/>
  <c r="T9157" i="12"/>
  <c r="U9157" i="12"/>
  <c r="T9158" i="12"/>
  <c r="U9158" i="12"/>
  <c r="T9159" i="12"/>
  <c r="U9159" i="12"/>
  <c r="T9160" i="12"/>
  <c r="U9160" i="12"/>
  <c r="T9161" i="12"/>
  <c r="U9161" i="12"/>
  <c r="T9162" i="12"/>
  <c r="U9162" i="12"/>
  <c r="T9163" i="12"/>
  <c r="U9163" i="12"/>
  <c r="T9164" i="12"/>
  <c r="U9164" i="12"/>
  <c r="T9165" i="12"/>
  <c r="U9165" i="12"/>
  <c r="T9166" i="12"/>
  <c r="U9166" i="12"/>
  <c r="T9167" i="12"/>
  <c r="U9167" i="12"/>
  <c r="T9168" i="12"/>
  <c r="U9168" i="12"/>
  <c r="T9169" i="12"/>
  <c r="U9169" i="12"/>
  <c r="T9170" i="12"/>
  <c r="U9170" i="12"/>
  <c r="T9171" i="12"/>
  <c r="U9171" i="12"/>
  <c r="T9172" i="12"/>
  <c r="U9172" i="12"/>
  <c r="T9173" i="12"/>
  <c r="U9173" i="12"/>
  <c r="T9174" i="12"/>
  <c r="U9174" i="12"/>
  <c r="T9175" i="12"/>
  <c r="U9175" i="12"/>
  <c r="T9176" i="12"/>
  <c r="U9176" i="12"/>
  <c r="T9177" i="12"/>
  <c r="U9177" i="12"/>
  <c r="T9178" i="12"/>
  <c r="U9178" i="12"/>
  <c r="T9179" i="12"/>
  <c r="U9179" i="12"/>
  <c r="T9180" i="12"/>
  <c r="U9180" i="12"/>
  <c r="T9181" i="12"/>
  <c r="U9181" i="12"/>
  <c r="T9182" i="12"/>
  <c r="U9182" i="12"/>
  <c r="T9183" i="12"/>
  <c r="U9183" i="12"/>
  <c r="T9184" i="12"/>
  <c r="U9184" i="12"/>
  <c r="T9185" i="12"/>
  <c r="U9185" i="12"/>
  <c r="T9186" i="12"/>
  <c r="U9186" i="12"/>
  <c r="T9187" i="12"/>
  <c r="U9187" i="12"/>
  <c r="T9188" i="12"/>
  <c r="U9188" i="12"/>
  <c r="T9189" i="12"/>
  <c r="U9189" i="12"/>
  <c r="T9190" i="12"/>
  <c r="U9190" i="12"/>
  <c r="T9191" i="12"/>
  <c r="U9191" i="12"/>
  <c r="T9192" i="12"/>
  <c r="U9192" i="12"/>
  <c r="T9193" i="12"/>
  <c r="U9193" i="12"/>
  <c r="T9194" i="12"/>
  <c r="U9194" i="12"/>
  <c r="T9195" i="12"/>
  <c r="U9195" i="12"/>
  <c r="T9196" i="12"/>
  <c r="U9196" i="12"/>
  <c r="T9197" i="12"/>
  <c r="U9197" i="12"/>
  <c r="T9198" i="12"/>
  <c r="U9198" i="12"/>
  <c r="T9199" i="12"/>
  <c r="U9199" i="12"/>
  <c r="T9200" i="12"/>
  <c r="U9200" i="12"/>
  <c r="T9201" i="12"/>
  <c r="U9201" i="12"/>
  <c r="T9202" i="12"/>
  <c r="U9202" i="12"/>
  <c r="T9203" i="12"/>
  <c r="U9203" i="12"/>
  <c r="T9204" i="12"/>
  <c r="U9204" i="12"/>
  <c r="T9205" i="12"/>
  <c r="U9205" i="12"/>
  <c r="T9206" i="12"/>
  <c r="U9206" i="12"/>
  <c r="T9207" i="12"/>
  <c r="U9207" i="12"/>
  <c r="T9208" i="12"/>
  <c r="U9208" i="12"/>
  <c r="T9209" i="12"/>
  <c r="U9209" i="12"/>
  <c r="T9210" i="12"/>
  <c r="U9210" i="12"/>
  <c r="T9211" i="12"/>
  <c r="U9211" i="12"/>
  <c r="T9212" i="12"/>
  <c r="U9212" i="12"/>
  <c r="T9213" i="12"/>
  <c r="U9213" i="12"/>
  <c r="T9214" i="12"/>
  <c r="U9214" i="12"/>
  <c r="T9215" i="12"/>
  <c r="U9215" i="12"/>
  <c r="T9216" i="12"/>
  <c r="U9216" i="12"/>
  <c r="T9217" i="12"/>
  <c r="U9217" i="12"/>
  <c r="T9218" i="12"/>
  <c r="U9218" i="12"/>
  <c r="T9219" i="12"/>
  <c r="U9219" i="12"/>
  <c r="T9220" i="12"/>
  <c r="U9220" i="12"/>
  <c r="T9221" i="12"/>
  <c r="U9221" i="12"/>
  <c r="T9222" i="12"/>
  <c r="U9222" i="12"/>
  <c r="T9223" i="12"/>
  <c r="U9223" i="12"/>
  <c r="T9224" i="12"/>
  <c r="U9224" i="12"/>
  <c r="T9225" i="12"/>
  <c r="U9225" i="12"/>
  <c r="T9226" i="12"/>
  <c r="U9226" i="12"/>
  <c r="T9227" i="12"/>
  <c r="U9227" i="12"/>
  <c r="T9228" i="12"/>
  <c r="U9228" i="12"/>
  <c r="T9229" i="12"/>
  <c r="U9229" i="12"/>
  <c r="T9230" i="12"/>
  <c r="U9230" i="12"/>
  <c r="T9231" i="12"/>
  <c r="U9231" i="12"/>
  <c r="T9232" i="12"/>
  <c r="U9232" i="12"/>
  <c r="T9233" i="12"/>
  <c r="U9233" i="12"/>
  <c r="T9234" i="12"/>
  <c r="U9234" i="12"/>
  <c r="T9235" i="12"/>
  <c r="U9235" i="12"/>
  <c r="T9236" i="12"/>
  <c r="U9236" i="12"/>
  <c r="T9237" i="12"/>
  <c r="U9237" i="12"/>
  <c r="T9238" i="12"/>
  <c r="U9238" i="12"/>
  <c r="T9239" i="12"/>
  <c r="U9239" i="12"/>
  <c r="T9240" i="12"/>
  <c r="U9240" i="12"/>
  <c r="T9241" i="12"/>
  <c r="U9241" i="12"/>
  <c r="T9242" i="12"/>
  <c r="U9242" i="12"/>
  <c r="T9243" i="12"/>
  <c r="U9243" i="12"/>
  <c r="T9244" i="12"/>
  <c r="U9244" i="12"/>
  <c r="T9245" i="12"/>
  <c r="U9245" i="12"/>
  <c r="T9246" i="12"/>
  <c r="U9246" i="12"/>
  <c r="T9247" i="12"/>
  <c r="U9247" i="12"/>
  <c r="T9248" i="12"/>
  <c r="U9248" i="12"/>
  <c r="T9249" i="12"/>
  <c r="U9249" i="12"/>
  <c r="T9250" i="12"/>
  <c r="U9250" i="12"/>
  <c r="T9251" i="12"/>
  <c r="U9251" i="12"/>
  <c r="T9252" i="12"/>
  <c r="U9252" i="12"/>
  <c r="T9253" i="12"/>
  <c r="U9253" i="12"/>
  <c r="T9254" i="12"/>
  <c r="U9254" i="12"/>
  <c r="T9255" i="12"/>
  <c r="U9255" i="12"/>
  <c r="T9256" i="12"/>
  <c r="U9256" i="12"/>
  <c r="T9257" i="12"/>
  <c r="U9257" i="12"/>
  <c r="T9258" i="12"/>
  <c r="U9258" i="12"/>
  <c r="T9259" i="12"/>
  <c r="U9259" i="12"/>
  <c r="T9260" i="12"/>
  <c r="U9260" i="12"/>
  <c r="T9261" i="12"/>
  <c r="U9261" i="12"/>
  <c r="T9262" i="12"/>
  <c r="U9262" i="12"/>
  <c r="T9263" i="12"/>
  <c r="U9263" i="12"/>
  <c r="T9264" i="12"/>
  <c r="U9264" i="12"/>
  <c r="T9265" i="12"/>
  <c r="U9265" i="12"/>
  <c r="T9266" i="12"/>
  <c r="U9266" i="12"/>
  <c r="T9267" i="12"/>
  <c r="U9267" i="12"/>
  <c r="T9268" i="12"/>
  <c r="U9268" i="12"/>
  <c r="T9269" i="12"/>
  <c r="U9269" i="12"/>
  <c r="T9270" i="12"/>
  <c r="U9270" i="12"/>
  <c r="T9271" i="12"/>
  <c r="U9271" i="12"/>
  <c r="T9272" i="12"/>
  <c r="U9272" i="12"/>
  <c r="T9273" i="12"/>
  <c r="U9273" i="12"/>
  <c r="T9274" i="12"/>
  <c r="U9274" i="12"/>
  <c r="T9275" i="12"/>
  <c r="U9275" i="12"/>
  <c r="T9276" i="12"/>
  <c r="U9276" i="12"/>
  <c r="T9277" i="12"/>
  <c r="U9277" i="12"/>
  <c r="T9278" i="12"/>
  <c r="U9278" i="12"/>
  <c r="T9279" i="12"/>
  <c r="U9279" i="12"/>
  <c r="T9280" i="12"/>
  <c r="U9280" i="12"/>
  <c r="T9281" i="12"/>
  <c r="U9281" i="12"/>
  <c r="T9282" i="12"/>
  <c r="U9282" i="12"/>
  <c r="T9283" i="12"/>
  <c r="U9283" i="12"/>
  <c r="T9284" i="12"/>
  <c r="U9284" i="12"/>
  <c r="T9285" i="12"/>
  <c r="U9285" i="12"/>
  <c r="T9286" i="12"/>
  <c r="U9286" i="12"/>
  <c r="T9287" i="12"/>
  <c r="U9287" i="12"/>
  <c r="T9288" i="12"/>
  <c r="U9288" i="12"/>
  <c r="T9289" i="12"/>
  <c r="U9289" i="12"/>
  <c r="T9290" i="12"/>
  <c r="U9290" i="12"/>
  <c r="T9291" i="12"/>
  <c r="U9291" i="12"/>
  <c r="T9292" i="12"/>
  <c r="U9292" i="12"/>
  <c r="T9293" i="12"/>
  <c r="U9293" i="12"/>
  <c r="T9294" i="12"/>
  <c r="U9294" i="12"/>
  <c r="T9295" i="12"/>
  <c r="U9295" i="12"/>
  <c r="T9296" i="12"/>
  <c r="U9296" i="12"/>
  <c r="T9297" i="12"/>
  <c r="U9297" i="12"/>
  <c r="T9298" i="12"/>
  <c r="U9298" i="12"/>
  <c r="T9299" i="12"/>
  <c r="U9299" i="12"/>
  <c r="T9300" i="12"/>
  <c r="U9300" i="12"/>
  <c r="T9301" i="12"/>
  <c r="U9301" i="12"/>
  <c r="T9302" i="12"/>
  <c r="U9302" i="12"/>
  <c r="T9303" i="12"/>
  <c r="U9303" i="12"/>
  <c r="T9304" i="12"/>
  <c r="U9304" i="12"/>
  <c r="T9305" i="12"/>
  <c r="U9305" i="12"/>
  <c r="T9306" i="12"/>
  <c r="U9306" i="12"/>
  <c r="T9307" i="12"/>
  <c r="U9307" i="12"/>
  <c r="T9308" i="12"/>
  <c r="U9308" i="12"/>
  <c r="T9309" i="12"/>
  <c r="U9309" i="12"/>
  <c r="T9310" i="12"/>
  <c r="U9310" i="12"/>
  <c r="T9311" i="12"/>
  <c r="U9311" i="12"/>
  <c r="T9312" i="12"/>
  <c r="U9312" i="12"/>
  <c r="T9313" i="12"/>
  <c r="U9313" i="12"/>
  <c r="T9314" i="12"/>
  <c r="U9314" i="12"/>
  <c r="T9315" i="12"/>
  <c r="U9315" i="12"/>
  <c r="T9316" i="12"/>
  <c r="U9316" i="12"/>
  <c r="T9317" i="12"/>
  <c r="U9317" i="12"/>
  <c r="T9318" i="12"/>
  <c r="U9318" i="12"/>
  <c r="T9319" i="12"/>
  <c r="U9319" i="12"/>
  <c r="T9320" i="12"/>
  <c r="U9320" i="12"/>
  <c r="T9321" i="12"/>
  <c r="U9321" i="12"/>
  <c r="T9322" i="12"/>
  <c r="U9322" i="12"/>
  <c r="T9323" i="12"/>
  <c r="U9323" i="12"/>
  <c r="T9324" i="12"/>
  <c r="U9324" i="12"/>
  <c r="T9325" i="12"/>
  <c r="U9325" i="12"/>
  <c r="T9326" i="12"/>
  <c r="U9326" i="12"/>
  <c r="T9327" i="12"/>
  <c r="U9327" i="12"/>
  <c r="T9328" i="12"/>
  <c r="U9328" i="12"/>
  <c r="T9329" i="12"/>
  <c r="U9329" i="12"/>
  <c r="T9330" i="12"/>
  <c r="U9330" i="12"/>
  <c r="T9331" i="12"/>
  <c r="U9331" i="12"/>
  <c r="T9332" i="12"/>
  <c r="U9332" i="12"/>
  <c r="T9333" i="12"/>
  <c r="U9333" i="12"/>
  <c r="T9334" i="12"/>
  <c r="U9334" i="12"/>
  <c r="T9335" i="12"/>
  <c r="U9335" i="12"/>
  <c r="T9336" i="12"/>
  <c r="U9336" i="12"/>
  <c r="T9337" i="12"/>
  <c r="U9337" i="12"/>
  <c r="T9338" i="12"/>
  <c r="U9338" i="12"/>
  <c r="T9339" i="12"/>
  <c r="U9339" i="12"/>
  <c r="T9340" i="12"/>
  <c r="U9340" i="12"/>
  <c r="T9341" i="12"/>
  <c r="U9341" i="12"/>
  <c r="T9342" i="12"/>
  <c r="U9342" i="12"/>
  <c r="T9343" i="12"/>
  <c r="U9343" i="12"/>
  <c r="T9344" i="12"/>
  <c r="U9344" i="12"/>
  <c r="T9345" i="12"/>
  <c r="U9345" i="12"/>
  <c r="T9346" i="12"/>
  <c r="U9346" i="12"/>
  <c r="T9347" i="12"/>
  <c r="U9347" i="12"/>
  <c r="T9348" i="12"/>
  <c r="U9348" i="12"/>
  <c r="T9349" i="12"/>
  <c r="U9349" i="12"/>
  <c r="T9350" i="12"/>
  <c r="U9350" i="12"/>
  <c r="T9351" i="12"/>
  <c r="U9351" i="12"/>
  <c r="T9352" i="12"/>
  <c r="U9352" i="12"/>
  <c r="T9353" i="12"/>
  <c r="U9353" i="12"/>
  <c r="T9354" i="12"/>
  <c r="U9354" i="12"/>
  <c r="T9355" i="12"/>
  <c r="U9355" i="12"/>
  <c r="T9356" i="12"/>
  <c r="U9356" i="12"/>
  <c r="T9357" i="12"/>
  <c r="U9357" i="12"/>
  <c r="T9358" i="12"/>
  <c r="U9358" i="12"/>
  <c r="T9359" i="12"/>
  <c r="U9359" i="12"/>
  <c r="T9360" i="12"/>
  <c r="U9360" i="12"/>
  <c r="T9361" i="12"/>
  <c r="U9361" i="12"/>
  <c r="T9362" i="12"/>
  <c r="U9362" i="12"/>
  <c r="T9363" i="12"/>
  <c r="U9363" i="12"/>
  <c r="T9364" i="12"/>
  <c r="U9364" i="12"/>
  <c r="T9365" i="12"/>
  <c r="U9365" i="12"/>
  <c r="T9366" i="12"/>
  <c r="U9366" i="12"/>
  <c r="T9367" i="12"/>
  <c r="U9367" i="12"/>
  <c r="T9368" i="12"/>
  <c r="U9368" i="12"/>
  <c r="T9369" i="12"/>
  <c r="U9369" i="12"/>
  <c r="T9370" i="12"/>
  <c r="U9370" i="12"/>
  <c r="T9371" i="12"/>
  <c r="U9371" i="12"/>
  <c r="T9372" i="12"/>
  <c r="U9372" i="12"/>
  <c r="T9373" i="12"/>
  <c r="U9373" i="12"/>
  <c r="T9374" i="12"/>
  <c r="U9374" i="12"/>
  <c r="T9375" i="12"/>
  <c r="U9375" i="12"/>
  <c r="T9376" i="12"/>
  <c r="U9376" i="12"/>
  <c r="T9377" i="12"/>
  <c r="U9377" i="12"/>
  <c r="T9378" i="12"/>
  <c r="U9378" i="12"/>
  <c r="T9379" i="12"/>
  <c r="U9379" i="12"/>
  <c r="T9380" i="12"/>
  <c r="U9380" i="12"/>
  <c r="T9381" i="12"/>
  <c r="U9381" i="12"/>
  <c r="T9382" i="12"/>
  <c r="U9382" i="12"/>
  <c r="T9383" i="12"/>
  <c r="U9383" i="12"/>
  <c r="T9384" i="12"/>
  <c r="U9384" i="12"/>
  <c r="T9385" i="12"/>
  <c r="U9385" i="12"/>
  <c r="T9386" i="12"/>
  <c r="U9386" i="12"/>
  <c r="T9387" i="12"/>
  <c r="U9387" i="12"/>
  <c r="T9388" i="12"/>
  <c r="U9388" i="12"/>
  <c r="T9389" i="12"/>
  <c r="U9389" i="12"/>
  <c r="T9390" i="12"/>
  <c r="U9390" i="12"/>
  <c r="T9391" i="12"/>
  <c r="U9391" i="12"/>
  <c r="T9392" i="12"/>
  <c r="U9392" i="12"/>
  <c r="T9393" i="12"/>
  <c r="U9393" i="12"/>
  <c r="T9394" i="12"/>
  <c r="U9394" i="12"/>
  <c r="T9395" i="12"/>
  <c r="U9395" i="12"/>
  <c r="T9396" i="12"/>
  <c r="U9396" i="12"/>
  <c r="T9397" i="12"/>
  <c r="U9397" i="12"/>
  <c r="T9398" i="12"/>
  <c r="U9398" i="12"/>
  <c r="T9399" i="12"/>
  <c r="U9399" i="12"/>
  <c r="T9400" i="12"/>
  <c r="U9400" i="12"/>
  <c r="T9401" i="12"/>
  <c r="U9401" i="12"/>
  <c r="T9402" i="12"/>
  <c r="U9402" i="12"/>
  <c r="T9403" i="12"/>
  <c r="U9403" i="12"/>
  <c r="T9404" i="12"/>
  <c r="U9404" i="12"/>
  <c r="T9405" i="12"/>
  <c r="U9405" i="12"/>
  <c r="T9406" i="12"/>
  <c r="U9406" i="12"/>
  <c r="T9407" i="12"/>
  <c r="U9407" i="12"/>
  <c r="T9408" i="12"/>
  <c r="U9408" i="12"/>
  <c r="T9409" i="12"/>
  <c r="U9409" i="12"/>
  <c r="T9410" i="12"/>
  <c r="U9410" i="12"/>
  <c r="T9411" i="12"/>
  <c r="U9411" i="12"/>
  <c r="T9412" i="12"/>
  <c r="U9412" i="12"/>
  <c r="T9413" i="12"/>
  <c r="U9413" i="12"/>
  <c r="T9414" i="12"/>
  <c r="U9414" i="12"/>
  <c r="T9415" i="12"/>
  <c r="U9415" i="12"/>
  <c r="T9416" i="12"/>
  <c r="U9416" i="12"/>
  <c r="T9417" i="12"/>
  <c r="U9417" i="12"/>
  <c r="T9418" i="12"/>
  <c r="U9418" i="12"/>
  <c r="T9419" i="12"/>
  <c r="U9419" i="12"/>
  <c r="T9420" i="12"/>
  <c r="U9420" i="12"/>
  <c r="T9421" i="12"/>
  <c r="U9421" i="12"/>
  <c r="T9422" i="12"/>
  <c r="U9422" i="12"/>
  <c r="T9423" i="12"/>
  <c r="U9423" i="12"/>
  <c r="T9424" i="12"/>
  <c r="U9424" i="12"/>
  <c r="T9425" i="12"/>
  <c r="U9425" i="12"/>
  <c r="T9426" i="12"/>
  <c r="U9426" i="12"/>
  <c r="T9427" i="12"/>
  <c r="U9427" i="12"/>
  <c r="T9428" i="12"/>
  <c r="U9428" i="12"/>
  <c r="T9429" i="12"/>
  <c r="U9429" i="12"/>
  <c r="T9430" i="12"/>
  <c r="U9430" i="12"/>
  <c r="T9431" i="12"/>
  <c r="U9431" i="12"/>
  <c r="T9432" i="12"/>
  <c r="U9432" i="12"/>
  <c r="T9433" i="12"/>
  <c r="U9433" i="12"/>
  <c r="T9434" i="12"/>
  <c r="U9434" i="12"/>
  <c r="T9435" i="12"/>
  <c r="U9435" i="12"/>
  <c r="T9436" i="12"/>
  <c r="U9436" i="12"/>
  <c r="T9437" i="12"/>
  <c r="U9437" i="12"/>
  <c r="T9438" i="12"/>
  <c r="U9438" i="12"/>
  <c r="T9439" i="12"/>
  <c r="U9439" i="12"/>
  <c r="T9440" i="12"/>
  <c r="U9440" i="12"/>
  <c r="T9441" i="12"/>
  <c r="U9441" i="12"/>
  <c r="T9442" i="12"/>
  <c r="U9442" i="12"/>
  <c r="T9443" i="12"/>
  <c r="U9443" i="12"/>
  <c r="T9444" i="12"/>
  <c r="U9444" i="12"/>
  <c r="T9445" i="12"/>
  <c r="U9445" i="12"/>
  <c r="T9446" i="12"/>
  <c r="U9446" i="12"/>
  <c r="T9447" i="12"/>
  <c r="U9447" i="12"/>
  <c r="T9448" i="12"/>
  <c r="U9448" i="12"/>
  <c r="T9449" i="12"/>
  <c r="U9449" i="12"/>
  <c r="T9450" i="12"/>
  <c r="U9450" i="12"/>
  <c r="T9451" i="12"/>
  <c r="U9451" i="12"/>
  <c r="T9452" i="12"/>
  <c r="U9452" i="12"/>
  <c r="T9453" i="12"/>
  <c r="U9453" i="12"/>
  <c r="T9454" i="12"/>
  <c r="U9454" i="12"/>
  <c r="T9455" i="12"/>
  <c r="U9455" i="12"/>
  <c r="T9456" i="12"/>
  <c r="U9456" i="12"/>
  <c r="T9457" i="12"/>
  <c r="U9457" i="12"/>
  <c r="T9458" i="12"/>
  <c r="U9458" i="12"/>
  <c r="T9459" i="12"/>
  <c r="U9459" i="12"/>
  <c r="T9460" i="12"/>
  <c r="U9460" i="12"/>
  <c r="T9461" i="12"/>
  <c r="U9461" i="12"/>
  <c r="T9462" i="12"/>
  <c r="U9462" i="12"/>
  <c r="T9463" i="12"/>
  <c r="U9463" i="12"/>
  <c r="T9464" i="12"/>
  <c r="U9464" i="12"/>
  <c r="T9465" i="12"/>
  <c r="U9465" i="12"/>
  <c r="T9466" i="12"/>
  <c r="U9466" i="12"/>
  <c r="T9467" i="12"/>
  <c r="U9467" i="12"/>
  <c r="T9468" i="12"/>
  <c r="U9468" i="12"/>
  <c r="T9469" i="12"/>
  <c r="U9469" i="12"/>
  <c r="T9470" i="12"/>
  <c r="U9470" i="12"/>
  <c r="T9471" i="12"/>
  <c r="U9471" i="12"/>
  <c r="T9472" i="12"/>
  <c r="U9472" i="12"/>
  <c r="T9473" i="12"/>
  <c r="U9473" i="12"/>
  <c r="T9474" i="12"/>
  <c r="U9474" i="12"/>
  <c r="T9475" i="12"/>
  <c r="U9475" i="12"/>
  <c r="T9476" i="12"/>
  <c r="U9476" i="12"/>
  <c r="T9477" i="12"/>
  <c r="U9477" i="12"/>
  <c r="T9478" i="12"/>
  <c r="U9478" i="12"/>
  <c r="T9479" i="12"/>
  <c r="U9479" i="12"/>
  <c r="T9480" i="12"/>
  <c r="U9480" i="12"/>
  <c r="T9481" i="12"/>
  <c r="U9481" i="12"/>
  <c r="T9482" i="12"/>
  <c r="U9482" i="12"/>
  <c r="T9483" i="12"/>
  <c r="U9483" i="12"/>
  <c r="T9484" i="12"/>
  <c r="U9484" i="12"/>
  <c r="T9485" i="12"/>
  <c r="U9485" i="12"/>
  <c r="T9486" i="12"/>
  <c r="U9486" i="12"/>
  <c r="T9487" i="12"/>
  <c r="U9487" i="12"/>
  <c r="T9488" i="12"/>
  <c r="U9488" i="12"/>
  <c r="T9489" i="12"/>
  <c r="U9489" i="12"/>
  <c r="T9490" i="12"/>
  <c r="U9490" i="12"/>
  <c r="T9491" i="12"/>
  <c r="U9491" i="12"/>
  <c r="T9492" i="12"/>
  <c r="U9492" i="12"/>
  <c r="T9493" i="12"/>
  <c r="U9493" i="12"/>
  <c r="T9494" i="12"/>
  <c r="U9494" i="12"/>
  <c r="T9495" i="12"/>
  <c r="U9495" i="12"/>
  <c r="T9496" i="12"/>
  <c r="U9496" i="12"/>
  <c r="T9497" i="12"/>
  <c r="U9497" i="12"/>
  <c r="T9498" i="12"/>
  <c r="U9498" i="12"/>
  <c r="T9499" i="12"/>
  <c r="U9499" i="12"/>
  <c r="T9500" i="12"/>
  <c r="U9500" i="12"/>
  <c r="T9501" i="12"/>
  <c r="U9501" i="12"/>
  <c r="T9502" i="12"/>
  <c r="U9502" i="12"/>
  <c r="T9503" i="12"/>
  <c r="U9503" i="12"/>
  <c r="T9504" i="12"/>
  <c r="U9504" i="12"/>
  <c r="T9505" i="12"/>
  <c r="U9505" i="12"/>
  <c r="T9506" i="12"/>
  <c r="U9506" i="12"/>
  <c r="T9507" i="12"/>
  <c r="U9507" i="12"/>
  <c r="T9508" i="12"/>
  <c r="U9508" i="12"/>
  <c r="T9509" i="12"/>
  <c r="U9509" i="12"/>
  <c r="T9510" i="12"/>
  <c r="U9510" i="12"/>
  <c r="T9511" i="12"/>
  <c r="U9511" i="12"/>
  <c r="T9512" i="12"/>
  <c r="U9512" i="12"/>
  <c r="T9513" i="12"/>
  <c r="U9513" i="12"/>
  <c r="T9514" i="12"/>
  <c r="U9514" i="12"/>
  <c r="T9515" i="12"/>
  <c r="U9515" i="12"/>
  <c r="T9516" i="12"/>
  <c r="U9516" i="12"/>
  <c r="T9517" i="12"/>
  <c r="U9517" i="12"/>
  <c r="T9518" i="12"/>
  <c r="U9518" i="12"/>
  <c r="T9519" i="12"/>
  <c r="U9519" i="12"/>
  <c r="T9520" i="12"/>
  <c r="U9520" i="12"/>
  <c r="T9521" i="12"/>
  <c r="U9521" i="12"/>
  <c r="T9522" i="12"/>
  <c r="U9522" i="12"/>
  <c r="T9523" i="12"/>
  <c r="U9523" i="12"/>
  <c r="T9524" i="12"/>
  <c r="U9524" i="12"/>
  <c r="T9525" i="12"/>
  <c r="U9525" i="12"/>
  <c r="T9526" i="12"/>
  <c r="U9526" i="12"/>
  <c r="T9527" i="12"/>
  <c r="U9527" i="12"/>
  <c r="T9528" i="12"/>
  <c r="U9528" i="12"/>
  <c r="T9529" i="12"/>
  <c r="U9529" i="12"/>
  <c r="T9530" i="12"/>
  <c r="U9530" i="12"/>
  <c r="T9531" i="12"/>
  <c r="U9531" i="12"/>
  <c r="T9532" i="12"/>
  <c r="U9532" i="12"/>
  <c r="T9533" i="12"/>
  <c r="U9533" i="12"/>
  <c r="T9534" i="12"/>
  <c r="U9534" i="12"/>
  <c r="T9535" i="12"/>
  <c r="U9535" i="12"/>
  <c r="T9536" i="12"/>
  <c r="U9536" i="12"/>
  <c r="T9537" i="12"/>
  <c r="U9537" i="12"/>
  <c r="T9538" i="12"/>
  <c r="U9538" i="12"/>
  <c r="T9539" i="12"/>
  <c r="U9539" i="12"/>
  <c r="T9540" i="12"/>
  <c r="U9540" i="12"/>
  <c r="T9541" i="12"/>
  <c r="U9541" i="12"/>
  <c r="T9542" i="12"/>
  <c r="U9542" i="12"/>
  <c r="T9543" i="12"/>
  <c r="U9543" i="12"/>
  <c r="T9544" i="12"/>
  <c r="U9544" i="12"/>
  <c r="T9545" i="12"/>
  <c r="U9545" i="12"/>
  <c r="T9546" i="12"/>
  <c r="U9546" i="12"/>
  <c r="T9547" i="12"/>
  <c r="U9547" i="12"/>
  <c r="T9548" i="12"/>
  <c r="U9548" i="12"/>
  <c r="T9549" i="12"/>
  <c r="U9549" i="12"/>
  <c r="T9550" i="12"/>
  <c r="U9550" i="12"/>
  <c r="T9551" i="12"/>
  <c r="U9551" i="12"/>
  <c r="T9552" i="12"/>
  <c r="U9552" i="12"/>
  <c r="T9553" i="12"/>
  <c r="U9553" i="12"/>
  <c r="T9554" i="12"/>
  <c r="U9554" i="12"/>
  <c r="T9555" i="12"/>
  <c r="U9555" i="12"/>
  <c r="T9556" i="12"/>
  <c r="U9556" i="12"/>
  <c r="T9557" i="12"/>
  <c r="U9557" i="12"/>
  <c r="T9558" i="12"/>
  <c r="U9558" i="12"/>
  <c r="T9559" i="12"/>
  <c r="U9559" i="12"/>
  <c r="T9560" i="12"/>
  <c r="U9560" i="12"/>
  <c r="T9561" i="12"/>
  <c r="U9561" i="12"/>
  <c r="T9562" i="12"/>
  <c r="U9562" i="12"/>
  <c r="T9563" i="12"/>
  <c r="U9563" i="12"/>
  <c r="T9564" i="12"/>
  <c r="U9564" i="12"/>
  <c r="T9565" i="12"/>
  <c r="U9565" i="12"/>
  <c r="T9566" i="12"/>
  <c r="U9566" i="12"/>
  <c r="T9567" i="12"/>
  <c r="U9567" i="12"/>
  <c r="T9568" i="12"/>
  <c r="U9568" i="12"/>
  <c r="T9569" i="12"/>
  <c r="U9569" i="12"/>
  <c r="T9570" i="12"/>
  <c r="U9570" i="12"/>
  <c r="T9571" i="12"/>
  <c r="U9571" i="12"/>
  <c r="T9572" i="12"/>
  <c r="U9572" i="12"/>
  <c r="T9573" i="12"/>
  <c r="U9573" i="12"/>
  <c r="T9574" i="12"/>
  <c r="U9574" i="12"/>
  <c r="T9575" i="12"/>
  <c r="U9575" i="12"/>
  <c r="T9576" i="12"/>
  <c r="U9576" i="12"/>
  <c r="T9577" i="12"/>
  <c r="U9577" i="12"/>
  <c r="T9578" i="12"/>
  <c r="U9578" i="12"/>
  <c r="T9579" i="12"/>
  <c r="U9579" i="12"/>
  <c r="T9580" i="12"/>
  <c r="U9580" i="12"/>
  <c r="T9581" i="12"/>
  <c r="U9581" i="12"/>
  <c r="T9582" i="12"/>
  <c r="U9582" i="12"/>
  <c r="T9583" i="12"/>
  <c r="U9583" i="12"/>
  <c r="T9584" i="12"/>
  <c r="U9584" i="12"/>
  <c r="T9585" i="12"/>
  <c r="U9585" i="12"/>
  <c r="T9586" i="12"/>
  <c r="U9586" i="12"/>
  <c r="T9587" i="12"/>
  <c r="U9587" i="12"/>
  <c r="T9588" i="12"/>
  <c r="U9588" i="12"/>
  <c r="T9589" i="12"/>
  <c r="U9589" i="12"/>
  <c r="T9590" i="12"/>
  <c r="U9590" i="12"/>
  <c r="T9591" i="12"/>
  <c r="U9591" i="12"/>
  <c r="T9592" i="12"/>
  <c r="U9592" i="12"/>
  <c r="T9593" i="12"/>
  <c r="U9593" i="12"/>
  <c r="T9594" i="12"/>
  <c r="U9594" i="12"/>
  <c r="T9595" i="12"/>
  <c r="U9595" i="12"/>
  <c r="T9596" i="12"/>
  <c r="U9596" i="12"/>
  <c r="T9597" i="12"/>
  <c r="U9597" i="12"/>
  <c r="T9598" i="12"/>
  <c r="U9598" i="12"/>
  <c r="T9599" i="12"/>
  <c r="U9599" i="12"/>
  <c r="T9600" i="12"/>
  <c r="U9600" i="12"/>
  <c r="T9601" i="12"/>
  <c r="U9601" i="12"/>
  <c r="T9602" i="12"/>
  <c r="U9602" i="12"/>
  <c r="T9603" i="12"/>
  <c r="U9603" i="12"/>
  <c r="T9604" i="12"/>
  <c r="U9604" i="12"/>
  <c r="T9605" i="12"/>
  <c r="U9605" i="12"/>
  <c r="T9606" i="12"/>
  <c r="U9606" i="12"/>
  <c r="T9607" i="12"/>
  <c r="U9607" i="12"/>
  <c r="T9608" i="12"/>
  <c r="U9608" i="12"/>
  <c r="T9609" i="12"/>
  <c r="U9609" i="12"/>
  <c r="T9610" i="12"/>
  <c r="U9610" i="12"/>
  <c r="T9611" i="12"/>
  <c r="U9611" i="12"/>
  <c r="T9612" i="12"/>
  <c r="U9612" i="12"/>
  <c r="T9613" i="12"/>
  <c r="U9613" i="12"/>
  <c r="T9614" i="12"/>
  <c r="U9614" i="12"/>
  <c r="T9615" i="12"/>
  <c r="U9615" i="12"/>
  <c r="T9616" i="12"/>
  <c r="U9616" i="12"/>
  <c r="T9617" i="12"/>
  <c r="U9617" i="12"/>
  <c r="T9618" i="12"/>
  <c r="U9618" i="12"/>
  <c r="T9619" i="12"/>
  <c r="U9619" i="12"/>
  <c r="T9620" i="12"/>
  <c r="U9620" i="12"/>
  <c r="T9621" i="12"/>
  <c r="U9621" i="12"/>
  <c r="T9622" i="12"/>
  <c r="U9622" i="12"/>
  <c r="T9623" i="12"/>
  <c r="U9623" i="12"/>
  <c r="T9624" i="12"/>
  <c r="U9624" i="12"/>
  <c r="T9625" i="12"/>
  <c r="U9625" i="12"/>
  <c r="T9626" i="12"/>
  <c r="U9626" i="12"/>
  <c r="T9627" i="12"/>
  <c r="U9627" i="12"/>
  <c r="T9628" i="12"/>
  <c r="U9628" i="12"/>
  <c r="T9629" i="12"/>
  <c r="U9629" i="12"/>
  <c r="T9630" i="12"/>
  <c r="U9630" i="12"/>
  <c r="T9631" i="12"/>
  <c r="U9631" i="12"/>
  <c r="T9632" i="12"/>
  <c r="U9632" i="12"/>
  <c r="T9633" i="12"/>
  <c r="U9633" i="12"/>
  <c r="T9634" i="12"/>
  <c r="U9634" i="12"/>
  <c r="T9635" i="12"/>
  <c r="U9635" i="12"/>
  <c r="T9636" i="12"/>
  <c r="U9636" i="12"/>
  <c r="T9637" i="12"/>
  <c r="U9637" i="12"/>
  <c r="T9638" i="12"/>
  <c r="U9638" i="12"/>
  <c r="T9639" i="12"/>
  <c r="U9639" i="12"/>
  <c r="T9640" i="12"/>
  <c r="U9640" i="12"/>
  <c r="T9641" i="12"/>
  <c r="U9641" i="12"/>
  <c r="T9642" i="12"/>
  <c r="U9642" i="12"/>
  <c r="T9643" i="12"/>
  <c r="U9643" i="12"/>
  <c r="T9644" i="12"/>
  <c r="U9644" i="12"/>
  <c r="T9645" i="12"/>
  <c r="U9645" i="12"/>
  <c r="T9646" i="12"/>
  <c r="U9646" i="12"/>
  <c r="T9647" i="12"/>
  <c r="U9647" i="12"/>
  <c r="T9648" i="12"/>
  <c r="U9648" i="12"/>
  <c r="T9649" i="12"/>
  <c r="U9649" i="12"/>
  <c r="T9650" i="12"/>
  <c r="U9650" i="12"/>
  <c r="T9651" i="12"/>
  <c r="U9651" i="12"/>
  <c r="T9652" i="12"/>
  <c r="U9652" i="12"/>
  <c r="T9653" i="12"/>
  <c r="U9653" i="12"/>
  <c r="T9654" i="12"/>
  <c r="U9654" i="12"/>
  <c r="T9655" i="12"/>
  <c r="U9655" i="12"/>
  <c r="T9656" i="12"/>
  <c r="U9656" i="12"/>
  <c r="T9657" i="12"/>
  <c r="U9657" i="12"/>
  <c r="T9658" i="12"/>
  <c r="U9658" i="12"/>
  <c r="T9659" i="12"/>
  <c r="U9659" i="12"/>
  <c r="T9660" i="12"/>
  <c r="U9660" i="12"/>
  <c r="T9661" i="12"/>
  <c r="U9661" i="12"/>
  <c r="T9662" i="12"/>
  <c r="U9662" i="12"/>
  <c r="T9663" i="12"/>
  <c r="U9663" i="12"/>
  <c r="T9664" i="12"/>
  <c r="U9664" i="12"/>
  <c r="T9665" i="12"/>
  <c r="U9665" i="12"/>
  <c r="T9666" i="12"/>
  <c r="U9666" i="12"/>
  <c r="T9667" i="12"/>
  <c r="U9667" i="12"/>
  <c r="T9668" i="12"/>
  <c r="U9668" i="12"/>
  <c r="T9669" i="12"/>
  <c r="U9669" i="12"/>
  <c r="T9670" i="12"/>
  <c r="U9670" i="12"/>
  <c r="T9671" i="12"/>
  <c r="U9671" i="12"/>
  <c r="T9672" i="12"/>
  <c r="U9672" i="12"/>
  <c r="T9673" i="12"/>
  <c r="U9673" i="12"/>
  <c r="T9674" i="12"/>
  <c r="U9674" i="12"/>
  <c r="T9675" i="12"/>
  <c r="U9675" i="12"/>
  <c r="T9676" i="12"/>
  <c r="U9676" i="12"/>
  <c r="T9677" i="12"/>
  <c r="U9677" i="12"/>
  <c r="T9678" i="12"/>
  <c r="U9678" i="12"/>
  <c r="T9679" i="12"/>
  <c r="U9679" i="12"/>
  <c r="T9680" i="12"/>
  <c r="U9680" i="12"/>
  <c r="T9681" i="12"/>
  <c r="U9681" i="12"/>
  <c r="T9682" i="12"/>
  <c r="U9682" i="12"/>
  <c r="T9683" i="12"/>
  <c r="U9683" i="12"/>
  <c r="T9684" i="12"/>
  <c r="U9684" i="12"/>
  <c r="T9685" i="12"/>
  <c r="U9685" i="12"/>
  <c r="T9686" i="12"/>
  <c r="U9686" i="12"/>
  <c r="T9687" i="12"/>
  <c r="U9687" i="12"/>
  <c r="T9688" i="12"/>
  <c r="U9688" i="12"/>
  <c r="T9689" i="12"/>
  <c r="U9689" i="12"/>
  <c r="T9690" i="12"/>
  <c r="U9690" i="12"/>
  <c r="T9691" i="12"/>
  <c r="U9691" i="12"/>
  <c r="T9692" i="12"/>
  <c r="U9692" i="12"/>
  <c r="T9693" i="12"/>
  <c r="U9693" i="12"/>
  <c r="T9694" i="12"/>
  <c r="U9694" i="12"/>
  <c r="T9695" i="12"/>
  <c r="U9695" i="12"/>
  <c r="T9696" i="12"/>
  <c r="U9696" i="12"/>
  <c r="T9697" i="12"/>
  <c r="U9697" i="12"/>
  <c r="T9698" i="12"/>
  <c r="U9698" i="12"/>
  <c r="T9699" i="12"/>
  <c r="U9699" i="12"/>
  <c r="T9700" i="12"/>
  <c r="U9700" i="12"/>
  <c r="T9701" i="12"/>
  <c r="U9701" i="12"/>
  <c r="T9702" i="12"/>
  <c r="U9702" i="12"/>
  <c r="T9703" i="12"/>
  <c r="U9703" i="12"/>
  <c r="T9704" i="12"/>
  <c r="U9704" i="12"/>
  <c r="T9705" i="12"/>
  <c r="U9705" i="12"/>
  <c r="T9706" i="12"/>
  <c r="U9706" i="12"/>
  <c r="T9707" i="12"/>
  <c r="U9707" i="12"/>
  <c r="T9708" i="12"/>
  <c r="U9708" i="12"/>
  <c r="T9709" i="12"/>
  <c r="U9709" i="12"/>
  <c r="T9710" i="12"/>
  <c r="U9710" i="12"/>
  <c r="T9711" i="12"/>
  <c r="U9711" i="12"/>
  <c r="T9712" i="12"/>
  <c r="U9712" i="12"/>
  <c r="T9713" i="12"/>
  <c r="U9713" i="12"/>
  <c r="T9714" i="12"/>
  <c r="U9714" i="12"/>
  <c r="T9715" i="12"/>
  <c r="U9715" i="12"/>
  <c r="T9716" i="12"/>
  <c r="U9716" i="12"/>
  <c r="T9717" i="12"/>
  <c r="U9717" i="12"/>
  <c r="T9718" i="12"/>
  <c r="U9718" i="12"/>
  <c r="T9719" i="12"/>
  <c r="U9719" i="12"/>
  <c r="T9720" i="12"/>
  <c r="U9720" i="12"/>
  <c r="T9721" i="12"/>
  <c r="U9721" i="12"/>
  <c r="T9722" i="12"/>
  <c r="U9722" i="12"/>
  <c r="T9723" i="12"/>
  <c r="U9723" i="12"/>
  <c r="T9724" i="12"/>
  <c r="U9724" i="12"/>
  <c r="T9725" i="12"/>
  <c r="U9725" i="12"/>
  <c r="T9726" i="12"/>
  <c r="U9726" i="12"/>
  <c r="T9727" i="12"/>
  <c r="U9727" i="12"/>
  <c r="T9728" i="12"/>
  <c r="U9728" i="12"/>
  <c r="T9729" i="12"/>
  <c r="U9729" i="12"/>
  <c r="T9730" i="12"/>
  <c r="U9730" i="12"/>
  <c r="T9731" i="12"/>
  <c r="U9731" i="12"/>
  <c r="T9732" i="12"/>
  <c r="U9732" i="12"/>
  <c r="T9733" i="12"/>
  <c r="U9733" i="12"/>
  <c r="T9734" i="12"/>
  <c r="U9734" i="12"/>
  <c r="T9735" i="12"/>
  <c r="U9735" i="12"/>
  <c r="T9736" i="12"/>
  <c r="U9736" i="12"/>
  <c r="T9737" i="12"/>
  <c r="U9737" i="12"/>
  <c r="T9738" i="12"/>
  <c r="U9738" i="12"/>
  <c r="T9739" i="12"/>
  <c r="U9739" i="12"/>
  <c r="T9740" i="12"/>
  <c r="U9740" i="12"/>
  <c r="T9741" i="12"/>
  <c r="U9741" i="12"/>
  <c r="T9742" i="12"/>
  <c r="U9742" i="12"/>
  <c r="T9743" i="12"/>
  <c r="U9743" i="12"/>
  <c r="T9744" i="12"/>
  <c r="U9744" i="12"/>
  <c r="T9745" i="12"/>
  <c r="U9745" i="12"/>
  <c r="T9746" i="12"/>
  <c r="U9746" i="12"/>
  <c r="T9747" i="12"/>
  <c r="U9747" i="12"/>
  <c r="T9748" i="12"/>
  <c r="U9748" i="12"/>
  <c r="T9749" i="12"/>
  <c r="U9749" i="12"/>
  <c r="T9750" i="12"/>
  <c r="U9750" i="12"/>
  <c r="T9751" i="12"/>
  <c r="U9751" i="12"/>
  <c r="T9752" i="12"/>
  <c r="U9752" i="12"/>
  <c r="T9753" i="12"/>
  <c r="U9753" i="12"/>
  <c r="T9754" i="12"/>
  <c r="U9754" i="12"/>
  <c r="T9755" i="12"/>
  <c r="U9755" i="12"/>
  <c r="T9756" i="12"/>
  <c r="U9756" i="12"/>
  <c r="T9757" i="12"/>
  <c r="U9757" i="12"/>
  <c r="T9758" i="12"/>
  <c r="U9758" i="12"/>
  <c r="T9759" i="12"/>
  <c r="U9759" i="12"/>
  <c r="T9760" i="12"/>
  <c r="U9760" i="12"/>
  <c r="T9761" i="12"/>
  <c r="U9761" i="12"/>
  <c r="T9762" i="12"/>
  <c r="U9762" i="12"/>
  <c r="T9763" i="12"/>
  <c r="U9763" i="12"/>
  <c r="T9764" i="12"/>
  <c r="U9764" i="12"/>
  <c r="T9765" i="12"/>
  <c r="U9765" i="12"/>
  <c r="T9766" i="12"/>
  <c r="U9766" i="12"/>
  <c r="T9767" i="12"/>
  <c r="U9767" i="12"/>
  <c r="T9768" i="12"/>
  <c r="U9768" i="12"/>
  <c r="T9769" i="12"/>
  <c r="U9769" i="12"/>
  <c r="T9770" i="12"/>
  <c r="U9770" i="12"/>
  <c r="T9771" i="12"/>
  <c r="U9771" i="12"/>
  <c r="T9772" i="12"/>
  <c r="U9772" i="12"/>
  <c r="T9773" i="12"/>
  <c r="U9773" i="12"/>
  <c r="T9774" i="12"/>
  <c r="U9774" i="12"/>
  <c r="T9775" i="12"/>
  <c r="U9775" i="12"/>
  <c r="T9776" i="12"/>
  <c r="U9776" i="12"/>
  <c r="T9777" i="12"/>
  <c r="U9777" i="12"/>
  <c r="T9778" i="12"/>
  <c r="U9778" i="12"/>
  <c r="T9779" i="12"/>
  <c r="U9779" i="12"/>
  <c r="T9780" i="12"/>
  <c r="U9780" i="12"/>
  <c r="T9781" i="12"/>
  <c r="U9781" i="12"/>
  <c r="T9782" i="12"/>
  <c r="U9782" i="12"/>
  <c r="T9783" i="12"/>
  <c r="U9783" i="12"/>
  <c r="T9784" i="12"/>
  <c r="U9784" i="12"/>
  <c r="T9785" i="12"/>
  <c r="U9785" i="12"/>
  <c r="T9786" i="12"/>
  <c r="U9786" i="12"/>
  <c r="T9787" i="12"/>
  <c r="U9787" i="12"/>
  <c r="T9788" i="12"/>
  <c r="U9788" i="12"/>
  <c r="T9789" i="12"/>
  <c r="U9789" i="12"/>
  <c r="T9790" i="12"/>
  <c r="U9790" i="12"/>
  <c r="T9791" i="12"/>
  <c r="U9791" i="12"/>
  <c r="T9792" i="12"/>
  <c r="U9792" i="12"/>
  <c r="T9793" i="12"/>
  <c r="U9793" i="12"/>
  <c r="T9794" i="12"/>
  <c r="U9794" i="12"/>
  <c r="T9795" i="12"/>
  <c r="U9795" i="12"/>
  <c r="T9796" i="12"/>
  <c r="U9796" i="12"/>
  <c r="T9797" i="12"/>
  <c r="U9797" i="12"/>
  <c r="T9798" i="12"/>
  <c r="U9798" i="12"/>
  <c r="T9799" i="12"/>
  <c r="U9799" i="12"/>
  <c r="T9800" i="12"/>
  <c r="U9800" i="12"/>
  <c r="T9801" i="12"/>
  <c r="U9801" i="12"/>
  <c r="T9802" i="12"/>
  <c r="U9802" i="12"/>
  <c r="T9803" i="12"/>
  <c r="U9803" i="12"/>
  <c r="T9804" i="12"/>
  <c r="U9804" i="12"/>
  <c r="T9805" i="12"/>
  <c r="U9805" i="12"/>
  <c r="T9806" i="12"/>
  <c r="U9806" i="12"/>
  <c r="T9807" i="12"/>
  <c r="U9807" i="12"/>
  <c r="T9808" i="12"/>
  <c r="U9808" i="12"/>
  <c r="T9809" i="12"/>
  <c r="U9809" i="12"/>
  <c r="T9810" i="12"/>
  <c r="U9810" i="12"/>
  <c r="T9811" i="12"/>
  <c r="U9811" i="12"/>
  <c r="T9812" i="12"/>
  <c r="U9812" i="12"/>
  <c r="T9813" i="12"/>
  <c r="U9813" i="12"/>
  <c r="T9814" i="12"/>
  <c r="U9814" i="12"/>
  <c r="T9815" i="12"/>
  <c r="U9815" i="12"/>
  <c r="T9816" i="12"/>
  <c r="U9816" i="12"/>
  <c r="T9817" i="12"/>
  <c r="U9817" i="12"/>
  <c r="T9818" i="12"/>
  <c r="U9818" i="12"/>
  <c r="T9819" i="12"/>
  <c r="U9819" i="12"/>
  <c r="T9820" i="12"/>
  <c r="U9820" i="12"/>
  <c r="T9821" i="12"/>
  <c r="U9821" i="12"/>
  <c r="T9822" i="12"/>
  <c r="U9822" i="12"/>
  <c r="T9823" i="12"/>
  <c r="U9823" i="12"/>
  <c r="T9824" i="12"/>
  <c r="U9824" i="12"/>
  <c r="T9825" i="12"/>
  <c r="U9825" i="12"/>
  <c r="T9826" i="12"/>
  <c r="U9826" i="12"/>
  <c r="T9827" i="12"/>
  <c r="U9827" i="12"/>
  <c r="T9828" i="12"/>
  <c r="U9828" i="12"/>
  <c r="T9829" i="12"/>
  <c r="U9829" i="12"/>
  <c r="T9830" i="12"/>
  <c r="U9830" i="12"/>
  <c r="T9831" i="12"/>
  <c r="U9831" i="12"/>
  <c r="T9832" i="12"/>
  <c r="U9832" i="12"/>
  <c r="T9833" i="12"/>
  <c r="U9833" i="12"/>
  <c r="T9834" i="12"/>
  <c r="U9834" i="12"/>
  <c r="T9835" i="12"/>
  <c r="U9835" i="12"/>
  <c r="T9836" i="12"/>
  <c r="U9836" i="12"/>
  <c r="T9837" i="12"/>
  <c r="U9837" i="12"/>
  <c r="T9838" i="12"/>
  <c r="U9838" i="12"/>
  <c r="T9839" i="12"/>
  <c r="U9839" i="12"/>
  <c r="T9840" i="12"/>
  <c r="U9840" i="12"/>
  <c r="T9841" i="12"/>
  <c r="U9841" i="12"/>
  <c r="T9842" i="12"/>
  <c r="U9842" i="12"/>
  <c r="T9843" i="12"/>
  <c r="U9843" i="12"/>
  <c r="T9844" i="12"/>
  <c r="U9844" i="12"/>
  <c r="T9845" i="12"/>
  <c r="U9845" i="12"/>
  <c r="T9846" i="12"/>
  <c r="U9846" i="12"/>
  <c r="T9847" i="12"/>
  <c r="U9847" i="12"/>
  <c r="T9848" i="12"/>
  <c r="U9848" i="12"/>
  <c r="T9849" i="12"/>
  <c r="U9849" i="12"/>
  <c r="T9850" i="12"/>
  <c r="U9850" i="12"/>
  <c r="T9851" i="12"/>
  <c r="U9851" i="12"/>
  <c r="T9852" i="12"/>
  <c r="U9852" i="12"/>
  <c r="T9853" i="12"/>
  <c r="U9853" i="12"/>
  <c r="T9854" i="12"/>
  <c r="U9854" i="12"/>
  <c r="T9855" i="12"/>
  <c r="U9855" i="12"/>
  <c r="T9856" i="12"/>
  <c r="U9856" i="12"/>
  <c r="T9857" i="12"/>
  <c r="U9857" i="12"/>
  <c r="T9858" i="12"/>
  <c r="U9858" i="12"/>
  <c r="T9859" i="12"/>
  <c r="U9859" i="12"/>
  <c r="T9860" i="12"/>
  <c r="U9860" i="12"/>
  <c r="T9861" i="12"/>
  <c r="U9861" i="12"/>
  <c r="T9862" i="12"/>
  <c r="U9862" i="12"/>
  <c r="T9863" i="12"/>
  <c r="U9863" i="12"/>
  <c r="T9864" i="12"/>
  <c r="U9864" i="12"/>
  <c r="T9865" i="12"/>
  <c r="U9865" i="12"/>
  <c r="T9866" i="12"/>
  <c r="U9866" i="12"/>
  <c r="T9867" i="12"/>
  <c r="U9867" i="12"/>
  <c r="T9868" i="12"/>
  <c r="U9868" i="12"/>
  <c r="T9869" i="12"/>
  <c r="U9869" i="12"/>
  <c r="T9870" i="12"/>
  <c r="U9870" i="12"/>
  <c r="T9871" i="12"/>
  <c r="U9871" i="12"/>
  <c r="T9872" i="12"/>
  <c r="U9872" i="12"/>
  <c r="T9873" i="12"/>
  <c r="U9873" i="12"/>
  <c r="T9874" i="12"/>
  <c r="U9874" i="12"/>
  <c r="T9875" i="12"/>
  <c r="U9875" i="12"/>
  <c r="T9876" i="12"/>
  <c r="U9876" i="12"/>
  <c r="T9877" i="12"/>
  <c r="U9877" i="12"/>
  <c r="T9878" i="12"/>
  <c r="U9878" i="12"/>
  <c r="T9879" i="12"/>
  <c r="U9879" i="12"/>
  <c r="T9880" i="12"/>
  <c r="U9880" i="12"/>
  <c r="T9881" i="12"/>
  <c r="U9881" i="12"/>
  <c r="T9882" i="12"/>
  <c r="U9882" i="12"/>
  <c r="T9883" i="12"/>
  <c r="U9883" i="12"/>
  <c r="T9884" i="12"/>
  <c r="U9884" i="12"/>
  <c r="T9885" i="12"/>
  <c r="U9885" i="12"/>
  <c r="T9886" i="12"/>
  <c r="U9886" i="12"/>
  <c r="T9887" i="12"/>
  <c r="U9887" i="12"/>
  <c r="T9888" i="12"/>
  <c r="U9888" i="12"/>
  <c r="T9889" i="12"/>
  <c r="U9889" i="12"/>
  <c r="T9890" i="12"/>
  <c r="U9890" i="12"/>
  <c r="T9891" i="12"/>
  <c r="U9891" i="12"/>
  <c r="T9892" i="12"/>
  <c r="U9892" i="12"/>
  <c r="T9893" i="12"/>
  <c r="U9893" i="12"/>
  <c r="T9894" i="12"/>
  <c r="U9894" i="12"/>
  <c r="T9895" i="12"/>
  <c r="U9895" i="12"/>
  <c r="T9896" i="12"/>
  <c r="U9896" i="12"/>
  <c r="T9897" i="12"/>
  <c r="U9897" i="12"/>
  <c r="T9898" i="12"/>
  <c r="U9898" i="12"/>
  <c r="T9899" i="12"/>
  <c r="U9899" i="12"/>
  <c r="T9900" i="12"/>
  <c r="U9900" i="12"/>
  <c r="T9901" i="12"/>
  <c r="U9901" i="12"/>
  <c r="T9902" i="12"/>
  <c r="U9902" i="12"/>
  <c r="T9903" i="12"/>
  <c r="U9903" i="12"/>
  <c r="T9904" i="12"/>
  <c r="U9904" i="12"/>
  <c r="T9905" i="12"/>
  <c r="U9905" i="12"/>
  <c r="T9906" i="12"/>
  <c r="U9906" i="12"/>
  <c r="T9907" i="12"/>
  <c r="U9907" i="12"/>
  <c r="T9908" i="12"/>
  <c r="U9908" i="12"/>
  <c r="T9909" i="12"/>
  <c r="U9909" i="12"/>
  <c r="T9910" i="12"/>
  <c r="U9910" i="12"/>
  <c r="T9911" i="12"/>
  <c r="U9911" i="12"/>
  <c r="T9912" i="12"/>
  <c r="U9912" i="12"/>
  <c r="T9913" i="12"/>
  <c r="U9913" i="12"/>
  <c r="T9914" i="12"/>
  <c r="U9914" i="12"/>
  <c r="T9915" i="12"/>
  <c r="U9915" i="12"/>
  <c r="T9916" i="12"/>
  <c r="U9916" i="12"/>
  <c r="T9917" i="12"/>
  <c r="U9917" i="12"/>
  <c r="T9918" i="12"/>
  <c r="U9918" i="12"/>
  <c r="T9919" i="12"/>
  <c r="U9919" i="12"/>
  <c r="T9920" i="12"/>
  <c r="U9920" i="12"/>
  <c r="T9921" i="12"/>
  <c r="U9921" i="12"/>
  <c r="T9922" i="12"/>
  <c r="U9922" i="12"/>
  <c r="T9923" i="12"/>
  <c r="U9923" i="12"/>
  <c r="T9924" i="12"/>
  <c r="U9924" i="12"/>
  <c r="T9925" i="12"/>
  <c r="U9925" i="12"/>
  <c r="T9926" i="12"/>
  <c r="U9926" i="12"/>
  <c r="T9927" i="12"/>
  <c r="U9927" i="12"/>
  <c r="T9928" i="12"/>
  <c r="U9928" i="12"/>
  <c r="T9929" i="12"/>
  <c r="U9929" i="12"/>
  <c r="T9930" i="12"/>
  <c r="U9930" i="12"/>
  <c r="T9931" i="12"/>
  <c r="U9931" i="12"/>
  <c r="T9932" i="12"/>
  <c r="U9932" i="12"/>
  <c r="T9933" i="12"/>
  <c r="U9933" i="12"/>
  <c r="T9934" i="12"/>
  <c r="U9934" i="12"/>
  <c r="T9935" i="12"/>
  <c r="U9935" i="12"/>
  <c r="T9936" i="12"/>
  <c r="U9936" i="12"/>
  <c r="T9937" i="12"/>
  <c r="U9937" i="12"/>
  <c r="T9938" i="12"/>
  <c r="U9938" i="12"/>
  <c r="T9939" i="12"/>
  <c r="U9939" i="12"/>
  <c r="T9940" i="12"/>
  <c r="U9940" i="12"/>
  <c r="T9941" i="12"/>
  <c r="U9941" i="12"/>
  <c r="T9942" i="12"/>
  <c r="U9942" i="12"/>
  <c r="T9943" i="12"/>
  <c r="U9943" i="12"/>
  <c r="T9944" i="12"/>
  <c r="U9944" i="12"/>
  <c r="T9945" i="12"/>
  <c r="U9945" i="12"/>
  <c r="T9946" i="12"/>
  <c r="U9946" i="12"/>
  <c r="T9947" i="12"/>
  <c r="U9947" i="12"/>
  <c r="T9948" i="12"/>
  <c r="U9948" i="12"/>
  <c r="T9949" i="12"/>
  <c r="U9949" i="12"/>
  <c r="T9950" i="12"/>
  <c r="U9950" i="12"/>
  <c r="T9951" i="12"/>
  <c r="U9951" i="12"/>
  <c r="T9952" i="12"/>
  <c r="U9952" i="12"/>
  <c r="T9953" i="12"/>
  <c r="U9953" i="12"/>
  <c r="T9954" i="12"/>
  <c r="U9954" i="12"/>
  <c r="T9955" i="12"/>
  <c r="U9955" i="12"/>
  <c r="T9956" i="12"/>
  <c r="U9956" i="12"/>
  <c r="T9957" i="12"/>
  <c r="U9957" i="12"/>
  <c r="T9958" i="12"/>
  <c r="U9958" i="12"/>
  <c r="T9959" i="12"/>
  <c r="U9959" i="12"/>
  <c r="T9960" i="12"/>
  <c r="U9960" i="12"/>
  <c r="T9961" i="12"/>
  <c r="U9961" i="12"/>
  <c r="T9962" i="12"/>
  <c r="U9962" i="12"/>
  <c r="T9963" i="12"/>
  <c r="U9963" i="12"/>
  <c r="T9964" i="12"/>
  <c r="U9964" i="12"/>
  <c r="T9965" i="12"/>
  <c r="U9965" i="12"/>
  <c r="T9966" i="12"/>
  <c r="U9966" i="12"/>
  <c r="T9967" i="12"/>
  <c r="U9967" i="12"/>
  <c r="T9968" i="12"/>
  <c r="U9968" i="12"/>
  <c r="T9969" i="12"/>
  <c r="U9969" i="12"/>
  <c r="T9970" i="12"/>
  <c r="U9970" i="12"/>
  <c r="T9971" i="12"/>
  <c r="U9971" i="12"/>
  <c r="T9972" i="12"/>
  <c r="U9972" i="12"/>
  <c r="T9973" i="12"/>
  <c r="U9973" i="12"/>
  <c r="T9974" i="12"/>
  <c r="U9974" i="12"/>
  <c r="T9975" i="12"/>
  <c r="U9975" i="12"/>
  <c r="T9976" i="12"/>
  <c r="U9976" i="12"/>
  <c r="T9977" i="12"/>
  <c r="U9977" i="12"/>
  <c r="T9978" i="12"/>
  <c r="U9978" i="12"/>
  <c r="T9979" i="12"/>
  <c r="U9979" i="12"/>
  <c r="T9980" i="12"/>
  <c r="U9980" i="12"/>
  <c r="T9981" i="12"/>
  <c r="U9981" i="12"/>
  <c r="T9982" i="12"/>
  <c r="U9982" i="12"/>
  <c r="T9983" i="12"/>
  <c r="U9983" i="12"/>
  <c r="T9984" i="12"/>
  <c r="U9984" i="12"/>
  <c r="T9985" i="12"/>
  <c r="U9985" i="12"/>
  <c r="T9986" i="12"/>
  <c r="U9986" i="12"/>
  <c r="T9987" i="12"/>
  <c r="U9987" i="12"/>
  <c r="T9988" i="12"/>
  <c r="U9988" i="12"/>
  <c r="T9989" i="12"/>
  <c r="U9989" i="12"/>
  <c r="T9990" i="12"/>
  <c r="U9990" i="12"/>
  <c r="T9991" i="12"/>
  <c r="U9991" i="12"/>
  <c r="T9992" i="12"/>
  <c r="U9992" i="12"/>
  <c r="T9993" i="12"/>
  <c r="U9993" i="12"/>
  <c r="T9994" i="12"/>
  <c r="U9994" i="12"/>
  <c r="T9995" i="12"/>
  <c r="U9995" i="12"/>
  <c r="T9996" i="12"/>
  <c r="U9996" i="12"/>
  <c r="T9997" i="12"/>
  <c r="U9997" i="12"/>
  <c r="T9998" i="12"/>
  <c r="U9998" i="12"/>
  <c r="T9999" i="12"/>
  <c r="U9999" i="12"/>
  <c r="T10000" i="12"/>
  <c r="U10000" i="12"/>
  <c r="T10001" i="12"/>
  <c r="U10001" i="12"/>
  <c r="T10002" i="12"/>
  <c r="U10002" i="12"/>
  <c r="T10003" i="12"/>
  <c r="U10003" i="12"/>
  <c r="T10004" i="12"/>
  <c r="U10004" i="12"/>
  <c r="T10005" i="12"/>
  <c r="U10005" i="12"/>
  <c r="T10006" i="12"/>
  <c r="U10006" i="12"/>
  <c r="T10007" i="12"/>
  <c r="U10007" i="12"/>
  <c r="T10008" i="12"/>
  <c r="U10008" i="12"/>
  <c r="T10009" i="12"/>
  <c r="U10009" i="12"/>
  <c r="T10010" i="12"/>
  <c r="U10010" i="12"/>
  <c r="T10011" i="12"/>
  <c r="U10011" i="12"/>
  <c r="T10012" i="12"/>
  <c r="U10012" i="12"/>
  <c r="T10013" i="12"/>
  <c r="U10013" i="12"/>
  <c r="T10014" i="12"/>
  <c r="U10014" i="12"/>
  <c r="T10015" i="12"/>
  <c r="U10015" i="12"/>
  <c r="T10016" i="12"/>
  <c r="U10016" i="12"/>
  <c r="T10017" i="12"/>
  <c r="U10017" i="12"/>
  <c r="T10018" i="12"/>
  <c r="U10018" i="12"/>
  <c r="T10019" i="12"/>
  <c r="U10019" i="12"/>
  <c r="T10020" i="12"/>
  <c r="U10020" i="12"/>
  <c r="T10021" i="12"/>
  <c r="U10021" i="12"/>
  <c r="T10022" i="12"/>
  <c r="U10022" i="12"/>
  <c r="T10023" i="12"/>
  <c r="U10023" i="12"/>
  <c r="T10024" i="12"/>
  <c r="U10024" i="12"/>
  <c r="T10025" i="12"/>
  <c r="U10025" i="12"/>
  <c r="T10026" i="12"/>
  <c r="U10026" i="12"/>
  <c r="T10027" i="12"/>
  <c r="U10027" i="12"/>
  <c r="T10028" i="12"/>
  <c r="U10028" i="12"/>
  <c r="T10029" i="12"/>
  <c r="U10029" i="12"/>
  <c r="T10030" i="12"/>
  <c r="U10030" i="12"/>
  <c r="T10031" i="12"/>
  <c r="U10031" i="12"/>
  <c r="T10032" i="12"/>
  <c r="U10032" i="12"/>
  <c r="T10033" i="12"/>
  <c r="U10033" i="12"/>
  <c r="T10034" i="12"/>
  <c r="U10034" i="12"/>
  <c r="T10035" i="12"/>
  <c r="U10035" i="12"/>
  <c r="T10036" i="12"/>
  <c r="U10036" i="12"/>
  <c r="T10037" i="12"/>
  <c r="U10037" i="12"/>
  <c r="T10038" i="12"/>
  <c r="U10038" i="12"/>
  <c r="T10039" i="12"/>
  <c r="U10039" i="12"/>
  <c r="T10040" i="12"/>
  <c r="U10040" i="12"/>
  <c r="T10041" i="12"/>
  <c r="U10041" i="12"/>
  <c r="T10042" i="12"/>
  <c r="U10042" i="12"/>
  <c r="T10043" i="12"/>
  <c r="U10043" i="12"/>
  <c r="T10044" i="12"/>
  <c r="U10044" i="12"/>
  <c r="T10045" i="12"/>
  <c r="U10045" i="12"/>
  <c r="T10046" i="12"/>
  <c r="U10046" i="12"/>
  <c r="T10047" i="12"/>
  <c r="U10047" i="12"/>
  <c r="T10048" i="12"/>
  <c r="U10048" i="12"/>
  <c r="T10049" i="12"/>
  <c r="U10049" i="12"/>
  <c r="T10050" i="12"/>
  <c r="U10050" i="12"/>
  <c r="T10051" i="12"/>
  <c r="U10051" i="12"/>
  <c r="T10052" i="12"/>
  <c r="U10052" i="12"/>
  <c r="T10053" i="12"/>
  <c r="U10053" i="12"/>
  <c r="T10054" i="12"/>
  <c r="U10054" i="12"/>
  <c r="T10055" i="12"/>
  <c r="U10055" i="12"/>
  <c r="T10056" i="12"/>
  <c r="U10056" i="12"/>
  <c r="T10057" i="12"/>
  <c r="U10057" i="12"/>
  <c r="T10058" i="12"/>
  <c r="U10058" i="12"/>
  <c r="T10059" i="12"/>
  <c r="U10059" i="12"/>
  <c r="T10060" i="12"/>
  <c r="U10060" i="12"/>
  <c r="T10061" i="12"/>
  <c r="U10061" i="12"/>
  <c r="T10062" i="12"/>
  <c r="U10062" i="12"/>
  <c r="T10063" i="12"/>
  <c r="U10063" i="12"/>
  <c r="T10064" i="12"/>
  <c r="U10064" i="12"/>
  <c r="T10065" i="12"/>
  <c r="U10065" i="12"/>
  <c r="T10066" i="12"/>
  <c r="U10066" i="12"/>
  <c r="T10067" i="12"/>
  <c r="U10067" i="12"/>
  <c r="T10068" i="12"/>
  <c r="U10068" i="12"/>
  <c r="T10069" i="12"/>
  <c r="U10069" i="12"/>
  <c r="T10070" i="12"/>
  <c r="U10070" i="12"/>
  <c r="T10071" i="12"/>
  <c r="U10071" i="12"/>
  <c r="T10072" i="12"/>
  <c r="U10072" i="12"/>
  <c r="T10073" i="12"/>
  <c r="U10073" i="12"/>
  <c r="T10074" i="12"/>
  <c r="U10074" i="12"/>
  <c r="T10075" i="12"/>
  <c r="U10075" i="12"/>
  <c r="T10076" i="12"/>
  <c r="U10076" i="12"/>
  <c r="T10077" i="12"/>
  <c r="U10077" i="12"/>
  <c r="T10078" i="12"/>
  <c r="U10078" i="12"/>
  <c r="T10079" i="12"/>
  <c r="U10079" i="12"/>
  <c r="T10080" i="12"/>
  <c r="U10080" i="12"/>
  <c r="T10081" i="12"/>
  <c r="U10081" i="12"/>
  <c r="T10082" i="12"/>
  <c r="U10082" i="12"/>
  <c r="T10083" i="12"/>
  <c r="U10083" i="12"/>
  <c r="T10084" i="12"/>
  <c r="U10084" i="12"/>
  <c r="T10085" i="12"/>
  <c r="U10085" i="12"/>
  <c r="T10086" i="12"/>
  <c r="U10086" i="12"/>
  <c r="T10087" i="12"/>
  <c r="U10087" i="12"/>
  <c r="T10088" i="12"/>
  <c r="U10088" i="12"/>
  <c r="T10089" i="12"/>
  <c r="U10089" i="12"/>
  <c r="T10090" i="12"/>
  <c r="U10090" i="12"/>
  <c r="T10091" i="12"/>
  <c r="U10091" i="12"/>
  <c r="T10092" i="12"/>
  <c r="U10092" i="12"/>
  <c r="T10093" i="12"/>
  <c r="U10093" i="12"/>
  <c r="T10094" i="12"/>
  <c r="U10094" i="12"/>
  <c r="T10095" i="12"/>
  <c r="U10095" i="12"/>
  <c r="T10096" i="12"/>
  <c r="U10096" i="12"/>
  <c r="T10097" i="12"/>
  <c r="U10097" i="12"/>
  <c r="T10098" i="12"/>
  <c r="U10098" i="12"/>
  <c r="T10099" i="12"/>
  <c r="U10099" i="12"/>
  <c r="T10100" i="12"/>
  <c r="U10100" i="12"/>
  <c r="T10101" i="12"/>
  <c r="U10101" i="12"/>
  <c r="T10102" i="12"/>
  <c r="U10102" i="12"/>
  <c r="T10103" i="12"/>
  <c r="U10103" i="12"/>
  <c r="T10104" i="12"/>
  <c r="U10104" i="12"/>
  <c r="T10105" i="12"/>
  <c r="U10105" i="12"/>
  <c r="T10106" i="12"/>
  <c r="U10106" i="12"/>
  <c r="T10107" i="12"/>
  <c r="U10107" i="12"/>
  <c r="T10108" i="12"/>
  <c r="U10108" i="12"/>
  <c r="T10109" i="12"/>
  <c r="U10109" i="12"/>
  <c r="T10110" i="12"/>
  <c r="U10110" i="12"/>
  <c r="T10111" i="12"/>
  <c r="U10111" i="12"/>
  <c r="T10112" i="12"/>
  <c r="U10112" i="12"/>
  <c r="T10113" i="12"/>
  <c r="U10113" i="12"/>
  <c r="T10114" i="12"/>
  <c r="U10114" i="12"/>
  <c r="T10115" i="12"/>
  <c r="U10115" i="12"/>
  <c r="T10116" i="12"/>
  <c r="U10116" i="12"/>
  <c r="T10117" i="12"/>
  <c r="U10117" i="12"/>
  <c r="T10118" i="12"/>
  <c r="U10118" i="12"/>
  <c r="T10119" i="12"/>
  <c r="U10119" i="12"/>
  <c r="T10120" i="12"/>
  <c r="U10120" i="12"/>
  <c r="T10121" i="12"/>
  <c r="U10121" i="12"/>
  <c r="T10122" i="12"/>
  <c r="U10122" i="12"/>
  <c r="T10123" i="12"/>
  <c r="U10123" i="12"/>
  <c r="T10124" i="12"/>
  <c r="U10124" i="12"/>
  <c r="T10125" i="12"/>
  <c r="U10125" i="12"/>
  <c r="T10126" i="12"/>
  <c r="U10126" i="12"/>
  <c r="T10127" i="12"/>
  <c r="U10127" i="12"/>
  <c r="T10128" i="12"/>
  <c r="U10128" i="12"/>
  <c r="T10129" i="12"/>
  <c r="U10129" i="12"/>
  <c r="T10130" i="12"/>
  <c r="U10130" i="12"/>
  <c r="T10131" i="12"/>
  <c r="U10131" i="12"/>
  <c r="T10132" i="12"/>
  <c r="U10132" i="12"/>
  <c r="T10133" i="12"/>
  <c r="U10133" i="12"/>
  <c r="T10134" i="12"/>
  <c r="U10134" i="12"/>
  <c r="T10135" i="12"/>
  <c r="U10135" i="12"/>
  <c r="T10136" i="12"/>
  <c r="U10136" i="12"/>
  <c r="T10137" i="12"/>
  <c r="U10137" i="12"/>
  <c r="T10138" i="12"/>
  <c r="U10138" i="12"/>
  <c r="T10139" i="12"/>
  <c r="U10139" i="12"/>
  <c r="T10140" i="12"/>
  <c r="U10140" i="12"/>
  <c r="T10141" i="12"/>
  <c r="U10141" i="12"/>
  <c r="T10142" i="12"/>
  <c r="U10142" i="12"/>
  <c r="T10143" i="12"/>
  <c r="U10143" i="12"/>
  <c r="T10144" i="12"/>
  <c r="U10144" i="12"/>
  <c r="T10145" i="12"/>
  <c r="U10145" i="12"/>
  <c r="T10146" i="12"/>
  <c r="U10146" i="12"/>
  <c r="T10147" i="12"/>
  <c r="U10147" i="12"/>
  <c r="T10148" i="12"/>
  <c r="U10148" i="12"/>
  <c r="T10149" i="12"/>
  <c r="U10149" i="12"/>
  <c r="T10150" i="12"/>
  <c r="U10150" i="12"/>
  <c r="T10151" i="12"/>
  <c r="U10151" i="12"/>
  <c r="T10152" i="12"/>
  <c r="U10152" i="12"/>
  <c r="T10153" i="12"/>
  <c r="U10153" i="12"/>
  <c r="T10154" i="12"/>
  <c r="U10154" i="12"/>
  <c r="T10155" i="12"/>
  <c r="U10155" i="12"/>
  <c r="T10156" i="12"/>
  <c r="U10156" i="12"/>
  <c r="T10157" i="12"/>
  <c r="U10157" i="12"/>
  <c r="T10158" i="12"/>
  <c r="U10158" i="12"/>
  <c r="T10159" i="12"/>
  <c r="U10159" i="12"/>
  <c r="T10160" i="12"/>
  <c r="U10160" i="12"/>
  <c r="T10161" i="12"/>
  <c r="U10161" i="12"/>
  <c r="T10162" i="12"/>
  <c r="U10162" i="12"/>
  <c r="T10163" i="12"/>
  <c r="U10163" i="12"/>
  <c r="T10164" i="12"/>
  <c r="U10164" i="12"/>
  <c r="T10165" i="12"/>
  <c r="U10165" i="12"/>
  <c r="T10166" i="12"/>
  <c r="U10166" i="12"/>
  <c r="T10167" i="12"/>
  <c r="U10167" i="12"/>
  <c r="T10168" i="12"/>
  <c r="U10168" i="12"/>
  <c r="T10169" i="12"/>
  <c r="U10169" i="12"/>
  <c r="T10170" i="12"/>
  <c r="U10170" i="12"/>
  <c r="T10171" i="12"/>
  <c r="U10171" i="12"/>
  <c r="T10172" i="12"/>
  <c r="U10172" i="12"/>
  <c r="T10173" i="12"/>
  <c r="U10173" i="12"/>
  <c r="T10174" i="12"/>
  <c r="U10174" i="12"/>
  <c r="T10175" i="12"/>
  <c r="U10175" i="12"/>
  <c r="T10176" i="12"/>
  <c r="U10176" i="12"/>
  <c r="T10177" i="12"/>
  <c r="U10177" i="12"/>
  <c r="T10178" i="12"/>
  <c r="U10178" i="12"/>
  <c r="T10179" i="12"/>
  <c r="U10179" i="12"/>
  <c r="T10180" i="12"/>
  <c r="U10180" i="12"/>
  <c r="T10181" i="12"/>
  <c r="U10181" i="12"/>
  <c r="T10182" i="12"/>
  <c r="U10182" i="12"/>
  <c r="T10183" i="12"/>
  <c r="U10183" i="12"/>
  <c r="T10184" i="12"/>
  <c r="U10184" i="12"/>
  <c r="T10185" i="12"/>
  <c r="U10185" i="12"/>
  <c r="T10186" i="12"/>
  <c r="U10186" i="12"/>
  <c r="T10187" i="12"/>
  <c r="U10187" i="12"/>
  <c r="T10188" i="12"/>
  <c r="U10188" i="12"/>
  <c r="T10189" i="12"/>
  <c r="U10189" i="12"/>
  <c r="T10190" i="12"/>
  <c r="U10190" i="12"/>
  <c r="T10191" i="12"/>
  <c r="U10191" i="12"/>
  <c r="T10192" i="12"/>
  <c r="U10192" i="12"/>
  <c r="T10193" i="12"/>
  <c r="U10193" i="12"/>
  <c r="T10194" i="12"/>
  <c r="U10194" i="12"/>
  <c r="T10195" i="12"/>
  <c r="U10195" i="12"/>
  <c r="T10196" i="12"/>
  <c r="U10196" i="12"/>
  <c r="T10197" i="12"/>
  <c r="U10197" i="12"/>
  <c r="T10198" i="12"/>
  <c r="U10198" i="12"/>
  <c r="T10199" i="12"/>
  <c r="U10199" i="12"/>
  <c r="T10200" i="12"/>
  <c r="U10200" i="12"/>
  <c r="T10201" i="12"/>
  <c r="U10201" i="12"/>
  <c r="T10202" i="12"/>
  <c r="U10202" i="12"/>
  <c r="T10203" i="12"/>
  <c r="U10203" i="12"/>
  <c r="T10204" i="12"/>
  <c r="U10204" i="12"/>
  <c r="T10205" i="12"/>
  <c r="U10205" i="12"/>
  <c r="T10206" i="12"/>
  <c r="U10206" i="12"/>
  <c r="T10207" i="12"/>
  <c r="U10207" i="12"/>
  <c r="T10208" i="12"/>
  <c r="U10208" i="12"/>
  <c r="T10209" i="12"/>
  <c r="U10209" i="12"/>
  <c r="T10210" i="12"/>
  <c r="U10210" i="12"/>
  <c r="T10211" i="12"/>
  <c r="U10211" i="12"/>
  <c r="T10212" i="12"/>
  <c r="U10212" i="12"/>
  <c r="T10213" i="12"/>
  <c r="U10213" i="12"/>
  <c r="T10214" i="12"/>
  <c r="U10214" i="12"/>
  <c r="T10215" i="12"/>
  <c r="U10215" i="12"/>
  <c r="T10216" i="12"/>
  <c r="U10216" i="12"/>
  <c r="T10217" i="12"/>
  <c r="U10217" i="12"/>
  <c r="T10218" i="12"/>
  <c r="U10218" i="12"/>
  <c r="T10219" i="12"/>
  <c r="U10219" i="12"/>
  <c r="T10220" i="12"/>
  <c r="U10220" i="12"/>
  <c r="T10221" i="12"/>
  <c r="U10221" i="12"/>
  <c r="T10222" i="12"/>
  <c r="U10222" i="12"/>
  <c r="T10223" i="12"/>
  <c r="U10223" i="12"/>
  <c r="T10224" i="12"/>
  <c r="U10224" i="12"/>
  <c r="T10225" i="12"/>
  <c r="U10225" i="12"/>
  <c r="T10226" i="12"/>
  <c r="U10226" i="12"/>
  <c r="T10227" i="12"/>
  <c r="U10227" i="12"/>
  <c r="T10228" i="12"/>
  <c r="U10228" i="12"/>
  <c r="T10229" i="12"/>
  <c r="U10229" i="12"/>
  <c r="T10230" i="12"/>
  <c r="U10230" i="12"/>
  <c r="T10231" i="12"/>
  <c r="U10231" i="12"/>
  <c r="T10232" i="12"/>
  <c r="U10232" i="12"/>
  <c r="T10233" i="12"/>
  <c r="U10233" i="12"/>
  <c r="T10234" i="12"/>
  <c r="U10234" i="12"/>
  <c r="T10235" i="12"/>
  <c r="U10235" i="12"/>
  <c r="T10236" i="12"/>
  <c r="U10236" i="12"/>
  <c r="T10237" i="12"/>
  <c r="U10237" i="12"/>
  <c r="T10238" i="12"/>
  <c r="U10238" i="12"/>
  <c r="T10239" i="12"/>
  <c r="U10239" i="12"/>
  <c r="T10240" i="12"/>
  <c r="U10240" i="12"/>
  <c r="T10241" i="12"/>
  <c r="U10241" i="12"/>
  <c r="T10242" i="12"/>
  <c r="U10242" i="12"/>
  <c r="T10243" i="12"/>
  <c r="U10243" i="12"/>
  <c r="T10244" i="12"/>
  <c r="U10244" i="12"/>
  <c r="T10245" i="12"/>
  <c r="U10245" i="12"/>
  <c r="T10246" i="12"/>
  <c r="U10246" i="12"/>
  <c r="T10247" i="12"/>
  <c r="U10247" i="12"/>
  <c r="T10248" i="12"/>
  <c r="U10248" i="12"/>
  <c r="T10249" i="12"/>
  <c r="U10249" i="12"/>
  <c r="T10250" i="12"/>
  <c r="U10250" i="12"/>
  <c r="T10251" i="12"/>
  <c r="U10251" i="12"/>
  <c r="T10252" i="12"/>
  <c r="U10252" i="12"/>
  <c r="T10253" i="12"/>
  <c r="U10253" i="12"/>
  <c r="T10254" i="12"/>
  <c r="U10254" i="12"/>
  <c r="T10255" i="12"/>
  <c r="U10255" i="12"/>
  <c r="T10256" i="12"/>
  <c r="U10256" i="12"/>
  <c r="T10257" i="12"/>
  <c r="U10257" i="12"/>
  <c r="T10258" i="12"/>
  <c r="U10258" i="12"/>
  <c r="T10259" i="12"/>
  <c r="U10259" i="12"/>
  <c r="T10260" i="12"/>
  <c r="U10260" i="12"/>
  <c r="T10261" i="12"/>
  <c r="U10261" i="12"/>
  <c r="T10262" i="12"/>
  <c r="U10262" i="12"/>
  <c r="T10263" i="12"/>
  <c r="U10263" i="12"/>
  <c r="T10264" i="12"/>
  <c r="U10264" i="12"/>
  <c r="T10265" i="12"/>
  <c r="U10265" i="12"/>
  <c r="T10266" i="12"/>
  <c r="U10266" i="12"/>
  <c r="T10267" i="12"/>
  <c r="U10267" i="12"/>
  <c r="T10268" i="12"/>
  <c r="U10268" i="12"/>
  <c r="T10269" i="12"/>
  <c r="U10269" i="12"/>
  <c r="T10270" i="12"/>
  <c r="U10270" i="12"/>
  <c r="T10271" i="12"/>
  <c r="U10271" i="12"/>
  <c r="T10272" i="12"/>
  <c r="U10272" i="12"/>
  <c r="T10273" i="12"/>
  <c r="U10273" i="12"/>
  <c r="T10274" i="12"/>
  <c r="U10274" i="12"/>
  <c r="T10275" i="12"/>
  <c r="U10275" i="12"/>
  <c r="T10276" i="12"/>
  <c r="U10276" i="12"/>
  <c r="T10277" i="12"/>
  <c r="U10277" i="12"/>
  <c r="T10278" i="12"/>
  <c r="U10278" i="12"/>
  <c r="T10279" i="12"/>
  <c r="U10279" i="12"/>
  <c r="T10280" i="12"/>
  <c r="U10280" i="12"/>
  <c r="T10281" i="12"/>
  <c r="U10281" i="12"/>
  <c r="T10282" i="12"/>
  <c r="U10282" i="12"/>
  <c r="T10283" i="12"/>
  <c r="U10283" i="12"/>
  <c r="T10284" i="12"/>
  <c r="U10284" i="12"/>
  <c r="T10285" i="12"/>
  <c r="U10285" i="12"/>
  <c r="T10286" i="12"/>
  <c r="U10286" i="12"/>
  <c r="T10287" i="12"/>
  <c r="U10287" i="12"/>
  <c r="T10288" i="12"/>
  <c r="U10288" i="12"/>
  <c r="T10289" i="12"/>
  <c r="U10289" i="12"/>
  <c r="T10290" i="12"/>
  <c r="U10290" i="12"/>
  <c r="T10291" i="12"/>
  <c r="U10291" i="12"/>
  <c r="T10292" i="12"/>
  <c r="U10292" i="12"/>
  <c r="T10293" i="12"/>
  <c r="U10293" i="12"/>
  <c r="T10294" i="12"/>
  <c r="U10294" i="12"/>
  <c r="T10295" i="12"/>
  <c r="U10295" i="12"/>
  <c r="T10296" i="12"/>
  <c r="U10296" i="12"/>
  <c r="T10297" i="12"/>
  <c r="U10297" i="12"/>
  <c r="T10298" i="12"/>
  <c r="U10298" i="12"/>
  <c r="T10299" i="12"/>
  <c r="U10299" i="12"/>
  <c r="T10300" i="12"/>
  <c r="U10300" i="12"/>
  <c r="T10301" i="12"/>
  <c r="U10301" i="12"/>
  <c r="T10302" i="12"/>
  <c r="U10302" i="12"/>
  <c r="T10303" i="12"/>
  <c r="U10303" i="12"/>
  <c r="T10304" i="12"/>
  <c r="U10304" i="12"/>
  <c r="T10305" i="12"/>
  <c r="U10305" i="12"/>
  <c r="T10306" i="12"/>
  <c r="U10306" i="12"/>
  <c r="T10307" i="12"/>
  <c r="U10307" i="12"/>
  <c r="T10308" i="12"/>
  <c r="U10308" i="12"/>
  <c r="T10309" i="12"/>
  <c r="U10309" i="12"/>
  <c r="T10310" i="12"/>
  <c r="U10310" i="12"/>
  <c r="T10311" i="12"/>
  <c r="U10311" i="12"/>
  <c r="T10312" i="12"/>
  <c r="U10312" i="12"/>
  <c r="T10313" i="12"/>
  <c r="U10313" i="12"/>
  <c r="T10314" i="12"/>
  <c r="U10314" i="12"/>
  <c r="T10315" i="12"/>
  <c r="U10315" i="12"/>
  <c r="T10316" i="12"/>
  <c r="U10316" i="12"/>
  <c r="T10317" i="12"/>
  <c r="U10317" i="12"/>
  <c r="T10318" i="12"/>
  <c r="U10318" i="12"/>
  <c r="T10319" i="12"/>
  <c r="U10319" i="12"/>
  <c r="T10320" i="12"/>
  <c r="U10320" i="12"/>
  <c r="T10321" i="12"/>
  <c r="U10321" i="12"/>
  <c r="T10322" i="12"/>
  <c r="U10322" i="12"/>
  <c r="T10323" i="12"/>
  <c r="U10323" i="12"/>
  <c r="T10324" i="12"/>
  <c r="U10324" i="12"/>
  <c r="T10325" i="12"/>
  <c r="U10325" i="12"/>
  <c r="T10326" i="12"/>
  <c r="U10326" i="12"/>
  <c r="T10327" i="12"/>
  <c r="U10327" i="12"/>
  <c r="T10328" i="12"/>
  <c r="U10328" i="12"/>
  <c r="T10329" i="12"/>
  <c r="U10329" i="12"/>
  <c r="T10330" i="12"/>
  <c r="U10330" i="12"/>
  <c r="T10331" i="12"/>
  <c r="U10331" i="12"/>
  <c r="T10332" i="12"/>
  <c r="U10332" i="12"/>
  <c r="T10333" i="12"/>
  <c r="U10333" i="12"/>
  <c r="T10334" i="12"/>
  <c r="U10334" i="12"/>
  <c r="T10335" i="12"/>
  <c r="U10335" i="12"/>
  <c r="T10336" i="12"/>
  <c r="U10336" i="12"/>
  <c r="T10337" i="12"/>
  <c r="U10337" i="12"/>
  <c r="T10338" i="12"/>
  <c r="U10338" i="12"/>
  <c r="T10339" i="12"/>
  <c r="U10339" i="12"/>
  <c r="T10340" i="12"/>
  <c r="U10340" i="12"/>
  <c r="T10341" i="12"/>
  <c r="U10341" i="12"/>
  <c r="T10342" i="12"/>
  <c r="U10342" i="12"/>
  <c r="T10343" i="12"/>
  <c r="U10343" i="12"/>
  <c r="T10344" i="12"/>
  <c r="U10344" i="12"/>
  <c r="T10345" i="12"/>
  <c r="U10345" i="12"/>
  <c r="T10346" i="12"/>
  <c r="U10346" i="12"/>
  <c r="T10347" i="12"/>
  <c r="U10347" i="12"/>
  <c r="T10348" i="12"/>
  <c r="U10348" i="12"/>
  <c r="T10349" i="12"/>
  <c r="U10349" i="12"/>
  <c r="T10350" i="12"/>
  <c r="U10350" i="12"/>
  <c r="T10351" i="12"/>
  <c r="U10351" i="12"/>
  <c r="T10352" i="12"/>
  <c r="U10352" i="12"/>
  <c r="T10353" i="12"/>
  <c r="U10353" i="12"/>
  <c r="T10354" i="12"/>
  <c r="U10354" i="12"/>
  <c r="T10355" i="12"/>
  <c r="U10355" i="12"/>
  <c r="T10356" i="12"/>
  <c r="U10356" i="12"/>
  <c r="T10357" i="12"/>
  <c r="U10357" i="12"/>
  <c r="T10358" i="12"/>
  <c r="U10358" i="12"/>
  <c r="T10359" i="12"/>
  <c r="U10359" i="12"/>
  <c r="T10360" i="12"/>
  <c r="U10360" i="12"/>
  <c r="T10361" i="12"/>
  <c r="U10361" i="12"/>
  <c r="T10362" i="12"/>
  <c r="U10362" i="12"/>
  <c r="T10363" i="12"/>
  <c r="U10363" i="12"/>
  <c r="T10364" i="12"/>
  <c r="U10364" i="12"/>
  <c r="T10365" i="12"/>
  <c r="U10365" i="12"/>
  <c r="T10366" i="12"/>
  <c r="U10366" i="12"/>
  <c r="T10367" i="12"/>
  <c r="U10367" i="12"/>
  <c r="T10368" i="12"/>
  <c r="U10368" i="12"/>
  <c r="T10369" i="12"/>
  <c r="U10369" i="12"/>
  <c r="T10370" i="12"/>
  <c r="U10370" i="12"/>
  <c r="T10371" i="12"/>
  <c r="U10371" i="12"/>
  <c r="T10372" i="12"/>
  <c r="U10372" i="12"/>
  <c r="T10373" i="12"/>
  <c r="U10373" i="12"/>
  <c r="T10374" i="12"/>
  <c r="U10374" i="12"/>
  <c r="T10375" i="12"/>
  <c r="U10375" i="12"/>
  <c r="T10376" i="12"/>
  <c r="U10376" i="12"/>
  <c r="T10377" i="12"/>
  <c r="U10377" i="12"/>
  <c r="T10378" i="12"/>
  <c r="U10378" i="12"/>
  <c r="T10379" i="12"/>
  <c r="U10379" i="12"/>
  <c r="T10380" i="12"/>
  <c r="U10380" i="12"/>
  <c r="T10381" i="12"/>
  <c r="U10381" i="12"/>
  <c r="T10382" i="12"/>
  <c r="U10382" i="12"/>
  <c r="T10383" i="12"/>
  <c r="U10383" i="12"/>
  <c r="T10384" i="12"/>
  <c r="U10384" i="12"/>
  <c r="T10385" i="12"/>
  <c r="U10385" i="12"/>
  <c r="T10386" i="12"/>
  <c r="U10386" i="12"/>
  <c r="T10387" i="12"/>
  <c r="U10387" i="12"/>
  <c r="T10388" i="12"/>
  <c r="U10388" i="12"/>
  <c r="T10389" i="12"/>
  <c r="U10389" i="12"/>
  <c r="T10390" i="12"/>
  <c r="U10390" i="12"/>
  <c r="T10391" i="12"/>
  <c r="U10391" i="12"/>
  <c r="T10392" i="12"/>
  <c r="U10392" i="12"/>
  <c r="T10393" i="12"/>
  <c r="U10393" i="12"/>
  <c r="T10394" i="12"/>
  <c r="U10394" i="12"/>
  <c r="T10395" i="12"/>
  <c r="U10395" i="12"/>
  <c r="T10396" i="12"/>
  <c r="U10396" i="12"/>
  <c r="T10397" i="12"/>
  <c r="U10397" i="12"/>
  <c r="T10398" i="12"/>
  <c r="U10398" i="12"/>
  <c r="T10399" i="12"/>
  <c r="U10399" i="12"/>
  <c r="T10400" i="12"/>
  <c r="U10400" i="12"/>
  <c r="T10401" i="12"/>
  <c r="U10401" i="12"/>
  <c r="T10402" i="12"/>
  <c r="U10402" i="12"/>
  <c r="T10403" i="12"/>
  <c r="U10403" i="12"/>
  <c r="T10404" i="12"/>
  <c r="U10404" i="12"/>
  <c r="T10405" i="12"/>
  <c r="U10405" i="12"/>
  <c r="T10406" i="12"/>
  <c r="U10406" i="12"/>
  <c r="T10407" i="12"/>
  <c r="U10407" i="12"/>
  <c r="T10408" i="12"/>
  <c r="U10408" i="12"/>
  <c r="T10409" i="12"/>
  <c r="U10409" i="12"/>
  <c r="T10410" i="12"/>
  <c r="U10410" i="12"/>
  <c r="T10411" i="12"/>
  <c r="U10411" i="12"/>
  <c r="T10412" i="12"/>
  <c r="U10412" i="12"/>
  <c r="T10413" i="12"/>
  <c r="U10413" i="12"/>
  <c r="T10414" i="12"/>
  <c r="U10414" i="12"/>
  <c r="T10415" i="12"/>
  <c r="U10415" i="12"/>
  <c r="T10416" i="12"/>
  <c r="U10416" i="12"/>
  <c r="T10417" i="12"/>
  <c r="U10417" i="12"/>
  <c r="T10418" i="12"/>
  <c r="U10418" i="12"/>
  <c r="T10419" i="12"/>
  <c r="U10419" i="12"/>
  <c r="T10420" i="12"/>
  <c r="U10420" i="12"/>
  <c r="T10421" i="12"/>
  <c r="U10421" i="12"/>
  <c r="T10422" i="12"/>
  <c r="U10422" i="12"/>
  <c r="T10423" i="12"/>
  <c r="U10423" i="12"/>
  <c r="T10424" i="12"/>
  <c r="U10424" i="12"/>
  <c r="T10425" i="12"/>
  <c r="U10425" i="12"/>
  <c r="T10426" i="12"/>
  <c r="U10426" i="12"/>
  <c r="T10427" i="12"/>
  <c r="U10427" i="12"/>
  <c r="T10428" i="12"/>
  <c r="U10428" i="12"/>
  <c r="T10429" i="12"/>
  <c r="U10429" i="12"/>
  <c r="T10430" i="12"/>
  <c r="U10430" i="12"/>
  <c r="T10431" i="12"/>
  <c r="U10431" i="12"/>
  <c r="T10432" i="12"/>
  <c r="U10432" i="12"/>
  <c r="T10433" i="12"/>
  <c r="U10433" i="12"/>
  <c r="T10434" i="12"/>
  <c r="U10434" i="12"/>
  <c r="T10435" i="12"/>
  <c r="U10435" i="12"/>
  <c r="T10436" i="12"/>
  <c r="U10436" i="12"/>
  <c r="T10437" i="12"/>
  <c r="U10437" i="12"/>
  <c r="T10438" i="12"/>
  <c r="U10438" i="12"/>
  <c r="T10439" i="12"/>
  <c r="U10439" i="12"/>
  <c r="T10440" i="12"/>
  <c r="U10440" i="12"/>
  <c r="T10441" i="12"/>
  <c r="U10441" i="12"/>
  <c r="T10442" i="12"/>
  <c r="U10442" i="12"/>
  <c r="T10443" i="12"/>
  <c r="U10443" i="12"/>
  <c r="T10444" i="12"/>
  <c r="U10444" i="12"/>
  <c r="T10445" i="12"/>
  <c r="U10445" i="12"/>
  <c r="T10446" i="12"/>
  <c r="U10446" i="12"/>
  <c r="T10447" i="12"/>
  <c r="U10447" i="12"/>
  <c r="T10448" i="12"/>
  <c r="U10448" i="12"/>
  <c r="T10449" i="12"/>
  <c r="U10449" i="12"/>
  <c r="T10450" i="12"/>
  <c r="U10450" i="12"/>
  <c r="T10451" i="12"/>
  <c r="U10451" i="12"/>
  <c r="T10452" i="12"/>
  <c r="U10452" i="12"/>
  <c r="T10453" i="12"/>
  <c r="U10453" i="12"/>
  <c r="T10454" i="12"/>
  <c r="U10454" i="12"/>
  <c r="T10455" i="12"/>
  <c r="U10455" i="12"/>
  <c r="T10456" i="12"/>
  <c r="U10456" i="12"/>
  <c r="T10457" i="12"/>
  <c r="U10457" i="12"/>
  <c r="T10458" i="12"/>
  <c r="U10458" i="12"/>
  <c r="T10459" i="12"/>
  <c r="U10459" i="12"/>
  <c r="T10460" i="12"/>
  <c r="U10460" i="12"/>
  <c r="T10461" i="12"/>
  <c r="U10461" i="12"/>
  <c r="T10462" i="12"/>
  <c r="U10462" i="12"/>
  <c r="T10463" i="12"/>
  <c r="U10463" i="12"/>
  <c r="T10464" i="12"/>
  <c r="U10464" i="12"/>
  <c r="T10465" i="12"/>
  <c r="U10465" i="12"/>
  <c r="T10466" i="12"/>
  <c r="U10466" i="12"/>
  <c r="T10467" i="12"/>
  <c r="U10467" i="12"/>
  <c r="T10468" i="12"/>
  <c r="U10468" i="12"/>
  <c r="T10469" i="12"/>
  <c r="U10469" i="12"/>
  <c r="T10470" i="12"/>
  <c r="U10470" i="12"/>
  <c r="T10471" i="12"/>
  <c r="U10471" i="12"/>
  <c r="T10472" i="12"/>
  <c r="U10472" i="12"/>
  <c r="T10473" i="12"/>
  <c r="U10473" i="12"/>
  <c r="T10474" i="12"/>
  <c r="U10474" i="12"/>
  <c r="T10475" i="12"/>
  <c r="U10475" i="12"/>
  <c r="T10476" i="12"/>
  <c r="U10476" i="12"/>
  <c r="T10477" i="12"/>
  <c r="U10477" i="12"/>
  <c r="T10478" i="12"/>
  <c r="U10478" i="12"/>
  <c r="T10479" i="12"/>
  <c r="U10479" i="12"/>
  <c r="T10480" i="12"/>
  <c r="U10480" i="12"/>
  <c r="T10481" i="12"/>
  <c r="U10481" i="12"/>
  <c r="T10482" i="12"/>
  <c r="U10482" i="12"/>
  <c r="T10483" i="12"/>
  <c r="U10483" i="12"/>
  <c r="T10484" i="12"/>
  <c r="U10484" i="12"/>
  <c r="T10485" i="12"/>
  <c r="U10485" i="12"/>
  <c r="T10486" i="12"/>
  <c r="U10486" i="12"/>
  <c r="T10487" i="12"/>
  <c r="U10487" i="12"/>
  <c r="T10488" i="12"/>
  <c r="U10488" i="12"/>
  <c r="T10489" i="12"/>
  <c r="U10489" i="12"/>
  <c r="T10490" i="12"/>
  <c r="U10490" i="12"/>
  <c r="T10491" i="12"/>
  <c r="U10491" i="12"/>
  <c r="T10492" i="12"/>
  <c r="U10492" i="12"/>
  <c r="T10493" i="12"/>
  <c r="U10493" i="12"/>
  <c r="T10494" i="12"/>
  <c r="U10494" i="12"/>
  <c r="T10495" i="12"/>
  <c r="U10495" i="12"/>
  <c r="T10496" i="12"/>
  <c r="U10496" i="12"/>
  <c r="T10497" i="12"/>
  <c r="U10497" i="12"/>
  <c r="T10498" i="12"/>
  <c r="U10498" i="12"/>
  <c r="T10499" i="12"/>
  <c r="U10499" i="12"/>
  <c r="T10500" i="12"/>
  <c r="U10500" i="12"/>
  <c r="T10501" i="12"/>
  <c r="U10501" i="12"/>
  <c r="T10502" i="12"/>
  <c r="U10502" i="12"/>
  <c r="T10503" i="12"/>
  <c r="U10503" i="12"/>
  <c r="T10504" i="12"/>
  <c r="U10504" i="12"/>
  <c r="T10505" i="12"/>
  <c r="U10505" i="12"/>
  <c r="T10506" i="12"/>
  <c r="U10506" i="12"/>
  <c r="T10507" i="12"/>
  <c r="U10507" i="12"/>
  <c r="T10508" i="12"/>
  <c r="U10508" i="12"/>
  <c r="T10509" i="12"/>
  <c r="U10509" i="12"/>
  <c r="T10510" i="12"/>
  <c r="U10510" i="12"/>
  <c r="T10511" i="12"/>
  <c r="U10511" i="12"/>
  <c r="T10512" i="12"/>
  <c r="U10512" i="12"/>
  <c r="T10513" i="12"/>
  <c r="U10513" i="12"/>
  <c r="T10514" i="12"/>
  <c r="U10514" i="12"/>
  <c r="T10515" i="12"/>
  <c r="U10515" i="12"/>
  <c r="T10516" i="12"/>
  <c r="U10516" i="12"/>
  <c r="T10517" i="12"/>
  <c r="U10517" i="12"/>
  <c r="T10518" i="12"/>
  <c r="U10518" i="12"/>
  <c r="T10519" i="12"/>
  <c r="U10519" i="12"/>
  <c r="T10520" i="12"/>
  <c r="U10520" i="12"/>
  <c r="T10521" i="12"/>
  <c r="U10521" i="12"/>
  <c r="T10522" i="12"/>
  <c r="U10522" i="12"/>
  <c r="T10523" i="12"/>
  <c r="U10523" i="12"/>
  <c r="T10524" i="12"/>
  <c r="U10524" i="12"/>
  <c r="T10525" i="12"/>
  <c r="U10525" i="12"/>
  <c r="T10526" i="12"/>
  <c r="U10526" i="12"/>
  <c r="T10527" i="12"/>
  <c r="U10527" i="12"/>
  <c r="T10528" i="12"/>
  <c r="U10528" i="12"/>
  <c r="T10529" i="12"/>
  <c r="U10529" i="12"/>
  <c r="T10530" i="12"/>
  <c r="U10530" i="12"/>
  <c r="T10531" i="12"/>
  <c r="U10531" i="12"/>
  <c r="T10532" i="12"/>
  <c r="U10532" i="12"/>
  <c r="T10533" i="12"/>
  <c r="U10533" i="12"/>
  <c r="T10534" i="12"/>
  <c r="U10534" i="12"/>
  <c r="T10535" i="12"/>
  <c r="U10535" i="12"/>
  <c r="T10536" i="12"/>
  <c r="U10536" i="12"/>
  <c r="T10537" i="12"/>
  <c r="U10537" i="12"/>
  <c r="T10538" i="12"/>
  <c r="U10538" i="12"/>
  <c r="T10539" i="12"/>
  <c r="U10539" i="12"/>
  <c r="T10540" i="12"/>
  <c r="U10540" i="12"/>
  <c r="T10541" i="12"/>
  <c r="U10541" i="12"/>
  <c r="T10542" i="12"/>
  <c r="U10542" i="12"/>
  <c r="T10543" i="12"/>
  <c r="U10543" i="12"/>
  <c r="T10544" i="12"/>
  <c r="U10544" i="12"/>
  <c r="T10545" i="12"/>
  <c r="U10545" i="12"/>
  <c r="T10546" i="12"/>
  <c r="U10546" i="12"/>
  <c r="T10547" i="12"/>
  <c r="U10547" i="12"/>
  <c r="T10548" i="12"/>
  <c r="U10548" i="12"/>
  <c r="T10549" i="12"/>
  <c r="U10549" i="12"/>
  <c r="T10550" i="12"/>
  <c r="U10550" i="12"/>
  <c r="T10551" i="12"/>
  <c r="U10551" i="12"/>
  <c r="T10552" i="12"/>
  <c r="U10552" i="12"/>
  <c r="T10553" i="12"/>
  <c r="U10553" i="12"/>
  <c r="T10554" i="12"/>
  <c r="U10554" i="12"/>
  <c r="T10555" i="12"/>
  <c r="U10555" i="12"/>
  <c r="T10556" i="12"/>
  <c r="U10556" i="12"/>
  <c r="T10557" i="12"/>
  <c r="U10557" i="12"/>
  <c r="T10558" i="12"/>
  <c r="U10558" i="12"/>
  <c r="T10559" i="12"/>
  <c r="U10559" i="12"/>
  <c r="T10560" i="12"/>
  <c r="U10560" i="12"/>
  <c r="T10561" i="12"/>
  <c r="U10561" i="12"/>
  <c r="T10562" i="12"/>
  <c r="U10562" i="12"/>
  <c r="T10563" i="12"/>
  <c r="U10563" i="12"/>
  <c r="T10564" i="12"/>
  <c r="U10564" i="12"/>
  <c r="T10565" i="12"/>
  <c r="U10565" i="12"/>
  <c r="T10566" i="12"/>
  <c r="U10566" i="12"/>
  <c r="T10567" i="12"/>
  <c r="U10567" i="12"/>
  <c r="T10568" i="12"/>
  <c r="U10568" i="12"/>
  <c r="T10569" i="12"/>
  <c r="U10569" i="12"/>
  <c r="T10570" i="12"/>
  <c r="U10570" i="12"/>
  <c r="T10571" i="12"/>
  <c r="U10571" i="12"/>
  <c r="T10572" i="12"/>
  <c r="U10572" i="12"/>
  <c r="T10573" i="12"/>
  <c r="U10573" i="12"/>
  <c r="T10574" i="12"/>
  <c r="U10574" i="12"/>
  <c r="T10575" i="12"/>
  <c r="U10575" i="12"/>
  <c r="T10576" i="12"/>
  <c r="U10576" i="12"/>
  <c r="T10577" i="12"/>
  <c r="U10577" i="12"/>
  <c r="T10578" i="12"/>
  <c r="U10578" i="12"/>
  <c r="T10579" i="12"/>
  <c r="U10579" i="12"/>
  <c r="T10580" i="12"/>
  <c r="U10580" i="12"/>
  <c r="T10581" i="12"/>
  <c r="U10581" i="12"/>
  <c r="T10582" i="12"/>
  <c r="U10582" i="12"/>
  <c r="T10583" i="12"/>
  <c r="U10583" i="12"/>
  <c r="T10584" i="12"/>
  <c r="U10584" i="12"/>
  <c r="T10585" i="12"/>
  <c r="U10585" i="12"/>
  <c r="T10586" i="12"/>
  <c r="U10586" i="12"/>
  <c r="T10587" i="12"/>
  <c r="U10587" i="12"/>
  <c r="T10588" i="12"/>
  <c r="U10588" i="12"/>
  <c r="T10589" i="12"/>
  <c r="U10589" i="12"/>
  <c r="T10590" i="12"/>
  <c r="U10590" i="12"/>
  <c r="T10591" i="12"/>
  <c r="U10591" i="12"/>
  <c r="T10592" i="12"/>
  <c r="U10592" i="12"/>
  <c r="T10593" i="12"/>
  <c r="U10593" i="12"/>
  <c r="T10594" i="12"/>
  <c r="U10594" i="12"/>
  <c r="T10595" i="12"/>
  <c r="U10595" i="12"/>
  <c r="T10596" i="12"/>
  <c r="U10596" i="12"/>
  <c r="T10597" i="12"/>
  <c r="U10597" i="12"/>
  <c r="T10598" i="12"/>
  <c r="U10598" i="12"/>
  <c r="T10599" i="12"/>
  <c r="U10599" i="12"/>
  <c r="T10600" i="12"/>
  <c r="U10600" i="12"/>
  <c r="T10601" i="12"/>
  <c r="U10601" i="12"/>
  <c r="T10602" i="12"/>
  <c r="U10602" i="12"/>
  <c r="T10603" i="12"/>
  <c r="U10603" i="12"/>
  <c r="T10604" i="12"/>
  <c r="U10604" i="12"/>
  <c r="T10605" i="12"/>
  <c r="U10605" i="12"/>
  <c r="T10606" i="12"/>
  <c r="U10606" i="12"/>
  <c r="T10607" i="12"/>
  <c r="U10607" i="12"/>
  <c r="T10608" i="12"/>
  <c r="U10608" i="12"/>
  <c r="T10609" i="12"/>
  <c r="U10609" i="12"/>
  <c r="T10610" i="12"/>
  <c r="U10610" i="12"/>
  <c r="T10611" i="12"/>
  <c r="U10611" i="12"/>
  <c r="T10612" i="12"/>
  <c r="U10612" i="12"/>
  <c r="T10613" i="12"/>
  <c r="U10613" i="12"/>
  <c r="T10614" i="12"/>
  <c r="U10614" i="12"/>
  <c r="T10615" i="12"/>
  <c r="U10615" i="12"/>
  <c r="T10616" i="12"/>
  <c r="U10616" i="12"/>
  <c r="T10617" i="12"/>
  <c r="U10617" i="12"/>
  <c r="T10618" i="12"/>
  <c r="U10618" i="12"/>
  <c r="T10619" i="12"/>
  <c r="U10619" i="12"/>
  <c r="T10620" i="12"/>
  <c r="U10620" i="12"/>
  <c r="T10621" i="12"/>
  <c r="U10621" i="12"/>
  <c r="T10622" i="12"/>
  <c r="U10622" i="12"/>
  <c r="T10623" i="12"/>
  <c r="U10623" i="12"/>
  <c r="T10624" i="12"/>
  <c r="U10624" i="12"/>
  <c r="T10625" i="12"/>
  <c r="U10625" i="12"/>
  <c r="T10626" i="12"/>
  <c r="U10626" i="12"/>
  <c r="T10627" i="12"/>
  <c r="U10627" i="12"/>
  <c r="T10628" i="12"/>
  <c r="U10628" i="12"/>
  <c r="T10629" i="12"/>
  <c r="U10629" i="12"/>
  <c r="T10630" i="12"/>
  <c r="U10630" i="12"/>
  <c r="T10631" i="12"/>
  <c r="U10631" i="12"/>
  <c r="T10632" i="12"/>
  <c r="U10632" i="12"/>
  <c r="T10633" i="12"/>
  <c r="U10633" i="12"/>
  <c r="T10634" i="12"/>
  <c r="U10634" i="12"/>
  <c r="T10635" i="12"/>
  <c r="U10635" i="12"/>
  <c r="T10636" i="12"/>
  <c r="U10636" i="12"/>
  <c r="T10637" i="12"/>
  <c r="U10637" i="12"/>
  <c r="T10638" i="12"/>
  <c r="U10638" i="12"/>
  <c r="T10639" i="12"/>
  <c r="U10639" i="12"/>
  <c r="T10640" i="12"/>
  <c r="U10640" i="12"/>
  <c r="T10641" i="12"/>
  <c r="U10641" i="12"/>
  <c r="T10642" i="12"/>
  <c r="U10642" i="12"/>
  <c r="T10643" i="12"/>
  <c r="U10643" i="12"/>
  <c r="T10644" i="12"/>
  <c r="U10644" i="12"/>
  <c r="T10645" i="12"/>
  <c r="U10645" i="12"/>
  <c r="T10646" i="12"/>
  <c r="U10646" i="12"/>
  <c r="T10647" i="12"/>
  <c r="U10647" i="12"/>
  <c r="T10648" i="12"/>
  <c r="U10648" i="12"/>
  <c r="T10649" i="12"/>
  <c r="U10649" i="12"/>
  <c r="T10650" i="12"/>
  <c r="U10650" i="12"/>
  <c r="T10651" i="12"/>
  <c r="U10651" i="12"/>
  <c r="T10652" i="12"/>
  <c r="U10652" i="12"/>
  <c r="T10653" i="12"/>
  <c r="U10653" i="12"/>
  <c r="T10654" i="12"/>
  <c r="U10654" i="12"/>
  <c r="T10655" i="12"/>
  <c r="U10655" i="12"/>
  <c r="T10656" i="12"/>
  <c r="U10656" i="12"/>
  <c r="T10657" i="12"/>
  <c r="U10657" i="12"/>
  <c r="T10658" i="12"/>
  <c r="U10658" i="12"/>
  <c r="T10659" i="12"/>
  <c r="U10659" i="12"/>
  <c r="T10660" i="12"/>
  <c r="U10660" i="12"/>
  <c r="T10661" i="12"/>
  <c r="U10661" i="12"/>
  <c r="T10662" i="12"/>
  <c r="U10662" i="12"/>
  <c r="T10663" i="12"/>
  <c r="U10663" i="12"/>
  <c r="T10664" i="12"/>
  <c r="U10664" i="12"/>
  <c r="T10665" i="12"/>
  <c r="U10665" i="12"/>
  <c r="T10666" i="12"/>
  <c r="U10666" i="12"/>
  <c r="T10667" i="12"/>
  <c r="U10667" i="12"/>
  <c r="T10668" i="12"/>
  <c r="U10668" i="12"/>
  <c r="T10669" i="12"/>
  <c r="U10669" i="12"/>
  <c r="U10670" i="12"/>
  <c r="T10671" i="12"/>
  <c r="U10671" i="12"/>
  <c r="T10672" i="12"/>
  <c r="U10672" i="12"/>
  <c r="T10673" i="12"/>
  <c r="U10673" i="12"/>
  <c r="T10674" i="12"/>
  <c r="U10674" i="12"/>
  <c r="T10675" i="12"/>
  <c r="U10675" i="12"/>
  <c r="T10676" i="12"/>
  <c r="U10676" i="12"/>
  <c r="T10677" i="12"/>
  <c r="U10677" i="12"/>
  <c r="T10678" i="12"/>
  <c r="U10678" i="12"/>
  <c r="T10679" i="12"/>
  <c r="U10679" i="12"/>
  <c r="T10680" i="12"/>
  <c r="U10680" i="12"/>
  <c r="T10681" i="12"/>
  <c r="U10681" i="12"/>
  <c r="T10682" i="12"/>
  <c r="U10682" i="12"/>
  <c r="T10683" i="12"/>
  <c r="U10683" i="12"/>
  <c r="T10684" i="12"/>
  <c r="U10684" i="12"/>
  <c r="T10685" i="12"/>
  <c r="U10685" i="12"/>
  <c r="T10686" i="12"/>
  <c r="U10686" i="12"/>
  <c r="T10687" i="12"/>
  <c r="U10687" i="12"/>
  <c r="T10688" i="12"/>
  <c r="U10688" i="12"/>
  <c r="T10689" i="12"/>
  <c r="U10689" i="12"/>
  <c r="T10690" i="12"/>
  <c r="U10690" i="12"/>
  <c r="T10691" i="12"/>
  <c r="U10691" i="12"/>
  <c r="T10692" i="12"/>
  <c r="U10692" i="12"/>
  <c r="T10693" i="12"/>
  <c r="U10693" i="12"/>
  <c r="T10694" i="12"/>
  <c r="U10694" i="12"/>
  <c r="T10695" i="12"/>
  <c r="U10695" i="12"/>
  <c r="T10696" i="12"/>
  <c r="U10696" i="12"/>
  <c r="T10697" i="12"/>
  <c r="U10697" i="12"/>
  <c r="T10698" i="12"/>
  <c r="U10698" i="12"/>
  <c r="T10699" i="12"/>
  <c r="U10699" i="12"/>
  <c r="T10700" i="12"/>
  <c r="U10700" i="12"/>
  <c r="T10701" i="12"/>
  <c r="U10701" i="12"/>
  <c r="T10702" i="12"/>
  <c r="U10702" i="12"/>
  <c r="T10703" i="12"/>
  <c r="U10703" i="12"/>
  <c r="T10704" i="12"/>
  <c r="U10704" i="12"/>
  <c r="T10705" i="12"/>
  <c r="U10705" i="12"/>
  <c r="T10706" i="12"/>
  <c r="U10706" i="12"/>
  <c r="T10707" i="12"/>
  <c r="U10707" i="12"/>
  <c r="T10708" i="12"/>
  <c r="U10708" i="12"/>
  <c r="T10709" i="12"/>
  <c r="U10709" i="12"/>
  <c r="T10710" i="12"/>
  <c r="U10710" i="12"/>
  <c r="T10711" i="12"/>
  <c r="U10711" i="12"/>
  <c r="T10712" i="12"/>
  <c r="U10712" i="12"/>
  <c r="T10713" i="12"/>
  <c r="U10713" i="12"/>
  <c r="T10714" i="12"/>
  <c r="U10714" i="12"/>
  <c r="T10715" i="12"/>
  <c r="U10715" i="12"/>
  <c r="T10716" i="12"/>
  <c r="U10716" i="12"/>
  <c r="T10717" i="12"/>
  <c r="U10717" i="12"/>
  <c r="T10718" i="12"/>
  <c r="U10718" i="12"/>
  <c r="T10719" i="12"/>
  <c r="U10719" i="12"/>
  <c r="T10720" i="12"/>
  <c r="U10720" i="12"/>
  <c r="T10721" i="12"/>
  <c r="U10721" i="12"/>
  <c r="T10722" i="12"/>
  <c r="U10722" i="12"/>
  <c r="T10723" i="12"/>
  <c r="U10723" i="12"/>
  <c r="T10724" i="12"/>
  <c r="U10724" i="12"/>
  <c r="T10725" i="12"/>
  <c r="U10725" i="12"/>
  <c r="T10726" i="12"/>
  <c r="U10726" i="12"/>
  <c r="T10727" i="12"/>
  <c r="U10727" i="12"/>
  <c r="T10728" i="12"/>
  <c r="U10728" i="12"/>
  <c r="T10729" i="12"/>
  <c r="U10729" i="12"/>
  <c r="T10730" i="12"/>
  <c r="U10730" i="12"/>
  <c r="T10731" i="12"/>
  <c r="U10731" i="12"/>
  <c r="T10732" i="12"/>
  <c r="U10732" i="12"/>
  <c r="T10733" i="12"/>
  <c r="U10733" i="12"/>
  <c r="T10734" i="12"/>
  <c r="U10734" i="12"/>
  <c r="T10735" i="12"/>
  <c r="U10735" i="12"/>
  <c r="T10736" i="12"/>
  <c r="U10736" i="12"/>
  <c r="T10737" i="12"/>
  <c r="U10737" i="12"/>
  <c r="T10738" i="12"/>
  <c r="U10738" i="12"/>
  <c r="T10739" i="12"/>
  <c r="U10739" i="12"/>
  <c r="T10740" i="12"/>
  <c r="U10740" i="12"/>
  <c r="T10741" i="12"/>
  <c r="U10741" i="12"/>
  <c r="T10742" i="12"/>
  <c r="U10742" i="12"/>
  <c r="T10743" i="12"/>
  <c r="U10743" i="12"/>
  <c r="T10744" i="12"/>
  <c r="U10744" i="12"/>
  <c r="T10745" i="12"/>
  <c r="U10745" i="12"/>
  <c r="T10746" i="12"/>
  <c r="U10746" i="12"/>
  <c r="T10747" i="12"/>
  <c r="U10747" i="12"/>
  <c r="T10748" i="12"/>
  <c r="U10748" i="12"/>
  <c r="T10749" i="12"/>
  <c r="U10749" i="12"/>
  <c r="T10750" i="12"/>
  <c r="U10750" i="12"/>
  <c r="T10751" i="12"/>
  <c r="U10751" i="12"/>
  <c r="T10752" i="12"/>
  <c r="U10752" i="12"/>
  <c r="T10753" i="12"/>
  <c r="U10753" i="12"/>
  <c r="T10754" i="12"/>
  <c r="U10754" i="12"/>
  <c r="T10755" i="12"/>
  <c r="U10755" i="12"/>
  <c r="T10756" i="12"/>
  <c r="U10756" i="12"/>
  <c r="T10757" i="12"/>
  <c r="U10757" i="12"/>
  <c r="T10758" i="12"/>
  <c r="U10758" i="12"/>
  <c r="T10759" i="12"/>
  <c r="U10759" i="12"/>
  <c r="T10760" i="12"/>
  <c r="U10760" i="12"/>
  <c r="T10761" i="12"/>
  <c r="U10761" i="12"/>
  <c r="T10762" i="12"/>
  <c r="U10762" i="12"/>
  <c r="T10763" i="12"/>
  <c r="U10763" i="12"/>
  <c r="T10764" i="12"/>
  <c r="U10764" i="12"/>
  <c r="T10765" i="12"/>
  <c r="U10765" i="12"/>
  <c r="T10766" i="12"/>
  <c r="U10766" i="12"/>
  <c r="T10767" i="12"/>
  <c r="U10767" i="12"/>
  <c r="T10768" i="12"/>
  <c r="U10768" i="12"/>
  <c r="T10769" i="12"/>
  <c r="U10769" i="12"/>
  <c r="T10770" i="12"/>
  <c r="U10770" i="12"/>
  <c r="T10771" i="12"/>
  <c r="U10771" i="12"/>
  <c r="T10772" i="12"/>
  <c r="U10772" i="12"/>
  <c r="T10773" i="12"/>
  <c r="U10773" i="12"/>
  <c r="T10774" i="12"/>
  <c r="U10774" i="12"/>
  <c r="T10775" i="12"/>
  <c r="U10775" i="12"/>
  <c r="T10776" i="12"/>
  <c r="U10776" i="12"/>
  <c r="T10777" i="12"/>
  <c r="U10777" i="12"/>
  <c r="T10778" i="12"/>
  <c r="U10778" i="12"/>
  <c r="T10779" i="12"/>
  <c r="U10779" i="12"/>
  <c r="T10780" i="12"/>
  <c r="U10780" i="12"/>
  <c r="T10781" i="12"/>
  <c r="U10781" i="12"/>
  <c r="T10782" i="12"/>
  <c r="U10782" i="12"/>
  <c r="T10783" i="12"/>
  <c r="U10783" i="12"/>
  <c r="T10784" i="12"/>
  <c r="U10784" i="12"/>
  <c r="T10785" i="12"/>
  <c r="U10785" i="12"/>
  <c r="T10786" i="12"/>
  <c r="U10786" i="12"/>
  <c r="T10787" i="12"/>
  <c r="U10787" i="12"/>
  <c r="T10788" i="12"/>
  <c r="U10788" i="12"/>
  <c r="T10789" i="12"/>
  <c r="U10789" i="12"/>
  <c r="T10790" i="12"/>
  <c r="U10790" i="12"/>
  <c r="T10791" i="12"/>
  <c r="U10791" i="12"/>
  <c r="T10792" i="12"/>
  <c r="U10792" i="12"/>
  <c r="T10793" i="12"/>
  <c r="U10793" i="12"/>
  <c r="T10794" i="12"/>
  <c r="U10794" i="12"/>
  <c r="T10795" i="12"/>
  <c r="U10795" i="12"/>
  <c r="T10796" i="12"/>
  <c r="U10796" i="12"/>
  <c r="T10797" i="12"/>
  <c r="U10797" i="12"/>
  <c r="T10798" i="12"/>
  <c r="U10798" i="12"/>
  <c r="T10799" i="12"/>
  <c r="U10799" i="12"/>
  <c r="T10800" i="12"/>
  <c r="U10800" i="12"/>
  <c r="T10801" i="12"/>
  <c r="U10801" i="12"/>
  <c r="T10802" i="12"/>
  <c r="U10802" i="12"/>
  <c r="T10803" i="12"/>
  <c r="U10803" i="12"/>
  <c r="T10804" i="12"/>
  <c r="U10804" i="12"/>
  <c r="T10805" i="12"/>
  <c r="U10805" i="12"/>
  <c r="T10806" i="12"/>
  <c r="U10806" i="12"/>
  <c r="T10807" i="12"/>
  <c r="U10807" i="12"/>
  <c r="T10808" i="12"/>
  <c r="U10808" i="12"/>
  <c r="T10809" i="12"/>
  <c r="U10809" i="12"/>
  <c r="T10810" i="12"/>
  <c r="U10810" i="12"/>
  <c r="T10811" i="12"/>
  <c r="U10811" i="12"/>
  <c r="T10812" i="12"/>
  <c r="U10812" i="12"/>
  <c r="T10813" i="12"/>
  <c r="U10813" i="12"/>
  <c r="T10814" i="12"/>
  <c r="U10814" i="12"/>
  <c r="T10815" i="12"/>
  <c r="U10815" i="12"/>
  <c r="T10816" i="12"/>
  <c r="U10816" i="12"/>
  <c r="T10817" i="12"/>
  <c r="U10817" i="12"/>
  <c r="T10818" i="12"/>
  <c r="U10818" i="12"/>
  <c r="T10819" i="12"/>
  <c r="U10819" i="12"/>
  <c r="T10820" i="12"/>
  <c r="U10820" i="12"/>
  <c r="T10821" i="12"/>
  <c r="U10821" i="12"/>
  <c r="T10822" i="12"/>
  <c r="U10822" i="12"/>
  <c r="T10823" i="12"/>
  <c r="U10823" i="12"/>
  <c r="T10824" i="12"/>
  <c r="U10824" i="12"/>
  <c r="T10825" i="12"/>
  <c r="U10825" i="12"/>
  <c r="T10826" i="12"/>
  <c r="U10826" i="12"/>
  <c r="T10827" i="12"/>
  <c r="U10827" i="12"/>
  <c r="T10828" i="12"/>
  <c r="U10828" i="12"/>
  <c r="T10829" i="12"/>
  <c r="U10829" i="12"/>
  <c r="T10830" i="12"/>
  <c r="U10830" i="12"/>
  <c r="T10831" i="12"/>
  <c r="U10831" i="12"/>
  <c r="T10832" i="12"/>
  <c r="U10832" i="12"/>
  <c r="T10833" i="12"/>
  <c r="U10833" i="12"/>
  <c r="T10834" i="12"/>
  <c r="U10834" i="12"/>
  <c r="T10835" i="12"/>
  <c r="U10835" i="12"/>
  <c r="T10836" i="12"/>
  <c r="U10836" i="12"/>
  <c r="T10837" i="12"/>
  <c r="U10837" i="12"/>
  <c r="T10838" i="12"/>
  <c r="U10838" i="12"/>
  <c r="T10839" i="12"/>
  <c r="U10839" i="12"/>
  <c r="T10840" i="12"/>
  <c r="U10840" i="12"/>
  <c r="T10841" i="12"/>
  <c r="U10841" i="12"/>
  <c r="T10842" i="12"/>
  <c r="U10842" i="12"/>
  <c r="T10843" i="12"/>
  <c r="U10843" i="12"/>
  <c r="T10844" i="12"/>
  <c r="U10844" i="12"/>
  <c r="T10845" i="12"/>
  <c r="U10845" i="12"/>
  <c r="T10846" i="12"/>
  <c r="U10846" i="12"/>
  <c r="T10847" i="12"/>
  <c r="U10847" i="12"/>
  <c r="T10848" i="12"/>
  <c r="U10848" i="12"/>
  <c r="T10849" i="12"/>
  <c r="U10849" i="12"/>
  <c r="T10850" i="12"/>
  <c r="U10850" i="12"/>
  <c r="T10851" i="12"/>
  <c r="U10851" i="12"/>
  <c r="T10852" i="12"/>
  <c r="U10852" i="12"/>
  <c r="T10853" i="12"/>
  <c r="U10853" i="12"/>
  <c r="T10854" i="12"/>
  <c r="U10854" i="12"/>
  <c r="T10855" i="12"/>
  <c r="U10855" i="12"/>
  <c r="T10856" i="12"/>
  <c r="U10856" i="12"/>
  <c r="T10857" i="12"/>
  <c r="U10857" i="12"/>
  <c r="T10858" i="12"/>
  <c r="U10858" i="12"/>
  <c r="T10859" i="12"/>
  <c r="U10859" i="12"/>
  <c r="T10860" i="12"/>
  <c r="U10860" i="12"/>
  <c r="T10861" i="12"/>
  <c r="U10861" i="12"/>
  <c r="T10862" i="12"/>
  <c r="U10862" i="12"/>
  <c r="T10863" i="12"/>
  <c r="U10863" i="12"/>
  <c r="T10864" i="12"/>
  <c r="U10864" i="12"/>
  <c r="T10865" i="12"/>
  <c r="U10865" i="12"/>
  <c r="T10866" i="12"/>
  <c r="U10866" i="12"/>
  <c r="T10867" i="12"/>
  <c r="U10867" i="12"/>
  <c r="T10868" i="12"/>
  <c r="U10868" i="12"/>
  <c r="T10869" i="12"/>
  <c r="U10869" i="12"/>
  <c r="T10870" i="12"/>
  <c r="U10870" i="12"/>
  <c r="T10871" i="12"/>
  <c r="U10871" i="12"/>
  <c r="T10872" i="12"/>
  <c r="U10872" i="12"/>
  <c r="T10873" i="12"/>
  <c r="U10873" i="12"/>
  <c r="T10874" i="12"/>
  <c r="U10874" i="12"/>
  <c r="T10875" i="12"/>
  <c r="U10875" i="12"/>
  <c r="T10876" i="12"/>
  <c r="U10876" i="12"/>
  <c r="T10877" i="12"/>
  <c r="U10877" i="12"/>
  <c r="T10878" i="12"/>
  <c r="U10878" i="12"/>
  <c r="T10879" i="12"/>
  <c r="U10879" i="12"/>
  <c r="T10880" i="12"/>
  <c r="U10880" i="12"/>
  <c r="T10881" i="12"/>
  <c r="U10881" i="12"/>
  <c r="T10882" i="12"/>
  <c r="U10882" i="12"/>
  <c r="T10883" i="12"/>
  <c r="U10883" i="12"/>
  <c r="T10884" i="12"/>
  <c r="U10884" i="12"/>
  <c r="T10885" i="12"/>
  <c r="U10885" i="12"/>
  <c r="T10886" i="12"/>
  <c r="U10886" i="12"/>
  <c r="T10887" i="12"/>
  <c r="U10887" i="12"/>
  <c r="T10888" i="12"/>
  <c r="U10888" i="12"/>
  <c r="T10889" i="12"/>
  <c r="U10889" i="12"/>
  <c r="T10890" i="12"/>
  <c r="U10890" i="12"/>
  <c r="T10891" i="12"/>
  <c r="U10891" i="12"/>
  <c r="T10892" i="12"/>
  <c r="U10892" i="12"/>
  <c r="T10893" i="12"/>
  <c r="U10893" i="12"/>
  <c r="T10894" i="12"/>
  <c r="U10894" i="12"/>
  <c r="T10895" i="12"/>
  <c r="U10895" i="12"/>
  <c r="T10896" i="12"/>
  <c r="U10896" i="12"/>
  <c r="T10897" i="12"/>
  <c r="U10897" i="12"/>
  <c r="T10898" i="12"/>
  <c r="U10898" i="12"/>
  <c r="T10899" i="12"/>
  <c r="U10899" i="12"/>
  <c r="T10900" i="12"/>
  <c r="U10900" i="12"/>
  <c r="T10901" i="12"/>
  <c r="U10901" i="12"/>
  <c r="T10902" i="12"/>
  <c r="U10902" i="12"/>
  <c r="T10903" i="12"/>
  <c r="U10903" i="12"/>
  <c r="T10904" i="12"/>
  <c r="U10904" i="12"/>
  <c r="T10905" i="12"/>
  <c r="U10905" i="12"/>
  <c r="T10906" i="12"/>
  <c r="U10906" i="12"/>
  <c r="T10907" i="12"/>
  <c r="U10907" i="12"/>
  <c r="T10908" i="12"/>
  <c r="U10908" i="12"/>
  <c r="T10909" i="12"/>
  <c r="U10909" i="12"/>
  <c r="T10910" i="12"/>
  <c r="U10910" i="12"/>
  <c r="T10911" i="12"/>
  <c r="U10911" i="12"/>
  <c r="T10912" i="12"/>
  <c r="U10912" i="12"/>
  <c r="T10913" i="12"/>
  <c r="U10913" i="12"/>
  <c r="T10914" i="12"/>
  <c r="U10914" i="12"/>
  <c r="T10915" i="12"/>
  <c r="U10915" i="12"/>
  <c r="T10916" i="12"/>
  <c r="U10916" i="12"/>
  <c r="T10917" i="12"/>
  <c r="U10917" i="12"/>
  <c r="T10918" i="12"/>
  <c r="U10918" i="12"/>
  <c r="T10919" i="12"/>
  <c r="U10919" i="12"/>
  <c r="T10920" i="12"/>
  <c r="U10920" i="12"/>
  <c r="T10921" i="12"/>
  <c r="U10921" i="12"/>
  <c r="T10922" i="12"/>
  <c r="U10922" i="12"/>
  <c r="T10923" i="12"/>
  <c r="U10923" i="12"/>
  <c r="T10924" i="12"/>
  <c r="U10924" i="12"/>
  <c r="T10925" i="12"/>
  <c r="U10925" i="12"/>
  <c r="T10926" i="12"/>
  <c r="U10926" i="12"/>
  <c r="T10927" i="12"/>
  <c r="U10927" i="12"/>
  <c r="T10928" i="12"/>
  <c r="U10928" i="12"/>
  <c r="T10929" i="12"/>
  <c r="U10929" i="12"/>
  <c r="T10930" i="12"/>
  <c r="U10930" i="12"/>
  <c r="T10931" i="12"/>
  <c r="U10931" i="12"/>
  <c r="T10932" i="12"/>
  <c r="U10932" i="12"/>
  <c r="T10933" i="12"/>
  <c r="U10933" i="12"/>
  <c r="T10934" i="12"/>
  <c r="U10934" i="12"/>
  <c r="T10935" i="12"/>
  <c r="U10935" i="12"/>
  <c r="T10936" i="12"/>
  <c r="U10936" i="12"/>
  <c r="T10937" i="12"/>
  <c r="U10937" i="12"/>
  <c r="T10938" i="12"/>
  <c r="U10938" i="12"/>
  <c r="T10939" i="12"/>
  <c r="U10939" i="12"/>
  <c r="T10940" i="12"/>
  <c r="U10940" i="12"/>
  <c r="T10941" i="12"/>
  <c r="U10941" i="12"/>
  <c r="T10942" i="12"/>
  <c r="U10942" i="12"/>
  <c r="T10943" i="12"/>
  <c r="U10943" i="12"/>
  <c r="T10944" i="12"/>
  <c r="U10944" i="12"/>
  <c r="T10945" i="12"/>
  <c r="U10945" i="12"/>
  <c r="T10946" i="12"/>
  <c r="U10946" i="12"/>
  <c r="T10947" i="12"/>
  <c r="U10947" i="12"/>
  <c r="T10948" i="12"/>
  <c r="U10948" i="12"/>
  <c r="T10949" i="12"/>
  <c r="U10949" i="12"/>
  <c r="T10950" i="12"/>
  <c r="U10950" i="12"/>
  <c r="T10951" i="12"/>
  <c r="U10951" i="12"/>
  <c r="T10952" i="12"/>
  <c r="U10952" i="12"/>
  <c r="T10953" i="12"/>
  <c r="U10953" i="12"/>
  <c r="T10954" i="12"/>
  <c r="U10954" i="12"/>
  <c r="T10955" i="12"/>
  <c r="U10955" i="12"/>
  <c r="T10956" i="12"/>
  <c r="U10956" i="12"/>
  <c r="T10957" i="12"/>
  <c r="U10957" i="12"/>
  <c r="T10958" i="12"/>
  <c r="U10958" i="12"/>
  <c r="T10959" i="12"/>
  <c r="U10959" i="12"/>
  <c r="T10960" i="12"/>
  <c r="U10960" i="12"/>
  <c r="T10961" i="12"/>
  <c r="U10961" i="12"/>
  <c r="T10962" i="12"/>
  <c r="U10962" i="12"/>
  <c r="T10963" i="12"/>
  <c r="U10963" i="12"/>
  <c r="T10964" i="12"/>
  <c r="U10964" i="12"/>
  <c r="T10965" i="12"/>
  <c r="U10965" i="12"/>
  <c r="T10966" i="12"/>
  <c r="U10966" i="12"/>
  <c r="T10967" i="12"/>
  <c r="U10967" i="12"/>
  <c r="T10968" i="12"/>
  <c r="U10968" i="12"/>
  <c r="T10969" i="12"/>
  <c r="U10969" i="12"/>
  <c r="T10970" i="12"/>
  <c r="U10970" i="12"/>
  <c r="T10971" i="12"/>
  <c r="U10971" i="12"/>
  <c r="T10972" i="12"/>
  <c r="U10972" i="12"/>
  <c r="T10973" i="12"/>
  <c r="U10973" i="12"/>
  <c r="T10974" i="12"/>
  <c r="U10974" i="12"/>
  <c r="T10975" i="12"/>
  <c r="U10975" i="12"/>
  <c r="T10976" i="12"/>
  <c r="U10976" i="12"/>
  <c r="T10977" i="12"/>
  <c r="U10977" i="12"/>
  <c r="T10978" i="12"/>
  <c r="U10978" i="12"/>
  <c r="T10979" i="12"/>
  <c r="U10979" i="12"/>
  <c r="T10980" i="12"/>
  <c r="U10980" i="12"/>
  <c r="T10981" i="12"/>
  <c r="U10981" i="12"/>
  <c r="T10982" i="12"/>
  <c r="U10982" i="12"/>
  <c r="T10983" i="12"/>
  <c r="U10983" i="12"/>
  <c r="T10984" i="12"/>
  <c r="U10984" i="12"/>
  <c r="T10985" i="12"/>
  <c r="U10985" i="12"/>
  <c r="T10986" i="12"/>
  <c r="U10986" i="12"/>
  <c r="T10987" i="12"/>
  <c r="U10987" i="12"/>
  <c r="T10988" i="12"/>
  <c r="U10988" i="12"/>
  <c r="T10989" i="12"/>
  <c r="U10989" i="12"/>
  <c r="T10990" i="12"/>
  <c r="U10990" i="12"/>
  <c r="T10991" i="12"/>
  <c r="U10991" i="12"/>
  <c r="T10992" i="12"/>
  <c r="U10992" i="12"/>
  <c r="T10993" i="12"/>
  <c r="U10993" i="12"/>
  <c r="T10994" i="12"/>
  <c r="U10994" i="12"/>
  <c r="T10995" i="12"/>
  <c r="U10995" i="12"/>
  <c r="T10996" i="12"/>
  <c r="U10996" i="12"/>
  <c r="T10997" i="12"/>
  <c r="U10997" i="12"/>
  <c r="T10998" i="12"/>
  <c r="U10998" i="12"/>
  <c r="T10999" i="12"/>
  <c r="U10999" i="12"/>
  <c r="T11000" i="12"/>
  <c r="U11000" i="12"/>
  <c r="T11001" i="12"/>
  <c r="U11001" i="12"/>
  <c r="T11002" i="12"/>
  <c r="U11002" i="12"/>
  <c r="T11003" i="12"/>
  <c r="U11003" i="12"/>
  <c r="T11004" i="12"/>
  <c r="U11004" i="12"/>
  <c r="T11005" i="12"/>
  <c r="U11005" i="12"/>
  <c r="T11006" i="12"/>
  <c r="U11006" i="12"/>
  <c r="T11007" i="12"/>
  <c r="U11007" i="12"/>
  <c r="T11008" i="12"/>
  <c r="U11008" i="12"/>
  <c r="T11009" i="12"/>
  <c r="U11009" i="12"/>
  <c r="T11010" i="12"/>
  <c r="U11010" i="12"/>
  <c r="T11011" i="12"/>
  <c r="U11011" i="12"/>
  <c r="T11012" i="12"/>
  <c r="U11012" i="12"/>
  <c r="T11013" i="12"/>
  <c r="U11013" i="12"/>
  <c r="T11014" i="12"/>
  <c r="U11014" i="12"/>
  <c r="T11015" i="12"/>
  <c r="U11015" i="12"/>
  <c r="T11016" i="12"/>
  <c r="U11016" i="12"/>
  <c r="T11017" i="12"/>
  <c r="U11017" i="12"/>
  <c r="T11018" i="12"/>
  <c r="U11018" i="12"/>
  <c r="T11019" i="12"/>
  <c r="U11019" i="12"/>
  <c r="T11020" i="12"/>
  <c r="U11020" i="12"/>
  <c r="T11021" i="12"/>
  <c r="U11021" i="12"/>
  <c r="T11022" i="12"/>
  <c r="U11022" i="12"/>
  <c r="T11023" i="12"/>
  <c r="U11023" i="12"/>
  <c r="T11024" i="12"/>
  <c r="U11024" i="12"/>
  <c r="T11025" i="12"/>
  <c r="U11025" i="12"/>
  <c r="T11026" i="12"/>
  <c r="U11026" i="12"/>
  <c r="T11027" i="12"/>
  <c r="U11027" i="12"/>
  <c r="T11028" i="12"/>
  <c r="U11028" i="12"/>
  <c r="T11029" i="12"/>
  <c r="U11029" i="12"/>
  <c r="T11030" i="12"/>
  <c r="U11030" i="12"/>
  <c r="T11031" i="12"/>
  <c r="U11031" i="12"/>
  <c r="T11032" i="12"/>
  <c r="U11032" i="12"/>
  <c r="T11033" i="12"/>
  <c r="U11033" i="12"/>
  <c r="T11034" i="12"/>
  <c r="U11034" i="12"/>
  <c r="T11035" i="12"/>
  <c r="U11035" i="12"/>
  <c r="T11036" i="12"/>
  <c r="U11036" i="12"/>
  <c r="T11037" i="12"/>
  <c r="U11037" i="12"/>
  <c r="T11038" i="12"/>
  <c r="U11038" i="12"/>
  <c r="T11039" i="12"/>
  <c r="U11039" i="12"/>
  <c r="T11040" i="12"/>
  <c r="U11040" i="12"/>
  <c r="T11041" i="12"/>
  <c r="U11041" i="12"/>
  <c r="T11042" i="12"/>
  <c r="U11042" i="12"/>
  <c r="T11043" i="12"/>
  <c r="U11043" i="12"/>
  <c r="T11044" i="12"/>
  <c r="U11044" i="12"/>
  <c r="T11045" i="12"/>
  <c r="U11045" i="12"/>
  <c r="T11046" i="12"/>
  <c r="U11046" i="12"/>
  <c r="T11047" i="12"/>
  <c r="U11047" i="12"/>
  <c r="T11048" i="12"/>
  <c r="U11048" i="12"/>
  <c r="T11049" i="12"/>
  <c r="U11049" i="12"/>
  <c r="T11050" i="12"/>
  <c r="U11050" i="12"/>
  <c r="T11051" i="12"/>
  <c r="U11051" i="12"/>
  <c r="T11052" i="12"/>
  <c r="U11052" i="12"/>
  <c r="T11053" i="12"/>
  <c r="U11053" i="12"/>
  <c r="T11054" i="12"/>
  <c r="U11054" i="12"/>
  <c r="T11055" i="12"/>
  <c r="U11055" i="12"/>
  <c r="T11056" i="12"/>
  <c r="U11056" i="12"/>
  <c r="T11057" i="12"/>
  <c r="U11057" i="12"/>
  <c r="T11058" i="12"/>
  <c r="U11058" i="12"/>
  <c r="T11059" i="12"/>
  <c r="U11059" i="12"/>
  <c r="T11060" i="12"/>
  <c r="U11060" i="12"/>
  <c r="T11061" i="12"/>
  <c r="U11061" i="12"/>
  <c r="T11062" i="12"/>
  <c r="U11062" i="12"/>
  <c r="T11063" i="12"/>
  <c r="U11063" i="12"/>
  <c r="T11064" i="12"/>
  <c r="U11064" i="12"/>
  <c r="T11065" i="12"/>
  <c r="U11065" i="12"/>
  <c r="T11066" i="12"/>
  <c r="U11066" i="12"/>
  <c r="T11067" i="12"/>
  <c r="U11067" i="12"/>
  <c r="T11068" i="12"/>
  <c r="U11068" i="12"/>
  <c r="T11069" i="12"/>
  <c r="U11069" i="12"/>
  <c r="T11070" i="12"/>
  <c r="U11070" i="12"/>
  <c r="T11071" i="12"/>
  <c r="U11071" i="12"/>
  <c r="T11072" i="12"/>
  <c r="U11072" i="12"/>
  <c r="T11073" i="12"/>
  <c r="U11073" i="12"/>
  <c r="T11074" i="12"/>
  <c r="U11074" i="12"/>
  <c r="T11075" i="12"/>
  <c r="U11075" i="12"/>
  <c r="T11076" i="12"/>
  <c r="U11076" i="12"/>
  <c r="T11077" i="12"/>
  <c r="U11077" i="12"/>
  <c r="T11078" i="12"/>
  <c r="U11078" i="12"/>
  <c r="T11079" i="12"/>
  <c r="U11079" i="12"/>
  <c r="T11080" i="12"/>
  <c r="U11080" i="12"/>
  <c r="T11081" i="12"/>
  <c r="U11081" i="12"/>
  <c r="T11082" i="12"/>
  <c r="U11082" i="12"/>
  <c r="T11083" i="12"/>
  <c r="U11083" i="12"/>
  <c r="T11084" i="12"/>
  <c r="U11084" i="12"/>
  <c r="T11085" i="12"/>
  <c r="U11085" i="12"/>
  <c r="T11086" i="12"/>
  <c r="U11086" i="12"/>
  <c r="T11087" i="12"/>
  <c r="U11087" i="12"/>
  <c r="T11088" i="12"/>
  <c r="U11088" i="12"/>
  <c r="T11089" i="12"/>
  <c r="U11089" i="12"/>
  <c r="T11090" i="12"/>
  <c r="U11090" i="12"/>
  <c r="T11091" i="12"/>
  <c r="U11091" i="12"/>
  <c r="T11092" i="12"/>
  <c r="U11092" i="12"/>
  <c r="T11093" i="12"/>
  <c r="U11093" i="12"/>
  <c r="T11094" i="12"/>
  <c r="U11094" i="12"/>
  <c r="T11095" i="12"/>
  <c r="U11095" i="12"/>
  <c r="T11096" i="12"/>
  <c r="U11096" i="12"/>
  <c r="T11097" i="12"/>
  <c r="U11097" i="12"/>
  <c r="T11098" i="12"/>
  <c r="U11098" i="12"/>
  <c r="T11099" i="12"/>
  <c r="U11099" i="12"/>
  <c r="T11100" i="12"/>
  <c r="U11100" i="12"/>
  <c r="T11101" i="12"/>
  <c r="U11101" i="12"/>
  <c r="T11102" i="12"/>
  <c r="U11102" i="12"/>
  <c r="T11103" i="12"/>
  <c r="U11103" i="12"/>
  <c r="T11104" i="12"/>
  <c r="U11104" i="12"/>
  <c r="T11105" i="12"/>
  <c r="U11105" i="12"/>
  <c r="T11106" i="12"/>
  <c r="U11106" i="12"/>
  <c r="T11107" i="12"/>
  <c r="U11107" i="12"/>
  <c r="T11108" i="12"/>
  <c r="U11108" i="12"/>
  <c r="T11109" i="12"/>
  <c r="U11109" i="12"/>
  <c r="T11110" i="12"/>
  <c r="U11110" i="12"/>
  <c r="T11111" i="12"/>
  <c r="U11111" i="12"/>
  <c r="T11112" i="12"/>
  <c r="U11112" i="12"/>
  <c r="T11113" i="12"/>
  <c r="U11113" i="12"/>
  <c r="T11114" i="12"/>
  <c r="U11114" i="12"/>
  <c r="T11115" i="12"/>
  <c r="U11115" i="12"/>
  <c r="T11116" i="12"/>
  <c r="U11116" i="12"/>
  <c r="T11117" i="12"/>
  <c r="U11117" i="12"/>
  <c r="T11118" i="12"/>
  <c r="U11118" i="12"/>
  <c r="T11119" i="12"/>
  <c r="U11119" i="12"/>
  <c r="T11120" i="12"/>
  <c r="U11120" i="12"/>
  <c r="T11121" i="12"/>
  <c r="U11121" i="12"/>
  <c r="T11122" i="12"/>
  <c r="U11122" i="12"/>
  <c r="T11123" i="12"/>
  <c r="U11123" i="12"/>
  <c r="T11124" i="12"/>
  <c r="U11124" i="12"/>
  <c r="T11125" i="12"/>
  <c r="U11125" i="12"/>
  <c r="T11126" i="12"/>
  <c r="U11126" i="12"/>
  <c r="T11127" i="12"/>
  <c r="U11127" i="12"/>
  <c r="T11128" i="12"/>
  <c r="U11128" i="12"/>
  <c r="T11129" i="12"/>
  <c r="U11129" i="12"/>
  <c r="T11130" i="12"/>
  <c r="U11130" i="12"/>
  <c r="T11131" i="12"/>
  <c r="U11131" i="12"/>
  <c r="T11132" i="12"/>
  <c r="U11132" i="12"/>
  <c r="T11133" i="12"/>
  <c r="U11133" i="12"/>
  <c r="T11134" i="12"/>
  <c r="U11134" i="12"/>
  <c r="T11135" i="12"/>
  <c r="U11135" i="12"/>
  <c r="T11136" i="12"/>
  <c r="U11136" i="12"/>
  <c r="T11137" i="12"/>
  <c r="U11137" i="12"/>
  <c r="T11138" i="12"/>
  <c r="U11138" i="12"/>
  <c r="T11139" i="12"/>
  <c r="U11139" i="12"/>
  <c r="T11140" i="12"/>
  <c r="U11140" i="12"/>
  <c r="T11141" i="12"/>
  <c r="U11141" i="12"/>
  <c r="T11142" i="12"/>
  <c r="U11142" i="12"/>
  <c r="T11143" i="12"/>
  <c r="U11143" i="12"/>
  <c r="T11144" i="12"/>
  <c r="U11144" i="12"/>
  <c r="T11145" i="12"/>
  <c r="U11145" i="12"/>
  <c r="T11146" i="12"/>
  <c r="U11146" i="12"/>
  <c r="T11147" i="12"/>
  <c r="U11147" i="12"/>
  <c r="T11148" i="12"/>
  <c r="U11148" i="12"/>
  <c r="T11149" i="12"/>
  <c r="U11149" i="12"/>
  <c r="T11150" i="12"/>
  <c r="U11150" i="12"/>
  <c r="T11151" i="12"/>
  <c r="U11151" i="12"/>
  <c r="T11152" i="12"/>
  <c r="U11152" i="12"/>
  <c r="T11153" i="12"/>
  <c r="U11153" i="12"/>
  <c r="T11154" i="12"/>
  <c r="U11154" i="12"/>
  <c r="T11155" i="12"/>
  <c r="U11155" i="12"/>
  <c r="T11156" i="12"/>
  <c r="U11156" i="12"/>
  <c r="T11157" i="12"/>
  <c r="U11157" i="12"/>
  <c r="T11158" i="12"/>
  <c r="U11158" i="12"/>
  <c r="T11159" i="12"/>
  <c r="U11159" i="12"/>
  <c r="T11160" i="12"/>
  <c r="U11160" i="12"/>
  <c r="T11161" i="12"/>
  <c r="U11161" i="12"/>
  <c r="T11162" i="12"/>
  <c r="U11162" i="12"/>
  <c r="T11163" i="12"/>
  <c r="U11163" i="12"/>
  <c r="T11164" i="12"/>
  <c r="U11164" i="12"/>
  <c r="T11165" i="12"/>
  <c r="U11165" i="12"/>
  <c r="T11166" i="12"/>
  <c r="U11166" i="12"/>
  <c r="T11167" i="12"/>
  <c r="U11167" i="12"/>
  <c r="T11168" i="12"/>
  <c r="U11168" i="12"/>
  <c r="T11169" i="12"/>
  <c r="U11169" i="12"/>
  <c r="T11170" i="12"/>
  <c r="U11170" i="12"/>
  <c r="T11171" i="12"/>
  <c r="U11171" i="12"/>
  <c r="T11172" i="12"/>
  <c r="U11172" i="12"/>
  <c r="T11173" i="12"/>
  <c r="U11173" i="12"/>
  <c r="T11174" i="12"/>
  <c r="U11174" i="12"/>
  <c r="T11175" i="12"/>
  <c r="U11175" i="12"/>
  <c r="T11176" i="12"/>
  <c r="U11176" i="12"/>
  <c r="T11177" i="12"/>
  <c r="U11177" i="12"/>
  <c r="T11178" i="12"/>
  <c r="U11178" i="12"/>
  <c r="T11179" i="12"/>
  <c r="U11179" i="12"/>
  <c r="T11180" i="12"/>
  <c r="U11180" i="12"/>
  <c r="T11181" i="12"/>
  <c r="U11181" i="12"/>
  <c r="T11182" i="12"/>
  <c r="U11182" i="12"/>
  <c r="T11183" i="12"/>
  <c r="U11183" i="12"/>
  <c r="T11184" i="12"/>
  <c r="U11184" i="12"/>
  <c r="T11185" i="12"/>
  <c r="U11185" i="12"/>
  <c r="T11186" i="12"/>
  <c r="U11186" i="12"/>
  <c r="T11187" i="12"/>
  <c r="U11187" i="12"/>
  <c r="T11188" i="12"/>
  <c r="U11188" i="12"/>
  <c r="T11189" i="12"/>
  <c r="U11189" i="12"/>
  <c r="T11190" i="12"/>
  <c r="U11190" i="12"/>
  <c r="T11191" i="12"/>
  <c r="U11191" i="12"/>
  <c r="T11192" i="12"/>
  <c r="U11192" i="12"/>
  <c r="T11193" i="12"/>
  <c r="U11193" i="12"/>
  <c r="T11194" i="12"/>
  <c r="U11194" i="12"/>
  <c r="T11195" i="12"/>
  <c r="U11195" i="12"/>
  <c r="T11196" i="12"/>
  <c r="U11196" i="12"/>
  <c r="T11197" i="12"/>
  <c r="U11197" i="12"/>
  <c r="T11198" i="12"/>
  <c r="U11198" i="12"/>
  <c r="T11199" i="12"/>
  <c r="U11199" i="12"/>
  <c r="T11200" i="12"/>
  <c r="U11200" i="12"/>
  <c r="T11201" i="12"/>
  <c r="U11201" i="12"/>
  <c r="T11202" i="12"/>
  <c r="U11202" i="12"/>
  <c r="T11203" i="12"/>
  <c r="U11203" i="12"/>
  <c r="T11204" i="12"/>
  <c r="U11204" i="12"/>
  <c r="T11205" i="12"/>
  <c r="U11205" i="12"/>
  <c r="T11206" i="12"/>
  <c r="U11206" i="12"/>
  <c r="T11207" i="12"/>
  <c r="U11207" i="12"/>
  <c r="T11208" i="12"/>
  <c r="U11208" i="12"/>
  <c r="T11209" i="12"/>
  <c r="U11209" i="12"/>
  <c r="T11210" i="12"/>
  <c r="U11210" i="12"/>
  <c r="T11211" i="12"/>
  <c r="U11211" i="12"/>
  <c r="T11212" i="12"/>
  <c r="U11212" i="12"/>
  <c r="T11213" i="12"/>
  <c r="U11213" i="12"/>
  <c r="T11214" i="12"/>
  <c r="U11214" i="12"/>
  <c r="T11215" i="12"/>
  <c r="U11215" i="12"/>
  <c r="T11216" i="12"/>
  <c r="U11216" i="12"/>
  <c r="T11217" i="12"/>
  <c r="U11217" i="12"/>
  <c r="T11218" i="12"/>
  <c r="U11218" i="12"/>
  <c r="T11219" i="12"/>
  <c r="U11219" i="12"/>
  <c r="T11220" i="12"/>
  <c r="U11220" i="12"/>
  <c r="T11221" i="12"/>
  <c r="U11221" i="12"/>
  <c r="T11222" i="12"/>
  <c r="U11222" i="12"/>
  <c r="T11223" i="12"/>
  <c r="U11223" i="12"/>
  <c r="T11224" i="12"/>
  <c r="U11224" i="12"/>
  <c r="T11225" i="12"/>
  <c r="U11225" i="12"/>
  <c r="T11226" i="12"/>
  <c r="U11226" i="12"/>
  <c r="T11227" i="12"/>
  <c r="U11227" i="12"/>
  <c r="T11228" i="12"/>
  <c r="U11228" i="12"/>
  <c r="T11229" i="12"/>
  <c r="U11229" i="12"/>
  <c r="T11230" i="12"/>
  <c r="U11230" i="12"/>
  <c r="T11231" i="12"/>
  <c r="U11231" i="12"/>
  <c r="T11232" i="12"/>
  <c r="U11232" i="12"/>
  <c r="T11233" i="12"/>
  <c r="U11233" i="12"/>
  <c r="T11234" i="12"/>
  <c r="U11234" i="12"/>
  <c r="T11235" i="12"/>
  <c r="U11235" i="12"/>
  <c r="T11236" i="12"/>
  <c r="U11236" i="12"/>
  <c r="T11237" i="12"/>
  <c r="U11237" i="12"/>
  <c r="T11238" i="12"/>
  <c r="U11238" i="12"/>
  <c r="T11239" i="12"/>
  <c r="U11239" i="12"/>
  <c r="T11240" i="12"/>
  <c r="U11240" i="12"/>
  <c r="T11241" i="12"/>
  <c r="U11241" i="12"/>
  <c r="T11242" i="12"/>
  <c r="U11242" i="12"/>
  <c r="T11243" i="12"/>
  <c r="U11243" i="12"/>
  <c r="T11244" i="12"/>
  <c r="U11244" i="12"/>
  <c r="T11245" i="12"/>
  <c r="U11245" i="12"/>
  <c r="T11246" i="12"/>
  <c r="U11246" i="12"/>
  <c r="T11247" i="12"/>
  <c r="U11247" i="12"/>
  <c r="T11248" i="12"/>
  <c r="U11248" i="12"/>
  <c r="T11249" i="12"/>
  <c r="U11249" i="12"/>
  <c r="T11250" i="12"/>
  <c r="U11250" i="12"/>
  <c r="T11251" i="12"/>
  <c r="U11251" i="12"/>
  <c r="T11252" i="12"/>
  <c r="U11252" i="12"/>
  <c r="T11253" i="12"/>
  <c r="U11253" i="12"/>
  <c r="T11254" i="12"/>
  <c r="U11254" i="12"/>
  <c r="T11255" i="12"/>
  <c r="U11255" i="12"/>
  <c r="T11256" i="12"/>
  <c r="U11256" i="12"/>
  <c r="T11257" i="12"/>
  <c r="U11257" i="12"/>
  <c r="T11258" i="12"/>
  <c r="U11258" i="12"/>
  <c r="T11259" i="12"/>
  <c r="U11259" i="12"/>
  <c r="T11260" i="12"/>
  <c r="U11260" i="12"/>
  <c r="T11261" i="12"/>
  <c r="U11261" i="12"/>
  <c r="T11262" i="12"/>
  <c r="U11262" i="12"/>
  <c r="T11263" i="12"/>
  <c r="U11263" i="12"/>
  <c r="T11264" i="12"/>
  <c r="U11264" i="12"/>
  <c r="T11265" i="12"/>
  <c r="U11265" i="12"/>
  <c r="T11266" i="12"/>
  <c r="U11266" i="12"/>
  <c r="T11267" i="12"/>
  <c r="U11267" i="12"/>
  <c r="T11268" i="12"/>
  <c r="U11268" i="12"/>
  <c r="T11269" i="12"/>
  <c r="U11269" i="12"/>
  <c r="T11270" i="12"/>
  <c r="U11270" i="12"/>
  <c r="T11271" i="12"/>
  <c r="U11271" i="12"/>
  <c r="T11272" i="12"/>
  <c r="U11272" i="12"/>
  <c r="T11273" i="12"/>
  <c r="U11273" i="12"/>
  <c r="T11274" i="12"/>
  <c r="U11274" i="12"/>
  <c r="D1657" i="8"/>
  <c r="D1656" i="8"/>
  <c r="D1655" i="8"/>
  <c r="D1654" i="8"/>
  <c r="D1653" i="8"/>
  <c r="D1652" i="8"/>
  <c r="D1651" i="8"/>
  <c r="D1650" i="8"/>
  <c r="D1649" i="8"/>
  <c r="D1648" i="8"/>
  <c r="D1647" i="8"/>
  <c r="D1646" i="8"/>
  <c r="D1645" i="8"/>
  <c r="D1644" i="8"/>
  <c r="D1643" i="8"/>
  <c r="D1642" i="8"/>
  <c r="D1641" i="8"/>
  <c r="D1640" i="8"/>
  <c r="D1639" i="8"/>
  <c r="D1638" i="8"/>
  <c r="D1637" i="8"/>
  <c r="D1636" i="8"/>
  <c r="D1635" i="8"/>
  <c r="D1634" i="8"/>
  <c r="D1633" i="8"/>
  <c r="D1632" i="8"/>
  <c r="D1631" i="8"/>
  <c r="D1630" i="8"/>
  <c r="D1629" i="8"/>
  <c r="D1628" i="8"/>
  <c r="D1627" i="8"/>
  <c r="D1626" i="8"/>
  <c r="D1625" i="8"/>
  <c r="D1624" i="8"/>
  <c r="D1623" i="8"/>
  <c r="D1622" i="8"/>
  <c r="D1621" i="8"/>
  <c r="D1620" i="8"/>
  <c r="D1619" i="8"/>
  <c r="D1618" i="8"/>
  <c r="D1617" i="8"/>
  <c r="D1616" i="8"/>
  <c r="D1615" i="8"/>
  <c r="D1614" i="8"/>
  <c r="D1613" i="8"/>
  <c r="D1612" i="8"/>
  <c r="D1611" i="8"/>
  <c r="D1610" i="8"/>
  <c r="D1609" i="8"/>
  <c r="D1608" i="8"/>
  <c r="D1607" i="8"/>
  <c r="D1606" i="8"/>
  <c r="D1605" i="8"/>
  <c r="D1604" i="8"/>
  <c r="D1603" i="8"/>
  <c r="D1602" i="8"/>
  <c r="D1601" i="8"/>
  <c r="D1600" i="8"/>
  <c r="D1599" i="8"/>
  <c r="D1598" i="8"/>
  <c r="D1597" i="8"/>
  <c r="D1596" i="8"/>
  <c r="D1595" i="8"/>
  <c r="D1594" i="8"/>
  <c r="D1593" i="8"/>
  <c r="D1592" i="8"/>
  <c r="D1591" i="8"/>
  <c r="D1590" i="8"/>
  <c r="D1589" i="8"/>
  <c r="D1588" i="8"/>
  <c r="D1587" i="8"/>
  <c r="D1586" i="8"/>
  <c r="D1585" i="8"/>
  <c r="D1584" i="8"/>
  <c r="D1583" i="8"/>
  <c r="D1582" i="8"/>
  <c r="D1581" i="8"/>
  <c r="D1580" i="8"/>
  <c r="D1579" i="8"/>
  <c r="D1578" i="8"/>
  <c r="D1577" i="8"/>
  <c r="D1576" i="8"/>
  <c r="D1575" i="8"/>
  <c r="D1574" i="8"/>
  <c r="D1573" i="8"/>
  <c r="D1572" i="8"/>
  <c r="D1571" i="8"/>
  <c r="D1570" i="8"/>
  <c r="D1569" i="8"/>
  <c r="D1568" i="8"/>
  <c r="D1567" i="8"/>
  <c r="D1566" i="8"/>
  <c r="D1565" i="8"/>
  <c r="D1564" i="8"/>
  <c r="D1563" i="8"/>
  <c r="D1562" i="8"/>
  <c r="D1561" i="8"/>
  <c r="D1560" i="8"/>
  <c r="D1559" i="8"/>
  <c r="D1558" i="8"/>
  <c r="D1557" i="8"/>
  <c r="D1556" i="8"/>
  <c r="D1555" i="8"/>
  <c r="D1554" i="8"/>
  <c r="D1553" i="8"/>
  <c r="D1552" i="8"/>
  <c r="D1551" i="8"/>
  <c r="D1550" i="8"/>
  <c r="D1549" i="8"/>
  <c r="D1548" i="8"/>
  <c r="D1547" i="8"/>
  <c r="D1546" i="8"/>
  <c r="D1545" i="8"/>
  <c r="D1544" i="8"/>
  <c r="D1543" i="8"/>
  <c r="D1542" i="8"/>
  <c r="D1541" i="8"/>
  <c r="D1540" i="8"/>
  <c r="D1539" i="8"/>
  <c r="D1538" i="8"/>
  <c r="D1537" i="8"/>
  <c r="D1536" i="8"/>
  <c r="D1535" i="8"/>
  <c r="D1534" i="8"/>
  <c r="D1533" i="8"/>
  <c r="D1532" i="8"/>
  <c r="D1531" i="8"/>
  <c r="D1530" i="8"/>
  <c r="D1529" i="8"/>
  <c r="D1528" i="8"/>
  <c r="D1527" i="8"/>
  <c r="D1526" i="8"/>
  <c r="D1525" i="8"/>
  <c r="D1524" i="8"/>
  <c r="D1523" i="8"/>
  <c r="D1522" i="8"/>
  <c r="D1521" i="8"/>
  <c r="D1520" i="8"/>
  <c r="D1519" i="8"/>
  <c r="D1518" i="8"/>
  <c r="D1517" i="8"/>
  <c r="D1516" i="8"/>
  <c r="D1515" i="8"/>
  <c r="D1514" i="8"/>
  <c r="D1513" i="8"/>
  <c r="D1512" i="8"/>
  <c r="D1511" i="8"/>
  <c r="D1510" i="8"/>
  <c r="D1509" i="8"/>
  <c r="D1508" i="8"/>
  <c r="D1507" i="8"/>
  <c r="D1506" i="8"/>
  <c r="D1505" i="8"/>
  <c r="D1504" i="8"/>
  <c r="D1503" i="8"/>
  <c r="D1502" i="8"/>
  <c r="D1501" i="8"/>
  <c r="D1500" i="8"/>
  <c r="D1499" i="8"/>
  <c r="D1498" i="8"/>
  <c r="D1497" i="8"/>
  <c r="D1496" i="8"/>
  <c r="D1495" i="8"/>
  <c r="D1494" i="8"/>
  <c r="D1493" i="8"/>
  <c r="D1492" i="8"/>
  <c r="D1491" i="8"/>
  <c r="D1490" i="8"/>
  <c r="D1489" i="8"/>
  <c r="D1488" i="8"/>
  <c r="D1487" i="8"/>
  <c r="D1486" i="8"/>
  <c r="D1485" i="8"/>
  <c r="D1484" i="8"/>
  <c r="D1483" i="8"/>
  <c r="D1482" i="8"/>
  <c r="D1481" i="8"/>
  <c r="D1480" i="8"/>
  <c r="D1479" i="8"/>
  <c r="D1478" i="8"/>
  <c r="D1477" i="8"/>
  <c r="D1476" i="8"/>
  <c r="D1475" i="8"/>
  <c r="D1474" i="8"/>
  <c r="D1473" i="8"/>
  <c r="D1472" i="8"/>
  <c r="D1471" i="8"/>
  <c r="D1470" i="8"/>
  <c r="D1469" i="8"/>
  <c r="D1468" i="8"/>
  <c r="D1467" i="8"/>
  <c r="D1466" i="8"/>
  <c r="D1465" i="8"/>
  <c r="D1464" i="8"/>
  <c r="D1463" i="8"/>
  <c r="D1462" i="8"/>
  <c r="D1461" i="8"/>
  <c r="D1460" i="8"/>
  <c r="D1459" i="8"/>
  <c r="D1458" i="8"/>
  <c r="D1457" i="8"/>
  <c r="D1456" i="8"/>
  <c r="D1455" i="8"/>
  <c r="D1454" i="8"/>
  <c r="D1453" i="8"/>
  <c r="D1452" i="8"/>
  <c r="D1451" i="8"/>
  <c r="D1450" i="8"/>
  <c r="D1449" i="8"/>
  <c r="D1448" i="8"/>
  <c r="D1447" i="8"/>
  <c r="D1446" i="8"/>
  <c r="D1445" i="8"/>
  <c r="D1444" i="8"/>
  <c r="D1443" i="8"/>
  <c r="D1442" i="8"/>
  <c r="D1441" i="8"/>
  <c r="D1440" i="8"/>
  <c r="D1439" i="8"/>
  <c r="D1438" i="8"/>
  <c r="D1437" i="8"/>
  <c r="D1436" i="8"/>
  <c r="D1435" i="8"/>
  <c r="D1434" i="8"/>
  <c r="D1433" i="8"/>
  <c r="D1432" i="8"/>
  <c r="D1431" i="8"/>
  <c r="D1430" i="8"/>
  <c r="D1429" i="8"/>
  <c r="D1428" i="8"/>
  <c r="D1427" i="8"/>
  <c r="D1426" i="8"/>
  <c r="D1425" i="8"/>
  <c r="D1424" i="8"/>
  <c r="D1423" i="8"/>
  <c r="D1422" i="8"/>
  <c r="D1421" i="8"/>
  <c r="D1420" i="8"/>
  <c r="D1419" i="8"/>
  <c r="D1418" i="8"/>
  <c r="D1417" i="8"/>
  <c r="D1416" i="8"/>
  <c r="D1415" i="8"/>
  <c r="D1414" i="8"/>
  <c r="D1413" i="8"/>
  <c r="D1412" i="8"/>
  <c r="D1411" i="8"/>
  <c r="D1410" i="8"/>
  <c r="D1409" i="8"/>
  <c r="D1408" i="8"/>
  <c r="D1407" i="8"/>
  <c r="D1406" i="8"/>
  <c r="D1405" i="8"/>
  <c r="D1404" i="8"/>
  <c r="D1403" i="8"/>
  <c r="D1402" i="8"/>
  <c r="D1401" i="8"/>
  <c r="D1400" i="8"/>
  <c r="D1399" i="8"/>
  <c r="D1398" i="8"/>
  <c r="D1397" i="8"/>
  <c r="D1396" i="8"/>
  <c r="D1395" i="8"/>
  <c r="D1394" i="8"/>
  <c r="D1393" i="8"/>
  <c r="D1392" i="8"/>
  <c r="D1391" i="8"/>
  <c r="D1390" i="8"/>
  <c r="D1389" i="8"/>
  <c r="D1388" i="8"/>
  <c r="D1387" i="8"/>
  <c r="D1386" i="8"/>
  <c r="D1385" i="8"/>
  <c r="D1384" i="8"/>
  <c r="D1383" i="8"/>
  <c r="D1382" i="8"/>
  <c r="D1381" i="8"/>
  <c r="D1380" i="8"/>
  <c r="D1379" i="8"/>
  <c r="D1378" i="8"/>
  <c r="D1377" i="8"/>
  <c r="D1376" i="8"/>
  <c r="D1375" i="8"/>
  <c r="D1374" i="8"/>
  <c r="D1373" i="8"/>
  <c r="D1372" i="8"/>
  <c r="D1371" i="8"/>
  <c r="D1370" i="8"/>
  <c r="D1369" i="8"/>
  <c r="D1368" i="8"/>
  <c r="D1367" i="8"/>
  <c r="D1366" i="8"/>
  <c r="D1365" i="8"/>
  <c r="D1364" i="8"/>
  <c r="D1363" i="8"/>
  <c r="D1362" i="8"/>
  <c r="D1361" i="8"/>
  <c r="D1360" i="8"/>
  <c r="D1359" i="8"/>
  <c r="D1358" i="8"/>
  <c r="D1357" i="8"/>
  <c r="D1356" i="8"/>
  <c r="D1355" i="8"/>
  <c r="D1354" i="8"/>
  <c r="D1353" i="8"/>
  <c r="D1352" i="8"/>
  <c r="D1351" i="8"/>
  <c r="D1350" i="8"/>
  <c r="D1349" i="8"/>
  <c r="D1348" i="8"/>
  <c r="D1347" i="8"/>
  <c r="D1346" i="8"/>
  <c r="D1345" i="8"/>
  <c r="D1344" i="8"/>
  <c r="D1343" i="8"/>
  <c r="D1342" i="8"/>
  <c r="D1341" i="8"/>
  <c r="D1340" i="8"/>
  <c r="D1339" i="8"/>
  <c r="D1338" i="8"/>
  <c r="D1337" i="8"/>
  <c r="D1336" i="8"/>
  <c r="D1335" i="8"/>
  <c r="D1334" i="8"/>
  <c r="D1333" i="8"/>
  <c r="D1332" i="8"/>
  <c r="D1331" i="8"/>
  <c r="D1330" i="8"/>
  <c r="D1329" i="8"/>
  <c r="D1328" i="8"/>
  <c r="D1327" i="8"/>
  <c r="D1326" i="8"/>
  <c r="D1325" i="8"/>
  <c r="D1324" i="8"/>
  <c r="D1323" i="8"/>
  <c r="D1322" i="8"/>
  <c r="D1321" i="8"/>
  <c r="D1320" i="8"/>
  <c r="D1319" i="8"/>
  <c r="D1318" i="8"/>
  <c r="D1317" i="8"/>
  <c r="D1316" i="8"/>
  <c r="D1315" i="8"/>
  <c r="D1314" i="8"/>
  <c r="D1313" i="8"/>
  <c r="D1312" i="8"/>
  <c r="D1311" i="8"/>
  <c r="D1310" i="8"/>
  <c r="D1309" i="8"/>
  <c r="D1308" i="8"/>
  <c r="D1307" i="8"/>
  <c r="D1306" i="8"/>
  <c r="D1305" i="8"/>
  <c r="D1304" i="8"/>
  <c r="D1303" i="8"/>
  <c r="D1302" i="8"/>
  <c r="D1301" i="8"/>
  <c r="D1300" i="8"/>
  <c r="D1299" i="8"/>
  <c r="D1298" i="8"/>
  <c r="D1297" i="8"/>
  <c r="D1296" i="8"/>
  <c r="D1295" i="8"/>
  <c r="D1294" i="8"/>
  <c r="D1293" i="8"/>
  <c r="D1292" i="8"/>
  <c r="D1291" i="8"/>
  <c r="D1290" i="8"/>
  <c r="D1289" i="8"/>
  <c r="D1288" i="8"/>
  <c r="D1287" i="8"/>
  <c r="D1286" i="8"/>
  <c r="D1285" i="8"/>
  <c r="D1284" i="8"/>
  <c r="D1283" i="8"/>
  <c r="D1282" i="8"/>
  <c r="D1281" i="8"/>
  <c r="D1280" i="8"/>
  <c r="D1279" i="8"/>
  <c r="D1278" i="8"/>
  <c r="D1277" i="8"/>
  <c r="D1276" i="8"/>
  <c r="D1275" i="8"/>
  <c r="D1274" i="8"/>
  <c r="D1273" i="8"/>
  <c r="D1272" i="8"/>
  <c r="D1271" i="8"/>
  <c r="D1270" i="8"/>
  <c r="D1269" i="8"/>
  <c r="D1268" i="8"/>
  <c r="D1267" i="8"/>
  <c r="D1266" i="8"/>
  <c r="D1265" i="8"/>
  <c r="D1264" i="8"/>
  <c r="D1263" i="8"/>
  <c r="D1262" i="8"/>
  <c r="D1261" i="8"/>
  <c r="D1260" i="8"/>
  <c r="D1259" i="8"/>
  <c r="D1258" i="8"/>
  <c r="D1257" i="8"/>
  <c r="D1256" i="8"/>
  <c r="D1255" i="8"/>
  <c r="D1254" i="8"/>
  <c r="D1253" i="8"/>
  <c r="D1252" i="8"/>
  <c r="D1251" i="8"/>
  <c r="D1250" i="8"/>
  <c r="D1249" i="8"/>
  <c r="D1248" i="8"/>
  <c r="D1247" i="8"/>
  <c r="D1246" i="8"/>
  <c r="D1245" i="8"/>
  <c r="D1244" i="8"/>
  <c r="D1243" i="8"/>
  <c r="D1242" i="8"/>
  <c r="D1241" i="8"/>
  <c r="D1240" i="8"/>
  <c r="D1239" i="8"/>
  <c r="D1238" i="8"/>
  <c r="D1237" i="8"/>
  <c r="D1236" i="8"/>
  <c r="D1235" i="8"/>
  <c r="D1234" i="8"/>
  <c r="D1233" i="8"/>
  <c r="D1232" i="8"/>
  <c r="D1231" i="8"/>
  <c r="D1230" i="8"/>
  <c r="D1229" i="8"/>
  <c r="D1228" i="8"/>
  <c r="D1227" i="8"/>
  <c r="D1226" i="8"/>
  <c r="D1225" i="8"/>
  <c r="D1224" i="8"/>
  <c r="D1223" i="8"/>
  <c r="D1222" i="8"/>
  <c r="D1221" i="8"/>
  <c r="D1220" i="8"/>
  <c r="D1219" i="8"/>
  <c r="D1218" i="8"/>
  <c r="D1217" i="8"/>
  <c r="D1216" i="8"/>
  <c r="D1215" i="8"/>
  <c r="D1214" i="8"/>
  <c r="D1213" i="8"/>
  <c r="D1212" i="8"/>
  <c r="D1211" i="8"/>
  <c r="D1210" i="8"/>
  <c r="D1209" i="8"/>
  <c r="D1208" i="8"/>
  <c r="D1207" i="8"/>
  <c r="D1206" i="8"/>
  <c r="D1205" i="8"/>
  <c r="D1204" i="8"/>
  <c r="D1203" i="8"/>
  <c r="D1202" i="8"/>
  <c r="D1201" i="8"/>
  <c r="D1200" i="8"/>
  <c r="D1199" i="8"/>
  <c r="D1198" i="8"/>
  <c r="D1197" i="8"/>
  <c r="D1196" i="8"/>
  <c r="D1195" i="8"/>
  <c r="D1194" i="8"/>
  <c r="D1193" i="8"/>
  <c r="D1192" i="8"/>
  <c r="D1191" i="8"/>
  <c r="D1190" i="8"/>
  <c r="D1189" i="8"/>
  <c r="D1188" i="8"/>
  <c r="D1187" i="8"/>
  <c r="D1186" i="8"/>
  <c r="D1185" i="8"/>
  <c r="D1184" i="8"/>
  <c r="D1183" i="8"/>
  <c r="D1182" i="8"/>
  <c r="D1181" i="8"/>
  <c r="D1180" i="8"/>
  <c r="D1179" i="8"/>
  <c r="D1178" i="8"/>
  <c r="D1177" i="8"/>
  <c r="D1176" i="8"/>
  <c r="D1175" i="8"/>
  <c r="D1174" i="8"/>
  <c r="D1173" i="8"/>
  <c r="D1172" i="8"/>
  <c r="D1171" i="8"/>
  <c r="D1170" i="8"/>
  <c r="D1169" i="8"/>
  <c r="D1168" i="8"/>
  <c r="D1167" i="8"/>
  <c r="D1166" i="8"/>
  <c r="D1165" i="8"/>
  <c r="D1164" i="8"/>
  <c r="D1163" i="8"/>
  <c r="D1162" i="8"/>
  <c r="D1161" i="8"/>
  <c r="D1160" i="8"/>
  <c r="D1159" i="8"/>
  <c r="D1158" i="8"/>
  <c r="D1157" i="8"/>
  <c r="D1156" i="8"/>
  <c r="D1155" i="8"/>
  <c r="D1154" i="8"/>
  <c r="D1153" i="8"/>
  <c r="D1152" i="8"/>
  <c r="D1151" i="8"/>
  <c r="D1150" i="8"/>
  <c r="D1149" i="8"/>
  <c r="D1148" i="8"/>
  <c r="D1147" i="8"/>
  <c r="D1146" i="8"/>
  <c r="D1145" i="8"/>
  <c r="D1144" i="8"/>
  <c r="D1143" i="8"/>
  <c r="D1142" i="8"/>
  <c r="D1141" i="8"/>
  <c r="D1140" i="8"/>
  <c r="D1139" i="8"/>
  <c r="D1138" i="8"/>
  <c r="D1137" i="8"/>
  <c r="D1136" i="8"/>
  <c r="D1135" i="8"/>
  <c r="D1134" i="8"/>
  <c r="D1133" i="8"/>
  <c r="D1132" i="8"/>
  <c r="D1131" i="8"/>
  <c r="D1130" i="8"/>
  <c r="D1129" i="8"/>
  <c r="D1128" i="8"/>
  <c r="D1127" i="8"/>
  <c r="D1126" i="8"/>
  <c r="D1125" i="8"/>
  <c r="D1124" i="8"/>
  <c r="D1123" i="8"/>
  <c r="D1122" i="8"/>
  <c r="D1121" i="8"/>
  <c r="D1120" i="8"/>
  <c r="D1119" i="8"/>
  <c r="D1118" i="8"/>
  <c r="D1117" i="8"/>
  <c r="D1116" i="8"/>
  <c r="D1115" i="8"/>
  <c r="D1114" i="8"/>
  <c r="D1113" i="8"/>
  <c r="D1112" i="8"/>
  <c r="D1111" i="8"/>
  <c r="D1110" i="8"/>
  <c r="D1109" i="8"/>
  <c r="D1108" i="8"/>
  <c r="D1107" i="8"/>
  <c r="D1106" i="8"/>
  <c r="D1105" i="8"/>
  <c r="D1104" i="8"/>
  <c r="D1103" i="8"/>
  <c r="D1102" i="8"/>
  <c r="D1101" i="8"/>
  <c r="D1100" i="8"/>
  <c r="D1099" i="8"/>
  <c r="D1098" i="8"/>
  <c r="D1097" i="8"/>
  <c r="D1096" i="8"/>
  <c r="D1095" i="8"/>
  <c r="D1094" i="8"/>
  <c r="D1093" i="8"/>
  <c r="D1092" i="8"/>
  <c r="D1091" i="8"/>
  <c r="D1090" i="8"/>
  <c r="D1089" i="8"/>
  <c r="D1088" i="8"/>
  <c r="D1087" i="8"/>
  <c r="D1086" i="8"/>
  <c r="D1085" i="8"/>
  <c r="D1084" i="8"/>
  <c r="D1083" i="8"/>
  <c r="D1082" i="8"/>
  <c r="D1081" i="8"/>
  <c r="D1080" i="8"/>
  <c r="D1079" i="8"/>
  <c r="D1078" i="8"/>
  <c r="D1077" i="8"/>
  <c r="D1076" i="8"/>
  <c r="D1075" i="8"/>
  <c r="D1074" i="8"/>
  <c r="D1073" i="8"/>
  <c r="D1072" i="8"/>
  <c r="D1071" i="8"/>
  <c r="D1070" i="8"/>
  <c r="D1069" i="8"/>
  <c r="D1068" i="8"/>
  <c r="D1067" i="8"/>
  <c r="D1066" i="8"/>
  <c r="D1065" i="8"/>
  <c r="D1064" i="8"/>
  <c r="D1063" i="8"/>
  <c r="D1062" i="8"/>
  <c r="D1061" i="8"/>
  <c r="D1060" i="8"/>
  <c r="D1059" i="8"/>
  <c r="D1058" i="8"/>
  <c r="D1057" i="8"/>
  <c r="D1056" i="8"/>
  <c r="D1055" i="8"/>
  <c r="D1054" i="8"/>
  <c r="D1053" i="8"/>
  <c r="D1052" i="8"/>
  <c r="D1051" i="8"/>
  <c r="D1050" i="8"/>
  <c r="D1049" i="8"/>
  <c r="D1048" i="8"/>
  <c r="D1047" i="8"/>
  <c r="D1046" i="8"/>
  <c r="D1045" i="8"/>
  <c r="D1044" i="8"/>
  <c r="D1043" i="8"/>
  <c r="D1042" i="8"/>
  <c r="D1041" i="8"/>
  <c r="D1040" i="8"/>
  <c r="D1039" i="8"/>
  <c r="D1038" i="8"/>
  <c r="D1037" i="8"/>
  <c r="D1036" i="8"/>
  <c r="D1035" i="8"/>
  <c r="D1034" i="8"/>
  <c r="D1033" i="8"/>
  <c r="D1032" i="8"/>
  <c r="D1031" i="8"/>
  <c r="D1030" i="8"/>
  <c r="D1029" i="8"/>
  <c r="D1028" i="8"/>
  <c r="D1027" i="8"/>
  <c r="D1026" i="8"/>
  <c r="D1025" i="8"/>
  <c r="D1024" i="8"/>
  <c r="D1023" i="8"/>
  <c r="D1022" i="8"/>
  <c r="D1021" i="8"/>
  <c r="D1020" i="8"/>
  <c r="D1019" i="8"/>
  <c r="D1018" i="8"/>
  <c r="D1017" i="8"/>
  <c r="D1016" i="8"/>
  <c r="D1015" i="8"/>
  <c r="D1014" i="8"/>
  <c r="D1013" i="8"/>
  <c r="D1012" i="8"/>
  <c r="D1011" i="8"/>
  <c r="D1010" i="8"/>
  <c r="D1009" i="8"/>
  <c r="D1008" i="8"/>
  <c r="D1007" i="8"/>
  <c r="D1006" i="8"/>
  <c r="D1005" i="8"/>
  <c r="D1004" i="8"/>
  <c r="D1003" i="8"/>
  <c r="D1002" i="8"/>
  <c r="D1001" i="8"/>
  <c r="D1000" i="8"/>
  <c r="D999" i="8"/>
  <c r="D998" i="8"/>
  <c r="D997" i="8"/>
  <c r="D996" i="8"/>
  <c r="D995" i="8"/>
  <c r="D994" i="8"/>
  <c r="D993" i="8"/>
  <c r="D992" i="8"/>
  <c r="D991" i="8"/>
  <c r="D990" i="8"/>
  <c r="D989" i="8"/>
  <c r="D988" i="8"/>
  <c r="D987" i="8"/>
  <c r="D986" i="8"/>
  <c r="D985" i="8"/>
  <c r="D984" i="8"/>
  <c r="D983" i="8"/>
  <c r="D982" i="8"/>
  <c r="D981" i="8"/>
  <c r="D980" i="8"/>
  <c r="D979" i="8"/>
  <c r="D978" i="8"/>
  <c r="D977" i="8"/>
  <c r="D976" i="8"/>
  <c r="D975" i="8"/>
  <c r="D974" i="8"/>
  <c r="D973" i="8"/>
  <c r="D972" i="8"/>
  <c r="D971" i="8"/>
  <c r="D970" i="8"/>
  <c r="D969" i="8"/>
  <c r="D968" i="8"/>
  <c r="D967" i="8"/>
  <c r="D966" i="8"/>
  <c r="D965" i="8"/>
  <c r="D964" i="8"/>
  <c r="D963" i="8"/>
  <c r="D962" i="8"/>
  <c r="D961" i="8"/>
  <c r="D960" i="8"/>
  <c r="D959" i="8"/>
  <c r="D958" i="8"/>
  <c r="D957" i="8"/>
  <c r="D956" i="8"/>
  <c r="D955" i="8"/>
  <c r="D954" i="8"/>
  <c r="D953" i="8"/>
  <c r="D952" i="8"/>
  <c r="D951" i="8"/>
  <c r="D950" i="8"/>
  <c r="D949" i="8"/>
  <c r="D948" i="8"/>
  <c r="D947" i="8"/>
  <c r="D946" i="8"/>
  <c r="D945" i="8"/>
  <c r="D944" i="8"/>
  <c r="D943" i="8"/>
  <c r="D942" i="8"/>
  <c r="D941" i="8"/>
  <c r="D940" i="8"/>
  <c r="D939" i="8"/>
  <c r="D938" i="8"/>
  <c r="D937" i="8"/>
  <c r="D936" i="8"/>
  <c r="D935" i="8"/>
  <c r="D934" i="8"/>
  <c r="D933" i="8"/>
  <c r="D932" i="8"/>
  <c r="D931" i="8"/>
  <c r="D930" i="8"/>
  <c r="D929" i="8"/>
  <c r="D928" i="8"/>
  <c r="D927" i="8"/>
  <c r="D926" i="8"/>
  <c r="D925" i="8"/>
  <c r="D924" i="8"/>
  <c r="D923" i="8"/>
  <c r="D922" i="8"/>
  <c r="D921" i="8"/>
  <c r="D920" i="8"/>
  <c r="D919" i="8"/>
  <c r="D918" i="8"/>
  <c r="D917" i="8"/>
  <c r="D916" i="8"/>
  <c r="D915" i="8"/>
  <c r="D914" i="8"/>
  <c r="D913" i="8"/>
  <c r="D912" i="8"/>
  <c r="D911" i="8"/>
  <c r="D910" i="8"/>
  <c r="D909" i="8"/>
  <c r="D908" i="8"/>
  <c r="D907" i="8"/>
  <c r="D906" i="8"/>
  <c r="D905" i="8"/>
  <c r="D904" i="8"/>
  <c r="D903" i="8"/>
  <c r="D902" i="8"/>
  <c r="D901" i="8"/>
  <c r="D900" i="8"/>
  <c r="D899" i="8"/>
  <c r="D898" i="8"/>
  <c r="D897" i="8"/>
  <c r="D896" i="8"/>
  <c r="D895" i="8"/>
  <c r="D894" i="8"/>
  <c r="D893" i="8"/>
  <c r="D892" i="8"/>
  <c r="D891" i="8"/>
  <c r="D890" i="8"/>
  <c r="D889" i="8"/>
  <c r="D888" i="8"/>
  <c r="D887" i="8"/>
  <c r="D886" i="8"/>
  <c r="D885" i="8"/>
  <c r="D884" i="8"/>
  <c r="D883" i="8"/>
  <c r="D882" i="8"/>
  <c r="D881" i="8"/>
  <c r="D880" i="8"/>
  <c r="D879" i="8"/>
  <c r="D878" i="8"/>
  <c r="D877" i="8"/>
  <c r="D876" i="8"/>
  <c r="D875" i="8"/>
  <c r="D874" i="8"/>
  <c r="D873" i="8"/>
  <c r="D872" i="8"/>
  <c r="D871" i="8"/>
  <c r="D870" i="8"/>
  <c r="D869" i="8"/>
  <c r="D868" i="8"/>
  <c r="D867" i="8"/>
  <c r="D866" i="8"/>
  <c r="D865" i="8"/>
  <c r="D864" i="8"/>
  <c r="D863" i="8"/>
  <c r="D862" i="8"/>
  <c r="D861" i="8"/>
  <c r="D860" i="8"/>
  <c r="D859" i="8"/>
  <c r="D858" i="8"/>
  <c r="D857" i="8"/>
  <c r="D856" i="8"/>
  <c r="D855" i="8"/>
  <c r="D854" i="8"/>
  <c r="D853" i="8"/>
  <c r="D852" i="8"/>
  <c r="D851" i="8"/>
  <c r="D850" i="8"/>
  <c r="D849" i="8"/>
  <c r="D848" i="8"/>
  <c r="D847" i="8"/>
  <c r="D846" i="8"/>
  <c r="D845" i="8"/>
  <c r="D844" i="8"/>
  <c r="D843" i="8"/>
  <c r="D842" i="8"/>
  <c r="D841" i="8"/>
  <c r="D840" i="8"/>
  <c r="D839" i="8"/>
  <c r="D838" i="8"/>
  <c r="D837" i="8"/>
  <c r="D836" i="8"/>
  <c r="D835" i="8"/>
  <c r="D834" i="8"/>
  <c r="D833" i="8"/>
  <c r="D832" i="8"/>
  <c r="D831" i="8"/>
  <c r="D830" i="8"/>
  <c r="D829" i="8"/>
  <c r="D828" i="8"/>
  <c r="D827" i="8"/>
  <c r="D826" i="8"/>
  <c r="D825" i="8"/>
  <c r="D824" i="8"/>
  <c r="D823" i="8"/>
  <c r="D822" i="8"/>
  <c r="D821" i="8"/>
  <c r="D820" i="8"/>
  <c r="D819" i="8"/>
  <c r="D818" i="8"/>
  <c r="D817" i="8"/>
  <c r="D816" i="8"/>
  <c r="D815" i="8"/>
  <c r="D814" i="8"/>
  <c r="D813" i="8"/>
  <c r="D812" i="8"/>
  <c r="D811" i="8"/>
  <c r="D810" i="8"/>
  <c r="D809" i="8"/>
  <c r="D808" i="8"/>
  <c r="D807" i="8"/>
  <c r="D806" i="8"/>
  <c r="D805" i="8"/>
  <c r="D804" i="8"/>
  <c r="D803" i="8"/>
  <c r="D802" i="8"/>
  <c r="D801" i="8"/>
  <c r="D800" i="8"/>
  <c r="D799" i="8"/>
  <c r="D798" i="8"/>
  <c r="D797" i="8"/>
  <c r="D796" i="8"/>
  <c r="D795" i="8"/>
  <c r="D794" i="8"/>
  <c r="D793" i="8"/>
  <c r="D792" i="8"/>
  <c r="D791" i="8"/>
  <c r="D790" i="8"/>
  <c r="D789" i="8"/>
  <c r="D788" i="8"/>
  <c r="D787" i="8"/>
  <c r="D786" i="8"/>
  <c r="D785" i="8"/>
  <c r="D784" i="8"/>
  <c r="D783" i="8"/>
  <c r="D782" i="8"/>
  <c r="D781" i="8"/>
  <c r="D780" i="8"/>
  <c r="D779" i="8"/>
  <c r="D778" i="8"/>
  <c r="D777" i="8"/>
  <c r="D776" i="8"/>
  <c r="D775" i="8"/>
  <c r="D774" i="8"/>
  <c r="D773" i="8"/>
  <c r="D772" i="8"/>
  <c r="D771" i="8"/>
  <c r="D770" i="8"/>
  <c r="D769" i="8"/>
  <c r="D768" i="8"/>
  <c r="D767" i="8"/>
  <c r="D766" i="8"/>
  <c r="D765" i="8"/>
  <c r="D764" i="8"/>
  <c r="D763" i="8"/>
  <c r="D762" i="8"/>
  <c r="D761" i="8"/>
  <c r="D760" i="8"/>
  <c r="D759" i="8"/>
  <c r="D758" i="8"/>
  <c r="D757" i="8"/>
  <c r="D756" i="8"/>
  <c r="D755" i="8"/>
  <c r="D754" i="8"/>
  <c r="D753" i="8"/>
  <c r="D752" i="8"/>
  <c r="D751" i="8"/>
  <c r="D750" i="8"/>
  <c r="D749" i="8"/>
  <c r="D748" i="8"/>
  <c r="D747" i="8"/>
  <c r="D746" i="8"/>
  <c r="D745" i="8"/>
  <c r="D744" i="8"/>
  <c r="D743" i="8"/>
  <c r="D742" i="8"/>
  <c r="D741" i="8"/>
  <c r="D740" i="8"/>
  <c r="D739" i="8"/>
  <c r="D738" i="8"/>
  <c r="D737" i="8"/>
  <c r="D736" i="8"/>
  <c r="D735" i="8"/>
  <c r="D734" i="8"/>
  <c r="D733" i="8"/>
  <c r="D732" i="8"/>
  <c r="D731" i="8"/>
  <c r="D730" i="8"/>
  <c r="D729" i="8"/>
  <c r="D728" i="8"/>
  <c r="D727" i="8"/>
  <c r="D726" i="8"/>
  <c r="D725" i="8"/>
  <c r="D724" i="8"/>
  <c r="D723" i="8"/>
  <c r="D722" i="8"/>
  <c r="D721" i="8"/>
  <c r="D720" i="8"/>
  <c r="D719" i="8"/>
  <c r="D718" i="8"/>
  <c r="D717" i="8"/>
  <c r="D716" i="8"/>
  <c r="D715" i="8"/>
  <c r="D714" i="8"/>
  <c r="D713" i="8"/>
  <c r="D712" i="8"/>
  <c r="D711" i="8"/>
  <c r="D710" i="8"/>
  <c r="D709" i="8"/>
  <c r="D708" i="8"/>
  <c r="D707" i="8"/>
  <c r="D706" i="8"/>
  <c r="D705" i="8"/>
  <c r="D704" i="8"/>
  <c r="D703" i="8"/>
  <c r="D702" i="8"/>
  <c r="D701" i="8"/>
  <c r="D700" i="8"/>
  <c r="D699" i="8"/>
  <c r="D698" i="8"/>
  <c r="D697" i="8"/>
  <c r="D696" i="8"/>
  <c r="D695" i="8"/>
  <c r="D694" i="8"/>
  <c r="D693" i="8"/>
  <c r="D692" i="8"/>
  <c r="D691" i="8"/>
  <c r="D690" i="8"/>
  <c r="D689" i="8"/>
  <c r="D688" i="8"/>
  <c r="D687" i="8"/>
  <c r="D686" i="8"/>
  <c r="D685" i="8"/>
  <c r="D684" i="8"/>
  <c r="D683" i="8"/>
  <c r="D682" i="8"/>
  <c r="D681" i="8"/>
  <c r="D680" i="8"/>
  <c r="D679" i="8"/>
  <c r="D678" i="8"/>
  <c r="D677" i="8"/>
  <c r="D676" i="8"/>
  <c r="D675" i="8"/>
  <c r="D674" i="8"/>
  <c r="D673" i="8"/>
  <c r="D672" i="8"/>
  <c r="D671" i="8"/>
  <c r="D670" i="8"/>
  <c r="D669" i="8"/>
  <c r="D668" i="8"/>
  <c r="D667" i="8"/>
  <c r="D666" i="8"/>
  <c r="D665" i="8"/>
  <c r="D664" i="8"/>
  <c r="D663" i="8"/>
  <c r="D662" i="8"/>
  <c r="D661" i="8"/>
  <c r="D660" i="8"/>
  <c r="D659" i="8"/>
  <c r="D658" i="8"/>
  <c r="D657" i="8"/>
  <c r="D656" i="8"/>
  <c r="D655" i="8"/>
  <c r="D654" i="8"/>
  <c r="D653" i="8"/>
  <c r="D652" i="8"/>
  <c r="D651" i="8"/>
  <c r="D650" i="8"/>
  <c r="D649" i="8"/>
  <c r="D648" i="8"/>
  <c r="D647" i="8"/>
  <c r="D646" i="8"/>
  <c r="D645" i="8"/>
  <c r="D644" i="8"/>
  <c r="D643" i="8"/>
  <c r="D642" i="8"/>
  <c r="D641" i="8"/>
  <c r="D640" i="8"/>
  <c r="D639" i="8"/>
  <c r="D638" i="8"/>
  <c r="D637" i="8"/>
  <c r="D636" i="8"/>
  <c r="D635" i="8"/>
  <c r="D634" i="8"/>
  <c r="D633" i="8"/>
  <c r="D632" i="8"/>
  <c r="D631" i="8"/>
  <c r="D630" i="8"/>
  <c r="D629" i="8"/>
  <c r="D628" i="8"/>
  <c r="D627" i="8"/>
  <c r="D626" i="8"/>
  <c r="D625" i="8"/>
  <c r="D624" i="8"/>
  <c r="D623" i="8"/>
  <c r="D622" i="8"/>
  <c r="D621" i="8"/>
  <c r="D620" i="8"/>
  <c r="D619" i="8"/>
  <c r="D618" i="8"/>
  <c r="D617" i="8"/>
  <c r="D616" i="8"/>
  <c r="D615" i="8"/>
  <c r="D614" i="8"/>
  <c r="D613" i="8"/>
  <c r="D612" i="8"/>
  <c r="D611" i="8"/>
  <c r="D610" i="8"/>
  <c r="D609" i="8"/>
  <c r="D608" i="8"/>
  <c r="D607" i="8"/>
  <c r="D606" i="8"/>
  <c r="D605" i="8"/>
  <c r="D604" i="8"/>
  <c r="D603" i="8"/>
  <c r="D602" i="8"/>
  <c r="D601" i="8"/>
  <c r="D600" i="8"/>
  <c r="D599" i="8"/>
  <c r="D598" i="8"/>
  <c r="D597" i="8"/>
  <c r="D596" i="8"/>
  <c r="D595" i="8"/>
  <c r="D594" i="8"/>
  <c r="D593" i="8"/>
  <c r="D592" i="8"/>
  <c r="D591" i="8"/>
  <c r="D590" i="8"/>
  <c r="D589" i="8"/>
  <c r="D588" i="8"/>
  <c r="D587" i="8"/>
  <c r="D586" i="8"/>
  <c r="D585" i="8"/>
  <c r="D584" i="8"/>
  <c r="D583" i="8"/>
  <c r="D582" i="8"/>
  <c r="D581" i="8"/>
  <c r="D580" i="8"/>
  <c r="D579" i="8"/>
  <c r="D578" i="8"/>
  <c r="D577" i="8"/>
  <c r="D576" i="8"/>
  <c r="D575" i="8"/>
  <c r="D574" i="8"/>
  <c r="D573" i="8"/>
  <c r="D572" i="8"/>
  <c r="D571" i="8"/>
  <c r="D570" i="8"/>
  <c r="D569" i="8"/>
  <c r="D568" i="8"/>
  <c r="D567" i="8"/>
  <c r="D566" i="8"/>
  <c r="D565" i="8"/>
  <c r="D564" i="8"/>
  <c r="D563" i="8"/>
  <c r="D562" i="8"/>
  <c r="D561" i="8"/>
  <c r="D560" i="8"/>
  <c r="D559" i="8"/>
  <c r="D558" i="8"/>
  <c r="D557" i="8"/>
  <c r="D556" i="8"/>
  <c r="D555" i="8"/>
  <c r="D554" i="8"/>
  <c r="D553" i="8"/>
  <c r="D552" i="8"/>
  <c r="D551" i="8"/>
  <c r="D550" i="8"/>
  <c r="D549" i="8"/>
  <c r="D548" i="8"/>
  <c r="D547" i="8"/>
  <c r="D546" i="8"/>
  <c r="D545" i="8"/>
  <c r="D544" i="8"/>
  <c r="D543" i="8"/>
  <c r="D542" i="8"/>
  <c r="D541" i="8"/>
  <c r="D540" i="8"/>
  <c r="D539" i="8"/>
  <c r="D538" i="8"/>
  <c r="D537" i="8"/>
  <c r="D536" i="8"/>
  <c r="D535" i="8"/>
  <c r="D534" i="8"/>
  <c r="D533" i="8"/>
  <c r="D532" i="8"/>
  <c r="D531" i="8"/>
  <c r="D530" i="8"/>
  <c r="D529" i="8"/>
  <c r="D528" i="8"/>
  <c r="D527" i="8"/>
  <c r="D526" i="8"/>
  <c r="D525" i="8"/>
  <c r="D524" i="8"/>
  <c r="D523" i="8"/>
  <c r="D522" i="8"/>
  <c r="D521" i="8"/>
  <c r="D520" i="8"/>
  <c r="D519" i="8"/>
  <c r="D518" i="8"/>
  <c r="D517" i="8"/>
  <c r="D516" i="8"/>
  <c r="D515" i="8"/>
  <c r="D514" i="8"/>
  <c r="D513" i="8"/>
  <c r="D512" i="8"/>
  <c r="D511" i="8"/>
  <c r="D510" i="8"/>
  <c r="D509" i="8"/>
  <c r="D508" i="8"/>
  <c r="D507" i="8"/>
  <c r="D506" i="8"/>
  <c r="D505" i="8"/>
  <c r="D504" i="8"/>
  <c r="D503" i="8"/>
  <c r="D502" i="8"/>
  <c r="D501" i="8"/>
  <c r="D500" i="8"/>
  <c r="D499" i="8"/>
  <c r="D498" i="8"/>
  <c r="D497" i="8"/>
  <c r="D496" i="8"/>
  <c r="D495" i="8"/>
  <c r="D494" i="8"/>
  <c r="D493" i="8"/>
  <c r="D492" i="8"/>
  <c r="D491" i="8"/>
  <c r="D490" i="8"/>
  <c r="D489" i="8"/>
  <c r="D488" i="8"/>
  <c r="D487" i="8"/>
  <c r="D486" i="8"/>
  <c r="D485" i="8"/>
  <c r="D484" i="8"/>
  <c r="D483" i="8"/>
  <c r="D482" i="8"/>
  <c r="D481" i="8"/>
  <c r="D480" i="8"/>
  <c r="D479" i="8"/>
  <c r="D478" i="8"/>
  <c r="D477" i="8"/>
  <c r="D476" i="8"/>
  <c r="D475" i="8"/>
  <c r="D474" i="8"/>
  <c r="D473" i="8"/>
  <c r="D472" i="8"/>
  <c r="D471" i="8"/>
  <c r="D470" i="8"/>
  <c r="D469" i="8"/>
  <c r="D468" i="8"/>
  <c r="D467" i="8"/>
  <c r="D466" i="8"/>
  <c r="D465" i="8"/>
  <c r="D464" i="8"/>
  <c r="D463" i="8"/>
  <c r="D462" i="8"/>
  <c r="D461" i="8"/>
  <c r="D460" i="8"/>
  <c r="D459" i="8"/>
  <c r="D458" i="8"/>
  <c r="D457" i="8"/>
  <c r="D456" i="8"/>
  <c r="D455" i="8"/>
  <c r="D454" i="8"/>
  <c r="D453" i="8"/>
  <c r="D452" i="8"/>
  <c r="D451" i="8"/>
  <c r="D450" i="8"/>
  <c r="D449" i="8"/>
  <c r="D448" i="8"/>
  <c r="D447" i="8"/>
  <c r="D446" i="8"/>
  <c r="D445" i="8"/>
  <c r="D444" i="8"/>
  <c r="D443" i="8"/>
  <c r="D442" i="8"/>
  <c r="D441" i="8"/>
  <c r="D440" i="8"/>
  <c r="D439" i="8"/>
  <c r="D438" i="8"/>
  <c r="D437" i="8"/>
  <c r="D436" i="8"/>
  <c r="D435" i="8"/>
  <c r="D434" i="8"/>
  <c r="D433" i="8"/>
  <c r="D432" i="8"/>
  <c r="D431" i="8"/>
  <c r="D430" i="8"/>
  <c r="D429" i="8"/>
  <c r="D428" i="8"/>
  <c r="D427" i="8"/>
  <c r="D426" i="8"/>
  <c r="D425" i="8"/>
  <c r="D424" i="8"/>
  <c r="D423" i="8"/>
  <c r="D422" i="8"/>
  <c r="D421" i="8"/>
  <c r="D420" i="8"/>
  <c r="D419" i="8"/>
  <c r="D418" i="8"/>
  <c r="D417" i="8"/>
  <c r="D416" i="8"/>
  <c r="D415" i="8"/>
  <c r="D414" i="8"/>
  <c r="D413" i="8"/>
  <c r="D412" i="8"/>
  <c r="D411" i="8"/>
  <c r="D410" i="8"/>
  <c r="D409" i="8"/>
  <c r="D408" i="8"/>
  <c r="D407" i="8"/>
  <c r="D406" i="8"/>
  <c r="D405" i="8"/>
  <c r="D404" i="8"/>
  <c r="D403" i="8"/>
  <c r="D402" i="8"/>
  <c r="D401" i="8"/>
  <c r="D400" i="8"/>
  <c r="D399" i="8"/>
  <c r="D398" i="8"/>
  <c r="D397" i="8"/>
  <c r="D396" i="8"/>
  <c r="D395" i="8"/>
  <c r="D394" i="8"/>
  <c r="D393" i="8"/>
  <c r="D392" i="8"/>
  <c r="D391" i="8"/>
  <c r="D390" i="8"/>
  <c r="D389" i="8"/>
  <c r="D388" i="8"/>
  <c r="D387" i="8"/>
  <c r="D386" i="8"/>
  <c r="D385" i="8"/>
  <c r="D384" i="8"/>
  <c r="D383" i="8"/>
  <c r="D382" i="8"/>
  <c r="D381" i="8"/>
  <c r="D380" i="8"/>
  <c r="D379" i="8"/>
  <c r="D378" i="8"/>
  <c r="D377" i="8"/>
  <c r="D376" i="8"/>
  <c r="D375" i="8"/>
  <c r="D374" i="8"/>
  <c r="D373" i="8"/>
  <c r="D372" i="8"/>
  <c r="D371" i="8"/>
  <c r="D370" i="8"/>
  <c r="D369" i="8"/>
  <c r="D368" i="8"/>
  <c r="D367" i="8"/>
  <c r="D366" i="8"/>
  <c r="D365" i="8"/>
  <c r="D364" i="8"/>
  <c r="D363" i="8"/>
  <c r="D362" i="8"/>
  <c r="D361" i="8"/>
  <c r="D360" i="8"/>
  <c r="D359" i="8"/>
  <c r="D358" i="8"/>
  <c r="D357" i="8"/>
  <c r="D356" i="8"/>
  <c r="D355" i="8"/>
  <c r="D354" i="8"/>
  <c r="D353" i="8"/>
  <c r="D352" i="8"/>
  <c r="D351" i="8"/>
  <c r="D350" i="8"/>
  <c r="D349" i="8"/>
  <c r="D348" i="8"/>
  <c r="D347" i="8"/>
  <c r="D346" i="8"/>
  <c r="D345" i="8"/>
  <c r="D344" i="8"/>
  <c r="D343" i="8"/>
  <c r="D342" i="8"/>
  <c r="D341" i="8"/>
  <c r="D340" i="8"/>
  <c r="D339" i="8"/>
  <c r="D338" i="8"/>
  <c r="D337" i="8"/>
  <c r="D336" i="8"/>
  <c r="D335" i="8"/>
  <c r="D334" i="8"/>
  <c r="D333" i="8"/>
  <c r="D332" i="8"/>
  <c r="D331" i="8"/>
  <c r="D330" i="8"/>
  <c r="D329" i="8"/>
  <c r="D328" i="8"/>
  <c r="D327" i="8"/>
  <c r="D326" i="8"/>
  <c r="D325" i="8"/>
  <c r="D324" i="8"/>
  <c r="D323" i="8"/>
  <c r="D322" i="8"/>
  <c r="D321" i="8"/>
  <c r="D320" i="8"/>
  <c r="D319" i="8"/>
  <c r="D318" i="8"/>
  <c r="D317" i="8"/>
  <c r="D316" i="8"/>
  <c r="D315" i="8"/>
  <c r="D314" i="8"/>
  <c r="D313" i="8"/>
  <c r="D312" i="8"/>
  <c r="D311" i="8"/>
  <c r="D310" i="8"/>
  <c r="D309" i="8"/>
  <c r="D308" i="8"/>
  <c r="D307" i="8"/>
  <c r="D306" i="8"/>
  <c r="D305" i="8"/>
  <c r="D304" i="8"/>
  <c r="D303" i="8"/>
  <c r="D302" i="8"/>
  <c r="D301" i="8"/>
  <c r="D300" i="8"/>
  <c r="D299" i="8"/>
  <c r="D298" i="8"/>
  <c r="D297" i="8"/>
  <c r="D296" i="8"/>
  <c r="D295" i="8"/>
  <c r="D294" i="8"/>
  <c r="D293" i="8"/>
  <c r="D292" i="8"/>
  <c r="D291" i="8"/>
  <c r="D290" i="8"/>
  <c r="D289" i="8"/>
  <c r="D288" i="8"/>
  <c r="D287" i="8"/>
  <c r="D286" i="8"/>
  <c r="D285" i="8"/>
  <c r="D284" i="8"/>
  <c r="D283" i="8"/>
  <c r="D282" i="8"/>
  <c r="D281" i="8"/>
  <c r="D280" i="8"/>
  <c r="D279" i="8"/>
  <c r="D278" i="8"/>
  <c r="D277" i="8"/>
  <c r="D276" i="8"/>
  <c r="D275" i="8"/>
  <c r="D274" i="8"/>
  <c r="D273" i="8"/>
  <c r="D272" i="8"/>
  <c r="D271" i="8"/>
  <c r="D270" i="8"/>
  <c r="D269" i="8"/>
  <c r="D268" i="8"/>
  <c r="D267" i="8"/>
  <c r="D266" i="8"/>
  <c r="D265" i="8"/>
  <c r="D264" i="8"/>
  <c r="D263" i="8"/>
  <c r="D262" i="8"/>
  <c r="D261" i="8"/>
  <c r="D260" i="8"/>
  <c r="D259" i="8"/>
  <c r="D258" i="8"/>
  <c r="D257" i="8"/>
  <c r="D256" i="8"/>
  <c r="D255" i="8"/>
  <c r="D254" i="8"/>
  <c r="D253" i="8"/>
  <c r="D252" i="8"/>
  <c r="D251" i="8"/>
  <c r="D250" i="8"/>
  <c r="D249" i="8"/>
  <c r="D248" i="8"/>
  <c r="D247" i="8"/>
  <c r="D246" i="8"/>
  <c r="D245" i="8"/>
  <c r="D244" i="8"/>
  <c r="D243" i="8"/>
  <c r="D242" i="8"/>
  <c r="D241" i="8"/>
  <c r="D240" i="8"/>
  <c r="D239" i="8"/>
  <c r="D238" i="8"/>
  <c r="D237" i="8"/>
  <c r="D236" i="8"/>
  <c r="D235" i="8"/>
  <c r="D234" i="8"/>
  <c r="D233" i="8"/>
  <c r="D232" i="8"/>
  <c r="D231" i="8"/>
  <c r="D230" i="8"/>
  <c r="D229" i="8"/>
  <c r="D228" i="8"/>
  <c r="D227" i="8"/>
  <c r="D226" i="8"/>
  <c r="D225" i="8"/>
  <c r="D224" i="8"/>
  <c r="D223" i="8"/>
  <c r="D222" i="8"/>
  <c r="D221" i="8"/>
  <c r="D220" i="8"/>
  <c r="D219" i="8"/>
  <c r="D218" i="8"/>
  <c r="D217" i="8"/>
  <c r="D216" i="8"/>
  <c r="D215" i="8"/>
  <c r="D214" i="8"/>
  <c r="D213" i="8"/>
  <c r="D212" i="8"/>
  <c r="D211" i="8"/>
  <c r="D210" i="8"/>
  <c r="D209" i="8"/>
  <c r="D208" i="8"/>
  <c r="D207" i="8"/>
  <c r="D206" i="8"/>
  <c r="D205" i="8"/>
  <c r="D204" i="8"/>
  <c r="D203" i="8"/>
  <c r="D202" i="8"/>
  <c r="D201" i="8"/>
  <c r="D200" i="8"/>
  <c r="D199" i="8"/>
  <c r="D198" i="8"/>
  <c r="D197" i="8"/>
  <c r="D196" i="8"/>
  <c r="D195" i="8"/>
  <c r="D194" i="8"/>
  <c r="D193" i="8"/>
  <c r="D192" i="8"/>
  <c r="D191" i="8"/>
  <c r="D190" i="8"/>
  <c r="D189" i="8"/>
  <c r="D188" i="8"/>
  <c r="D187" i="8"/>
  <c r="D186" i="8"/>
  <c r="D185" i="8"/>
  <c r="D184" i="8"/>
  <c r="D183" i="8"/>
  <c r="D182" i="8"/>
  <c r="D181" i="8"/>
  <c r="D180" i="8"/>
  <c r="D179" i="8"/>
  <c r="D178" i="8"/>
  <c r="D177" i="8"/>
  <c r="D176" i="8"/>
  <c r="D175" i="8"/>
  <c r="D174" i="8"/>
  <c r="D173" i="8"/>
  <c r="D172" i="8"/>
  <c r="D171" i="8"/>
  <c r="D170" i="8"/>
  <c r="D169" i="8"/>
  <c r="D168" i="8"/>
  <c r="D167" i="8"/>
  <c r="D166" i="8"/>
  <c r="D165" i="8"/>
  <c r="D164" i="8"/>
  <c r="D163" i="8"/>
  <c r="D162" i="8"/>
  <c r="D161" i="8"/>
  <c r="D160" i="8"/>
  <c r="D159" i="8"/>
  <c r="D158" i="8"/>
  <c r="D157" i="8"/>
  <c r="D156" i="8"/>
  <c r="D155" i="8"/>
  <c r="D154" i="8"/>
  <c r="D153" i="8"/>
  <c r="D152" i="8"/>
  <c r="D151" i="8"/>
  <c r="D150" i="8"/>
  <c r="D149" i="8"/>
  <c r="D148" i="8"/>
  <c r="D147" i="8"/>
  <c r="D146" i="8"/>
  <c r="D145" i="8"/>
  <c r="D144" i="8"/>
  <c r="D143" i="8"/>
  <c r="D142" i="8"/>
  <c r="D141" i="8"/>
  <c r="D140" i="8"/>
  <c r="D139" i="8"/>
  <c r="D138" i="8"/>
  <c r="D137" i="8"/>
  <c r="D136" i="8"/>
  <c r="D135" i="8"/>
  <c r="D134" i="8"/>
  <c r="D133" i="8"/>
  <c r="D132" i="8"/>
  <c r="D131" i="8"/>
  <c r="D130" i="8"/>
  <c r="D129" i="8"/>
  <c r="D128" i="8"/>
  <c r="D127" i="8"/>
  <c r="D126" i="8"/>
  <c r="D125" i="8"/>
  <c r="D124" i="8"/>
  <c r="D123" i="8"/>
  <c r="D122" i="8"/>
  <c r="D121" i="8"/>
  <c r="D120" i="8"/>
  <c r="D119" i="8"/>
  <c r="D118" i="8"/>
  <c r="D117" i="8"/>
  <c r="D116" i="8"/>
  <c r="D115" i="8"/>
  <c r="D114" i="8"/>
  <c r="D113" i="8"/>
  <c r="D112" i="8"/>
  <c r="D111" i="8"/>
  <c r="D110" i="8"/>
  <c r="D109" i="8"/>
  <c r="D108" i="8"/>
  <c r="D107" i="8"/>
  <c r="D106" i="8"/>
  <c r="D105" i="8"/>
  <c r="D104" i="8"/>
  <c r="D103" i="8"/>
  <c r="D102" i="8"/>
  <c r="D101" i="8"/>
  <c r="D100" i="8"/>
  <c r="D99" i="8"/>
  <c r="D98" i="8"/>
  <c r="D97" i="8"/>
  <c r="D96" i="8"/>
  <c r="D95" i="8"/>
  <c r="D94" i="8"/>
  <c r="D93" i="8"/>
  <c r="D92" i="8"/>
  <c r="D91" i="8"/>
  <c r="D90" i="8"/>
  <c r="D89" i="8"/>
  <c r="D88" i="8"/>
  <c r="D87" i="8"/>
  <c r="D86" i="8"/>
  <c r="D85" i="8"/>
  <c r="D84" i="8"/>
  <c r="D83" i="8"/>
  <c r="D82" i="8"/>
  <c r="D81" i="8"/>
  <c r="D80" i="8"/>
  <c r="D79" i="8"/>
  <c r="D78" i="8"/>
  <c r="D77" i="8"/>
  <c r="D76" i="8"/>
  <c r="D75" i="8"/>
  <c r="D74" i="8"/>
  <c r="D73" i="8"/>
  <c r="D72" i="8"/>
  <c r="D71" i="8"/>
  <c r="D70" i="8"/>
  <c r="D69" i="8"/>
  <c r="D68" i="8"/>
  <c r="D67" i="8"/>
  <c r="D66" i="8"/>
  <c r="D65" i="8"/>
  <c r="D64" i="8"/>
  <c r="D63" i="8"/>
  <c r="D62" i="8"/>
  <c r="D61" i="8"/>
  <c r="D60" i="8"/>
  <c r="D59" i="8"/>
  <c r="D58" i="8"/>
  <c r="D57" i="8"/>
  <c r="D56" i="8"/>
  <c r="D55" i="8"/>
  <c r="D54" i="8"/>
  <c r="D53" i="8"/>
  <c r="D52" i="8"/>
  <c r="D51" i="8"/>
  <c r="D50" i="8"/>
  <c r="D49" i="8"/>
  <c r="D48" i="8"/>
  <c r="D47" i="8"/>
  <c r="D46" i="8"/>
  <c r="D45" i="8"/>
  <c r="D44" i="8"/>
  <c r="D43" i="8"/>
  <c r="D42" i="8"/>
  <c r="D41" i="8"/>
  <c r="D40" i="8"/>
  <c r="D39" i="8"/>
  <c r="D38" i="8"/>
  <c r="D37" i="8"/>
  <c r="D36" i="8"/>
  <c r="D35" i="8"/>
  <c r="D34" i="8"/>
  <c r="D33" i="8"/>
  <c r="D32" i="8"/>
  <c r="D31" i="8"/>
  <c r="D30" i="8"/>
  <c r="D29" i="8"/>
  <c r="D28" i="8"/>
  <c r="D27" i="8"/>
  <c r="D26" i="8"/>
  <c r="D25" i="8"/>
  <c r="D24" i="8"/>
  <c r="D23" i="8"/>
  <c r="D22" i="8"/>
  <c r="D21" i="8"/>
  <c r="D20" i="8"/>
  <c r="D19" i="8"/>
  <c r="D18" i="8"/>
  <c r="D17" i="8"/>
  <c r="D16" i="8"/>
  <c r="D15" i="8"/>
  <c r="D14" i="8"/>
  <c r="D13" i="8"/>
  <c r="D12" i="8"/>
  <c r="D11" i="8"/>
  <c r="D10" i="8"/>
  <c r="D9" i="8"/>
  <c r="D8" i="8"/>
  <c r="D7" i="8"/>
  <c r="D6" i="8"/>
  <c r="D5" i="8"/>
  <c r="D4" i="8"/>
  <c r="D3" i="8"/>
  <c r="D2" i="8"/>
  <c r="E8" i="2" l="1"/>
</calcChain>
</file>

<file path=xl/sharedStrings.xml><?xml version="1.0" encoding="utf-8"?>
<sst xmlns="http://schemas.openxmlformats.org/spreadsheetml/2006/main" count="113477" uniqueCount="18182">
  <si>
    <t>Deltacoronavirus</t>
  </si>
  <si>
    <t>Bulbul coronavirus HKU11</t>
  </si>
  <si>
    <t>Bovine rhinitis A virus</t>
  </si>
  <si>
    <t>Bacillarnavirus</t>
  </si>
  <si>
    <t>Chaetoceros tenuissimus RNA virus 01</t>
  </si>
  <si>
    <t>Rhizosolenia setigera RNA virus 01</t>
  </si>
  <si>
    <t>Labyrnavirus</t>
  </si>
  <si>
    <t>Aurantiochytrium single-stranded RNA virus 01</t>
  </si>
  <si>
    <t>Tepovirus</t>
  </si>
  <si>
    <t>Bombyx mori latent virus</t>
  </si>
  <si>
    <t>Poinsettia mosaic virus</t>
  </si>
  <si>
    <t>Alphatetraviridae</t>
  </si>
  <si>
    <t>Alvernaviridae</t>
  </si>
  <si>
    <t>Dinornavirus</t>
  </si>
  <si>
    <t>Heterocapsa circularisquama RNA virus 01</t>
  </si>
  <si>
    <t>Kappatorquevirus</t>
  </si>
  <si>
    <t>Lambdatorquevirus</t>
  </si>
  <si>
    <t>Avastrovirus 1</t>
  </si>
  <si>
    <t>Avastrovirus 2</t>
  </si>
  <si>
    <t>Avastrovirus 3</t>
  </si>
  <si>
    <t>Mamastrovirus 1</t>
  </si>
  <si>
    <t>Mamastrovirus 10</t>
  </si>
  <si>
    <t>Mamastrovirus 11</t>
  </si>
  <si>
    <t>Mamastrovirus 12</t>
  </si>
  <si>
    <t>Mamastrovirus 13</t>
  </si>
  <si>
    <t>Mamastrovirus 14</t>
  </si>
  <si>
    <t>Mamastrovirus 15</t>
  </si>
  <si>
    <t>Mamastrovirus 16</t>
  </si>
  <si>
    <t>Mamastrovirus 17</t>
  </si>
  <si>
    <t>Mamastrovirus 18</t>
  </si>
  <si>
    <t>Mamastrovirus 19</t>
  </si>
  <si>
    <t>Mamastrovirus 2</t>
  </si>
  <si>
    <t>Mamastrovirus 3</t>
  </si>
  <si>
    <t>Mamastrovirus 4</t>
  </si>
  <si>
    <t>Mamastrovirus 5</t>
  </si>
  <si>
    <t>Mamastrovirus 6</t>
  </si>
  <si>
    <t>Mamastrovirus 7</t>
  </si>
  <si>
    <t>Mamastrovirus 8</t>
  </si>
  <si>
    <t>Mamastrovirus 9</t>
  </si>
  <si>
    <t>Bidnaviridae</t>
  </si>
  <si>
    <t>Bidensovirus</t>
  </si>
  <si>
    <t>Bombyx mori bidensovirus</t>
  </si>
  <si>
    <t>Gayfeather mild mottle virus</t>
  </si>
  <si>
    <t>Blackberry chlorotic ringspot virus</t>
  </si>
  <si>
    <t>Lilac leaf chlorosis virus</t>
  </si>
  <si>
    <t>Strawberry necrotic shock virus</t>
  </si>
  <si>
    <t>Carmotetraviridae</t>
  </si>
  <si>
    <t>Alphacarmotetravirus</t>
  </si>
  <si>
    <t>Solendovirus</t>
  </si>
  <si>
    <t>Clavaviridae</t>
  </si>
  <si>
    <t>Clavavirus</t>
  </si>
  <si>
    <t>Aeropyrum pernix bacilliform virus 1</t>
  </si>
  <si>
    <t>Raspberry leaf mottle virus</t>
  </si>
  <si>
    <t>Strawberry chlorotic fleck-associated virus</t>
  </si>
  <si>
    <t>Corchorus yellow vein virus</t>
  </si>
  <si>
    <t>Merremia mosaic virus</t>
  </si>
  <si>
    <t>Hytrosaviridae</t>
  </si>
  <si>
    <t>Glossinavirus</t>
  </si>
  <si>
    <t>Muscavirus</t>
  </si>
  <si>
    <t>Megabirnaviridae</t>
  </si>
  <si>
    <t>Megabirnavirus</t>
  </si>
  <si>
    <t>Rosellinia necatrix megabirnavirus 1</t>
  </si>
  <si>
    <t>Faba bean necrotic stunt virus</t>
  </si>
  <si>
    <t>Pea necrotic yellow dwarf virus</t>
  </si>
  <si>
    <t>Alphapapillomavirus 1</t>
  </si>
  <si>
    <t>Alphapapillomavirus 10</t>
  </si>
  <si>
    <t>Alphapapillomavirus 11</t>
  </si>
  <si>
    <t>Alphapapillomavirus 12</t>
  </si>
  <si>
    <t>Alphapapillomavirus 13</t>
  </si>
  <si>
    <t>Alphapapillomavirus 14</t>
  </si>
  <si>
    <t>Alphapapillomavirus 2</t>
  </si>
  <si>
    <t>Alphapapillomavirus 3</t>
  </si>
  <si>
    <t>Alphapapillomavirus 4</t>
  </si>
  <si>
    <t>Alphapapillomavirus 5</t>
  </si>
  <si>
    <t>Alphapapillomavirus 6</t>
  </si>
  <si>
    <t>Alphapapillomavirus 7</t>
  </si>
  <si>
    <t>Alphapapillomavirus 8</t>
  </si>
  <si>
    <t>Alphapapillomavirus 9</t>
  </si>
  <si>
    <t>Betapapillomavirus 1</t>
  </si>
  <si>
    <t>Betapapillomavirus 2</t>
  </si>
  <si>
    <t>Betapapillomavirus 3</t>
  </si>
  <si>
    <t>Betapapillomavirus 4</t>
  </si>
  <si>
    <t>Betapapillomavirus 5</t>
  </si>
  <si>
    <t>Betapapillomavirus 6</t>
  </si>
  <si>
    <t>Chipapillomavirus</t>
  </si>
  <si>
    <t>Chipapillomavirus 1</t>
  </si>
  <si>
    <t>Chipapillomavirus 2</t>
  </si>
  <si>
    <t>Deltapapillomavirus 1</t>
  </si>
  <si>
    <t>Deltapapillomavirus 2</t>
  </si>
  <si>
    <t>Deltapapillomavirus 3</t>
  </si>
  <si>
    <t>Deltapapillomavirus 4</t>
  </si>
  <si>
    <t>Deltapapillomavirus 5</t>
  </si>
  <si>
    <t>Dyodeltapapillomavirus</t>
  </si>
  <si>
    <t>Dyodeltapapillomavirus 1</t>
  </si>
  <si>
    <t>Dyoepsilonpapillomavirus</t>
  </si>
  <si>
    <t>Dyoepsilonpapillomavirus 1</t>
  </si>
  <si>
    <t>Dyoetapapillomavirus</t>
  </si>
  <si>
    <t>Dyoetapapillomavirus 1</t>
  </si>
  <si>
    <t>Dyoiotapapillomavirus</t>
  </si>
  <si>
    <t>Dyoiotapapillomavirus 1</t>
  </si>
  <si>
    <t>Dyothetapapillomavirus</t>
  </si>
  <si>
    <t>Dyothetapapillomavirus 1</t>
  </si>
  <si>
    <t>Dyozetapapillomavirus</t>
  </si>
  <si>
    <t>Dyozetapapillomavirus 1</t>
  </si>
  <si>
    <t>Epsilonpapillomavirus 1</t>
  </si>
  <si>
    <t>Etapapillomavirus 1</t>
  </si>
  <si>
    <t>Gammapapillomavirus 1</t>
  </si>
  <si>
    <t>Gammapapillomavirus 10</t>
  </si>
  <si>
    <t>Gammapapillomavirus 2</t>
  </si>
  <si>
    <t>Gammapapillomavirus 3</t>
  </si>
  <si>
    <t>Gammapapillomavirus 4</t>
  </si>
  <si>
    <t>Gammapapillomavirus 5</t>
  </si>
  <si>
    <t>Gammapapillomavirus 6</t>
  </si>
  <si>
    <t>Gammapapillomavirus 7</t>
  </si>
  <si>
    <t>Gammapapillomavirus 8</t>
  </si>
  <si>
    <t>Gammapapillomavirus 9</t>
  </si>
  <si>
    <t>Iotapapillomavirus 1</t>
  </si>
  <si>
    <t>Kappapapillomavirus 1</t>
  </si>
  <si>
    <t>Kappapapillomavirus 2</t>
  </si>
  <si>
    <t>Lambdapapillomavirus 1</t>
  </si>
  <si>
    <t>Lambdapapillomavirus 2</t>
  </si>
  <si>
    <t>Lambdapapillomavirus 3</t>
  </si>
  <si>
    <t>Lambdapapillomavirus 4</t>
  </si>
  <si>
    <t>Mupapillomavirus 1</t>
  </si>
  <si>
    <t>Mupapillomavirus 2</t>
  </si>
  <si>
    <t>Nupapillomavirus 1</t>
  </si>
  <si>
    <t>Omegapapillomavirus</t>
  </si>
  <si>
    <t>Omegapapillomavirus 1</t>
  </si>
  <si>
    <t>Omikronpapillomavirus 1</t>
  </si>
  <si>
    <t>Phipapillomavirus</t>
  </si>
  <si>
    <t>Phipapillomavirus 1</t>
  </si>
  <si>
    <t>Pipapillomavirus 1</t>
  </si>
  <si>
    <t>Pipapillomavirus 2</t>
  </si>
  <si>
    <t>Psipapillomavirus</t>
  </si>
  <si>
    <t>Psipapillomavirus 1</t>
  </si>
  <si>
    <t>Rhopapillomavirus</t>
  </si>
  <si>
    <t>Rhopapillomavirus 1</t>
  </si>
  <si>
    <t>Sigmapapillomavirus</t>
  </si>
  <si>
    <t>Sigmapapillomavirus 1</t>
  </si>
  <si>
    <t>Taupapillomavirus</t>
  </si>
  <si>
    <t>Taupapillomavirus 1</t>
  </si>
  <si>
    <t>Thetapapillomavirus 1</t>
  </si>
  <si>
    <t>Upsilonpapillomavirus</t>
  </si>
  <si>
    <t>Upsilonpapillomavirus 1</t>
  </si>
  <si>
    <t>Upsilonpapillomavirus 2</t>
  </si>
  <si>
    <t>Xipapillomavirus 1</t>
  </si>
  <si>
    <t>Zetapapillomavirus 1</t>
  </si>
  <si>
    <t>Permutotetraviridae</t>
  </si>
  <si>
    <t>Alphapermutotetravirus</t>
  </si>
  <si>
    <t>Acanthocystis turfacea chlorella virus 1</t>
  </si>
  <si>
    <t>Ostreococcus tauri virus OtV5</t>
  </si>
  <si>
    <t>Pepper chat fruit viroid</t>
  </si>
  <si>
    <t>Ugandan cassava brown streak virus</t>
  </si>
  <si>
    <t>Poacevirus</t>
  </si>
  <si>
    <t>Triticum mosaic virus</t>
  </si>
  <si>
    <t>Sunflower chlorotic mottle virus</t>
  </si>
  <si>
    <t>Sweet potato virus C</t>
  </si>
  <si>
    <t>Yambean mosaic virus</t>
  </si>
  <si>
    <t>Mule deerpox virus</t>
  </si>
  <si>
    <t>Crocodylidpoxvirus</t>
  </si>
  <si>
    <t>Nile crocodilepox virus</t>
  </si>
  <si>
    <t>Skunkpox virus</t>
  </si>
  <si>
    <t>Squirrelpox virus</t>
  </si>
  <si>
    <t>Trichomonasvirus</t>
  </si>
  <si>
    <t>Trichomonas vaginalis virus 1</t>
  </si>
  <si>
    <t>Trichomonas vaginalis virus 2</t>
  </si>
  <si>
    <t>Trichomonas vaginalis virus 3</t>
  </si>
  <si>
    <t>Dinodnavirus</t>
  </si>
  <si>
    <t>Heterocapsa circularisquama DNA virus 01</t>
  </si>
  <si>
    <t>Imperata yellow mottle virus</t>
  </si>
  <si>
    <t>Japanese soil-borne wheat mosaic virus</t>
  </si>
  <si>
    <t>Strawberry pseudo mild yellow edge virus</t>
  </si>
  <si>
    <t>Sweet potato chlorotic fleck virus</t>
  </si>
  <si>
    <t>Verbena latent virus</t>
  </si>
  <si>
    <t>Citrivirus</t>
  </si>
  <si>
    <t>Citrus leaf blotch virus</t>
  </si>
  <si>
    <t>Foveavirus</t>
  </si>
  <si>
    <t>Apple stem pitting virus</t>
  </si>
  <si>
    <t>Apricot latent virus</t>
  </si>
  <si>
    <t>Parietaria mottle virus</t>
  </si>
  <si>
    <t>Prune dwarf virus</t>
  </si>
  <si>
    <t>Prunus necrotic ringspot virus</t>
  </si>
  <si>
    <t>Rotavirus</t>
  </si>
  <si>
    <t>Alstroemeria virus X</t>
  </si>
  <si>
    <t>Alternanthera mosaic virus</t>
  </si>
  <si>
    <t>Asparagus virus 3</t>
  </si>
  <si>
    <t>Bamboo mosaic virus</t>
  </si>
  <si>
    <t>Cactus virus X</t>
  </si>
  <si>
    <t>Cassava common mosaic virus</t>
  </si>
  <si>
    <t>Cassava virus X</t>
  </si>
  <si>
    <t>Clover yellow mosaic virus</t>
  </si>
  <si>
    <t>Cymbidium mosaic virus</t>
  </si>
  <si>
    <t>Foxtail mosaic virus</t>
  </si>
  <si>
    <t>Rice ragged stunt virus</t>
  </si>
  <si>
    <t>Phytoreovirus</t>
  </si>
  <si>
    <t>Avian carcinoma Mill Hill virus 2</t>
  </si>
  <si>
    <t>Avian myeloblastosis virus</t>
  </si>
  <si>
    <t>Avian myelocytomatosis virus 29</t>
  </si>
  <si>
    <t>Avian sarcoma virus CT10</t>
  </si>
  <si>
    <t>Hepadnaviridae</t>
  </si>
  <si>
    <t>Sweet potato mild speckling virus</t>
  </si>
  <si>
    <t>Sweet potato virus 2</t>
  </si>
  <si>
    <t>Sweet potato virus G</t>
  </si>
  <si>
    <t>Telfairia mosaic virus</t>
  </si>
  <si>
    <t>Thunberg fritillary mosaic virus</t>
  </si>
  <si>
    <t>Tobacco etch virus</t>
  </si>
  <si>
    <t>Woolly monkey hepatitis B virus</t>
  </si>
  <si>
    <t>Hypoviridae</t>
  </si>
  <si>
    <t>Hordeivirus</t>
  </si>
  <si>
    <t>Anthoxanthum latent blanching virus</t>
  </si>
  <si>
    <t>Barley stripe mosaic virus</t>
  </si>
  <si>
    <t>Lychnis ringspot virus</t>
  </si>
  <si>
    <t>Poa semilatent virus</t>
  </si>
  <si>
    <t>Idaeovirus</t>
  </si>
  <si>
    <t>Ourmiavirus</t>
  </si>
  <si>
    <t>Cassava virus C</t>
  </si>
  <si>
    <t>Epirus cherry virus</t>
  </si>
  <si>
    <t>Ourmia melon virus</t>
  </si>
  <si>
    <t>Pecluvirus</t>
  </si>
  <si>
    <t>Indian peanut clump virus</t>
  </si>
  <si>
    <t>Peanut clump virus</t>
  </si>
  <si>
    <t>Sorghum chlorotic spot virus</t>
  </si>
  <si>
    <t>Bean golden mosaic virus</t>
  </si>
  <si>
    <t>Bean golden yellow mosaic virus</t>
  </si>
  <si>
    <t>Bhendi yellow vein mosaic virus</t>
  </si>
  <si>
    <t>Boerhavia yellow spot virus</t>
  </si>
  <si>
    <t>Cabbage leaf curl Jamaica virus</t>
  </si>
  <si>
    <t>Cabbage leaf curl virus</t>
  </si>
  <si>
    <t>Chayote yellow mosaic virus</t>
  </si>
  <si>
    <t>Chilli leaf curl virus</t>
  </si>
  <si>
    <t>Chino del tomate virus</t>
  </si>
  <si>
    <t>Clerodendron golden mosaic virus</t>
  </si>
  <si>
    <t>Corchorus golden mosaic virus</t>
  </si>
  <si>
    <t>Corchorus yellow spot virus</t>
  </si>
  <si>
    <t>Arabidopsis thaliana Art1 virus</t>
  </si>
  <si>
    <t>Arabidopsis thaliana AtRE1 virus</t>
  </si>
  <si>
    <t>Cotton leaf curl Alabad virus</t>
  </si>
  <si>
    <t>Capillovirus</t>
  </si>
  <si>
    <t>Cotton leaf curl Gezira virus</t>
  </si>
  <si>
    <t>Cotton leaf curl Kokhran virus</t>
  </si>
  <si>
    <t>Cryptosporidium parvum virus 1</t>
  </si>
  <si>
    <t>Botrytis virus F</t>
  </si>
  <si>
    <t>Carnation latent virus</t>
  </si>
  <si>
    <t>Eupatorium yellow vein mosaic virus</t>
  </si>
  <si>
    <t>Mycoflexivirus</t>
  </si>
  <si>
    <t>Alphaflexiviridae</t>
  </si>
  <si>
    <t>Euphorbia leaf curl Guangxi virus</t>
  </si>
  <si>
    <t>Euphorbia leaf curl virus</t>
  </si>
  <si>
    <t>Euphorbia mosaic virus</t>
  </si>
  <si>
    <t>Tomato leaf curl Java virus</t>
  </si>
  <si>
    <t>Pepper mild mottle virus</t>
  </si>
  <si>
    <t>Ribgrass mosaic virus</t>
  </si>
  <si>
    <t>Sunn-hemp mosaic virus</t>
  </si>
  <si>
    <t>Tomato leaf curl Joydebpur virus</t>
  </si>
  <si>
    <t>Bafinivirus</t>
  </si>
  <si>
    <t>White bream virus</t>
  </si>
  <si>
    <t>Anelloviridae</t>
  </si>
  <si>
    <t>Alphatorquevirus</t>
  </si>
  <si>
    <t>Betatorquevirus</t>
  </si>
  <si>
    <t>Gammatorquevirus</t>
  </si>
  <si>
    <t>Deltatorquevirus</t>
  </si>
  <si>
    <t>Mimosa yellow leaf curl virus</t>
  </si>
  <si>
    <t>Mungbean yellow mosaic India virus</t>
  </si>
  <si>
    <t>Mungbean yellow mosaic virus</t>
  </si>
  <si>
    <t>Okra yellow crinkle virus</t>
  </si>
  <si>
    <t>Okra yellow mosaic Mexico virus</t>
  </si>
  <si>
    <t>Papaya leaf curl China virus</t>
  </si>
  <si>
    <t>Papaya leaf curl Guandong virus</t>
  </si>
  <si>
    <t>Papaya leaf curl virus</t>
  </si>
  <si>
    <t>Pepper golden mosaic virus</t>
  </si>
  <si>
    <t>Pepper huasteco yellow vein virus</t>
  </si>
  <si>
    <t>Grapevine rupestris stem pitting-associated virus</t>
  </si>
  <si>
    <t>Mandarivirus</t>
  </si>
  <si>
    <t>Rice dwarf virus</t>
  </si>
  <si>
    <t>Rice gall dwarf virus</t>
  </si>
  <si>
    <t>Wound tumor virus</t>
  </si>
  <si>
    <t>Trichovirus</t>
  </si>
  <si>
    <t>Rotavirus A</t>
  </si>
  <si>
    <t>Rotavirus B</t>
  </si>
  <si>
    <t>Rotavirus C</t>
  </si>
  <si>
    <t>Rotavirus D</t>
  </si>
  <si>
    <t>Seadornavirus</t>
  </si>
  <si>
    <t>Banna virus</t>
  </si>
  <si>
    <t>Kadipiro virus</t>
  </si>
  <si>
    <t>Liao ning virus</t>
  </si>
  <si>
    <t>Retroviridae</t>
  </si>
  <si>
    <t>Orthoretrovirinae</t>
  </si>
  <si>
    <t>Alpharetrovirus</t>
  </si>
  <si>
    <t>Avian leukosis virus</t>
  </si>
  <si>
    <t>Miscanthus streak virus</t>
  </si>
  <si>
    <t>Panicum streak virus</t>
  </si>
  <si>
    <t>Sugarcane streak Egypt virus</t>
  </si>
  <si>
    <t>Sugarcane streak Reunion virus</t>
  </si>
  <si>
    <t>Sugarcane streak virus</t>
  </si>
  <si>
    <t>Tobacco yellow dwarf virus</t>
  </si>
  <si>
    <t>Wheat dwarf virus</t>
  </si>
  <si>
    <t>Topocuvirus</t>
  </si>
  <si>
    <t>Tomato pseudo-curly top virus</t>
  </si>
  <si>
    <t>Globuloviridae</t>
  </si>
  <si>
    <t>Rhopalanthe virus Y</t>
  </si>
  <si>
    <t>Sarcochilus virus Y</t>
  </si>
  <si>
    <t>Scallion mosaic virus</t>
  </si>
  <si>
    <t>Shallot yellow stripe virus</t>
  </si>
  <si>
    <t>Tobacco vein banding mosaic virus</t>
  </si>
  <si>
    <t>Tobacco vein mottling virus</t>
  </si>
  <si>
    <t>Tradescantia mild mosaic virus</t>
  </si>
  <si>
    <t>Tuberose mild mosaic virus</t>
  </si>
  <si>
    <t>Tuberose mild mottle virus</t>
  </si>
  <si>
    <t>Tulip breaking virus</t>
  </si>
  <si>
    <t>Tulip mosaic virus</t>
  </si>
  <si>
    <t>Turnip mosaic virus</t>
  </si>
  <si>
    <t>Watermelon leaf mottle virus</t>
  </si>
  <si>
    <t>Watermelon mosaic virus</t>
  </si>
  <si>
    <t>Polemovirus</t>
  </si>
  <si>
    <t>Poinsettia latent virus</t>
  </si>
  <si>
    <t>Pomovirus</t>
  </si>
  <si>
    <t>Beet soil-borne virus</t>
  </si>
  <si>
    <t>Beet virus Q</t>
  </si>
  <si>
    <t>Broad bean necrosis virus</t>
  </si>
  <si>
    <t>Potato mop-top virus</t>
  </si>
  <si>
    <t>Rhizidiovirus</t>
  </si>
  <si>
    <t>Rhizidiomyces virus</t>
  </si>
  <si>
    <t>Cotton leaf curl Multan virus</t>
  </si>
  <si>
    <t>Cowpea golden mosaic virus</t>
  </si>
  <si>
    <t>Allexivirus</t>
  </si>
  <si>
    <t>Garlic mite-borne filamentous virus</t>
  </si>
  <si>
    <t>Cotton leaf crumple virus</t>
  </si>
  <si>
    <t>Garlic virus D</t>
  </si>
  <si>
    <t>Garlic virus E</t>
  </si>
  <si>
    <t>Garlic virus X</t>
  </si>
  <si>
    <t>Shallot virus X</t>
  </si>
  <si>
    <t>Version:</t>
    <phoneticPr fontId="4" type="noConversion"/>
  </si>
  <si>
    <t>Apple stem grooving virus</t>
  </si>
  <si>
    <t>Cherry virus A</t>
  </si>
  <si>
    <t>Carlavirus</t>
  </si>
  <si>
    <t>Aconitum latent virus</t>
  </si>
  <si>
    <t>American hop latent virus</t>
  </si>
  <si>
    <t>Blueberry scorch virus</t>
  </si>
  <si>
    <t>Cactus virus 2</t>
  </si>
  <si>
    <t>Caper latent virus</t>
  </si>
  <si>
    <t>Obuda pepper virus</t>
  </si>
  <si>
    <t>Odontoglossum ringspot virus</t>
  </si>
  <si>
    <t>Paprika mild mottle virus</t>
  </si>
  <si>
    <t>Eupatorium yellow vein virus</t>
  </si>
  <si>
    <t>Gammacoronavirus</t>
  </si>
  <si>
    <t>Avian coronavirus</t>
  </si>
  <si>
    <t>Beluga whale coronavirus SW1</t>
  </si>
  <si>
    <t>Torovirinae</t>
  </si>
  <si>
    <t>East African cassava mosaic Cameroon virus</t>
  </si>
  <si>
    <t>East African cassava mosaic Kenya virus</t>
  </si>
  <si>
    <t>East African cassava mosaic Malawi virus</t>
  </si>
  <si>
    <t>East African cassava mosaic virus</t>
  </si>
  <si>
    <t>East African cassava mosaic Zanzibar virus</t>
  </si>
  <si>
    <t>Erectites yellow mosaic virus</t>
  </si>
  <si>
    <t>Tobamovirus</t>
  </si>
  <si>
    <t>Cucumber fruit mottle mosaic virus</t>
  </si>
  <si>
    <t>Cucumber green mottle mosaic virus</t>
  </si>
  <si>
    <t>Frangipani mosaic virus</t>
  </si>
  <si>
    <t>Hibiscus latent Fort Pierce virus</t>
  </si>
  <si>
    <t>Hibiscus latent Singapore virus</t>
  </si>
  <si>
    <t>Kyuri green mottle mosaic virus</t>
  </si>
  <si>
    <t>Tomato leaf curl Hsinchu virus</t>
  </si>
  <si>
    <t>Pepper leaf curl Lahore virus</t>
  </si>
  <si>
    <t>Pepper leaf curl virus</t>
  </si>
  <si>
    <t>Lily virus X</t>
  </si>
  <si>
    <t>Mint virus X</t>
  </si>
  <si>
    <t>Narcissus mosaic virus</t>
  </si>
  <si>
    <t>Nerine virus X</t>
  </si>
  <si>
    <t>Opuntia virus X</t>
  </si>
  <si>
    <t>Papaya mosaic virus</t>
  </si>
  <si>
    <t>Plum pox virus</t>
  </si>
  <si>
    <t>Betacoronavirus</t>
  </si>
  <si>
    <t>Murine coronavirus</t>
  </si>
  <si>
    <t>Betacoronavirus 1</t>
  </si>
  <si>
    <t>Tomato leaf curl Guangxi virus</t>
  </si>
  <si>
    <t>Tomato leaf curl Gujarat virus</t>
  </si>
  <si>
    <t>Coleviroid</t>
  </si>
  <si>
    <t>Coleus blumei viroid 1</t>
  </si>
  <si>
    <t>Coleus blumei viroid 2</t>
  </si>
  <si>
    <t>Coleus blumei viroid 3</t>
  </si>
  <si>
    <t>Hostuviroid</t>
  </si>
  <si>
    <t>Hop stunt viroid</t>
  </si>
  <si>
    <t>Pospiviroid</t>
  </si>
  <si>
    <t>Chrysanthemum stunt viroid</t>
  </si>
  <si>
    <t>Citrus exocortis viroid</t>
  </si>
  <si>
    <t>Columnea latent viroid</t>
  </si>
  <si>
    <t>Iresine viroid 1</t>
  </si>
  <si>
    <t>Potato spindle tuber viroid</t>
  </si>
  <si>
    <t>Tomato apical stunt viroid</t>
  </si>
  <si>
    <t>Tomato chlorotic dwarf viroid</t>
  </si>
  <si>
    <t>Tomato planta macho viroid</t>
  </si>
  <si>
    <t>Potyviridae</t>
  </si>
  <si>
    <t>Bymovirus</t>
  </si>
  <si>
    <t>Barley mild mosaic virus</t>
  </si>
  <si>
    <t>Barley yellow mosaic virus</t>
  </si>
  <si>
    <t>Sweet potato chlorotic stunt virus</t>
  </si>
  <si>
    <t>Tomato chlorosis virus</t>
  </si>
  <si>
    <t>Beet pseudoyellows virus</t>
  </si>
  <si>
    <t>Blackberry yellow vein-associated virus</t>
  </si>
  <si>
    <t>Rabbit fibroma virus</t>
  </si>
  <si>
    <t>Squirrel fibroma virus</t>
  </si>
  <si>
    <t>Molluscipoxvirus</t>
  </si>
  <si>
    <t>Sugarcane streak mosaic virus</t>
  </si>
  <si>
    <t>Leporipoxvirus</t>
  </si>
  <si>
    <t>Hare fibroma virus</t>
  </si>
  <si>
    <t>Myxoma virus</t>
  </si>
  <si>
    <t>Canarypox virus</t>
  </si>
  <si>
    <t>Fowlpox virus</t>
  </si>
  <si>
    <t>Juncopox virus</t>
  </si>
  <si>
    <t>Mynahpox virus</t>
  </si>
  <si>
    <t>Pigeonpox virus</t>
  </si>
  <si>
    <t>Psittacinepox virus</t>
  </si>
  <si>
    <t>Quailpox virus</t>
  </si>
  <si>
    <t>Sparrowpox virus</t>
  </si>
  <si>
    <t>Starlingpox virus</t>
  </si>
  <si>
    <t>Turkeypox virus</t>
  </si>
  <si>
    <t>Capripoxvirus</t>
  </si>
  <si>
    <t>Grapevine virus B</t>
  </si>
  <si>
    <t>Grapevine virus D</t>
  </si>
  <si>
    <t>Potato virus V</t>
  </si>
  <si>
    <t>Potato virus Y</t>
  </si>
  <si>
    <t>Ranunculus leaf distortion virus</t>
  </si>
  <si>
    <t>South African cassava mosaic virus</t>
  </si>
  <si>
    <t>Soybean blistering mosaic virus</t>
  </si>
  <si>
    <t>Spilanthes yellow vein virus</t>
  </si>
  <si>
    <t>Squash leaf curl China virus</t>
  </si>
  <si>
    <t>Squash leaf curl Philippines virus</t>
  </si>
  <si>
    <t>Squash leaf curl virus</t>
  </si>
  <si>
    <t>Squash leaf curl Yunnan virus</t>
  </si>
  <si>
    <t>Squash mild leaf curl virus</t>
  </si>
  <si>
    <t>Sri Lankan cassava mosaic virus</t>
  </si>
  <si>
    <t>Stachytarpheta leaf curl virus</t>
  </si>
  <si>
    <t>Sweet potato leaf curl Canary virus</t>
  </si>
  <si>
    <t>Sweet potato leaf curl China virus</t>
  </si>
  <si>
    <t>Sweet potato leaf curl Georgia virus</t>
  </si>
  <si>
    <t>Sweet potato leaf curl virus</t>
  </si>
  <si>
    <t>Tobacco curly shoot virus</t>
  </si>
  <si>
    <t>Henbane mosaic virus</t>
  </si>
  <si>
    <t>Hibbertia virus Y</t>
  </si>
  <si>
    <t>Hippeastrum mosaic virus</t>
  </si>
  <si>
    <t>Hyacinth mosaic virus</t>
  </si>
  <si>
    <t>Iris fulva mosaic virus</t>
  </si>
  <si>
    <t>Iris mild mosaic virus</t>
  </si>
  <si>
    <t>Iris severe mosaic virus</t>
  </si>
  <si>
    <t>Japanese yam mosaic virus</t>
  </si>
  <si>
    <t>Johnsongrass mosaic virus</t>
  </si>
  <si>
    <t>Konjac mosaic virus</t>
  </si>
  <si>
    <t>Leek yellow stripe virus</t>
  </si>
  <si>
    <t>Lettuce mosaic virus</t>
  </si>
  <si>
    <t>Lily mottle virus</t>
  </si>
  <si>
    <t>Lycoris mild mottle virus</t>
  </si>
  <si>
    <t>Abaca bunchy top virus</t>
  </si>
  <si>
    <t>Cardamom bushy dwarf virus</t>
  </si>
  <si>
    <t>Chickpea chlorotic stunt virus</t>
  </si>
  <si>
    <t>Melon aphid-borne yellows virus</t>
  </si>
  <si>
    <t>Brambyvirus</t>
  </si>
  <si>
    <t>Blackberry virus Y</t>
  </si>
  <si>
    <t>Emaravirus</t>
  </si>
  <si>
    <t>Omikronpapillomavirus</t>
  </si>
  <si>
    <t>Avsunviroidae</t>
  </si>
  <si>
    <t>Avsunviroid</t>
  </si>
  <si>
    <t>Avocado sunblotch viroid</t>
  </si>
  <si>
    <t>Elaviroid</t>
  </si>
  <si>
    <t>Eggplant latent viroid</t>
  </si>
  <si>
    <t>Pelamoviroid</t>
  </si>
  <si>
    <t>Chrysanthemum chlorotic mottle viroid</t>
  </si>
  <si>
    <t>Munia coronavirus HKU13</t>
  </si>
  <si>
    <t>Eragrostis streak virus</t>
  </si>
  <si>
    <t>Urochloa streak virus</t>
  </si>
  <si>
    <t>Miniopterus bat coronavirus 1</t>
  </si>
  <si>
    <t>Miniopterus bat coronavirus HKU8</t>
  </si>
  <si>
    <t>Rhinolophus bat coronavirus HKU2</t>
  </si>
  <si>
    <t>Scotophilus bat coronavirus 512</t>
  </si>
  <si>
    <t>Pipistrellus bat coronavirus HKU5</t>
  </si>
  <si>
    <t>Rousettus bat coronavirus HKU9</t>
  </si>
  <si>
    <t>Tylonycteris bat coronavirus HKU4</t>
  </si>
  <si>
    <t>Mamastrovirus</t>
  </si>
  <si>
    <t>Maclura mosaic virus</t>
  </si>
  <si>
    <t>Narcissus latent virus</t>
  </si>
  <si>
    <t>Potyvirus</t>
  </si>
  <si>
    <t>Alstroemeria mosaic virus</t>
  </si>
  <si>
    <t>Amaranthus leaf mottle virus</t>
  </si>
  <si>
    <t>Amazon lily mosaic virus</t>
  </si>
  <si>
    <t>Apium virus Y</t>
  </si>
  <si>
    <t>Araujia mosaic virus</t>
  </si>
  <si>
    <t>Artichoke latent virus</t>
  </si>
  <si>
    <t>Asparagus virus 1</t>
  </si>
  <si>
    <t>Banana bract mosaic virus</t>
  </si>
  <si>
    <t>Basella rugose mosaic virus</t>
  </si>
  <si>
    <t>Bean common mosaic necrosis virus</t>
  </si>
  <si>
    <t>Bean common mosaic virus</t>
  </si>
  <si>
    <t>Bean yellow mosaic virus</t>
  </si>
  <si>
    <t>Beet mosaic virus</t>
  </si>
  <si>
    <t>Bidens mottle virus</t>
  </si>
  <si>
    <t>Carrot temperate virus 2</t>
  </si>
  <si>
    <t>Hop trefoil cryptic virus 2</t>
  </si>
  <si>
    <t>Red clover cryptic virus 2</t>
  </si>
  <si>
    <t>White clover cryptic virus 2</t>
  </si>
  <si>
    <t>Agaricus bisporus virus 4</t>
  </si>
  <si>
    <t>Aspergillus ochraceous virus</t>
  </si>
  <si>
    <t>Enterovirus</t>
  </si>
  <si>
    <t>Erbovirus</t>
  </si>
  <si>
    <t>Hepatovirus</t>
  </si>
  <si>
    <t>Kobuvirus</t>
  </si>
  <si>
    <t>Gammabaculovirus</t>
  </si>
  <si>
    <t>Sequivirus</t>
  </si>
  <si>
    <t>Cheravirus</t>
  </si>
  <si>
    <t>Pennisetum mosaic virus</t>
  </si>
  <si>
    <t>Pepper mottle virus</t>
  </si>
  <si>
    <t>Pepper severe mosaic virus</t>
  </si>
  <si>
    <t>Pepper veinal mottle virus</t>
  </si>
  <si>
    <t>Pepper yellow mosaic virus</t>
  </si>
  <si>
    <t>Peru tomato mosaic virus</t>
  </si>
  <si>
    <t>Pfaffia mosaic virus</t>
  </si>
  <si>
    <t>Pleione virus Y</t>
  </si>
  <si>
    <t>Bicaudaviridae</t>
  </si>
  <si>
    <t>Bicaudavirus</t>
  </si>
  <si>
    <t>Acidianus two-tailed virus</t>
  </si>
  <si>
    <t>Spring beauty latent virus</t>
  </si>
  <si>
    <t>Cucumovirus</t>
  </si>
  <si>
    <t>Cucumber mosaic virus</t>
  </si>
  <si>
    <t>Paramecium bursaria Chlorella virus CA4A</t>
  </si>
  <si>
    <t>Paramecium bursaria Chlorella virus CA4B</t>
  </si>
  <si>
    <t>Paramecium bursaria Chlorella virus IL3A</t>
  </si>
  <si>
    <t>Acidianus filamentous virus 7</t>
  </si>
  <si>
    <t>Acidianus filamentous virus 6</t>
  </si>
  <si>
    <t>Acidianus filamentous virus 3</t>
  </si>
  <si>
    <t>Picovirinae</t>
  </si>
  <si>
    <t>Anomala cuprea entomopoxvirus</t>
  </si>
  <si>
    <t>Aphodius tasmaniae entomopoxvirus</t>
  </si>
  <si>
    <t>Asfarviridae</t>
  </si>
  <si>
    <t>Asfivirus</t>
  </si>
  <si>
    <t>African swine fever virus</t>
  </si>
  <si>
    <t>Astroviridae</t>
  </si>
  <si>
    <t>Avastrovirus</t>
  </si>
  <si>
    <t>Melolontha melolontha entomopoxvirus</t>
  </si>
  <si>
    <t>Betaentomopoxvirus</t>
  </si>
  <si>
    <t>Horseradish curly top virus</t>
  </si>
  <si>
    <t>Mastrevirus</t>
  </si>
  <si>
    <t>Drosophila melanogaster Gypsy virus</t>
  </si>
  <si>
    <t>Drosophila melanogaster Idefix virus</t>
  </si>
  <si>
    <t>Drosophila melanogaster Tirant virus</t>
  </si>
  <si>
    <t>Drosophila melanogaster Zam virus</t>
  </si>
  <si>
    <t>Drosophila virilis Tv1 virus</t>
  </si>
  <si>
    <t>Siadenovirus</t>
  </si>
  <si>
    <t>Equine torovirus</t>
  </si>
  <si>
    <t>Cytomegalovirus</t>
  </si>
  <si>
    <t>Muromegalovirus</t>
  </si>
  <si>
    <t>UR2 sarcoma virus</t>
  </si>
  <si>
    <t>Y73 sarcoma virus</t>
  </si>
  <si>
    <t>Betaretrovirus</t>
  </si>
  <si>
    <t>Phlebovirus</t>
  </si>
  <si>
    <t>Equine rhinitis A virus</t>
  </si>
  <si>
    <t>Saccharomyces cerevisiae Ty4 virus</t>
  </si>
  <si>
    <t>Botrexvirus</t>
  </si>
  <si>
    <t>Sirevirus</t>
  </si>
  <si>
    <t>Arabidopsis thaliana Endovir virus</t>
  </si>
  <si>
    <t>Glycine max SIRE1 virus</t>
  </si>
  <si>
    <t>Lycopersicon esculentum ToRTL1 virus</t>
  </si>
  <si>
    <t>Aquareovirus</t>
  </si>
  <si>
    <t>Aquareovirus A</t>
  </si>
  <si>
    <t>Aquareovirus B</t>
  </si>
  <si>
    <t>Aquareovirus C</t>
  </si>
  <si>
    <t>Aquareovirus D</t>
  </si>
  <si>
    <t>Aquareovirus E</t>
  </si>
  <si>
    <t>Aquareovirus F</t>
  </si>
  <si>
    <t>Aquareovirus G</t>
  </si>
  <si>
    <t>Cardoreovirus</t>
  </si>
  <si>
    <t>Eriocheir sinensis reovirus</t>
  </si>
  <si>
    <t>Coltivirus</t>
  </si>
  <si>
    <t>Cypovirus</t>
  </si>
  <si>
    <t>Kirsten murine sarcoma virus</t>
  </si>
  <si>
    <t>Cavemovirus</t>
  </si>
  <si>
    <t>Petuvirus</t>
  </si>
  <si>
    <t>Alfamovirus</t>
  </si>
  <si>
    <t>Alfalfa mosaic virus</t>
  </si>
  <si>
    <t>Anulavirus</t>
  </si>
  <si>
    <t>Pelargonium zonate spot virus</t>
  </si>
  <si>
    <t>Bromovirus</t>
  </si>
  <si>
    <t>Broad bean mottle virus</t>
  </si>
  <si>
    <t>Brome mosaic virus</t>
  </si>
  <si>
    <t>Cassia yellow blotch virus</t>
  </si>
  <si>
    <t>Chrysoviridae</t>
  </si>
  <si>
    <t>Circoviridae</t>
  </si>
  <si>
    <t>Circovirus</t>
  </si>
  <si>
    <t>Citrus variegation virus</t>
  </si>
  <si>
    <t>Elm mottle virus</t>
  </si>
  <si>
    <t>Fragaria chiloensis latent virus</t>
  </si>
  <si>
    <t>Humulus japonicus latent virus</t>
  </si>
  <si>
    <t>Lilac ring mottle virus</t>
  </si>
  <si>
    <t>Yaba monkey tumor virus</t>
  </si>
  <si>
    <t>Yatapoxvirus</t>
  </si>
  <si>
    <t>Tanapox virus</t>
  </si>
  <si>
    <t>Entomopoxvirinae</t>
  </si>
  <si>
    <t>Victorivirus</t>
  </si>
  <si>
    <t>Tonate virus</t>
  </si>
  <si>
    <t>Trocara virus</t>
  </si>
  <si>
    <t>Una virus</t>
  </si>
  <si>
    <t>Helicobasidium mompa totivirus 1-17</t>
  </si>
  <si>
    <t>Magnaporthe oryzae virus 1</t>
  </si>
  <si>
    <t>Sphaeropsis sapinea RNA virus 1</t>
  </si>
  <si>
    <t>Sphaeropsis sapinea RNA virus 2</t>
  </si>
  <si>
    <t>Ceratocystis resinifera virus 1</t>
  </si>
  <si>
    <t>Tombusviridae</t>
  </si>
  <si>
    <t>Aureusvirus</t>
  </si>
  <si>
    <t>Avenavirus</t>
  </si>
  <si>
    <t>Ahlum waterborne virus</t>
  </si>
  <si>
    <t>Bean mild mosaic virus</t>
  </si>
  <si>
    <t>Mouse mammary tumor virus</t>
  </si>
  <si>
    <t>Squirrel monkey retrovirus</t>
  </si>
  <si>
    <t>Deltaretrovirus</t>
  </si>
  <si>
    <t>Jaagsiekte sheep retrovirus</t>
  </si>
  <si>
    <t>Langur virus</t>
  </si>
  <si>
    <t>Mason-Pfizer monkey virus</t>
  </si>
  <si>
    <t>Primate T-lymphotropic virus 3</t>
  </si>
  <si>
    <t>Epsilonretrovirus</t>
  </si>
  <si>
    <t>Walleye dermal sarcoma virus</t>
  </si>
  <si>
    <t>Walleye epidermal hyperplasia virus 1</t>
  </si>
  <si>
    <t>Walleye epidermal hyperplasia virus 2</t>
  </si>
  <si>
    <t>Gammaretrovirus</t>
  </si>
  <si>
    <t>Chick syncytial virus</t>
  </si>
  <si>
    <t>Feline leukemia virus</t>
  </si>
  <si>
    <t>Finkel-Biskis-Jinkins murine sarcoma virus</t>
  </si>
  <si>
    <t>Tomato yellow leaf curl Sardinia virus</t>
  </si>
  <si>
    <t>Tomato yellow leaf curl Thailand virus</t>
  </si>
  <si>
    <t>Tomato yellow leaf curl Vietnam virus</t>
  </si>
  <si>
    <t>Senecio yellow mosaic virus</t>
  </si>
  <si>
    <t>Sida golden mosaic Costa Rica virus</t>
  </si>
  <si>
    <t>Sida golden mosaic Florida virus</t>
  </si>
  <si>
    <t>Sida golden mosaic virus</t>
  </si>
  <si>
    <t>Sida golden yellow vein virus</t>
  </si>
  <si>
    <t>Sida leaf curl virus</t>
  </si>
  <si>
    <t>Sida micrantha mosaic virus</t>
  </si>
  <si>
    <t>Sida mottle virus</t>
  </si>
  <si>
    <t>Sida yellow mosaic China virus</t>
  </si>
  <si>
    <t>Sida yellow mosaic virus</t>
  </si>
  <si>
    <t>Isavirus</t>
  </si>
  <si>
    <t>Thogotovirus</t>
  </si>
  <si>
    <t>Papillomaviridae</t>
  </si>
  <si>
    <t>Alphapapillomavirus</t>
  </si>
  <si>
    <t>Paramecium bursaria Chlorella virus NC1A</t>
  </si>
  <si>
    <t>Paramecium bursaria Chlorella virus XZ4A</t>
  </si>
  <si>
    <t>Paramecium bursaria Chlorella virus XZ4C</t>
  </si>
  <si>
    <t>Coccolithovirus</t>
  </si>
  <si>
    <t>Paramecium bursaria Chlorella virus SC1A</t>
  </si>
  <si>
    <t>Paramecium bursaria Chlorella virus XY6E</t>
  </si>
  <si>
    <t>Wheat spindle streak mosaic virus</t>
  </si>
  <si>
    <t>Wheat yellow mosaic virus</t>
  </si>
  <si>
    <t>Ipomovirus</t>
  </si>
  <si>
    <t>Epsilonpapillomavirus</t>
  </si>
  <si>
    <t>Omegatetravirus</t>
  </si>
  <si>
    <t>Dendrolimus punctatus virus</t>
  </si>
  <si>
    <t>Helicoverpa armigera stunt virus</t>
  </si>
  <si>
    <t>Nudaurelia capensis omega virus</t>
  </si>
  <si>
    <t>Togaviridae</t>
  </si>
  <si>
    <t>Alphavirus</t>
  </si>
  <si>
    <t>Aura virus</t>
  </si>
  <si>
    <t>Barmah Forest virus</t>
  </si>
  <si>
    <t>Bebaru virus</t>
  </si>
  <si>
    <t>Cabassou virus</t>
  </si>
  <si>
    <t>Chikungunya virus</t>
  </si>
  <si>
    <t>Eastern equine encephalitis virus</t>
  </si>
  <si>
    <t>Everglades virus</t>
  </si>
  <si>
    <t>Fort Morgan virus</t>
  </si>
  <si>
    <t>Getah virus</t>
  </si>
  <si>
    <t>Highlands J virus</t>
  </si>
  <si>
    <t>Mayaro virus</t>
  </si>
  <si>
    <t>Middelburg virus</t>
  </si>
  <si>
    <t>Mucambo virus</t>
  </si>
  <si>
    <t>Ndumu virus</t>
  </si>
  <si>
    <t>Pixuna virus</t>
  </si>
  <si>
    <t>Tomato leaf curl Karnataka virus</t>
  </si>
  <si>
    <t>Betapapillomavirus</t>
  </si>
  <si>
    <t>Picobirnaviridae</t>
  </si>
  <si>
    <t>Tomato yellow leaf curl Indonesia virus</t>
  </si>
  <si>
    <t>Tomato yellow leaf curl Kanchanaburi virus</t>
  </si>
  <si>
    <t>Chenopodium necrosis virus</t>
  </si>
  <si>
    <t>Hop trefoil cryptic virus 1</t>
  </si>
  <si>
    <t>Hop trefoil cryptic virus 3</t>
  </si>
  <si>
    <t>Radish yellow edge virus</t>
  </si>
  <si>
    <t>Ryegrass cryptic virus</t>
  </si>
  <si>
    <t>Spinach temperate virus</t>
  </si>
  <si>
    <t>Vicia cryptic virus</t>
  </si>
  <si>
    <t>White clover cryptic virus 1</t>
  </si>
  <si>
    <t>White clover cryptic virus 3</t>
  </si>
  <si>
    <t>Maize dwarf mosaic virus</t>
  </si>
  <si>
    <t>Meadow saffron breaking virus</t>
  </si>
  <si>
    <t>Moroccan watermelon mosaic virus</t>
  </si>
  <si>
    <t>Penicillium stoloniferum virus S</t>
  </si>
  <si>
    <t>Rhizoctonia solani virus 717</t>
  </si>
  <si>
    <t>Nothoscordum mosaic virus</t>
  </si>
  <si>
    <t>Onion yellow dwarf virus</t>
  </si>
  <si>
    <t>Ornithogalum mosaic virus</t>
  </si>
  <si>
    <t>Gremmeniella abietina RNA virus MS1</t>
  </si>
  <si>
    <t>Herpesvirales</t>
  </si>
  <si>
    <t>Alloherpesviridae</t>
  </si>
  <si>
    <t>Alphaherpesvirinae</t>
  </si>
  <si>
    <t>Iltovirus</t>
  </si>
  <si>
    <t>Emiliania huxleyi virus 86</t>
  </si>
  <si>
    <t>Phaeovirus</t>
  </si>
  <si>
    <t>Ectocarpus fasciculatus virus a</t>
  </si>
  <si>
    <t>Rice necrosis mosaic virus</t>
  </si>
  <si>
    <t>Cassava brown streak virus</t>
  </si>
  <si>
    <t>Cucumber vein yellowing virus</t>
  </si>
  <si>
    <t>Squash vein yellowing virus</t>
  </si>
  <si>
    <t>Sweet potato mild mottle virus</t>
  </si>
  <si>
    <t>Macluravirus</t>
  </si>
  <si>
    <t>Alpinia mosaic virus</t>
  </si>
  <si>
    <t>Cardamom mosaic virus</t>
  </si>
  <si>
    <t>Chinese yam necrotic mosaic virus</t>
  </si>
  <si>
    <t>Etapapillomavirus</t>
  </si>
  <si>
    <t>Gammapapillomavirus</t>
  </si>
  <si>
    <t>Ectocarpus siliculosus virus 1</t>
  </si>
  <si>
    <t>Ectocarpus siliculosus virus a</t>
  </si>
  <si>
    <t>Feldmannia irregularis virus a</t>
  </si>
  <si>
    <t>Feldmannia species virus</t>
  </si>
  <si>
    <t>Feldmannia species virus a</t>
  </si>
  <si>
    <t>Hincksia hinckiae virus a</t>
  </si>
  <si>
    <t>Myriotrichia clavaeformis virus a</t>
  </si>
  <si>
    <t>Pilayella littoralis virus 1</t>
  </si>
  <si>
    <t>Prasinovirus</t>
  </si>
  <si>
    <t>Micromonas pusilla virus SP1</t>
  </si>
  <si>
    <t>Prymnesiovirus</t>
  </si>
  <si>
    <t>Chrysochromulina brevifilum virus PW1</t>
  </si>
  <si>
    <t>Raphidovirus</t>
  </si>
  <si>
    <t>Heterosigma akashiwo virus 01</t>
  </si>
  <si>
    <t>Plasmaviridae</t>
  </si>
  <si>
    <t>Plasmavirus</t>
  </si>
  <si>
    <t>Alfalfa cryptic virus 1</t>
  </si>
  <si>
    <t>Beet cryptic virus 1</t>
  </si>
  <si>
    <t>Beet cryptic virus 2</t>
  </si>
  <si>
    <t>Beet cryptic virus 3</t>
  </si>
  <si>
    <t>Carnation cryptic virus 1</t>
  </si>
  <si>
    <t>Carrot temperate virus 1</t>
  </si>
  <si>
    <t>Carrot temperate virus 3</t>
  </si>
  <si>
    <t>Carrot temperate virus 4</t>
  </si>
  <si>
    <t>Narcissus degeneration virus</t>
  </si>
  <si>
    <t>Narcissus late season yellows virus</t>
  </si>
  <si>
    <t>Narcissus yellow stripe virus</t>
  </si>
  <si>
    <t>Nerine yellow stripe virus</t>
  </si>
  <si>
    <t>Parechovirus</t>
  </si>
  <si>
    <t>Teschovirus</t>
  </si>
  <si>
    <t>Ornithogalum virus 2</t>
  </si>
  <si>
    <t>Ornithogalum virus 3</t>
  </si>
  <si>
    <t>Papaya leaf distortion mosaic virus</t>
  </si>
  <si>
    <t>Papaya ringspot virus</t>
  </si>
  <si>
    <t>Parsnip mosaic virus</t>
  </si>
  <si>
    <t>Passiflora chlorosis virus</t>
  </si>
  <si>
    <t>Passion fruit woodiness virus</t>
  </si>
  <si>
    <t>Pea seed-borne mosaic virus</t>
  </si>
  <si>
    <t>Peanut mottle virus</t>
  </si>
  <si>
    <t>Polyomaviridae</t>
  </si>
  <si>
    <t>Paramecium bursaria Chlorella virus AL2A</t>
  </si>
  <si>
    <t>Paramecium bursaria Chlorella virus BJ2C</t>
  </si>
  <si>
    <t>Senecavirus</t>
  </si>
  <si>
    <t>Tremovirus</t>
  </si>
  <si>
    <t>Ostreavirus</t>
  </si>
  <si>
    <t>Mononegavirales</t>
  </si>
  <si>
    <t>Ichtadenovirus</t>
  </si>
  <si>
    <t>Salterprovirus</t>
  </si>
  <si>
    <t>Sobemovirus</t>
  </si>
  <si>
    <t>Blueberry shoestring virus</t>
  </si>
  <si>
    <t>Cocksfoot mottle virus</t>
  </si>
  <si>
    <t>Lucerne transient streak virus</t>
  </si>
  <si>
    <t>Rice yellow mottle virus</t>
  </si>
  <si>
    <t>Ryegrass mottle virus</t>
  </si>
  <si>
    <t>Plectrovirus</t>
  </si>
  <si>
    <t>Narnavirus</t>
  </si>
  <si>
    <t>Saccharomyces 20S RNA narnavirus</t>
  </si>
  <si>
    <t>Invertebrate iridescent virus 6</t>
  </si>
  <si>
    <t>Lymphocystivirus</t>
  </si>
  <si>
    <t>Lymphocystis disease virus 1</t>
  </si>
  <si>
    <t>Megalocytivirus</t>
  </si>
  <si>
    <t>Infectious spleen and kidney necrosis virus</t>
  </si>
  <si>
    <t>Ranavirus</t>
  </si>
  <si>
    <t>Ambystoma tigrinum virus</t>
  </si>
  <si>
    <t>Iridovirus</t>
  </si>
  <si>
    <t>Dicistroviridae</t>
  </si>
  <si>
    <t>Cripavirus</t>
  </si>
  <si>
    <t>Aphthovirus</t>
  </si>
  <si>
    <t>Order</t>
  </si>
  <si>
    <t>Tomato yellow margin leaf curl virus</t>
  </si>
  <si>
    <t>Tomato yellow spot virus</t>
  </si>
  <si>
    <t>Tomato yellow vein streak virus</t>
  </si>
  <si>
    <t>Errantivirus</t>
  </si>
  <si>
    <t>Ceratitis capitata Yoyo virus</t>
  </si>
  <si>
    <t>Drosophila ananassae Tom virus</t>
  </si>
  <si>
    <t>Drosophila melanogaster 297 virus</t>
  </si>
  <si>
    <t>Iotapapillomavirus</t>
  </si>
  <si>
    <t>Trichoplusia ni TED virus</t>
  </si>
  <si>
    <t>Metavirus</t>
  </si>
  <si>
    <t>Arabidopsis thaliana Athila virus</t>
  </si>
  <si>
    <t>Arabidopsis thaliana Tat4 virus</t>
  </si>
  <si>
    <t>Bombyx mori Mag virus</t>
  </si>
  <si>
    <t>Caenorhabditis elegans Cer1 virus</t>
  </si>
  <si>
    <t>Cladosporium fulvum T-1 virus</t>
  </si>
  <si>
    <t>Dictyostelium discoideum Skipper virus</t>
  </si>
  <si>
    <t>Ampullaviridae</t>
  </si>
  <si>
    <t>Arenaviridae</t>
  </si>
  <si>
    <t>Human coronavirus NL63</t>
  </si>
  <si>
    <t>Porcine epidemic diarrhea virus</t>
  </si>
  <si>
    <t>Torovirus</t>
  </si>
  <si>
    <t>Bovine torovirus</t>
  </si>
  <si>
    <t>Porcine torovirus</t>
  </si>
  <si>
    <t>Roniviridae</t>
  </si>
  <si>
    <t>Okavirus</t>
  </si>
  <si>
    <t>Picornavirales</t>
  </si>
  <si>
    <t>Sapelovirus</t>
  </si>
  <si>
    <t>Malacoherpesviridae</t>
  </si>
  <si>
    <t>Avihepatovirus</t>
  </si>
  <si>
    <t>Hepeviridae</t>
  </si>
  <si>
    <t>Sowbane mosaic virus</t>
  </si>
  <si>
    <t>Subterranean clover mottle virus</t>
  </si>
  <si>
    <t>Turnip rosette virus</t>
  </si>
  <si>
    <t>Velvet tobacco mottle virus</t>
  </si>
  <si>
    <t>Tenuivirus</t>
  </si>
  <si>
    <t>Milk vetch dwarf virus</t>
  </si>
  <si>
    <t>Subterranean clover stunt virus</t>
  </si>
  <si>
    <t>Coconut foliar decay virus</t>
  </si>
  <si>
    <t>Narnaviridae</t>
  </si>
  <si>
    <t>Saccharomyces 23S RNA narnavirus</t>
  </si>
  <si>
    <t>Nimaviridae</t>
  </si>
  <si>
    <t>Whispovirus</t>
  </si>
  <si>
    <t>White spot syndrome virus</t>
  </si>
  <si>
    <t>Nodaviridae</t>
  </si>
  <si>
    <t>Alphanodavirus</t>
  </si>
  <si>
    <t>Black beetle virus</t>
  </si>
  <si>
    <t>Boolarra virus</t>
  </si>
  <si>
    <t>Flock House virus</t>
  </si>
  <si>
    <t>Nodamura virus</t>
  </si>
  <si>
    <t>Pariacoto virus</t>
  </si>
  <si>
    <t>Betanodavirus</t>
  </si>
  <si>
    <t>Barfin flounder nervous necrosis virus</t>
  </si>
  <si>
    <t>Epizootic haematopoietic necrosis virus</t>
  </si>
  <si>
    <t>Frog virus 3</t>
  </si>
  <si>
    <t>Santee-Cooper ranavirus</t>
  </si>
  <si>
    <t>Iflaviridae</t>
  </si>
  <si>
    <t>Iflavirus</t>
  </si>
  <si>
    <t>Marnaviridae</t>
  </si>
  <si>
    <t>Marnavirus</t>
  </si>
  <si>
    <t>Heterosigma akashiwo RNA virus</t>
  </si>
  <si>
    <t>Picornaviridae</t>
  </si>
  <si>
    <t>Deltalipothrixvirus</t>
  </si>
  <si>
    <t>Novirhabdovirus</t>
  </si>
  <si>
    <t>Enamovirus</t>
  </si>
  <si>
    <t>Luteovirus</t>
  </si>
  <si>
    <t>Chickpea stunt disease associated virus</t>
  </si>
  <si>
    <t>Vernonia yellow vein virus</t>
  </si>
  <si>
    <t>Watermelon chlorotic stunt virus</t>
  </si>
  <si>
    <t>Curtovirus</t>
  </si>
  <si>
    <t>Beet curly top virus</t>
  </si>
  <si>
    <t>Flaviviridae</t>
  </si>
  <si>
    <t>Kappapapillomavirus</t>
  </si>
  <si>
    <t>Lambdapapillomavirus</t>
  </si>
  <si>
    <t>Mupapillomavirus</t>
  </si>
  <si>
    <t>Nupapillomavirus</t>
  </si>
  <si>
    <t>Pipapillomavirus</t>
  </si>
  <si>
    <t>Thetapapillomavirus</t>
  </si>
  <si>
    <t>Drosophila buzzatii Osvaldo virus</t>
  </si>
  <si>
    <t>Drosophila melanogaster 412 virus</t>
  </si>
  <si>
    <t>Drosophila melanogaster Blastopia virus</t>
  </si>
  <si>
    <t>Drosophila melanogaster Mdg1 virus</t>
  </si>
  <si>
    <t>Drosophila melanogaster Mdg3 virus</t>
  </si>
  <si>
    <t>Drosophila melanogaster Micropia virus</t>
  </si>
  <si>
    <t>Gokushovirinae</t>
  </si>
  <si>
    <t>Caenorhabditis elegans Cer13 virus</t>
  </si>
  <si>
    <t>Drosophila melanogaster Bel virus</t>
  </si>
  <si>
    <t>Drosophila melanogaster Roo virus</t>
  </si>
  <si>
    <t>Betabaculovirus</t>
  </si>
  <si>
    <t>Botrytis virus X</t>
  </si>
  <si>
    <t>Tymovirales</t>
  </si>
  <si>
    <t>Betaflexiviridae</t>
  </si>
  <si>
    <t>Horsegram yellow mosaic virus</t>
  </si>
  <si>
    <t>Indian cassava mosaic virus</t>
  </si>
  <si>
    <t>Kudzu mosaic virus</t>
  </si>
  <si>
    <t>Lindernia anagallis yellow vein virus</t>
  </si>
  <si>
    <t>Tobacco latent virus</t>
  </si>
  <si>
    <t>Hepacivirus</t>
  </si>
  <si>
    <t>Pestivirus</t>
  </si>
  <si>
    <t>Ludwigia yellow vein Vietnam virus</t>
  </si>
  <si>
    <t>Ludwigia yellow vein virus</t>
  </si>
  <si>
    <t>Luffa yellow mosaic virus</t>
  </si>
  <si>
    <t>Moloney murine sarcoma virus</t>
  </si>
  <si>
    <t>Murine leukemia virus</t>
  </si>
  <si>
    <t>Porcine type-C oncovirus</t>
  </si>
  <si>
    <t>Reticuloendotheliosis virus</t>
  </si>
  <si>
    <t>Soymovirus</t>
  </si>
  <si>
    <t>Tungrovirus</t>
  </si>
  <si>
    <t>Caprine arthritis encephalitis virus</t>
  </si>
  <si>
    <t>Equine infectious anemia virus</t>
  </si>
  <si>
    <t>Feline immunodeficiency virus</t>
  </si>
  <si>
    <t>Human immunodeficiency virus 1</t>
  </si>
  <si>
    <t>Human immunodeficiency virus 2</t>
  </si>
  <si>
    <t>Puma lentivirus</t>
  </si>
  <si>
    <t>Simian immunodeficiency virus</t>
  </si>
  <si>
    <t>Spumaretrovirinae</t>
  </si>
  <si>
    <t>Indian citrus ringspot virus</t>
  </si>
  <si>
    <t>Potexvirus</t>
  </si>
  <si>
    <t>Spinach latent virus</t>
  </si>
  <si>
    <t>Orthopoxvirus</t>
  </si>
  <si>
    <t>Camelpox virus</t>
  </si>
  <si>
    <t>Cowpox virus</t>
  </si>
  <si>
    <t>Ectromelia virus</t>
  </si>
  <si>
    <t>Monkeypox virus</t>
  </si>
  <si>
    <t>Raccoonpox virus</t>
  </si>
  <si>
    <t>Taterapox virus</t>
  </si>
  <si>
    <t>Vaccinia virus</t>
  </si>
  <si>
    <t>Variola virus</t>
  </si>
  <si>
    <t>Volepox virus</t>
  </si>
  <si>
    <t>Parapoxvirus</t>
  </si>
  <si>
    <t>Bovine papular stomatitis virus</t>
  </si>
  <si>
    <t>Orf virus</t>
  </si>
  <si>
    <t>Pseudocowpox virus</t>
  </si>
  <si>
    <t>Suipoxvirus</t>
  </si>
  <si>
    <t>Swinepox virus</t>
  </si>
  <si>
    <t>Chalara elegans RNA Virus 1</t>
  </si>
  <si>
    <t>Coniothyrium minitans RNA virus</t>
  </si>
  <si>
    <t>Epichloe festucae virus 1</t>
  </si>
  <si>
    <t>Gremmeniella abietina RNA virus L1</t>
  </si>
  <si>
    <t>Avihepadnavirus</t>
  </si>
  <si>
    <t>Duck hepatitis B virus</t>
  </si>
  <si>
    <t>Heron hepatitis B virus</t>
  </si>
  <si>
    <t>Orthohepadnavirus</t>
  </si>
  <si>
    <t>Ground squirrel hepatitis virus</t>
  </si>
  <si>
    <t>Hepatitis B virus</t>
  </si>
  <si>
    <t>Woodchuck hepatitis virus</t>
  </si>
  <si>
    <t>Ophiostoma partitivirus 1</t>
  </si>
  <si>
    <t>Penicillium stoloniferum virus F</t>
  </si>
  <si>
    <t>Pleurotus ostreatus virus 1</t>
  </si>
  <si>
    <t>Cryspovirus</t>
  </si>
  <si>
    <t>Benyvirus</t>
  </si>
  <si>
    <t>Beet necrotic yellow vein virus</t>
  </si>
  <si>
    <t>Beet soil-borne mosaic virus</t>
  </si>
  <si>
    <t>Deltavirus</t>
  </si>
  <si>
    <t>Furovirus</t>
  </si>
  <si>
    <t>Chinese wheat mosaic virus</t>
  </si>
  <si>
    <t>Oat golden stripe virus</t>
  </si>
  <si>
    <t>Soil-borne cereal mosaic virus</t>
  </si>
  <si>
    <t>Soil-borne wheat mosaic virus</t>
  </si>
  <si>
    <t>Bovine leukemia virus</t>
  </si>
  <si>
    <t>Primate T-lymphotropic virus 1</t>
  </si>
  <si>
    <t>Primate T-lymphotropic virus 2</t>
  </si>
  <si>
    <t>Weddel waterborne virus</t>
  </si>
  <si>
    <t>Dianthovirus</t>
  </si>
  <si>
    <t>Machlomovirus</t>
  </si>
  <si>
    <t>Gardner-Arnstein feline sarcoma virus</t>
  </si>
  <si>
    <t>Gibbon ape leukemia virus</t>
  </si>
  <si>
    <t>Guinea pig type-C oncovirus</t>
  </si>
  <si>
    <t>Hardy-Zuckerman feline sarcoma virus</t>
  </si>
  <si>
    <t>Harvey murine sarcoma virus</t>
  </si>
  <si>
    <t>Cotton leaf curl Bangalore virus</t>
  </si>
  <si>
    <t>Arabidopsis thaliana Ta1 virus</t>
  </si>
  <si>
    <t>Brassica oleracea Melmoth virus</t>
  </si>
  <si>
    <t>Cajanus cajan Panzee virus</t>
  </si>
  <si>
    <t>Glycine max Tgmr virus</t>
  </si>
  <si>
    <t>Hordeum vulgare BARE-1 virus</t>
  </si>
  <si>
    <t>Nicotiana tabacum Tnt1 virus</t>
  </si>
  <si>
    <t>Nicotiana tabacum Tto1 virus</t>
  </si>
  <si>
    <t>Percavirus</t>
  </si>
  <si>
    <t>Rhadinovirus</t>
  </si>
  <si>
    <t>Simplexvirus</t>
  </si>
  <si>
    <t>Varicellovirus</t>
  </si>
  <si>
    <t>Rudiviridae</t>
  </si>
  <si>
    <t>Original release</t>
    <phoneticPr fontId="4" type="noConversion"/>
  </si>
  <si>
    <t>Lymphocryptovirus</t>
  </si>
  <si>
    <t>Date</t>
    <phoneticPr fontId="4" type="noConversion"/>
  </si>
  <si>
    <t>Change:</t>
    <phoneticPr fontId="4" type="noConversion"/>
  </si>
  <si>
    <t>St Croix River virus</t>
  </si>
  <si>
    <t>Umatilla virus</t>
  </si>
  <si>
    <t>Wad Medani virus</t>
  </si>
  <si>
    <t>Wallal virus</t>
  </si>
  <si>
    <t>Warrego virus</t>
  </si>
  <si>
    <t>Wongorr virus</t>
  </si>
  <si>
    <t>Yunnan orbivirus</t>
  </si>
  <si>
    <t>Orthoreovirus</t>
  </si>
  <si>
    <t>Avian orthoreovirus</t>
  </si>
  <si>
    <t>Baboon orthoreovirus</t>
  </si>
  <si>
    <t>Mammalian orthoreovirus</t>
  </si>
  <si>
    <t>Nelson Bay orthoreovirus</t>
  </si>
  <si>
    <t>Reptilian orthoreovirus</t>
  </si>
  <si>
    <t>Oryzavirus</t>
  </si>
  <si>
    <t>Echinochloa ragged stunt virus</t>
  </si>
  <si>
    <t>Rio Negro virus</t>
  </si>
  <si>
    <t>Ross River virus</t>
  </si>
  <si>
    <t>Salmon pancreas disease virus</t>
  </si>
  <si>
    <t>Semliki Forest virus</t>
  </si>
  <si>
    <t>Sindbis virus</t>
  </si>
  <si>
    <t>Southern elephant seal virus</t>
  </si>
  <si>
    <t>Macavirus</t>
  </si>
  <si>
    <t>Henipavirus</t>
  </si>
  <si>
    <t>Morbillivirus</t>
  </si>
  <si>
    <t>Respirovirus</t>
  </si>
  <si>
    <t>Totivirus</t>
  </si>
  <si>
    <t>Saccharomyces cerevisiae virus L-A</t>
  </si>
  <si>
    <t>Ustilago maydis virus H1</t>
  </si>
  <si>
    <t>Tymoviridae</t>
  </si>
  <si>
    <t>Maculavirus</t>
  </si>
  <si>
    <t>Marafivirus</t>
  </si>
  <si>
    <t>Spounavirinae</t>
  </si>
  <si>
    <t>Tevenvirinae</t>
  </si>
  <si>
    <t>Scutavirus</t>
  </si>
  <si>
    <t>Aquaparamyxovirus</t>
  </si>
  <si>
    <t>Ferlavirus</t>
  </si>
  <si>
    <t>Phycodnaviridae</t>
  </si>
  <si>
    <t>Chlorovirus</t>
  </si>
  <si>
    <t>Hydra viridis Chlorella virus 1</t>
  </si>
  <si>
    <t>Paramecium bursaria Chlorella virus 1</t>
  </si>
  <si>
    <t>Paramecium bursaria Chlorella virus A1</t>
  </si>
  <si>
    <t>Paramecium bursaria Chlorella virus AL1A</t>
  </si>
  <si>
    <t>Aparavirus</t>
  </si>
  <si>
    <t>Idnoreovirus 1</t>
  </si>
  <si>
    <t>Idnoreovirus 2</t>
  </si>
  <si>
    <t>Idnoreovirus 3</t>
  </si>
  <si>
    <t>Idnoreovirus 4</t>
  </si>
  <si>
    <t>Idnoreovirus 5</t>
  </si>
  <si>
    <t>Severe acute respiratory syndrome-related coronavirus</t>
  </si>
  <si>
    <t>Bovine immunodeficiency virus</t>
  </si>
  <si>
    <t>Bovine foamy virus</t>
  </si>
  <si>
    <t>Equine foamy virus</t>
  </si>
  <si>
    <t>Feline foamy virus</t>
  </si>
  <si>
    <t>African horse sickness virus</t>
  </si>
  <si>
    <t>Bluetongue virus</t>
  </si>
  <si>
    <t>Changuinola virus</t>
  </si>
  <si>
    <t>Chenuda virus</t>
  </si>
  <si>
    <t>Chobar Gorge virus</t>
  </si>
  <si>
    <t>Corriparta virus</t>
  </si>
  <si>
    <t>Ephemerovirus</t>
  </si>
  <si>
    <t>Lyssavirus</t>
  </si>
  <si>
    <t>Mardivirus</t>
  </si>
  <si>
    <t>Coronaviridae</t>
  </si>
  <si>
    <t>Human coronavirus 229E</t>
  </si>
  <si>
    <t>Aviadenovirus</t>
  </si>
  <si>
    <t>Cucumber soil-borne virus</t>
  </si>
  <si>
    <t>Epizootic hemorrhagic disease virus</t>
  </si>
  <si>
    <t>Equine encephalosis virus</t>
  </si>
  <si>
    <t>Eubenangee virus</t>
  </si>
  <si>
    <t>Great Island virus</t>
  </si>
  <si>
    <t>Ieri virus</t>
  </si>
  <si>
    <t>Lebombo virus</t>
  </si>
  <si>
    <t>Betaherpesvirinae</t>
  </si>
  <si>
    <t>Human coronavirus HKU1</t>
  </si>
  <si>
    <t>Proboscivirus</t>
  </si>
  <si>
    <t>Roseolovirus</t>
  </si>
  <si>
    <t>Orungo virus</t>
  </si>
  <si>
    <t>Palyam virus</t>
  </si>
  <si>
    <t>Peruvian horse sickness virus</t>
  </si>
  <si>
    <t>Gammaherpesvirinae</t>
  </si>
  <si>
    <t>Bornaviridae</t>
  </si>
  <si>
    <t>Filoviridae</t>
  </si>
  <si>
    <t>Paramyxoviridae</t>
  </si>
  <si>
    <t>Sesbania mosaic virus</t>
  </si>
  <si>
    <t>Solanum nodiflorum mottle virus</t>
  </si>
  <si>
    <t>Southern bean mosaic virus</t>
  </si>
  <si>
    <t>Southern cowpea mosaic virus</t>
  </si>
  <si>
    <t>Iridoviridae</t>
  </si>
  <si>
    <t>Chloriridovirus</t>
  </si>
  <si>
    <t>Invertebrate iridescent virus 3</t>
  </si>
  <si>
    <t>Snyder-Theilen feline sarcoma virus</t>
  </si>
  <si>
    <t>Trager duck spleen necrosis virus</t>
  </si>
  <si>
    <t>Viper retrovirus</t>
  </si>
  <si>
    <t>Woolly monkey sarcoma virus</t>
  </si>
  <si>
    <t>Lentivirus</t>
  </si>
  <si>
    <t>Rhabdoviridae</t>
  </si>
  <si>
    <t>Cytorhabdovirus</t>
  </si>
  <si>
    <t>Vesiculovirus</t>
  </si>
  <si>
    <t>Nidovirales</t>
  </si>
  <si>
    <t>Arteriviridae</t>
  </si>
  <si>
    <t>Mastadenovirus</t>
  </si>
  <si>
    <t>Pepino mosaic virus</t>
  </si>
  <si>
    <t>Plantago asiatica mosaic virus</t>
  </si>
  <si>
    <t>Plantain virus X</t>
  </si>
  <si>
    <t>Potato aucuba mosaic virus</t>
  </si>
  <si>
    <t>Potato virus X</t>
  </si>
  <si>
    <t>Schlumbergera virus X</t>
  </si>
  <si>
    <t>Pepper leaf curl Bangladesh virus</t>
  </si>
  <si>
    <t>Hosta virus X</t>
  </si>
  <si>
    <t>Hydrangea ringspot virus</t>
  </si>
  <si>
    <t>Tulip virus X</t>
  </si>
  <si>
    <t>White clover mosaic virus</t>
  </si>
  <si>
    <t>Zygocactus virus X</t>
  </si>
  <si>
    <t>Strawberry mild yellow edge virus</t>
  </si>
  <si>
    <t>Tamus red mosaic virus</t>
  </si>
  <si>
    <t>Apple chlorotic leaf spot virus</t>
  </si>
  <si>
    <t>Guttaviridae</t>
  </si>
  <si>
    <t>Ranunculus mild mosaic virus</t>
  </si>
  <si>
    <t>Ranunculus mosaic virus</t>
  </si>
  <si>
    <t>Sorghum mosaic virus</t>
  </si>
  <si>
    <t>Soybean mosaic virus</t>
  </si>
  <si>
    <t>Sugarcane mosaic virus</t>
  </si>
  <si>
    <t>Sunflower mosaic virus</t>
  </si>
  <si>
    <t>Sweet potato feathery mottle virus</t>
  </si>
  <si>
    <t>Sweet potato latent virus</t>
  </si>
  <si>
    <t>Pepper yellow leaf curl Indonesia virus</t>
  </si>
  <si>
    <t>Pepper yellow vein Mali virus</t>
  </si>
  <si>
    <t>Potato yellow mosaic Panama virus</t>
  </si>
  <si>
    <t>Potato yellow mosaic virus</t>
  </si>
  <si>
    <t>Pumpkin yellow mosaic virus</t>
  </si>
  <si>
    <t>Tymovirus</t>
  </si>
  <si>
    <t>Chloris striate mosaic virus</t>
  </si>
  <si>
    <t>Digitaria streak virus</t>
  </si>
  <si>
    <t>Maize streak virus</t>
  </si>
  <si>
    <t>Wild potato mosaic virus</t>
  </si>
  <si>
    <t>Wisteria vein mosaic virus</t>
  </si>
  <si>
    <t>Yam mild mosaic virus</t>
  </si>
  <si>
    <t>Yam mosaic virus</t>
  </si>
  <si>
    <t>Zantedeschia mild mosaic virus</t>
  </si>
  <si>
    <t>Zea mosaic virus</t>
  </si>
  <si>
    <t>Croton yellow vein mosaic virus</t>
  </si>
  <si>
    <t>Desmodium leaf distortion virus</t>
  </si>
  <si>
    <t>Dicliptera yellow mottle Cuba virus</t>
  </si>
  <si>
    <t>Dicliptera yellow mottle virus</t>
  </si>
  <si>
    <t>Dolichos yellow mosaic virus</t>
  </si>
  <si>
    <t>Garlic virus A</t>
  </si>
  <si>
    <t>Garlic virus B</t>
  </si>
  <si>
    <t>Garlic virus C</t>
  </si>
  <si>
    <t>Sclerotinia sclerotiorum debilitation-associated RNA virus</t>
  </si>
  <si>
    <t>African oil palm ringspot virus</t>
  </si>
  <si>
    <t>Rosellinia necatrix virus 1</t>
  </si>
  <si>
    <t>Helminthosporium victoriae virus 190S</t>
  </si>
  <si>
    <t>Varicosavirus</t>
  </si>
  <si>
    <t>Oat sterile dwarf virus</t>
  </si>
  <si>
    <t>Pangola stunt virus</t>
  </si>
  <si>
    <t>Chironomus plumosus entomopoxvirus</t>
  </si>
  <si>
    <t>Aedes aegypti Mosqcopia virus</t>
  </si>
  <si>
    <t>Candida albicans Tca2 virus</t>
  </si>
  <si>
    <t>Rehmannia mosaic virus</t>
  </si>
  <si>
    <t>Brugmansia mild mottle virus</t>
  </si>
  <si>
    <t>Streptocarpus flower break virus</t>
  </si>
  <si>
    <t>Grapevine virus E</t>
  </si>
  <si>
    <t>Tomato leaf curl Guangdong virus</t>
  </si>
  <si>
    <t>Tomato leaf curl Kerala virus</t>
  </si>
  <si>
    <t>Tomato leaf curl Laos virus</t>
  </si>
  <si>
    <t>Tomato leaf curl Madagascar virus</t>
  </si>
  <si>
    <t>Tomato leaf curl Malaysia virus</t>
  </si>
  <si>
    <t>Tomato leaf curl Mali virus</t>
  </si>
  <si>
    <t>Tomato leaf curl New Delhi virus</t>
  </si>
  <si>
    <t>Tomato leaf curl Philippines virus</t>
  </si>
  <si>
    <t>Tomato leaf curl Pune virus</t>
  </si>
  <si>
    <t>Tomato leaf curl Seychelles virus</t>
  </si>
  <si>
    <t>Tomato leaf curl Sinaloa virus</t>
  </si>
  <si>
    <t>Tomato leaf curl Sri Lanka virus</t>
  </si>
  <si>
    <t>Tomato leaf curl Sudan virus</t>
  </si>
  <si>
    <t>Tomato leaf curl Taiwan virus</t>
  </si>
  <si>
    <t>Tomato leaf curl Uganda virus</t>
  </si>
  <si>
    <t>Tomato leaf curl Vietnam virus</t>
  </si>
  <si>
    <t>Tomato leaf curl virus</t>
  </si>
  <si>
    <t>Tomato mild yellow leaf curl Aragua virus</t>
  </si>
  <si>
    <t>Tomato mosaic Havana virus</t>
  </si>
  <si>
    <t>Gammaentomopoxvirus</t>
  </si>
  <si>
    <t>Aedes aegypti entomopoxvirus</t>
  </si>
  <si>
    <t>Oat mosaic virus</t>
  </si>
  <si>
    <t>Rymovirus</t>
  </si>
  <si>
    <t>Agropyron mosaic virus</t>
  </si>
  <si>
    <t>Hordeum mosaic virus</t>
  </si>
  <si>
    <t>Ryegrass mosaic virus</t>
  </si>
  <si>
    <t>Tritimovirus</t>
  </si>
  <si>
    <t>Brome streak mosaic virus</t>
  </si>
  <si>
    <t>Oat necrotic mottle virus</t>
  </si>
  <si>
    <t>Wheat streak mosaic virus</t>
  </si>
  <si>
    <t>Candida albicans Tca5 virus</t>
  </si>
  <si>
    <t>Drosophila melanogaster 1731 virus</t>
  </si>
  <si>
    <t>Tomato infectious chlorosis virus</t>
  </si>
  <si>
    <t>Mint vein banding-associated virus</t>
  </si>
  <si>
    <t>Goatpox virus</t>
  </si>
  <si>
    <t>Lumpy skin disease virus</t>
  </si>
  <si>
    <t>Sheeppox virus</t>
  </si>
  <si>
    <t>Cervidpoxvirus</t>
  </si>
  <si>
    <t>Philosamia cynthia x ricini virus</t>
  </si>
  <si>
    <t>Providence virus</t>
  </si>
  <si>
    <t>Calanthe mild mosaic virus</t>
  </si>
  <si>
    <t>Carnation vein mottle virus</t>
  </si>
  <si>
    <t>Carrot thin leaf virus</t>
  </si>
  <si>
    <t>Carrot virus Y</t>
  </si>
  <si>
    <t>Celery mosaic virus</t>
  </si>
  <si>
    <t>Ceratobium mosaic virus</t>
  </si>
  <si>
    <t>Chilli veinal mottle virus</t>
  </si>
  <si>
    <t>Chinese artichoke mosaic virus</t>
  </si>
  <si>
    <t>Clitoria virus Y</t>
  </si>
  <si>
    <t>Clover yellow vein virus</t>
  </si>
  <si>
    <t>Pokeweed mosaic virus</t>
  </si>
  <si>
    <t>Potato virus A</t>
  </si>
  <si>
    <t>Tectiviridae</t>
  </si>
  <si>
    <t>Tomato leaf curl Bangalore virus</t>
  </si>
  <si>
    <t>Tomato leaf curl Bangladesh virus</t>
  </si>
  <si>
    <t>Cypovirus 13</t>
  </si>
  <si>
    <t>Cypovirus 14</t>
  </si>
  <si>
    <t>Cypovirus 15</t>
  </si>
  <si>
    <t>Cypovirus 16</t>
  </si>
  <si>
    <t>Cypovirus 2</t>
  </si>
  <si>
    <t>Zucchini yellow fleck virus</t>
  </si>
  <si>
    <t>Zucchini yellow mosaic virus</t>
  </si>
  <si>
    <t>Cypovirus 1</t>
  </si>
  <si>
    <t>Cypovirus 8</t>
  </si>
  <si>
    <t>Cypovirus 9</t>
  </si>
  <si>
    <t>Dinovernavirus</t>
  </si>
  <si>
    <t>Giardia lamblia virus</t>
  </si>
  <si>
    <t>Leishmaniavirus</t>
  </si>
  <si>
    <t>Atkinsonella hypoxylon virus</t>
  </si>
  <si>
    <t>Discula destructiva virus 1</t>
  </si>
  <si>
    <t>Maize rough dwarf virus</t>
  </si>
  <si>
    <t>Mal de Rio Cuarto virus</t>
  </si>
  <si>
    <t>Nilaparvata lugens reovirus</t>
  </si>
  <si>
    <t>Rice black streaked dwarf virus</t>
  </si>
  <si>
    <t>Idnoreovirus</t>
  </si>
  <si>
    <t>Tobacco leaf curl Cuba virus</t>
  </si>
  <si>
    <t>Tobacco leaf curl Yunnan virus</t>
  </si>
  <si>
    <t>Tobacco leaf curl Zimbabwe virus</t>
  </si>
  <si>
    <t>Faba bean necrotic yellows virus</t>
  </si>
  <si>
    <t>Garlic common latent virus</t>
  </si>
  <si>
    <t>Helenium virus S</t>
  </si>
  <si>
    <t>Hop latent virus</t>
  </si>
  <si>
    <t>Hop mosaic virus</t>
  </si>
  <si>
    <t>Parvovirinae</t>
  </si>
  <si>
    <t>Redspotted grouper nervous necrosis virus</t>
  </si>
  <si>
    <t>Striped jack nervous necrosis virus</t>
  </si>
  <si>
    <t>Tiger puffer nervous necrosis virus</t>
  </si>
  <si>
    <t>Ophiovirus</t>
  </si>
  <si>
    <t>Orthomyxoviridae</t>
  </si>
  <si>
    <t>Lipothrixviridae</t>
  </si>
  <si>
    <t>Betalipothrixvirus</t>
  </si>
  <si>
    <t>Sulfolobus islandicus filamentous virus</t>
  </si>
  <si>
    <t>Polerovirus</t>
  </si>
  <si>
    <t>Beet chlorosis virus</t>
  </si>
  <si>
    <t>Beet western yellows virus</t>
  </si>
  <si>
    <t>Carrot red leaf virus</t>
  </si>
  <si>
    <t>Cucurbit aphid-borne yellows virus</t>
  </si>
  <si>
    <t>Potato leafroll virus</t>
  </si>
  <si>
    <t>Sugarcane yellow leaf virus</t>
  </si>
  <si>
    <t>Turnip yellows virus</t>
  </si>
  <si>
    <t>Endornaviridae</t>
  </si>
  <si>
    <t>Tobacco vein distorting virus</t>
  </si>
  <si>
    <t>Metaviridae</t>
  </si>
  <si>
    <t>Vitivirus</t>
  </si>
  <si>
    <t>Grapevine virus A</t>
  </si>
  <si>
    <t>Xipapillomavirus</t>
  </si>
  <si>
    <t>Zetapapillomavirus</t>
  </si>
  <si>
    <t>Partitiviridae</t>
  </si>
  <si>
    <t>Schizosaccharomyces pombe Tf2 virus</t>
  </si>
  <si>
    <t>Takifugu rubripes Sushi virus</t>
  </si>
  <si>
    <t>Tribolium castaneum Woot virus</t>
  </si>
  <si>
    <t>Tripneustis gratilla SURL virus</t>
  </si>
  <si>
    <t>Drosophila virilis Ulysses virus</t>
  </si>
  <si>
    <t>Fusarium oxysporum Skippy virus</t>
  </si>
  <si>
    <t>Lilium henryi Del1 virus</t>
  </si>
  <si>
    <t>Saccharomyces cerevisiae Ty3 virus</t>
  </si>
  <si>
    <t>Schizosaccharomyces pombe Tf1 virus</t>
  </si>
  <si>
    <t>Inoviridae</t>
  </si>
  <si>
    <t>Inovirus</t>
  </si>
  <si>
    <t>Drosophila simulans Ninja virus</t>
  </si>
  <si>
    <t>Microviridae</t>
  </si>
  <si>
    <t>Oryza australiensis RIRE1 virus</t>
  </si>
  <si>
    <t>Oryza longistaminata Retrofit virus</t>
  </si>
  <si>
    <t>Physarum polycephalum Tp1 virus</t>
  </si>
  <si>
    <t>Saccharomyces cerevisiae Ty1 virus</t>
  </si>
  <si>
    <t>Saccharomyces cerevisiae Ty2 virus</t>
  </si>
  <si>
    <t>Gammaflexiviridae</t>
  </si>
  <si>
    <t>Sclerodarnavirus</t>
  </si>
  <si>
    <t>Honeysuckle yellow vein virus</t>
  </si>
  <si>
    <t>Epsilontorquevirus</t>
  </si>
  <si>
    <t>Zetatorquevirus</t>
  </si>
  <si>
    <t>Etatorquevirus</t>
  </si>
  <si>
    <t>Thetatorquevirus</t>
  </si>
  <si>
    <t>Iotatorquevirus</t>
  </si>
  <si>
    <t>Tobacco mild green mosaic virus</t>
  </si>
  <si>
    <t>Tobacco mosaic virus</t>
  </si>
  <si>
    <t>Tomato mosaic virus</t>
  </si>
  <si>
    <t>Turnip vein-clearing virus</t>
  </si>
  <si>
    <t>Ullucus mild mottle virus</t>
  </si>
  <si>
    <t>Wasabi mottle virus</t>
  </si>
  <si>
    <t>Youcai mosaic virus</t>
  </si>
  <si>
    <t>Zucchini green mottle mosaic virus</t>
  </si>
  <si>
    <t>Tobravirus</t>
  </si>
  <si>
    <t>Pea early-browning virus</t>
  </si>
  <si>
    <t>Pepper ringspot virus</t>
  </si>
  <si>
    <t>Tobacco rattle virus</t>
  </si>
  <si>
    <t>Umbravirus</t>
  </si>
  <si>
    <t>Malvastrum yellow vein virus</t>
  </si>
  <si>
    <t>Malvastrum yellow vein Yunnan virus</t>
  </si>
  <si>
    <t>Melon chlorotic leaf curl virus</t>
  </si>
  <si>
    <t>Macroptilium mosaic Puerto Rico virus</t>
  </si>
  <si>
    <t>Macroptilium yellow mosaic Florida virus</t>
  </si>
  <si>
    <t>Macroptilium yellow mosaic virus</t>
  </si>
  <si>
    <t>Malvastrum leaf curl virus</t>
  </si>
  <si>
    <t>Malvastrum yellow mosaic virus</t>
  </si>
  <si>
    <t>Cucurbit leaf crumple virus</t>
  </si>
  <si>
    <t>Peach latent mosaic viroid</t>
  </si>
  <si>
    <t>Baculoviridae</t>
  </si>
  <si>
    <t>Alphabaculovirus</t>
  </si>
  <si>
    <t>Foot-and-mouth disease virus</t>
  </si>
  <si>
    <t>Cardiovirus</t>
  </si>
  <si>
    <t>Solanum tuberosum Tst1 virus</t>
  </si>
  <si>
    <t>Zea mays Hopscotch virus</t>
  </si>
  <si>
    <t>Deltabaculovirus</t>
  </si>
  <si>
    <t>Phaseolus vulgaris Tpv2-6 virus</t>
  </si>
  <si>
    <t>Barnaviridae</t>
  </si>
  <si>
    <t>Barnavirus</t>
  </si>
  <si>
    <t>Mushroom bacilliform virus</t>
  </si>
  <si>
    <t>Birnaviridae</t>
  </si>
  <si>
    <t>Aquabirnavirus</t>
  </si>
  <si>
    <t>Avibirnavirus</t>
  </si>
  <si>
    <t>Sadwavirus</t>
  </si>
  <si>
    <t>Adenoviridae</t>
  </si>
  <si>
    <t>Atadenovirus</t>
  </si>
  <si>
    <t>Blosnavirus</t>
  </si>
  <si>
    <t>Entomobirnavirus</t>
  </si>
  <si>
    <t>Bromoviridae</t>
  </si>
  <si>
    <t>Acidianus filamentous virus 9</t>
  </si>
  <si>
    <t>Acidianus filamentous virus 8</t>
  </si>
  <si>
    <t>Cowpea chlorotic mottle virus</t>
  </si>
  <si>
    <t>Melandrium yellow fleck virus</t>
  </si>
  <si>
    <t>Peanut stunt virus</t>
  </si>
  <si>
    <t>Tomato aspermy virus</t>
  </si>
  <si>
    <t>Ilarvirus</t>
  </si>
  <si>
    <t>American plum line pattern virus</t>
  </si>
  <si>
    <t>Apple mosaic virus</t>
  </si>
  <si>
    <t>Asparagus virus 2</t>
  </si>
  <si>
    <t>Blueberry shock virus</t>
  </si>
  <si>
    <t>Citrus leaf rugose virus</t>
  </si>
  <si>
    <t>Ascoviridae</t>
  </si>
  <si>
    <t>Ascovirus</t>
  </si>
  <si>
    <t>Alphaentomopoxvirus</t>
  </si>
  <si>
    <t>Dermolepida albohirtum entomopoxvirus</t>
  </si>
  <si>
    <t>Geotrupes sylvaticus entomopoxvirus</t>
  </si>
  <si>
    <t>Venezuelan equine encephalitis virus</t>
  </si>
  <si>
    <t>Western equine encephalitis virus</t>
  </si>
  <si>
    <t>Whataroa virus</t>
  </si>
  <si>
    <t>Rubivirus</t>
  </si>
  <si>
    <t>Fujinami sarcoma virus</t>
  </si>
  <si>
    <t>Rous sarcoma virus</t>
  </si>
  <si>
    <t>Tomato chino La Paz virus</t>
  </si>
  <si>
    <t>Tomato chlorotic mottle virus</t>
  </si>
  <si>
    <t>Tomato curly stunt virus</t>
  </si>
  <si>
    <t>Tomato golden mosaic virus</t>
  </si>
  <si>
    <t>Tomato golden mottle virus</t>
  </si>
  <si>
    <t>Tomato leaf curl Arusha virus</t>
  </si>
  <si>
    <t>Pineapple mealybug wilt-associated virus 3</t>
  </si>
  <si>
    <t>Camptochironomus tentans entomopoxvirus</t>
  </si>
  <si>
    <t>Cypovirus 10</t>
  </si>
  <si>
    <t>Cypovirus 11</t>
  </si>
  <si>
    <t>Cypovirus 12</t>
  </si>
  <si>
    <t>Aedes pseudoscutellaris reovirus</t>
  </si>
  <si>
    <t>Fijivirus</t>
  </si>
  <si>
    <t>Fiji disease virus</t>
  </si>
  <si>
    <t>Garlic dwarf virus</t>
  </si>
  <si>
    <t>Tomato yellow leaf curl virus</t>
  </si>
  <si>
    <t>Family</t>
  </si>
  <si>
    <t>Subfamily</t>
  </si>
  <si>
    <t>Genus</t>
  </si>
  <si>
    <t>Species</t>
  </si>
  <si>
    <t>Rhynchosia golden mosaic Sinaloa virus</t>
  </si>
  <si>
    <t>Rhynchosia golden mosaic virus</t>
  </si>
  <si>
    <t>Nebovirus</t>
  </si>
  <si>
    <t>Alphacoronavirus</t>
  </si>
  <si>
    <t>Alphacoronavirus 1</t>
  </si>
  <si>
    <t>Tomato leaf curl Comoros virus</t>
  </si>
  <si>
    <t>Sida yellow mosaic Yucatan virus</t>
  </si>
  <si>
    <t>Sida yellow vein Vietnam virus</t>
  </si>
  <si>
    <t>Sida yellow vein virus</t>
  </si>
  <si>
    <t>Siegesbeckia yellow vein Guangxi virus</t>
  </si>
  <si>
    <t>Siegesbeckia yellow vein virus</t>
  </si>
  <si>
    <t>Paramecium bursaria Chlorella virus NE8A</t>
  </si>
  <si>
    <t>Paramecium bursaria Chlorella virus NY2A</t>
  </si>
  <si>
    <t>Paramecium bursaria Chlorella virus NYs1</t>
  </si>
  <si>
    <t>Dasychira pudibunda virus</t>
  </si>
  <si>
    <t>Euprosterna elaeasa virus</t>
  </si>
  <si>
    <t>Nudaurelia capensis beta virus</t>
  </si>
  <si>
    <t>Paramecium bursaria Chlorella virus XZ3A</t>
  </si>
  <si>
    <t>Pseudoplusia includens virus</t>
  </si>
  <si>
    <t>Thosea asigna virus</t>
  </si>
  <si>
    <t>Trichoplusia ni virus</t>
  </si>
  <si>
    <t>Tomato mottle Taino virus</t>
  </si>
  <si>
    <t>Tomato mottle virus</t>
  </si>
  <si>
    <t>Tomato rugose mosaic virus</t>
  </si>
  <si>
    <t>Tomato severe leaf curl virus</t>
  </si>
  <si>
    <t>Tomato severe rugose virus</t>
  </si>
  <si>
    <t>Tomato yellow leaf curl Axarquia virus</t>
  </si>
  <si>
    <t>Tomato yellow leaf curl China virus</t>
  </si>
  <si>
    <t>Tomato yellow leaf curl Guangdong virus</t>
  </si>
  <si>
    <t>Tomato yellow leaf curl Malaga virus</t>
  </si>
  <si>
    <t>Drosophila melanogaster copia virus</t>
  </si>
  <si>
    <t>Saccharomyces cerevisiae Ty5 virus</t>
  </si>
  <si>
    <t>Betatetravirus</t>
  </si>
  <si>
    <t>Antheraea eucalypti virus</t>
  </si>
  <si>
    <t>Darna trima virus</t>
  </si>
  <si>
    <t>Deltapapillomavirus</t>
  </si>
  <si>
    <t>Helleborus net necrosis virus</t>
  </si>
  <si>
    <t>Waikavirus</t>
  </si>
  <si>
    <t>Comovirus</t>
  </si>
  <si>
    <t>Fabavirus</t>
  </si>
  <si>
    <t>Nepovirus</t>
  </si>
  <si>
    <t>Comovirinae</t>
  </si>
  <si>
    <t>Spiranthes mosaic virus 3</t>
  </si>
  <si>
    <t>Volvox carteri Osser virus</t>
  </si>
  <si>
    <t>Pseudovirus</t>
  </si>
  <si>
    <t>Panicovirus</t>
  </si>
  <si>
    <t>Tombusvirus</t>
  </si>
  <si>
    <t>Cypovirus 3</t>
  </si>
  <si>
    <t>Cypovirus 4</t>
  </si>
  <si>
    <t>Cypovirus 5</t>
  </si>
  <si>
    <t>Cypovirus 6</t>
  </si>
  <si>
    <t>Cypovirus 7</t>
  </si>
  <si>
    <t>Totiviridae</t>
  </si>
  <si>
    <t>Giardiavirus</t>
  </si>
  <si>
    <t>Discula destructiva virus 2</t>
  </si>
  <si>
    <t>Fusarium poae virus 1</t>
  </si>
  <si>
    <t>Fusarium solani virus 1</t>
  </si>
  <si>
    <t>Parvoviridae</t>
  </si>
  <si>
    <t>Densovirinae</t>
  </si>
  <si>
    <t>Mimoreovirus</t>
  </si>
  <si>
    <t>Micromonas pusilla reovirus</t>
  </si>
  <si>
    <t>Mycoreovirus</t>
  </si>
  <si>
    <t>Mycoreovirus 1</t>
  </si>
  <si>
    <t>Mycoreovirus 2</t>
  </si>
  <si>
    <t>Mycoreovirus 3</t>
  </si>
  <si>
    <t>Orbivirus</t>
  </si>
  <si>
    <t>Molluscum contagiosum virus</t>
  </si>
  <si>
    <t>Tomato leaf curl China virus</t>
  </si>
  <si>
    <t>Tomato yellow leaf curl Mali virus</t>
  </si>
  <si>
    <t>Bdellomicrovirus</t>
  </si>
  <si>
    <t>Chlamydiamicrovirus</t>
  </si>
  <si>
    <t>Cowpea mild mottle virus</t>
  </si>
  <si>
    <t>Daphne virus S</t>
  </si>
  <si>
    <t>Narcissus common latent virus</t>
  </si>
  <si>
    <t>Nerine latent virus</t>
  </si>
  <si>
    <t>Passiflora latent virus</t>
  </si>
  <si>
    <t>Pea streak virus</t>
  </si>
  <si>
    <t>Poplar mosaic virus</t>
  </si>
  <si>
    <t>Potato latent virus</t>
  </si>
  <si>
    <t>Potato virus M</t>
  </si>
  <si>
    <t>Potato virus P</t>
  </si>
  <si>
    <t>Potato virus S</t>
  </si>
  <si>
    <t>Red clover vein mosaic virus</t>
  </si>
  <si>
    <t>Shallot latent virus</t>
  </si>
  <si>
    <t>Gyrovirus</t>
  </si>
  <si>
    <t>Closteroviridae</t>
  </si>
  <si>
    <t>Ampelovirus</t>
  </si>
  <si>
    <t>Tobacco streak virus</t>
  </si>
  <si>
    <t>Tulare apple mosaic virus</t>
  </si>
  <si>
    <t>Oleavirus</t>
  </si>
  <si>
    <t>Olive latent virus 2</t>
  </si>
  <si>
    <t>Acidianus filamentous virus 2</t>
  </si>
  <si>
    <t>Lettuce chlorosis virus</t>
  </si>
  <si>
    <t>Lettuce infectious yellows virus</t>
  </si>
  <si>
    <t>Potato yellow vein virus</t>
  </si>
  <si>
    <t>Strawberry pallidosis-associated virus</t>
  </si>
  <si>
    <t>Beet mild yellowing virus</t>
  </si>
  <si>
    <t>Orthobunyavirus</t>
  </si>
  <si>
    <t>Groundnut rosette assistor virus</t>
  </si>
  <si>
    <t>Indonesian soybean dwarf virus</t>
  </si>
  <si>
    <t>Sweet potato leaf speckling virus</t>
  </si>
  <si>
    <t>Tobacco necrotic dwarf virus</t>
  </si>
  <si>
    <t>Cherry green ring mottle virus</t>
  </si>
  <si>
    <t>Cherry necrotic rusty mottle virus</t>
  </si>
  <si>
    <t>Potato virus T</t>
  </si>
  <si>
    <t>African cassava mosaic virus</t>
  </si>
  <si>
    <t>Ageratum enation virus</t>
  </si>
  <si>
    <t>Ageratum leaf curl virus</t>
  </si>
  <si>
    <t>Ageratum yellow vein Hualian virus</t>
  </si>
  <si>
    <t>Ageratum yellow vein Sri Lanka virus</t>
  </si>
  <si>
    <t>Ageratum yellow vein virus</t>
  </si>
  <si>
    <t>Alternanthera yellow vein virus</t>
  </si>
  <si>
    <t>Bean calico mosaic virus</t>
  </si>
  <si>
    <t>Bean dwarf mosaic virus</t>
  </si>
  <si>
    <t>Cilevirus</t>
  </si>
  <si>
    <t>Virgaviridae</t>
  </si>
  <si>
    <t>Torradovirus</t>
  </si>
  <si>
    <t>Secoviridae</t>
  </si>
  <si>
    <t>Caliciviridae</t>
  </si>
  <si>
    <t>Lagovirus</t>
  </si>
  <si>
    <t>European brown hare syndrome virus</t>
  </si>
  <si>
    <t>Rabbit hemorrhagic disease virus</t>
  </si>
  <si>
    <t>Norovirus</t>
  </si>
  <si>
    <t>Norwalk virus</t>
  </si>
  <si>
    <t>Sapovirus</t>
  </si>
  <si>
    <t>Sapporo virus</t>
  </si>
  <si>
    <t>Vesivirus</t>
  </si>
  <si>
    <t>Feline calicivirus</t>
  </si>
  <si>
    <t>Vesicular exanthema of swine virus</t>
  </si>
  <si>
    <t>Caulimoviridae</t>
  </si>
  <si>
    <t>Badnavirus</t>
  </si>
  <si>
    <t>Semotivirus</t>
  </si>
  <si>
    <t>Anopheles gambiae Moose virus</t>
  </si>
  <si>
    <t>Ascaris lumbricoides Tas virus</t>
  </si>
  <si>
    <t>Bombyx mori Pao virus</t>
  </si>
  <si>
    <t>Chironomus attenuatus entomopoxvirus</t>
  </si>
  <si>
    <t>Lettuce virus X</t>
  </si>
  <si>
    <t>Spiromicrovirus</t>
  </si>
  <si>
    <t>Mimiviridae</t>
  </si>
  <si>
    <t>Mimivirus</t>
  </si>
  <si>
    <t>Nanoviridae</t>
  </si>
  <si>
    <t>Babuvirus</t>
  </si>
  <si>
    <t>Banana bunchy top virus</t>
  </si>
  <si>
    <t>Nanovirus</t>
  </si>
  <si>
    <t>Chrysanthemum virus B</t>
  </si>
  <si>
    <t>Cole latent virus</t>
  </si>
  <si>
    <t>Lily symptomless virus</t>
  </si>
  <si>
    <t>Melon yellowing-associated virus</t>
  </si>
  <si>
    <t>Pospiviroidae</t>
  </si>
  <si>
    <t>Apscaviroid</t>
  </si>
  <si>
    <t>Apple dimple fruit viroid</t>
  </si>
  <si>
    <t>Apple scar skin viroid</t>
  </si>
  <si>
    <t>Australian grapevine viroid</t>
  </si>
  <si>
    <t>Citrus bent leaf viroid</t>
  </si>
  <si>
    <t>Citrus dwarfing viroid</t>
  </si>
  <si>
    <t>Grapevine yellow speckle viroid 1</t>
  </si>
  <si>
    <t>Grapevine yellow speckle viroid 2</t>
  </si>
  <si>
    <t>Pear blister canker viroid</t>
  </si>
  <si>
    <t>Cocadviroid</t>
  </si>
  <si>
    <t>Citrus bark cracking viroid</t>
  </si>
  <si>
    <t>Coconut cadang-cadang viroid</t>
  </si>
  <si>
    <t>Coconut tinangaja viroid</t>
  </si>
  <si>
    <t>Hop latent viroid</t>
  </si>
  <si>
    <t>Grapevine leafroll-associated virus 1</t>
  </si>
  <si>
    <t>Grapevine leafroll-associated virus 3</t>
  </si>
  <si>
    <t>Little cherry virus 2</t>
  </si>
  <si>
    <t>Pineapple mealybug wilt-associated virus 1</t>
  </si>
  <si>
    <t>Pineapple mealybug wilt-associated virus 2</t>
  </si>
  <si>
    <t>Closterovirus</t>
  </si>
  <si>
    <t>Beet yellow stunt virus</t>
  </si>
  <si>
    <t>Beet yellows virus</t>
  </si>
  <si>
    <t>Burdock yellows virus</t>
  </si>
  <si>
    <t>Carnation necrotic fleck virus</t>
  </si>
  <si>
    <t>Carrot yellow leaf virus</t>
  </si>
  <si>
    <t>Citrus tristeza virus</t>
  </si>
  <si>
    <t>Grapevine leafroll-associated virus 2</t>
  </si>
  <si>
    <t>Mint virus 1</t>
  </si>
  <si>
    <t>Wheat yellow leaf virus</t>
  </si>
  <si>
    <t>Crinivirus</t>
  </si>
  <si>
    <t>Abutilon yellows virus</t>
  </si>
  <si>
    <t>Cucurbit yellow stunting disorder virus</t>
  </si>
  <si>
    <t>Corticoviridae</t>
  </si>
  <si>
    <t>Corticovirus</t>
  </si>
  <si>
    <t>Volvox carteri Lueckenbuesser virus</t>
  </si>
  <si>
    <t>Cystoviridae</t>
  </si>
  <si>
    <t>Tomato mild mottle virus</t>
  </si>
  <si>
    <t>Poxviridae</t>
  </si>
  <si>
    <t>Chordopoxvirinae</t>
  </si>
  <si>
    <t>Avipoxvirus</t>
  </si>
  <si>
    <t>Cystovirus</t>
  </si>
  <si>
    <t>Apricot pseudo-chlorotic leaf spot virus</t>
  </si>
  <si>
    <t>Cherry mottle leaf virus</t>
  </si>
  <si>
    <t>Grapevine berry inner necrosis virus</t>
  </si>
  <si>
    <t>Peach mosaic virus</t>
  </si>
  <si>
    <t>Heracleum latent virus</t>
  </si>
  <si>
    <t>Fuselloviridae</t>
  </si>
  <si>
    <t>Sulfolobus spindle-shaped virus 1</t>
  </si>
  <si>
    <t>Geminiviridae</t>
  </si>
  <si>
    <t>Begomovirus</t>
  </si>
  <si>
    <t>Abutilon mosaic virus</t>
  </si>
  <si>
    <t>Cocksfoot streak virus</t>
  </si>
  <si>
    <t>Colombian datura virus</t>
  </si>
  <si>
    <t>Commelina mosaic virus</t>
  </si>
  <si>
    <t>Cowpea aphid-borne mosaic virus</t>
  </si>
  <si>
    <t>Cypripedium virus Y</t>
  </si>
  <si>
    <t>Daphne mosaic virus</t>
  </si>
  <si>
    <t>Dasheen mosaic virus</t>
  </si>
  <si>
    <t>Datura shoestring virus</t>
  </si>
  <si>
    <t>Diuris virus Y</t>
  </si>
  <si>
    <t>East Asian Passiflora virus</t>
  </si>
  <si>
    <t>Endive necrotic mosaic virus</t>
  </si>
  <si>
    <t>Euphorbia ringspot virus</t>
  </si>
  <si>
    <t>Freesia mosaic virus</t>
  </si>
  <si>
    <t>Fritillary virus Y</t>
  </si>
  <si>
    <t>Gloriosa stripe mosaic virus</t>
  </si>
  <si>
    <t>Algerian watermelon mosaic virus</t>
  </si>
  <si>
    <t>Alternanthera mild mosaic virus</t>
  </si>
  <si>
    <t>Angelica virus Y</t>
  </si>
  <si>
    <t>Butterfly flower mosaic virus</t>
  </si>
  <si>
    <t>Canna yellow streak virus</t>
  </si>
  <si>
    <t>Hardenbergia mosaic virus</t>
  </si>
  <si>
    <t>Peach chlorotic mottle virus</t>
  </si>
  <si>
    <t>Mint virus 2</t>
  </si>
  <si>
    <t>Coleus vein necrosis virus</t>
  </si>
  <si>
    <t>Ligustrum necrotic ringspot virus</t>
  </si>
  <si>
    <t>Malva mosaic virus</t>
  </si>
  <si>
    <t>Phaius virus X</t>
  </si>
  <si>
    <t>Lolavirus</t>
  </si>
  <si>
    <t>Lolium latent virus</t>
  </si>
  <si>
    <t>Plum bark necrosis stem pitting-associated virus</t>
  </si>
  <si>
    <t>Bean yellow disorder virus</t>
  </si>
  <si>
    <t>Bovine rhinitis B virus</t>
  </si>
  <si>
    <t>Chironomus luridus entomopoxvirus</t>
  </si>
  <si>
    <t>Caulimovirus</t>
  </si>
  <si>
    <t>Diachasmimorpha entomopoxvirus</t>
  </si>
  <si>
    <t>Pseudoviridae</t>
  </si>
  <si>
    <t>Hemivirus</t>
  </si>
  <si>
    <t>Arracacha mottle virus</t>
  </si>
  <si>
    <t>Brugmansia suaveolens mottle virus</t>
  </si>
  <si>
    <t>Chilli ringspot virus</t>
  </si>
  <si>
    <t>Malva vein clearing virus</t>
  </si>
  <si>
    <t>Telosma mosaic virus</t>
  </si>
  <si>
    <t>Twisted-stalk chlorotic streak virus</t>
  </si>
  <si>
    <t>Vallota mosaic virus</t>
  </si>
  <si>
    <t>Wild tomato mosaic virus</t>
  </si>
  <si>
    <t>Wheat eqlid mosaic virus</t>
  </si>
  <si>
    <t>Citrus viroid V</t>
  </si>
  <si>
    <t>Citrus viroid VI</t>
  </si>
  <si>
    <t>Beet curly top Iran virus</t>
  </si>
  <si>
    <t>Grapevine leafroll-associated virus 7</t>
  </si>
  <si>
    <t>Little cherry virus 1</t>
  </si>
  <si>
    <t>Olive leaf yellowing-associated virus</t>
  </si>
  <si>
    <t>Aurivirus</t>
  </si>
  <si>
    <t>Ligamenvirales</t>
  </si>
  <si>
    <t>Perhabdovirus</t>
  </si>
  <si>
    <t>Sigmavirus</t>
  </si>
  <si>
    <t>Tibrovirus</t>
  </si>
  <si>
    <t>Mesoniviridae</t>
  </si>
  <si>
    <t>Alphamesonivirus</t>
  </si>
  <si>
    <t>Alphamesonivirus 1</t>
  </si>
  <si>
    <t>Aquamavirus</t>
  </si>
  <si>
    <t>Aquamavirus A</t>
  </si>
  <si>
    <t>Cosavirus</t>
  </si>
  <si>
    <t>Cosavirus A</t>
  </si>
  <si>
    <t>Dicipivirus</t>
  </si>
  <si>
    <t>Cadicivirus A</t>
  </si>
  <si>
    <t>Enterovirus A</t>
  </si>
  <si>
    <t>Enterovirus B</t>
  </si>
  <si>
    <t>Enterovirus C</t>
  </si>
  <si>
    <t>Enterovirus D</t>
  </si>
  <si>
    <t>Enterovirus E</t>
  </si>
  <si>
    <t>Enterovirus F</t>
  </si>
  <si>
    <t>Enterovirus G</t>
  </si>
  <si>
    <t>Enterovirus H</t>
  </si>
  <si>
    <t>Enterovirus J</t>
  </si>
  <si>
    <t>Rhinovirus A</t>
  </si>
  <si>
    <t>Rhinovirus B</t>
  </si>
  <si>
    <t>Rhinovirus C</t>
  </si>
  <si>
    <t>Aichivirus A</t>
  </si>
  <si>
    <t>Aichivirus B</t>
  </si>
  <si>
    <t>Aichivirus C</t>
  </si>
  <si>
    <t>Megrivirus</t>
  </si>
  <si>
    <t>Salivirus</t>
  </si>
  <si>
    <t>Salivirus A</t>
  </si>
  <si>
    <t>Allium virus X</t>
  </si>
  <si>
    <t>Lagenaria mild mosaic virus</t>
  </si>
  <si>
    <t>Blackberry virus E</t>
  </si>
  <si>
    <t>Butterbur mosaic virus</t>
  </si>
  <si>
    <t>Cucumber vein-clearing virus</t>
  </si>
  <si>
    <t>Helleborus mosaic virus</t>
  </si>
  <si>
    <t>Hippeastrum latent virus</t>
  </si>
  <si>
    <t>Hydrangea chlorotic mottle virus</t>
  </si>
  <si>
    <t>Mirabilis jalapa mottle virus</t>
  </si>
  <si>
    <t>Phlox virus B</t>
  </si>
  <si>
    <t>Phlox virus M</t>
  </si>
  <si>
    <t>Phlox virus S</t>
  </si>
  <si>
    <t>Sweet potato C6 virus</t>
  </si>
  <si>
    <t>Asian prunus virus 1</t>
  </si>
  <si>
    <t>Grapevine Pinot gris virus</t>
  </si>
  <si>
    <t>Phlomis mottle virus</t>
  </si>
  <si>
    <t>Banana virus X</t>
  </si>
  <si>
    <t>Hardenbergia virus A</t>
  </si>
  <si>
    <t>Actinidia virus A</t>
  </si>
  <si>
    <t>Grapevine leafroll-associated virus 4</t>
  </si>
  <si>
    <t>Diodia vein chlorosis virus</t>
  </si>
  <si>
    <t>Pegivirus</t>
  </si>
  <si>
    <t>Alphafusellovirus</t>
  </si>
  <si>
    <t>Sulfolobus spindle-shaped virus 2</t>
  </si>
  <si>
    <t>Sulfolobus spindle-shaped virus 4</t>
  </si>
  <si>
    <t>Sulfolobus spindle-shaped virus 5</t>
  </si>
  <si>
    <t>Sulfolobus spindle-shaped virus 7</t>
  </si>
  <si>
    <t>Sulfolobus spindle-shaped virus 8</t>
  </si>
  <si>
    <t>Sulfolobus spindle-shaped virus 9</t>
  </si>
  <si>
    <t>Betafusellovirus</t>
  </si>
  <si>
    <t>Acidianus spindle-shaped virus 1</t>
  </si>
  <si>
    <t>Sulfolobus spindle-shaped virus 6</t>
  </si>
  <si>
    <t>Becurtovirus</t>
  </si>
  <si>
    <t>Spinach curly top Arizona virus</t>
  </si>
  <si>
    <t>Spinach severe curly top virus</t>
  </si>
  <si>
    <t>Eragrovirus</t>
  </si>
  <si>
    <t>Eragrostis curvula streak virus</t>
  </si>
  <si>
    <t>Bromus catharticus striate mosaic virus</t>
  </si>
  <si>
    <t>Chickpea chlorosis Australia virus</t>
  </si>
  <si>
    <t>Chickpea chlorosis virus</t>
  </si>
  <si>
    <t>Chickpea chlorotic dwarf virus</t>
  </si>
  <si>
    <t>Chickpea redleaf virus</t>
  </si>
  <si>
    <t>Chickpea yellows virus</t>
  </si>
  <si>
    <t>Digitaria ciliaris striate mosaic virus</t>
  </si>
  <si>
    <t>Digitaria didactyla striate mosaic virus</t>
  </si>
  <si>
    <t>Eragrostis minor streak virus</t>
  </si>
  <si>
    <t>Maize streak Reunion virus</t>
  </si>
  <si>
    <t>Oat dwarf virus</t>
  </si>
  <si>
    <t>Paspalum dilatatum striate mosaic virus</t>
  </si>
  <si>
    <t>Paspalum striate mosaic virus</t>
  </si>
  <si>
    <t>Saccharum streak virus</t>
  </si>
  <si>
    <t>Wheat dwarf India virus</t>
  </si>
  <si>
    <t>Turncurtovirus</t>
  </si>
  <si>
    <t>Turnip curly top virus</t>
  </si>
  <si>
    <t>Betaguttavirus</t>
  </si>
  <si>
    <t>Aeropyrum pernix ovoid virus 1</t>
  </si>
  <si>
    <t>Faba bean yellow leaf virus</t>
  </si>
  <si>
    <t>Quaranjavirus</t>
  </si>
  <si>
    <t>Quadriviridae</t>
  </si>
  <si>
    <t>Quadrivirus</t>
  </si>
  <si>
    <t>Rosellinia necatrix quadrivirus 1</t>
  </si>
  <si>
    <t>Madariaga virus</t>
  </si>
  <si>
    <t>Alphanecrovirus</t>
  </si>
  <si>
    <t>Betanecrovirus</t>
  </si>
  <si>
    <t>Gallantivirus</t>
  </si>
  <si>
    <t>Macanavirus</t>
  </si>
  <si>
    <t>Zeavirus</t>
  </si>
  <si>
    <t>Rice stripe necrosis virus</t>
  </si>
  <si>
    <t>Bell pepper mottle virus</t>
  </si>
  <si>
    <t>Cactus mild mottle virus</t>
  </si>
  <si>
    <t>Clitoria yellow mottle virus</t>
  </si>
  <si>
    <t>Cucumber mottle virus</t>
  </si>
  <si>
    <t>Maracuja mosaic virus</t>
  </si>
  <si>
    <t>Passion fruit mosaic virus</t>
  </si>
  <si>
    <t>Rattail cactus necrosis-associated virus</t>
  </si>
  <si>
    <t>Tropical soda apple mosaic virus</t>
  </si>
  <si>
    <t>Actinidia virus B</t>
  </si>
  <si>
    <t>Cuevavirus</t>
  </si>
  <si>
    <t>Nyamiviridae</t>
  </si>
  <si>
    <t>Nyavirus</t>
  </si>
  <si>
    <t>Sprivivirus</t>
  </si>
  <si>
    <t>Tupavirus</t>
  </si>
  <si>
    <t>Avisivirus</t>
  </si>
  <si>
    <t>Avisivirus A</t>
  </si>
  <si>
    <t>Gallivirus</t>
  </si>
  <si>
    <t>Gallivirus A</t>
  </si>
  <si>
    <t>Hunnivirus</t>
  </si>
  <si>
    <t>Hunnivirus A</t>
  </si>
  <si>
    <t>Mischivirus</t>
  </si>
  <si>
    <t>Mischivirus A</t>
  </si>
  <si>
    <t>Mosavirus</t>
  </si>
  <si>
    <t>Mosavirus A</t>
  </si>
  <si>
    <t>Oscivirus</t>
  </si>
  <si>
    <t>Oscivirus A</t>
  </si>
  <si>
    <t>Pasivirus</t>
  </si>
  <si>
    <t>Pasivirus A</t>
  </si>
  <si>
    <t>Passerivirus</t>
  </si>
  <si>
    <t>Passerivirus A</t>
  </si>
  <si>
    <t>Rosavirus</t>
  </si>
  <si>
    <t>Rosavirus A</t>
  </si>
  <si>
    <t>Citrus yellow vein clearing virus</t>
  </si>
  <si>
    <t>Rubus canadensis virus 1</t>
  </si>
  <si>
    <t>Diuris virus A</t>
  </si>
  <si>
    <t>Diuris virus B</t>
  </si>
  <si>
    <t>Grapevine virus F</t>
  </si>
  <si>
    <t>Bovine atadenovirus D</t>
  </si>
  <si>
    <t>Duck atadenovirus A</t>
  </si>
  <si>
    <t>Ovine atadenovirus D</t>
  </si>
  <si>
    <t>Possum atadenovirus A</t>
  </si>
  <si>
    <t>Snake atadenovirus A</t>
  </si>
  <si>
    <t>Falcon aviadenovirus A</t>
  </si>
  <si>
    <t>Fowl aviadenovirus A</t>
  </si>
  <si>
    <t>Fowl aviadenovirus B</t>
  </si>
  <si>
    <t>Fowl aviadenovirus C</t>
  </si>
  <si>
    <t>Fowl aviadenovirus D</t>
  </si>
  <si>
    <t>Fowl aviadenovirus E</t>
  </si>
  <si>
    <t>Goose aviadenovirus A</t>
  </si>
  <si>
    <t>Turkey aviadenovirus B</t>
  </si>
  <si>
    <t>Sturgeon ichtadenovirus A</t>
  </si>
  <si>
    <t>Bat mastadenovirus A</t>
  </si>
  <si>
    <t>Bat mastadenovirus B</t>
  </si>
  <si>
    <t>Bovine mastadenovirus A</t>
  </si>
  <si>
    <t>Bovine mastadenovirus B</t>
  </si>
  <si>
    <t>Bovine mastadenovirus C</t>
  </si>
  <si>
    <t>Canine mastadenovirus A</t>
  </si>
  <si>
    <t>Equine mastadenovirus A</t>
  </si>
  <si>
    <t>Equine mastadenovirus B</t>
  </si>
  <si>
    <t>Human mastadenovirus A</t>
  </si>
  <si>
    <t>Human mastadenovirus B</t>
  </si>
  <si>
    <t>Human mastadenovirus C</t>
  </si>
  <si>
    <t>Human mastadenovirus D</t>
  </si>
  <si>
    <t>Human mastadenovirus E</t>
  </si>
  <si>
    <t>Human mastadenovirus F</t>
  </si>
  <si>
    <t>Human mastadenovirus G</t>
  </si>
  <si>
    <t>Murine mastadenovirus A</t>
  </si>
  <si>
    <t>Murine mastadenovirus B</t>
  </si>
  <si>
    <t>Murine mastadenovirus C</t>
  </si>
  <si>
    <t>Ovine mastadenovirus A</t>
  </si>
  <si>
    <t>Ovine mastadenovirus B</t>
  </si>
  <si>
    <t>Porcine mastadenovirus A</t>
  </si>
  <si>
    <t>Porcine mastadenovirus B</t>
  </si>
  <si>
    <t>Porcine mastadenovirus C</t>
  </si>
  <si>
    <t>Simian mastadenovirus A</t>
  </si>
  <si>
    <t>Tree shrew mastadenovirus A</t>
  </si>
  <si>
    <t>Frog siadenovirus A</t>
  </si>
  <si>
    <t>Great tit siadenovirus A</t>
  </si>
  <si>
    <t>Raptor siadenovirus A</t>
  </si>
  <si>
    <t>Skua siadenovirus A</t>
  </si>
  <si>
    <t>Turkey siadenovirus A</t>
  </si>
  <si>
    <t>Amalgaviridae</t>
  </si>
  <si>
    <t>Amalgavirus</t>
  </si>
  <si>
    <t>Benyviridae</t>
  </si>
  <si>
    <t>Burdock mottle virus</t>
  </si>
  <si>
    <t>Amazon lily mild mottle virus</t>
  </si>
  <si>
    <t>Velarivirus</t>
  </si>
  <si>
    <t>Cordyline virus 1</t>
  </si>
  <si>
    <t>Abutilon mosaic Bolivia virus</t>
  </si>
  <si>
    <t>Abutilon mosaic Brazil virus</t>
  </si>
  <si>
    <t>Allamanda leaf curl virus</t>
  </si>
  <si>
    <t>Bean chlorosis virus</t>
  </si>
  <si>
    <t>Bean yellow mosaic Mexico virus</t>
  </si>
  <si>
    <t>Bhendi yellow vein Bhubhaneswar virus</t>
  </si>
  <si>
    <t>Bhendi yellow vein Haryana virus</t>
  </si>
  <si>
    <t>Blainvillea yellow spot virus</t>
  </si>
  <si>
    <t>Blechum interveinal chlorosis virus</t>
  </si>
  <si>
    <t>Centrosema yellow spot virus</t>
  </si>
  <si>
    <t>Chino del tomate Amazonas virus</t>
  </si>
  <si>
    <t>Cleome golden mosaic virus</t>
  </si>
  <si>
    <t>Cleome leaf crumple virus</t>
  </si>
  <si>
    <t>Dalechampia chlorotic mosaic virus</t>
  </si>
  <si>
    <t>Datura leaf distortion virus</t>
  </si>
  <si>
    <t>Euphorbia yellow mosaic virus</t>
  </si>
  <si>
    <t>Hollyhock leaf curl virus</t>
  </si>
  <si>
    <t>Jacquemontia mosaic Yucatan virus</t>
  </si>
  <si>
    <t>Jatropha mosaic India virus</t>
  </si>
  <si>
    <t>Leonurus mosaic virus</t>
  </si>
  <si>
    <t>Macroptilium golden mosaic virus</t>
  </si>
  <si>
    <t>Macroptilium yellow spot virus</t>
  </si>
  <si>
    <t>Macroptilium yellow vein virus</t>
  </si>
  <si>
    <t>Malvastrum yellow mosaic Helshire virus</t>
  </si>
  <si>
    <t>Malvastrum yellow mosaic Jamaica virus</t>
  </si>
  <si>
    <t>Malvastrum yellow vein Honghe virus</t>
  </si>
  <si>
    <t>Melon chlorotic mosaic virus</t>
  </si>
  <si>
    <t>Merremia mosaic Puerto Rico virus</t>
  </si>
  <si>
    <t>Okra enation leaf curl virus</t>
  </si>
  <si>
    <t>Okra mottle virus</t>
  </si>
  <si>
    <t>Papaya leaf crumple virus</t>
  </si>
  <si>
    <t>Passionfruit severe leaf distortion virus</t>
  </si>
  <si>
    <t>Pepper leaf curl Yunnan virus</t>
  </si>
  <si>
    <t>Rhynchosia golden mosaic Havana virus</t>
  </si>
  <si>
    <t>Rhynchosia mild mosaic virus</t>
  </si>
  <si>
    <t>Rhynchosia rugose golden mosaic virus</t>
  </si>
  <si>
    <t>Rhynchosia yellow mosaic virus</t>
  </si>
  <si>
    <t>Rose leaf curl virus</t>
  </si>
  <si>
    <t>Sida golden mosaic Braco virus</t>
  </si>
  <si>
    <t>Sida golden mosaic Buckup virus</t>
  </si>
  <si>
    <t>Sida golden mottle virus</t>
  </si>
  <si>
    <t>Sida mosaic Alagoas virus</t>
  </si>
  <si>
    <t>Sida mosaic Bolivia virus 1</t>
  </si>
  <si>
    <t>Sida mosaic Bolivia virus 2</t>
  </si>
  <si>
    <t>Sida mosaic Sinaloa virus</t>
  </si>
  <si>
    <t>Sida mottle Alagoas virus</t>
  </si>
  <si>
    <t>Sida yellow blotch virus</t>
  </si>
  <si>
    <t>Sida yellow mosaic Alagoas virus</t>
  </si>
  <si>
    <t>Sida yellow mottle virus</t>
  </si>
  <si>
    <t>Sida yellow net virus</t>
  </si>
  <si>
    <t>Soybean mild mottle virus</t>
  </si>
  <si>
    <t>Sweet potato leaf curl Sao Paulo virus</t>
  </si>
  <si>
    <t>Sweet potato leaf curl South Carolina virus</t>
  </si>
  <si>
    <t>Sweet potato mosaic virus</t>
  </si>
  <si>
    <t>Tobacco leaf curl Pusa virus</t>
  </si>
  <si>
    <t>Tobacco leaf curl Thailand virus</t>
  </si>
  <si>
    <t>Tobacco leaf rugose virus</t>
  </si>
  <si>
    <t>Tobacco mottle leaf curl virus</t>
  </si>
  <si>
    <t>Tobacco yellow crinkle virus</t>
  </si>
  <si>
    <t>Tomato chlorotic leaf distortion virus</t>
  </si>
  <si>
    <t>Tomato common mosaic virus</t>
  </si>
  <si>
    <t>Tomato dwarf leaf virus</t>
  </si>
  <si>
    <t>Tomato golden vein virus</t>
  </si>
  <si>
    <t>Tomato leaf curl Anjouan virus</t>
  </si>
  <si>
    <t>Tomato leaf curl Cebu virus</t>
  </si>
  <si>
    <t>Tomato leaf curl Diana virus</t>
  </si>
  <si>
    <t>Tomato leaf curl Ghana virus</t>
  </si>
  <si>
    <t>Tomato leaf curl Hainan virus</t>
  </si>
  <si>
    <t>Tomato leaf curl Hanoi virus</t>
  </si>
  <si>
    <t>Tomato leaf curl Iran virus</t>
  </si>
  <si>
    <t>Tomato leaf curl Mindanao virus</t>
  </si>
  <si>
    <t>Tomato leaf curl Moheli virus</t>
  </si>
  <si>
    <t>Tomato leaf curl Namakely virus</t>
  </si>
  <si>
    <t>Tomato leaf curl Nigeria virus</t>
  </si>
  <si>
    <t>Tomato leaf curl Toliara virus</t>
  </si>
  <si>
    <t>Tomato leaf deformation virus</t>
  </si>
  <si>
    <t>Tomato leaf distortion virus</t>
  </si>
  <si>
    <t>Tomato mild mosaic virus</t>
  </si>
  <si>
    <t>Tomato mottle leaf curl virus</t>
  </si>
  <si>
    <t>Tomato rugose yellow leaf curl virus</t>
  </si>
  <si>
    <t>Tomato yellow leaf distortion virus</t>
  </si>
  <si>
    <t>Tomato yellow mottle virus</t>
  </si>
  <si>
    <t>West African Asystasia virus 1</t>
  </si>
  <si>
    <t>West African Asystasia virus 2</t>
  </si>
  <si>
    <t>Wissadula golden mosaic virus</t>
  </si>
  <si>
    <t>Pea enation mosaic virus 1</t>
  </si>
  <si>
    <t>Cotton leafroll dwarf virus</t>
  </si>
  <si>
    <t>Suakwa aphid-borne yellows virus</t>
  </si>
  <si>
    <t>Marseilleviridae</t>
  </si>
  <si>
    <t>Marseillevirus</t>
  </si>
  <si>
    <t>Marseillevirus marseillevirus</t>
  </si>
  <si>
    <t>Senegalvirus marseillevirus</t>
  </si>
  <si>
    <t>Lausannevirus</t>
  </si>
  <si>
    <t>Tunisvirus</t>
  </si>
  <si>
    <t>Nudiviridae</t>
  </si>
  <si>
    <t>Alphanudivirus</t>
  </si>
  <si>
    <t>Betanudivirus</t>
  </si>
  <si>
    <t>Chipapillomavirus 3</t>
  </si>
  <si>
    <t>Deltapapillomavirus 6</t>
  </si>
  <si>
    <t>Dyoiotapapillomavirus 2</t>
  </si>
  <si>
    <t>Dyokappapapillomavirus</t>
  </si>
  <si>
    <t>Dyokappapapillomavirus 1</t>
  </si>
  <si>
    <t>Dyolambdapapillomavirus</t>
  </si>
  <si>
    <t>Dyolambdapapillomavirus 1</t>
  </si>
  <si>
    <t>Dyomupapillomavirus</t>
  </si>
  <si>
    <t>Dyomupapillomavirus 1</t>
  </si>
  <si>
    <t>Dyonupapillomavirus</t>
  </si>
  <si>
    <t>Dyonupapillomavirus 1</t>
  </si>
  <si>
    <t>Dyoomikronpapillomavirus</t>
  </si>
  <si>
    <t>Dyoomikronpapillomavirus 1</t>
  </si>
  <si>
    <t>Dyopipapillomavirus</t>
  </si>
  <si>
    <t>Dyopipapillomavirus 1</t>
  </si>
  <si>
    <t>Dyorhopapillomavirus</t>
  </si>
  <si>
    <t>Dyorhopapillomavirus 1</t>
  </si>
  <si>
    <t>Dyosigmapapillomavirus</t>
  </si>
  <si>
    <t>Dyosigmapapillomavirus 1</t>
  </si>
  <si>
    <t>Dyoxipapillomavirus</t>
  </si>
  <si>
    <t>Dyoxipapillomavirus 1</t>
  </si>
  <si>
    <t>Gammapapillomavirus 11</t>
  </si>
  <si>
    <t>Gammapapillomavirus 12</t>
  </si>
  <si>
    <t>Gammapapillomavirus 13</t>
  </si>
  <si>
    <t>Gammapapillomavirus 14</t>
  </si>
  <si>
    <t>Gammapapillomavirus 15</t>
  </si>
  <si>
    <t>Gammapapillomavirus 16</t>
  </si>
  <si>
    <t>Gammapapillomavirus 17</t>
  </si>
  <si>
    <t>Gammapapillomavirus 18</t>
  </si>
  <si>
    <t>Gammapapillomavirus 19</t>
  </si>
  <si>
    <t>Gammapapillomavirus 20</t>
  </si>
  <si>
    <t>Lambdapapillomavirus 5</t>
  </si>
  <si>
    <t>Taupapillomavirus 2</t>
  </si>
  <si>
    <t>Upsilonpapillomavirus 3</t>
  </si>
  <si>
    <t>Xipapillomavirus 2</t>
  </si>
  <si>
    <t>Alphapartitivirus</t>
  </si>
  <si>
    <t>Carrot cryptic virus</t>
  </si>
  <si>
    <t>Cherry chlorotic rusty spot associated partitivirus</t>
  </si>
  <si>
    <t>Chondrostereum purpureum cryptic virus 1</t>
  </si>
  <si>
    <t>Flammulina velutipes browning virus</t>
  </si>
  <si>
    <t>Rosellinia necatrix partitivirus 2</t>
  </si>
  <si>
    <t>Betapartitivirus</t>
  </si>
  <si>
    <t>Cannabis cryptic virus</t>
  </si>
  <si>
    <t>Crimson clover cryptic virus 2</t>
  </si>
  <si>
    <t>Dill cryptic virus 2</t>
  </si>
  <si>
    <t>Primula malacoides virus 1</t>
  </si>
  <si>
    <t>Deltapartitivirus</t>
  </si>
  <si>
    <t>Fig cryptic virus</t>
  </si>
  <si>
    <t>Pepper cryptic virus 1</t>
  </si>
  <si>
    <t>Pepper cryptic virus 2</t>
  </si>
  <si>
    <t>Gammapartitivirus</t>
  </si>
  <si>
    <t>Iteradensovirus</t>
  </si>
  <si>
    <t>Amdoparvovirus</t>
  </si>
  <si>
    <t>Aveparvovirus</t>
  </si>
  <si>
    <t>Bocaparvovirus</t>
  </si>
  <si>
    <t>Copiparvovirus</t>
  </si>
  <si>
    <t>Dependoparvovirus</t>
  </si>
  <si>
    <t>Erythroparvovirus</t>
  </si>
  <si>
    <t>Protoparvovirus</t>
  </si>
  <si>
    <t>Tetraparvovirus</t>
  </si>
  <si>
    <t>Rose yellow mosaic virus</t>
  </si>
  <si>
    <t>Spiraviridae</t>
  </si>
  <si>
    <t>Alphaspiravirus</t>
  </si>
  <si>
    <t>Aeropyrum coil-shaped virus</t>
  </si>
  <si>
    <t>Eilat virus</t>
  </si>
  <si>
    <t>Leishmania RNA virus 1</t>
  </si>
  <si>
    <t>Leishmania RNA virus 2</t>
  </si>
  <si>
    <t>Scheffersomyces segobiensis virus L</t>
  </si>
  <si>
    <t>Tuber aestivum virus 1</t>
  </si>
  <si>
    <t>Xanthophyllomyces dendrorhous virus L1A</t>
  </si>
  <si>
    <t>Xanthophyllomyces dendrorhous virus L1B</t>
  </si>
  <si>
    <t>Trichomonas vaginalis virus 4</t>
  </si>
  <si>
    <t>Aspergillus foetidus slow virus 1</t>
  </si>
  <si>
    <t>Beauveria bassiana victorivirus 1</t>
  </si>
  <si>
    <t>Magnaporthe oryzae virus 2</t>
  </si>
  <si>
    <t>Rosellinia necatrix victorivirus 1</t>
  </si>
  <si>
    <t>Tolypocladium cylindrosporum virus 1</t>
  </si>
  <si>
    <t>Turriviridae</t>
  </si>
  <si>
    <t>Alphaturrivirus</t>
  </si>
  <si>
    <t>Sulfolobus turreted icosahedral virus 1</t>
  </si>
  <si>
    <t>Sulfolobus turreted icosahedral virus 2</t>
  </si>
  <si>
    <t>Higrevirus</t>
  </si>
  <si>
    <t>Eucampyvirinae</t>
  </si>
  <si>
    <t>Avihepatovirus A</t>
  </si>
  <si>
    <t>Cardiovirus A</t>
  </si>
  <si>
    <t>Cardiovirus B</t>
  </si>
  <si>
    <t>Cardiovirus C</t>
  </si>
  <si>
    <t>Erbovirus A</t>
  </si>
  <si>
    <t>Hepatovirus A</t>
  </si>
  <si>
    <t>Kunsagivirus</t>
  </si>
  <si>
    <t>Kunsagivirus A</t>
  </si>
  <si>
    <t>Parechovirus A</t>
  </si>
  <si>
    <t>Parechovirus B</t>
  </si>
  <si>
    <t>Sakobuvirus</t>
  </si>
  <si>
    <t>Sakobuvirus A</t>
  </si>
  <si>
    <t>Sapelovirus A</t>
  </si>
  <si>
    <t>Sapelovirus B</t>
  </si>
  <si>
    <t>Senecavirus A</t>
  </si>
  <si>
    <t>Sicinivirus</t>
  </si>
  <si>
    <t>Sicinivirus A</t>
  </si>
  <si>
    <t>Teschovirus A</t>
  </si>
  <si>
    <t>Tremovirus A</t>
  </si>
  <si>
    <t>Mammarenavirus</t>
  </si>
  <si>
    <t>Reptarenavirus</t>
  </si>
  <si>
    <t>Rosadnavirus</t>
  </si>
  <si>
    <t>Piscihepevirus</t>
  </si>
  <si>
    <t>Helicobasidium mompa partitivirus V70</t>
  </si>
  <si>
    <t>Heterobasidion partitivirus 1</t>
  </si>
  <si>
    <t>Heterobasidion partitivirus 3</t>
  </si>
  <si>
    <t>Heterobasidion partitivirus 2</t>
  </si>
  <si>
    <t>Heterobasidion partitivirus 8</t>
  </si>
  <si>
    <t>Heterobasidion partitivirus P</t>
  </si>
  <si>
    <t>Dahlia latent viroid</t>
  </si>
  <si>
    <t>Bidens mosaic virus</t>
  </si>
  <si>
    <t>Blue squill virus A</t>
  </si>
  <si>
    <t>Brugmansia mosaic virus</t>
  </si>
  <si>
    <t>Calla lily latent virus</t>
  </si>
  <si>
    <t>Cyrtanthus elatus virus A</t>
  </si>
  <si>
    <t>Habenaria mosaic virus</t>
  </si>
  <si>
    <t>Keunjorong mosaic virus</t>
  </si>
  <si>
    <t>Lupinus mosaic virus</t>
  </si>
  <si>
    <t>Panax virus Y</t>
  </si>
  <si>
    <t>Tomato necrotic stunt virus</t>
  </si>
  <si>
    <t>Verbena virus Y</t>
  </si>
  <si>
    <t>Zucchini tigre mosaic virus</t>
  </si>
  <si>
    <t>Tall oatgrass mosaic virus</t>
  </si>
  <si>
    <t>Demodema bonariensis entomopoxvirus</t>
  </si>
  <si>
    <t>Figulus sublaevis entomopoxvirus</t>
  </si>
  <si>
    <t>Acrobasis zelleri entomopoxvirus</t>
  </si>
  <si>
    <t>Adoxophyes honmai entomopoxvirus</t>
  </si>
  <si>
    <t>Amsacta moorei entomopoxvirus</t>
  </si>
  <si>
    <t>Arphia conspersa entomopoxvirus</t>
  </si>
  <si>
    <t>Choristoneura biennis entomopoxvirus</t>
  </si>
  <si>
    <t>Choristoneura conflicta entomopoxvirus</t>
  </si>
  <si>
    <t>Choristoneura diversuma entomopoxvirus</t>
  </si>
  <si>
    <t>Choristoneura fumiferana entomopoxvirus</t>
  </si>
  <si>
    <t>Choristoneura rosaceana entomopoxvirus</t>
  </si>
  <si>
    <t>Chorizagrotis auxiliaris entomopoxvirus</t>
  </si>
  <si>
    <t>Heliothis armigera entomopoxvirus</t>
  </si>
  <si>
    <t>Locusta migratoria entomopoxvirus</t>
  </si>
  <si>
    <t>Mythimna separata entomopoxvirus</t>
  </si>
  <si>
    <t>Oedaleus senegalensis entomopoxvirus</t>
  </si>
  <si>
    <t>Operophtera brumata entomopoxvirus</t>
  </si>
  <si>
    <t>Schistocerca gregaria entomopoxvirus</t>
  </si>
  <si>
    <t>Goeldichironomus holoprasinus entomopoxvirus</t>
  </si>
  <si>
    <t>Rotavirus F</t>
  </si>
  <si>
    <t>Rotavirus G</t>
  </si>
  <si>
    <t>Rotavirus H</t>
  </si>
  <si>
    <t>Sphaerolipoviridae</t>
  </si>
  <si>
    <t>Alphasphaerolipovirus</t>
  </si>
  <si>
    <t>Tomato mottle mosaic virus</t>
  </si>
  <si>
    <t>Yellow tailflower mild mottle virus</t>
  </si>
  <si>
    <t>dsDNA</t>
  </si>
  <si>
    <t>ssRNA(-)</t>
  </si>
  <si>
    <t>ssRNA(+)</t>
  </si>
  <si>
    <t>ssDNA</t>
  </si>
  <si>
    <t>dsRNA</t>
  </si>
  <si>
    <t>ssRNA-RT</t>
  </si>
  <si>
    <t>Mosso das Pedras virus</t>
  </si>
  <si>
    <t>Genome Composition</t>
  </si>
  <si>
    <t>Taxon History URL</t>
  </si>
  <si>
    <t>Last Change</t>
  </si>
  <si>
    <t>Arabidopsis thaliana evelknievel virus</t>
  </si>
  <si>
    <t>Campylobacter virus IBB35</t>
  </si>
  <si>
    <t>Kayvirus</t>
  </si>
  <si>
    <t>Silviavirus</t>
  </si>
  <si>
    <t>Twortvirus</t>
  </si>
  <si>
    <t>Acinetobacter virus 133</t>
  </si>
  <si>
    <t>Vequintavirinae</t>
  </si>
  <si>
    <t>Agatevirus</t>
  </si>
  <si>
    <t>Bastillevirus</t>
  </si>
  <si>
    <t>Bcepmuvirus</t>
  </si>
  <si>
    <t>Biquartavirus</t>
  </si>
  <si>
    <t>Hapunavirus</t>
  </si>
  <si>
    <t>Muvirus</t>
  </si>
  <si>
    <t>Myohalovirus</t>
  </si>
  <si>
    <t>Aeromonas virus 43</t>
  </si>
  <si>
    <t>Pakpunavirus</t>
  </si>
  <si>
    <t>Pbunavirus</t>
  </si>
  <si>
    <t>Pseudomonas virus DL68</t>
  </si>
  <si>
    <t>Pseudomonas virus JG024</t>
  </si>
  <si>
    <t>Phikzvirus</t>
  </si>
  <si>
    <t>Vhmlvirus</t>
  </si>
  <si>
    <t>Wphvirus</t>
  </si>
  <si>
    <t>Phikmvvirus</t>
  </si>
  <si>
    <t>Nonanavirus</t>
  </si>
  <si>
    <t>Pagevirus</t>
  </si>
  <si>
    <t>Guernseyvirinae</t>
  </si>
  <si>
    <t>Jerseyvirus</t>
  </si>
  <si>
    <t>Tunavirinae</t>
  </si>
  <si>
    <t>Rtpvirus</t>
  </si>
  <si>
    <t>Tlsvirus</t>
  </si>
  <si>
    <t>Andromedavirus</t>
  </si>
  <si>
    <t>Barnyardvirus</t>
  </si>
  <si>
    <t>Bignuzvirus</t>
  </si>
  <si>
    <t>Biseptimavirus</t>
  </si>
  <si>
    <t>Bronvirus</t>
  </si>
  <si>
    <t>Mycobacterium virus Bron</t>
  </si>
  <si>
    <t>Cbastvirus</t>
  </si>
  <si>
    <t>Cecivirus</t>
  </si>
  <si>
    <t>Charlievirus</t>
  </si>
  <si>
    <t>Mycobacterium virus Ardmore</t>
  </si>
  <si>
    <t>Mycobacterium virus Boomer</t>
  </si>
  <si>
    <t>Mycobacterium virus Che8</t>
  </si>
  <si>
    <t>Mycobacterium virus Dlane</t>
  </si>
  <si>
    <t>Mycobacterium virus Dorothy</t>
  </si>
  <si>
    <t>Mycobacterium virus Drago</t>
  </si>
  <si>
    <t>Mycobacterium virus Fruitloop</t>
  </si>
  <si>
    <t>Mycobacterium virus Ibhubesi</t>
  </si>
  <si>
    <t>Mycobacterium virus Llij</t>
  </si>
  <si>
    <t>Mycobacterium virus Mozy</t>
  </si>
  <si>
    <t>Mycobacterium virus Mutaforma13</t>
  </si>
  <si>
    <t>Mycobacterium virus Pacc40</t>
  </si>
  <si>
    <t>Mycobacterium virus PMC</t>
  </si>
  <si>
    <t>Mycobacterium virus Ramsey</t>
  </si>
  <si>
    <t>Mycobacterium virus SG4</t>
  </si>
  <si>
    <t>Mycobacterium virus Shauna1</t>
  </si>
  <si>
    <t>Mycobacterium virus Shilan</t>
  </si>
  <si>
    <t>Mycobacterium virus Spartacus</t>
  </si>
  <si>
    <t>Mycobacterium virus Taj</t>
  </si>
  <si>
    <t>Mycobacterium virus Tweety</t>
  </si>
  <si>
    <t>Mycobacterium virus Wee</t>
  </si>
  <si>
    <t>Chivirus</t>
  </si>
  <si>
    <t>Corndogvirus</t>
  </si>
  <si>
    <t>Lambdavirus</t>
  </si>
  <si>
    <t>Liefievirus</t>
  </si>
  <si>
    <t>Mycobacterium virus Halo</t>
  </si>
  <si>
    <t>Mycobacterium virus Liefie</t>
  </si>
  <si>
    <t>Nonagvirus</t>
  </si>
  <si>
    <t>Omegavirus</t>
  </si>
  <si>
    <t>Phietavirus</t>
  </si>
  <si>
    <t>Phifelvirus</t>
  </si>
  <si>
    <t>Psavirus</t>
  </si>
  <si>
    <t>Psimunavirus</t>
  </si>
  <si>
    <t>Reyvirus</t>
  </si>
  <si>
    <t>Seuratvirus</t>
  </si>
  <si>
    <t>Sextaecvirus</t>
  </si>
  <si>
    <t>Slashvirus</t>
  </si>
  <si>
    <t>Spbetavirus</t>
  </si>
  <si>
    <t>Mycobacterium virus TM4</t>
  </si>
  <si>
    <t>Triavirus</t>
  </si>
  <si>
    <t>Wbetavirus</t>
  </si>
  <si>
    <t>Yuavirus</t>
  </si>
  <si>
    <t>Pseudomonas virus M6</t>
  </si>
  <si>
    <t>Pseudomonas virus Yua</t>
  </si>
  <si>
    <t>Mymonaviridae</t>
  </si>
  <si>
    <t>Sclerotimonavirus</t>
  </si>
  <si>
    <t>Socyvirus</t>
  </si>
  <si>
    <t>Pneumoviridae</t>
  </si>
  <si>
    <t>Orthopneumovirus</t>
  </si>
  <si>
    <t>Dichorhavirus</t>
  </si>
  <si>
    <t>Sunviridae</t>
  </si>
  <si>
    <t>Sunshinevirus</t>
  </si>
  <si>
    <t>Anphevirus</t>
  </si>
  <si>
    <t>Arlivirus</t>
  </si>
  <si>
    <t>Crustavirus</t>
  </si>
  <si>
    <t>Bat coronavirus CDPHE15</t>
  </si>
  <si>
    <t>Bat coronavirus HKU10</t>
  </si>
  <si>
    <t>Mink coronavirus 1</t>
  </si>
  <si>
    <t>Hedgehog coronavirus 1</t>
  </si>
  <si>
    <t>Middle East respiratory syndrome-related coronavirus</t>
  </si>
  <si>
    <t>Common moorhen coronavirus HKU21</t>
  </si>
  <si>
    <t>Coronavirus HKU15</t>
  </si>
  <si>
    <t>Night heron coronavirus HKU19</t>
  </si>
  <si>
    <t>White-eye coronavirus HKU16</t>
  </si>
  <si>
    <t>Wigeon coronavirus HKU20</t>
  </si>
  <si>
    <t>Fathead minnow nidovirus 1</t>
  </si>
  <si>
    <t>Ball python nidovirus 1</t>
  </si>
  <si>
    <t>Alphamesonivirus 2</t>
  </si>
  <si>
    <t>Alphamesonivirus 3</t>
  </si>
  <si>
    <t>Alphamesonivirus 4</t>
  </si>
  <si>
    <t>Alphamesonivirus 5</t>
  </si>
  <si>
    <t>Triatovirus</t>
  </si>
  <si>
    <t>Limnipivirus</t>
  </si>
  <si>
    <t>Limnipivirus A</t>
  </si>
  <si>
    <t>Limnipivirus B</t>
  </si>
  <si>
    <t>Limnipivirus C</t>
  </si>
  <si>
    <t>Potamipivirus</t>
  </si>
  <si>
    <t>Potamipivirus A</t>
  </si>
  <si>
    <t>Platypuvirus</t>
  </si>
  <si>
    <t>Donkey orchid symptomless virus</t>
  </si>
  <si>
    <t>Yam virus X</t>
  </si>
  <si>
    <t>Quinvirinae</t>
  </si>
  <si>
    <t>Gaillardia latent virus</t>
  </si>
  <si>
    <t>Potato virus H</t>
  </si>
  <si>
    <t>Robigovirus</t>
  </si>
  <si>
    <t>Cherry rusty mottle associated virus</t>
  </si>
  <si>
    <t>Cherry twisted leaf associated virus</t>
  </si>
  <si>
    <t>Trivirinae</t>
  </si>
  <si>
    <t>Chordovirus</t>
  </si>
  <si>
    <t>Carrot Ch virus 1</t>
  </si>
  <si>
    <t>Carrot Ch virus 2</t>
  </si>
  <si>
    <t>Divavirus</t>
  </si>
  <si>
    <t>Prunevirus</t>
  </si>
  <si>
    <t>Apricot vein clearing associated virus</t>
  </si>
  <si>
    <t>Caucasus prunus virus</t>
  </si>
  <si>
    <t>Prunus virus T</t>
  </si>
  <si>
    <t>Duck aviadenovirus B</t>
  </si>
  <si>
    <t>Pigeon aviadenovirus A</t>
  </si>
  <si>
    <t>Turkey aviadenovirus C</t>
  </si>
  <si>
    <t>Turkey aviadenovirus D</t>
  </si>
  <si>
    <t>Simian mastadenovirus B</t>
  </si>
  <si>
    <t>Simian mastadenovirus C</t>
  </si>
  <si>
    <t>ssDNA(-)</t>
  </si>
  <si>
    <t>ssRNA(+/-)</t>
  </si>
  <si>
    <t>Toursvirus</t>
  </si>
  <si>
    <t>Frijoles phlebovirus</t>
  </si>
  <si>
    <t>dsDNA-RT</t>
  </si>
  <si>
    <t>ssDNA(+/-)</t>
  </si>
  <si>
    <t>Cyclovirus</t>
  </si>
  <si>
    <t>Blackberry vein banding-associated virus</t>
  </si>
  <si>
    <t>Blueberry virus A</t>
  </si>
  <si>
    <t>Cordyline virus 2</t>
  </si>
  <si>
    <t>Cordyline virus 3</t>
  </si>
  <si>
    <t>Cordyline virus 4</t>
  </si>
  <si>
    <t>Abutilon golden mosaic virus</t>
  </si>
  <si>
    <t>Capraria yellow spot virus</t>
  </si>
  <si>
    <t>Cassava mosaic Madagascar virus</t>
  </si>
  <si>
    <t>Catharanthus yellow mosaic virus</t>
  </si>
  <si>
    <t>Chenopodium leaf curl virus</t>
  </si>
  <si>
    <t>Chilli leaf curl India virus</t>
  </si>
  <si>
    <t>Chilli leaf curl Kanpur virus</t>
  </si>
  <si>
    <t>Chilli leaf curl Vellanad virus</t>
  </si>
  <si>
    <t>Clerodendron yellow mosaic virus</t>
  </si>
  <si>
    <t>Clerodendrum golden mosaic China virus</t>
  </si>
  <si>
    <t>Clerodendrum golden mosaic Jiangsu virus</t>
  </si>
  <si>
    <t>Corchorus yellow vein mosaic virus</t>
  </si>
  <si>
    <t>Cotton chlorotic spot virus</t>
  </si>
  <si>
    <t>Crassocephalum yellow vein virus</t>
  </si>
  <si>
    <t>Emilia yellow vein virus</t>
  </si>
  <si>
    <t>French bean leaf curl virus</t>
  </si>
  <si>
    <t>Hedyotis uncinella yellow mosaic virus</t>
  </si>
  <si>
    <t>Hemidesmus yellow mosaic virus</t>
  </si>
  <si>
    <t>Jatropha leaf curl virus</t>
  </si>
  <si>
    <t>Jatropha mosaic Nigeria virus</t>
  </si>
  <si>
    <t>Jatropha mosaic virus</t>
  </si>
  <si>
    <t>Jatropha yellow mosaic virus</t>
  </si>
  <si>
    <t>Malvastrum leaf curl Philippines virus</t>
  </si>
  <si>
    <t>Mesta yellow vein mosaic Bahraich virus</t>
  </si>
  <si>
    <t>Pepper yellow leaf curl virus</t>
  </si>
  <si>
    <t>Pouzolzia golden mosaic virus</t>
  </si>
  <si>
    <t>Pouzolzia mosaic Guangdong virus</t>
  </si>
  <si>
    <t>Premna leaf curl virus</t>
  </si>
  <si>
    <t>Rhynchosia yellow mosaic India virus</t>
  </si>
  <si>
    <t>Sauropus leaf curl virus</t>
  </si>
  <si>
    <t>Sida ciliaris golden mosaic virus</t>
  </si>
  <si>
    <t>Sida common mosaic virus</t>
  </si>
  <si>
    <t>Sida golden mosaic Brazil virus</t>
  </si>
  <si>
    <t>Sida golden mosaic Lara virus</t>
  </si>
  <si>
    <t>Sida yellow leaf curl virus</t>
  </si>
  <si>
    <t>Sidastrum golden leaf spot virus</t>
  </si>
  <si>
    <t>Soybean chlorotic blotch virus</t>
  </si>
  <si>
    <t>Spinach yellow vein virus</t>
  </si>
  <si>
    <t>Sunn hemp leaf distortion virus</t>
  </si>
  <si>
    <t>Sweet potato leaf curl Henan virus</t>
  </si>
  <si>
    <t>Sweet potato leaf curl Sichuan virus 1</t>
  </si>
  <si>
    <t>Sweet potato leaf curl Sichuan virus 2</t>
  </si>
  <si>
    <t>Tobacco leaf curl Comoros virus</t>
  </si>
  <si>
    <t>Tomato bright yellow mosaic virus</t>
  </si>
  <si>
    <t>Tomato bright yellow mottle virus</t>
  </si>
  <si>
    <t>Tomato golden leaf distortion virus</t>
  </si>
  <si>
    <t>Tomato interveinal chlorosis virus</t>
  </si>
  <si>
    <t>Tomato leaf curl Liwa virus</t>
  </si>
  <si>
    <t>Tomato leaf curl New Delhi virus 2</t>
  </si>
  <si>
    <t>Tomato leaf curl New Delhi virus 4</t>
  </si>
  <si>
    <t>Tomato leaf curl Palampur virus</t>
  </si>
  <si>
    <t>Tomato leaf curl Patna virus</t>
  </si>
  <si>
    <t>Tomato leaf curl Rajasthan virus</t>
  </si>
  <si>
    <t>Tomato leaf curl Sulawesi virus</t>
  </si>
  <si>
    <t>Velvet bean severe mosaic virus</t>
  </si>
  <si>
    <t>Vigna yellow mosaic virus</t>
  </si>
  <si>
    <t>Axonopus compressus streak virus</t>
  </si>
  <si>
    <t>Sugarcane white streak virus</t>
  </si>
  <si>
    <t>Switchgrass mosaic-associated virus</t>
  </si>
  <si>
    <t>Genomoviridae</t>
  </si>
  <si>
    <t>Gemycircularvirus</t>
  </si>
  <si>
    <t>Long-fingered bat hepatitis B virus</t>
  </si>
  <si>
    <t>Roundleaf bat hepatitis B virus</t>
  </si>
  <si>
    <t>Tent-making bat hepatitis B virus</t>
  </si>
  <si>
    <t>ssDNA(+)</t>
  </si>
  <si>
    <t>Lavidaviridae</t>
  </si>
  <si>
    <t>Mavirus</t>
  </si>
  <si>
    <t>Cafeteriavirus-dependent mavirus</t>
  </si>
  <si>
    <t>Sputnikvirus</t>
  </si>
  <si>
    <t>Mimivirus-dependent virus Sputnik</t>
  </si>
  <si>
    <t>Mimivirus-dependent virus Zamilon</t>
  </si>
  <si>
    <t>Bullavirinae</t>
  </si>
  <si>
    <t>Bdellovibrio virus MAC1</t>
  </si>
  <si>
    <t>Black medic leaf roll virus</t>
  </si>
  <si>
    <t>Pea yellow stunt virus</t>
  </si>
  <si>
    <t>Dyochipapillomavirus</t>
  </si>
  <si>
    <t>Dyochipapillomavirus 1</t>
  </si>
  <si>
    <t>Dyokappapapillomavirus 2</t>
  </si>
  <si>
    <t>Dyoomegapapillomavirus 1</t>
  </si>
  <si>
    <t>Dyophipapillomavirus</t>
  </si>
  <si>
    <t>Dyophipapillomavirus 1</t>
  </si>
  <si>
    <t>Dyopsipapillomavirus</t>
  </si>
  <si>
    <t>Dyopsipapillomavirus 1</t>
  </si>
  <si>
    <t>Dyotaupapillomavirus</t>
  </si>
  <si>
    <t>Dyotaupapillomavirus 1</t>
  </si>
  <si>
    <t>Dyoupsilonpapillomavirus</t>
  </si>
  <si>
    <t>Dyoupsilonpapillomavirus 1</t>
  </si>
  <si>
    <t>Gammapapillomavirus 21</t>
  </si>
  <si>
    <t>Gammapapillomavirus 22</t>
  </si>
  <si>
    <t>Gammapapillomavirus 23</t>
  </si>
  <si>
    <t>Gammapapillomavirus 24</t>
  </si>
  <si>
    <t>Gammapapillomavirus 25</t>
  </si>
  <si>
    <t>Gammapapillomavirus 26</t>
  </si>
  <si>
    <t>Mupapillomavirus 3</t>
  </si>
  <si>
    <t>Rhopapillomavirus 2</t>
  </si>
  <si>
    <t>Taupapillomavirus 3</t>
  </si>
  <si>
    <t>Treisdeltapapillomavirus</t>
  </si>
  <si>
    <t>Treisdeltapapillomavirus 1</t>
  </si>
  <si>
    <t>Treisepsilonpapillomavirus</t>
  </si>
  <si>
    <t>Treisepsilonpapillomavirus 1</t>
  </si>
  <si>
    <t>Treisetapapillomavirus</t>
  </si>
  <si>
    <t>Treisetapapillomavirus 1</t>
  </si>
  <si>
    <t>Treiszetapapillomavirus</t>
  </si>
  <si>
    <t>Treiszetapapillomavirus 1</t>
  </si>
  <si>
    <t>Xipapillomavirus 3</t>
  </si>
  <si>
    <t>Heterobasidion partitivirus 12</t>
  </si>
  <si>
    <t>Heterobasidion partitivirus 13</t>
  </si>
  <si>
    <t>Heterobasidion partitivirus 15</t>
  </si>
  <si>
    <t>Heterobasidion partitivirus 7</t>
  </si>
  <si>
    <t>Pleolipoviridae</t>
  </si>
  <si>
    <t>Alphapleolipovirus</t>
  </si>
  <si>
    <t>Betapleolipovirus</t>
  </si>
  <si>
    <t>Gammapleolipovirus</t>
  </si>
  <si>
    <t>Alphapolyomavirus</t>
  </si>
  <si>
    <t>Betapolyomavirus</t>
  </si>
  <si>
    <t>Deltapolyomavirus</t>
  </si>
  <si>
    <t>Gammapolyomavirus</t>
  </si>
  <si>
    <t>Caladenia virus A</t>
  </si>
  <si>
    <t>Catharanthus mosaic virus</t>
  </si>
  <si>
    <t>Donkey orchid virus A</t>
  </si>
  <si>
    <t>Sunflower mild mosaic virus</t>
  </si>
  <si>
    <t>Tamarillo leaf malformation virus</t>
  </si>
  <si>
    <t>Vanilla distortion mosaic virus</t>
  </si>
  <si>
    <t>Southern rice black-streaked dwarf virus</t>
  </si>
  <si>
    <t>Piscine orthoreovirus</t>
  </si>
  <si>
    <t>Sarthroviridae</t>
  </si>
  <si>
    <t>Macronovirus</t>
  </si>
  <si>
    <t>Macrobrachium satellite virus 1</t>
  </si>
  <si>
    <t>Alphacarmovirus</t>
  </si>
  <si>
    <t>Betacarmovirus</t>
  </si>
  <si>
    <t>Gammacarmovirus</t>
  </si>
  <si>
    <t>Pelarspovirus</t>
  </si>
  <si>
    <t>Albetovirus</t>
  </si>
  <si>
    <t>Tobacco albetovirus 1</t>
  </si>
  <si>
    <t>Tobacco albetovirus 2</t>
  </si>
  <si>
    <t>Tobacco albetovirus 3</t>
  </si>
  <si>
    <t>Aumaivirus</t>
  </si>
  <si>
    <t>Maize aumaivirus 1</t>
  </si>
  <si>
    <t>Botybirnavirus</t>
  </si>
  <si>
    <t>Botrytis porri botybirnavirus 1</t>
  </si>
  <si>
    <t>Papanivirus</t>
  </si>
  <si>
    <t>Panicum papanivirus 1</t>
  </si>
  <si>
    <t>Sinaivirus</t>
  </si>
  <si>
    <t>Lake Sinai virus 1</t>
  </si>
  <si>
    <t>Lake Sinai virus 2</t>
  </si>
  <si>
    <t>Artemisia virus A</t>
  </si>
  <si>
    <t>Cymbidium chlorotic mosaic virus</t>
  </si>
  <si>
    <t>Papaya lethal yellowing virus</t>
  </si>
  <si>
    <t>Rottboellia yellow mottle virus</t>
  </si>
  <si>
    <t>Soybean yellow common mosaic virus</t>
  </si>
  <si>
    <t>Virtovirus</t>
  </si>
  <si>
    <t>Tobacco virtovirus 1</t>
  </si>
  <si>
    <t>Goravirus</t>
  </si>
  <si>
    <t>Drakaea virus A</t>
  </si>
  <si>
    <t>Gentian ovary ringspot virus</t>
  </si>
  <si>
    <t>Metapneumovirus</t>
  </si>
  <si>
    <t>Dyoomegapapillomavirus</t>
  </si>
  <si>
    <t>Spreadsheet Column Name</t>
  </si>
  <si>
    <t>Definition</t>
  </si>
  <si>
    <t>The web url link that provides the complete taxonomic history of the species. The proposal indicated above can be downloaded from the link provided by the last changed entry in the history.</t>
  </si>
  <si>
    <t>MSL of Last Change</t>
  </si>
  <si>
    <t>Alphaendornavirus</t>
  </si>
  <si>
    <t>Basella alba alphaendornavirus 1</t>
  </si>
  <si>
    <t>Bell pepper alphaendornavirus</t>
  </si>
  <si>
    <t>Helicobasidium mompa alphaendornavirus 1</t>
  </si>
  <si>
    <t>Oryza rufipogon alphaendornavirus</t>
  </si>
  <si>
    <t>Oryza sativa alphaendornavirus</t>
  </si>
  <si>
    <t>Persea americana alphaendornavirus 1</t>
  </si>
  <si>
    <t>Phaseolus vulgaris alphaendornavirus 1</t>
  </si>
  <si>
    <t>Phaseolus vulgaris alphaendornavirus 2</t>
  </si>
  <si>
    <t>Phytophthora alphaendornavirus 1</t>
  </si>
  <si>
    <t>Vicia faba alphaendornavirus</t>
  </si>
  <si>
    <t>Yerba mate alphaendornavirus</t>
  </si>
  <si>
    <t>Bunyavirales</t>
  </si>
  <si>
    <t>Fimoviridae</t>
  </si>
  <si>
    <t>Hantaviridae</t>
  </si>
  <si>
    <t>Orthohantavirus</t>
  </si>
  <si>
    <t>Nairoviridae</t>
  </si>
  <si>
    <t>Orthonairovirus</t>
  </si>
  <si>
    <t>Peribunyaviridae</t>
  </si>
  <si>
    <t>Phenuiviridae</t>
  </si>
  <si>
    <t>Ounavirinae</t>
  </si>
  <si>
    <t>Elvirus</t>
  </si>
  <si>
    <t>Bclasvirinae</t>
  </si>
  <si>
    <t>Acadianvirus</t>
  </si>
  <si>
    <t>Coopervirus</t>
  </si>
  <si>
    <t>Pipefishvirus</t>
  </si>
  <si>
    <t>Rosebushvirus</t>
  </si>
  <si>
    <t>Mclasvirinae</t>
  </si>
  <si>
    <t>Bongovirus</t>
  </si>
  <si>
    <t>Pclasvirinae</t>
  </si>
  <si>
    <t>Fishburnevirus</t>
  </si>
  <si>
    <t>Patiencevirus</t>
  </si>
  <si>
    <t>Hapavirus</t>
  </si>
  <si>
    <t>Betaendornavirus</t>
  </si>
  <si>
    <t>Sclerotinia sclerotiorum betaendornavirus 1</t>
  </si>
  <si>
    <t>Fibrovirus</t>
  </si>
  <si>
    <t>Lineavirus</t>
  </si>
  <si>
    <t>Saetivirus</t>
  </si>
  <si>
    <t>Vespertiliovirus</t>
  </si>
  <si>
    <t>Alphairidovirinae</t>
  </si>
  <si>
    <t>Betairidovirinae</t>
  </si>
  <si>
    <t>Tristromaviridae</t>
  </si>
  <si>
    <t>Alphatristromavirus</t>
  </si>
  <si>
    <t>Herbevirus</t>
  </si>
  <si>
    <t>Phasmaviridae</t>
  </si>
  <si>
    <t>Orthophasmavirus</t>
  </si>
  <si>
    <t>Goukovirus</t>
  </si>
  <si>
    <t>Phasivirus</t>
  </si>
  <si>
    <t>Mooglevirus</t>
  </si>
  <si>
    <t>Suspvirus</t>
  </si>
  <si>
    <t>Tsarbombavirus</t>
  </si>
  <si>
    <t>Moonvirus</t>
  </si>
  <si>
    <t>Abouovirus</t>
  </si>
  <si>
    <t>Jimmervirus</t>
  </si>
  <si>
    <t>Marthavirus</t>
  </si>
  <si>
    <t>Pradovirus</t>
  </si>
  <si>
    <t>Sepvirinae</t>
  </si>
  <si>
    <t>Arquatrovirinae</t>
  </si>
  <si>
    <t>Camvirus</t>
  </si>
  <si>
    <t>Likavirus</t>
  </si>
  <si>
    <t>Phayoncevirus</t>
  </si>
  <si>
    <t>Pseudomonas virus Ab18</t>
  </si>
  <si>
    <t>Pseudomonas virus Ab19</t>
  </si>
  <si>
    <t>Pseudomonas virus PaMx11</t>
  </si>
  <si>
    <t>Amigovirus</t>
  </si>
  <si>
    <t>Cronusvirus</t>
  </si>
  <si>
    <t>Decurrovirus</t>
  </si>
  <si>
    <t>Demosthenesvirus</t>
  </si>
  <si>
    <t>Eiauvirus</t>
  </si>
  <si>
    <t>Gaiavirus</t>
  </si>
  <si>
    <t>Gilesvirus</t>
  </si>
  <si>
    <t>Gordonvirus</t>
  </si>
  <si>
    <t>Gordtnkvirus</t>
  </si>
  <si>
    <t>Harrisonvirus</t>
  </si>
  <si>
    <t>Jenstvirus</t>
  </si>
  <si>
    <t>Kelleziovirus</t>
  </si>
  <si>
    <t>Korravirus</t>
  </si>
  <si>
    <t>Laroyevirus</t>
  </si>
  <si>
    <t>Marvinvirus</t>
  </si>
  <si>
    <t>Mudcatvirus</t>
  </si>
  <si>
    <t>Smoothievirus</t>
  </si>
  <si>
    <t>Soupsvirus</t>
  </si>
  <si>
    <t>Tankvirus</t>
  </si>
  <si>
    <t>Titanvirus</t>
  </si>
  <si>
    <t>Vegasvirus</t>
  </si>
  <si>
    <t>Vendettavirus</t>
  </si>
  <si>
    <t>Wildcatvirus</t>
  </si>
  <si>
    <t>Mycobacterium virus Wildcat</t>
  </si>
  <si>
    <t>Woesvirus</t>
  </si>
  <si>
    <t>Pseudomonas virus LKO4</t>
  </si>
  <si>
    <t>Pseudomonas virus MP1412</t>
  </si>
  <si>
    <t>Pseudomonas virus PAE1</t>
  </si>
  <si>
    <t>Peropuvirus</t>
  </si>
  <si>
    <t>Almendravirus</t>
  </si>
  <si>
    <t>Curiovirus</t>
  </si>
  <si>
    <t>Ledantevirus</t>
  </si>
  <si>
    <t>Sripuvirus</t>
  </si>
  <si>
    <t>Bovine nidovirus 1</t>
  </si>
  <si>
    <t>Chinook salmon nidovirus 1</t>
  </si>
  <si>
    <t>Ampivirus</t>
  </si>
  <si>
    <t>Ampivirus A</t>
  </si>
  <si>
    <t>Avisivirus B</t>
  </si>
  <si>
    <t>Avisivirus C</t>
  </si>
  <si>
    <t>Cosavirus B</t>
  </si>
  <si>
    <t>Cosavirus D</t>
  </si>
  <si>
    <t>Cosavirus E</t>
  </si>
  <si>
    <t>Cosavirus F</t>
  </si>
  <si>
    <t>Enterovirus I</t>
  </si>
  <si>
    <t>Harkavirus</t>
  </si>
  <si>
    <t>Harkavirus A</t>
  </si>
  <si>
    <t>Hepatovirus B</t>
  </si>
  <si>
    <t>Hepatovirus C</t>
  </si>
  <si>
    <t>Hepatovirus D</t>
  </si>
  <si>
    <t>Hepatovirus E</t>
  </si>
  <si>
    <t>Hepatovirus F</t>
  </si>
  <si>
    <t>Hepatovirus G</t>
  </si>
  <si>
    <t>Hepatovirus H</t>
  </si>
  <si>
    <t>Hepatovirus I</t>
  </si>
  <si>
    <t>Aichivirus D</t>
  </si>
  <si>
    <t>Aichivirus E</t>
  </si>
  <si>
    <t>Aichivirus F</t>
  </si>
  <si>
    <t>Mischivirus B</t>
  </si>
  <si>
    <t>Mischivirus C</t>
  </si>
  <si>
    <t>Parechovirus C</t>
  </si>
  <si>
    <t>Parechovirus D</t>
  </si>
  <si>
    <t>Rabovirus</t>
  </si>
  <si>
    <t>Rabovirus A</t>
  </si>
  <si>
    <t>Torchivirus</t>
  </si>
  <si>
    <t>Torchivirus A</t>
  </si>
  <si>
    <t>Lizard atadenovirus A</t>
  </si>
  <si>
    <t>Psittacine atadenovirus A</t>
  </si>
  <si>
    <t>Dolphin mastadenovirus A</t>
  </si>
  <si>
    <t>Platyrrhini mastadenovirus A</t>
  </si>
  <si>
    <t>Sea lion mastadenovirus A</t>
  </si>
  <si>
    <t>Simian mastadenovirus D</t>
  </si>
  <si>
    <t>Simian mastadenovirus E</t>
  </si>
  <si>
    <t>Simian mastadenovirus F</t>
  </si>
  <si>
    <t>Simian mastadenovirus G</t>
  </si>
  <si>
    <t>Simian mastadenovirus H</t>
  </si>
  <si>
    <t>Skunk mastadenovirus A</t>
  </si>
  <si>
    <t>Penguin siadenovirus A</t>
  </si>
  <si>
    <t>Rose leaf rosette-associated virus</t>
  </si>
  <si>
    <t>Tobacco virus 1</t>
  </si>
  <si>
    <t>Tetterwort vein chlorosis virus</t>
  </si>
  <si>
    <t>Persimmon virus B</t>
  </si>
  <si>
    <t>Areca palm velarivirus 1</t>
  </si>
  <si>
    <t>Cucumis melo alphaendornavirus</t>
  </si>
  <si>
    <t>Erysiphe cichoracearum alphaendornavirus</t>
  </si>
  <si>
    <t>Grapevine endophyte alphaendornavirus</t>
  </si>
  <si>
    <t>Hordeum vulgare alphaendornavirus</t>
  </si>
  <si>
    <t>Hot pepper alphaendornavirus</t>
  </si>
  <si>
    <t>Lagenaria siceraria alphaendornavirus</t>
  </si>
  <si>
    <t>Rhizoctonia cerealis alphaendornavirus 1</t>
  </si>
  <si>
    <t>Alternaria brassicicola betaendornavirus 1</t>
  </si>
  <si>
    <t>Gremmeniella abietina betaendornavirus 1</t>
  </si>
  <si>
    <t>Tuber aestivum betaendornavirus</t>
  </si>
  <si>
    <t>Capulavirus</t>
  </si>
  <si>
    <t>Alfalfa leaf curl virus</t>
  </si>
  <si>
    <t>Euphorbia caput-medusae latent virus</t>
  </si>
  <si>
    <t>French bean severe leaf curl virus</t>
  </si>
  <si>
    <t>Plantago lanceolata latent virus</t>
  </si>
  <si>
    <t>Grablovirus</t>
  </si>
  <si>
    <t>Grapevine red blotch virus</t>
  </si>
  <si>
    <t>Citrus chlorotic dwarf associated virus</t>
  </si>
  <si>
    <t>Gemyduguivirus</t>
  </si>
  <si>
    <t>Gemygorvirus</t>
  </si>
  <si>
    <t>Gemykibivirus</t>
  </si>
  <si>
    <t>Gemykolovirus</t>
  </si>
  <si>
    <t>Gemykrogvirus</t>
  </si>
  <si>
    <t>Gemykroznavirus</t>
  </si>
  <si>
    <t>Gemytondvirus</t>
  </si>
  <si>
    <t>Gemyvongvirus</t>
  </si>
  <si>
    <t>Parrot hepatitis B virus</t>
  </si>
  <si>
    <t>Pomona bat hepatitis B virus</t>
  </si>
  <si>
    <t>White sucker hepatitis B virus</t>
  </si>
  <si>
    <t>Habenivirus</t>
  </si>
  <si>
    <t>Singapore grouper iridovirus</t>
  </si>
  <si>
    <t>Alfalfa enamovirus 1</t>
  </si>
  <si>
    <t>Broad-leafed dock virus A</t>
  </si>
  <si>
    <t>Yam chlorotic mosaic virus</t>
  </si>
  <si>
    <t>Jasmine virus T</t>
  </si>
  <si>
    <t>Lettuce Italian necrotic virus</t>
  </si>
  <si>
    <t>Zucchini shoestring virus</t>
  </si>
  <si>
    <t>Centapoxvirus</t>
  </si>
  <si>
    <t>Yokapox virus</t>
  </si>
  <si>
    <t>Pteropox virus</t>
  </si>
  <si>
    <t>Rotavirus I</t>
  </si>
  <si>
    <t>Koala retrovirus</t>
  </si>
  <si>
    <t>Jembrana disease virus</t>
  </si>
  <si>
    <t>Solinviviridae</t>
  </si>
  <si>
    <t>Invictavirus</t>
  </si>
  <si>
    <t>Solenopsis invicta virus 3</t>
  </si>
  <si>
    <t>Nyfulvavirus</t>
  </si>
  <si>
    <t>Nylanderia fulva virus 1</t>
  </si>
  <si>
    <t>Tolecusatellitidae</t>
  </si>
  <si>
    <t>Betasatellite</t>
  </si>
  <si>
    <t>Ageratum leaf curl Buea betasatellite</t>
  </si>
  <si>
    <t>Ageratum leaf curl Cameroon betasatellite</t>
  </si>
  <si>
    <t>Ageratum yellow leaf curl betasatellite</t>
  </si>
  <si>
    <t>Ageratum yellow vein betasatellite</t>
  </si>
  <si>
    <t>Ageratum yellow vein Sri Lanka betasatellite</t>
  </si>
  <si>
    <t>Alternanthera yellow vein betasatellite</t>
  </si>
  <si>
    <t>Andrographis yellow vein leaf curl betasatellite</t>
  </si>
  <si>
    <t>Bhendi yellow vein mosaic betasatellite</t>
  </si>
  <si>
    <t>Cardiospermum yellow leaf curl betasatellite</t>
  </si>
  <si>
    <t>Chili leaf curl betasatellite</t>
  </si>
  <si>
    <t>Chili leaf curl Jaunpur betasatellite</t>
  </si>
  <si>
    <t>Chili leaf curl Sri Lanka betasatellite</t>
  </si>
  <si>
    <t>Cotton leaf curl Gezira betasatellite</t>
  </si>
  <si>
    <t>Cotton leaf curl Multan betasatellite</t>
  </si>
  <si>
    <t>Croton yellow vein mosaic betasatellite</t>
  </si>
  <si>
    <t>Eupatorium yellow vein betasatellite</t>
  </si>
  <si>
    <t>Eupatorium yellow vein mosaic betasatellite</t>
  </si>
  <si>
    <t>French bean leaf curl betasatellite</t>
  </si>
  <si>
    <t>Hedyotis yellow mosaic betasatellite</t>
  </si>
  <si>
    <t>Honeysuckle yellow vein betasatellite</t>
  </si>
  <si>
    <t>Honeysuckle yellow vein mosaic betasatellite</t>
  </si>
  <si>
    <t>Malvastrum leaf curl betasatellite</t>
  </si>
  <si>
    <t>Mirabilis leaf curl betasatellite</t>
  </si>
  <si>
    <t>Momordica yellow mosaic betasatellite</t>
  </si>
  <si>
    <t>Mungbean yellow mosaic betasatellite</t>
  </si>
  <si>
    <t>Okra leaf curl Oman betasatellite</t>
  </si>
  <si>
    <t>Papaya leaf curl betasatellite</t>
  </si>
  <si>
    <t>Papaya leaf curl China betasatellite</t>
  </si>
  <si>
    <t>Papaya leaf curl India betasatellite</t>
  </si>
  <si>
    <t>Rhynchosia yellow mosaic betasatellite</t>
  </si>
  <si>
    <t>Rose leaf curl betasatellite</t>
  </si>
  <si>
    <t>Siegesbeckia yellow vein betasatellite</t>
  </si>
  <si>
    <t>Tobacco curly shoot betasatellite</t>
  </si>
  <si>
    <t>Tobacco leaf curl betasatellite</t>
  </si>
  <si>
    <t>Tobacco leaf curl Japan betasatellite</t>
  </si>
  <si>
    <t>Tobacco leaf curl Patna betasatellite</t>
  </si>
  <si>
    <t>Tomato leaf curl Bangalore betasatellite</t>
  </si>
  <si>
    <t>Tomato leaf curl Bangladesh betasatellite</t>
  </si>
  <si>
    <t>Tomato leaf curl betasatellite</t>
  </si>
  <si>
    <t>Tomato leaf curl China betasatellite</t>
  </si>
  <si>
    <t>Tomato leaf curl Gandhinagar betasatellite</t>
  </si>
  <si>
    <t>Tomato leaf curl Joydebpur betasatellite</t>
  </si>
  <si>
    <t>Tomato leaf curl Laguna betasatellite</t>
  </si>
  <si>
    <t>Tomato leaf curl Laos betasatellite</t>
  </si>
  <si>
    <t>Tomato leaf curl Malaysia betasatellite</t>
  </si>
  <si>
    <t>Tomato leaf curl Nepal betasatellite</t>
  </si>
  <si>
    <t>Tomato leaf curl Patna betasatellite</t>
  </si>
  <si>
    <t>Tomato leaf curl Philippine betasatellite</t>
  </si>
  <si>
    <t>Tomato leaf curl Sri Lanka betasatellite</t>
  </si>
  <si>
    <t>Tomato leaf curl Yemen betasatellite</t>
  </si>
  <si>
    <t>Tomato yellow leaf curl China betasatellite</t>
  </si>
  <si>
    <t>Tomato yellow leaf curl Shandong betasatellite</t>
  </si>
  <si>
    <t>Tomato yellow leaf curl Thailand betasatellite</t>
  </si>
  <si>
    <t>Tomato yellow leaf curl Vietnam betasatellite</t>
  </si>
  <si>
    <t>Tomato yellow leaf curl Yunnan betasatellite</t>
  </si>
  <si>
    <t>Vernonia yellow vein betasatellite</t>
  </si>
  <si>
    <t>Vernonia yellow vein Fujian betasatellite</t>
  </si>
  <si>
    <t>Deltasatellite</t>
  </si>
  <si>
    <t>Croton yellow vein deltasatellite</t>
  </si>
  <si>
    <t>Malvastrum leaf curl deltasatellite</t>
  </si>
  <si>
    <t>Sida golden yellow vein deltasatellite 1</t>
  </si>
  <si>
    <t>Sida golden yellow vein deltasatellite 2</t>
  </si>
  <si>
    <t>Sida golden yellow vein deltasatellite 3</t>
  </si>
  <si>
    <t>Sweet potato leaf curl deltasatellite 1</t>
  </si>
  <si>
    <t>Sweet potato leaf curl deltasatellite 2</t>
  </si>
  <si>
    <t>Sweet potato leaf curl deltasatellite 3</t>
  </si>
  <si>
    <t>Tomato leaf curl deltasatellite</t>
  </si>
  <si>
    <t>Tomato yellow leaf distortion deltasatellite 1</t>
  </si>
  <si>
    <t>Tomato yellow leaf distortion deltasatellite 2</t>
  </si>
  <si>
    <t>Blunervirus</t>
  </si>
  <si>
    <t>Tilapinevirus</t>
  </si>
  <si>
    <t>Colombian potato soil-borne virus</t>
  </si>
  <si>
    <t>Plumeria mosaic virus</t>
  </si>
  <si>
    <t>Tomato brown rugose fruit virus</t>
  </si>
  <si>
    <t>New,</t>
  </si>
  <si>
    <t>Renamed,Moved,</t>
  </si>
  <si>
    <t>Moved,</t>
  </si>
  <si>
    <t>Renamed,</t>
  </si>
  <si>
    <t>Ackermannviridae</t>
  </si>
  <si>
    <t>Aglimvirinae</t>
  </si>
  <si>
    <t>Limestonevirus</t>
  </si>
  <si>
    <t>Cvivirinae</t>
  </si>
  <si>
    <t>Machinavirus</t>
  </si>
  <si>
    <t>Svunavirus</t>
  </si>
  <si>
    <t>Jwalphavirus</t>
  </si>
  <si>
    <t>Chebruvirinae</t>
  </si>
  <si>
    <t>Brujitavirus</t>
  </si>
  <si>
    <t>Dclasvirinae</t>
  </si>
  <si>
    <t>Hawkeyevirus</t>
  </si>
  <si>
    <t>Plotvirus</t>
  </si>
  <si>
    <t>Mccleskeyvirinae</t>
  </si>
  <si>
    <t>Nclasvirinae</t>
  </si>
  <si>
    <t>Nymbaxtervirinae</t>
  </si>
  <si>
    <t>Nymphadoravirus</t>
  </si>
  <si>
    <t>Anatolevirus</t>
  </si>
  <si>
    <t>Attisvirus</t>
  </si>
  <si>
    <t>Doucettevirus</t>
  </si>
  <si>
    <t>Escherichia virus DE3</t>
  </si>
  <si>
    <t>Trigintaduovirus</t>
  </si>
  <si>
    <t>Wizardvirus</t>
  </si>
  <si>
    <t>Carbovirus</t>
  </si>
  <si>
    <t>Orthobornavirus</t>
  </si>
  <si>
    <t>Ortervirales</t>
  </si>
  <si>
    <t>Belpaoviridae</t>
  </si>
  <si>
    <t>Antheraea semotivirus Tamy</t>
  </si>
  <si>
    <t>Drosophila semotivirus Max</t>
  </si>
  <si>
    <t>Schistosoma semotivirus Sinbad</t>
  </si>
  <si>
    <t>Takifugu rubripes Suzu virus</t>
  </si>
  <si>
    <t>Drosophila melanogaster 17-6 virus</t>
  </si>
  <si>
    <t xml:space="preserve">Proposal for Last Change </t>
  </si>
  <si>
    <t>Triticum aestivum WIS2 virus</t>
  </si>
  <si>
    <t>Zea mays Sto4 virus</t>
  </si>
  <si>
    <t>Zea mays Opie2 virus</t>
  </si>
  <si>
    <t>Zea mays Prem2 virus</t>
  </si>
  <si>
    <t>Visna-maedi virus</t>
  </si>
  <si>
    <t>Bovispumavirus</t>
  </si>
  <si>
    <t>Equispumavirus</t>
  </si>
  <si>
    <t>Felispumavirus</t>
  </si>
  <si>
    <t>Prosimiispumavirus</t>
  </si>
  <si>
    <t>Brown greater galago prosimian foamy virus</t>
  </si>
  <si>
    <t>Simiispumavirus</t>
  </si>
  <si>
    <t>Bornean orangutan simian foamy virus</t>
  </si>
  <si>
    <t>Eastern chimpanzee simian foamy virus</t>
  </si>
  <si>
    <t>Grivet simian foamy virus</t>
  </si>
  <si>
    <t>Guenon simian foamy virus</t>
  </si>
  <si>
    <t>Japanese macaque simian foamy virus</t>
  </si>
  <si>
    <t>Rhesus macaque simian foamy virus</t>
  </si>
  <si>
    <t>Spider monkey simian foamy virus</t>
  </si>
  <si>
    <t>Squirrel monkey simian foamy virus</t>
  </si>
  <si>
    <t>Taiwanese macaque simian foamy virus</t>
  </si>
  <si>
    <t>Western chimpanzee simian foamy virus</t>
  </si>
  <si>
    <t>Western lowland gorilla simian foamy virus</t>
  </si>
  <si>
    <t>White-tufted-ear marmoset simian foamy virus</t>
  </si>
  <si>
    <t>Yellow-breasted capuchin simian foamy virus</t>
  </si>
  <si>
    <t>Aalivirus</t>
  </si>
  <si>
    <t>Aalivirus A</t>
  </si>
  <si>
    <t>Bopivirus</t>
  </si>
  <si>
    <t>Bopivirus A</t>
  </si>
  <si>
    <t>Crohivirus</t>
  </si>
  <si>
    <t>Crohivirus A</t>
  </si>
  <si>
    <t>Crohivirus B</t>
  </si>
  <si>
    <t>Enterovirus K</t>
  </si>
  <si>
    <t>Enterovirus L</t>
  </si>
  <si>
    <t>Kunsagivirus B</t>
  </si>
  <si>
    <t>Kunsagivirus C</t>
  </si>
  <si>
    <t>Megrivirus A</t>
  </si>
  <si>
    <t>Megrivirus B</t>
  </si>
  <si>
    <t>Megrivirus C</t>
  </si>
  <si>
    <t>Megrivirus D</t>
  </si>
  <si>
    <t>Megrivirus E</t>
  </si>
  <si>
    <t>Orivirus</t>
  </si>
  <si>
    <t>Orivirus A</t>
  </si>
  <si>
    <t>Shanbavirus</t>
  </si>
  <si>
    <t>Shanbavirus A</t>
  </si>
  <si>
    <t>Polycipiviridae</t>
  </si>
  <si>
    <t>Chipolycivirus</t>
  </si>
  <si>
    <t>Chironomus riparius virus 1</t>
  </si>
  <si>
    <t>Hubei chipolycivirus</t>
  </si>
  <si>
    <t>Hupolycivirus</t>
  </si>
  <si>
    <t>Hubei hupolycivirus</t>
  </si>
  <si>
    <t>Sopolycivirus</t>
  </si>
  <si>
    <t>Formica exsecta virus 3</t>
  </si>
  <si>
    <t>Lasius neglectus virus 1</t>
  </si>
  <si>
    <t>Lasius neglectus virus 2</t>
  </si>
  <si>
    <t>Lasius niger virus 1</t>
  </si>
  <si>
    <t>Linepithema humile virus 2</t>
  </si>
  <si>
    <t>Monomorium pharaonis virus 1</t>
  </si>
  <si>
    <t>Monomorium pharaonis virus 2</t>
  </si>
  <si>
    <t>Myrmica scabrinodis virus 1</t>
  </si>
  <si>
    <t>Shuangao insect virus 8</t>
  </si>
  <si>
    <t>Solenopsis invicta virus 2</t>
  </si>
  <si>
    <t>Solenopsis invicta virus 4</t>
  </si>
  <si>
    <t>Chaetoceros socialis forma radians RNA virus 1</t>
  </si>
  <si>
    <t>Alfalfa virus S</t>
  </si>
  <si>
    <t>Arachis pintoi virus</t>
  </si>
  <si>
    <t>Vanilla latent virus</t>
  </si>
  <si>
    <t>Pitaya virus X</t>
  </si>
  <si>
    <t>Vanilla virus X</t>
  </si>
  <si>
    <t>Atractylodes mottle virus</t>
  </si>
  <si>
    <t>Kalanchoe latent virus</t>
  </si>
  <si>
    <t>Ligustrum virus A</t>
  </si>
  <si>
    <t>Sambucus virus C</t>
  </si>
  <si>
    <t>Sambucus virus D</t>
  </si>
  <si>
    <t>Sambucus virus E</t>
  </si>
  <si>
    <t>Sint-Jan onion latent virus</t>
  </si>
  <si>
    <t>Yam latent virus</t>
  </si>
  <si>
    <t>Asian prunus virus 2</t>
  </si>
  <si>
    <t>Arracacha virus V</t>
  </si>
  <si>
    <t>Deltaflexiviridae</t>
  </si>
  <si>
    <t>Deltaflexivirus</t>
  </si>
  <si>
    <t>Fusarium deltaflexivirus 1</t>
  </si>
  <si>
    <t>Sclerotinia deltaflexivirus 1</t>
  </si>
  <si>
    <t>Soybean-associated deltaflexivirus 1</t>
  </si>
  <si>
    <t>Deer atadenovirus A</t>
  </si>
  <si>
    <t>Pigeon aviadenovirus B</t>
  </si>
  <si>
    <t>Psittacine aviadenovirus B</t>
  </si>
  <si>
    <t>Bat mastadenovirus C</t>
  </si>
  <si>
    <t>Bat mastadenovirus D</t>
  </si>
  <si>
    <t>Bat mastadenovirus E</t>
  </si>
  <si>
    <t>Bat mastadenovirus F</t>
  </si>
  <si>
    <t>Bat mastadenovirus G</t>
  </si>
  <si>
    <t>Deer mastadenovirus B</t>
  </si>
  <si>
    <t>Dolphin mastadenovirus B</t>
  </si>
  <si>
    <t>Simian mastadenovirus I</t>
  </si>
  <si>
    <t>Squirrel mastadenovirus A</t>
  </si>
  <si>
    <t>Alphasatellitidae</t>
  </si>
  <si>
    <t>Geminialphasatellitinae</t>
  </si>
  <si>
    <t>Ageyesisatellite</t>
  </si>
  <si>
    <t>Ageratum yellow vein Singapore alphasatellite</t>
  </si>
  <si>
    <t>Cotton leaf curl Saudi Arabia alphasatellite</t>
  </si>
  <si>
    <t>Clecrusatellite</t>
  </si>
  <si>
    <t>Cleome leaf crumple alphasatellite</t>
  </si>
  <si>
    <t>Croton yellow vein mosaic alphasatellite</t>
  </si>
  <si>
    <t>Euphorbia yellow mosaic alphasatellite</t>
  </si>
  <si>
    <t>Melon chlorotic mosaic alphasatellite</t>
  </si>
  <si>
    <t>Sida Cuba alphasatellite</t>
  </si>
  <si>
    <t>Tomato yellow spot alphasatellite</t>
  </si>
  <si>
    <t>Whitefly associated Guatemala alphasatellite 2</t>
  </si>
  <si>
    <t>Whitefly associated Puerto Rico alphasatellite 1</t>
  </si>
  <si>
    <t>Colecusatellite</t>
  </si>
  <si>
    <t>Ageratum enation alphasatellite</t>
  </si>
  <si>
    <t>Ageratum yellow vein alphasatellite</t>
  </si>
  <si>
    <t>Ageratum yellow vein China alphasatellite</t>
  </si>
  <si>
    <t>Ageratum yellow vein India alphasatellite</t>
  </si>
  <si>
    <t>Bhendi yellow vein alphasatellite</t>
  </si>
  <si>
    <t>Cassava mosaic Madagascar alphasatellite</t>
  </si>
  <si>
    <t>Chilli leaf curl alphasatellite</t>
  </si>
  <si>
    <t>Cotton leaf curl Egypt alphasatellite</t>
  </si>
  <si>
    <t>Cotton leaf curl Gezira alphasatellite</t>
  </si>
  <si>
    <t>Cotton leaf curl Lucknow alphasatellite</t>
  </si>
  <si>
    <t>Cotton leaf curl Multan alphasatellite</t>
  </si>
  <si>
    <t>Gossypium darwinii symptomless alphasatellite</t>
  </si>
  <si>
    <t>Malvastrum yellow mosaic alphasatellite</t>
  </si>
  <si>
    <t>Malvastrum yellow mosaic Cameroon alphasatellite</t>
  </si>
  <si>
    <t>Pedilanthus leaf curl alphasatellite</t>
  </si>
  <si>
    <t>Sida leaf curl alphasatellite</t>
  </si>
  <si>
    <t>Sida yellow vein Vietnam alphasatellite</t>
  </si>
  <si>
    <t>Sunflower leaf curl Karnataka alphasatellite</t>
  </si>
  <si>
    <t>Synedrella leaf curl alphasatellite</t>
  </si>
  <si>
    <t>Tobacco curly shoot alphasatellite</t>
  </si>
  <si>
    <t>Tomato leaf curl Buea alphasatellite</t>
  </si>
  <si>
    <t>Tomato leaf curl Cameroon alphasatellite</t>
  </si>
  <si>
    <t>Tomato yellow leaf curl China alphasatellite</t>
  </si>
  <si>
    <t>Tomato yellow leaf curl Thailand alphasatellite</t>
  </si>
  <si>
    <t>Tomato yellow leaf curl Yunnan alphasatellite</t>
  </si>
  <si>
    <t>Gosmusatellite</t>
  </si>
  <si>
    <t>Gossypium mustelinum symptomless alphasatellite</t>
  </si>
  <si>
    <t>Hollyhock yellow vein alphasatellite</t>
  </si>
  <si>
    <t>Mesta yellow vein mosaic alphasatellite</t>
  </si>
  <si>
    <t>Okra enation leaf curl alphasatellite</t>
  </si>
  <si>
    <t>Okra yellow crinkle Cameroon alphasatellite</t>
  </si>
  <si>
    <t>Vernonia yellow vein Fujian alphasatellite</t>
  </si>
  <si>
    <t>Dragonfly associated alphasatellite</t>
  </si>
  <si>
    <t>Nanoalphasatellitinae</t>
  </si>
  <si>
    <t>Babusatellite</t>
  </si>
  <si>
    <t>Banana bunchy top alphasatellite 1</t>
  </si>
  <si>
    <t>Banana bunchy top alphasatellite 3</t>
  </si>
  <si>
    <t>Cardamom bushy dwarf alphasatellite</t>
  </si>
  <si>
    <t>Clostunsatellite</t>
  </si>
  <si>
    <t>Subterranean clover stunt alphasatellite 2</t>
  </si>
  <si>
    <t>Fabenesatellite</t>
  </si>
  <si>
    <t>Faba bean necrotic yellows alphasatellite 2</t>
  </si>
  <si>
    <t>Milvetsatellite</t>
  </si>
  <si>
    <t>Mivedwarsatellite</t>
  </si>
  <si>
    <t>Faba bean necrotic stunt alphasatellite</t>
  </si>
  <si>
    <t>Sophora yellow stunt alphasatellite 2</t>
  </si>
  <si>
    <t>Sophoyesatellite</t>
  </si>
  <si>
    <t>Sophora yellow stunt alphasatellite 3</t>
  </si>
  <si>
    <t>Subclovsatellite</t>
  </si>
  <si>
    <t>Faba bean necrotic yellows alphasatellite 1</t>
  </si>
  <si>
    <t>Subterranean clover stunt alphasatellite 1</t>
  </si>
  <si>
    <t>Hartmanivirus</t>
  </si>
  <si>
    <t>Aspiviridae</t>
  </si>
  <si>
    <t>Bacilladnaviridae</t>
  </si>
  <si>
    <t>Diatodnavirus</t>
  </si>
  <si>
    <t>Kieseladnavirus</t>
  </si>
  <si>
    <t>Protobacilladnavirus</t>
  </si>
  <si>
    <t>Ageratum latent virus</t>
  </si>
  <si>
    <t>Privet ringspot virus</t>
  </si>
  <si>
    <t>Tomato necrotic streak virus</t>
  </si>
  <si>
    <t>Newbury 1 virus</t>
  </si>
  <si>
    <t>Grapevine leafroll-associated virus 13</t>
  </si>
  <si>
    <t>Winged bean alphaendornavirus 1</t>
  </si>
  <si>
    <t>Botrytis cinerea betaendornavirus 1</t>
  </si>
  <si>
    <t>Allamanda leaf mottle distortion virus</t>
  </si>
  <si>
    <t>Andrographis yellow vein leaf curl virus</t>
  </si>
  <si>
    <t>Asystasia mosaic Madagascar virus</t>
  </si>
  <si>
    <t>Bean white chlorosis mosaic virus</t>
  </si>
  <si>
    <t>Cnidoscolus mosaic leaf deformation virus</t>
  </si>
  <si>
    <t>Coccinia mosaic Tamil Nadu virus</t>
  </si>
  <si>
    <t>Common bean mottle virus</t>
  </si>
  <si>
    <t>Common bean severe mosaic virus</t>
  </si>
  <si>
    <t>Cotton leaf curl Barasat virus</t>
  </si>
  <si>
    <t>Cotton yellow mosaic virus</t>
  </si>
  <si>
    <t>Deinbollia mosaic virus</t>
  </si>
  <si>
    <t>Desmodium mottle virus</t>
  </si>
  <si>
    <t>Duranta leaf curl virus</t>
  </si>
  <si>
    <t>Euphorbia mosaic Peru virus</t>
  </si>
  <si>
    <t>Euphorbia yellow leaf curl virus</t>
  </si>
  <si>
    <t>Hollyhock yellow vein mosaic virus</t>
  </si>
  <si>
    <t>Jacquemontia yellow mosaic virus</t>
  </si>
  <si>
    <t>Jatropha leaf curl Gujarat virus</t>
  </si>
  <si>
    <t>Jatropha leaf yellow mosaic virus</t>
  </si>
  <si>
    <t>Lisianthus enation leaf curl virus</t>
  </si>
  <si>
    <t>Lycianthes yellow mosaic virus</t>
  </si>
  <si>
    <t>Macroptilium bright mosaic virus</t>
  </si>
  <si>
    <t>Macroptilium common mosaic virus</t>
  </si>
  <si>
    <t>Malvastrum bright yellow mosaic virus</t>
  </si>
  <si>
    <t>Malvastrum yellow vein Cambodia virus</t>
  </si>
  <si>
    <t>Melochia mosaic virus</t>
  </si>
  <si>
    <t>Melochia yellow mosaic virus</t>
  </si>
  <si>
    <t>Mirabilis leaf curl virus</t>
  </si>
  <si>
    <t>Okra leaf curl Oman virus</t>
  </si>
  <si>
    <t>Oxalis yellow vein virus</t>
  </si>
  <si>
    <t>Passionfruit leaf distortion virus</t>
  </si>
  <si>
    <t>Pavonia mosaic virus</t>
  </si>
  <si>
    <t>Pavonia yellow mosaic virus</t>
  </si>
  <si>
    <t>Pea leaf distortion virus</t>
  </si>
  <si>
    <t>Pedilanthus leaf curl virus</t>
  </si>
  <si>
    <t>Pepper yellow leaf curl Thailand virus</t>
  </si>
  <si>
    <t>Ramie mosaic Yunnan virus</t>
  </si>
  <si>
    <t>Senna leaf curl virus</t>
  </si>
  <si>
    <t>Sida angular mosaic virus</t>
  </si>
  <si>
    <t>Sida bright yellow mosaic virus</t>
  </si>
  <si>
    <t>Sida chlorotic mottle virus</t>
  </si>
  <si>
    <t>Sida chlorotic vein virus</t>
  </si>
  <si>
    <t>Sida golden yellow spot virus</t>
  </si>
  <si>
    <t>Solanum mosaic Bolivia virus</t>
  </si>
  <si>
    <t>Sweet potato golden vein Korea virus</t>
  </si>
  <si>
    <t>Sweet potato leaf curl Guangxi virus</t>
  </si>
  <si>
    <t>Synedrella yellow vein clearing virus</t>
  </si>
  <si>
    <t>Telfairia golden mosaic virus</t>
  </si>
  <si>
    <t>Tomato chlorotic mottle Guyane virus</t>
  </si>
  <si>
    <t>Tomato enation leaf curl virus</t>
  </si>
  <si>
    <t>Tomato golden leaf spot virus</t>
  </si>
  <si>
    <t>Tomato latent virus</t>
  </si>
  <si>
    <t>Tomato leaf curl Burkina Faso virus</t>
  </si>
  <si>
    <t>Tomato mottle wrinkle virus</t>
  </si>
  <si>
    <t>Tomato yellow leaf curl Shuangbai virus</t>
  </si>
  <si>
    <t>Tomato yellow leaf curl Yunnan virus</t>
  </si>
  <si>
    <t>Triumfetta yellow mosaic virus</t>
  </si>
  <si>
    <t>Velvet bean golden mosaic virus</t>
  </si>
  <si>
    <t>Vernonia crinkle virus</t>
  </si>
  <si>
    <t>Vinca leaf curl virus</t>
  </si>
  <si>
    <t>Whitefly-associated begomovirus 1</t>
  </si>
  <si>
    <t>Whitefly-associated begomovirus 2</t>
  </si>
  <si>
    <t>Whitefly-associated begomovirus 3</t>
  </si>
  <si>
    <t>Whitefly-associated begomovirus 4</t>
  </si>
  <si>
    <t>Whitefly-associated begomovirus 6</t>
  </si>
  <si>
    <t>Whitefly-associated begomovirus 7</t>
  </si>
  <si>
    <t>Wissadula yellow mosaic virus</t>
  </si>
  <si>
    <t>Chickpea yellow dwarf virus</t>
  </si>
  <si>
    <t>Dragonfly-associated mastrevirus</t>
  </si>
  <si>
    <t>Sporobolus striate mosaic virus 1</t>
  </si>
  <si>
    <t>Sporobolus striate mosaic virus 2</t>
  </si>
  <si>
    <t>Sugarcane chlorotic streak virus</t>
  </si>
  <si>
    <t>Sugarcane striate virus</t>
  </si>
  <si>
    <t>Sweet potato symptomless virus 1</t>
  </si>
  <si>
    <t>Turnip leaf roll virus</t>
  </si>
  <si>
    <t>Tibetan frog hepatitis B virus</t>
  </si>
  <si>
    <t>Common midwife toad virus</t>
  </si>
  <si>
    <t>Cereal yellow dwarf virus RPS</t>
  </si>
  <si>
    <t>Cereal yellow dwarf virus RPV</t>
  </si>
  <si>
    <t>Maize yellow dwarf virus RMV</t>
  </si>
  <si>
    <t>Maize yellow mosaic virus</t>
  </si>
  <si>
    <t>Pepo aphid-borne yellows virus</t>
  </si>
  <si>
    <t>Barley yellow dwarf virus GPV</t>
  </si>
  <si>
    <t>Barley yellow dwarf virus SGV</t>
  </si>
  <si>
    <t>Alphainfluenzavirus</t>
  </si>
  <si>
    <t>Betainfluenzavirus</t>
  </si>
  <si>
    <t>Deltainfluenzavirus</t>
  </si>
  <si>
    <t>Gammainfluenzavirus</t>
  </si>
  <si>
    <t>Firstpapillomavirinae</t>
  </si>
  <si>
    <t>Deltapapillomavirus 7</t>
  </si>
  <si>
    <t>Dyokappapapillomavirus 3</t>
  </si>
  <si>
    <t>Dyokappapapillomavirus 4</t>
  </si>
  <si>
    <t>Dyokappapapillomavirus 5</t>
  </si>
  <si>
    <t>Dyoxipapillomavirus 2</t>
  </si>
  <si>
    <t>Epsilonpapillomavirus 2</t>
  </si>
  <si>
    <t>Gammapapillomavirus 27</t>
  </si>
  <si>
    <t>Iotapapillomavirus 2</t>
  </si>
  <si>
    <t>Psipapillomavirus 2</t>
  </si>
  <si>
    <t>Psipapillomavirus 3</t>
  </si>
  <si>
    <t>Taupapillomavirus 4</t>
  </si>
  <si>
    <t>Treisiotapapillomavirus</t>
  </si>
  <si>
    <t>Treisiotapapillomavirus 1</t>
  </si>
  <si>
    <t>Treiskappapapillomavirus</t>
  </si>
  <si>
    <t>Treiskappapapillomavirus 1</t>
  </si>
  <si>
    <t>Treisthetapapillomavirus</t>
  </si>
  <si>
    <t>Treisthetapapillomavirus 1</t>
  </si>
  <si>
    <t>Xipapillomavirus 4</t>
  </si>
  <si>
    <t>Xipapillomavirus 5</t>
  </si>
  <si>
    <t>Secondpapillomavirinae</t>
  </si>
  <si>
    <t>Alefpapillomavirus</t>
  </si>
  <si>
    <t>Alefpapillomavirus 1</t>
  </si>
  <si>
    <t>Gaeumannomyces graminis virus 0196A</t>
  </si>
  <si>
    <t>Gaeumannomyces graminis virus T1A</t>
  </si>
  <si>
    <t>Portogloboviridae</t>
  </si>
  <si>
    <t>Alphaportoglobovirus</t>
  </si>
  <si>
    <t>Sulfolobus alphaportoglobovirus 1</t>
  </si>
  <si>
    <t>Bevemovirus</t>
  </si>
  <si>
    <t>Bellflower veinal mottle virus</t>
  </si>
  <si>
    <t>Coccinia mottle virus</t>
  </si>
  <si>
    <t>Barbacena virus Y</t>
  </si>
  <si>
    <t>Callistephus mottle virus</t>
  </si>
  <si>
    <t>Daphne virus Y</t>
  </si>
  <si>
    <t>Impatiens flower break virus</t>
  </si>
  <si>
    <t>Kalanchoe mosaic virus</t>
  </si>
  <si>
    <t>Pecan mosaic-associated virus</t>
  </si>
  <si>
    <t>Sunflower ring blotch virus</t>
  </si>
  <si>
    <t>Tobacco mosqueado virus</t>
  </si>
  <si>
    <t>Wild onion symptomless virus</t>
  </si>
  <si>
    <t>Roymovirus</t>
  </si>
  <si>
    <t>Yellow oat grass mosaic virus</t>
  </si>
  <si>
    <t>Melanoplus sanguinipes entomopoxvirus</t>
  </si>
  <si>
    <t>Mahlapitsi orthoreovirus</t>
  </si>
  <si>
    <t>Smacoviridae</t>
  </si>
  <si>
    <t>Bovismacovirus</t>
  </si>
  <si>
    <t>Cosmacovirus</t>
  </si>
  <si>
    <t>Dragsmacovirus</t>
  </si>
  <si>
    <t>Drosmacovirus</t>
  </si>
  <si>
    <t>Huchismacovirus</t>
  </si>
  <si>
    <t>Porprismacovirus</t>
  </si>
  <si>
    <t>Solemoviridae</t>
  </si>
  <si>
    <t>Alphatectivirus</t>
  </si>
  <si>
    <t>Betatectivirus</t>
  </si>
  <si>
    <t>Onyong-nyong virus</t>
  </si>
  <si>
    <t>Tomato leaf curl Java betasatellite</t>
  </si>
  <si>
    <t>Saccharomyces cerevisiae virus LBCLa</t>
  </si>
  <si>
    <t>Opuntia chlorotic ringspot virus</t>
  </si>
  <si>
    <t>Realm</t>
  </si>
  <si>
    <t>Subrealm</t>
  </si>
  <si>
    <t>Kingdom</t>
  </si>
  <si>
    <t>Subkingdom</t>
  </si>
  <si>
    <t>Phylum</t>
  </si>
  <si>
    <t>Subphylum</t>
  </si>
  <si>
    <t>Class</t>
  </si>
  <si>
    <t>Subclass</t>
  </si>
  <si>
    <t>Suborder</t>
  </si>
  <si>
    <t>Subgenus</t>
  </si>
  <si>
    <t>Negarnaviricota</t>
  </si>
  <si>
    <t>Haploviricotina</t>
  </si>
  <si>
    <t>Chunqiuviricetes</t>
  </si>
  <si>
    <t>Muvirales</t>
  </si>
  <si>
    <t>Qinviridae</t>
  </si>
  <si>
    <t>Yingvirus</t>
  </si>
  <si>
    <t>Milneviricetes</t>
  </si>
  <si>
    <t>Serpentovirales</t>
  </si>
  <si>
    <t>Monjiviricetes</t>
  </si>
  <si>
    <t>Jingchuvirales</t>
  </si>
  <si>
    <t>Chuviridae</t>
  </si>
  <si>
    <t>Mivirus</t>
  </si>
  <si>
    <t>Artoviridae</t>
  </si>
  <si>
    <t>Lispiviridae</t>
  </si>
  <si>
    <t>Berhavirus</t>
  </si>
  <si>
    <t>Orinovirus</t>
  </si>
  <si>
    <t>Tapwovirus</t>
  </si>
  <si>
    <t>Xinmoviridae</t>
  </si>
  <si>
    <t>Yunchangviricetes</t>
  </si>
  <si>
    <t>Goujianvirales</t>
  </si>
  <si>
    <t>Yueviridae</t>
  </si>
  <si>
    <t>Yuyuevirus</t>
  </si>
  <si>
    <t>Polyploviricotina</t>
  </si>
  <si>
    <t>Ellioviricetes</t>
  </si>
  <si>
    <t>Cruliviridae</t>
  </si>
  <si>
    <t>Lincruvirus</t>
  </si>
  <si>
    <t>Loanvirus</t>
  </si>
  <si>
    <t>Mobatvirus</t>
  </si>
  <si>
    <t>Thottimvirus</t>
  </si>
  <si>
    <t>Mypoviridae</t>
  </si>
  <si>
    <t>Hubavirus</t>
  </si>
  <si>
    <t>Shaspivirus</t>
  </si>
  <si>
    <t>Striwavirus</t>
  </si>
  <si>
    <t>Shangavirus</t>
  </si>
  <si>
    <t>Feravirus</t>
  </si>
  <si>
    <t>Jonvirus</t>
  </si>
  <si>
    <t>Wuhivirus</t>
  </si>
  <si>
    <t>Beidivirus</t>
  </si>
  <si>
    <t>Horwuvirus</t>
  </si>
  <si>
    <t>Hudivirus</t>
  </si>
  <si>
    <t>Hudovirus</t>
  </si>
  <si>
    <t>Mobuvirus</t>
  </si>
  <si>
    <t>Pidchovirus</t>
  </si>
  <si>
    <t>Wupedeviridae</t>
  </si>
  <si>
    <t>Wumivirus</t>
  </si>
  <si>
    <t>Insthoviricetes</t>
  </si>
  <si>
    <t>Articulavirales</t>
  </si>
  <si>
    <t>Amnoonviridae</t>
  </si>
  <si>
    <t>Abnidovirineae</t>
  </si>
  <si>
    <t>Abyssoviridae</t>
  </si>
  <si>
    <t>Tiamatvirinae</t>
  </si>
  <si>
    <t>Alphaabyssovirus</t>
  </si>
  <si>
    <t>Aplyccavirus</t>
  </si>
  <si>
    <t>Aplysia abyssovirus 1</t>
  </si>
  <si>
    <t>Arnidovirineae</t>
  </si>
  <si>
    <t>Crocarterivirinae</t>
  </si>
  <si>
    <t>Muarterivirus</t>
  </si>
  <si>
    <t>Muarterivirus afrigant</t>
  </si>
  <si>
    <t>Equarterivirinae</t>
  </si>
  <si>
    <t>Alphaarterivirus</t>
  </si>
  <si>
    <t>Alphaarterivirus equid</t>
  </si>
  <si>
    <t>Heroarterivirinae</t>
  </si>
  <si>
    <t>Lambdaarterivirus</t>
  </si>
  <si>
    <t>Lambdaarterivirus afriporav</t>
  </si>
  <si>
    <t>Simarterivirinae</t>
  </si>
  <si>
    <t>Deltaarterivirus</t>
  </si>
  <si>
    <t>Hedartevirus</t>
  </si>
  <si>
    <t>Deltaarterivirus hemfev</t>
  </si>
  <si>
    <t>Epsilonarterivirus</t>
  </si>
  <si>
    <t>Sheartevirus</t>
  </si>
  <si>
    <t>Epsilonarterivirus hemcep</t>
  </si>
  <si>
    <t>Epsilonarterivirus safriver</t>
  </si>
  <si>
    <t>Epsilonarterivirus zamalb</t>
  </si>
  <si>
    <t>Etaarterivirus</t>
  </si>
  <si>
    <t>Etaarterivirus ugarco 1</t>
  </si>
  <si>
    <t>Iotaarterivirus</t>
  </si>
  <si>
    <t>Kigiartevirus</t>
  </si>
  <si>
    <t>Iotaarterivirus kibreg 1</t>
  </si>
  <si>
    <t>Thetaarterivirus</t>
  </si>
  <si>
    <t>Mitartevirus</t>
  </si>
  <si>
    <t>Thetaarterivirus mikelba 1</t>
  </si>
  <si>
    <t>Variarterivirinae</t>
  </si>
  <si>
    <t>Betaarterivirus</t>
  </si>
  <si>
    <t>Ampobartevirus</t>
  </si>
  <si>
    <t>Betaarterivirus suid 2</t>
  </si>
  <si>
    <t>Debiartevirus</t>
  </si>
  <si>
    <t>Iotaarterivirus debrazmo</t>
  </si>
  <si>
    <t>Kaftartevirus</t>
  </si>
  <si>
    <t>Thetaarterivirus kafuba</t>
  </si>
  <si>
    <t>Gammaarterivirus</t>
  </si>
  <si>
    <t>Gammaarterivirus lacdeh</t>
  </si>
  <si>
    <t>Zealarterivirinae</t>
  </si>
  <si>
    <t>Kappaarterivirus</t>
  </si>
  <si>
    <t>Kappaarterivirus wobum</t>
  </si>
  <si>
    <t>Zetaarterivirus</t>
  </si>
  <si>
    <t>Zetaarterivirus ugarco 1</t>
  </si>
  <si>
    <t>Cornidovirineae</t>
  </si>
  <si>
    <t>Letovirinae</t>
  </si>
  <si>
    <t>Alphaletovirus</t>
  </si>
  <si>
    <t>Milecovirus</t>
  </si>
  <si>
    <t>Microhyla letovirus 1</t>
  </si>
  <si>
    <t>Chibartevirus</t>
  </si>
  <si>
    <t>Betaarterivirus chinrav 1</t>
  </si>
  <si>
    <t>Betaarterivirus ninrav</t>
  </si>
  <si>
    <t>Eurpobartevirus</t>
  </si>
  <si>
    <t>Betaarterivirus suid 1</t>
  </si>
  <si>
    <t>Orthocoronavirinae</t>
  </si>
  <si>
    <t>Colacovirus</t>
  </si>
  <si>
    <t>Luchacovirus</t>
  </si>
  <si>
    <t>Lucheng Rn rat coronavirus</t>
  </si>
  <si>
    <t>Minacovirus</t>
  </si>
  <si>
    <t>Myotacovirus</t>
  </si>
  <si>
    <t>Myotis ricketti alphacoronavirus Sax-2011</t>
  </si>
  <si>
    <t>Nyctacovirus</t>
  </si>
  <si>
    <t>Nyctalus velutinus alphacoronavirus SC-2013</t>
  </si>
  <si>
    <t>Decacovirus</t>
  </si>
  <si>
    <t>Rhinolophus ferrumequinum alphacoronavirus HuB-2013</t>
  </si>
  <si>
    <t>Pedacovirus</t>
  </si>
  <si>
    <t>Duvinacovirus</t>
  </si>
  <si>
    <t>Rhinacovirus</t>
  </si>
  <si>
    <t>Setracovirus</t>
  </si>
  <si>
    <t>NL63-related bat coronavirus strain BtKYNL63-9b</t>
  </si>
  <si>
    <t>Minunacovirus</t>
  </si>
  <si>
    <t>Tegacovirus</t>
  </si>
  <si>
    <t>Hibecovirus</t>
  </si>
  <si>
    <t>Bat Hp-betacoronavirus Zhejiang2013</t>
  </si>
  <si>
    <t>Nobecovirus</t>
  </si>
  <si>
    <t>Rousettus bat coronavirus GCCDC1</t>
  </si>
  <si>
    <t>Sarbecovirus</t>
  </si>
  <si>
    <t>Embecovirus</t>
  </si>
  <si>
    <t>China Rattus coronavirus HKU24</t>
  </si>
  <si>
    <t>Buldecovirus</t>
  </si>
  <si>
    <t>Merbecovirus</t>
  </si>
  <si>
    <t>Herdecovirus</t>
  </si>
  <si>
    <t>Igacovirus</t>
  </si>
  <si>
    <t>Andecovirus</t>
  </si>
  <si>
    <t>Mesnidovirineae</t>
  </si>
  <si>
    <t>Medioniviridae</t>
  </si>
  <si>
    <t>Medionivirinae</t>
  </si>
  <si>
    <t>Turrinivirus</t>
  </si>
  <si>
    <t>Beturrivirus</t>
  </si>
  <si>
    <t>Turrinivirus 1</t>
  </si>
  <si>
    <t>Bolenivirus</t>
  </si>
  <si>
    <t>Balbicanovirus</t>
  </si>
  <si>
    <t>Botrylloides leachii nidovirus</t>
  </si>
  <si>
    <t>Cegacovirus</t>
  </si>
  <si>
    <t>Hexponivirinae</t>
  </si>
  <si>
    <t>Casualivirus</t>
  </si>
  <si>
    <t>Kadilivirus</t>
  </si>
  <si>
    <t>Alphamesonivirus 7</t>
  </si>
  <si>
    <t>Karsalivirus</t>
  </si>
  <si>
    <t>Ofalivirus</t>
  </si>
  <si>
    <t>Alphamesonivirus 6</t>
  </si>
  <si>
    <t>Enselivirus</t>
  </si>
  <si>
    <t>Alphamesonivirus 8</t>
  </si>
  <si>
    <t>Hanalivirus</t>
  </si>
  <si>
    <t>Monidovirineae</t>
  </si>
  <si>
    <t>Mononiviridae</t>
  </si>
  <si>
    <t>Mononivirinae</t>
  </si>
  <si>
    <t>Alphamononivirus</t>
  </si>
  <si>
    <t>Dumedivirus</t>
  </si>
  <si>
    <t>Planidovirus 1</t>
  </si>
  <si>
    <t>Menolivirus</t>
  </si>
  <si>
    <t>Alphamesonivirus 9</t>
  </si>
  <si>
    <t>Ronidovirineae</t>
  </si>
  <si>
    <t>Euroniviridae</t>
  </si>
  <si>
    <t>Ceronivirinae</t>
  </si>
  <si>
    <t>Charybnivirus</t>
  </si>
  <si>
    <t>Cradenivirus</t>
  </si>
  <si>
    <t>Charybnivirus 1</t>
  </si>
  <si>
    <t>Namcalivirus</t>
  </si>
  <si>
    <t>Wenilivirus</t>
  </si>
  <si>
    <t>Decronivirus 1</t>
  </si>
  <si>
    <t>Paguronivirus</t>
  </si>
  <si>
    <t>Behecravirus</t>
  </si>
  <si>
    <t>Paguronivirus 1</t>
  </si>
  <si>
    <t>Okanivirinae</t>
  </si>
  <si>
    <t>Tipravirus</t>
  </si>
  <si>
    <t>Tornidovirineae</t>
  </si>
  <si>
    <t>Tobaniviridae</t>
  </si>
  <si>
    <t>Piscanivirinae</t>
  </si>
  <si>
    <t>Pimfabavirus</t>
  </si>
  <si>
    <t>Oncotshavirus</t>
  </si>
  <si>
    <t>Salnivirus</t>
  </si>
  <si>
    <t>Remotovirinae</t>
  </si>
  <si>
    <t>Bostovirus</t>
  </si>
  <si>
    <t>Bosnitovirus</t>
  </si>
  <si>
    <t>Serpentovirinae</t>
  </si>
  <si>
    <t>Infratovirus</t>
  </si>
  <si>
    <t>Xintolivirus</t>
  </si>
  <si>
    <t>Infratovirus 1</t>
  </si>
  <si>
    <t>Pregotovirus</t>
  </si>
  <si>
    <t>Roypretovirus</t>
  </si>
  <si>
    <t>Blicbavirus</t>
  </si>
  <si>
    <t>Sectovirus</t>
  </si>
  <si>
    <t>Sanematovirus</t>
  </si>
  <si>
    <t>Sectovirus 1</t>
  </si>
  <si>
    <t>Tilitovirus</t>
  </si>
  <si>
    <t>Shingleback nidovirus 1</t>
  </si>
  <si>
    <t>Renitovirus</t>
  </si>
  <si>
    <t>Banana bunchy top alphasatellite 2</t>
  </si>
  <si>
    <t>Milk vetch dwarf alphasatellite 2</t>
  </si>
  <si>
    <t>Pea necrotic yellow dwarf alphasatellite 2</t>
  </si>
  <si>
    <t>Sophora yellow stunt alphasatellite 4</t>
  </si>
  <si>
    <t>Sophora yellow stunt alphasatellite 5</t>
  </si>
  <si>
    <t>Milk vetch dwarf alphasatellite 3</t>
  </si>
  <si>
    <t>Milk vetch dwarf alphasatellite 1</t>
  </si>
  <si>
    <t>Pea necrotic yellow dwarf alphasatellite 1</t>
  </si>
  <si>
    <t>ssRNA</t>
  </si>
  <si>
    <t>A  'Family' is a rank in the taxonomic hierarchy into which virus species can be classified.</t>
  </si>
  <si>
    <t>A  'Subrealm' is a rank in the taxonomic hierarchy into which virus species can be classified.</t>
  </si>
  <si>
    <t>A  'Kingdom' is a rank in the taxonomic hierarchy into which virus species can be classified.</t>
  </si>
  <si>
    <t>A  'Subkingdom' is a rank in the taxonomic hierarchy into which virus species can be classified.</t>
  </si>
  <si>
    <t>A  'Phylum' is a rank in the taxonomic hierarchy into which virus species can be classified.</t>
  </si>
  <si>
    <t>A  'Subphylum' is a rank in the taxonomic hierarchy into which virus species can be classified.</t>
  </si>
  <si>
    <t>A  'Class' is a rank in the taxonomic hierarchy into which virus species can be classified.</t>
  </si>
  <si>
    <t>A  'Subclass' is a rank in the taxonomic hierarchy into which virus species can be classified.</t>
  </si>
  <si>
    <t>A  'Order' is a rank in the taxonomic hierarchy into which virus species can be classified.</t>
  </si>
  <si>
    <t>A  'suborder' is a rank in the taxonomic hierarchy into which virus species can be classified.</t>
  </si>
  <si>
    <t>A  'Subfamily' is a rank in the taxonomic hierarchy into which virus species can be classified.</t>
  </si>
  <si>
    <t>A  'Genus' is a rank in the taxonomic hierarchy into which virus species can be classified.</t>
  </si>
  <si>
    <t>A  'Subgenus' is a rank in the taxonomic hierarchy into which virus species can be classified.</t>
  </si>
  <si>
    <t>A 'Realm' is the highest taxonomic rank into which virus species can be classified.</t>
  </si>
  <si>
    <t>The molecular and genetic composition of the virus genome packaged into the virion. Possible values are:
- dsDNA
- ssDNA
- ssDNA(-)
- ssDNA(+)
- ssDNA(+/-)
- dsDNA-RT
- ssRNA-RT
- dsRNA
- ssRNA
- ssRNA(-)
- ssRNA(+)
- ssRNA(+/-)</t>
  </si>
  <si>
    <t>An integer that, when sorted in numeric order, will produce the correct rank and alphabetic sorting of these species in the MSL.</t>
  </si>
  <si>
    <t>Riboviria</t>
  </si>
  <si>
    <t>Cultervirus</t>
  </si>
  <si>
    <t>Striavirus</t>
  </si>
  <si>
    <t>Thamnovirus</t>
  </si>
  <si>
    <t>Avulavirinae</t>
  </si>
  <si>
    <t>Metaavulavirus</t>
  </si>
  <si>
    <t>Orthoavulavirus</t>
  </si>
  <si>
    <t>Paraavulavirus</t>
  </si>
  <si>
    <t>Metaparamyxovirinae</t>
  </si>
  <si>
    <t>Synodonvirus</t>
  </si>
  <si>
    <t>Orthoparamyxovirinae</t>
  </si>
  <si>
    <t>Jeilongvirus</t>
  </si>
  <si>
    <t>Narmovirus</t>
  </si>
  <si>
    <t>Salemvirus</t>
  </si>
  <si>
    <t>Rubulavirinae</t>
  </si>
  <si>
    <t>Orthorubulavirus</t>
  </si>
  <si>
    <t>Pararubulavirus</t>
  </si>
  <si>
    <t>Alphanemrhavirus</t>
  </si>
  <si>
    <t>Caligrhavirus</t>
  </si>
  <si>
    <t>Antennavirus</t>
  </si>
  <si>
    <t>Actantavirinae</t>
  </si>
  <si>
    <t>Actinovirus</t>
  </si>
  <si>
    <t>Agantavirinae</t>
  </si>
  <si>
    <t>Agnathovirus</t>
  </si>
  <si>
    <t>Mammantavirinae</t>
  </si>
  <si>
    <t>Repantavirinae</t>
  </si>
  <si>
    <t>Reptillovirus</t>
  </si>
  <si>
    <t>Leishbuviridae</t>
  </si>
  <si>
    <t>Shilevirus</t>
  </si>
  <si>
    <t>Pacuvirus</t>
  </si>
  <si>
    <t>Sawastrivirus</t>
  </si>
  <si>
    <t>Laulavirus</t>
  </si>
  <si>
    <t>Wenrivirus</t>
  </si>
  <si>
    <t>Tospoviridae</t>
  </si>
  <si>
    <t>Orthotospovirus</t>
  </si>
  <si>
    <t>Coguvirus</t>
  </si>
  <si>
    <t>Kusarnavirus</t>
  </si>
  <si>
    <t>Astarnavirus</t>
  </si>
  <si>
    <t>Locarnavirus</t>
  </si>
  <si>
    <t>Jericarnavirus B</t>
  </si>
  <si>
    <t>Sanfarnavirus 1</t>
  </si>
  <si>
    <t>Sanfarnavirus 2</t>
  </si>
  <si>
    <t>Sanfarnavirus 3</t>
  </si>
  <si>
    <t>Salisharnavirus</t>
  </si>
  <si>
    <t>Britarnavirus 1</t>
  </si>
  <si>
    <t>Britarnavirus 4</t>
  </si>
  <si>
    <t>Palmarnavirus 128</t>
  </si>
  <si>
    <t>Palmarnavirus 473</t>
  </si>
  <si>
    <t>Sogarnavirus</t>
  </si>
  <si>
    <t>Britarnavirus 2</t>
  </si>
  <si>
    <t>Britarnavirus 3</t>
  </si>
  <si>
    <t>Chaetarnavirus 2</t>
  </si>
  <si>
    <t>Chaetenuissarnavirus II</t>
  </si>
  <si>
    <t>Jericarnavirus A</t>
  </si>
  <si>
    <t>Palmarnavirus 156</t>
  </si>
  <si>
    <t>Ailurivirus</t>
  </si>
  <si>
    <t>Ailurivirus A</t>
  </si>
  <si>
    <t>Anativirus</t>
  </si>
  <si>
    <t>Anativirus A</t>
  </si>
  <si>
    <t>Cadicivirus B</t>
  </si>
  <si>
    <t>Livupivirus</t>
  </si>
  <si>
    <t>Livupivirus A</t>
  </si>
  <si>
    <t>Malagasivirus</t>
  </si>
  <si>
    <t>Malagasivirus A</t>
  </si>
  <si>
    <t>Malagasivirus B</t>
  </si>
  <si>
    <t>Mischivirus D</t>
  </si>
  <si>
    <t>Passerivirus B</t>
  </si>
  <si>
    <t>Poecivirus</t>
  </si>
  <si>
    <t>Poecivirus A</t>
  </si>
  <si>
    <t>Rabovirus B</t>
  </si>
  <si>
    <t>Rabovirus C</t>
  </si>
  <si>
    <t>Rabovirus D</t>
  </si>
  <si>
    <t>Rafivirus</t>
  </si>
  <si>
    <t>Rafivirus A</t>
  </si>
  <si>
    <t>Rafivirus B</t>
  </si>
  <si>
    <t>Rosavirus B</t>
  </si>
  <si>
    <t>Rosavirus C</t>
  </si>
  <si>
    <t>Tottorivirus</t>
  </si>
  <si>
    <t>Tottorivirus A</t>
  </si>
  <si>
    <t>Grapevine virus T</t>
  </si>
  <si>
    <t>Currant virus A</t>
  </si>
  <si>
    <t>Mume virus A</t>
  </si>
  <si>
    <t>Actinidia seed borne latent virus</t>
  </si>
  <si>
    <t>Blackberry virus A</t>
  </si>
  <si>
    <t>Grapevine virus G</t>
  </si>
  <si>
    <t>Grapevine virus H</t>
  </si>
  <si>
    <t>Grapevine virus I</t>
  </si>
  <si>
    <t>Grapevine virus J</t>
  </si>
  <si>
    <t>Wamavirus</t>
  </si>
  <si>
    <t>Watermelon virus A</t>
  </si>
  <si>
    <t>Zybavirus</t>
  </si>
  <si>
    <t>Botourmiaviridae</t>
  </si>
  <si>
    <t>Botoulivirus</t>
  </si>
  <si>
    <t>Botrytis botoulivirus</t>
  </si>
  <si>
    <t>Sclerotinia botoulivirus 2</t>
  </si>
  <si>
    <t>Magoulivirus</t>
  </si>
  <si>
    <t>Magnaporthe magoulivirus 1</t>
  </si>
  <si>
    <t>Rhizoctonia magoulivirus 1</t>
  </si>
  <si>
    <t>Scleroulivirus</t>
  </si>
  <si>
    <t>Sclerotinia scleroulivirus 1</t>
  </si>
  <si>
    <t>Soybean scleroulivirus 1</t>
  </si>
  <si>
    <t>Soybean scleroulivirus 2</t>
  </si>
  <si>
    <t>Bavovirus</t>
  </si>
  <si>
    <t>Bavaria virus</t>
  </si>
  <si>
    <t>Minovirus</t>
  </si>
  <si>
    <t>Minovirus A</t>
  </si>
  <si>
    <t>Nacovirus</t>
  </si>
  <si>
    <t>Nacovirus A</t>
  </si>
  <si>
    <t>Recovirus</t>
  </si>
  <si>
    <t>Recovirus A</t>
  </si>
  <si>
    <t>Salovirus</t>
  </si>
  <si>
    <t>Nordland virus</t>
  </si>
  <si>
    <t>Valovirus</t>
  </si>
  <si>
    <t>Saint Valerien virus</t>
  </si>
  <si>
    <t>Alphachrysovirus</t>
  </si>
  <si>
    <t>Betachrysovirus</t>
  </si>
  <si>
    <t>Air potato ampelovirus 1</t>
  </si>
  <si>
    <t>Actinidia virus 1</t>
  </si>
  <si>
    <t>Kitaviridae</t>
  </si>
  <si>
    <t>Citrus vein enation virus</t>
  </si>
  <si>
    <t>Grapevine enamovirus 1</t>
  </si>
  <si>
    <t>Pepper vein yellows virus 1</t>
  </si>
  <si>
    <t>Pepper vein yellows virus 2</t>
  </si>
  <si>
    <t>Pepper vein yellows virus 3</t>
  </si>
  <si>
    <t>Pepper vein yellows virus 4</t>
  </si>
  <si>
    <t>Pepper vein yellows virus 5</t>
  </si>
  <si>
    <t>Pepper vein yellows virus 6</t>
  </si>
  <si>
    <t>Matonaviridae</t>
  </si>
  <si>
    <t>African eggplant mosaic virus</t>
  </si>
  <si>
    <t>Cucurbit vein banding virus</t>
  </si>
  <si>
    <t>Mediterranean ruda virus</t>
  </si>
  <si>
    <t>Paris mosaic necrosis virus</t>
  </si>
  <si>
    <t>Saffron latent virus</t>
  </si>
  <si>
    <t>Sudan watermelon mosaic virus</t>
  </si>
  <si>
    <t>Wild melon banding virus</t>
  </si>
  <si>
    <t>Calvusvirinae</t>
  </si>
  <si>
    <t>Procedovirinae</t>
  </si>
  <si>
    <t>Regressovirinae</t>
  </si>
  <si>
    <t>Agtrevirus</t>
  </si>
  <si>
    <t>Kuttervirus</t>
  </si>
  <si>
    <t>Herelleviridae</t>
  </si>
  <si>
    <t>Bastillevirinae</t>
  </si>
  <si>
    <t>Caeruleovirus</t>
  </si>
  <si>
    <t>Brockvirinae</t>
  </si>
  <si>
    <t>Kochikohdavirus</t>
  </si>
  <si>
    <t>Jasinkavirinae</t>
  </si>
  <si>
    <t>Pecentumvirus</t>
  </si>
  <si>
    <t>Okubovirus</t>
  </si>
  <si>
    <t>Twortvirinae</t>
  </si>
  <si>
    <t>Firehammervirus</t>
  </si>
  <si>
    <t>Fletchervirus</t>
  </si>
  <si>
    <t>Felixounavirus</t>
  </si>
  <si>
    <t>Kolesnikvirus</t>
  </si>
  <si>
    <t>Hpunavirus</t>
  </si>
  <si>
    <t>Peduovirus</t>
  </si>
  <si>
    <t>Dhakavirus</t>
  </si>
  <si>
    <t>Gaprivervirus</t>
  </si>
  <si>
    <t>Gelderlandvirus</t>
  </si>
  <si>
    <t>Jiaodavirus</t>
  </si>
  <si>
    <t>Karamvirus</t>
  </si>
  <si>
    <t>Krischvirus</t>
  </si>
  <si>
    <t>Mosigvirus</t>
  </si>
  <si>
    <t>Schizotequatrovirus</t>
  </si>
  <si>
    <t>Slopekvirus</t>
  </si>
  <si>
    <t>Tequatrovirus</t>
  </si>
  <si>
    <t>Escherichia virus CF2</t>
  </si>
  <si>
    <t>Avunavirus</t>
  </si>
  <si>
    <t>Certrevirus</t>
  </si>
  <si>
    <t>Seunavirus</t>
  </si>
  <si>
    <t>Vequintavirus</t>
  </si>
  <si>
    <t>Agricanvirus</t>
  </si>
  <si>
    <t>Alcyoneusvirus</t>
  </si>
  <si>
    <t>Aphroditevirus</t>
  </si>
  <si>
    <t>Asteriusvirus</t>
  </si>
  <si>
    <t>Bequatrovirus</t>
  </si>
  <si>
    <t>Bixzunavirus</t>
  </si>
  <si>
    <t>Brunovirus</t>
  </si>
  <si>
    <t>Busanvirus</t>
  </si>
  <si>
    <t>Chakrabartyvirus</t>
  </si>
  <si>
    <t>Chiangmaivirus</t>
  </si>
  <si>
    <t>Emdodecavirus</t>
  </si>
  <si>
    <t>Eneladusvirus</t>
  </si>
  <si>
    <t>Erskinevirus</t>
  </si>
  <si>
    <t>Ficleduovirus</t>
  </si>
  <si>
    <t>Flaumdravirus</t>
  </si>
  <si>
    <t>Gofduovirus</t>
  </si>
  <si>
    <t>Iapetusvirus</t>
  </si>
  <si>
    <t>Iodovirus</t>
  </si>
  <si>
    <t>Ionavirus</t>
  </si>
  <si>
    <t>Jedunavirus</t>
  </si>
  <si>
    <t>Jilinvirus</t>
  </si>
  <si>
    <t>Kleczkowskavirus</t>
  </si>
  <si>
    <t>Lubbockvirus</t>
  </si>
  <si>
    <t>Metrivirus</t>
  </si>
  <si>
    <t>Mieseafarmvirus</t>
  </si>
  <si>
    <t>Mimasvirus</t>
  </si>
  <si>
    <t>Nankokuvirus</t>
  </si>
  <si>
    <t>Nazgulvirus</t>
  </si>
  <si>
    <t>Burkholderia virus BcepNazgul</t>
  </si>
  <si>
    <t>Nitunavirus</t>
  </si>
  <si>
    <t>Noxifervirus</t>
  </si>
  <si>
    <t>Obolenskvirus</t>
  </si>
  <si>
    <t>Otagovirus</t>
  </si>
  <si>
    <t>Pseudomonas virus NH4</t>
  </si>
  <si>
    <t>Peatvirus</t>
  </si>
  <si>
    <t>Plaisancevirus</t>
  </si>
  <si>
    <t>Polybotosvirus</t>
  </si>
  <si>
    <t>Popoffvirus</t>
  </si>
  <si>
    <t>Punavirus</t>
  </si>
  <si>
    <t>Ripduovirus</t>
  </si>
  <si>
    <t>Risingsunvirus</t>
  </si>
  <si>
    <t>Seoulvirus</t>
  </si>
  <si>
    <t>Sepunavirus</t>
  </si>
  <si>
    <t>Shalavirus</t>
  </si>
  <si>
    <t>Siminovitchvirus</t>
  </si>
  <si>
    <t>Tegunavirus</t>
  </si>
  <si>
    <t>Thornevirus</t>
  </si>
  <si>
    <t>Tidunavirus</t>
  </si>
  <si>
    <t>Tijeunavirus</t>
  </si>
  <si>
    <t>Tulanevirus</t>
  </si>
  <si>
    <t>Winklervirus</t>
  </si>
  <si>
    <t>Yokohamavirus</t>
  </si>
  <si>
    <t>Drulisvirus</t>
  </si>
  <si>
    <t>Friunavirus</t>
  </si>
  <si>
    <t>Napahaivirus</t>
  </si>
  <si>
    <t>Phimunavirus</t>
  </si>
  <si>
    <t>Pollyceevirus</t>
  </si>
  <si>
    <t>Przondovirus</t>
  </si>
  <si>
    <t>Teseptimavirus</t>
  </si>
  <si>
    <t>Zindervirus</t>
  </si>
  <si>
    <t>Cepunavirus</t>
  </si>
  <si>
    <t>Negarvirus</t>
  </si>
  <si>
    <t>Rosenblumvirus</t>
  </si>
  <si>
    <t>Salasvirus</t>
  </si>
  <si>
    <t>Diegovirus</t>
  </si>
  <si>
    <t>Oslovirus</t>
  </si>
  <si>
    <t>Traversvirus</t>
  </si>
  <si>
    <t>Aqualcavirus</t>
  </si>
  <si>
    <t>Baltimorevirus</t>
  </si>
  <si>
    <t>Bifseptvirus</t>
  </si>
  <si>
    <t>Bjornvirus</t>
  </si>
  <si>
    <t>Bruynoghevirus</t>
  </si>
  <si>
    <t>Enhodamvirus</t>
  </si>
  <si>
    <t>Enquatrovirus</t>
  </si>
  <si>
    <t>Fipvunavirus</t>
  </si>
  <si>
    <t>Gamaleyavirus</t>
  </si>
  <si>
    <t>Hollowayvirus</t>
  </si>
  <si>
    <t>Ithacavirus</t>
  </si>
  <si>
    <t>Jasminevirus</t>
  </si>
  <si>
    <t>Johnsonvirus</t>
  </si>
  <si>
    <t>Kafunavirus</t>
  </si>
  <si>
    <t>Kochitakasuvirus</t>
  </si>
  <si>
    <t>Krylovvirus</t>
  </si>
  <si>
    <t>Kuravirus</t>
  </si>
  <si>
    <t>Lederbergvirus</t>
  </si>
  <si>
    <t>Lessievirus</t>
  </si>
  <si>
    <t>Lightbulbvirus</t>
  </si>
  <si>
    <t>Litunavirus</t>
  </si>
  <si>
    <t>Luzseptimavirus</t>
  </si>
  <si>
    <t>Myxoctovirus</t>
  </si>
  <si>
    <t>Perisivirus</t>
  </si>
  <si>
    <t>Rauchvirus</t>
  </si>
  <si>
    <t>Schmidvirus</t>
  </si>
  <si>
    <t>Tabernariusvirus</t>
  </si>
  <si>
    <t>Uetakevirus</t>
  </si>
  <si>
    <t>Vicosavirus</t>
  </si>
  <si>
    <t>Arequatrovirus</t>
  </si>
  <si>
    <t>Pegunavirus</t>
  </si>
  <si>
    <t>Cornellvirus</t>
  </si>
  <si>
    <t>Kagunavirus</t>
  </si>
  <si>
    <t>Limdunavirus</t>
  </si>
  <si>
    <t>Unaquatrovirus</t>
  </si>
  <si>
    <t>Eclunavirus</t>
  </si>
  <si>
    <t>Hanrivervirus</t>
  </si>
  <si>
    <t>Rogunavirus</t>
  </si>
  <si>
    <t>Sertoctavirus</t>
  </si>
  <si>
    <t>Tunavirus</t>
  </si>
  <si>
    <t>Webervirus</t>
  </si>
  <si>
    <t>Abidjanvirus</t>
  </si>
  <si>
    <t>Ahduovirus</t>
  </si>
  <si>
    <t>Burkholderia virus AH2</t>
  </si>
  <si>
    <t>Bantamvirus</t>
  </si>
  <si>
    <t>Beetrevirus</t>
  </si>
  <si>
    <t>Bendigovirus</t>
  </si>
  <si>
    <t>Bernalvirus</t>
  </si>
  <si>
    <t>Betterkatzvirus</t>
  </si>
  <si>
    <t>Bingvirus</t>
  </si>
  <si>
    <t>Bowservirus</t>
  </si>
  <si>
    <t>Britbratvirus</t>
  </si>
  <si>
    <t>Brussowvirus</t>
  </si>
  <si>
    <t>Casadabanvirus</t>
  </si>
  <si>
    <t>Ceduovirus</t>
  </si>
  <si>
    <t>Ceetrepovirus</t>
  </si>
  <si>
    <t>Corynebacterium virus C3PO</t>
  </si>
  <si>
    <t>Corynebacterium virus Darwin</t>
  </si>
  <si>
    <t>Corynebacterium virus Zion</t>
  </si>
  <si>
    <t>Cequinquevirus</t>
  </si>
  <si>
    <t>Cetovirus</t>
  </si>
  <si>
    <t>Chenonavirus</t>
  </si>
  <si>
    <t>Cheoctovirus</t>
  </si>
  <si>
    <t>Chunghsingvirus</t>
  </si>
  <si>
    <t>Corynebacterium virus P1201</t>
  </si>
  <si>
    <t>Cimpunavirus</t>
  </si>
  <si>
    <t>Cinunavirus</t>
  </si>
  <si>
    <t>Coetzeevirus</t>
  </si>
  <si>
    <t>Delepquintavirus</t>
  </si>
  <si>
    <t>Detrevirus</t>
  </si>
  <si>
    <t>Dhillonvirus</t>
  </si>
  <si>
    <t>Dismasvirus</t>
  </si>
  <si>
    <t>Efquatrovirus</t>
  </si>
  <si>
    <t>Eisenstarkvirus</t>
  </si>
  <si>
    <t>Elerivirus</t>
  </si>
  <si>
    <t>Emalynvirus</t>
  </si>
  <si>
    <t>Eyrevirus</t>
  </si>
  <si>
    <t>Farahnazvirus</t>
  </si>
  <si>
    <t>Fromanvirus</t>
  </si>
  <si>
    <t>Galaxyvirus</t>
  </si>
  <si>
    <t>Galunavirus</t>
  </si>
  <si>
    <t>Gamtrevirus</t>
  </si>
  <si>
    <t>Gesputvirus</t>
  </si>
  <si>
    <t>Getseptimavirus</t>
  </si>
  <si>
    <t>Ghobesvirus</t>
  </si>
  <si>
    <t>Gorganvirus</t>
  </si>
  <si>
    <t>Gorjumvirus</t>
  </si>
  <si>
    <t>Gustavvirus</t>
  </si>
  <si>
    <t>Hedwigvirus</t>
  </si>
  <si>
    <t>Helsingorvirus</t>
  </si>
  <si>
    <t>Holosalinivirus</t>
  </si>
  <si>
    <t>Homburgvirus</t>
  </si>
  <si>
    <t>Ikedavirus</t>
  </si>
  <si>
    <t>Ilzatvirus</t>
  </si>
  <si>
    <t>Inhavirus</t>
  </si>
  <si>
    <t>Jesfedecavirus</t>
  </si>
  <si>
    <t>Kairosalinivirus</t>
  </si>
  <si>
    <t>Klementvirus</t>
  </si>
  <si>
    <t>Kojivirus</t>
  </si>
  <si>
    <t>Kostyavirus</t>
  </si>
  <si>
    <t>Kryptosalinivirus</t>
  </si>
  <si>
    <t>Lacusarxvirus</t>
  </si>
  <si>
    <t>Lilyvirus</t>
  </si>
  <si>
    <t>Lokivirus</t>
  </si>
  <si>
    <t>Lomovskayavirus</t>
  </si>
  <si>
    <t>Lwoffvirus</t>
  </si>
  <si>
    <t>Magadivirus</t>
  </si>
  <si>
    <t>Mapvirus</t>
  </si>
  <si>
    <t>Mardecavirus</t>
  </si>
  <si>
    <t>Minunavirus</t>
  </si>
  <si>
    <t>Moineauvirus</t>
  </si>
  <si>
    <t>Myunavirus</t>
  </si>
  <si>
    <t>Nanhaivirus</t>
  </si>
  <si>
    <t>Nickievirus</t>
  </si>
  <si>
    <t>Nipunavirus</t>
  </si>
  <si>
    <t>Novosibvirus</t>
  </si>
  <si>
    <t>Nyceiraevirus</t>
  </si>
  <si>
    <t>Orchidvirus</t>
  </si>
  <si>
    <t>Oshimavirus</t>
  </si>
  <si>
    <t>Pahexavirus</t>
  </si>
  <si>
    <t>Pamexvirus</t>
  </si>
  <si>
    <t>Papyrusvirus</t>
  </si>
  <si>
    <t>Pepyhexavirus</t>
  </si>
  <si>
    <t>Pikminvirus</t>
  </si>
  <si>
    <t>Poushouvirus</t>
  </si>
  <si>
    <t>Priunavirus</t>
  </si>
  <si>
    <t>Pulverervirus</t>
  </si>
  <si>
    <t>Ravinvirus</t>
  </si>
  <si>
    <t>Rerduovirus</t>
  </si>
  <si>
    <t>Rigallicvirus</t>
  </si>
  <si>
    <t>Rimavirus</t>
  </si>
  <si>
    <t>Roufvirus</t>
  </si>
  <si>
    <t>Samistivirus</t>
  </si>
  <si>
    <t>Samunavirus</t>
  </si>
  <si>
    <t>Sanovirus</t>
  </si>
  <si>
    <t>Xylella virus Sano</t>
  </si>
  <si>
    <t>Saphexavirus</t>
  </si>
  <si>
    <t>Sasvirus</t>
  </si>
  <si>
    <t>Saundersvirus</t>
  </si>
  <si>
    <t>Scapunavirus</t>
  </si>
  <si>
    <t>Septimatrevirus</t>
  </si>
  <si>
    <t>Skunavirus</t>
  </si>
  <si>
    <t>Sourvirus</t>
  </si>
  <si>
    <t>Stanholtvirus</t>
  </si>
  <si>
    <t>Steinhofvirus</t>
  </si>
  <si>
    <t>Sugarlandvirus</t>
  </si>
  <si>
    <t>Tequintavirus</t>
  </si>
  <si>
    <t>Timquatrovirus</t>
  </si>
  <si>
    <t>Tinduovirus</t>
  </si>
  <si>
    <t>Tortellinivirus</t>
  </si>
  <si>
    <t>Mycobacterium virus Tortellini</t>
  </si>
  <si>
    <t>Trinavirus</t>
  </si>
  <si>
    <t>Unahavirus</t>
  </si>
  <si>
    <t>Vhulanivirus</t>
  </si>
  <si>
    <t>Vidquintavirus</t>
  </si>
  <si>
    <t>Vieuvirus</t>
  </si>
  <si>
    <t>Vividuovirus</t>
  </si>
  <si>
    <t>Gordonia virus Lennon</t>
  </si>
  <si>
    <t>Weaselvirus</t>
  </si>
  <si>
    <t>Wilnyevirus</t>
  </si>
  <si>
    <t>Woodruffvirus</t>
  </si>
  <si>
    <t>Xiamenvirus</t>
  </si>
  <si>
    <t>Xipdecavirus</t>
  </si>
  <si>
    <t>Yvonnevirus</t>
  </si>
  <si>
    <t>Gordonia virus Yvonnetastic</t>
  </si>
  <si>
    <t>Central chimpanzee simian foamy virus</t>
  </si>
  <si>
    <t>Cynomolgus macaque simian foamy virus</t>
  </si>
  <si>
    <t>Whitefly associated Guatemala alphasatellite 1</t>
  </si>
  <si>
    <t>Sophora yellow stunt alphasatellite 1</t>
  </si>
  <si>
    <t>Mutorquevirus</t>
  </si>
  <si>
    <t>Nutorquevirus</t>
  </si>
  <si>
    <t>Exomis microphylla latent virus</t>
  </si>
  <si>
    <t>African cassava mosaic Burkina Faso virus</t>
  </si>
  <si>
    <t>Bean leaf crumple virus</t>
  </si>
  <si>
    <t>Bhendi yellow vein mosaic Delhi virus</t>
  </si>
  <si>
    <t>Blechum yellow vein virus</t>
  </si>
  <si>
    <t>Chilli leaf curl Ahmedabad virus</t>
  </si>
  <si>
    <t>Chilli leaf curl Bhavanisagar virus</t>
  </si>
  <si>
    <t>Chilli leaf curl Gonda virus</t>
  </si>
  <si>
    <t>Chilli leaf curl Sri Lanka virus</t>
  </si>
  <si>
    <t>Datura leaf curl virus</t>
  </si>
  <si>
    <t>Eclipta yellow vein virus</t>
  </si>
  <si>
    <t>Emilia yellow vein Thailand virus</t>
  </si>
  <si>
    <t>Jacquemontia yellow vein virus</t>
  </si>
  <si>
    <t>Pepper leafroll virus</t>
  </si>
  <si>
    <t>Pepper yellow leaf curl Indonesia virus 2</t>
  </si>
  <si>
    <t>Pouzolzia yellow mosaic virus</t>
  </si>
  <si>
    <t>Sweet potato leaf curl Shandong virus</t>
  </si>
  <si>
    <t>Tomato leaf curl Japan virus</t>
  </si>
  <si>
    <t>Tomato leaf curl Karnataka virus 2</t>
  </si>
  <si>
    <t>Tomato leaf curl Karnataka virus 3</t>
  </si>
  <si>
    <t>Tomato leaf curl New Delhi virus 5</t>
  </si>
  <si>
    <t>Tomato leaf curl purple vein virus</t>
  </si>
  <si>
    <t>Tomato leaf curl Tanzania virus</t>
  </si>
  <si>
    <t>Tomato severe leaf curl Kalakada virus</t>
  </si>
  <si>
    <t>Tomato wrinkled mosaic virus</t>
  </si>
  <si>
    <t>Vernonia yellow vein Fujian virus</t>
  </si>
  <si>
    <t>West African Asystasia virus 3</t>
  </si>
  <si>
    <t>Prunus latent virus</t>
  </si>
  <si>
    <t>Wild Vitis latent virus</t>
  </si>
  <si>
    <t>Maize striate mosaic virus</t>
  </si>
  <si>
    <t>Rice latent virus 1</t>
  </si>
  <si>
    <t>Rice latent virus 2</t>
  </si>
  <si>
    <t>Capuchin monkey hepatitis B virus</t>
  </si>
  <si>
    <t>Lymphocystis disease virus 2</t>
  </si>
  <si>
    <t>Lymphocystis disease virus 3</t>
  </si>
  <si>
    <t>Scale drop disease virus</t>
  </si>
  <si>
    <t>Anopheles minimus iridovirus</t>
  </si>
  <si>
    <t>Invertebrate iridescent virus 9</t>
  </si>
  <si>
    <t>Invertebrate iridescent virus 22</t>
  </si>
  <si>
    <t>Invertebrate iridescent virus 25</t>
  </si>
  <si>
    <t>Decapodiridovirus</t>
  </si>
  <si>
    <t>Decapod iridescent virus 1</t>
  </si>
  <si>
    <t>Invertebrate iridescent virus 31</t>
  </si>
  <si>
    <t>Alphatrevirus</t>
  </si>
  <si>
    <t>Gequatrovirus</t>
  </si>
  <si>
    <t>Sinsheimervirus</t>
  </si>
  <si>
    <t>Ovaliviridae</t>
  </si>
  <si>
    <t>Alphaovalivirus</t>
  </si>
  <si>
    <t>Sulfolobus ellipsoid virus 1</t>
  </si>
  <si>
    <t>Gammatectivirus</t>
  </si>
  <si>
    <t>Sort</t>
  </si>
  <si>
    <t>Duplodnaviria</t>
  </si>
  <si>
    <t>Heunggongvirae</t>
  </si>
  <si>
    <t>Peploviricota</t>
  </si>
  <si>
    <t>Herviviricetes</t>
  </si>
  <si>
    <t>Uroviricota</t>
  </si>
  <si>
    <t>Caudoviricetes</t>
  </si>
  <si>
    <t>Taipeivirus</t>
  </si>
  <si>
    <t>Autographiviridae</t>
  </si>
  <si>
    <t>Beijerinckvirinae</t>
  </si>
  <si>
    <t>Daemvirus</t>
  </si>
  <si>
    <t>Pettyvirus</t>
  </si>
  <si>
    <t>Colwellvirinae</t>
  </si>
  <si>
    <t>Gutovirus</t>
  </si>
  <si>
    <t>Kaohsiungvirus</t>
  </si>
  <si>
    <t>Murciavirus</t>
  </si>
  <si>
    <t>Trungvirus</t>
  </si>
  <si>
    <t>Uliginvirus</t>
  </si>
  <si>
    <t>Corkvirinae</t>
  </si>
  <si>
    <t>Kantovirus</t>
  </si>
  <si>
    <t>Kotilavirus</t>
  </si>
  <si>
    <t>Stompvirus</t>
  </si>
  <si>
    <t>Krylovirinae</t>
  </si>
  <si>
    <t>Kirikabuvirus</t>
  </si>
  <si>
    <t>Stubburvirus</t>
  </si>
  <si>
    <t>Melnykvirinae</t>
  </si>
  <si>
    <t>Aerosvirus</t>
  </si>
  <si>
    <t>Aghbyvirus</t>
  </si>
  <si>
    <t>Ahphunavirus</t>
  </si>
  <si>
    <t>Cronosvirus</t>
  </si>
  <si>
    <t>Panjvirus</t>
  </si>
  <si>
    <t>Pienvirus</t>
  </si>
  <si>
    <t>Pokrovskaiavirus</t>
  </si>
  <si>
    <t>Wanjuvirus</t>
  </si>
  <si>
    <t>Molineuxvirinae</t>
  </si>
  <si>
    <t>Acadevirus</t>
  </si>
  <si>
    <t>Axomammavirus</t>
  </si>
  <si>
    <t>Eracentumvirus</t>
  </si>
  <si>
    <t>Tuodvirus</t>
  </si>
  <si>
    <t>Vectrevirus</t>
  </si>
  <si>
    <t>Okabevirinae</t>
  </si>
  <si>
    <t>Ampunavirus</t>
  </si>
  <si>
    <t>Higashivirus</t>
  </si>
  <si>
    <t>Mguuvirus</t>
  </si>
  <si>
    <t>Risjevirus</t>
  </si>
  <si>
    <t>Sukuvirus</t>
  </si>
  <si>
    <t>Slopekvirinae</t>
  </si>
  <si>
    <t>Bucovirus</t>
  </si>
  <si>
    <t>Koutsourovirus</t>
  </si>
  <si>
    <t>Novosibovirus</t>
  </si>
  <si>
    <t>Studiervirinae</t>
  </si>
  <si>
    <t>Aarhusvirus</t>
  </si>
  <si>
    <t>Apdecimavirus</t>
  </si>
  <si>
    <t>Berlinvirus</t>
  </si>
  <si>
    <t>Caroctavirus</t>
  </si>
  <si>
    <t>Chatterjeevirus</t>
  </si>
  <si>
    <t>Eapunavirus</t>
  </si>
  <si>
    <t>Elunavirus</t>
  </si>
  <si>
    <t>Foetvirus</t>
  </si>
  <si>
    <t>Ghunavirus</t>
  </si>
  <si>
    <t>Helsettvirus</t>
  </si>
  <si>
    <t>Jarilovirus</t>
  </si>
  <si>
    <t>Kayfunavirus</t>
  </si>
  <si>
    <t>Minipunavirus</t>
  </si>
  <si>
    <t>Ningirsuvirus</t>
  </si>
  <si>
    <t>Pektosvirus</t>
  </si>
  <si>
    <t>Phutvirus</t>
  </si>
  <si>
    <t>Pifdecavirus</t>
  </si>
  <si>
    <t>Pijolavirus</t>
  </si>
  <si>
    <t>Teetrevirus</t>
  </si>
  <si>
    <t>Troedvirus</t>
  </si>
  <si>
    <t>Unyawovirus</t>
  </si>
  <si>
    <t>Aegirvirus</t>
  </si>
  <si>
    <t>Ashivirus</t>
  </si>
  <si>
    <t>Ashivirus S45C4</t>
  </si>
  <si>
    <t>Atuphduovirus</t>
  </si>
  <si>
    <t>Ayakvirus</t>
  </si>
  <si>
    <t>Ayaqvirus</t>
  </si>
  <si>
    <t>Ayaqvirus S45C18</t>
  </si>
  <si>
    <t>Banchanvirus</t>
  </si>
  <si>
    <t>Bonnellvirus</t>
  </si>
  <si>
    <t>Cheungvirus</t>
  </si>
  <si>
    <t>Chosvirus</t>
  </si>
  <si>
    <t>Chosvirus KM23C739</t>
  </si>
  <si>
    <t>Cuernavacavirus</t>
  </si>
  <si>
    <t>Cyclitvirus</t>
  </si>
  <si>
    <t>Ermolevavirus</t>
  </si>
  <si>
    <t>Foturvirus</t>
  </si>
  <si>
    <t>Foussvirus</t>
  </si>
  <si>
    <t>Foussvirus S46C10</t>
  </si>
  <si>
    <t>Fussvirus</t>
  </si>
  <si>
    <t>Fussvirus S30C28</t>
  </si>
  <si>
    <t>Gajwadongvirus</t>
  </si>
  <si>
    <t>Gyeongsanvirus</t>
  </si>
  <si>
    <t>Igirivirus</t>
  </si>
  <si>
    <t>Jalkavirus</t>
  </si>
  <si>
    <t>Jalkavirus S08C159</t>
  </si>
  <si>
    <t>Jiaoyazivirus</t>
  </si>
  <si>
    <t>Kafavirus</t>
  </si>
  <si>
    <t>Kajamvirus</t>
  </si>
  <si>
    <t>Kakivirus</t>
  </si>
  <si>
    <t>Kalppathivirus</t>
  </si>
  <si>
    <t>Kelmasvirus</t>
  </si>
  <si>
    <t>Kembevirus</t>
  </si>
  <si>
    <t>Krakvirus</t>
  </si>
  <si>
    <t>Krakvirus S39C11</t>
  </si>
  <si>
    <t>Lauvirus</t>
  </si>
  <si>
    <t>Limelightvirus</t>
  </si>
  <si>
    <t>Lingvirus</t>
  </si>
  <si>
    <t>Lirvirus</t>
  </si>
  <si>
    <t>Lullwatervirus</t>
  </si>
  <si>
    <t>Maculvirus</t>
  </si>
  <si>
    <t>Nohivirus</t>
  </si>
  <si>
    <t>Nohivirus S31C1</t>
  </si>
  <si>
    <t>Oinezvirus</t>
  </si>
  <si>
    <t>Oinezvirus S37C6</t>
  </si>
  <si>
    <t>Paadamvirus</t>
  </si>
  <si>
    <t>Pagavirus</t>
  </si>
  <si>
    <t>Pagavirus S05C849</t>
  </si>
  <si>
    <t>Pairvirus</t>
  </si>
  <si>
    <t>Pedosvirus</t>
  </si>
  <si>
    <t>Pedosvirus S28C3</t>
  </si>
  <si>
    <t>Pekhitvirus</t>
  </si>
  <si>
    <t>Pekhitvirus S04C24</t>
  </si>
  <si>
    <t>Pelagivirus</t>
  </si>
  <si>
    <t>Pelagivirus S35C6</t>
  </si>
  <si>
    <t>Percyvirus</t>
  </si>
  <si>
    <t>Piedvirus</t>
  </si>
  <si>
    <t>Podivirus</t>
  </si>
  <si>
    <t>Podivirus S05C243</t>
  </si>
  <si>
    <t>Poseidonvirus</t>
  </si>
  <si>
    <t>Powvirus</t>
  </si>
  <si>
    <t>Powvirus S08C41</t>
  </si>
  <si>
    <t>Qadamvirus</t>
  </si>
  <si>
    <t>Scottvirus</t>
  </si>
  <si>
    <t>Sednavirus</t>
  </si>
  <si>
    <t>Serkorvirus</t>
  </si>
  <si>
    <t>Sieqvirus</t>
  </si>
  <si>
    <t>Sieqvirus S42C7</t>
  </si>
  <si>
    <t>Stompelvirus</t>
  </si>
  <si>
    <t>Stopalavirus</t>
  </si>
  <si>
    <t>Stopalavirus S38C3</t>
  </si>
  <si>
    <t>Stopavirus</t>
  </si>
  <si>
    <t>Stupnyavirus</t>
  </si>
  <si>
    <t>Stupnyavirus KM16C193</t>
  </si>
  <si>
    <t>Tangaroavirus</t>
  </si>
  <si>
    <t>Tawavirus</t>
  </si>
  <si>
    <t>Tiamatvirus</t>
  </si>
  <si>
    <t>Tiilvirus</t>
  </si>
  <si>
    <t>Tritonvirus</t>
  </si>
  <si>
    <t>Voetvirus</t>
  </si>
  <si>
    <t>Votkovvirus</t>
  </si>
  <si>
    <t>Votkovvirus S28C10</t>
  </si>
  <si>
    <t>Waewaevirus</t>
  </si>
  <si>
    <t>Wuhanvirus</t>
  </si>
  <si>
    <t>Chaseviridae</t>
  </si>
  <si>
    <t>Carltongylesvirus</t>
  </si>
  <si>
    <t>Faunusvirus</t>
  </si>
  <si>
    <t>Loessnervirus</t>
  </si>
  <si>
    <t>Pahsextavirus</t>
  </si>
  <si>
    <t>Suwonvirus</t>
  </si>
  <si>
    <t>Yushanvirus</t>
  </si>
  <si>
    <t>Demerecviridae</t>
  </si>
  <si>
    <t>Ermolyevavirinae</t>
  </si>
  <si>
    <t>Vipunavirus</t>
  </si>
  <si>
    <t>Markadamsvirinae</t>
  </si>
  <si>
    <t>Epseptimavirus</t>
  </si>
  <si>
    <t>Mccorquodalevirinae</t>
  </si>
  <si>
    <t>Hongcheonvirus</t>
  </si>
  <si>
    <t>Pogseptimavirus</t>
  </si>
  <si>
    <t>Shenzhenvirus</t>
  </si>
  <si>
    <t>Drexlerviridae</t>
  </si>
  <si>
    <t>Braunvirinae</t>
  </si>
  <si>
    <t>Christensenvirus</t>
  </si>
  <si>
    <t>Guelphvirus</t>
  </si>
  <si>
    <t>Loudonvirus</t>
  </si>
  <si>
    <t>Rogunavirinae</t>
  </si>
  <si>
    <t>Eastlansingvirus</t>
  </si>
  <si>
    <t>Lindendrivevirus</t>
  </si>
  <si>
    <t>Wilsonroadvirus</t>
  </si>
  <si>
    <t>Tempevirinae</t>
  </si>
  <si>
    <t>Warwickvirus</t>
  </si>
  <si>
    <t>Badaguanvirus</t>
  </si>
  <si>
    <t>Nouzillyvirus</t>
  </si>
  <si>
    <t>Sauletekiovirus</t>
  </si>
  <si>
    <t>Vilniusvirus</t>
  </si>
  <si>
    <t>Schiekvirus</t>
  </si>
  <si>
    <t>Baoshanvirus</t>
  </si>
  <si>
    <t>Harbinvirus</t>
  </si>
  <si>
    <t>Sciuriunavirus</t>
  </si>
  <si>
    <t>Aresaunavirus</t>
  </si>
  <si>
    <t>Baylorvirus</t>
  </si>
  <si>
    <t>Bielevirus</t>
  </si>
  <si>
    <t>Canoevirus</t>
  </si>
  <si>
    <t>Catalunyavirus</t>
  </si>
  <si>
    <t>Citexvirus</t>
  </si>
  <si>
    <t>Eganvirus</t>
  </si>
  <si>
    <t>Entnonagintavirus</t>
  </si>
  <si>
    <t>Felsduovirus</t>
  </si>
  <si>
    <t>Irtavirus</t>
  </si>
  <si>
    <t>Kisquattuordecimvirus</t>
  </si>
  <si>
    <t>Kisquinquevirus</t>
  </si>
  <si>
    <t>Longwoodvirus</t>
  </si>
  <si>
    <t>Nampongvirus</t>
  </si>
  <si>
    <t>Phitrevirus</t>
  </si>
  <si>
    <t>Playavirus</t>
  </si>
  <si>
    <t>Reginaelenavirus</t>
  </si>
  <si>
    <t>Senquatrovirus</t>
  </si>
  <si>
    <t>Seongnamvirus</t>
  </si>
  <si>
    <t>Simpcentumvirus</t>
  </si>
  <si>
    <t>Stockinghallvirus</t>
  </si>
  <si>
    <t>Tigrvirus</t>
  </si>
  <si>
    <t>Vulnificusvirus</t>
  </si>
  <si>
    <t>Xuanwuvirus</t>
  </si>
  <si>
    <t>Acionnavirus</t>
  </si>
  <si>
    <t>Ahtivirus</t>
  </si>
  <si>
    <t>Alexandravirus</t>
  </si>
  <si>
    <t>Anamdongvirus</t>
  </si>
  <si>
    <t>Anaposvirus</t>
  </si>
  <si>
    <t>Aokuangvirus</t>
  </si>
  <si>
    <t>Atlauavirus</t>
  </si>
  <si>
    <t>Aurunvirus</t>
  </si>
  <si>
    <t>Baikalvirus</t>
  </si>
  <si>
    <t>Barbavirus</t>
  </si>
  <si>
    <t>Bellamyvirus</t>
  </si>
  <si>
    <t>Brigitvirus</t>
  </si>
  <si>
    <t>Brizovirus</t>
  </si>
  <si>
    <t>Carpasinavirus</t>
  </si>
  <si>
    <t>Charybdisvirus</t>
  </si>
  <si>
    <t>Cymopoleiavirus</t>
  </si>
  <si>
    <t>Derbicusvirus</t>
  </si>
  <si>
    <t>Eponavirus</t>
  </si>
  <si>
    <t>Eurybiavirus</t>
  </si>
  <si>
    <t>Goslarvirus</t>
  </si>
  <si>
    <t>Heilongjiangvirus</t>
  </si>
  <si>
    <t>Kanaloavirus</t>
  </si>
  <si>
    <t>Lagaffevirus</t>
  </si>
  <si>
    <t>Leucotheavirus</t>
  </si>
  <si>
    <t>Libanvirus</t>
  </si>
  <si>
    <t>Llyrvirus</t>
  </si>
  <si>
    <t>Loughboroughvirus</t>
  </si>
  <si>
    <t>Mazuvirus</t>
  </si>
  <si>
    <t>Mushuvirus</t>
  </si>
  <si>
    <t>Naesvirus</t>
  </si>
  <si>
    <t>Namakavirus</t>
  </si>
  <si>
    <t>Neptunevirus</t>
  </si>
  <si>
    <t>Nereusvirus</t>
  </si>
  <si>
    <t>Nerrivikvirus</t>
  </si>
  <si>
    <t>Nodensvirus</t>
  </si>
  <si>
    <t>Palaemonvirus</t>
  </si>
  <si>
    <t>Petsuvirus</t>
  </si>
  <si>
    <t>Phabquatrovirus</t>
  </si>
  <si>
    <t>Phapecoctavirus</t>
  </si>
  <si>
    <t>Escherichia phage ESCO13</t>
  </si>
  <si>
    <t>Escherichia virus ESCO5</t>
  </si>
  <si>
    <t>Escherichia virus phAPEC8</t>
  </si>
  <si>
    <t>Escherichia virus Schickermooser</t>
  </si>
  <si>
    <t>Klebsiella virus ZCKP1</t>
  </si>
  <si>
    <t>Pontusvirus</t>
  </si>
  <si>
    <t>Qingdaovirus</t>
  </si>
  <si>
    <t>Rosemountvirus</t>
  </si>
  <si>
    <t>Saclayvirus</t>
  </si>
  <si>
    <t>Salacisavirus</t>
  </si>
  <si>
    <t>Salmondvirus</t>
  </si>
  <si>
    <t>Sasquatchvirus</t>
  </si>
  <si>
    <t>Schmittlotzvirus</t>
  </si>
  <si>
    <t>Tamkungvirus</t>
  </si>
  <si>
    <t>Taranisvirus</t>
  </si>
  <si>
    <t>Tefnutvirus</t>
  </si>
  <si>
    <t>Thaumasvirus</t>
  </si>
  <si>
    <t>Thetisvirus</t>
  </si>
  <si>
    <t>Toutatisvirus</t>
  </si>
  <si>
    <t>Vellamovirus</t>
  </si>
  <si>
    <t>Wellingtonvirus</t>
  </si>
  <si>
    <t>Wifcevirus</t>
  </si>
  <si>
    <t>Yoloswagvirus</t>
  </si>
  <si>
    <t>Rakietenvirinae</t>
  </si>
  <si>
    <t>Andhravirus</t>
  </si>
  <si>
    <t>Fischettivirus</t>
  </si>
  <si>
    <t>Kelquatrovirus</t>
  </si>
  <si>
    <t>Mukerjeevirus</t>
  </si>
  <si>
    <t>Ryyoungvirus</t>
  </si>
  <si>
    <t>Shizishanvirus</t>
  </si>
  <si>
    <t>Skarprettervirus</t>
  </si>
  <si>
    <t>Sortsnevirus</t>
  </si>
  <si>
    <t>Xuquatrovirus</t>
  </si>
  <si>
    <t>Dolichocephalovirinae</t>
  </si>
  <si>
    <t>Bertelyvirus</t>
  </si>
  <si>
    <t>Colossusvirus</t>
  </si>
  <si>
    <t>Poindextervirus</t>
  </si>
  <si>
    <t>Shapirovirus</t>
  </si>
  <si>
    <t>Langleyhallvirinae</t>
  </si>
  <si>
    <t>Getalongvirus</t>
  </si>
  <si>
    <t>Horusvirus</t>
  </si>
  <si>
    <t>Phistoryvirus</t>
  </si>
  <si>
    <t>Tybeckvirinae</t>
  </si>
  <si>
    <t>Douglaswolinvirus</t>
  </si>
  <si>
    <t>Lenusvirus</t>
  </si>
  <si>
    <t>Lidleunavirus</t>
  </si>
  <si>
    <t>Maenadvirus</t>
  </si>
  <si>
    <t>Abbeymikolonvirus</t>
  </si>
  <si>
    <t>Andrewvirus</t>
  </si>
  <si>
    <t>Appavirus</t>
  </si>
  <si>
    <t>Apricotvirus</t>
  </si>
  <si>
    <t>Armstrongvirus</t>
  </si>
  <si>
    <t>Attoomivirus</t>
  </si>
  <si>
    <t>Austintatiousvirus</t>
  </si>
  <si>
    <t>Bridgettevirus</t>
  </si>
  <si>
    <t>Mycobacterium virus JoeDirt</t>
  </si>
  <si>
    <t>Mycobacterium virus DeadP</t>
  </si>
  <si>
    <t>Mycobacterium virus DotProduct</t>
  </si>
  <si>
    <t>Mycobacterium virus GUmbie</t>
  </si>
  <si>
    <t>Mycobacterium virus RockyHorror</t>
  </si>
  <si>
    <t>Coralvirus</t>
  </si>
  <si>
    <t>Daredevilvirus</t>
  </si>
  <si>
    <t>Edenvirus</t>
  </si>
  <si>
    <t>Fairfaxidumvirus</t>
  </si>
  <si>
    <t>Feofaniavirus</t>
  </si>
  <si>
    <t>Fibralongavirus</t>
  </si>
  <si>
    <t>Franklinbayvirus</t>
  </si>
  <si>
    <t>Gillianvirus</t>
  </si>
  <si>
    <t>Godonkavirus</t>
  </si>
  <si>
    <t>Goodmanvirus</t>
  </si>
  <si>
    <t>Hiyaavirus</t>
  </si>
  <si>
    <t>Jacevirus</t>
  </si>
  <si>
    <t>Juiceboxvirus</t>
  </si>
  <si>
    <t>Kilunavirus</t>
  </si>
  <si>
    <t>Krampusvirus</t>
  </si>
  <si>
    <t>Lanavirus</t>
  </si>
  <si>
    <t>Lentavirus</t>
  </si>
  <si>
    <t>Liebevirus</t>
  </si>
  <si>
    <t>Luckybarnesvirus</t>
  </si>
  <si>
    <t>Luckytenvirus</t>
  </si>
  <si>
    <t>Lughvirus</t>
  </si>
  <si>
    <t>Majavirus</t>
  </si>
  <si>
    <t>Manhattanvirus</t>
  </si>
  <si>
    <t>Maxrubnervirus</t>
  </si>
  <si>
    <t>Mementomorivirus</t>
  </si>
  <si>
    <t>Metamorphoovirus</t>
  </si>
  <si>
    <t>Montyvirus</t>
  </si>
  <si>
    <t>Murrayvirus</t>
  </si>
  <si>
    <t>Neferthenavirus</t>
  </si>
  <si>
    <t>Oengusvirus</t>
  </si>
  <si>
    <t>Oneupvirus</t>
  </si>
  <si>
    <t>Picardvirus</t>
  </si>
  <si>
    <t>Psimunavirus psiM2</t>
  </si>
  <si>
    <t>Quhwahvirus</t>
  </si>
  <si>
    <t>Raleighvirus</t>
  </si>
  <si>
    <t>Rogerhendrixvirus</t>
  </si>
  <si>
    <t>Ronaldovirus</t>
  </si>
  <si>
    <t>Rowavirus</t>
  </si>
  <si>
    <t>Ruthyvirus</t>
  </si>
  <si>
    <t>Samwavirus</t>
  </si>
  <si>
    <t>Sansavirus</t>
  </si>
  <si>
    <t>Caulobacter virus Sansa</t>
  </si>
  <si>
    <t>Sashavirus</t>
  </si>
  <si>
    <t>Schnabeltiervirus</t>
  </si>
  <si>
    <t>Schubertvirus</t>
  </si>
  <si>
    <t>Seussvirus</t>
  </si>
  <si>
    <t>Sonalivirus</t>
  </si>
  <si>
    <t>Squashvirus</t>
  </si>
  <si>
    <t>Terapinvirus</t>
  </si>
  <si>
    <t>Tigunavirus</t>
  </si>
  <si>
    <t>Trinevirus</t>
  </si>
  <si>
    <t>Vashvirus</t>
  </si>
  <si>
    <t>Vojvodinavirus</t>
  </si>
  <si>
    <t>Bordetella virus CN1</t>
  </si>
  <si>
    <t>Bordetella virus CN2</t>
  </si>
  <si>
    <t>Bordetella virus FP1</t>
  </si>
  <si>
    <t>Bordetella virus MW2</t>
  </si>
  <si>
    <t>Yangvirus</t>
  </si>
  <si>
    <t>Zetavirus</t>
  </si>
  <si>
    <t>Monodnaviria</t>
  </si>
  <si>
    <t>Loebvirae</t>
  </si>
  <si>
    <t>Hofneiviricota</t>
  </si>
  <si>
    <t>Faserviricetes</t>
  </si>
  <si>
    <t>Tubulavirales</t>
  </si>
  <si>
    <t>Affertcholeramvirus</t>
  </si>
  <si>
    <t>Bifilivirus</t>
  </si>
  <si>
    <t>Capistrivirus</t>
  </si>
  <si>
    <t>Coriovirus</t>
  </si>
  <si>
    <t>Infulavirus</t>
  </si>
  <si>
    <t>Parhipatevirus</t>
  </si>
  <si>
    <t>Primolicivirus</t>
  </si>
  <si>
    <t>Psecadovirus</t>
  </si>
  <si>
    <t>Restivirus</t>
  </si>
  <si>
    <t>Scuticavirus</t>
  </si>
  <si>
    <t>Staminivirus</t>
  </si>
  <si>
    <t>Subteminivirus</t>
  </si>
  <si>
    <t>Tertilicivirus</t>
  </si>
  <si>
    <t>Thomixvirus</t>
  </si>
  <si>
    <t>Versovirus</t>
  </si>
  <si>
    <t>Vicialiavirus</t>
  </si>
  <si>
    <t>Villovirus</t>
  </si>
  <si>
    <t>Xylivirus</t>
  </si>
  <si>
    <t>Plectroviridae</t>
  </si>
  <si>
    <t>Suturavirus</t>
  </si>
  <si>
    <t>Sangervirae</t>
  </si>
  <si>
    <t>Phixviricota</t>
  </si>
  <si>
    <t>Malgrandaviricetes</t>
  </si>
  <si>
    <t>Petitvirales</t>
  </si>
  <si>
    <t>Shotokuvirae</t>
  </si>
  <si>
    <t>Cossaviricota</t>
  </si>
  <si>
    <t>Mouviricetes</t>
  </si>
  <si>
    <t>Polivirales</t>
  </si>
  <si>
    <t>Papovaviricetes</t>
  </si>
  <si>
    <t>Sepolyvirales</t>
  </si>
  <si>
    <t>Zurhausenvirales</t>
  </si>
  <si>
    <t>Quintoviricetes</t>
  </si>
  <si>
    <t>Piccovirales</t>
  </si>
  <si>
    <t>Aquambidensovirus</t>
  </si>
  <si>
    <t>Blattambidensovirus</t>
  </si>
  <si>
    <t>Hemiambidensovirus</t>
  </si>
  <si>
    <t>Miniambidensovirus</t>
  </si>
  <si>
    <t>Orthopteran miniambidensovirus 1</t>
  </si>
  <si>
    <t>Pefuambidensovirus</t>
  </si>
  <si>
    <t>Penstylhamaparvovirus</t>
  </si>
  <si>
    <t>Protoambidensovirus</t>
  </si>
  <si>
    <t>Scindoambidensovirus</t>
  </si>
  <si>
    <t>Hamaparvovirinae</t>
  </si>
  <si>
    <t>Brevihamaparvovirus</t>
  </si>
  <si>
    <t>Chaphamaparvovirus</t>
  </si>
  <si>
    <t>Hepanhamaparvovirus</t>
  </si>
  <si>
    <t>Artiparvovirus</t>
  </si>
  <si>
    <t>Loriparvovirus</t>
  </si>
  <si>
    <t>Cressdnaviricota</t>
  </si>
  <si>
    <t>Arfiviricetes</t>
  </si>
  <si>
    <t>Baphyvirales</t>
  </si>
  <si>
    <t>Cirlivirales</t>
  </si>
  <si>
    <t>Cremevirales</t>
  </si>
  <si>
    <t>Mulpavirales</t>
  </si>
  <si>
    <t>Recrevirales</t>
  </si>
  <si>
    <t>Redondoviridae</t>
  </si>
  <si>
    <t>Torbevirus</t>
  </si>
  <si>
    <t>Brisavirus</t>
  </si>
  <si>
    <t>Vientovirus</t>
  </si>
  <si>
    <t>Repensiviricetes</t>
  </si>
  <si>
    <t>Geplafuvirales</t>
  </si>
  <si>
    <t>Ageratum leaf curl Sichuan virus</t>
  </si>
  <si>
    <t>Bitter gourd yellow mosaic virus</t>
  </si>
  <si>
    <t>Cowpea bright yellow mosaic virus</t>
  </si>
  <si>
    <t>Croton golden mosaic virus</t>
  </si>
  <si>
    <t>Emilia yellow vein Fujian virus</t>
  </si>
  <si>
    <t>Hibiscus golden mosaic virus</t>
  </si>
  <si>
    <t>Hollyhock yellow vein virus</t>
  </si>
  <si>
    <t>Malvastrum yellow vein Lahore virus</t>
  </si>
  <si>
    <t>Melon yellow mosaic virus</t>
  </si>
  <si>
    <t>Passionfruit leaf curl virus</t>
  </si>
  <si>
    <t>Pepper yellow leaf curl Aceh virus</t>
  </si>
  <si>
    <t>Sweet potato leaf curl Hubei virus</t>
  </si>
  <si>
    <t>Tobacco leaf curl Dominican Republic virus</t>
  </si>
  <si>
    <t>Tomato chlorotic leaf curl virus</t>
  </si>
  <si>
    <t>Tomato leaf curl Mahe virus</t>
  </si>
  <si>
    <t>Tomato twisted leaf virus</t>
  </si>
  <si>
    <t>Maize streak dwarfing virus</t>
  </si>
  <si>
    <t>Sesame curly top virus</t>
  </si>
  <si>
    <t>Trapavirae</t>
  </si>
  <si>
    <t>Saleviricota</t>
  </si>
  <si>
    <t>Huolimaviricetes</t>
  </si>
  <si>
    <t>Haloruvirales</t>
  </si>
  <si>
    <t>Alphapleolipovirus HHPV1</t>
  </si>
  <si>
    <t>Alphapleolipovirus HHPV2</t>
  </si>
  <si>
    <t>Alphapleolipovirus HRPV1</t>
  </si>
  <si>
    <t>Alphapleolipovirus HRPV2</t>
  </si>
  <si>
    <t>Alphapleolipovirus HRPV6</t>
  </si>
  <si>
    <t>Betapleolipovirus HGPV1</t>
  </si>
  <si>
    <t>Betapleolipovirus HHPV3</t>
  </si>
  <si>
    <t>Betapleolipovirus HHPV4</t>
  </si>
  <si>
    <t>Betapleolipovirus HRPV3</t>
  </si>
  <si>
    <t>Betapleolipovirus HRPV9</t>
  </si>
  <si>
    <t>Betapleolipovirus HRPV10</t>
  </si>
  <si>
    <t>Betapleolipovirus HRPV11</t>
  </si>
  <si>
    <t>Betapleolipovirus HRPV12</t>
  </si>
  <si>
    <t>Betapleolipovirus SNJ2</t>
  </si>
  <si>
    <t>Gammapleolipovirus His2</t>
  </si>
  <si>
    <t>Orthornavirae</t>
  </si>
  <si>
    <t>Duplornaviricota</t>
  </si>
  <si>
    <t>Chrymotiviricetes</t>
  </si>
  <si>
    <t>Ghabrivirales</t>
  </si>
  <si>
    <t>Resentoviricetes</t>
  </si>
  <si>
    <t>Reovirales</t>
  </si>
  <si>
    <t>Rotavirus J</t>
  </si>
  <si>
    <t>Colorado tick fever coltivirus</t>
  </si>
  <si>
    <t>Eyach coltivirus</t>
  </si>
  <si>
    <t>Kundal coltivirus</t>
  </si>
  <si>
    <t>Tai Forest coltivirus</t>
  </si>
  <si>
    <t>Tarumizu coltivirus</t>
  </si>
  <si>
    <t>Broome orthoreovirus</t>
  </si>
  <si>
    <t>Neoavian orthoreovirus</t>
  </si>
  <si>
    <t>Testudine orthoreovirus</t>
  </si>
  <si>
    <t>Vidaverviricetes</t>
  </si>
  <si>
    <t>Mindivirales</t>
  </si>
  <si>
    <t>Kitrinoviricota</t>
  </si>
  <si>
    <t>Alsuviricetes</t>
  </si>
  <si>
    <t>Hepelivirales</t>
  </si>
  <si>
    <t>Martellivirales</t>
  </si>
  <si>
    <t>Pistachio ampelovirus A</t>
  </si>
  <si>
    <t>Arracacha virus 1</t>
  </si>
  <si>
    <t>Blackcurrant closterovirus 1</t>
  </si>
  <si>
    <t>Rehmannia virus 1</t>
  </si>
  <si>
    <t>Agaricus bisporus alphaendornavirus 1</t>
  </si>
  <si>
    <t>Cluster bean alphaendornavirus 1</t>
  </si>
  <si>
    <t>Helianthus annuus alphaendornavirus</t>
  </si>
  <si>
    <t>Phaseolus vulgaris alphaendornavirus 3</t>
  </si>
  <si>
    <t>Rhizoctonia solani alphaendornavirus 2</t>
  </si>
  <si>
    <t>Rosellinia necatrix betaendornavirus 1</t>
  </si>
  <si>
    <t>Sclerotinia minor betaendornavirus 1</t>
  </si>
  <si>
    <t>Mayoviridae</t>
  </si>
  <si>
    <t>Pteridovirus</t>
  </si>
  <si>
    <t>Ravavirus</t>
  </si>
  <si>
    <t>Ribes americanum virus A</t>
  </si>
  <si>
    <t>Flasuviricetes</t>
  </si>
  <si>
    <t>Amarillovirales</t>
  </si>
  <si>
    <t>Magsaviricetes</t>
  </si>
  <si>
    <t>Nodamuvirales</t>
  </si>
  <si>
    <t>Sinhaliviridae</t>
  </si>
  <si>
    <t>Tolucaviricetes</t>
  </si>
  <si>
    <t>Tolivirales</t>
  </si>
  <si>
    <t>Birdsfoot trefoil enamovirus 1</t>
  </si>
  <si>
    <t>Faba bean polerovirus 1</t>
  </si>
  <si>
    <t>Pumpkin polerovirus</t>
  </si>
  <si>
    <t>Lenarviricota</t>
  </si>
  <si>
    <t>Amabiliviricetes</t>
  </si>
  <si>
    <t>Wolframvirales</t>
  </si>
  <si>
    <t>Howeltoviricetes</t>
  </si>
  <si>
    <t>Cryppavirales</t>
  </si>
  <si>
    <t>Mitoviridae</t>
  </si>
  <si>
    <t>Miaviricetes</t>
  </si>
  <si>
    <t>Ourlivirales</t>
  </si>
  <si>
    <t>Hexartovirus</t>
  </si>
  <si>
    <t>Dianlovirus</t>
  </si>
  <si>
    <t>Hubramonavirus</t>
  </si>
  <si>
    <t>Cynoglossusvirus</t>
  </si>
  <si>
    <t>Hoplichthysvirus</t>
  </si>
  <si>
    <t>Scoliodonvirus</t>
  </si>
  <si>
    <t>Alphanucleorhabdovirus</t>
  </si>
  <si>
    <t>Arurhavirus</t>
  </si>
  <si>
    <t>Betanucleorhabdovirus</t>
  </si>
  <si>
    <t>Gammanucleorhabdovirus</t>
  </si>
  <si>
    <t>Mousrhavirus</t>
  </si>
  <si>
    <t>Ohlsrhavirus</t>
  </si>
  <si>
    <t>Sunrhavirus</t>
  </si>
  <si>
    <t>Bandavirus</t>
  </si>
  <si>
    <t>Coguvirus eburi</t>
  </si>
  <si>
    <t>Entovirus</t>
  </si>
  <si>
    <t>Ixovirus</t>
  </si>
  <si>
    <t>Lentinuvirus</t>
  </si>
  <si>
    <t>Rubodvirus</t>
  </si>
  <si>
    <t>Uukuvirus</t>
  </si>
  <si>
    <t>Pisuviricota</t>
  </si>
  <si>
    <t>Duplopiviricetes</t>
  </si>
  <si>
    <t>Durnavirales</t>
  </si>
  <si>
    <t>Pisoniviricetes</t>
  </si>
  <si>
    <t>Iotaarterivirus pejah</t>
  </si>
  <si>
    <t>Betaarterivirus sheoin</t>
  </si>
  <si>
    <t>Betaarterivirus timiclar</t>
  </si>
  <si>
    <t>Nuarterivirus</t>
  </si>
  <si>
    <t>Nuarterivirus guemel</t>
  </si>
  <si>
    <t>Cremegaviridae</t>
  </si>
  <si>
    <t>Rodepovirinae</t>
  </si>
  <si>
    <t>Pontunivirus</t>
  </si>
  <si>
    <t>Chinturpovirus 1</t>
  </si>
  <si>
    <t>Gresnaviridae</t>
  </si>
  <si>
    <t>Reternivirinae</t>
  </si>
  <si>
    <t>Cyclophivirus</t>
  </si>
  <si>
    <t>Ptyasnivirus 1</t>
  </si>
  <si>
    <t>Olifoviridae</t>
  </si>
  <si>
    <t>Gofosavirinae</t>
  </si>
  <si>
    <t>Kukrinivirus</t>
  </si>
  <si>
    <t>Oligodon snake nidovirus 1</t>
  </si>
  <si>
    <t>Pipistrellus kuhlii coronavirus 3398</t>
  </si>
  <si>
    <t>Soracovirus</t>
  </si>
  <si>
    <t>Sorex araneus coronavirus T14</t>
  </si>
  <si>
    <t>Sunacovirus</t>
  </si>
  <si>
    <t>Suncus murinus coronavirus X74</t>
  </si>
  <si>
    <t>Myodes coronavirus 2JL14</t>
  </si>
  <si>
    <t>Eidolon bat coronavirus C704</t>
  </si>
  <si>
    <t>Brangacovirus</t>
  </si>
  <si>
    <t>Goose coronavirus CB17</t>
  </si>
  <si>
    <t>Avian coronavirus 9203</t>
  </si>
  <si>
    <t>Duck coronavirus 2714</t>
  </si>
  <si>
    <t>Alphamesonivirus 10</t>
  </si>
  <si>
    <t>Nanidovirineae</t>
  </si>
  <si>
    <t>Nanghoshaviridae</t>
  </si>
  <si>
    <t>Chimanivirinae</t>
  </si>
  <si>
    <t>Chimshavirus</t>
  </si>
  <si>
    <t>Nangarvirus 1</t>
  </si>
  <si>
    <t>Nanhypoviridae</t>
  </si>
  <si>
    <t>Hyporhamsavirinae</t>
  </si>
  <si>
    <t>Sajorinivirus</t>
  </si>
  <si>
    <t>Halfbeak nidovirus 1</t>
  </si>
  <si>
    <t>Hepoptovirus</t>
  </si>
  <si>
    <t>Hebius tobanivirus 1</t>
  </si>
  <si>
    <t>Lyctovirus</t>
  </si>
  <si>
    <t>Rebatovirus</t>
  </si>
  <si>
    <t>Lycodon tobanivirus 1</t>
  </si>
  <si>
    <t>Morelia tobanivirus 1</t>
  </si>
  <si>
    <t>Snaturtovirus</t>
  </si>
  <si>
    <t>Berisnavirus 1</t>
  </si>
  <si>
    <t>Anativirus B</t>
  </si>
  <si>
    <t>Boosepivirus</t>
  </si>
  <si>
    <t>Boosepivirus A</t>
  </si>
  <si>
    <t>Boosepivirus B</t>
  </si>
  <si>
    <t>Boosepivirus C</t>
  </si>
  <si>
    <t>Cardiovirus D</t>
  </si>
  <si>
    <t>Cardiovirus E</t>
  </si>
  <si>
    <t>Cardiovirus F</t>
  </si>
  <si>
    <t>Crahelivirus</t>
  </si>
  <si>
    <t>Crahelivirus A</t>
  </si>
  <si>
    <t>Diresapivirus</t>
  </si>
  <si>
    <t>Diresapivirus A</t>
  </si>
  <si>
    <t>Diresapivirus B</t>
  </si>
  <si>
    <t>Felipivirus</t>
  </si>
  <si>
    <t>Felipivirus A</t>
  </si>
  <si>
    <t>Fipivirus</t>
  </si>
  <si>
    <t>Fipivirus A</t>
  </si>
  <si>
    <t>Fipivirus B</t>
  </si>
  <si>
    <t>Fipivirus C</t>
  </si>
  <si>
    <t>Fipivirus D</t>
  </si>
  <si>
    <t>Fipivirus E</t>
  </si>
  <si>
    <t>Gruhelivirus</t>
  </si>
  <si>
    <t>Gruhelivirus A</t>
  </si>
  <si>
    <t>Grusopivirus</t>
  </si>
  <si>
    <t>Grusopivirus A</t>
  </si>
  <si>
    <t>Grusopivirus B</t>
  </si>
  <si>
    <t>Hemipivirus</t>
  </si>
  <si>
    <t>Hemipivirus A</t>
  </si>
  <si>
    <t>Ludopivirus</t>
  </si>
  <si>
    <t>Ludopivirus A</t>
  </si>
  <si>
    <t>Mosavirus B</t>
  </si>
  <si>
    <t>Mupivirus</t>
  </si>
  <si>
    <t>Mupivirus A</t>
  </si>
  <si>
    <t>Myrropivirus</t>
  </si>
  <si>
    <t>Myrropivirus A</t>
  </si>
  <si>
    <t>Parabovirus</t>
  </si>
  <si>
    <t>Parabovirus A</t>
  </si>
  <si>
    <t>Parabovirus B</t>
  </si>
  <si>
    <t>Parabovirus C</t>
  </si>
  <si>
    <t>Parechovirus E</t>
  </si>
  <si>
    <t>Parechovirus F</t>
  </si>
  <si>
    <t>Pemapivirus</t>
  </si>
  <si>
    <t>Pemapivirus A</t>
  </si>
  <si>
    <t>Potamipivirus B</t>
  </si>
  <si>
    <t>Rafivirus C</t>
  </si>
  <si>
    <t>Rohelivirus</t>
  </si>
  <si>
    <t>Rohelivirus A</t>
  </si>
  <si>
    <t>Symapivirus</t>
  </si>
  <si>
    <t>Symapivirus A</t>
  </si>
  <si>
    <t>Teschovirus B</t>
  </si>
  <si>
    <t>Tremovirus B</t>
  </si>
  <si>
    <t>Tropivirus</t>
  </si>
  <si>
    <t>Tropivirus A</t>
  </si>
  <si>
    <t>Cholivirus</t>
  </si>
  <si>
    <t>Satsumavirus</t>
  </si>
  <si>
    <t>Stramovirus</t>
  </si>
  <si>
    <t>Sobelivirales</t>
  </si>
  <si>
    <t>Stelpaviricetes</t>
  </si>
  <si>
    <t>Patatavirales</t>
  </si>
  <si>
    <t>Arepavirus</t>
  </si>
  <si>
    <t>Areca palm necrotic ringspot virus</t>
  </si>
  <si>
    <t>Areca palm necrotic spindle-spot virus</t>
  </si>
  <si>
    <t>Celavirus</t>
  </si>
  <si>
    <t>Celery latent virus</t>
  </si>
  <si>
    <t>Alpinia oxyphylla mosaic virus</t>
  </si>
  <si>
    <t>Yam chlorotic necrosis virus</t>
  </si>
  <si>
    <t>Dendrobium chlorotic mosaic virus</t>
  </si>
  <si>
    <t>Dioscorea mosaic virus</t>
  </si>
  <si>
    <t>East Asian Passiflora distortion virus</t>
  </si>
  <si>
    <t>Gomphocarpus mosaic virus</t>
  </si>
  <si>
    <t>Lily virus Y</t>
  </si>
  <si>
    <t>Mashua virus Y</t>
  </si>
  <si>
    <t>Platycodon mild mottle virus</t>
  </si>
  <si>
    <t>Potato yellow blotch virus</t>
  </si>
  <si>
    <t>Passiflora edulis symptomless virus</t>
  </si>
  <si>
    <t>Stellavirales</t>
  </si>
  <si>
    <t>Dronavirus</t>
  </si>
  <si>
    <t>Ronavirus</t>
  </si>
  <si>
    <t>Telnavirus</t>
  </si>
  <si>
    <t>Pararnavirae</t>
  </si>
  <si>
    <t>Artverviricota</t>
  </si>
  <si>
    <t>Revtraviricetes</t>
  </si>
  <si>
    <t>Blubervirales</t>
  </si>
  <si>
    <t>Herpetohepadnavirus</t>
  </si>
  <si>
    <t>Metahepadnavirus</t>
  </si>
  <si>
    <t>Chinese shrew hepatitis B virus</t>
  </si>
  <si>
    <t>Domestic cat hepatitis B virus</t>
  </si>
  <si>
    <t>Tai Forest hepatitis B virus</t>
  </si>
  <si>
    <t>Parahepadnavirus</t>
  </si>
  <si>
    <t>Dioscovirus</t>
  </si>
  <si>
    <t>Vaccinivirus</t>
  </si>
  <si>
    <t>Polymycoviridae</t>
  </si>
  <si>
    <t>Polymycovirus</t>
  </si>
  <si>
    <t>Aspergillus fumigatus polymycovirus 1</t>
  </si>
  <si>
    <t>Aspergillus spelaeus polymycovirus 1</t>
  </si>
  <si>
    <t>Beauveria bassiana polymycovirus 1</t>
  </si>
  <si>
    <t>Botryoshaeria dothidea polymycovirus 1</t>
  </si>
  <si>
    <t>Cladosporium cladosporioides polymycovirus 1</t>
  </si>
  <si>
    <t>Colletotrichum camelliae polymycovirus 1</t>
  </si>
  <si>
    <t>Fusarium redolens polymycovirus 1</t>
  </si>
  <si>
    <t>Magnaporthe oryzae polymycovirus 1</t>
  </si>
  <si>
    <t>Penicillium digitatum polymycovirus 1</t>
  </si>
  <si>
    <t>Penicillum brevicompactum polymycovirus 1</t>
  </si>
  <si>
    <t>Varidnaviria</t>
  </si>
  <si>
    <t>Bamfordvirae</t>
  </si>
  <si>
    <t>Nucleocytoviricota</t>
  </si>
  <si>
    <t>Megaviricetes</t>
  </si>
  <si>
    <t>Algavirales</t>
  </si>
  <si>
    <t>Imitervirales</t>
  </si>
  <si>
    <t>Pimascovirales</t>
  </si>
  <si>
    <t>Pokkesviricetes</t>
  </si>
  <si>
    <t>Asfuvirales</t>
  </si>
  <si>
    <t>Chitovirales</t>
  </si>
  <si>
    <t>Flamingopox virus</t>
  </si>
  <si>
    <t>Penguinpox virus</t>
  </si>
  <si>
    <t>Murmansk microtuspox virus</t>
  </si>
  <si>
    <t>Macropopoxvirus</t>
  </si>
  <si>
    <t>Eastern kangaroopox virus</t>
  </si>
  <si>
    <t>Western kangaroopox virus</t>
  </si>
  <si>
    <t>Mustelpoxvirus</t>
  </si>
  <si>
    <t>Sea otterpox virus</t>
  </si>
  <si>
    <t>Abatino macacapox virus</t>
  </si>
  <si>
    <t>Akhmeta virus</t>
  </si>
  <si>
    <t>Oryzopoxvirus</t>
  </si>
  <si>
    <t>Cotia virus</t>
  </si>
  <si>
    <t>Grey sealpox virus</t>
  </si>
  <si>
    <t>Red deerpox virus</t>
  </si>
  <si>
    <t>Pteropopoxvirus</t>
  </si>
  <si>
    <t>Salmonpoxvirus</t>
  </si>
  <si>
    <t>Salmon gillpox virus</t>
  </si>
  <si>
    <t>Sciuripoxvirus</t>
  </si>
  <si>
    <t>Vespertilionpoxvirus</t>
  </si>
  <si>
    <t>Eptesipox virus</t>
  </si>
  <si>
    <t>Deltaentomopoxvirus</t>
  </si>
  <si>
    <t>Preplasmiviricota</t>
  </si>
  <si>
    <t>Maveriviricetes</t>
  </si>
  <si>
    <t>Priklausovirales</t>
  </si>
  <si>
    <t>Tectiliviricetes</t>
  </si>
  <si>
    <t>Belfryvirales</t>
  </si>
  <si>
    <t>Kalamavirales</t>
  </si>
  <si>
    <t>Rowavirales</t>
  </si>
  <si>
    <t>Psittacine aviadenovirus C</t>
  </si>
  <si>
    <t>Bat mastadenovirus H</t>
  </si>
  <si>
    <t>Bat mastadenovirus I</t>
  </si>
  <si>
    <t>Bat mastadenovirus J</t>
  </si>
  <si>
    <t>Ovine mastadenovirus C</t>
  </si>
  <si>
    <t>Polar bear mastadenovirus A</t>
  </si>
  <si>
    <t>Vinavirales</t>
  </si>
  <si>
    <t>Helvetiavirae</t>
  </si>
  <si>
    <t>Dividoviricota</t>
  </si>
  <si>
    <t>Laserviricetes</t>
  </si>
  <si>
    <t>Halopanivirales</t>
  </si>
  <si>
    <t>Alphalipothrixvirus</t>
  </si>
  <si>
    <t>Alphalipothrixvirus SBFV2</t>
  </si>
  <si>
    <t>Alphalipothrixvirus SFV1</t>
  </si>
  <si>
    <t>Deltalipothrixvirus SBFV3</t>
  </si>
  <si>
    <t>Ash gourd yellow vein mosaic alphasatellite</t>
  </si>
  <si>
    <t>Capsicum India alphasatellite</t>
  </si>
  <si>
    <t>Tomato leaf curl New Delhi alphasatellite</t>
  </si>
  <si>
    <t>Tomato leaf curl Virudhunagar alphasatellite</t>
  </si>
  <si>
    <t>Tomato leaf curl Pakistan alphasatellite</t>
  </si>
  <si>
    <t>Eclipta yellow vein alphasatellite</t>
  </si>
  <si>
    <t>Cow vetch latent alphasatellite</t>
  </si>
  <si>
    <t>Faba bean necrotic yellows alphasatellite 3</t>
  </si>
  <si>
    <t>Apple hammerhead viroid</t>
  </si>
  <si>
    <t>Finnlakeviridae</t>
  </si>
  <si>
    <t>Finnlakevirus</t>
  </si>
  <si>
    <t>Halspiviridae</t>
  </si>
  <si>
    <t>Salterprovirus His1</t>
  </si>
  <si>
    <t>Alphaportoglobovirus SPV2</t>
  </si>
  <si>
    <t>Thaspiviridae</t>
  </si>
  <si>
    <t>Nitmarvirus</t>
  </si>
  <si>
    <t>Nitmarvirus NSV1</t>
  </si>
  <si>
    <t>Barhavirus</t>
  </si>
  <si>
    <t>Lostrhavirus</t>
  </si>
  <si>
    <t>Sawgrhavirus</t>
  </si>
  <si>
    <t>Zarhavirus</t>
  </si>
  <si>
    <t>Adnaviria</t>
  </si>
  <si>
    <t>Zilligvirae</t>
  </si>
  <si>
    <t>Taleaviricota</t>
  </si>
  <si>
    <t>Tokiviricetes</t>
  </si>
  <si>
    <t>Azorudivirus</t>
  </si>
  <si>
    <t>Azorudivirus SRV</t>
  </si>
  <si>
    <t>Hoswirudivirus</t>
  </si>
  <si>
    <t>Hoswirudivirus ARV2</t>
  </si>
  <si>
    <t>Hoswirudivirus ARV3</t>
  </si>
  <si>
    <t>Hoswirudivirus MRV1</t>
  </si>
  <si>
    <t>Hoswirudivirus SSRV1</t>
  </si>
  <si>
    <t>Icerudivirus</t>
  </si>
  <si>
    <t>Icerudivirus SIRV1</t>
  </si>
  <si>
    <t>Icerudivirus SIRV2</t>
  </si>
  <si>
    <t>Icerudivirus SIRV3</t>
  </si>
  <si>
    <t>Itarudivirus</t>
  </si>
  <si>
    <t>Itarudivirus ARV1</t>
  </si>
  <si>
    <t>Japarudivirus</t>
  </si>
  <si>
    <t>Japarudivirus SBRV1</t>
  </si>
  <si>
    <t>Mexirudivirus</t>
  </si>
  <si>
    <t>Mexirudivirus SMRV1</t>
  </si>
  <si>
    <t>Usarudivirus</t>
  </si>
  <si>
    <t>Usarudivirus SIRV4</t>
  </si>
  <si>
    <t>Usarudivirus SIRV5</t>
  </si>
  <si>
    <t>Usarudivirus SIRV8</t>
  </si>
  <si>
    <t>Usarudivirus SIRV9</t>
  </si>
  <si>
    <t>Usarudivirus SIRV10</t>
  </si>
  <si>
    <t>Usarudivirus SIRV11</t>
  </si>
  <si>
    <t>Primavirales</t>
  </si>
  <si>
    <t>Alphatristromavirus PFV1</t>
  </si>
  <si>
    <t>Alphatristromavirus PFV2</t>
  </si>
  <si>
    <t>Betatristromavirus</t>
  </si>
  <si>
    <t>Betatristromavirus TTV1</t>
  </si>
  <si>
    <t>Quwivirus</t>
  </si>
  <si>
    <t>Bossavirus</t>
  </si>
  <si>
    <t>Manticavirus</t>
  </si>
  <si>
    <t>Patagivirus</t>
  </si>
  <si>
    <t>Campanilevirus</t>
  </si>
  <si>
    <t>Kujavirus</t>
  </si>
  <si>
    <t>Miltonvirus</t>
  </si>
  <si>
    <t>Nezavisimistyvirus</t>
  </si>
  <si>
    <t>Tedavirus</t>
  </si>
  <si>
    <t>Vapseptimavirus</t>
  </si>
  <si>
    <t>Warsawvirus</t>
  </si>
  <si>
    <t>Anchaingvirus</t>
  </si>
  <si>
    <t>Cleopatravirinae</t>
  </si>
  <si>
    <t>Myducvirus</t>
  </si>
  <si>
    <t>Sabourvirus</t>
  </si>
  <si>
    <t>Nefertitivirinae</t>
  </si>
  <si>
    <t>Veterinaerplatzvirus</t>
  </si>
  <si>
    <t>Changchunvirus</t>
  </si>
  <si>
    <t>Henuseptimavirus</t>
  </si>
  <si>
    <t>Hicfunavirus</t>
  </si>
  <si>
    <t>Jhansiroadvirus</t>
  </si>
  <si>
    <t>Kyungwonvirus</t>
  </si>
  <si>
    <t>Guelinviridae</t>
  </si>
  <si>
    <t>Denniswatsonvirinae</t>
  </si>
  <si>
    <t>Capvunavirus</t>
  </si>
  <si>
    <t>Gregsiragusavirus</t>
  </si>
  <si>
    <t>Brucesealvirus</t>
  </si>
  <si>
    <t>Susfortunavirus</t>
  </si>
  <si>
    <t>Eldridgevirus</t>
  </si>
  <si>
    <t>Goettingenvirus</t>
  </si>
  <si>
    <t>Grisebachstrassevirus</t>
  </si>
  <si>
    <t>Jeonjuvirus</t>
  </si>
  <si>
    <t>Matervirus</t>
  </si>
  <si>
    <t>Moonbeamvirus</t>
  </si>
  <si>
    <t>Siophivirus</t>
  </si>
  <si>
    <t>Elpedvirus</t>
  </si>
  <si>
    <t>Hopescreekvirus</t>
  </si>
  <si>
    <t>Mooreparkvirus</t>
  </si>
  <si>
    <t>Salchichonvirus</t>
  </si>
  <si>
    <t>Tybeckvirus</t>
  </si>
  <si>
    <t>Watanabevirus</t>
  </si>
  <si>
    <t>Emmerichvirinae</t>
  </si>
  <si>
    <t>Ceceduovirus</t>
  </si>
  <si>
    <t>Ishigurovirus</t>
  </si>
  <si>
    <t>Gorgonvirinae</t>
  </si>
  <si>
    <t>Irrigatiovirus</t>
  </si>
  <si>
    <t>Novemvirus</t>
  </si>
  <si>
    <t>Reipivirus</t>
  </si>
  <si>
    <t>Vimunumvirus</t>
  </si>
  <si>
    <t>Yongunavirus</t>
  </si>
  <si>
    <t>Pseudotevenvirus</t>
  </si>
  <si>
    <t>Twarogvirinae</t>
  </si>
  <si>
    <t>Acajnonavirus</t>
  </si>
  <si>
    <t>Hadassahvirus</t>
  </si>
  <si>
    <t>Lasallevirus</t>
  </si>
  <si>
    <t>Acinetobacter virus Acj61</t>
  </si>
  <si>
    <t>Lazarusvirus</t>
  </si>
  <si>
    <t>Zedzedvirus</t>
  </si>
  <si>
    <t>Henunavirus</t>
  </si>
  <si>
    <t>Mydovirus</t>
  </si>
  <si>
    <t>Ayohtrevirus</t>
  </si>
  <si>
    <t>Bakolyvirus</t>
  </si>
  <si>
    <t>Bcepfunavirus</t>
  </si>
  <si>
    <t>Becedseptimavirus</t>
  </si>
  <si>
    <t>Borockvirus</t>
  </si>
  <si>
    <t>Colneyvirus</t>
  </si>
  <si>
    <t>Dibbivirus</t>
  </si>
  <si>
    <t>Donellivirus</t>
  </si>
  <si>
    <t>Elmenteitavirus</t>
  </si>
  <si>
    <t>Fukuivirus</t>
  </si>
  <si>
    <t>Haloferacalesvirus</t>
  </si>
  <si>
    <t>Kanagawavirus</t>
  </si>
  <si>
    <t>Klausavirus</t>
  </si>
  <si>
    <t>Kungbxnavirus</t>
  </si>
  <si>
    <t>Kylevirus</t>
  </si>
  <si>
    <t>Lietduovirus</t>
  </si>
  <si>
    <t>Marfavirus</t>
  </si>
  <si>
    <t>Merged,</t>
  </si>
  <si>
    <t>Menderavirus</t>
  </si>
  <si>
    <t>Moabitevirus</t>
  </si>
  <si>
    <t>Moturavirus</t>
  </si>
  <si>
    <t>Muldoonvirus</t>
  </si>
  <si>
    <t>Myoalterovirus</t>
  </si>
  <si>
    <t>Myosmarvirus</t>
  </si>
  <si>
    <t>Nylescharonvirus</t>
  </si>
  <si>
    <t>Pemunavirus</t>
  </si>
  <si>
    <t>Pippivirus</t>
  </si>
  <si>
    <t>Plateaulakevirus</t>
  </si>
  <si>
    <t>Rahariannevirus</t>
  </si>
  <si>
    <t>Ronodorvirus</t>
  </si>
  <si>
    <t>Saintgironsvirus</t>
  </si>
  <si>
    <t>Sarumanvirus</t>
  </si>
  <si>
    <t>Shandongvirus</t>
  </si>
  <si>
    <t>Sherbrookevirus</t>
  </si>
  <si>
    <t>Shirahamavirus</t>
  </si>
  <si>
    <t>Takahashivirus</t>
  </si>
  <si>
    <t>Vibakivirus</t>
  </si>
  <si>
    <t>Yongloolinvirus</t>
  </si>
  <si>
    <t>Beephvirinae</t>
  </si>
  <si>
    <t>Flowerpowervirus</t>
  </si>
  <si>
    <t>Immanueltrevirus</t>
  </si>
  <si>
    <t>Manuelvirus</t>
  </si>
  <si>
    <t>Eekayvirinae</t>
  </si>
  <si>
    <t>Akonivirus</t>
  </si>
  <si>
    <t>Tinytimothyvirus</t>
  </si>
  <si>
    <t>Anjalivirus</t>
  </si>
  <si>
    <t>Astrithrvirus</t>
  </si>
  <si>
    <t>Badaztecvirus</t>
  </si>
  <si>
    <t>Burrovirus</t>
  </si>
  <si>
    <t>Chopinvirus</t>
  </si>
  <si>
    <t>Cimandefvirus</t>
  </si>
  <si>
    <t>Delislevirus</t>
  </si>
  <si>
    <t>Dybvigvirus</t>
  </si>
  <si>
    <t>Firingavirus</t>
  </si>
  <si>
    <t>Gervaisevirus</t>
  </si>
  <si>
    <t>Kozyakovvirus</t>
  </si>
  <si>
    <t>Lahexavirus</t>
  </si>
  <si>
    <t>Lastavirus</t>
  </si>
  <si>
    <t>Parlovirus</t>
  </si>
  <si>
    <t>Privateervirus</t>
  </si>
  <si>
    <t>Sendosyvirus</t>
  </si>
  <si>
    <t>Wumpquatrovirus</t>
  </si>
  <si>
    <t>Wumptrevirus</t>
  </si>
  <si>
    <t>Rountreeviridae</t>
  </si>
  <si>
    <t>Sarlesvirinae</t>
  </si>
  <si>
    <t>Copernicusvirus</t>
  </si>
  <si>
    <t>Minhovirus</t>
  </si>
  <si>
    <t>Salasmaviridae</t>
  </si>
  <si>
    <t>Northropvirinae</t>
  </si>
  <si>
    <t>Claudivirus</t>
  </si>
  <si>
    <t>Hemphillvirus</t>
  </si>
  <si>
    <t>Klosterneuburgvirus</t>
  </si>
  <si>
    <t>Beecentumtrevirus</t>
  </si>
  <si>
    <t>Tatarstanvirinae</t>
  </si>
  <si>
    <t>Gaunavirus</t>
  </si>
  <si>
    <t>Karezivirus</t>
  </si>
  <si>
    <t>Bundooravirus</t>
  </si>
  <si>
    <t>Harambevirus</t>
  </si>
  <si>
    <t>Mingyongvirus</t>
  </si>
  <si>
    <t>Schitoviridae</t>
  </si>
  <si>
    <t>Enquatrovirinae</t>
  </si>
  <si>
    <t>Kaypoctavirus</t>
  </si>
  <si>
    <t>Erskinevirinae</t>
  </si>
  <si>
    <t>Yonginvirus</t>
  </si>
  <si>
    <t>Fuhrmanvirinae</t>
  </si>
  <si>
    <t>Matsuvirus</t>
  </si>
  <si>
    <t>Stoningtonvirus</t>
  </si>
  <si>
    <t>Humphriesvirinae</t>
  </si>
  <si>
    <t>Pollockvirus</t>
  </si>
  <si>
    <t>Pylasvirus</t>
  </si>
  <si>
    <t>Migulavirinae</t>
  </si>
  <si>
    <t>Pontosvirinae</t>
  </si>
  <si>
    <t>Dorisvirus</t>
  </si>
  <si>
    <t>Galateavirus</t>
  </si>
  <si>
    <t>Nahantvirus</t>
  </si>
  <si>
    <t>Rhodovirinae</t>
  </si>
  <si>
    <t>Aoqinvirus</t>
  </si>
  <si>
    <t>Aorunvirus</t>
  </si>
  <si>
    <t>Plymouthvirus</t>
  </si>
  <si>
    <t>Pomeroyivirus</t>
  </si>
  <si>
    <t>Raunefjordenvirus</t>
  </si>
  <si>
    <t>Sanyabayvirus</t>
  </si>
  <si>
    <t>Rothmandenesvirinae</t>
  </si>
  <si>
    <t>Dongdastvirus</t>
  </si>
  <si>
    <t>Inbricusvirus</t>
  </si>
  <si>
    <t>Pourcelvirus</t>
  </si>
  <si>
    <t>Cbunavirus</t>
  </si>
  <si>
    <t>Dendoorenvirus</t>
  </si>
  <si>
    <t>Eceepunavirus</t>
  </si>
  <si>
    <t>Huelvavirus</t>
  </si>
  <si>
    <t>Littlefixvirus</t>
  </si>
  <si>
    <t>Pacinivirus</t>
  </si>
  <si>
    <t>Pokkenvirus</t>
  </si>
  <si>
    <t>Presleyvirus</t>
  </si>
  <si>
    <t>Riverridervirus</t>
  </si>
  <si>
    <t>Waedenswilvirus</t>
  </si>
  <si>
    <t>Zicotriavirus</t>
  </si>
  <si>
    <t>Zurivirus</t>
  </si>
  <si>
    <t>Azeredovirinae</t>
  </si>
  <si>
    <t>Dubowvirus</t>
  </si>
  <si>
    <t>Bronfenbrennervirinae</t>
  </si>
  <si>
    <t>Peeveelvirus</t>
  </si>
  <si>
    <t>Deejayvirinae</t>
  </si>
  <si>
    <t>Kenoshavirus</t>
  </si>
  <si>
    <t>Secretariatvirus</t>
  </si>
  <si>
    <t>Tanisvirus</t>
  </si>
  <si>
    <t>Gochnauervirinae</t>
  </si>
  <si>
    <t>Dragolirvirus</t>
  </si>
  <si>
    <t>Wanderervirus</t>
  </si>
  <si>
    <t>Gutmannvirinae</t>
  </si>
  <si>
    <t>Carmenvirus</t>
  </si>
  <si>
    <t>Pebcunavirus</t>
  </si>
  <si>
    <t>Hendrixvirinae</t>
  </si>
  <si>
    <t>Byrnievirus</t>
  </si>
  <si>
    <t>Cuauhtlivirus</t>
  </si>
  <si>
    <t>Kwaitsingvirus</t>
  </si>
  <si>
    <t>Nochtlivirus</t>
  </si>
  <si>
    <t>Saikungvirus</t>
  </si>
  <si>
    <t>Shamshuipovirus</t>
  </si>
  <si>
    <t>Wanchaivirus</t>
  </si>
  <si>
    <t>Wongtaivirus</t>
  </si>
  <si>
    <t>Yautsimvirus</t>
  </si>
  <si>
    <t>Queuovirinae</t>
  </si>
  <si>
    <t>Amoyvirus</t>
  </si>
  <si>
    <t>Skryabinvirinae</t>
  </si>
  <si>
    <t>Bembunaquatrovirus</t>
  </si>
  <si>
    <t>Pushchinovirus</t>
  </si>
  <si>
    <t>Trabyvirinae</t>
  </si>
  <si>
    <t>Jelitavirus</t>
  </si>
  <si>
    <t>Slepowronvirus</t>
  </si>
  <si>
    <t>Agmunavirus</t>
  </si>
  <si>
    <t>Aguilavirus</t>
  </si>
  <si>
    <t>Alachuavirus</t>
  </si>
  <si>
    <t>Alegriavirus</t>
  </si>
  <si>
    <t>Annadreamyvirus</t>
  </si>
  <si>
    <t>Arawnvirus</t>
  </si>
  <si>
    <t>Ashduovirus</t>
  </si>
  <si>
    <t>Audreyjarvisvirus</t>
  </si>
  <si>
    <t>Avanivirus</t>
  </si>
  <si>
    <t>Beceayunavirus</t>
  </si>
  <si>
    <t>Behunavirus</t>
  </si>
  <si>
    <t>Bievrevirus</t>
  </si>
  <si>
    <t>Camtrevirus</t>
  </si>
  <si>
    <t>Chertseyvirus</t>
  </si>
  <si>
    <t>Salmonella virus BP12C</t>
  </si>
  <si>
    <t>Colunavirus</t>
  </si>
  <si>
    <t>Cornievirus</t>
  </si>
  <si>
    <t>Mycobacterium virus Cornie</t>
  </si>
  <si>
    <t>Coventryvirus</t>
  </si>
  <si>
    <t>Cukevirus</t>
  </si>
  <si>
    <t>Deurplevirus</t>
  </si>
  <si>
    <t>Dinavirus</t>
  </si>
  <si>
    <t>Fattrevirus</t>
  </si>
  <si>
    <t>Fernvirus</t>
  </si>
  <si>
    <t>Fowlmouthvirus</t>
  </si>
  <si>
    <t>Fremauxvirus</t>
  </si>
  <si>
    <t>Gilsonvirus</t>
  </si>
  <si>
    <t>Glaedevirus</t>
  </si>
  <si>
    <t>Halcyonevirus</t>
  </si>
  <si>
    <t>Hattifnattvirus</t>
  </si>
  <si>
    <t>Hnatkovirus</t>
  </si>
  <si>
    <t>Hubeivirus</t>
  </si>
  <si>
    <t>Iaduovirus</t>
  </si>
  <si>
    <t>Indlulamithivirus</t>
  </si>
  <si>
    <t>Jarrellvirus</t>
  </si>
  <si>
    <t>Jouyvirus</t>
  </si>
  <si>
    <t>Junavirus</t>
  </si>
  <si>
    <t>Kamchatkavirus</t>
  </si>
  <si>
    <t>Karimacvirus</t>
  </si>
  <si>
    <t>Streptomyces virus Karimac</t>
  </si>
  <si>
    <t>Streptomyces virus LukeCage</t>
  </si>
  <si>
    <t>Streptomyces virus StarPlatinum</t>
  </si>
  <si>
    <t>Streptomyces virus Wollford</t>
  </si>
  <si>
    <t>Streptomyces virus Yaboi</t>
  </si>
  <si>
    <t>Knuthellervirus</t>
  </si>
  <si>
    <t>Konstantinevirus</t>
  </si>
  <si>
    <t>Kuleanavirus</t>
  </si>
  <si>
    <t>Labanvirus</t>
  </si>
  <si>
    <t>Lacnuvirus</t>
  </si>
  <si>
    <t>Lafunavirus</t>
  </si>
  <si>
    <t>Lambovirus</t>
  </si>
  <si>
    <t>Larmunavirus</t>
  </si>
  <si>
    <t>Latrobevirus</t>
  </si>
  <si>
    <t>Leicestervirus</t>
  </si>
  <si>
    <t>Arthrobacter virus Liebe</t>
  </si>
  <si>
    <t>Lillamyvirus</t>
  </si>
  <si>
    <t>Marienburgvirus</t>
  </si>
  <si>
    <t>Mufasoctovirus</t>
  </si>
  <si>
    <t>Muminvirus</t>
  </si>
  <si>
    <t>Nesevirus</t>
  </si>
  <si>
    <t>Nevevirus</t>
  </si>
  <si>
    <t>Pankowvirus</t>
  </si>
  <si>
    <t>Pleeduovirus</t>
  </si>
  <si>
    <t>Pleetrevirus</t>
  </si>
  <si>
    <t>Predatorvirus</t>
  </si>
  <si>
    <t>Questintvirus</t>
  </si>
  <si>
    <t>Radostvirus</t>
  </si>
  <si>
    <t>Ravarandavirus</t>
  </si>
  <si>
    <t>Rockefellervirus</t>
  </si>
  <si>
    <t>Rockvillevirus</t>
  </si>
  <si>
    <t>Sandinevirus</t>
  </si>
  <si>
    <t>Sawaravirus</t>
  </si>
  <si>
    <t>Seongbukvirus</t>
  </si>
  <si>
    <t>Sleepyheadvirus</t>
  </si>
  <si>
    <t>Sozzivirus</t>
  </si>
  <si>
    <t>Sparkyvirus</t>
  </si>
  <si>
    <t>Spizizenvirus</t>
  </si>
  <si>
    <t>Squirtyvirus</t>
  </si>
  <si>
    <t>Mycobacterium virus Squirty</t>
  </si>
  <si>
    <t>Sukhumvitvirus</t>
  </si>
  <si>
    <t>Tandoganvirus</t>
  </si>
  <si>
    <t>Tantvirus</t>
  </si>
  <si>
    <t>Teubervirus</t>
  </si>
  <si>
    <t>Thetabobvirus</t>
  </si>
  <si>
    <t>Mycobacterium virus Renaud18</t>
  </si>
  <si>
    <t>Mycobacterium virus TChen</t>
  </si>
  <si>
    <t>Mycobacterium virus ThetaBob</t>
  </si>
  <si>
    <t>Triplejayvirus</t>
  </si>
  <si>
    <t>Uwajimavirus</t>
  </si>
  <si>
    <t>Vedamuthuvirus</t>
  </si>
  <si>
    <t>Waukeshavirus</t>
  </si>
  <si>
    <t>Whackvirus</t>
  </si>
  <si>
    <t>Whiteheadvirus</t>
  </si>
  <si>
    <t>Yonseivirus</t>
  </si>
  <si>
    <t>Zobellviridae</t>
  </si>
  <si>
    <t>Cobavirinae</t>
  </si>
  <si>
    <t>Siovirus</t>
  </si>
  <si>
    <t>Veravirus</t>
  </si>
  <si>
    <t>Citrovirus</t>
  </si>
  <si>
    <t>Icepovirus</t>
  </si>
  <si>
    <t>Melvirus</t>
  </si>
  <si>
    <t>Paundecimvirus</t>
  </si>
  <si>
    <t>Salinovirus</t>
  </si>
  <si>
    <t>Vipivirus</t>
  </si>
  <si>
    <t>Paulinoviridae</t>
  </si>
  <si>
    <t>Enterogokushovirus</t>
  </si>
  <si>
    <t>Enterogokushovirus EC6098</t>
  </si>
  <si>
    <t>Epsilonpolyomavirus</t>
  </si>
  <si>
    <t>Zetapolyomavirus</t>
  </si>
  <si>
    <t>Diciambidensovirus</t>
  </si>
  <si>
    <t>Muscodensovirus</t>
  </si>
  <si>
    <t>Tetuambidensovirus</t>
  </si>
  <si>
    <t>Babosmacovirus</t>
  </si>
  <si>
    <t>Babosmacovirus babas1</t>
  </si>
  <si>
    <t>Bonzesmacovirus</t>
  </si>
  <si>
    <t>Bonzesmacovirus bovas1</t>
  </si>
  <si>
    <t>Bostasmacovirus</t>
  </si>
  <si>
    <t>Bostasmacovirus bovas1</t>
  </si>
  <si>
    <t>Bovismacovirus bovas1</t>
  </si>
  <si>
    <t>Bovismacovirus bovas2</t>
  </si>
  <si>
    <t>Bovismacovirus draga1</t>
  </si>
  <si>
    <t>Cosmacovirus bovas1</t>
  </si>
  <si>
    <t>Dragsmacovirus draga1</t>
  </si>
  <si>
    <t>Drosmacovirus bovas1</t>
  </si>
  <si>
    <t>Drosmacovirus camas1</t>
  </si>
  <si>
    <t>Drosmacovirus camas2</t>
  </si>
  <si>
    <t>Felismacovirus</t>
  </si>
  <si>
    <t>Felismacovirus lynas1</t>
  </si>
  <si>
    <t>Huchismacovirus chicas1</t>
  </si>
  <si>
    <t>Huchismacovirus chicas2</t>
  </si>
  <si>
    <t>Huchismacovirus humas1</t>
  </si>
  <si>
    <t>Huchismacovirus humas2</t>
  </si>
  <si>
    <t>Huchismacovirus humas3</t>
  </si>
  <si>
    <t>Inpeasmacovirus</t>
  </si>
  <si>
    <t>Inpeasmacovirus humas1</t>
  </si>
  <si>
    <t>Inpeasmacovirus peafo1</t>
  </si>
  <si>
    <t>Porprismacovirus alecas1</t>
  </si>
  <si>
    <t>Porprismacovirus avias1</t>
  </si>
  <si>
    <t>Porprismacovirus babas1</t>
  </si>
  <si>
    <t>Porprismacovirus bovas1</t>
  </si>
  <si>
    <t>Porprismacovirus bovas2</t>
  </si>
  <si>
    <t>Porprismacovirus camas1</t>
  </si>
  <si>
    <t>Porprismacovirus camas2</t>
  </si>
  <si>
    <t>Porprismacovirus camas3</t>
  </si>
  <si>
    <t>Porprismacovirus camas4</t>
  </si>
  <si>
    <t>Porprismacovirus capas1</t>
  </si>
  <si>
    <t>Porprismacovirus chicas1</t>
  </si>
  <si>
    <t>Porprismacovirus chicas2</t>
  </si>
  <si>
    <t>Porprismacovirus chicas3</t>
  </si>
  <si>
    <t>Porprismacovirus chicas4</t>
  </si>
  <si>
    <t>Porprismacovirus chicas5</t>
  </si>
  <si>
    <t>Porprismacovirus chicas6</t>
  </si>
  <si>
    <t>Porprismacovirus chicas7</t>
  </si>
  <si>
    <t>Porprismacovirus chimas1</t>
  </si>
  <si>
    <t>Porprismacovirus chimas2</t>
  </si>
  <si>
    <t>Porprismacovirus flas1</t>
  </si>
  <si>
    <t>Porprismacovirus goas1</t>
  </si>
  <si>
    <t>Porprismacovirus goras1</t>
  </si>
  <si>
    <t>Porprismacovirus howas1</t>
  </si>
  <si>
    <t>Porprismacovirus humas1</t>
  </si>
  <si>
    <t>Porprismacovirus humas2</t>
  </si>
  <si>
    <t>Porprismacovirus humas3</t>
  </si>
  <si>
    <t>Porprismacovirus humas4</t>
  </si>
  <si>
    <t>Porprismacovirus lemas1</t>
  </si>
  <si>
    <t>Porprismacovirus leo1</t>
  </si>
  <si>
    <t>Porprismacovirus lynas2</t>
  </si>
  <si>
    <t>Porprismacovirus macas1</t>
  </si>
  <si>
    <t>Porprismacovirus macas2</t>
  </si>
  <si>
    <t>Porprismacovirus macas3</t>
  </si>
  <si>
    <t>Porprismacovirus macas4</t>
  </si>
  <si>
    <t>Porprismacovirus macas5</t>
  </si>
  <si>
    <t>Porprismacovirus macas6</t>
  </si>
  <si>
    <t>Porprismacovirus malbas1</t>
  </si>
  <si>
    <t>Porprismacovirus peafo1</t>
  </si>
  <si>
    <t>Porprismacovirus porci1</t>
  </si>
  <si>
    <t>Porprismacovirus porci2</t>
  </si>
  <si>
    <t>Porprismacovirus porci3</t>
  </si>
  <si>
    <t>Porprismacovirus porci4</t>
  </si>
  <si>
    <t>Porprismacovirus porci5</t>
  </si>
  <si>
    <t>Porprismacovirus porci6</t>
  </si>
  <si>
    <t>Porprismacovirus porci7</t>
  </si>
  <si>
    <t>Porprismacovirus porci8</t>
  </si>
  <si>
    <t>Porprismacovirus porci9</t>
  </si>
  <si>
    <t>Porprismacovirus porci10</t>
  </si>
  <si>
    <t>Porprismacovirus porci11</t>
  </si>
  <si>
    <t>Porprismacovirus porci12</t>
  </si>
  <si>
    <t>Porprismacovirus porci13</t>
  </si>
  <si>
    <t>Porprismacovirus porci14</t>
  </si>
  <si>
    <t>Porprismacovirus porci15</t>
  </si>
  <si>
    <t>Porprismacovirus porci16</t>
  </si>
  <si>
    <t>Porprismacovirus porci17</t>
  </si>
  <si>
    <t>Porprismacovirus porci18</t>
  </si>
  <si>
    <t>Porprismacovirus porci19</t>
  </si>
  <si>
    <t>Porprismacovirus porci20</t>
  </si>
  <si>
    <t>Porprismacovirus ratas1</t>
  </si>
  <si>
    <t>Porprismacovirus sheas1</t>
  </si>
  <si>
    <t>Porprismacovirus sheas2</t>
  </si>
  <si>
    <t>Porprismacovirus sheas3</t>
  </si>
  <si>
    <t>Porprismacovirus turas1</t>
  </si>
  <si>
    <t>Simismacovirus</t>
  </si>
  <si>
    <t>Simismacovirus malbas1</t>
  </si>
  <si>
    <t>Simismacovirus malbas2</t>
  </si>
  <si>
    <t>Metaxyviridae</t>
  </si>
  <si>
    <t>Cofodevirus</t>
  </si>
  <si>
    <t>Cow vetch latent virus</t>
  </si>
  <si>
    <t>Parsley severe stunt associated virus</t>
  </si>
  <si>
    <t>Sophora yellow stunt virus</t>
  </si>
  <si>
    <t>Bean bushy stunt virus</t>
  </si>
  <si>
    <t>Bean latent virus</t>
  </si>
  <si>
    <t>Corchorus yellow vein Cuba virus</t>
  </si>
  <si>
    <t>Cucumber chlorotic leaf virus</t>
  </si>
  <si>
    <t>Hibiscus yellow vein leaf curl virus</t>
  </si>
  <si>
    <t>Hybanthus yellow mosaic virus</t>
  </si>
  <si>
    <t>Ocimum golden mosaic virus</t>
  </si>
  <si>
    <t>Ocimum mosaic virus</t>
  </si>
  <si>
    <t>Ocimum yellow vein virus</t>
  </si>
  <si>
    <t>Papaya severe leaf curl virus 1</t>
  </si>
  <si>
    <t>Papaya severe leaf curl virus 2</t>
  </si>
  <si>
    <t>Papaya yellow leaf curl virus</t>
  </si>
  <si>
    <t>Pepper blistering leaf virus</t>
  </si>
  <si>
    <t>Polygala garcinii virus</t>
  </si>
  <si>
    <t>Sida chlorotic leaf virus</t>
  </si>
  <si>
    <t>Sida interveinal bright yellow virus</t>
  </si>
  <si>
    <t>Sida yellow golden mosaic virus</t>
  </si>
  <si>
    <t>Tomato leaf curl Kunene virus</t>
  </si>
  <si>
    <t>Tomato mosaic severe dwarf virus</t>
  </si>
  <si>
    <t>Tomato vein clearing leaf deformation virus</t>
  </si>
  <si>
    <t>Tomato yellow leaf deformation dwarf virus</t>
  </si>
  <si>
    <t>Verbena mottle virus</t>
  </si>
  <si>
    <t>Citlodavirus</t>
  </si>
  <si>
    <t>Camellia chlorotic dwarf-associated virus</t>
  </si>
  <si>
    <t>Paper mulberry leaf curl virus 2</t>
  </si>
  <si>
    <t>Passion fruit chlorotic mottle virus</t>
  </si>
  <si>
    <t>Maldovirus</t>
  </si>
  <si>
    <t>Apple geminivirus 1</t>
  </si>
  <si>
    <t>Grapevine geminivirus A</t>
  </si>
  <si>
    <t>Juncus maritimus geminivirus 1</t>
  </si>
  <si>
    <t>Chickpea redleaf virus 2</t>
  </si>
  <si>
    <t>Eleusine indica associated virus</t>
  </si>
  <si>
    <t>Melenis repens associated virus</t>
  </si>
  <si>
    <t>Sorghum arundinaceum associated virus</t>
  </si>
  <si>
    <t>Mulcrilevirus</t>
  </si>
  <si>
    <t>Mulberry crinkle leaf virus</t>
  </si>
  <si>
    <t>Paper mulberry leaf curl virus 1</t>
  </si>
  <si>
    <t>Opunvirus</t>
  </si>
  <si>
    <t>Opuntia virus 1</t>
  </si>
  <si>
    <t>Topilevirus</t>
  </si>
  <si>
    <t>Tomato apical leaf curl virus</t>
  </si>
  <si>
    <t>Tomato geminivirus 1</t>
  </si>
  <si>
    <t>Gemycircularvirus abati1</t>
  </si>
  <si>
    <t>Gemycircularvirus alces1</t>
  </si>
  <si>
    <t>Gemycircularvirus alces2</t>
  </si>
  <si>
    <t>Gemycircularvirus ansal1</t>
  </si>
  <si>
    <t>Gemycircularvirus aspar1</t>
  </si>
  <si>
    <t>Gemycircularvirus austro1</t>
  </si>
  <si>
    <t>Gemycircularvirus austro2</t>
  </si>
  <si>
    <t>Gemycircularvirus austro3</t>
  </si>
  <si>
    <t>Gemycircularvirus austro4</t>
  </si>
  <si>
    <t>Gemycircularvirus austro5</t>
  </si>
  <si>
    <t>Gemycircularvirus austro6</t>
  </si>
  <si>
    <t>Gemycircularvirus bemta1</t>
  </si>
  <si>
    <t>Gemycircularvirus blabi1</t>
  </si>
  <si>
    <t>Gemycircularvirus bovas1</t>
  </si>
  <si>
    <t>Gemycircularvirus bromas1</t>
  </si>
  <si>
    <t>Gemycircularvirus canlup1</t>
  </si>
  <si>
    <t>Gemycircularvirus cassa1</t>
  </si>
  <si>
    <t>Gemycircularvirus chicas1</t>
  </si>
  <si>
    <t>Gemycircularvirus chicas2</t>
  </si>
  <si>
    <t>Gemycircularvirus chickad1</t>
  </si>
  <si>
    <t>Gemycircularvirus citas1</t>
  </si>
  <si>
    <t>Gemycircularvirus cybusi1</t>
  </si>
  <si>
    <t>Gemycircularvirus denbre1</t>
  </si>
  <si>
    <t>Gemycircularvirus denbre2</t>
  </si>
  <si>
    <t>Gemycircularvirus denbre3</t>
  </si>
  <si>
    <t>Gemycircularvirus denbre4</t>
  </si>
  <si>
    <t>Gemycircularvirus denpo1</t>
  </si>
  <si>
    <t>Gemycircularvirus derva1</t>
  </si>
  <si>
    <t>Gemycircularvirus dichism1</t>
  </si>
  <si>
    <t>Gemycircularvirus draga1</t>
  </si>
  <si>
    <t>Gemycircularvirus echiam1</t>
  </si>
  <si>
    <t>Gemycircularvirus equas1</t>
  </si>
  <si>
    <t>Gemycircularvirus erati1</t>
  </si>
  <si>
    <t>Gemycircularvirus euhet1</t>
  </si>
  <si>
    <t>Gemycircularvirus furse1</t>
  </si>
  <si>
    <t>Gemycircularvirus geras1</t>
  </si>
  <si>
    <t>Gemycircularvirus geras2</t>
  </si>
  <si>
    <t>Gemycircularvirus geras3</t>
  </si>
  <si>
    <t>Gemycircularvirus giapa1</t>
  </si>
  <si>
    <t>Gemycircularvirus giapa2</t>
  </si>
  <si>
    <t>Gemycircularvirus giapa3</t>
  </si>
  <si>
    <t>Gemycircularvirus giapa4</t>
  </si>
  <si>
    <t>Gemycircularvirus giapa5</t>
  </si>
  <si>
    <t>Gemycircularvirus giapa6</t>
  </si>
  <si>
    <t>Gemycircularvirus giapa7</t>
  </si>
  <si>
    <t>Gemycircularvirus giapa8</t>
  </si>
  <si>
    <t>Gemycircularvirus gopha1</t>
  </si>
  <si>
    <t>Gemycircularvirus gopha2</t>
  </si>
  <si>
    <t>Gemycircularvirus gopha3</t>
  </si>
  <si>
    <t>Gemycircularvirus hadtis1</t>
  </si>
  <si>
    <t>Gemycircularvirus haeme1</t>
  </si>
  <si>
    <t>Gemycircularvirus haeme2</t>
  </si>
  <si>
    <t>Gemycircularvirus hydro1</t>
  </si>
  <si>
    <t>Gemycircularvirus hypas1</t>
  </si>
  <si>
    <t>Gemycircularvirus ixode1</t>
  </si>
  <si>
    <t>Gemycircularvirus lamas1</t>
  </si>
  <si>
    <t>Gemycircularvirus lebec1</t>
  </si>
  <si>
    <t>Gemycircularvirus legle1</t>
  </si>
  <si>
    <t>Gemycircularvirus lepa2</t>
  </si>
  <si>
    <t>Gemycircularvirus lepam1</t>
  </si>
  <si>
    <t>Gemycircularvirus lepam2</t>
  </si>
  <si>
    <t>Gemycircularvirus lepam3</t>
  </si>
  <si>
    <t>Gemycircularvirus lynca1</t>
  </si>
  <si>
    <t>Gemycircularvirus lynca2</t>
  </si>
  <si>
    <t>Gemycircularvirus lynca3</t>
  </si>
  <si>
    <t>Gemycircularvirus lynca4</t>
  </si>
  <si>
    <t>Gemycircularvirus malas1</t>
  </si>
  <si>
    <t>Gemycircularvirus minio1</t>
  </si>
  <si>
    <t>Gemycircularvirus miniti1</t>
  </si>
  <si>
    <t>Gemycircularvirus miniti2</t>
  </si>
  <si>
    <t>Gemycircularvirus miniti3</t>
  </si>
  <si>
    <t>Gemycircularvirus miniti4</t>
  </si>
  <si>
    <t>Gemycircularvirus minti6</t>
  </si>
  <si>
    <t>Gemycircularvirus mocha1</t>
  </si>
  <si>
    <t>Gemycircularvirus monas1</t>
  </si>
  <si>
    <t>Gemycircularvirus mosqi1</t>
  </si>
  <si>
    <t>Gemycircularvirus mouti1</t>
  </si>
  <si>
    <t>Gemycircularvirus mouti2</t>
  </si>
  <si>
    <t>Gemycircularvirus mouti3</t>
  </si>
  <si>
    <t>Gemycircularvirus mouti4</t>
  </si>
  <si>
    <t>Gemycircularvirus mouti5</t>
  </si>
  <si>
    <t>Gemycircularvirus mouti6</t>
  </si>
  <si>
    <t>Gemycircularvirus mouti7</t>
  </si>
  <si>
    <t>Gemycircularvirus mouti8</t>
  </si>
  <si>
    <t>Gemycircularvirus mouti9</t>
  </si>
  <si>
    <t>Gemycircularvirus mouti10</t>
  </si>
  <si>
    <t>Gemycircularvirus mouti11</t>
  </si>
  <si>
    <t>Gemycircularvirus mouti12</t>
  </si>
  <si>
    <t>Gemycircularvirus odona1</t>
  </si>
  <si>
    <t>Gemycircularvirus odona2</t>
  </si>
  <si>
    <t>Gemycircularvirus oltre1</t>
  </si>
  <si>
    <t>Gemycircularvirus opunt1</t>
  </si>
  <si>
    <t>Gemycircularvirus oxcor1</t>
  </si>
  <si>
    <t>Gemycircularvirus pleca1</t>
  </si>
  <si>
    <t>Gemycircularvirus poass1</t>
  </si>
  <si>
    <t>Gemycircularvirus porci1</t>
  </si>
  <si>
    <t>Gemycircularvirus porci2</t>
  </si>
  <si>
    <t>Gemycircularvirus ptero1</t>
  </si>
  <si>
    <t>Gemycircularvirus ptero2</t>
  </si>
  <si>
    <t>Gemycircularvirus ptero3</t>
  </si>
  <si>
    <t>Gemycircularvirus ptero4</t>
  </si>
  <si>
    <t>Gemycircularvirus ptero5</t>
  </si>
  <si>
    <t>Gemycircularvirus ptero6</t>
  </si>
  <si>
    <t>Gemycircularvirus ptero7</t>
  </si>
  <si>
    <t>Gemycircularvirus ptero8</t>
  </si>
  <si>
    <t>Gemycircularvirus ptero9</t>
  </si>
  <si>
    <t>Gemycircularvirus ptero10</t>
  </si>
  <si>
    <t>Gemycircularvirus raski1</t>
  </si>
  <si>
    <t>Gemycircularvirus ratas1</t>
  </si>
  <si>
    <t>Gemycircularvirus rebac1</t>
  </si>
  <si>
    <t>Gemycircularvirus recro1</t>
  </si>
  <si>
    <t>Gemycircularvirus sarpe1</t>
  </si>
  <si>
    <t>Gemycircularvirus sclero1</t>
  </si>
  <si>
    <t>Gemycircularvirus sewopo1</t>
  </si>
  <si>
    <t>Gemycircularvirus sewopo2</t>
  </si>
  <si>
    <t>Gemycircularvirus sewopo3</t>
  </si>
  <si>
    <t>Gemycircularvirus sewopo4</t>
  </si>
  <si>
    <t>Gemycircularvirus sewopo5</t>
  </si>
  <si>
    <t>Gemycircularvirus sheas1</t>
  </si>
  <si>
    <t>Gemycircularvirus siedo1</t>
  </si>
  <si>
    <t>Gemycircularvirus solas1</t>
  </si>
  <si>
    <t>Gemycircularvirus soybe1</t>
  </si>
  <si>
    <t>Gemycircularvirus termi1</t>
  </si>
  <si>
    <t>Gemycircularvirus trilo1</t>
  </si>
  <si>
    <t>Gemycircularvirus turti1</t>
  </si>
  <si>
    <t>Gemycircularvirus willde1</t>
  </si>
  <si>
    <t>Gemyduguivirus arteca1</t>
  </si>
  <si>
    <t>Gemyduguivirus austo1</t>
  </si>
  <si>
    <t>Gemyduguivirus bemta1</t>
  </si>
  <si>
    <t>Gemyduguivirus draga1</t>
  </si>
  <si>
    <t>Gemyduguivirus hydro1</t>
  </si>
  <si>
    <t>Gemyduguivirus hydro2</t>
  </si>
  <si>
    <t>Gemyduguivirus hydro3</t>
  </si>
  <si>
    <t>Gemyduguivirus macra1</t>
  </si>
  <si>
    <t>Gemyduguivirus merre1</t>
  </si>
  <si>
    <t>Gemyduguivirus minti1</t>
  </si>
  <si>
    <t>Gemyduguivirus minti2</t>
  </si>
  <si>
    <t>Gemyduguivirus recro1</t>
  </si>
  <si>
    <t>Gemygorvirus cania1</t>
  </si>
  <si>
    <t>Gemygorvirus hydro1</t>
  </si>
  <si>
    <t>Gemygorvirus malas1</t>
  </si>
  <si>
    <t>Gemygorvirus opunt1</t>
  </si>
  <si>
    <t>Gemygorvirus poaspe1</t>
  </si>
  <si>
    <t>Gemygorvirus ptero1</t>
  </si>
  <si>
    <t>Gemygorvirus sewopo1</t>
  </si>
  <si>
    <t>Gemygorvirus stara1</t>
  </si>
  <si>
    <t>Gemykibivirus abati1</t>
  </si>
  <si>
    <t>Gemykibivirus abati2</t>
  </si>
  <si>
    <t>Gemykibivirus anima1</t>
  </si>
  <si>
    <t>Gemykibivirus badas1</t>
  </si>
  <si>
    <t>Gemykibivirus bemta1</t>
  </si>
  <si>
    <t>Gemykibivirus blabi1</t>
  </si>
  <si>
    <t>Gemykibivirus blaro1</t>
  </si>
  <si>
    <t>Gemykibivirus bovas1</t>
  </si>
  <si>
    <t>Gemykibivirus canfam1</t>
  </si>
  <si>
    <t>Gemykibivirus cowchi1</t>
  </si>
  <si>
    <t>Gemykibivirus cybusi1</t>
  </si>
  <si>
    <t>Gemykibivirus cynas1</t>
  </si>
  <si>
    <t>Gemykibivirus draga1</t>
  </si>
  <si>
    <t>Gemykibivirus echi1</t>
  </si>
  <si>
    <t>Gemykibivirus galga1</t>
  </si>
  <si>
    <t>Gemykibivirus galga2</t>
  </si>
  <si>
    <t>Gemykibivirus galga3</t>
  </si>
  <si>
    <t>Gemykibivirus giapa1</t>
  </si>
  <si>
    <t>Gemykibivirus hadtis1</t>
  </si>
  <si>
    <t>Gemykibivirus haeme1</t>
  </si>
  <si>
    <t>Gemykibivirus haeme2</t>
  </si>
  <si>
    <t>Gemykibivirus haeme3</t>
  </si>
  <si>
    <t>Gemykibivirus haeme4</t>
  </si>
  <si>
    <t>Gemykibivirus haeme5</t>
  </si>
  <si>
    <t>Gemykibivirus hipla1</t>
  </si>
  <si>
    <t>Gemykibivirus humas1</t>
  </si>
  <si>
    <t>Gemykibivirus humas2</t>
  </si>
  <si>
    <t>Gemykibivirus humas3</t>
  </si>
  <si>
    <t>Gemykibivirus humas4</t>
  </si>
  <si>
    <t>Gemykibivirus humas5</t>
  </si>
  <si>
    <t>Gemykibivirus hydro1</t>
  </si>
  <si>
    <t>Gemykibivirus hydro2</t>
  </si>
  <si>
    <t>Gemykibivirus hydro3</t>
  </si>
  <si>
    <t>Gemykibivirus minti1</t>
  </si>
  <si>
    <t>Gemykibivirus monas1</t>
  </si>
  <si>
    <t>Gemykibivirus mouti1</t>
  </si>
  <si>
    <t>Gemykibivirus mouti2</t>
  </si>
  <si>
    <t>Gemykibivirus pitis1</t>
  </si>
  <si>
    <t>Gemykibivirus pitis2</t>
  </si>
  <si>
    <t>Gemykibivirus planta1</t>
  </si>
  <si>
    <t>Gemykibivirus planta2</t>
  </si>
  <si>
    <t>Gemykibivirus ptero1</t>
  </si>
  <si>
    <t>Gemykibivirus raski1</t>
  </si>
  <si>
    <t>Gemykibivirus rhina1</t>
  </si>
  <si>
    <t>Gemykibivirus rhina2</t>
  </si>
  <si>
    <t>Gemykibivirus sewopo1</t>
  </si>
  <si>
    <t>Gemykibivirus sewopo2</t>
  </si>
  <si>
    <t>Gemykibivirus turti1</t>
  </si>
  <si>
    <t>Gemykibivirus waste1</t>
  </si>
  <si>
    <t>Gemykibivirus womot1</t>
  </si>
  <si>
    <t>Gemykolovirus abati1</t>
  </si>
  <si>
    <t>Gemykolovirus citas1</t>
  </si>
  <si>
    <t>Gemykolovirus derva1</t>
  </si>
  <si>
    <t>Gemykolovirus easlu1</t>
  </si>
  <si>
    <t>Gemykolovirus echia1</t>
  </si>
  <si>
    <t>Gemykolovirus gopha1</t>
  </si>
  <si>
    <t>Gemykolovirus gopha2</t>
  </si>
  <si>
    <t>Gemykolovirus hadtis1</t>
  </si>
  <si>
    <t>Gemykolovirus heris1</t>
  </si>
  <si>
    <t>Gemykolovirus lepam1</t>
  </si>
  <si>
    <t>Gemykolovirus poaspe1</t>
  </si>
  <si>
    <t>Gemykolovirus prupe1</t>
  </si>
  <si>
    <t>Gemykolovirus ptero1</t>
  </si>
  <si>
    <t>Gemykolovirus ptero2</t>
  </si>
  <si>
    <t>Gemykolovirus segpa1</t>
  </si>
  <si>
    <t>Gemykolovirus troti1</t>
  </si>
  <si>
    <t>Gemykrogvirus abati1</t>
  </si>
  <si>
    <t>Gemykrogvirus apime1</t>
  </si>
  <si>
    <t>Gemykrogvirus bovas1</t>
  </si>
  <si>
    <t>Gemykrogvirus carib1</t>
  </si>
  <si>
    <t>Gemykrogvirus galga1</t>
  </si>
  <si>
    <t>Gemykrogvirus galga2</t>
  </si>
  <si>
    <t>Gemykrogvirus galga3</t>
  </si>
  <si>
    <t>Gemykrogvirus galga4</t>
  </si>
  <si>
    <t>Gemykrogvirus galga5</t>
  </si>
  <si>
    <t>Gemykrogvirus giapa1</t>
  </si>
  <si>
    <t>Gemykrogvirus hadtis1</t>
  </si>
  <si>
    <t>Gemykrogvirus humas1</t>
  </si>
  <si>
    <t>Gemykrogvirus sewopo1</t>
  </si>
  <si>
    <t>Gemykroznavirus anima1</t>
  </si>
  <si>
    <t>Gemykroznavirus haeme1</t>
  </si>
  <si>
    <t>Gemykroznavirus hydro1</t>
  </si>
  <si>
    <t>Gemykroznavirus poaspe1</t>
  </si>
  <si>
    <t>Gemykroznavirus rabas1</t>
  </si>
  <si>
    <t>Gemykroznavirus solas1</t>
  </si>
  <si>
    <t>Gemykroznavirus zizan1</t>
  </si>
  <si>
    <t>Gemytondvirus ostri1</t>
  </si>
  <si>
    <t>Gemytripvirus</t>
  </si>
  <si>
    <t>Gemytripvirus fugra1</t>
  </si>
  <si>
    <t>Gemyvongvirus humas1</t>
  </si>
  <si>
    <t>Gemyvongvirus minit1</t>
  </si>
  <si>
    <t>Gemyvongvirus minit2</t>
  </si>
  <si>
    <t>Rubivirus rubellae</t>
  </si>
  <si>
    <t>Rubivirus ruteetense</t>
  </si>
  <si>
    <t>Rubivirus strelense</t>
  </si>
  <si>
    <t>Yam asymptomatic virus 1</t>
  </si>
  <si>
    <t>Carrot closterorivus 1</t>
  </si>
  <si>
    <t>Malus domestica virus A</t>
  </si>
  <si>
    <t>Caaingua virus</t>
  </si>
  <si>
    <t>Acarallexivirus</t>
  </si>
  <si>
    <t>Senna severe yellow mosaic virus</t>
  </si>
  <si>
    <t>Citrus yellow mottle-associated virus</t>
  </si>
  <si>
    <t>Ambrosia asymptomatic virus 1</t>
  </si>
  <si>
    <t>Babaco mosaic virus</t>
  </si>
  <si>
    <t>Cassava Colombian symptomless virus</t>
  </si>
  <si>
    <t>Cnidium virus X</t>
  </si>
  <si>
    <t>Euonymus yellow mottle associated virus</t>
  </si>
  <si>
    <t>Euonymus yellow vein virus</t>
  </si>
  <si>
    <t>Senna mosaic virus</t>
  </si>
  <si>
    <t>Turtle grass virus X</t>
  </si>
  <si>
    <t>Leviviricetes</t>
  </si>
  <si>
    <t>Norzivirales</t>
  </si>
  <si>
    <t>Atkinsviridae</t>
  </si>
  <si>
    <t>Andhevirus</t>
  </si>
  <si>
    <t>Andhevirus chorohabitans</t>
  </si>
  <si>
    <t>Apihcavirus</t>
  </si>
  <si>
    <t>Apihcavirus arvenecus</t>
  </si>
  <si>
    <t>Apihcavirus borborovicinum</t>
  </si>
  <si>
    <t>Arihsbuvirus</t>
  </si>
  <si>
    <t>Arihsbuvirus caenadaptatum</t>
  </si>
  <si>
    <t>Bahdevuvirus</t>
  </si>
  <si>
    <t>Bahdevuvirus caenivivens</t>
  </si>
  <si>
    <t>Bahdevuvirus limadaptatum</t>
  </si>
  <si>
    <t>Bilifuvirus</t>
  </si>
  <si>
    <t>Bilifuvirus defluviicola</t>
  </si>
  <si>
    <t>Blinduvirus</t>
  </si>
  <si>
    <t>Blinduvirus asiadaptatum</t>
  </si>
  <si>
    <t>Blinduvirus terrihabitans</t>
  </si>
  <si>
    <t>Cahtebovirus</t>
  </si>
  <si>
    <t>Cahtebovirus humivicinum</t>
  </si>
  <si>
    <t>Chinihovirus</t>
  </si>
  <si>
    <t>Chinihovirus lutihabitans</t>
  </si>
  <si>
    <t>Chounavirus</t>
  </si>
  <si>
    <t>Chounavirus chorenecus</t>
  </si>
  <si>
    <t>Cihsnivirus</t>
  </si>
  <si>
    <t>Cihsnivirus pelenecus</t>
  </si>
  <si>
    <t>Diydovirus</t>
  </si>
  <si>
    <t>Diydovirus borborovicinum</t>
  </si>
  <si>
    <t>Dugnivirus</t>
  </si>
  <si>
    <t>Dugnivirus chthonadaptatum</t>
  </si>
  <si>
    <t>Dugnivirus solivicinum</t>
  </si>
  <si>
    <t>Dugnivirus solivivens</t>
  </si>
  <si>
    <t>Firunevirus</t>
  </si>
  <si>
    <t>Firunevirus limicola</t>
  </si>
  <si>
    <t>Gohshovirus</t>
  </si>
  <si>
    <t>Gohshovirus asiadaptatum</t>
  </si>
  <si>
    <t>Hehspivirus</t>
  </si>
  <si>
    <t>Hehspivirus edaphadaptatum</t>
  </si>
  <si>
    <t>Helacdivirus</t>
  </si>
  <si>
    <t>Helacdivirus borborovicinum</t>
  </si>
  <si>
    <t>Hirvovirus</t>
  </si>
  <si>
    <t>Hirvovirus caenivicinum</t>
  </si>
  <si>
    <t>Huhmpluvirus</t>
  </si>
  <si>
    <t>Huhmpluvirus limenecus</t>
  </si>
  <si>
    <t>Huleruivirus</t>
  </si>
  <si>
    <t>Huleruivirus geocola</t>
  </si>
  <si>
    <t>Hysdruvirus</t>
  </si>
  <si>
    <t>Hysdruvirus geovivens</t>
  </si>
  <si>
    <t>Hysdruvirus telluradaptatum</t>
  </si>
  <si>
    <t>Hysdruvirus tellurenecus</t>
  </si>
  <si>
    <t>Hysdruvirus telluricola</t>
  </si>
  <si>
    <t>Hysdruvirus tellurihabitans</t>
  </si>
  <si>
    <t>Hysdruvirus tellurivicinum</t>
  </si>
  <si>
    <t>Ichonovirus</t>
  </si>
  <si>
    <t>Ichonovirus limivicinum</t>
  </si>
  <si>
    <t>Ipivevirus</t>
  </si>
  <si>
    <t>Ipivevirus pelenecus</t>
  </si>
  <si>
    <t>Isoihlovirus</t>
  </si>
  <si>
    <t>Isoihlovirus terrihabitans</t>
  </si>
  <si>
    <t>Kempsvovirus</t>
  </si>
  <si>
    <t>Kempsvovirus caenivivens</t>
  </si>
  <si>
    <t>Kihrivirus</t>
  </si>
  <si>
    <t>Kihrivirus limicola</t>
  </si>
  <si>
    <t>Kimihcavirus</t>
  </si>
  <si>
    <t>Kimihcavirus limivivens</t>
  </si>
  <si>
    <t>Kudohovirus</t>
  </si>
  <si>
    <t>Kudohovirus pelocola</t>
  </si>
  <si>
    <t>Kuhfotivirus</t>
  </si>
  <si>
    <t>Kuhfotivirus pelohabitans</t>
  </si>
  <si>
    <t>Lahcomavirus</t>
  </si>
  <si>
    <t>Lahcomavirus asienecus</t>
  </si>
  <si>
    <t>Lehptevirus</t>
  </si>
  <si>
    <t>Lehptevirus asiohabitans</t>
  </si>
  <si>
    <t>Lehptevirus asiovicinum</t>
  </si>
  <si>
    <t>Lehptevirus asiovivens</t>
  </si>
  <si>
    <t>Lehptevirus borboradaptatum</t>
  </si>
  <si>
    <t>Lehptevirus chorohabitans</t>
  </si>
  <si>
    <t>Lobdovirus</t>
  </si>
  <si>
    <t>Lobdovirus arvadaptatum</t>
  </si>
  <si>
    <t>Lobdovirus arvenecus</t>
  </si>
  <si>
    <t>Lobdovirus arvicola</t>
  </si>
  <si>
    <t>Lobdovirus chorovicinum</t>
  </si>
  <si>
    <t>Lobdovirus chorovivens</t>
  </si>
  <si>
    <t>Madisduvirus</t>
  </si>
  <si>
    <t>Madisduvirus caenivivens</t>
  </si>
  <si>
    <t>Mitdiwavirus</t>
  </si>
  <si>
    <t>Mitdiwavirus asiocola</t>
  </si>
  <si>
    <t>Moloevirus</t>
  </si>
  <si>
    <t>Moloevirus chthonenecus</t>
  </si>
  <si>
    <t>Monekavirus</t>
  </si>
  <si>
    <t>Monekavirus asiovivens</t>
  </si>
  <si>
    <t>Nehujevirus</t>
  </si>
  <si>
    <t>Nehujevirus caenicola</t>
  </si>
  <si>
    <t>Neratovirus</t>
  </si>
  <si>
    <t>Neratovirus caenihabitans</t>
  </si>
  <si>
    <t>Niginuvirus</t>
  </si>
  <si>
    <t>Niginuvirus limadaptatum</t>
  </si>
  <si>
    <t>Pagohnivirus</t>
  </si>
  <si>
    <t>Pagohnivirus humenecus</t>
  </si>
  <si>
    <t>Pihngevirus</t>
  </si>
  <si>
    <t>Pihngevirus agrivivens</t>
  </si>
  <si>
    <t>Pihngevirus choradaptatum</t>
  </si>
  <si>
    <t>Pihngevirus chorocola</t>
  </si>
  <si>
    <t>Pohlydovirus</t>
  </si>
  <si>
    <t>Pohlydovirus arvivicinum</t>
  </si>
  <si>
    <t>Pohlydovirus arvivivens</t>
  </si>
  <si>
    <t>Psoetuvirus</t>
  </si>
  <si>
    <t>Psoetuvirus pedenecus</t>
  </si>
  <si>
    <t>Qeihnovirus</t>
  </si>
  <si>
    <t>Qeihnovirus defluviicola</t>
  </si>
  <si>
    <t>Qeihnovirus luticola</t>
  </si>
  <si>
    <t>Qeihnovirus lutihabitans</t>
  </si>
  <si>
    <t>Qeihnovirus lutivicinum</t>
  </si>
  <si>
    <t>Qeihnovirus lutivivens</t>
  </si>
  <si>
    <t>Qeihnovirus peladaptatum</t>
  </si>
  <si>
    <t>Rainacovirus</t>
  </si>
  <si>
    <t>Rainacovirus pelenecus</t>
  </si>
  <si>
    <t>Rainacovirus pelocola</t>
  </si>
  <si>
    <t>Rainacovirus pelohabitans</t>
  </si>
  <si>
    <t>Rainacovirus pelovicinum</t>
  </si>
  <si>
    <t>Rainacovirus tellurivicinum</t>
  </si>
  <si>
    <t>Rainacovirus tellurivivens</t>
  </si>
  <si>
    <t>Rainacovirus terradaptatum</t>
  </si>
  <si>
    <t>Rainacovirus terricola</t>
  </si>
  <si>
    <t>Scloravirus</t>
  </si>
  <si>
    <t>Scloravirus humicola</t>
  </si>
  <si>
    <t>Sdonativirus</t>
  </si>
  <si>
    <t>Sdonativirus humihabitans</t>
  </si>
  <si>
    <t>Sdribtuvirus</t>
  </si>
  <si>
    <t>Sdribtuvirus humivicinum</t>
  </si>
  <si>
    <t>Shopitevirus</t>
  </si>
  <si>
    <t>Shopitevirus limenecus</t>
  </si>
  <si>
    <t>Stupavirus</t>
  </si>
  <si>
    <t>Stupavirus arvadaptatum</t>
  </si>
  <si>
    <t>Stupavirus chorovivens</t>
  </si>
  <si>
    <t>Tsecebavirus</t>
  </si>
  <si>
    <t>Tsecebavirus borborovicinum</t>
  </si>
  <si>
    <t>Wahbolevirus</t>
  </si>
  <si>
    <t>Wahbolevirus lutadaptatum</t>
  </si>
  <si>
    <t>Wecineivirus</t>
  </si>
  <si>
    <t>Wecineivirus lutihabitans</t>
  </si>
  <si>
    <t>Whodehavirus</t>
  </si>
  <si>
    <t>Whodehavirus pelovicinum</t>
  </si>
  <si>
    <t>Wulosvivirus</t>
  </si>
  <si>
    <t>Wulosvivirus asiocola</t>
  </si>
  <si>
    <t>Yekorevirus</t>
  </si>
  <si>
    <t>Yekorevirus terrivivens</t>
  </si>
  <si>
    <t>Yeshinuvirus</t>
  </si>
  <si>
    <t>Yeshinuvirus humadaptatum</t>
  </si>
  <si>
    <t>Yeshinuvirus humicola</t>
  </si>
  <si>
    <t>Duinviridae</t>
  </si>
  <si>
    <t>Apeevirus</t>
  </si>
  <si>
    <t>Apeevirus quebecense</t>
  </si>
  <si>
    <t>Beshanovirus</t>
  </si>
  <si>
    <t>Beshanovirus aquicola</t>
  </si>
  <si>
    <t>Kahshuvirus</t>
  </si>
  <si>
    <t>Kahshuvirus borborenecus</t>
  </si>
  <si>
    <t>Kohmavirus</t>
  </si>
  <si>
    <t>Kohmavirus luticola</t>
  </si>
  <si>
    <t>Samuneavirus</t>
  </si>
  <si>
    <t>Samuneavirus asiocola</t>
  </si>
  <si>
    <t>Tehuhdavirus</t>
  </si>
  <si>
    <t>Tehuhdavirus pelovivens</t>
  </si>
  <si>
    <t>Fiersviridae</t>
  </si>
  <si>
    <t>Adahivirus</t>
  </si>
  <si>
    <t>Adahivirus asienecus</t>
  </si>
  <si>
    <t>Aldhiuvirus</t>
  </si>
  <si>
    <t>Aldhiuvirus defluviicola</t>
  </si>
  <si>
    <t>Amubhivirus</t>
  </si>
  <si>
    <t>Amubhivirus agrivicinum</t>
  </si>
  <si>
    <t>Andhasavirus</t>
  </si>
  <si>
    <t>Andhasavirus agrivivens</t>
  </si>
  <si>
    <t>Andhasavirus borborocola</t>
  </si>
  <si>
    <t>Andhaxevirus</t>
  </si>
  <si>
    <t>Andhaxevirus choradaptatum</t>
  </si>
  <si>
    <t>Andhaxevirus chorenecus</t>
  </si>
  <si>
    <t>Andhaxevirus chorocola</t>
  </si>
  <si>
    <t>Anedhivirus</t>
  </si>
  <si>
    <t>Anedhivirus chorovicinum</t>
  </si>
  <si>
    <t>Apukhovirus</t>
  </si>
  <si>
    <t>Apukhovirus arvihabitans</t>
  </si>
  <si>
    <t>Ashucavirus</t>
  </si>
  <si>
    <t>Ashucavirus caenicola</t>
  </si>
  <si>
    <t>Ashucavirus caenihabitans</t>
  </si>
  <si>
    <t>Ashucavirus caenivicinum</t>
  </si>
  <si>
    <t>Bahscuvirus</t>
  </si>
  <si>
    <t>Bahscuvirus limivicinum</t>
  </si>
  <si>
    <t>Bathrivirus</t>
  </si>
  <si>
    <t>Bathrivirus terrenecus</t>
  </si>
  <si>
    <t>Behevivirus</t>
  </si>
  <si>
    <t>Behevivirus limivivens</t>
  </si>
  <si>
    <t>Behlfluvirus</t>
  </si>
  <si>
    <t>Behlfluvirus lutadaptatum</t>
  </si>
  <si>
    <t>Bertavirus</t>
  </si>
  <si>
    <t>Bertavirus lutihabitans</t>
  </si>
  <si>
    <t>Bihdovirus</t>
  </si>
  <si>
    <t>Bihdovirus pelohabitans</t>
  </si>
  <si>
    <t>Bisdanovirus</t>
  </si>
  <si>
    <t>Bisdanovirus hydrocola</t>
  </si>
  <si>
    <t>Blafavirus</t>
  </si>
  <si>
    <t>Blafavirus pelovivens</t>
  </si>
  <si>
    <t>Bohnovirus</t>
  </si>
  <si>
    <t>Bohnovirus asienecus</t>
  </si>
  <si>
    <t>Bohwovirus</t>
  </si>
  <si>
    <t>Bohwovirus asiocola</t>
  </si>
  <si>
    <t>Boloprevirus</t>
  </si>
  <si>
    <t>Boloprevirus asiohabitans</t>
  </si>
  <si>
    <t>Boloprevirus asiovicinum</t>
  </si>
  <si>
    <t>Boloprevirus asiovivens</t>
  </si>
  <si>
    <t>Boloprevirus borboradaptatum</t>
  </si>
  <si>
    <t>Boschuvirus</t>
  </si>
  <si>
    <t>Boschuvirus borborocola</t>
  </si>
  <si>
    <t>Breudwovirus</t>
  </si>
  <si>
    <t>Breudwovirus borborohabitans</t>
  </si>
  <si>
    <t>Brudgevirus</t>
  </si>
  <si>
    <t>Brudgevirus borborovicinum</t>
  </si>
  <si>
    <t>Brudgevirus borborovivens</t>
  </si>
  <si>
    <t>Brudgevirus caenadaptatum</t>
  </si>
  <si>
    <t>Brudgevirus caenenecus</t>
  </si>
  <si>
    <t>Brudgevirus caenicola</t>
  </si>
  <si>
    <t>Brudgevirus defluviicola</t>
  </si>
  <si>
    <t>Brudgevirus humadaptatum</t>
  </si>
  <si>
    <t>Brudgevirus terrivivens</t>
  </si>
  <si>
    <t>Buhdavirus</t>
  </si>
  <si>
    <t>Buhdavirus caenihabitans</t>
  </si>
  <si>
    <t>Cahdavirus</t>
  </si>
  <si>
    <t>Cahdavirus humicola</t>
  </si>
  <si>
    <t>Cahrpivirus</t>
  </si>
  <si>
    <t>Cahrpivirus caenivivens</t>
  </si>
  <si>
    <t>Cahrpivirus humenecus</t>
  </si>
  <si>
    <t>Caloevirus</t>
  </si>
  <si>
    <t>Caloevirus agradaptatum</t>
  </si>
  <si>
    <t>Caloevirus humivivens</t>
  </si>
  <si>
    <t>Cauhldivirus</t>
  </si>
  <si>
    <t>Cauhldivirus limadaptatum</t>
  </si>
  <si>
    <t>Cauhldivirus limenecus</t>
  </si>
  <si>
    <t>Cauhldivirus limicola</t>
  </si>
  <si>
    <t>Cehakivirus</t>
  </si>
  <si>
    <t>Cehakivirus limihabitans</t>
  </si>
  <si>
    <t>Chaedoavirus</t>
  </si>
  <si>
    <t>Chaedoavirus insecticola</t>
  </si>
  <si>
    <t>Chahsmivirus</t>
  </si>
  <si>
    <t>Chahsmivirus agrivicinum</t>
  </si>
  <si>
    <t>Chahsmivirus agrivivens</t>
  </si>
  <si>
    <t>Chahsmivirus choradaptatum</t>
  </si>
  <si>
    <t>Chahsmivirus limivicinum</t>
  </si>
  <si>
    <t>Chahsmivirus limivivens</t>
  </si>
  <si>
    <t>Chahsmivirus lutadaptatum</t>
  </si>
  <si>
    <t>Chihyovirus</t>
  </si>
  <si>
    <t>Chihyovirus lutenecus</t>
  </si>
  <si>
    <t>Chobevirus</t>
  </si>
  <si>
    <t>Chobevirus lutivicinum</t>
  </si>
  <si>
    <t>Choctavirus</t>
  </si>
  <si>
    <t>Choctavirus fulminicola</t>
  </si>
  <si>
    <t>Cintrevirus</t>
  </si>
  <si>
    <t>Cintrevirus pelocola</t>
  </si>
  <si>
    <t>Condavirus</t>
  </si>
  <si>
    <t>Condavirus arvenecus</t>
  </si>
  <si>
    <t>Condavirus arvicola</t>
  </si>
  <si>
    <t>Condavirus arvihabitans</t>
  </si>
  <si>
    <t>Condavirus arvivicinum</t>
  </si>
  <si>
    <t>Condavirus arvivivens</t>
  </si>
  <si>
    <t>Condavirus edaphadaptatum</t>
  </si>
  <si>
    <t>Condavirus edaphenecus</t>
  </si>
  <si>
    <t>Condavirus edaphocola</t>
  </si>
  <si>
    <t>Condavirus edaphohabitans</t>
  </si>
  <si>
    <t>Condavirus edaphovicinum</t>
  </si>
  <si>
    <t>Creshivirus</t>
  </si>
  <si>
    <t>Creshivirus fonticola</t>
  </si>
  <si>
    <t>Creshivirus pelohabitans</t>
  </si>
  <si>
    <t>Cunavirus</t>
  </si>
  <si>
    <t>Cunavirus pretoriense</t>
  </si>
  <si>
    <t>Dahmuvirus</t>
  </si>
  <si>
    <t>Dahmuvirus insecticola</t>
  </si>
  <si>
    <t>Darnbovirus</t>
  </si>
  <si>
    <t>Darnbovirus asiadaptatum</t>
  </si>
  <si>
    <t>Decadevirus</t>
  </si>
  <si>
    <t>Decadevirus asienecus</t>
  </si>
  <si>
    <t>Decadevirus asiocola</t>
  </si>
  <si>
    <t>Dehcevirus</t>
  </si>
  <si>
    <t>Dehcevirus asiohabitans</t>
  </si>
  <si>
    <t>Dehcevirus asiovicinum</t>
  </si>
  <si>
    <t>Dehcevirus soladaptatum</t>
  </si>
  <si>
    <t>Denfovirus</t>
  </si>
  <si>
    <t>Denfovirus borborenecus</t>
  </si>
  <si>
    <t>Depandovirus</t>
  </si>
  <si>
    <t>Depandovirus solicola</t>
  </si>
  <si>
    <t>Dihsdivirus</t>
  </si>
  <si>
    <t>Dihsdivirus solenecus</t>
  </si>
  <si>
    <t>Dohlivirus</t>
  </si>
  <si>
    <t>Dohlivirus borborovivens</t>
  </si>
  <si>
    <t>Dosmizivirus</t>
  </si>
  <si>
    <t>Dosmizivirus solihabitans</t>
  </si>
  <si>
    <t>Duhcivirus</t>
  </si>
  <si>
    <t>Duhcivirus defluviicola</t>
  </si>
  <si>
    <t>Emesvirus</t>
  </si>
  <si>
    <t>Emesvirus japonicum</t>
  </si>
  <si>
    <t>Emesvirus piscicola</t>
  </si>
  <si>
    <t>Emesvirus zinderi</t>
  </si>
  <si>
    <t>Empivirus</t>
  </si>
  <si>
    <t>Empivirus allolyticum</t>
  </si>
  <si>
    <t>Fagihyuvirus</t>
  </si>
  <si>
    <t>Fagihyuvirus caenivicinum</t>
  </si>
  <si>
    <t>Febihevirus</t>
  </si>
  <si>
    <t>Febihevirus ruminicola</t>
  </si>
  <si>
    <t>Fiyodovirus</t>
  </si>
  <si>
    <t>Fiyodovirus limihabitans</t>
  </si>
  <si>
    <t>Gahlinevirus</t>
  </si>
  <si>
    <t>Gahlinevirus luticola</t>
  </si>
  <si>
    <t>Gahlovirus</t>
  </si>
  <si>
    <t>Gahlovirus lutihabitans</t>
  </si>
  <si>
    <t>Garovuvirus</t>
  </si>
  <si>
    <t>Garovuvirus peladaptatum</t>
  </si>
  <si>
    <t>Gehnevirus</t>
  </si>
  <si>
    <t>Gehnevirus pelenecus</t>
  </si>
  <si>
    <t>Glincaevirus</t>
  </si>
  <si>
    <t>Glincaevirus pelovicinum</t>
  </si>
  <si>
    <t>Glyciruvirus</t>
  </si>
  <si>
    <t>Glyciruvirus geovicinum</t>
  </si>
  <si>
    <t>Glyciruvirus geovivens</t>
  </si>
  <si>
    <t>Gmuhndevirus</t>
  </si>
  <si>
    <t>Gmuhndevirus pelovivens</t>
  </si>
  <si>
    <t>Gorodievirus</t>
  </si>
  <si>
    <t>Gorodievirus telluradaptatum</t>
  </si>
  <si>
    <t>Grendvuvirus</t>
  </si>
  <si>
    <t>Grendvuvirus asiocola</t>
  </si>
  <si>
    <t>Gunawavirus</t>
  </si>
  <si>
    <t>Gunawavirus borboradaptatum</t>
  </si>
  <si>
    <t>Hagavirus</t>
  </si>
  <si>
    <t>Hagavirus psychrophilum</t>
  </si>
  <si>
    <t>Hahdsevirus</t>
  </si>
  <si>
    <t>Hahdsevirus borborenecus</t>
  </si>
  <si>
    <t>Halcalevirus</t>
  </si>
  <si>
    <t>Halcalevirus arvivivens</t>
  </si>
  <si>
    <t>Hihdivirus</t>
  </si>
  <si>
    <t>Hihdivirus caenenecus</t>
  </si>
  <si>
    <t>Hihdivirus caenicola</t>
  </si>
  <si>
    <t>Hukohnovirus</t>
  </si>
  <si>
    <t>Hukohnovirus limicola</t>
  </si>
  <si>
    <t>Icumivirus</t>
  </si>
  <si>
    <t>Icumivirus limivivens</t>
  </si>
  <si>
    <t>Ideskevirus</t>
  </si>
  <si>
    <t>Ideskevirus lutadaptatum</t>
  </si>
  <si>
    <t>Imeberivirus</t>
  </si>
  <si>
    <t>Imeberivirus lutenecus</t>
  </si>
  <si>
    <t>Imeberivirus luticola</t>
  </si>
  <si>
    <t>Ineyimevirus</t>
  </si>
  <si>
    <t>Ineyimevirus lutihabitans</t>
  </si>
  <si>
    <t>Ineyimevirus lutivicinum</t>
  </si>
  <si>
    <t>Iruqauvirus</t>
  </si>
  <si>
    <t>Iruqauvirus pelocola</t>
  </si>
  <si>
    <t>Ishugivirus</t>
  </si>
  <si>
    <t>Ishugivirus pelohabitans</t>
  </si>
  <si>
    <t>Jiesduavirus</t>
  </si>
  <si>
    <t>Jiesduavirus defluviicola</t>
  </si>
  <si>
    <t>Johnovirus</t>
  </si>
  <si>
    <t>Johnovirus asienecus</t>
  </si>
  <si>
    <t>Jupbevirus</t>
  </si>
  <si>
    <t>Jupbevirus asiocola</t>
  </si>
  <si>
    <t>Jupbevirus asiohabitans</t>
  </si>
  <si>
    <t>Kahfsdivirus</t>
  </si>
  <si>
    <t>Kahfsdivirus asiovicinum</t>
  </si>
  <si>
    <t>Keghovirus</t>
  </si>
  <si>
    <t>Keghovirus borborovivens</t>
  </si>
  <si>
    <t>Keghovirus caenadaptatum</t>
  </si>
  <si>
    <t>Kehmevirus</t>
  </si>
  <si>
    <t>Kehmevirus caenenecus</t>
  </si>
  <si>
    <t>Kemicevirus</t>
  </si>
  <si>
    <t>Kemicevirus caenicola</t>
  </si>
  <si>
    <t>Kemicevirus caenihabitans</t>
  </si>
  <si>
    <t>Kenamavirus</t>
  </si>
  <si>
    <t>Kenamavirus limadaptatum</t>
  </si>
  <si>
    <t>Kihryuvirus</t>
  </si>
  <si>
    <t>Kihryuvirus limihabitans</t>
  </si>
  <si>
    <t>Kirnavirus</t>
  </si>
  <si>
    <t>Kirnavirus lutenecus</t>
  </si>
  <si>
    <t>Kiwsmaevirus</t>
  </si>
  <si>
    <t>Kiwsmaevirus defluviicola</t>
  </si>
  <si>
    <t>Konkivirus</t>
  </si>
  <si>
    <t>Konkivirus lutihabitans</t>
  </si>
  <si>
    <t>Kowinovirus</t>
  </si>
  <si>
    <t>Kowinovirus pelenecus</t>
  </si>
  <si>
    <t>Kuhshuvirus</t>
  </si>
  <si>
    <t>Kuhshuvirus pelovicinum</t>
  </si>
  <si>
    <t>Lohmavirus</t>
  </si>
  <si>
    <t>Lohmavirus borborovivens</t>
  </si>
  <si>
    <t>Loslovirus</t>
  </si>
  <si>
    <t>Loslovirus caenicola</t>
  </si>
  <si>
    <t>Lulohlevirus</t>
  </si>
  <si>
    <t>Lulohlevirus edaphohabitans</t>
  </si>
  <si>
    <t>Luthavirus</t>
  </si>
  <si>
    <t>Luthavirus edaphovicinum</t>
  </si>
  <si>
    <t>Luthavirus edaphovivens</t>
  </si>
  <si>
    <t>Luthavirus pedadaptatum</t>
  </si>
  <si>
    <t>Mahqeavirus</t>
  </si>
  <si>
    <t>Mahqeavirus limicola</t>
  </si>
  <si>
    <t>Mahqeavirus limihabitans</t>
  </si>
  <si>
    <t>Mahraivirus</t>
  </si>
  <si>
    <t>Mahraivirus limivicinum</t>
  </si>
  <si>
    <t>Manohtivirus</t>
  </si>
  <si>
    <t>Manohtivirus pedenecus</t>
  </si>
  <si>
    <t>Manrohovirus</t>
  </si>
  <si>
    <t>Manrohovirus lutadaptatum</t>
  </si>
  <si>
    <t>Martavirus</t>
  </si>
  <si>
    <t>Martavirus lutenecus</t>
  </si>
  <si>
    <t>Meblowovirus</t>
  </si>
  <si>
    <t>Meblowovirus defluviicola</t>
  </si>
  <si>
    <t>Mehraxmevirus</t>
  </si>
  <si>
    <t>Mehraxmevirus pedohabitans</t>
  </si>
  <si>
    <t>Mekintivirus</t>
  </si>
  <si>
    <t>Mekintivirus lutihabitans</t>
  </si>
  <si>
    <t>Methovirus</t>
  </si>
  <si>
    <t>Methovirus lutivicinum</t>
  </si>
  <si>
    <t>Mihkrovirus</t>
  </si>
  <si>
    <t>Mihkrovirus pedovicinum</t>
  </si>
  <si>
    <t>Mihkrovirus pedovivens</t>
  </si>
  <si>
    <t>Mihkrovirus peladaptatum</t>
  </si>
  <si>
    <t>Mihkrovirus pelenecus</t>
  </si>
  <si>
    <t>Mihkrovirus pelocola</t>
  </si>
  <si>
    <t>Mihkrovirus soladaptatum</t>
  </si>
  <si>
    <t>Mihkrovirus solenecus</t>
  </si>
  <si>
    <t>Mihkrovirus solicola</t>
  </si>
  <si>
    <t>Mintuvirus</t>
  </si>
  <si>
    <t>Mintuvirus asiadaptatum</t>
  </si>
  <si>
    <t>Mintuvirus asienecus</t>
  </si>
  <si>
    <t>Mintuvirus pelovivens</t>
  </si>
  <si>
    <t>Monamovirus</t>
  </si>
  <si>
    <t>Monamovirus asiohabitans</t>
  </si>
  <si>
    <t>Monamovirus asiovicinum</t>
  </si>
  <si>
    <t>Mucrahivirus</t>
  </si>
  <si>
    <t>Mucrahivirus borboradaptatum</t>
  </si>
  <si>
    <t>Mucrahivirus geocola</t>
  </si>
  <si>
    <t>Mucrahivirus geoenecus</t>
  </si>
  <si>
    <t>Mucrahivirus geohabitans</t>
  </si>
  <si>
    <t>Mucrahivirus geovicinum</t>
  </si>
  <si>
    <t>Mucrahivirus geovivens</t>
  </si>
  <si>
    <t>Muyegivirus</t>
  </si>
  <si>
    <t>Muyegivirus borborenecus</t>
  </si>
  <si>
    <t>Nadsecevirus</t>
  </si>
  <si>
    <t>Nadsecevirus borborocola</t>
  </si>
  <si>
    <t>Nahjiuvirus</t>
  </si>
  <si>
    <t>Nahjiuvirus borborohabitans</t>
  </si>
  <si>
    <t>Nahjiuvirus borborovicinum</t>
  </si>
  <si>
    <t>Nahrudavirus</t>
  </si>
  <si>
    <t>Nahrudavirus borborovivens</t>
  </si>
  <si>
    <t>Nahsuvirus</t>
  </si>
  <si>
    <t>Nahsuvirus caenadaptatum</t>
  </si>
  <si>
    <t>Nahsuvirus telluradaptatum</t>
  </si>
  <si>
    <t>Nahsuvirus telluricola</t>
  </si>
  <si>
    <t>Niankuvirus</t>
  </si>
  <si>
    <t>Niankuvirus caenivicinum</t>
  </si>
  <si>
    <t>Nihucivirus</t>
  </si>
  <si>
    <t>Nihucivirus limihabitans</t>
  </si>
  <si>
    <t>Niuhvovirus</t>
  </si>
  <si>
    <t>Niuhvovirus limivicinum</t>
  </si>
  <si>
    <t>Niuhvovirus limivivens</t>
  </si>
  <si>
    <t>Noehsivirus</t>
  </si>
  <si>
    <t>Noehsivirus tellurivicinum</t>
  </si>
  <si>
    <t>Noehsivirus tellurivivens</t>
  </si>
  <si>
    <t>Nuihimevirus</t>
  </si>
  <si>
    <t>Nuihimevirus lutadaptatum</t>
  </si>
  <si>
    <t>Oceshuvirus</t>
  </si>
  <si>
    <t>Oceshuvirus lutenecus</t>
  </si>
  <si>
    <t>Olmsdivirus</t>
  </si>
  <si>
    <t>Olmsdivirus lutivivens</t>
  </si>
  <si>
    <t>Omohevirus</t>
  </si>
  <si>
    <t>Omohevirus peladaptatum</t>
  </si>
  <si>
    <t>Onohmuvirus</t>
  </si>
  <si>
    <t>Onohmuvirus pelenecus</t>
  </si>
  <si>
    <t>Opdykovirus</t>
  </si>
  <si>
    <t>Opdykovirus pelocola</t>
  </si>
  <si>
    <t>Osigowavirus</t>
  </si>
  <si>
    <t>Osigowavirus insecticola</t>
  </si>
  <si>
    <t>Owenocuvirus</t>
  </si>
  <si>
    <t>Owenocuvirus pelohabitans</t>
  </si>
  <si>
    <t>Oxychlovirus</t>
  </si>
  <si>
    <t>Oxychlovirus humadaptatum</t>
  </si>
  <si>
    <t>Oxychlovirus terrenecus</t>
  </si>
  <si>
    <t>Oxychlovirus terricola</t>
  </si>
  <si>
    <t>Oxychlovirus terrihabitans</t>
  </si>
  <si>
    <t>Oxychlovirus terrivicinum</t>
  </si>
  <si>
    <t>Oxychlovirus terrivivens</t>
  </si>
  <si>
    <t>Palsdevirus</t>
  </si>
  <si>
    <t>Palsdevirus asienecus</t>
  </si>
  <si>
    <t>Paysduvirus</t>
  </si>
  <si>
    <t>Paysduvirus asiocola</t>
  </si>
  <si>
    <t>Pehohrivirus</t>
  </si>
  <si>
    <t>Pehohrivirus asiohabitans</t>
  </si>
  <si>
    <t>Pehohrivirus asiovicinum</t>
  </si>
  <si>
    <t>Pehsaduvirus</t>
  </si>
  <si>
    <t>Pehsaduvirus asiovivens</t>
  </si>
  <si>
    <t>Pepevirus</t>
  </si>
  <si>
    <t>Pepevirus rubrum</t>
  </si>
  <si>
    <t>Pepevirus spumicola</t>
  </si>
  <si>
    <t>Perrunavirus</t>
  </si>
  <si>
    <t>Perrunavirus olsenii</t>
  </si>
  <si>
    <t>Philtcovirus</t>
  </si>
  <si>
    <t>Philtcovirus borboradaptatum</t>
  </si>
  <si>
    <t>Phobpsivirus</t>
  </si>
  <si>
    <t>Phobpsivirus agradaptatum</t>
  </si>
  <si>
    <t>Phobpsivirus agricola</t>
  </si>
  <si>
    <t>Phulivirus</t>
  </si>
  <si>
    <t>Phulivirus agrihabitans</t>
  </si>
  <si>
    <t>Phulivirus agrivicinum</t>
  </si>
  <si>
    <t>Phulivirus tegeticola</t>
  </si>
  <si>
    <t>Piponevirus</t>
  </si>
  <si>
    <t>Piponevirus borborenecus</t>
  </si>
  <si>
    <t>Piponevirus borborocola</t>
  </si>
  <si>
    <t>Pipunevirus</t>
  </si>
  <si>
    <t>Pipunevirus borborohabitans</t>
  </si>
  <si>
    <t>Pipunevirus borborovicinum</t>
  </si>
  <si>
    <t>Pipunevirus borborovivens</t>
  </si>
  <si>
    <t>Pipunevirus caenadaptatum</t>
  </si>
  <si>
    <t>Pohlevirus</t>
  </si>
  <si>
    <t>Pohlevirus arvadaptatum</t>
  </si>
  <si>
    <t>Pohlevirus arvenecus</t>
  </si>
  <si>
    <t>Pohlevirus arvicola</t>
  </si>
  <si>
    <t>Pohlevirus caenicola</t>
  </si>
  <si>
    <t>Pohlevirus chorovivens</t>
  </si>
  <si>
    <t>Pohtamavirus</t>
  </si>
  <si>
    <t>Pohtamavirus caenihabitans</t>
  </si>
  <si>
    <t>Poncivirus</t>
  </si>
  <si>
    <t>Poncivirus insecticola</t>
  </si>
  <si>
    <t>Psehatovirus</t>
  </si>
  <si>
    <t>Psehatovirus edaphadaptatum</t>
  </si>
  <si>
    <t>Psehatovirus edaphenecus</t>
  </si>
  <si>
    <t>Psehatovirus edaphocola</t>
  </si>
  <si>
    <t>Psehatovirus edaphohabitans</t>
  </si>
  <si>
    <t>Psehatovirus edaphovicinum</t>
  </si>
  <si>
    <t>Psehatovirus edaphovivens</t>
  </si>
  <si>
    <t>Psimevirus</t>
  </si>
  <si>
    <t>Psimevirus caenivicinum</t>
  </si>
  <si>
    <t>Psimevirus pedocola</t>
  </si>
  <si>
    <t>Pudlivirus</t>
  </si>
  <si>
    <t>Pudlivirus limivicinum</t>
  </si>
  <si>
    <t>Qubevirus</t>
  </si>
  <si>
    <t>Qubevirus durum</t>
  </si>
  <si>
    <t>Qubevirus faecium</t>
  </si>
  <si>
    <t>Radbaivirus</t>
  </si>
  <si>
    <t>Radbaivirus tellurenecus</t>
  </si>
  <si>
    <t>Radbaivirus telluricola</t>
  </si>
  <si>
    <t>Radbaivirus tellurihabitans</t>
  </si>
  <si>
    <t>Rehihmevirus</t>
  </si>
  <si>
    <t>Rehihmevirus terrenecus</t>
  </si>
  <si>
    <t>Rehudzovirus</t>
  </si>
  <si>
    <t>Rehudzovirus terrihabitans</t>
  </si>
  <si>
    <t>Rusvolovirus</t>
  </si>
  <si>
    <t>Rusvolovirus asiadaptatum</t>
  </si>
  <si>
    <t>Rusvolovirus asienecus</t>
  </si>
  <si>
    <t>Scuadavirus</t>
  </si>
  <si>
    <t>Scuadavirus asiohabitans</t>
  </si>
  <si>
    <t>Sehcovirus</t>
  </si>
  <si>
    <t>Sehcovirus asiovivens</t>
  </si>
  <si>
    <t>Sehcovirus humivivens</t>
  </si>
  <si>
    <t>Sehpovirus</t>
  </si>
  <si>
    <t>Sehpovirus borboradaptatum</t>
  </si>
  <si>
    <t>Seybrovirus</t>
  </si>
  <si>
    <t>Seybrovirus borborohabitans</t>
  </si>
  <si>
    <t>Shebanavirus</t>
  </si>
  <si>
    <t>Shebanavirus borborovicinum</t>
  </si>
  <si>
    <t>Shihovirus</t>
  </si>
  <si>
    <t>Shihovirus caenadaptatum</t>
  </si>
  <si>
    <t>Sholavirus</t>
  </si>
  <si>
    <t>Sholavirus caenicola</t>
  </si>
  <si>
    <t>Sholavirus caenihabitans</t>
  </si>
  <si>
    <t>Sholavirus caenivicinum</t>
  </si>
  <si>
    <t>Sholavirus caenivivens</t>
  </si>
  <si>
    <t>Shomudavirus</t>
  </si>
  <si>
    <t>Shomudavirus limadaptatum</t>
  </si>
  <si>
    <t>Shuravirus</t>
  </si>
  <si>
    <t>Shuravirus limicola</t>
  </si>
  <si>
    <t>Shuravirus limihabitans</t>
  </si>
  <si>
    <t>Sincthavirus</t>
  </si>
  <si>
    <t>Sincthavirus limivicinum</t>
  </si>
  <si>
    <t>Skhembuvirus</t>
  </si>
  <si>
    <t>Skhembuvirus limivivens</t>
  </si>
  <si>
    <t>Smudhfivirus</t>
  </si>
  <si>
    <t>Smudhfivirus lutadaptatum</t>
  </si>
  <si>
    <t>Soetuvirus</t>
  </si>
  <si>
    <t>Soetuvirus lutenecus</t>
  </si>
  <si>
    <t>Sphonivirus</t>
  </si>
  <si>
    <t>Sphonivirus agrivivens</t>
  </si>
  <si>
    <t>Sphonivirus choradaptatum</t>
  </si>
  <si>
    <t>Sphonivirus chorocola</t>
  </si>
  <si>
    <t>Stehlmavirus</t>
  </si>
  <si>
    <t>Stehlmavirus lutihabitans</t>
  </si>
  <si>
    <t>Swihdzovirus</t>
  </si>
  <si>
    <t>Swihdzovirus paludicola</t>
  </si>
  <si>
    <t>Tahluvirus</t>
  </si>
  <si>
    <t>Tahluvirus peladaptatum</t>
  </si>
  <si>
    <t>Tapikevirus</t>
  </si>
  <si>
    <t>Tapikevirus pelocola</t>
  </si>
  <si>
    <t>Teciucevirus</t>
  </si>
  <si>
    <t>Teciucevirus pelohabitans</t>
  </si>
  <si>
    <t>Tehdravirus</t>
  </si>
  <si>
    <t>Tehdravirus arvivicinum</t>
  </si>
  <si>
    <t>Tehnexuvirus</t>
  </si>
  <si>
    <t>Tehnexuvirus edaphadaptatum</t>
  </si>
  <si>
    <t>Thidevirus</t>
  </si>
  <si>
    <t>Thidevirus edaphovivens</t>
  </si>
  <si>
    <t>Thiwvovirus</t>
  </si>
  <si>
    <t>Thiwvovirus asienecus</t>
  </si>
  <si>
    <t>Thiyevirus</t>
  </si>
  <si>
    <t>Thiyevirus asiocola</t>
  </si>
  <si>
    <t>Thobivirus</t>
  </si>
  <si>
    <t>Thobivirus asiohabitans</t>
  </si>
  <si>
    <t>Ticahravirus</t>
  </si>
  <si>
    <t>Ticahravirus asiovicinum</t>
  </si>
  <si>
    <t>Tohvovirus</t>
  </si>
  <si>
    <t>Tohvovirus borborohabitans</t>
  </si>
  <si>
    <t>Trucevirus</t>
  </si>
  <si>
    <t>Trucevirus pedenecus</t>
  </si>
  <si>
    <t>Ureyisuvirus</t>
  </si>
  <si>
    <t>Ureyisuvirus caenihabitans</t>
  </si>
  <si>
    <t>Ushumevirus</t>
  </si>
  <si>
    <t>Ushumevirus caenivicinum</t>
  </si>
  <si>
    <t>Vinehtivirus</t>
  </si>
  <si>
    <t>Vinehtivirus limenecus</t>
  </si>
  <si>
    <t>Vinehtivirus limicola</t>
  </si>
  <si>
    <t>Vohsuavirus</t>
  </si>
  <si>
    <t>Vohsuavirus limihabitans</t>
  </si>
  <si>
    <t>Vohsuavirus limivicinum</t>
  </si>
  <si>
    <t>Vohsuavirus pedovivens</t>
  </si>
  <si>
    <t>Vohsuavirus soladaptatum</t>
  </si>
  <si>
    <t>Vohsuavirus solenecus</t>
  </si>
  <si>
    <t>Vohsuavirus solicola</t>
  </si>
  <si>
    <t>Wahtavirus</t>
  </si>
  <si>
    <t>Wahtavirus luticola</t>
  </si>
  <si>
    <t>Whietlevirus</t>
  </si>
  <si>
    <t>Whietlevirus defluviicola</t>
  </si>
  <si>
    <t>Whilavirus</t>
  </si>
  <si>
    <t>Whilavirus pelohabitans</t>
  </si>
  <si>
    <t>Wohudhevirus</t>
  </si>
  <si>
    <t>Wohudhevirus asienecus</t>
  </si>
  <si>
    <t>Wyahnevirus</t>
  </si>
  <si>
    <t>Wyahnevirus asiohabitans</t>
  </si>
  <si>
    <t>Yahnavirus</t>
  </si>
  <si>
    <t>Yahnavirus asiovicinum</t>
  </si>
  <si>
    <t>Yemegivirus</t>
  </si>
  <si>
    <t>Yemegivirus asiovivens</t>
  </si>
  <si>
    <t>Yohcadevirus</t>
  </si>
  <si>
    <t>Yohcadevirus borborocola</t>
  </si>
  <si>
    <t>Yuhrihovirus</t>
  </si>
  <si>
    <t>Yuhrihovirus borborohabitans</t>
  </si>
  <si>
    <t>Yuhrihovirus borborovicinum</t>
  </si>
  <si>
    <t>Yuhrihovirus borborovivens</t>
  </si>
  <si>
    <t>Yuhrihovirus humenecus</t>
  </si>
  <si>
    <t>Solspiviridae</t>
  </si>
  <si>
    <t>Alohrdovirus</t>
  </si>
  <si>
    <t>Alohrdovirus borborenecus</t>
  </si>
  <si>
    <t>Andihavirus</t>
  </si>
  <si>
    <t>Andihavirus borborohabitans</t>
  </si>
  <si>
    <t>Dibaevirus</t>
  </si>
  <si>
    <t>Dibaevirus borborocola</t>
  </si>
  <si>
    <t>Dilzevirus</t>
  </si>
  <si>
    <t>Dilzevirus borborohabitans</t>
  </si>
  <si>
    <t>Eosonovirus</t>
  </si>
  <si>
    <t>Eosonovirus caenenecus</t>
  </si>
  <si>
    <t>Etdyvivirus</t>
  </si>
  <si>
    <t>Etdyvivirus caenicola</t>
  </si>
  <si>
    <t>Fahrmivirus</t>
  </si>
  <si>
    <t>Fahrmivirus caenivivens</t>
  </si>
  <si>
    <t>Fahrmivirus limadaptatum</t>
  </si>
  <si>
    <t>Hinehbovirus</t>
  </si>
  <si>
    <t>Hinehbovirus caenihabitans</t>
  </si>
  <si>
    <t>Insbruvirus</t>
  </si>
  <si>
    <t>Insbruvirus lutivivens</t>
  </si>
  <si>
    <t>Intasivirus</t>
  </si>
  <si>
    <t>Intasivirus peladaptatum</t>
  </si>
  <si>
    <t>Intasivirus tellurivivens</t>
  </si>
  <si>
    <t>Intasivirus terradaptatum</t>
  </si>
  <si>
    <t>Intasivirus terrenecus</t>
  </si>
  <si>
    <t>Intasivirus terricola</t>
  </si>
  <si>
    <t>Jargovirus</t>
  </si>
  <si>
    <t>Jargovirus pelovivens</t>
  </si>
  <si>
    <t>Mahshuvirus</t>
  </si>
  <si>
    <t>Mahshuvirus limivivens</t>
  </si>
  <si>
    <t>Mintinovirus</t>
  </si>
  <si>
    <t>Mintinovirus pelohabitans</t>
  </si>
  <si>
    <t>Mintinovirus pelovicinum</t>
  </si>
  <si>
    <t>Odiravirus</t>
  </si>
  <si>
    <t>Odiravirus lutihabitans</t>
  </si>
  <si>
    <t>Oekfovirus</t>
  </si>
  <si>
    <t>Oekfovirus lutivicinum</t>
  </si>
  <si>
    <t>Puhrivirus</t>
  </si>
  <si>
    <t>Puhrivirus limivivens</t>
  </si>
  <si>
    <t>Puirovirus</t>
  </si>
  <si>
    <t>Puirovirus lutadaptatum</t>
  </si>
  <si>
    <t>Puirovirus lutenecus</t>
  </si>
  <si>
    <t>Sexopuavirus</t>
  </si>
  <si>
    <t>Sexopuavirus agricola</t>
  </si>
  <si>
    <t>Thiuhmevirus</t>
  </si>
  <si>
    <t>Thiuhmevirus pedadaptatum</t>
  </si>
  <si>
    <t>Tohkunevirus</t>
  </si>
  <si>
    <t>Tohkunevirus borborocola</t>
  </si>
  <si>
    <t>Tyrahlevirus</t>
  </si>
  <si>
    <t>Tyrahlevirus caenicola</t>
  </si>
  <si>
    <t>Vendavirus</t>
  </si>
  <si>
    <t>Vendavirus caenivivens</t>
  </si>
  <si>
    <t>Voulevirus</t>
  </si>
  <si>
    <t>Voulevirus limivivens</t>
  </si>
  <si>
    <t>Wishivirus</t>
  </si>
  <si>
    <t>Wishivirus defluviicola</t>
  </si>
  <si>
    <t>Timlovirales</t>
  </si>
  <si>
    <t>Blumeviridae</t>
  </si>
  <si>
    <t>Alehndavirus</t>
  </si>
  <si>
    <t>Alehndavirus ruminicola</t>
  </si>
  <si>
    <t>Bonghivirus</t>
  </si>
  <si>
    <t>Bonghivirus borborenecus</t>
  </si>
  <si>
    <t>Cehntrovirus</t>
  </si>
  <si>
    <t>Cehntrovirus agrihabitans</t>
  </si>
  <si>
    <t>Dahmuivirus</t>
  </si>
  <si>
    <t>Dahmuivirus pelovivens</t>
  </si>
  <si>
    <t>Dehgumevirus</t>
  </si>
  <si>
    <t>Dehgumevirus asiovivens</t>
  </si>
  <si>
    <t>Dehkhevirus</t>
  </si>
  <si>
    <t>Dehkhevirus borboradaptatum</t>
  </si>
  <si>
    <t>Espurtavirus</t>
  </si>
  <si>
    <t>Espurtavirus simiicola</t>
  </si>
  <si>
    <t>Gifriavirus</t>
  </si>
  <si>
    <t>Gifriavirus ruminicola</t>
  </si>
  <si>
    <t>Hehrovirus</t>
  </si>
  <si>
    <t>Hehrovirus borborohabitans</t>
  </si>
  <si>
    <t>Ivolevirus</t>
  </si>
  <si>
    <t>Ivolevirus faecicola</t>
  </si>
  <si>
    <t>Kahnayevirus</t>
  </si>
  <si>
    <t>Kahnayevirus asiovivens</t>
  </si>
  <si>
    <t>Kahraivirus</t>
  </si>
  <si>
    <t>Kahraivirus borboradaptatum</t>
  </si>
  <si>
    <t>Kemiovirus</t>
  </si>
  <si>
    <t>Kemiovirus caenivicinum</t>
  </si>
  <si>
    <t>Kerishovirus</t>
  </si>
  <si>
    <t>Kerishovirus limenecus</t>
  </si>
  <si>
    <t>Konmavirus</t>
  </si>
  <si>
    <t>Konmavirus lutivicinum</t>
  </si>
  <si>
    <t>Konmavirus lutivivens</t>
  </si>
  <si>
    <t>Konmavirus peladaptatum</t>
  </si>
  <si>
    <t>Lirnavirus</t>
  </si>
  <si>
    <t>Lirnavirus borborovicinum</t>
  </si>
  <si>
    <t>Lonzbavirus</t>
  </si>
  <si>
    <t>Lonzbavirus caenadaptatum</t>
  </si>
  <si>
    <t>Marskhivirus</t>
  </si>
  <si>
    <t>Marskhivirus piscicola</t>
  </si>
  <si>
    <t>Nehohpavirus</t>
  </si>
  <si>
    <t>Nehohpavirus tellurenecus</t>
  </si>
  <si>
    <t>Nehpavirus</t>
  </si>
  <si>
    <t>Nehpavirus caenenecus</t>
  </si>
  <si>
    <t>Obhoarovirus</t>
  </si>
  <si>
    <t>Obhoarovirus terradaptatum</t>
  </si>
  <si>
    <t>Pacehavirus</t>
  </si>
  <si>
    <t>Pacehavirus humicola</t>
  </si>
  <si>
    <t>Pacehavirus pelovicinum</t>
  </si>
  <si>
    <t>Pacehavirus pelovivens</t>
  </si>
  <si>
    <t>Pahdacivirus</t>
  </si>
  <si>
    <t>Pahdacivirus asiadaptatum</t>
  </si>
  <si>
    <t>Rhohmbavirus</t>
  </si>
  <si>
    <t>Rhohmbavirus terrivicinum</t>
  </si>
  <si>
    <t>Semodevirus</t>
  </si>
  <si>
    <t>Semodevirus borborenecus</t>
  </si>
  <si>
    <t>Shihmovirus</t>
  </si>
  <si>
    <t>Shihmovirus borborovivens</t>
  </si>
  <si>
    <t>Shihwivirus</t>
  </si>
  <si>
    <t>Shihwivirus caenenecus</t>
  </si>
  <si>
    <t>Tibirnivirus</t>
  </si>
  <si>
    <t>Tibirnivirus paludicola</t>
  </si>
  <si>
    <t>Tinebovirus</t>
  </si>
  <si>
    <t>Tinebovirus borborenecus</t>
  </si>
  <si>
    <t>Wahdswovirus</t>
  </si>
  <si>
    <t>Wahdswovirus lutenecus</t>
  </si>
  <si>
    <t>Yenihzavirus</t>
  </si>
  <si>
    <t>Yenihzavirus borboradaptatum</t>
  </si>
  <si>
    <t>Steitzviridae</t>
  </si>
  <si>
    <t>Abakapovirus</t>
  </si>
  <si>
    <t>Abakapovirus asiadaptatum</t>
  </si>
  <si>
    <t>Abakapovirus humadaptatum</t>
  </si>
  <si>
    <t>Abakapovirus humenecus</t>
  </si>
  <si>
    <t>Abakapovirus humicola</t>
  </si>
  <si>
    <t>Achlievirus</t>
  </si>
  <si>
    <t>Achlievirus humihabitans</t>
  </si>
  <si>
    <t>Adahmuvirus</t>
  </si>
  <si>
    <t>Adahmuvirus asiocola</t>
  </si>
  <si>
    <t>Alehxovirus</t>
  </si>
  <si>
    <t>Alehxovirus agradaptatum</t>
  </si>
  <si>
    <t>Alehxovirus agrenecus</t>
  </si>
  <si>
    <t>Alehxovirus agricola</t>
  </si>
  <si>
    <t>Alehxovirus agrihabitans</t>
  </si>
  <si>
    <t>Alehxovirus asiohabitans</t>
  </si>
  <si>
    <t>Alehxovirus asiovicinum</t>
  </si>
  <si>
    <t>Alehxovirus asiovivens</t>
  </si>
  <si>
    <t>Alehxovirus borboradaptatum</t>
  </si>
  <si>
    <t>Alehxovirus humivicinum</t>
  </si>
  <si>
    <t>Alehxovirus humivivens</t>
  </si>
  <si>
    <t>Aphenovirus</t>
  </si>
  <si>
    <t>Aphenovirus arvadaptatum</t>
  </si>
  <si>
    <t>Aphenovirus arvicola</t>
  </si>
  <si>
    <t>Aphenovirus chorovivens</t>
  </si>
  <si>
    <t>Arawsmovirus</t>
  </si>
  <si>
    <t>Arawsmovirus borborovivens</t>
  </si>
  <si>
    <t>Arctuvirus</t>
  </si>
  <si>
    <t>Arctuvirus arvivicinum</t>
  </si>
  <si>
    <t>Arctuvirus arvivivens</t>
  </si>
  <si>
    <t>Arctuvirus edaphadaptatum</t>
  </si>
  <si>
    <t>Arctuvirus edaphenecus</t>
  </si>
  <si>
    <t>Arctuvirus edaphocola</t>
  </si>
  <si>
    <t>Arctuvirus edaphohabitans</t>
  </si>
  <si>
    <t>Arctuvirus edaphovicinum</t>
  </si>
  <si>
    <t>Arctuvirus edaphovivens</t>
  </si>
  <si>
    <t>Arctuvirus pedadaptatum</t>
  </si>
  <si>
    <t>Arctuvirus pedocola</t>
  </si>
  <si>
    <t>Arpirivirus</t>
  </si>
  <si>
    <t>Arpirivirus pedenecus</t>
  </si>
  <si>
    <t>Arpirivirus pedohabitans</t>
  </si>
  <si>
    <t>Ashcevirus</t>
  </si>
  <si>
    <t>Ashcevirus caenenecus</t>
  </si>
  <si>
    <t>Bahnicevirus</t>
  </si>
  <si>
    <t>Bahnicevirus chthonadaptatum</t>
  </si>
  <si>
    <t>Bahnicevirus chthonenecus</t>
  </si>
  <si>
    <t>Bahnicevirus chthonocola</t>
  </si>
  <si>
    <t>Bahnicevirus chthonohabitans</t>
  </si>
  <si>
    <t>Bahnicevirus chthonovicinum</t>
  </si>
  <si>
    <t>Bahnicevirus chthonovivens</t>
  </si>
  <si>
    <t>Bahnicevirus defluviicola</t>
  </si>
  <si>
    <t>Bahnicevirus geoadaptatum</t>
  </si>
  <si>
    <t>Bahnicevirus geocola</t>
  </si>
  <si>
    <t>Bahnicevirus geoenecus</t>
  </si>
  <si>
    <t>Bahnicevirus geohabitans</t>
  </si>
  <si>
    <t>Bahnicevirus geovicinum</t>
  </si>
  <si>
    <t>Bahnicevirus geovivens</t>
  </si>
  <si>
    <t>Bahnicevirus limenecus</t>
  </si>
  <si>
    <t>Bahnicevirus limicola</t>
  </si>
  <si>
    <t>Bahnicevirus limihabitans</t>
  </si>
  <si>
    <t>Bahnicevirus pedovicinum</t>
  </si>
  <si>
    <t>Bahnicevirus pedovivens</t>
  </si>
  <si>
    <t>Bahnicevirus soladaptatum</t>
  </si>
  <si>
    <t>Bahnicevirus solenecus</t>
  </si>
  <si>
    <t>Bahnicevirus solicola</t>
  </si>
  <si>
    <t>Bahnicevirus solihabitans</t>
  </si>
  <si>
    <t>Bahnicevirus solivicinum</t>
  </si>
  <si>
    <t>Bahnicevirus solivivens</t>
  </si>
  <si>
    <t>Bahnicevirus telluradaptatum</t>
  </si>
  <si>
    <t>Bahnicevirus tellurenecus</t>
  </si>
  <si>
    <t>Bahnicevirus telluricola</t>
  </si>
  <si>
    <t>Bahnicevirus tellurihabitans</t>
  </si>
  <si>
    <t>Bahnicevirus tellurivicinum</t>
  </si>
  <si>
    <t>Bahnicevirus tellurivivens</t>
  </si>
  <si>
    <t>Bahnicevirus terradaptatum</t>
  </si>
  <si>
    <t>Bahnicevirus terricola</t>
  </si>
  <si>
    <t>Belbovirus</t>
  </si>
  <si>
    <t>Belbovirus lutenecus</t>
  </si>
  <si>
    <t>Berdovirus</t>
  </si>
  <si>
    <t>Berdovirus luticola</t>
  </si>
  <si>
    <t>Bicehmovirus</t>
  </si>
  <si>
    <t>Bicehmovirus lutivivens</t>
  </si>
  <si>
    <t>Bicehmovirus peladaptatum</t>
  </si>
  <si>
    <t>Bicehmovirus pelenecus</t>
  </si>
  <si>
    <t>Bidhavirus</t>
  </si>
  <si>
    <t>Bidhavirus pelocola</t>
  </si>
  <si>
    <t>Brikhyavirus</t>
  </si>
  <si>
    <t>Brikhyavirus terrivicinum</t>
  </si>
  <si>
    <t>Cahrlavirus</t>
  </si>
  <si>
    <t>Cahrlavirus caenivicinum</t>
  </si>
  <si>
    <t>Cahtavirus</t>
  </si>
  <si>
    <t>Cahtavirus humihabitans</t>
  </si>
  <si>
    <t>Catindovirus</t>
  </si>
  <si>
    <t>Catindovirus agricola</t>
  </si>
  <si>
    <t>Cebevirus</t>
  </si>
  <si>
    <t>Cebevirus agrenecus</t>
  </si>
  <si>
    <t>Cebevirus halophobicum</t>
  </si>
  <si>
    <t>Chlurivirus</t>
  </si>
  <si>
    <t>Chlurivirus chorocola</t>
  </si>
  <si>
    <t>Chorovirus</t>
  </si>
  <si>
    <t>Chorovirus peladaptatum</t>
  </si>
  <si>
    <t>Clitovirus</t>
  </si>
  <si>
    <t>Clitovirus chorohabitans</t>
  </si>
  <si>
    <t>Cohrdavirus</t>
  </si>
  <si>
    <t>Cohrdavirus arvadaptatum</t>
  </si>
  <si>
    <t>Cohrdavirus chorovicinum</t>
  </si>
  <si>
    <t>Cohrdavirus chorovivens</t>
  </si>
  <si>
    <t>Controvirus</t>
  </si>
  <si>
    <t>Controvirus defluviicola</t>
  </si>
  <si>
    <t>Cunarovirus</t>
  </si>
  <si>
    <t>Cunarovirus edaphovivens</t>
  </si>
  <si>
    <t>Cunarovirus pedadaptatum</t>
  </si>
  <si>
    <t>Cunarovirus pedenecus</t>
  </si>
  <si>
    <t>Cunarovirus pedocola</t>
  </si>
  <si>
    <t>Cunarovirus pedovicinum</t>
  </si>
  <si>
    <t>Cunarovirus pedovivens</t>
  </si>
  <si>
    <t>Cunarovirus pelovicinum</t>
  </si>
  <si>
    <t>Cunavirus pedohabitans</t>
  </si>
  <si>
    <t>Dohnjavirus</t>
  </si>
  <si>
    <t>Dohnjavirus caenadaptatum</t>
  </si>
  <si>
    <t>Endehruvirus</t>
  </si>
  <si>
    <t>Endehruvirus chthonenecus</t>
  </si>
  <si>
    <t>Endehruvirus chthonocola</t>
  </si>
  <si>
    <t>Eregrovirus</t>
  </si>
  <si>
    <t>Eregrovirus chthonohabitans</t>
  </si>
  <si>
    <t>Erimutivirus</t>
  </si>
  <si>
    <t>Erimutivirus chthonovicinum</t>
  </si>
  <si>
    <t>Fagihovirus</t>
  </si>
  <si>
    <t>Fagihovirus caenihabitans</t>
  </si>
  <si>
    <t>Fagihovirus chthonovivens</t>
  </si>
  <si>
    <t>Fejonovirus</t>
  </si>
  <si>
    <t>Fejonovirus limenecus</t>
  </si>
  <si>
    <t>Ferahgovirus</t>
  </si>
  <si>
    <t>Ferahgovirus geoadaptatum</t>
  </si>
  <si>
    <t>Fluruvirus</t>
  </si>
  <si>
    <t>Fluruvirus limivicinum</t>
  </si>
  <si>
    <t>Frobavirus</t>
  </si>
  <si>
    <t>Frobavirus limivivens</t>
  </si>
  <si>
    <t>Fudhoevirus</t>
  </si>
  <si>
    <t>Fudhoevirus lutadaptatum</t>
  </si>
  <si>
    <t>Fudhoevirus lutenecus</t>
  </si>
  <si>
    <t>Gahmegovirus</t>
  </si>
  <si>
    <t>Gahmegovirus lutivicinum</t>
  </si>
  <si>
    <t>Garnievirus</t>
  </si>
  <si>
    <t>Garnievirus lutivivens</t>
  </si>
  <si>
    <t>Gehrmavirus</t>
  </si>
  <si>
    <t>Gehrmavirus geocola</t>
  </si>
  <si>
    <t>Gehrmavirus pelocola</t>
  </si>
  <si>
    <t>Gernuduvirus</t>
  </si>
  <si>
    <t>Gernuduvirus geoenecus</t>
  </si>
  <si>
    <t>Gihfavirus</t>
  </si>
  <si>
    <t>Gihfavirus geohabitans</t>
  </si>
  <si>
    <t>Gihfavirus pelohabitans</t>
  </si>
  <si>
    <t>Gredihovirus</t>
  </si>
  <si>
    <t>Gredihovirus agradaptatum</t>
  </si>
  <si>
    <t>Gredihovirus agrenecus</t>
  </si>
  <si>
    <t>Gredihovirus agricola</t>
  </si>
  <si>
    <t>Gredihovirus agrihabitans</t>
  </si>
  <si>
    <t>Gredihovirus agrivicinum</t>
  </si>
  <si>
    <t>Gredihovirus agrivivens</t>
  </si>
  <si>
    <t>Gredihovirus arvadaptatum</t>
  </si>
  <si>
    <t>Gredihovirus arvenecus</t>
  </si>
  <si>
    <t>Gredihovirus arvicola</t>
  </si>
  <si>
    <t>Gredihovirus arvihabitans</t>
  </si>
  <si>
    <t>Gredihovirus arvivicinum</t>
  </si>
  <si>
    <t>Gredihovirus arvivivens</t>
  </si>
  <si>
    <t>Gredihovirus asienecus</t>
  </si>
  <si>
    <t>Gredihovirus choradaptatum</t>
  </si>
  <si>
    <t>Gredihovirus chorenecus</t>
  </si>
  <si>
    <t>Gredihovirus chorocola</t>
  </si>
  <si>
    <t>Gredihovirus chorohabitans</t>
  </si>
  <si>
    <t>Gredihovirus chorovicinum</t>
  </si>
  <si>
    <t>Gredihovirus chorovivens</t>
  </si>
  <si>
    <t>Gredihovirus chthonadaptatum</t>
  </si>
  <si>
    <t>Gredihovirus chthonenecus</t>
  </si>
  <si>
    <t>Gredihovirus chthonocola</t>
  </si>
  <si>
    <t>Gredihovirus chthonohabitans</t>
  </si>
  <si>
    <t>Gredihovirus chthonovicinum</t>
  </si>
  <si>
    <t>Gredihovirus chthonovivens</t>
  </si>
  <si>
    <t>Gredihovirus edaphadaptatum</t>
  </si>
  <si>
    <t>Gredihovirus edaphenecus</t>
  </si>
  <si>
    <t>Gredihovirus edaphocola</t>
  </si>
  <si>
    <t>Gredihovirus edaphohabitans</t>
  </si>
  <si>
    <t>Gredihovirus edaphovicinum</t>
  </si>
  <si>
    <t>Gredihovirus edaphovivens</t>
  </si>
  <si>
    <t>Gredihovirus geoadaptatum</t>
  </si>
  <si>
    <t>Gredihovirus geocola</t>
  </si>
  <si>
    <t>Gredihovirus geoenecus</t>
  </si>
  <si>
    <t>Gredihovirus geohabitans</t>
  </si>
  <si>
    <t>Gredihovirus geovicinum</t>
  </si>
  <si>
    <t>Gredihovirus geovivens</t>
  </si>
  <si>
    <t>Gredihovirus humadaptatum</t>
  </si>
  <si>
    <t>Gredihovirus humenecus</t>
  </si>
  <si>
    <t>Gredihovirus humicola</t>
  </si>
  <si>
    <t>Gredihovirus humihabitans</t>
  </si>
  <si>
    <t>Gredihovirus humivicinum</t>
  </si>
  <si>
    <t>Gredihovirus humivivens</t>
  </si>
  <si>
    <t>Gredihovirus neoagrenecus</t>
  </si>
  <si>
    <t>Gredihovirus neoagricola</t>
  </si>
  <si>
    <t>Gredihovirus neoagrihabitans</t>
  </si>
  <si>
    <t>Gredihovirus neoagrivicinum</t>
  </si>
  <si>
    <t>Gredihovirus neoagrivivens</t>
  </si>
  <si>
    <t>Gredihovirus neochoradaptatum</t>
  </si>
  <si>
    <t>Gredihovirus neochorenecus</t>
  </si>
  <si>
    <t>Gredihovirus neochorocola</t>
  </si>
  <si>
    <t>Gredihovirus neochorohabitans</t>
  </si>
  <si>
    <t>Gredihovirus neochorovicinum</t>
  </si>
  <si>
    <t>Gredihovirus neochorovivens</t>
  </si>
  <si>
    <t>Gredihovirus neohumadaptatum</t>
  </si>
  <si>
    <t>Gredihovirus neohumenecus</t>
  </si>
  <si>
    <t>Gredihovirus neohumicola</t>
  </si>
  <si>
    <t>Gredihovirus neohumihabitans</t>
  </si>
  <si>
    <t>Gredihovirus neohumivicinum</t>
  </si>
  <si>
    <t>Gredihovirus neohumivivens</t>
  </si>
  <si>
    <t>Gredihovirus neotellurenecus</t>
  </si>
  <si>
    <t>Gredihovirus neotelluricola</t>
  </si>
  <si>
    <t>Gredihovirus neotellurihabitans</t>
  </si>
  <si>
    <t>Gredihovirus neotellurivicinum</t>
  </si>
  <si>
    <t>Gredihovirus neotellurivivens</t>
  </si>
  <si>
    <t>Gredihovirus neoterradaptatum</t>
  </si>
  <si>
    <t>Gredihovirus neoterrenecus</t>
  </si>
  <si>
    <t>Gredihovirus neoterricola</t>
  </si>
  <si>
    <t>Gredihovirus neoterrihabitans</t>
  </si>
  <si>
    <t>Gredihovirus neoterrivicinum</t>
  </si>
  <si>
    <t>Gredihovirus neoterrivivens</t>
  </si>
  <si>
    <t>Gredihovirus pedadaptatum</t>
  </si>
  <si>
    <t>Gredihovirus pedenecus</t>
  </si>
  <si>
    <t>Gredihovirus pedocola</t>
  </si>
  <si>
    <t>Gredihovirus pedohabitans</t>
  </si>
  <si>
    <t>Gredihovirus pedovicinum</t>
  </si>
  <si>
    <t>Gredihovirus pedovivens</t>
  </si>
  <si>
    <t>Gredihovirus soladaptatum</t>
  </si>
  <si>
    <t>Gredihovirus solenecus</t>
  </si>
  <si>
    <t>Gredihovirus solicola</t>
  </si>
  <si>
    <t>Gredihovirus solihabitans</t>
  </si>
  <si>
    <t>Gredihovirus solivicinum</t>
  </si>
  <si>
    <t>Gredihovirus solivivens</t>
  </si>
  <si>
    <t>Gredihovirus telluradaptatum</t>
  </si>
  <si>
    <t>Gredihovirus tellurenecus</t>
  </si>
  <si>
    <t>Gredihovirus telluricola</t>
  </si>
  <si>
    <t>Gredihovirus tellurihabitans</t>
  </si>
  <si>
    <t>Gredihovirus tellurivicinum</t>
  </si>
  <si>
    <t>Gredihovirus tellurivivens</t>
  </si>
  <si>
    <t>Gredihovirus terradaptatum</t>
  </si>
  <si>
    <t>Gredihovirus terrenecus</t>
  </si>
  <si>
    <t>Gredihovirus terricola</t>
  </si>
  <si>
    <t>Gredihovirus terrihabitans</t>
  </si>
  <si>
    <t>Gredihovirus terrivicinum</t>
  </si>
  <si>
    <t>Gredihovirus terrivivens</t>
  </si>
  <si>
    <t>Gulmivirus</t>
  </si>
  <si>
    <t>Gulmivirus arvadaptatum</t>
  </si>
  <si>
    <t>Gulmivirus arvenecus</t>
  </si>
  <si>
    <t>Gulmivirus arvicola</t>
  </si>
  <si>
    <t>Gulmivirus arvihabitans</t>
  </si>
  <si>
    <t>Gulmivirus arvivicinum</t>
  </si>
  <si>
    <t>Gulmivirus asiohabitans</t>
  </si>
  <si>
    <t>Gulmivirus asiovicinum</t>
  </si>
  <si>
    <t>Gulmivirus asiovivens</t>
  </si>
  <si>
    <t>Hahkesevirus</t>
  </si>
  <si>
    <t>Hahkesevirus borborocola</t>
  </si>
  <si>
    <t>Henifovirus</t>
  </si>
  <si>
    <t>Henifovirus borborovivens</t>
  </si>
  <si>
    <t>Henifovirus caenadaptatum</t>
  </si>
  <si>
    <t>Hohltdevirus</t>
  </si>
  <si>
    <t>Hohltdevirus edaphenecus</t>
  </si>
  <si>
    <t>Hohltdevirus edaphocola</t>
  </si>
  <si>
    <t>Hohrdovirus</t>
  </si>
  <si>
    <t>Hohrdovirus caenivivens</t>
  </si>
  <si>
    <t>Hohrdovirus edaphohabitans</t>
  </si>
  <si>
    <t>Hohrdovirus edaphovicinum</t>
  </si>
  <si>
    <t>Hohrdovirus edaphovivens</t>
  </si>
  <si>
    <t>Hohrdovirus limadaptatum</t>
  </si>
  <si>
    <t>Hohrdovirus pedadaptatum</t>
  </si>
  <si>
    <t>Hohrdovirus pedenecus</t>
  </si>
  <si>
    <t>Hohrdovirus pedocola</t>
  </si>
  <si>
    <t>Hohrdovirus pedohabitans</t>
  </si>
  <si>
    <t>Hohrdovirus pedovicinum</t>
  </si>
  <si>
    <t>Hohrdovirus pedovivens</t>
  </si>
  <si>
    <t>Hohrdovirus soladaptatum</t>
  </si>
  <si>
    <t>Hohrdovirus solenecus</t>
  </si>
  <si>
    <t>Hohrdovirus solicola</t>
  </si>
  <si>
    <t>Hohrdovirus solihabitans</t>
  </si>
  <si>
    <t>Huhbevirus</t>
  </si>
  <si>
    <t>Huhbevirus chthonadaptatum</t>
  </si>
  <si>
    <t>Huhbevirus chthonenecus</t>
  </si>
  <si>
    <t>Huhbevirus chthonocola</t>
  </si>
  <si>
    <t>Huhbevirus chthonohabitans</t>
  </si>
  <si>
    <t>Huhbevirus chthonovicinum</t>
  </si>
  <si>
    <t>Huhbevirus chthonovivens</t>
  </si>
  <si>
    <t>Huhbevirus geoadaptatum</t>
  </si>
  <si>
    <t>Huhbevirus solivicinum</t>
  </si>
  <si>
    <t>Huhbevirus solivivens</t>
  </si>
  <si>
    <t>Huohcivirus</t>
  </si>
  <si>
    <t>Huohcivirus geoenecus</t>
  </si>
  <si>
    <t>Huylevirus</t>
  </si>
  <si>
    <t>Huylevirus limihabitans</t>
  </si>
  <si>
    <t>Hyjrovirus</t>
  </si>
  <si>
    <t>Hyjrovirus geohabitans</t>
  </si>
  <si>
    <t>Hylipavirus</t>
  </si>
  <si>
    <t>Hylipavirus geovicinum</t>
  </si>
  <si>
    <t>Iwahcevirus</t>
  </si>
  <si>
    <t>Iwahcevirus pelovicinum</t>
  </si>
  <si>
    <t>Jiforsuvirus</t>
  </si>
  <si>
    <t>Jiforsuvirus asiadaptatum</t>
  </si>
  <si>
    <t>Kecijavirus</t>
  </si>
  <si>
    <t>Kecijavirus borborocola</t>
  </si>
  <si>
    <t>Kecuhnavirus</t>
  </si>
  <si>
    <t>Kecuhnavirus borborohabitans</t>
  </si>
  <si>
    <t>Kecuhnavirus borborovicinum</t>
  </si>
  <si>
    <t>Kecuhnavirus terrivicinum</t>
  </si>
  <si>
    <t>Kehruavirus</t>
  </si>
  <si>
    <t>Kehruavirus agradaptatum</t>
  </si>
  <si>
    <t>Kehruavirus agricola</t>
  </si>
  <si>
    <t>Kehruavirus humadaptatum</t>
  </si>
  <si>
    <t>Kehruavirus humenecus</t>
  </si>
  <si>
    <t>Kehruavirus humicola</t>
  </si>
  <si>
    <t>Kehruavirus humihabitans</t>
  </si>
  <si>
    <t>Kehruavirus humivicinum</t>
  </si>
  <si>
    <t>Kehruavirus humivivens</t>
  </si>
  <si>
    <t>Kehruavirus terrivivens</t>
  </si>
  <si>
    <t>Kihsiravirus</t>
  </si>
  <si>
    <t>Kihsiravirus limivicinum</t>
  </si>
  <si>
    <t>Kinglevirus</t>
  </si>
  <si>
    <t>Kinglevirus lutadaptatum</t>
  </si>
  <si>
    <t>Kyanivirus</t>
  </si>
  <si>
    <t>Kyanivirus asiadaptatum</t>
  </si>
  <si>
    <t>Kyanivirus pelovivens</t>
  </si>
  <si>
    <t>Laimuvirus</t>
  </si>
  <si>
    <t>Laimuvirus asiocola</t>
  </si>
  <si>
    <t>Lazuovirus</t>
  </si>
  <si>
    <t>Lazuovirus agrenecus</t>
  </si>
  <si>
    <t>Lehptavirus</t>
  </si>
  <si>
    <t>Lehptavirus agrihabitans</t>
  </si>
  <si>
    <t>Lehptavirus agrivicinum</t>
  </si>
  <si>
    <t>Lehptavirus agrivivens</t>
  </si>
  <si>
    <t>Lehptavirus choradaptatum</t>
  </si>
  <si>
    <t>Lehptavirus chorenecus</t>
  </si>
  <si>
    <t>Lehptavirus chorocola</t>
  </si>
  <si>
    <t>Lihvevirus</t>
  </si>
  <si>
    <t>Lihvevirus borborenecus</t>
  </si>
  <si>
    <t>Limaivirus</t>
  </si>
  <si>
    <t>Limaivirus borborocola</t>
  </si>
  <si>
    <t>Limaivirus borborohabitans</t>
  </si>
  <si>
    <t>Lomnativirus</t>
  </si>
  <si>
    <t>Lomnativirus arvihabitans</t>
  </si>
  <si>
    <t>Loptevirus</t>
  </si>
  <si>
    <t>Loptevirus arvivicinum</t>
  </si>
  <si>
    <t>Loptevirus arvivivens</t>
  </si>
  <si>
    <t>Loptevirus caenenecus</t>
  </si>
  <si>
    <t>Luloavirus</t>
  </si>
  <si>
    <t>Luloavirus caenihabitans</t>
  </si>
  <si>
    <t>Luloavirus edaphadaptatum</t>
  </si>
  <si>
    <t>Luloavirus edaphenecus</t>
  </si>
  <si>
    <t>Luloavirus edaphocola</t>
  </si>
  <si>
    <t>Lygehevirus</t>
  </si>
  <si>
    <t>Lygehevirus pedocola</t>
  </si>
  <si>
    <t>Lyndovirus</t>
  </si>
  <si>
    <t>Lyndovirus caenivicinum</t>
  </si>
  <si>
    <t>Mahdsavirus</t>
  </si>
  <si>
    <t>Mahdsavirus limadaptatum</t>
  </si>
  <si>
    <t>Mahjnavirus</t>
  </si>
  <si>
    <t>Mahjnavirus limenecus</t>
  </si>
  <si>
    <t>Metsavirus</t>
  </si>
  <si>
    <t>Metsavirus lutivivens</t>
  </si>
  <si>
    <t>Milihnovirus</t>
  </si>
  <si>
    <t>Milihnovirus solihabitans</t>
  </si>
  <si>
    <t>Minusuvirus</t>
  </si>
  <si>
    <t>Minusuvirus solivicinum</t>
  </si>
  <si>
    <t>Mocruvirus</t>
  </si>
  <si>
    <t>Mocruvirus chthonadaptatum</t>
  </si>
  <si>
    <t>Mocruvirus chthonocola</t>
  </si>
  <si>
    <t>Mocruvirus solivivens</t>
  </si>
  <si>
    <t>Molucevirus</t>
  </si>
  <si>
    <t>Molucevirus chthonohabitans</t>
  </si>
  <si>
    <t>Molucevirus chthonovicinum</t>
  </si>
  <si>
    <t>Molucevirus chthonovivens</t>
  </si>
  <si>
    <t>Molucevirus geoadaptatum</t>
  </si>
  <si>
    <t>Nehumivirus</t>
  </si>
  <si>
    <t>Nehumivirus tellurihabitans</t>
  </si>
  <si>
    <t>Nihlwovirus</t>
  </si>
  <si>
    <t>Nihlwovirus limenecus</t>
  </si>
  <si>
    <t>Nihlwovirus limicola</t>
  </si>
  <si>
    <t>Ociwvivirus</t>
  </si>
  <si>
    <t>Ociwvivirus luticola</t>
  </si>
  <si>
    <t>Pahspavirus</t>
  </si>
  <si>
    <t>Pahspavirus humihabitans</t>
  </si>
  <si>
    <t>Patimovirus</t>
  </si>
  <si>
    <t>Patimovirus humivicinum</t>
  </si>
  <si>
    <t>Pepusduvirus</t>
  </si>
  <si>
    <t>Pepusduvirus humivivens</t>
  </si>
  <si>
    <t>Phulihavirus</t>
  </si>
  <si>
    <t>Phulihavirus agrenecus</t>
  </si>
  <si>
    <t>Pirifovirus</t>
  </si>
  <si>
    <t>Pirifovirus chorenecus</t>
  </si>
  <si>
    <t>Pirifovirus chorohabitans</t>
  </si>
  <si>
    <t>Pirifovirus chorovicinum</t>
  </si>
  <si>
    <t>Podtsbuvirus</t>
  </si>
  <si>
    <t>Podtsbuvirus caenenecus</t>
  </si>
  <si>
    <t>Pohlodivirus</t>
  </si>
  <si>
    <t>Pohlodivirus arvihabitans</t>
  </si>
  <si>
    <t>Psiaduvirus</t>
  </si>
  <si>
    <t>Psiaduvirus pedadaptatum</t>
  </si>
  <si>
    <t>Psouhdivirus</t>
  </si>
  <si>
    <t>Psouhdivirus caenivivens</t>
  </si>
  <si>
    <t>Psouhdivirus limadaptatum</t>
  </si>
  <si>
    <t>Psouhdivirus limenecus</t>
  </si>
  <si>
    <t>Psouhdivirus limicola</t>
  </si>
  <si>
    <t>Psouhdivirus limihabitans</t>
  </si>
  <si>
    <t>Psouhdivirus pedohabitans</t>
  </si>
  <si>
    <t>Psouhdivirus pedovicinum</t>
  </si>
  <si>
    <t>Puduphavirus</t>
  </si>
  <si>
    <t>Puduphavirus pedovivens</t>
  </si>
  <si>
    <t>Pujohnavirus</t>
  </si>
  <si>
    <t>Pujohnavirus chthonadaptatum</t>
  </si>
  <si>
    <t>Pujohnavirus chthonenecus</t>
  </si>
  <si>
    <t>Pujohnavirus chthonocola</t>
  </si>
  <si>
    <t>Pujohnavirus chthonohabitans</t>
  </si>
  <si>
    <t>Pujohnavirus chthonovicinum</t>
  </si>
  <si>
    <t>Pujohnavirus chthonovivens</t>
  </si>
  <si>
    <t>Pujohnavirus geoadaptatum</t>
  </si>
  <si>
    <t>Pujohnavirus geocola</t>
  </si>
  <si>
    <t>Pujohnavirus geoenecus</t>
  </si>
  <si>
    <t>Pujohnavirus geohabitans</t>
  </si>
  <si>
    <t>Pujohnavirus geovicinum</t>
  </si>
  <si>
    <t>Pujohnavirus geovivens</t>
  </si>
  <si>
    <t>Pujohnavirus soladaptatum</t>
  </si>
  <si>
    <t>Pujohnavirus solenecus</t>
  </si>
  <si>
    <t>Pujohnavirus solicola</t>
  </si>
  <si>
    <t>Pujohnavirus solihabitans</t>
  </si>
  <si>
    <t>Pujohnavirus solivicinum</t>
  </si>
  <si>
    <t>Pujohnavirus solivivens</t>
  </si>
  <si>
    <t>Pujohnavirus telluradaptatum</t>
  </si>
  <si>
    <t>Rodtovirus</t>
  </si>
  <si>
    <t>Rodtovirus pelovivens</t>
  </si>
  <si>
    <t>Rohsdrivirus</t>
  </si>
  <si>
    <t>Rohsdrivirus humadaptatum</t>
  </si>
  <si>
    <t>Rohsdrivirus terrivivens</t>
  </si>
  <si>
    <t>Sdenfavirus</t>
  </si>
  <si>
    <t>Sdenfavirus asiovicinum</t>
  </si>
  <si>
    <t>Setohruvirus</t>
  </si>
  <si>
    <t>Setohruvirus agradaptatum</t>
  </si>
  <si>
    <t>Setohruvirus borborocola</t>
  </si>
  <si>
    <t>Sidiruavirus</t>
  </si>
  <si>
    <t>Sidiruavirus agrenecus</t>
  </si>
  <si>
    <t>Snuwdevirus</t>
  </si>
  <si>
    <t>Snuwdevirus agrivicinum</t>
  </si>
  <si>
    <t>Sperdavirus</t>
  </si>
  <si>
    <t>Sperdavirus luticola</t>
  </si>
  <si>
    <t>Stehnavirus</t>
  </si>
  <si>
    <t>Stehnavirus chorenecus</t>
  </si>
  <si>
    <t>Stehnavirus chorohabitans</t>
  </si>
  <si>
    <t>Stehnavirus chorovicinum</t>
  </si>
  <si>
    <t>Stehnavirus lutivicinum</t>
  </si>
  <si>
    <t>Suhnsivirus</t>
  </si>
  <si>
    <t>Suhnsivirus arvicola</t>
  </si>
  <si>
    <t>Suhnsivirus lutivivens</t>
  </si>
  <si>
    <t>Surghavirus</t>
  </si>
  <si>
    <t>Surghavirus arvenecus</t>
  </si>
  <si>
    <t>Surghavirus arvihabitans</t>
  </si>
  <si>
    <t>Tamanovirus</t>
  </si>
  <si>
    <t>Tamanovirus pelenecus</t>
  </si>
  <si>
    <t>Tehmuvirus</t>
  </si>
  <si>
    <t>Tehmuvirus arvivivens</t>
  </si>
  <si>
    <t>Tehnicivirus</t>
  </si>
  <si>
    <t>Tehnicivirus edaphenecus</t>
  </si>
  <si>
    <t>Tehnicivirus edaphocola</t>
  </si>
  <si>
    <t>Tehnicivirus edaphohabitans</t>
  </si>
  <si>
    <t>Tehnicivirus pelovicinum</t>
  </si>
  <si>
    <t>Thehlovirus</t>
  </si>
  <si>
    <t>Thehlovirus edaphovicinum</t>
  </si>
  <si>
    <t>Thyrsuvirus</t>
  </si>
  <si>
    <t>Thyrsuvirus pedocola</t>
  </si>
  <si>
    <t>Tikiyavirus</t>
  </si>
  <si>
    <t>Tikiyavirus asiovivens</t>
  </si>
  <si>
    <t>Timirovirus</t>
  </si>
  <si>
    <t>Timirovirus borboradaptatum</t>
  </si>
  <si>
    <t>Tsuhreavirus</t>
  </si>
  <si>
    <t>Tsuhreavirus borborovivens</t>
  </si>
  <si>
    <t>Tuskovirus</t>
  </si>
  <si>
    <t>Tuskovirus caenadaptatum</t>
  </si>
  <si>
    <t>Tuwendivirus</t>
  </si>
  <si>
    <t>Tuwendivirus caenenecus</t>
  </si>
  <si>
    <t>Vernevirus</t>
  </si>
  <si>
    <t>Vernevirus limadaptatum</t>
  </si>
  <si>
    <t>Vesehyavirus</t>
  </si>
  <si>
    <t>Vesehyavirus pedohabitans</t>
  </si>
  <si>
    <t>Vindevirus</t>
  </si>
  <si>
    <t>Vindevirus pedovicinum</t>
  </si>
  <si>
    <t>Weheuvirus</t>
  </si>
  <si>
    <t>Weheuvirus chthonadaptatum</t>
  </si>
  <si>
    <t>Weheuvirus chthonenecus</t>
  </si>
  <si>
    <t>Weheuvirus chthonocola</t>
  </si>
  <si>
    <t>Weheuvirus chthonohabitans</t>
  </si>
  <si>
    <t>Weheuvirus chthonovicinum</t>
  </si>
  <si>
    <t>Weheuvirus chthonovivens</t>
  </si>
  <si>
    <t>Weheuvirus geoadaptatum</t>
  </si>
  <si>
    <t>Weheuvirus geocola</t>
  </si>
  <si>
    <t>Weheuvirus geoenecus</t>
  </si>
  <si>
    <t>Weheuvirus geohabitans</t>
  </si>
  <si>
    <t>Weheuvirus geovicinum</t>
  </si>
  <si>
    <t>Weheuvirus geovivens</t>
  </si>
  <si>
    <t>Weheuvirus lutivicinum</t>
  </si>
  <si>
    <t>Weheuvirus lutivivens</t>
  </si>
  <si>
    <t>Weheuvirus paludicola</t>
  </si>
  <si>
    <t>Weheuvirus peladaptatum</t>
  </si>
  <si>
    <t>Weheuvirus pelenecus</t>
  </si>
  <si>
    <t>Weheuvirus pelocola</t>
  </si>
  <si>
    <t>Weheuvirus solihabitans</t>
  </si>
  <si>
    <t>Weheuvirus solivicinum</t>
  </si>
  <si>
    <t>Weheuvirus solivivens</t>
  </si>
  <si>
    <t>Weheuvirus telluradaptatum</t>
  </si>
  <si>
    <t>Weheuvirus tellurenecus</t>
  </si>
  <si>
    <t>Weheuvirus telluricola</t>
  </si>
  <si>
    <t>Weheuvirus tellurihabitans</t>
  </si>
  <si>
    <t>Weheuvirus tellurivicinum</t>
  </si>
  <si>
    <t>Weheuvirus tellurivivens</t>
  </si>
  <si>
    <t>Weheuvirus terradaptatum</t>
  </si>
  <si>
    <t>Weheuvirus terrenecus</t>
  </si>
  <si>
    <t>Weheuvirus terricola</t>
  </si>
  <si>
    <t>Weheuvirus terrihabitans</t>
  </si>
  <si>
    <t>Weheuvirus terrivicinum</t>
  </si>
  <si>
    <t>Widsokivirus</t>
  </si>
  <si>
    <t>Widsokivirus pelovivens</t>
  </si>
  <si>
    <t>Yeziwivirus</t>
  </si>
  <si>
    <t>Yeziwivirus borborenecus</t>
  </si>
  <si>
    <t>Zuysuivirus</t>
  </si>
  <si>
    <t>Zuysuivirus humihabitans</t>
  </si>
  <si>
    <t>Zuysuivirus humivicinum</t>
  </si>
  <si>
    <t>Zuysuivirus humivivens</t>
  </si>
  <si>
    <t>Chimpavirus</t>
  </si>
  <si>
    <t>Chimpavirus luticola</t>
  </si>
  <si>
    <t>Hohglivirus</t>
  </si>
  <si>
    <t>Hohglivirus simiicola</t>
  </si>
  <si>
    <t>Mahrahovirus</t>
  </si>
  <si>
    <t>Mahrahovirus simiicola</t>
  </si>
  <si>
    <t>Meihzavirus</t>
  </si>
  <si>
    <t>Meihzavirus luticola</t>
  </si>
  <si>
    <t>Nicedsevirus</t>
  </si>
  <si>
    <t>Nicedsevirus caenivivens</t>
  </si>
  <si>
    <t>Sculuvirus</t>
  </si>
  <si>
    <t>Sculuvirus humenecus</t>
  </si>
  <si>
    <t>Skrubnovirus</t>
  </si>
  <si>
    <t>Skrubnovirus agrihabitans</t>
  </si>
  <si>
    <t>Tetipavirus</t>
  </si>
  <si>
    <t>Tetipavirus asiadaptatum</t>
  </si>
  <si>
    <t>Winunavirus</t>
  </si>
  <si>
    <t>Winunavirus asiadaptatum</t>
  </si>
  <si>
    <t>Epicoccum botoulivirus</t>
  </si>
  <si>
    <t>Sclerotinia botoulivirus 3</t>
  </si>
  <si>
    <t>Acremonium magoulivirus</t>
  </si>
  <si>
    <t>Cladosporium magoulivirus 1</t>
  </si>
  <si>
    <t>Cladosporium magoulivirus 2</t>
  </si>
  <si>
    <t>Colletotrichum magoulivirus</t>
  </si>
  <si>
    <t>Penicillium magoulivirus</t>
  </si>
  <si>
    <t>Phaeoacremonium magoulivirus</t>
  </si>
  <si>
    <t>Penoulivirus</t>
  </si>
  <si>
    <t>Aspergillus penoulivirus</t>
  </si>
  <si>
    <t>Cladosporium penoulivirus</t>
  </si>
  <si>
    <t>Epicoccum penoulivirus</t>
  </si>
  <si>
    <t>Magnaporthe penoulivirus</t>
  </si>
  <si>
    <t>Neofusicoccum penoulivirus</t>
  </si>
  <si>
    <t>Penicillium penoulivirus</t>
  </si>
  <si>
    <t>Phaeoacremonium penoulivirus</t>
  </si>
  <si>
    <t>Phoma penoulivirus</t>
  </si>
  <si>
    <t>Phomosis penoulivirus</t>
  </si>
  <si>
    <t>Pyricularia penoulivirus</t>
  </si>
  <si>
    <t>Sclerotinia penoulivirus</t>
  </si>
  <si>
    <t>Rhizoulivirus</t>
  </si>
  <si>
    <t>Rhizoctonia rhizoulivirus</t>
  </si>
  <si>
    <t>Cladosporium scleroulivirus</t>
  </si>
  <si>
    <t>Pyricularia scleroulivirus 3</t>
  </si>
  <si>
    <t>Aliusviridae</t>
  </si>
  <si>
    <t>Obscuruvirus</t>
  </si>
  <si>
    <t>Obscuruvirus quintum</t>
  </si>
  <si>
    <t>Ollusvirus</t>
  </si>
  <si>
    <t>Ollusvirus coleopteri</t>
  </si>
  <si>
    <t>Ollusvirus culvertonense</t>
  </si>
  <si>
    <t>Ollusvirus hanchengense</t>
  </si>
  <si>
    <t>Ollusvirus hymenopteri</t>
  </si>
  <si>
    <t>Ollusvirus insectii</t>
  </si>
  <si>
    <t>Ollusvirus scaldisense</t>
  </si>
  <si>
    <t>Ollusvirus taiyuanense</t>
  </si>
  <si>
    <t>Boscovirus</t>
  </si>
  <si>
    <t>Boscovirus hippoboscidae</t>
  </si>
  <si>
    <t>Boscovirus hypoboscidae</t>
  </si>
  <si>
    <t>Chuvivirus</t>
  </si>
  <si>
    <t>Chuvivirus brunnichi</t>
  </si>
  <si>
    <t>Chuvivirus canceris</t>
  </si>
  <si>
    <t>Culicidavirus</t>
  </si>
  <si>
    <t>Culicidavirus culicidae</t>
  </si>
  <si>
    <t>Culicidavirus culicis</t>
  </si>
  <si>
    <t>Culicidavirus imjinense</t>
  </si>
  <si>
    <t>Culicidavirus quitotaense</t>
  </si>
  <si>
    <t>Demapteravirus</t>
  </si>
  <si>
    <t>Demapteravirus dermapteri</t>
  </si>
  <si>
    <t>Doliuvirus</t>
  </si>
  <si>
    <t>Doliuvirus culisetae</t>
  </si>
  <si>
    <t>Mivirus amblyommae</t>
  </si>
  <si>
    <t>Mivirus boleense</t>
  </si>
  <si>
    <t>Mivirus changpingense</t>
  </si>
  <si>
    <t>Mivirus dermacentoris</t>
  </si>
  <si>
    <t>Mivirus genovaense</t>
  </si>
  <si>
    <t>Mivirus karukeraense</t>
  </si>
  <si>
    <t>Mivirus rhipicephali</t>
  </si>
  <si>
    <t>Mivirus suffolkense</t>
  </si>
  <si>
    <t>Mivirus wuhanense</t>
  </si>
  <si>
    <t>Morsusvirus</t>
  </si>
  <si>
    <t>Morsusvirus argatis</t>
  </si>
  <si>
    <t>Nigecruvirus</t>
  </si>
  <si>
    <t>Nigecruvirus ixodes</t>
  </si>
  <si>
    <t>Odonatavirus</t>
  </si>
  <si>
    <t>Odonatavirus draconis</t>
  </si>
  <si>
    <t>Odonatavirus fabricii</t>
  </si>
  <si>
    <t>Odonatavirus odontis</t>
  </si>
  <si>
    <t>Pediavirus</t>
  </si>
  <si>
    <t>Pediavirus cirripedis</t>
  </si>
  <si>
    <t>Piscichuvirus</t>
  </si>
  <si>
    <t>Piscichuvirus franki</t>
  </si>
  <si>
    <t>Piscichuvirus lycodontis</t>
  </si>
  <si>
    <t>Piscichuvirus sanxiaense</t>
  </si>
  <si>
    <t>Piscichuvirus wenlingense</t>
  </si>
  <si>
    <t>Pterovirus</t>
  </si>
  <si>
    <t>Pterovirus chulinense</t>
  </si>
  <si>
    <t>Scarabeuvirus</t>
  </si>
  <si>
    <t>Scarabeuvirus blattae</t>
  </si>
  <si>
    <t>Scarabeuvirus dentati</t>
  </si>
  <si>
    <t>Scarabeuvirus hubeiense</t>
  </si>
  <si>
    <t>Scarabeuvirus lampyris</t>
  </si>
  <si>
    <t>Scarabeuvirus lishiense</t>
  </si>
  <si>
    <t>Taceavirus</t>
  </si>
  <si>
    <t>Taceavirus wenlingense</t>
  </si>
  <si>
    <t>Crepuscuviridae</t>
  </si>
  <si>
    <t>Aqualaruvirus</t>
  </si>
  <si>
    <t>Aqualaruvirus sialis</t>
  </si>
  <si>
    <t>Myriaviridae</t>
  </si>
  <si>
    <t>Myriavirus</t>
  </si>
  <si>
    <t>Myriavirus myriapedis</t>
  </si>
  <si>
    <t>Natareviridae</t>
  </si>
  <si>
    <t>Charybdivirus</t>
  </si>
  <si>
    <t>Charybdivirus charybdis</t>
  </si>
  <si>
    <t>Auricularimonavirus</t>
  </si>
  <si>
    <t>Auricularimonavirus auriculariae</t>
  </si>
  <si>
    <t>Botrytimonavirus</t>
  </si>
  <si>
    <t>Botrytimonavirus botrytidis</t>
  </si>
  <si>
    <t>Botrytimonavirus glycinis</t>
  </si>
  <si>
    <t>Botrytimonavirus sclerotiniae</t>
  </si>
  <si>
    <t>Hubramonavirus hubeiense</t>
  </si>
  <si>
    <t>Hubramonavirus terrae</t>
  </si>
  <si>
    <t>Lentimonavirus</t>
  </si>
  <si>
    <t>Lentimonavirus lentinulae</t>
  </si>
  <si>
    <t>Penicillimonavirus</t>
  </si>
  <si>
    <t>Penicillimonavirus alphapenicillii</t>
  </si>
  <si>
    <t>Penicillimonavirus alphaplasmoparae</t>
  </si>
  <si>
    <t>Penicillimonavirus betapenicillii</t>
  </si>
  <si>
    <t>Penicillimonavirus betaplasmoparae</t>
  </si>
  <si>
    <t>Penicillimonavirus deltaplasmoparae</t>
  </si>
  <si>
    <t>Penicillimonavirus epsilonplasmoparae</t>
  </si>
  <si>
    <t>Penicillimonavirus etaplasmoparae</t>
  </si>
  <si>
    <t>Penicillimonavirus gammaplasmopara</t>
  </si>
  <si>
    <t>Penicillimonavirus kilnbarnense</t>
  </si>
  <si>
    <t>Penicillimonavirus zetaplasmoparae</t>
  </si>
  <si>
    <t>Phyllomonavirus</t>
  </si>
  <si>
    <t>Phyllomonavirus gysingense</t>
  </si>
  <si>
    <t>Phyllomonavirus phyllospherae</t>
  </si>
  <si>
    <t>Plasmopamonavirus</t>
  </si>
  <si>
    <t>Plasmopamonavirus plasmoparae</t>
  </si>
  <si>
    <t>Rhizomonavirus</t>
  </si>
  <si>
    <t>Rhizomonavirus mali</t>
  </si>
  <si>
    <t>Sclerotimonavirus alphaclarireediae</t>
  </si>
  <si>
    <t>Sclerotimonavirus alphaplasmoparae</t>
  </si>
  <si>
    <t>Sclerotimonavirus alternariae</t>
  </si>
  <si>
    <t>Sclerotimonavirus betaclarireediae</t>
  </si>
  <si>
    <t>Sclerotimonavirus betaplasmoparae</t>
  </si>
  <si>
    <t>Sclerotimonavirus botrytidis</t>
  </si>
  <si>
    <t>Sclerotimonavirus fusarii</t>
  </si>
  <si>
    <t>Sclerotimonavirus illinoisense</t>
  </si>
  <si>
    <t>Sclerotimonavirus penicillii</t>
  </si>
  <si>
    <t>Sclerotimonavirus sclerotiniae</t>
  </si>
  <si>
    <t>Sclerotimonavirus terrae</t>
  </si>
  <si>
    <t>Formivirus</t>
  </si>
  <si>
    <t>Alpharhabdovirinae</t>
  </si>
  <si>
    <t>Alphapaprhavirus</t>
  </si>
  <si>
    <t>Alpharicinrhavirus</t>
  </si>
  <si>
    <t>Merhavirus</t>
  </si>
  <si>
    <t>Betarhabdovirinae</t>
  </si>
  <si>
    <t>Gammarhabdovirinae</t>
  </si>
  <si>
    <t>Alphacrustrhavirus</t>
  </si>
  <si>
    <t>Alphadrosrhavirus</t>
  </si>
  <si>
    <t>Alphahymrhavirus</t>
  </si>
  <si>
    <t>Betahymrhavirus</t>
  </si>
  <si>
    <t>Betanemrhavirus</t>
  </si>
  <si>
    <t>Betapaprhavirus</t>
  </si>
  <si>
    <t>Betaricinrhavirus</t>
  </si>
  <si>
    <t>Lincruvirus europense</t>
  </si>
  <si>
    <t>Lincruvirus sinense</t>
  </si>
  <si>
    <t>Lincruvirus wenlingense</t>
  </si>
  <si>
    <t>Norwavirus</t>
  </si>
  <si>
    <t>Ocetevirus</t>
  </si>
  <si>
    <t>Sabavirus</t>
  </si>
  <si>
    <t>Xinspivirus</t>
  </si>
  <si>
    <t>Hymovirus</t>
  </si>
  <si>
    <t>Tanzavirus</t>
  </si>
  <si>
    <t>Curvulaviridae</t>
  </si>
  <si>
    <t>Orthocurvulavirus</t>
  </si>
  <si>
    <t>Curvularia orthocurvulavirus 1</t>
  </si>
  <si>
    <t>Fusarium graminearum orthocurvulavirus</t>
  </si>
  <si>
    <t>Heterobasidion orthocurvulavirus</t>
  </si>
  <si>
    <t>Lactarius rufus orthocurvulavirus 1</t>
  </si>
  <si>
    <t>Lactarius tabidus orthocurvulavirus 1</t>
  </si>
  <si>
    <t>Rhizoctonia solani orthocurvulavirus 1</t>
  </si>
  <si>
    <t>Sclerotium hydrophilum orthocurvulavirus 1</t>
  </si>
  <si>
    <t>Trichoderma harzianum orthocurvulavirus 1</t>
  </si>
  <si>
    <t>Peiartevirus</t>
  </si>
  <si>
    <t>Mibartevirus</t>
  </si>
  <si>
    <t>Caecilivirus</t>
  </si>
  <si>
    <t>Caecilivirus A</t>
  </si>
  <si>
    <t>Danipivirus</t>
  </si>
  <si>
    <t>Danipivirus A</t>
  </si>
  <si>
    <t>Fipivirus F</t>
  </si>
  <si>
    <t>Grusopivirus C</t>
  </si>
  <si>
    <t>Limnipivirus D</t>
  </si>
  <si>
    <t>Marsupivirus</t>
  </si>
  <si>
    <t>Marsupivirus A</t>
  </si>
  <si>
    <t>Mischivirus E</t>
  </si>
  <si>
    <t>Pemapivirus B</t>
  </si>
  <si>
    <t>Pygoscepivirus</t>
  </si>
  <si>
    <t>Pygoscepivirus A</t>
  </si>
  <si>
    <t>Rajidapivirus</t>
  </si>
  <si>
    <t>Rajidapivirus A</t>
  </si>
  <si>
    <t>Tropivirus B</t>
  </si>
  <si>
    <t>Physalis rugose mosaic virus</t>
  </si>
  <si>
    <t>Begonia flower breaking virus</t>
  </si>
  <si>
    <t>Costus stripe mosaic virus</t>
  </si>
  <si>
    <t>Noni mosaic virus</t>
  </si>
  <si>
    <t>Paris virus 1</t>
  </si>
  <si>
    <t>Passiflora mottle virus</t>
  </si>
  <si>
    <t>Pleione flower breaking virus</t>
  </si>
  <si>
    <t>Ugandan passiflora virus</t>
  </si>
  <si>
    <t>Bluegill hepatitis B virus</t>
  </si>
  <si>
    <t>Ruflodivirus</t>
  </si>
  <si>
    <t>Ribozyviria</t>
  </si>
  <si>
    <t>Kolmioviridae</t>
  </si>
  <si>
    <t>Daazvirus</t>
  </si>
  <si>
    <t>Daazvirus cynopis</t>
  </si>
  <si>
    <t>Dagazvirus</t>
  </si>
  <si>
    <t>Dagazvirus schedorhinotermitis</t>
  </si>
  <si>
    <t>Daletvirus</t>
  </si>
  <si>
    <t>Daletvirus boae</t>
  </si>
  <si>
    <t>Dalvirus</t>
  </si>
  <si>
    <t>Dalvirus anatis</t>
  </si>
  <si>
    <t>Deevirus</t>
  </si>
  <si>
    <t>Deevirus actinopterygii</t>
  </si>
  <si>
    <t>Deltavirus cameroonense</t>
  </si>
  <si>
    <t>Deltavirus carense</t>
  </si>
  <si>
    <t>Deltavirus italiense</t>
  </si>
  <si>
    <t>Deltavirus japanense</t>
  </si>
  <si>
    <t>Deltavirus peruense</t>
  </si>
  <si>
    <t>Deltavirus senegalense</t>
  </si>
  <si>
    <t>Deltavirus taiwanense</t>
  </si>
  <si>
    <t>Deltavirus togense</t>
  </si>
  <si>
    <t>Dobrovirus</t>
  </si>
  <si>
    <t>Dobrovirus bufonis</t>
  </si>
  <si>
    <t>Thurisazvirus</t>
  </si>
  <si>
    <t>Thurisazvirus myis</t>
  </si>
  <si>
    <t>Lymphocystis disease virus 4</t>
  </si>
  <si>
    <t>European North Atlantic ranavirus</t>
  </si>
  <si>
    <t>Daphniairidovirus</t>
  </si>
  <si>
    <t>Daphniairidovirus tvaerminne</t>
  </si>
  <si>
    <t>Polintoviricetes</t>
  </si>
  <si>
    <t>Orthopolintovirales</t>
  </si>
  <si>
    <t>Adintoviridae</t>
  </si>
  <si>
    <t>Alphadintovirus</t>
  </si>
  <si>
    <t>Alphadintovirus mayetiola</t>
  </si>
  <si>
    <t>Betadintovirus</t>
  </si>
  <si>
    <t>Betadintovirus terrapene</t>
  </si>
  <si>
    <t>Deltatectivirus</t>
  </si>
  <si>
    <t>Epsilontectivirus</t>
  </si>
  <si>
    <t>Bovine atadenovirus E</t>
  </si>
  <si>
    <t>Lizard atadenovirus B</t>
  </si>
  <si>
    <t>Guinea pig mastadenovirus A</t>
  </si>
  <si>
    <t>Psittacine siadenovirus D</t>
  </si>
  <si>
    <t>Psittacine siadenovirus E</t>
  </si>
  <si>
    <t>Testadenovirus</t>
  </si>
  <si>
    <t>Pond slider testadenovirus A</t>
  </si>
  <si>
    <t>Autolykiviridae</t>
  </si>
  <si>
    <t>Livvievirus</t>
  </si>
  <si>
    <t>Livvievirus viph1249a</t>
  </si>
  <si>
    <t>Paulavirus viph1044o</t>
  </si>
  <si>
    <t>Paulavirus</t>
  </si>
  <si>
    <t>Paulavirus viph1008o</t>
  </si>
  <si>
    <t>Paulavirus viph1020o</t>
  </si>
  <si>
    <t>Paulavirus viph1080o</t>
  </si>
  <si>
    <t>Matshushitaviridae</t>
  </si>
  <si>
    <t>Hukuchivirus</t>
  </si>
  <si>
    <t>Hukuchivirus IN93</t>
  </si>
  <si>
    <t>Simuloviridae</t>
  </si>
  <si>
    <t>Yingchengvirus</t>
  </si>
  <si>
    <t>Yingchengvirus HJIV1</t>
  </si>
  <si>
    <t>Yingchengvirus NVIV1</t>
  </si>
  <si>
    <t>Yingchengvirus SNJ1</t>
  </si>
  <si>
    <t>Naldaviricetes</t>
  </si>
  <si>
    <t>Lefavirales</t>
  </si>
  <si>
    <t>Deltanudivirus</t>
  </si>
  <si>
    <t>Gammanudivirus</t>
  </si>
  <si>
    <t>Chiapas weed alphasatellite</t>
  </si>
  <si>
    <t>Tomato leaf curl Anand alphasatellite</t>
  </si>
  <si>
    <t>Tomato yellow spot alphasatellite 2</t>
  </si>
  <si>
    <t>Sida leaf curl alphasatellite 2</t>
  </si>
  <si>
    <t>Draflysatellite</t>
  </si>
  <si>
    <t>Cotton leaf curl Cameroon alphasatellite</t>
  </si>
  <si>
    <t>Somasatellite</t>
  </si>
  <si>
    <t>Sorghum mastrevirus associated alphasatellite</t>
  </si>
  <si>
    <t>Whiflysatellite</t>
  </si>
  <si>
    <t>Milk vetch dwarf China alphasatellite</t>
  </si>
  <si>
    <t>Parsley severe stunt alphasatellite 3</t>
  </si>
  <si>
    <t>Parsley severe stunt alphasatellite 4</t>
  </si>
  <si>
    <t>Petromoalphasatellitinae</t>
  </si>
  <si>
    <t>Cocosatellite</t>
  </si>
  <si>
    <t>Coconut foliar decay alphasatellite 1</t>
  </si>
  <si>
    <t>Coconut foliar decay alphasatellite 2</t>
  </si>
  <si>
    <t>Coconut foliar decay alphasatellite 4</t>
  </si>
  <si>
    <t>Coconut foliar decay alphasatellite 5</t>
  </si>
  <si>
    <t>Coprasatellite</t>
  </si>
  <si>
    <t>Coconut foliar decay alphasatellite 7</t>
  </si>
  <si>
    <t>Kobbarisatellite</t>
  </si>
  <si>
    <t>Coconut foliar decay alphasatellite 3</t>
  </si>
  <si>
    <t>Muscarsatellite</t>
  </si>
  <si>
    <t>Bottigliavirus</t>
  </si>
  <si>
    <t>Bottigliavirus ABV</t>
  </si>
  <si>
    <t>Bottigliavirus ABV2</t>
  </si>
  <si>
    <t>Bottigliavirus ABV3</t>
  </si>
  <si>
    <t>Aleptorquevirus</t>
  </si>
  <si>
    <t>Chitorquevirus</t>
  </si>
  <si>
    <t>Dalettorquevirus</t>
  </si>
  <si>
    <t>Gimeltorquevirus</t>
  </si>
  <si>
    <t>Gyrovirus fulgla1</t>
  </si>
  <si>
    <t>Gyrovirus galga1</t>
  </si>
  <si>
    <t>Gyrovirus galga2</t>
  </si>
  <si>
    <t>Gyrovirus homsa1</t>
  </si>
  <si>
    <t>Gyrovirus homsa2</t>
  </si>
  <si>
    <t>Gyrovirus homsa3</t>
  </si>
  <si>
    <t>Gyrovirus homsa4</t>
  </si>
  <si>
    <t>Gyrovirus hydho1</t>
  </si>
  <si>
    <t>Gyrovirus myferr1</t>
  </si>
  <si>
    <t>Hetorquevirus</t>
  </si>
  <si>
    <t>Omegatorquevirus</t>
  </si>
  <si>
    <t>Omicrontorquevirus</t>
  </si>
  <si>
    <t>Pitorquevirus</t>
  </si>
  <si>
    <t>Psitorquevirus</t>
  </si>
  <si>
    <t>Rhotorquevirus</t>
  </si>
  <si>
    <t>Sigmatorquevirus</t>
  </si>
  <si>
    <t>Tettorquevirus</t>
  </si>
  <si>
    <t>Upsilontorquevirus</t>
  </si>
  <si>
    <t>Wawtorquevirus</t>
  </si>
  <si>
    <t>Xitorquevirus</t>
  </si>
  <si>
    <t>Zayintorquevirus</t>
  </si>
  <si>
    <t>Alphaglobulovirus</t>
  </si>
  <si>
    <t>Alphaglobulovirus PSV</t>
  </si>
  <si>
    <t>Alphaglobulovirus PSV2</t>
  </si>
  <si>
    <t>Alphaglobulovirus TSPV1</t>
  </si>
  <si>
    <t>Alphaglobulovirus TTSV1</t>
  </si>
  <si>
    <t>Ageratum yellow vein China betasatellite</t>
  </si>
  <si>
    <t>Codiaeum leaf curl betasatellite</t>
  </si>
  <si>
    <t>Cotton leaf curl Bahraich betasatellite</t>
  </si>
  <si>
    <t>Cotton leaf curl Bangalore betasatellite 1</t>
  </si>
  <si>
    <t>Cotton leaf curl Bangalore betasatellite 2</t>
  </si>
  <si>
    <t>Cotton leaf curl Bangalore betasatellite 3</t>
  </si>
  <si>
    <t>Cotton leaf curl Bangalore betasatellite 4</t>
  </si>
  <si>
    <t>Cotton leaf curl Burkina Faso betasatellite</t>
  </si>
  <si>
    <t>Cotton leaf curl Kashmir betasatellite</t>
  </si>
  <si>
    <t>Cotton leaf curl Tandojam betasatellite</t>
  </si>
  <si>
    <t>Emilia yellow vein betasatellite</t>
  </si>
  <si>
    <t>Emilia yellow vein Fujian betasatellite</t>
  </si>
  <si>
    <t>Erectites yellow mosaic betasatellite</t>
  </si>
  <si>
    <t>Hibiscus vein enation betasatellite</t>
  </si>
  <si>
    <t>Honeysuckle yellow vein mosaic Ibaraki betasatellite</t>
  </si>
  <si>
    <t>Honeysuckle yellow vein mosaic Nara betasatellite</t>
  </si>
  <si>
    <t>Kenaf leaf curl betasatellite</t>
  </si>
  <si>
    <t>Leucas zeylanica yellow vein betasatellite</t>
  </si>
  <si>
    <t>Lindernia anagallis yellow vein betasatellite</t>
  </si>
  <si>
    <t>Ludwigia leaf distortion betasatellite 1</t>
  </si>
  <si>
    <t>Ludwigia leaf distortion betasatellite 2</t>
  </si>
  <si>
    <t>Ludwigia leaf distortion betasatellite 3</t>
  </si>
  <si>
    <t>Ludwigia yellow vein betasatellite</t>
  </si>
  <si>
    <t>Malvastrum yellow vein betasatellite</t>
  </si>
  <si>
    <t>Malvastrum yellow vein Cambodia betasatellite</t>
  </si>
  <si>
    <t>Malvastrum yellow vein Yunnan betasatellite 1</t>
  </si>
  <si>
    <t>Malvastrum yellow vein Yunnan betasatellite 2</t>
  </si>
  <si>
    <t>Okra leaf curl betasatellite</t>
  </si>
  <si>
    <t>Papaya leaf curl Gandhinagar betasatellite</t>
  </si>
  <si>
    <t>Papaya leaf curl India betasatellite 2</t>
  </si>
  <si>
    <t>Pea leaf distortion betasatellite</t>
  </si>
  <si>
    <t>Radish leaf curl betasatellite</t>
  </si>
  <si>
    <t>Sida leaf curl betasatellite</t>
  </si>
  <si>
    <t>Sida yellow mosaic betasatellite</t>
  </si>
  <si>
    <t>Sida yellow vein Barrackpore betasatellite</t>
  </si>
  <si>
    <t>Sida yellow vein Madurai betasatellite</t>
  </si>
  <si>
    <t>Sida yellow vein Vietnam betasatellite 1</t>
  </si>
  <si>
    <t>Sida yellow vein Vietnam betasatellite 2</t>
  </si>
  <si>
    <t>Siegesbeckia yellow vein betasatellite 2</t>
  </si>
  <si>
    <t>Siegesbeckia yellow vein Guangxi betasatellite</t>
  </si>
  <si>
    <t>Tobacco leaf chlorosis betasatellite</t>
  </si>
  <si>
    <t>Tobacco leaf curl Sheikhupura betasatellite</t>
  </si>
  <si>
    <t>Tobacco leaf curl Yunnan betasatellite</t>
  </si>
  <si>
    <t>Tomato leaf curl Bangalore betasatellite 2</t>
  </si>
  <si>
    <t>Tomato leaf curl betasatellite 2</t>
  </si>
  <si>
    <t>Tomato leaf curl Bundi betasatellite</t>
  </si>
  <si>
    <t>Tomato leaf curl Ghana betasatellite 1</t>
  </si>
  <si>
    <t>Tomato leaf curl Ghana betasatellite 2</t>
  </si>
  <si>
    <t>Tomato leaf curl Hajipur betasatellite</t>
  </si>
  <si>
    <t>Tomato leaf curl India betasatellite</t>
  </si>
  <si>
    <t>Tomato leaf curl Joydebpur betasatellite 2</t>
  </si>
  <si>
    <t>Tomato leaf curl Karnataka betasatellite</t>
  </si>
  <si>
    <t>Tomato leaf curl Lucknow betasatellite</t>
  </si>
  <si>
    <t>Tomato leaf curl Pakistan betasatellite</t>
  </si>
  <si>
    <t>Tomato leaf curl Panipat betasatellite</t>
  </si>
  <si>
    <t>Tomato leaf curl Pune betasatellite</t>
  </si>
  <si>
    <t>Tomato leaf curl Ranchi betasatellite</t>
  </si>
  <si>
    <t>Tomato leaf curl Togo betasatellite</t>
  </si>
  <si>
    <t>Tomato yellow dwarf betasatellite</t>
  </si>
  <si>
    <t>Vernonia crinkle betasatellite</t>
  </si>
  <si>
    <t>Zinnia leaf curl betasatellite</t>
  </si>
  <si>
    <t>Desmodium leaf distortion deltasatellite</t>
  </si>
  <si>
    <t>Moved,Removed as Type Species,</t>
  </si>
  <si>
    <t>Renamed,Moved,Removed as Type Species,</t>
  </si>
  <si>
    <t>Removed as Type Species,</t>
  </si>
  <si>
    <t>Renamed,Removed as Type Species,</t>
  </si>
  <si>
    <t>dsDNA; ssDNA</t>
  </si>
  <si>
    <t>Abolished: The taxon is abolished (deleted) from the MSL. All constituent taxa need to be moved, otherwise they will also be deleted.
Demoted: (This one is new for 2020.) A higher rank taxon is moved to a lower rank (potentially requiring a rename). This does NOT necessarily imply that the constituent members of the promoted taxon are subject to any change.
Merged: Two separate taxa will be merged into a single taxon. The single taxon may be one of the initial two, or it could be a newly created taxon. All constituent, lower rank members will be automatically moved into the merged taxon.
Moved: A lower rank taxon and its constituent members is moved from one higher rank taxon to another. (The move usually, but not necessarily, is to a taxon (existing or new) at the same rank as the original parent.)
New: Creation of a new taxon. New ranks higher than Species must contain new (or moved) lower-rank members.
Promoted: A lower rank taxon is moved to a higher rank (usually also requiring a rename). This does NOT necessarily imply that the constituent members of the promoted taxon are subject to any change.
Renamed: A taxon is renamed. The new name must adhere to the naming rules of the ICTV Code of Virus Classification and Nomenclature.
Split: A taxon, along with its constituent members, are split into two or more taxa. The original taxon that was split may, or may not, be retained, and the resulting set of taxa into which the original was split, may consist of existing or new taxa. The change must be accompanied with an indication of where each of the constituent member taxa are to be moved. Theoretically, this action could be accomplished with a combination of changes involving Moved, Abolished, and New, but was created to maintain the history of all changes to the original taxon and its members.</t>
  </si>
  <si>
    <t>Change  definitions</t>
  </si>
  <si>
    <t>The last change made to each virus species across the entire history of the taxon. Possible changes include a combination of the following:
- Abolished
- Demoted
- Merged
- Moved
- New
- Promoted
- Renamed
- Split</t>
  </si>
  <si>
    <t>Gredihovirus paludicola</t>
  </si>
  <si>
    <t>ICTV 2022 Master Species List (MSL38)</t>
  </si>
  <si>
    <t>New MSL including all taxa updates since the 2021 release</t>
  </si>
  <si>
    <t>Ungulaviridae</t>
  </si>
  <si>
    <t>Captovirus</t>
  </si>
  <si>
    <t>Captovirus AFV1</t>
  </si>
  <si>
    <t>Maximonvirales</t>
  </si>
  <si>
    <t>Ahmunviridae</t>
  </si>
  <si>
    <t>Yumkaaxvirus</t>
  </si>
  <si>
    <t>Yumkaaxvirus pescaderoense</t>
  </si>
  <si>
    <t>Batravirus</t>
  </si>
  <si>
    <t>Batravirus ranidallo1</t>
  </si>
  <si>
    <t>Batravirus ranidallo2</t>
  </si>
  <si>
    <t>Batravirus ranidallo3</t>
  </si>
  <si>
    <t>Cyvirus</t>
  </si>
  <si>
    <t>Cyvirus anguillidallo1</t>
  </si>
  <si>
    <t>Cyvirus cyprinidallo1</t>
  </si>
  <si>
    <t>Cyvirus cyprinidallo2</t>
  </si>
  <si>
    <t>Cyvirus cyprinidallo3</t>
  </si>
  <si>
    <t>Ictavirus</t>
  </si>
  <si>
    <t>Ictavirus acipenseridallo2</t>
  </si>
  <si>
    <t>Ictavirus ictaluridallo1</t>
  </si>
  <si>
    <t>Ictavirus ictaluridallo2</t>
  </si>
  <si>
    <t>Salmovirus</t>
  </si>
  <si>
    <t>Salmovirus salmonidallo1</t>
  </si>
  <si>
    <t>Salmovirus salmonidallo2</t>
  </si>
  <si>
    <t>Salmovirus salmonidallo3</t>
  </si>
  <si>
    <t>Aurivirus haliotidmalaco1</t>
  </si>
  <si>
    <t>Ostreavirus ostreidmalaco1</t>
  </si>
  <si>
    <t>Orthoherpesviridae</t>
  </si>
  <si>
    <t>Iltovirus cacatuidalpha2</t>
  </si>
  <si>
    <t>Iltovirus gallidalpha1</t>
  </si>
  <si>
    <t>Iltovirus psittacidalpha1</t>
  </si>
  <si>
    <t>Iltovirus psittacidalpha5</t>
  </si>
  <si>
    <t>Mardivirus anatidalpha1</t>
  </si>
  <si>
    <t>Mardivirus columbidalpha1</t>
  </si>
  <si>
    <t>Mardivirus gallidalpha2</t>
  </si>
  <si>
    <t>Mardivirus gallidalpha3</t>
  </si>
  <si>
    <t>Mardivirus meleagridalpha1</t>
  </si>
  <si>
    <t>Mardivirus spheniscidalpha1</t>
  </si>
  <si>
    <t>Scutavirus chelonidalpha5</t>
  </si>
  <si>
    <t>Scutavirus testudinidalpha3</t>
  </si>
  <si>
    <t>Simplexvirus atelinealpha1</t>
  </si>
  <si>
    <t>Simplexvirus bovinealpha2</t>
  </si>
  <si>
    <t>Simplexvirus cercopithecinealpha2</t>
  </si>
  <si>
    <t>Simplexvirus humanalpha1</t>
  </si>
  <si>
    <t>Simplexvirus humanalpha2</t>
  </si>
  <si>
    <t>Simplexvirus leporidalpha4</t>
  </si>
  <si>
    <t>Simplexvirus macacinealpha1</t>
  </si>
  <si>
    <t>Simplexvirus macacinealpha2</t>
  </si>
  <si>
    <t>Simplexvirus macacinealpha3</t>
  </si>
  <si>
    <t>Simplexvirus macropodidalpha1</t>
  </si>
  <si>
    <t>Simplexvirus macropodidalpha2</t>
  </si>
  <si>
    <t>Simplexvirus macropodidalpha4</t>
  </si>
  <si>
    <t>Simplexvirus paninealpha3</t>
  </si>
  <si>
    <t>Simplexvirus papiinealpha2</t>
  </si>
  <si>
    <t>Simplexvirus pteropodidalpha1</t>
  </si>
  <si>
    <t>Simplexvirus pteropodidalpha2</t>
  </si>
  <si>
    <t>Simplexvirus saimiriinealpha1</t>
  </si>
  <si>
    <t>Varicellovirus bovinealpha1</t>
  </si>
  <si>
    <t>Varicellovirus bovinealpha5</t>
  </si>
  <si>
    <t>Varicellovirus bubalinealpha1</t>
  </si>
  <si>
    <t>Varicellovirus canidalpha1</t>
  </si>
  <si>
    <t>Varicellovirus caprinealpha1</t>
  </si>
  <si>
    <t>Varicellovirus cercopithecinealpha9</t>
  </si>
  <si>
    <t>Varicellovirus cervidalpha1</t>
  </si>
  <si>
    <t>Varicellovirus cervidalpha2</t>
  </si>
  <si>
    <t>Varicellovirus cervidalpha3</t>
  </si>
  <si>
    <t>Varicellovirus equidalpha1</t>
  </si>
  <si>
    <t>Varicellovirus equidalpha3</t>
  </si>
  <si>
    <t>Varicellovirus equidalpha4</t>
  </si>
  <si>
    <t>Varicellovirus equidalpha6</t>
  </si>
  <si>
    <t>Varicellovirus equidalpha8</t>
  </si>
  <si>
    <t>Varicellovirus equidalpha9</t>
  </si>
  <si>
    <t>Varicellovirus felidalpha1</t>
  </si>
  <si>
    <t>Varicellovirus humanalpha3</t>
  </si>
  <si>
    <t>Varicellovirus monodontidalpha1</t>
  </si>
  <si>
    <t>Varicellovirus phocidalpha1</t>
  </si>
  <si>
    <t>Varicellovirus suidalpha1</t>
  </si>
  <si>
    <t>Cytomegalovirus aotinebeta1</t>
  </si>
  <si>
    <t>Cytomegalovirus cebinebeta1</t>
  </si>
  <si>
    <t>Cytomegalovirus cercopithecinebeta5</t>
  </si>
  <si>
    <t>Cytomegalovirus humanbeta5</t>
  </si>
  <si>
    <t>Cytomegalovirus macacinebeta3</t>
  </si>
  <si>
    <t>Cytomegalovirus macacinebeta8</t>
  </si>
  <si>
    <t>Cytomegalovirus mandrillinebeta1</t>
  </si>
  <si>
    <t>Cytomegalovirus paninebeta2</t>
  </si>
  <si>
    <t>Cytomegalovirus papiinebeta3</t>
  </si>
  <si>
    <t>Cytomegalovirus papiinebeta4</t>
  </si>
  <si>
    <t>Cytomegalovirus saimiriinebeta4</t>
  </si>
  <si>
    <t>Muromegalovirus muridbeta1</t>
  </si>
  <si>
    <t>Muromegalovirus muridbeta2</t>
  </si>
  <si>
    <t>Muromegalovirus muridbeta8</t>
  </si>
  <si>
    <t>Proboscivirus elephantidbeta1</t>
  </si>
  <si>
    <t>Proboscivirus elephantidbeta3</t>
  </si>
  <si>
    <t>Proboscivirus elephantidbeta4</t>
  </si>
  <si>
    <t>Proboscivirus elephantidbeta5</t>
  </si>
  <si>
    <t>Quwivirus caviidbeta2</t>
  </si>
  <si>
    <t>Quwivirus miniopteridbeta1</t>
  </si>
  <si>
    <t>Quwivirus tupaiidbeta1</t>
  </si>
  <si>
    <t>Roseolovirus humanbeta7</t>
  </si>
  <si>
    <t>Roseolovirus humanbeta6a</t>
  </si>
  <si>
    <t>Roseolovirus humanbeta6b</t>
  </si>
  <si>
    <t>Roseolovirus macacinebeta9</t>
  </si>
  <si>
    <t>Roseolovirus muridbeta3</t>
  </si>
  <si>
    <t>Roseolovirus suidbeta2</t>
  </si>
  <si>
    <t>Bossavirus delphinidgamma1</t>
  </si>
  <si>
    <t>Lymphocryptovirus callitrichinegamma3</t>
  </si>
  <si>
    <t>Lymphocryptovirus gorillinegamma1</t>
  </si>
  <si>
    <t>Lymphocryptovirus humangamma4</t>
  </si>
  <si>
    <t>Lymphocryptovirus macacinegamma4</t>
  </si>
  <si>
    <t>Lymphocryptovirus macacinegamma10</t>
  </si>
  <si>
    <t>Lymphocryptovirus macacinegamma13</t>
  </si>
  <si>
    <t>Lymphocryptovirus paninegamma1</t>
  </si>
  <si>
    <t>Lymphocryptovirus papiinegamma1</t>
  </si>
  <si>
    <t>Lymphocryptovirus ponginegamma2</t>
  </si>
  <si>
    <t>Macavirus alcelaphinegamma1</t>
  </si>
  <si>
    <t>Macavirus alcelaphinegamma2</t>
  </si>
  <si>
    <t>Macavirus bovinegamma6</t>
  </si>
  <si>
    <t>Macavirus caprinegamma2</t>
  </si>
  <si>
    <t>Macavirus hippotraginegamma1</t>
  </si>
  <si>
    <t>Macavirus ovinegamma2</t>
  </si>
  <si>
    <t>Macavirus suidgamma3</t>
  </si>
  <si>
    <t>Macavirus suidgamma4</t>
  </si>
  <si>
    <t>Macavirus suidgamma5</t>
  </si>
  <si>
    <t>Manticavirus phascolarctidgamma1</t>
  </si>
  <si>
    <t>Manticavirus vombatidgamma1</t>
  </si>
  <si>
    <t>Patagivirus vespertilionidgamma3</t>
  </si>
  <si>
    <t>Percavirus equidgamma2</t>
  </si>
  <si>
    <t>Percavirus equidgamma5</t>
  </si>
  <si>
    <t>Percavirus felidgamma1</t>
  </si>
  <si>
    <t>Percavirus mustelidgamma1</t>
  </si>
  <si>
    <t>Percavirus phocidgamma3</t>
  </si>
  <si>
    <t>Percavirus rhinolophidgamma1</t>
  </si>
  <si>
    <t>Percavirus vespertilionidgamma1</t>
  </si>
  <si>
    <t>Rhadinovirus atelinegamma2</t>
  </si>
  <si>
    <t>Rhadinovirus atelinegamma3</t>
  </si>
  <si>
    <t>Rhadinovirus bovinegamma4</t>
  </si>
  <si>
    <t>Rhadinovirus colobinegamma1</t>
  </si>
  <si>
    <t>Rhadinovirus cricetidgamma2</t>
  </si>
  <si>
    <t>Rhadinovirus humangamma8</t>
  </si>
  <si>
    <t>Rhadinovirus macacinegamma5</t>
  </si>
  <si>
    <t>Rhadinovirus macacinegamma8</t>
  </si>
  <si>
    <t>Rhadinovirus macacinegamma11</t>
  </si>
  <si>
    <t>Rhadinovirus macacinegamma12</t>
  </si>
  <si>
    <t>Rhadinovirus muridgamma4</t>
  </si>
  <si>
    <t>Rhadinovirus muridgamma7</t>
  </si>
  <si>
    <t>Rhadinovirus saimiriinegamma2</t>
  </si>
  <si>
    <t>Crassvirales</t>
  </si>
  <si>
    <t>Crevaviridae</t>
  </si>
  <si>
    <t>Coarsevirinae</t>
  </si>
  <si>
    <t>Junduvirus</t>
  </si>
  <si>
    <t>Junduvirus communis</t>
  </si>
  <si>
    <t>Junduvirus copri</t>
  </si>
  <si>
    <t>Doltivirinae</t>
  </si>
  <si>
    <t>Kahucivirus</t>
  </si>
  <si>
    <t>Kahucivirus intestinalis</t>
  </si>
  <si>
    <t>Kingevirus</t>
  </si>
  <si>
    <t>Kingevirus communis</t>
  </si>
  <si>
    <t>Intestiviridae</t>
  </si>
  <si>
    <t>Churivirinae</t>
  </si>
  <si>
    <t>Jahgtovirus</t>
  </si>
  <si>
    <t>Jahgtovirus gastrointestinalis</t>
  </si>
  <si>
    <t>Jahgtovirus intestinalis</t>
  </si>
  <si>
    <t>Jahgtovirus intestinihominis</t>
  </si>
  <si>
    <t>Jahgtovirus secundus</t>
  </si>
  <si>
    <t>Crudevirinae</t>
  </si>
  <si>
    <t>Carjivirus</t>
  </si>
  <si>
    <t>Carjivirus communis</t>
  </si>
  <si>
    <t>Carjivirus hominis</t>
  </si>
  <si>
    <t>Dabirmavirus</t>
  </si>
  <si>
    <t>Dabirmavirus hominis</t>
  </si>
  <si>
    <t>Delmidovirus</t>
  </si>
  <si>
    <t>Delmidovirus copri</t>
  </si>
  <si>
    <t>Delmidovirus intestinihominis</t>
  </si>
  <si>
    <t>Delmidovirus splanchnicus</t>
  </si>
  <si>
    <t>Diorhovirus</t>
  </si>
  <si>
    <t>Diorhovirus copri</t>
  </si>
  <si>
    <t>Diorhovirus intestinalis</t>
  </si>
  <si>
    <t>Drivevirus</t>
  </si>
  <si>
    <t>Drivevirus gastrointestinalis</t>
  </si>
  <si>
    <t>Endlipuvirus</t>
  </si>
  <si>
    <t>Endlipuvirus intestinihominis</t>
  </si>
  <si>
    <t>Whopevirus</t>
  </si>
  <si>
    <t>Whopevirus animalis</t>
  </si>
  <si>
    <t>Obtuvirinae</t>
  </si>
  <si>
    <t>Fohxhuevirus</t>
  </si>
  <si>
    <t>Fohxhuevirus gastrointestinalis</t>
  </si>
  <si>
    <t>Hacihdavirus</t>
  </si>
  <si>
    <t>Hacihdavirus animalis</t>
  </si>
  <si>
    <t>Wotdevirus</t>
  </si>
  <si>
    <t>Wotdevirus murinus</t>
  </si>
  <si>
    <t>Steigviridae</t>
  </si>
  <si>
    <t>Asinivirinae</t>
  </si>
  <si>
    <t>Akihdevirus</t>
  </si>
  <si>
    <t>Akihdevirus balticus</t>
  </si>
  <si>
    <t>Kahnovirus</t>
  </si>
  <si>
    <t>Kahnovirus copri</t>
  </si>
  <si>
    <t>Kahnovirus oralis</t>
  </si>
  <si>
    <t>Kehishuvirus</t>
  </si>
  <si>
    <t>Kehishuvirus primarius</t>
  </si>
  <si>
    <t>Kehishuvirus splanchnicus</t>
  </si>
  <si>
    <t>Kolpuevirus</t>
  </si>
  <si>
    <t>Kolpuevirus coli</t>
  </si>
  <si>
    <t>Kolpuevirus hominis</t>
  </si>
  <si>
    <t>Lahndsivirus</t>
  </si>
  <si>
    <t>Lahndsivirus rarus</t>
  </si>
  <si>
    <t>Lebriduvirus</t>
  </si>
  <si>
    <t>Lebriduvirus gastrointestinalis</t>
  </si>
  <si>
    <t>Mahlunavirus</t>
  </si>
  <si>
    <t>Mahlunavirus rarus</t>
  </si>
  <si>
    <t>Mahstovirus</t>
  </si>
  <si>
    <t>Mahstovirus faecalis</t>
  </si>
  <si>
    <t>Pamirivirus</t>
  </si>
  <si>
    <t>Pamirivirus faecium</t>
  </si>
  <si>
    <t>Paundivirus</t>
  </si>
  <si>
    <t>Paundivirus hollandii</t>
  </si>
  <si>
    <t>Pipoluvirus</t>
  </si>
  <si>
    <t>Pipoluvirus rarus</t>
  </si>
  <si>
    <t>Wulfhauvirus</t>
  </si>
  <si>
    <t>Wulfhauvirus bangladeshii</t>
  </si>
  <si>
    <t>Suoliviridae</t>
  </si>
  <si>
    <t>Bearivirinae</t>
  </si>
  <si>
    <t>Afonbuvirus</t>
  </si>
  <si>
    <t>Afonbuvirus coli</t>
  </si>
  <si>
    <t>Afonbuvirus faecalis</t>
  </si>
  <si>
    <t>Afonbuvirus intestinihominis</t>
  </si>
  <si>
    <t>Boorivirinae</t>
  </si>
  <si>
    <t>Canhaevirus</t>
  </si>
  <si>
    <t>Canhaevirus faecalis</t>
  </si>
  <si>
    <t>Canhaevirus hiberniae</t>
  </si>
  <si>
    <t>Cohcovirus</t>
  </si>
  <si>
    <t>Cohcovirus hiberniae</t>
  </si>
  <si>
    <t>Cohcovirus splanchnicus</t>
  </si>
  <si>
    <t>Culoivirus</t>
  </si>
  <si>
    <t>Culoivirus americanus</t>
  </si>
  <si>
    <t>Culoivirus faecalis</t>
  </si>
  <si>
    <t>Culoivirus intestinalis</t>
  </si>
  <si>
    <t>Loutivirinae</t>
  </si>
  <si>
    <t>Blohavirus</t>
  </si>
  <si>
    <t>Blohavirus americanus</t>
  </si>
  <si>
    <t>Blohavirus faecalis</t>
  </si>
  <si>
    <t>Buchavirus</t>
  </si>
  <si>
    <t>Buchavirus coli</t>
  </si>
  <si>
    <t>Buchavirus copri</t>
  </si>
  <si>
    <t>Buchavirus faecalis</t>
  </si>
  <si>
    <t>Buchavirus hiberniae</t>
  </si>
  <si>
    <t>Buchavirus hominis</t>
  </si>
  <si>
    <t>Buchavirus intestinalis</t>
  </si>
  <si>
    <t>Buchavirus oralis</t>
  </si>
  <si>
    <t>Buchavirus splanchnicus</t>
  </si>
  <si>
    <t>Buorbuivirus</t>
  </si>
  <si>
    <t>Buorbuivirus hominis</t>
  </si>
  <si>
    <t>Oafivirinae</t>
  </si>
  <si>
    <t>Bohxovirus</t>
  </si>
  <si>
    <t>Bohxovirus oralis</t>
  </si>
  <si>
    <t>Buhlduvirus</t>
  </si>
  <si>
    <t>Buhlduvirus animalis</t>
  </si>
  <si>
    <t>Buhlduvirus porcinus</t>
  </si>
  <si>
    <t>Burzaovirus</t>
  </si>
  <si>
    <t>Burzaovirus coli</t>
  </si>
  <si>
    <t>Burzaovirus faecalis</t>
  </si>
  <si>
    <t>Burzaovirus intestinihominis</t>
  </si>
  <si>
    <t>Cacepaovirus</t>
  </si>
  <si>
    <t>Cacepaovirus simiae</t>
  </si>
  <si>
    <t>Chuhaivirus</t>
  </si>
  <si>
    <t>Chuhaivirus simiae</t>
  </si>
  <si>
    <t>Uncouvirinae</t>
  </si>
  <si>
    <t>Aurodevirus</t>
  </si>
  <si>
    <t>Aurodevirus hiberniae</t>
  </si>
  <si>
    <t>Aurodevirus hominis</t>
  </si>
  <si>
    <t>Aurodevirus intestinalis</t>
  </si>
  <si>
    <t>Besingivirus</t>
  </si>
  <si>
    <t>Besingivirus coli</t>
  </si>
  <si>
    <t>Birpovirus</t>
  </si>
  <si>
    <t>Birpovirus hiberniae</t>
  </si>
  <si>
    <t>Birpovirus hominis</t>
  </si>
  <si>
    <t>Dechshavirus</t>
  </si>
  <si>
    <t>Dechshavirus japanensis</t>
  </si>
  <si>
    <t>Juravirales</t>
  </si>
  <si>
    <t>Yangangviridae</t>
  </si>
  <si>
    <t>Mathaucavirus</t>
  </si>
  <si>
    <t>Mathaucavirus yangshanense</t>
  </si>
  <si>
    <t>Nohelivirus</t>
  </si>
  <si>
    <t>Nohelivirus yangshanense</t>
  </si>
  <si>
    <t>Senitvirus</t>
  </si>
  <si>
    <t>Senitvirus yangshanense</t>
  </si>
  <si>
    <t>Yanlukaviridae</t>
  </si>
  <si>
    <t>Sweetvirus</t>
  </si>
  <si>
    <t>Sweetvirus yangshanense</t>
  </si>
  <si>
    <t>Kirjokansivirales</t>
  </si>
  <si>
    <t>Graaviviridae</t>
  </si>
  <si>
    <t>Beejeyvirus</t>
  </si>
  <si>
    <t>Beejeyvirus BJ1</t>
  </si>
  <si>
    <t>Seejivirus</t>
  </si>
  <si>
    <t>Seejivirus CGphi46</t>
  </si>
  <si>
    <t>Haloferuviridae</t>
  </si>
  <si>
    <t>Dpdavirus</t>
  </si>
  <si>
    <t>Dpdavirus HRTV29</t>
  </si>
  <si>
    <t>Retbasiphovirus</t>
  </si>
  <si>
    <t>Retbasiphovirus HFTV1</t>
  </si>
  <si>
    <t>Saldibavirus</t>
  </si>
  <si>
    <t>Saldibavirus HRTV4</t>
  </si>
  <si>
    <t>Pyrstoviridae</t>
  </si>
  <si>
    <t>Hatrivirus</t>
  </si>
  <si>
    <t>Hatrivirus HATV3</t>
  </si>
  <si>
    <t>Shortaselviridae</t>
  </si>
  <si>
    <t>Lonfivirus</t>
  </si>
  <si>
    <t>Lonfivirus HSTV1</t>
  </si>
  <si>
    <t>Magrovirales</t>
  </si>
  <si>
    <t>Aoguangviridae</t>
  </si>
  <si>
    <t>Aobingvirus</t>
  </si>
  <si>
    <t>Aobingvirus yangshanense</t>
  </si>
  <si>
    <t>Methanobavirales</t>
  </si>
  <si>
    <t>Anaerodiviridae</t>
  </si>
  <si>
    <t>Metforvirus</t>
  </si>
  <si>
    <t>Metforvirus Drs3</t>
  </si>
  <si>
    <t>Leisingerviridae</t>
  </si>
  <si>
    <t>Nakonvirales</t>
  </si>
  <si>
    <t>Ahpuchviridae</t>
  </si>
  <si>
    <t>Kisinvirus</t>
  </si>
  <si>
    <t>Kisinvirus pescaderoense</t>
  </si>
  <si>
    <t>Ekchuahviridae</t>
  </si>
  <si>
    <t>Kukulkanvirus</t>
  </si>
  <si>
    <t>Kukulkanvirus guaymasense</t>
  </si>
  <si>
    <t>Kukulkanvirus mexicoense</t>
  </si>
  <si>
    <t>Thumleimavirales</t>
  </si>
  <si>
    <t>Druskaviridae</t>
  </si>
  <si>
    <t>Hacavirus</t>
  </si>
  <si>
    <t>Hacavirus HCTV1</t>
  </si>
  <si>
    <t>Tredecimvirus</t>
  </si>
  <si>
    <t>Tredecimvirus HVTV1</t>
  </si>
  <si>
    <t>Hafunaviridae</t>
  </si>
  <si>
    <t>Haloferacalesvirus HF1</t>
  </si>
  <si>
    <t>Haloferacalesvirus HJTV2</t>
  </si>
  <si>
    <t>Haloferacalesvirus HRTV5</t>
  </si>
  <si>
    <t>Haloferacalesvirus HRTV8</t>
  </si>
  <si>
    <t>Haloferacalesvirus HRTV10</t>
  </si>
  <si>
    <t>Haloferacalesvirus HSTV4</t>
  </si>
  <si>
    <t>Haloferacalesvirus Serpecor1</t>
  </si>
  <si>
    <t>Laminvirus</t>
  </si>
  <si>
    <t>Laminvirus HRTV25</t>
  </si>
  <si>
    <t>Mincapvirus</t>
  </si>
  <si>
    <t>Mincapvirus HSTV2</t>
  </si>
  <si>
    <t>Minorvirus</t>
  </si>
  <si>
    <t>Minorvirus HRTV27</t>
  </si>
  <si>
    <t>Halomagnusviridae</t>
  </si>
  <si>
    <t>Hagravirus</t>
  </si>
  <si>
    <t>Hagravirus HGTV1</t>
  </si>
  <si>
    <t>Soleiviridae</t>
  </si>
  <si>
    <t>Eilatmyovirus</t>
  </si>
  <si>
    <t>Eilatmyovirus HATV2</t>
  </si>
  <si>
    <t>Agtrevirus AG3</t>
  </si>
  <si>
    <t>Agtrevirus EM4</t>
  </si>
  <si>
    <t>Agtrevirus MK13</t>
  </si>
  <si>
    <t>Agtrevirus P46FS4</t>
  </si>
  <si>
    <t>Agtrevirus SKML39</t>
  </si>
  <si>
    <t>Limestonevirus limestone</t>
  </si>
  <si>
    <t>Limestonevirus RC2014</t>
  </si>
  <si>
    <t>Kuttervirus aagejoakim</t>
  </si>
  <si>
    <t>Kuttervirus allotria</t>
  </si>
  <si>
    <t>Kuttervirus barely</t>
  </si>
  <si>
    <t>Kuttervirus bering</t>
  </si>
  <si>
    <t>Kuttervirus BSP101</t>
  </si>
  <si>
    <t>Kuttervirus CBA120</t>
  </si>
  <si>
    <t>Kuttervirus Det7</t>
  </si>
  <si>
    <t>Kuttervirus dinky</t>
  </si>
  <si>
    <t>Kuttervirus ECML4</t>
  </si>
  <si>
    <t>Kuttervirus EP75</t>
  </si>
  <si>
    <t>Kuttervirus FEC14</t>
  </si>
  <si>
    <t>Kuttervirus GG32</t>
  </si>
  <si>
    <t>Kuttervirus heyday</t>
  </si>
  <si>
    <t>Kuttervirus kv38</t>
  </si>
  <si>
    <t>Kuttervirus maane</t>
  </si>
  <si>
    <t>Kuttervirus marshall</t>
  </si>
  <si>
    <t>Kuttervirus maynard</t>
  </si>
  <si>
    <t>Kuttervirus moki</t>
  </si>
  <si>
    <t>Kuttervirus mutine</t>
  </si>
  <si>
    <t>Kuttervirus pertopsoe</t>
  </si>
  <si>
    <t>Kuttervirus PhaxI</t>
  </si>
  <si>
    <t>Kuttervirus PM10</t>
  </si>
  <si>
    <t>Kuttervirus rabagast</t>
  </si>
  <si>
    <t>Kuttervirus S118</t>
  </si>
  <si>
    <t>Kuttervirus SE14</t>
  </si>
  <si>
    <t>Kuttervirus SeB</t>
  </si>
  <si>
    <t>Kuttervirus SeG</t>
  </si>
  <si>
    <t>Kuttervirus SeJ</t>
  </si>
  <si>
    <t>Kuttervirus SenALZ1</t>
  </si>
  <si>
    <t>Kuttervirus SenASZ3</t>
  </si>
  <si>
    <t>Kuttervirus SeSz1</t>
  </si>
  <si>
    <t>Kuttervirus SFP10</t>
  </si>
  <si>
    <t>Kuttervirus SH19</t>
  </si>
  <si>
    <t>Kuttervirus SJ2</t>
  </si>
  <si>
    <t>Kuttervirus SJ3</t>
  </si>
  <si>
    <t>Kuttervirus SP1</t>
  </si>
  <si>
    <t>Kuttervirus SS9</t>
  </si>
  <si>
    <t>Kuttervirus STML131</t>
  </si>
  <si>
    <t>Kuttervirus STW77</t>
  </si>
  <si>
    <t>Kuttervirus ViI</t>
  </si>
  <si>
    <t>Campanilevirus YC</t>
  </si>
  <si>
    <t>Kujavirus kuja</t>
  </si>
  <si>
    <t>Miltonvirus 3M</t>
  </si>
  <si>
    <t>Miltonvirus MAM1</t>
  </si>
  <si>
    <t>Nezavisimistyvirus bue1</t>
  </si>
  <si>
    <t>Nezavisimistyvirus Ea2809</t>
  </si>
  <si>
    <t>Taipeivirus 0507KN21</t>
  </si>
  <si>
    <t>Taipeivirus IME250</t>
  </si>
  <si>
    <t>Taipeivirus KpS110</t>
  </si>
  <si>
    <t>Taipeivirus KWBSE436</t>
  </si>
  <si>
    <t>Taipeivirus magnus</t>
  </si>
  <si>
    <t>Taipeivirus may</t>
  </si>
  <si>
    <t>Taipeivirus menlow</t>
  </si>
  <si>
    <t>Taipeivirus UPM2146</t>
  </si>
  <si>
    <t>Tedavirus A829</t>
  </si>
  <si>
    <t>Vapseptimavirus VAP7</t>
  </si>
  <si>
    <t>Aggregaviridae</t>
  </si>
  <si>
    <t>Harrekavirus</t>
  </si>
  <si>
    <t>Harrekavirus harreka</t>
  </si>
  <si>
    <t>Aliceevansviridae</t>
  </si>
  <si>
    <t>Brussowvirus 20617</t>
  </si>
  <si>
    <t>Brussowvirus ALQ132</t>
  </si>
  <si>
    <t>Brussowvirus bv858</t>
  </si>
  <si>
    <t>Brussowvirus bv2972</t>
  </si>
  <si>
    <t>Brussowvirus bvO1205</t>
  </si>
  <si>
    <t>Brussowvirus CHPC640</t>
  </si>
  <si>
    <t>Brussowvirus CHPC869</t>
  </si>
  <si>
    <t>Brussowvirus CHPC931</t>
  </si>
  <si>
    <t>Brussowvirus CHPC951</t>
  </si>
  <si>
    <t>Brussowvirus CHPC952</t>
  </si>
  <si>
    <t>Brussowvirus CHPC1042</t>
  </si>
  <si>
    <t>Brussowvirus CHPC1109</t>
  </si>
  <si>
    <t>Brussowvirus CHPC1152</t>
  </si>
  <si>
    <t>Brussowvirus CHPC1230</t>
  </si>
  <si>
    <t>Brussowvirus CHPC1246</t>
  </si>
  <si>
    <t>Brussowvirus CHPC1247</t>
  </si>
  <si>
    <t>Brussowvirus CHPC1248</t>
  </si>
  <si>
    <t>Brussowvirus P4761</t>
  </si>
  <si>
    <t>Brussowvirus P7571</t>
  </si>
  <si>
    <t>Brussowvirus P7951</t>
  </si>
  <si>
    <t>Brussowvirus P7952</t>
  </si>
  <si>
    <t>Brussowvirus P7953</t>
  </si>
  <si>
    <t>Brussowvirus P7954</t>
  </si>
  <si>
    <t>Brussowvirus P7955</t>
  </si>
  <si>
    <t>Brussowvirus P9853</t>
  </si>
  <si>
    <t>Brussowvirus Sfi11</t>
  </si>
  <si>
    <t>Brussowvirus SW13</t>
  </si>
  <si>
    <t>Brussowvirus SW14</t>
  </si>
  <si>
    <t>Brussowvirus SW15</t>
  </si>
  <si>
    <t>Brussowvirus SW18</t>
  </si>
  <si>
    <t>Brussowvirus SW1151</t>
  </si>
  <si>
    <t>Brussowvirus TP778L</t>
  </si>
  <si>
    <t>Brussowvirus TPJ34</t>
  </si>
  <si>
    <t>Brussowvirus VS2018a</t>
  </si>
  <si>
    <t>Moineauvirus Abc2</t>
  </si>
  <si>
    <t>Moineauvirus B0</t>
  </si>
  <si>
    <t>Moineauvirus CHPC572</t>
  </si>
  <si>
    <t>Moineauvirus CHPC595</t>
  </si>
  <si>
    <t>Moineauvirus CHPC642</t>
  </si>
  <si>
    <t>Moineauvirus CHPC663</t>
  </si>
  <si>
    <t>Moineauvirus CHPC873</t>
  </si>
  <si>
    <t>Moineauvirus CHPC875</t>
  </si>
  <si>
    <t>Moineauvirus CHPC877</t>
  </si>
  <si>
    <t>Moineauvirus CHPC879</t>
  </si>
  <si>
    <t>Moineauvirus CHPC919</t>
  </si>
  <si>
    <t>Moineauvirus CHPC925</t>
  </si>
  <si>
    <t>Moineauvirus CHPC927</t>
  </si>
  <si>
    <t>Moineauvirus CHPC928</t>
  </si>
  <si>
    <t>Moineauvirus CHPC930</t>
  </si>
  <si>
    <t>Moineauvirus CHPC950</t>
  </si>
  <si>
    <t>Moineauvirus CHPC979</t>
  </si>
  <si>
    <t>Moineauvirus CHPC1005</t>
  </si>
  <si>
    <t>Moineauvirus CHPC1027</t>
  </si>
  <si>
    <t>Moineauvirus CHPC1029</t>
  </si>
  <si>
    <t>Moineauvirus CHPC1033</t>
  </si>
  <si>
    <t>Moineauvirus CHPC1036</t>
  </si>
  <si>
    <t>Moineauvirus CHPC1041</t>
  </si>
  <si>
    <t>Moineauvirus CHPC1045</t>
  </si>
  <si>
    <t>Moineauvirus CHPC1046</t>
  </si>
  <si>
    <t>Moineauvirus CHPC1062</t>
  </si>
  <si>
    <t>Moineauvirus CHPC1067</t>
  </si>
  <si>
    <t>Moineauvirus CHPC1091</t>
  </si>
  <si>
    <t>Moineauvirus CHPC1148</t>
  </si>
  <si>
    <t>Moineauvirus CHPC1156</t>
  </si>
  <si>
    <t>Moineauvirus D1024</t>
  </si>
  <si>
    <t>Moineauvirus D1811</t>
  </si>
  <si>
    <t>Moineauvirus D4276</t>
  </si>
  <si>
    <t>Moineauvirus DT1</t>
  </si>
  <si>
    <t>Moineauvirus L5A1</t>
  </si>
  <si>
    <t>Moineauvirus M19</t>
  </si>
  <si>
    <t>Moineauvirus MM25</t>
  </si>
  <si>
    <t>Moineauvirus mv53</t>
  </si>
  <si>
    <t>Moineauvirus mv73</t>
  </si>
  <si>
    <t>Moineauvirus mv128</t>
  </si>
  <si>
    <t>Moineauvirus mv7201</t>
  </si>
  <si>
    <t>Moineauvirus mv7A5</t>
  </si>
  <si>
    <t>Moineauvirus P0091</t>
  </si>
  <si>
    <t>Moineauvirus P3681</t>
  </si>
  <si>
    <t>Moineauvirus P3684</t>
  </si>
  <si>
    <t>Moineauvirus P5641</t>
  </si>
  <si>
    <t>Moineauvirus P5651</t>
  </si>
  <si>
    <t>Moineauvirus P7132</t>
  </si>
  <si>
    <t>Moineauvirus P7133</t>
  </si>
  <si>
    <t>Moineauvirus P7134</t>
  </si>
  <si>
    <t>Moineauvirus P7151</t>
  </si>
  <si>
    <t>Moineauvirus P7152</t>
  </si>
  <si>
    <t>Moineauvirus P7154</t>
  </si>
  <si>
    <t>Moineauvirus P7573</t>
  </si>
  <si>
    <t>Moineauvirus P7574</t>
  </si>
  <si>
    <t>Moineauvirus P7601</t>
  </si>
  <si>
    <t>Moineauvirus P7602</t>
  </si>
  <si>
    <t>Moineauvirus P7631</t>
  </si>
  <si>
    <t>Moineauvirus P7632</t>
  </si>
  <si>
    <t>Moineauvirus P7633</t>
  </si>
  <si>
    <t>Moineauvirus P9851</t>
  </si>
  <si>
    <t>Moineauvirus P9854</t>
  </si>
  <si>
    <t>Moineauvirus P9901</t>
  </si>
  <si>
    <t>Moineauvirus P9902</t>
  </si>
  <si>
    <t>Moineauvirus P9903</t>
  </si>
  <si>
    <t>Moineauvirus Sfi19</t>
  </si>
  <si>
    <t>Moineauvirus Sfi21</t>
  </si>
  <si>
    <t>Moineauvirus STP1</t>
  </si>
  <si>
    <t>Moineauvirus SW1</t>
  </si>
  <si>
    <t>Moineauvirus SW2</t>
  </si>
  <si>
    <t>Moineauvirus SW3</t>
  </si>
  <si>
    <t>Moineauvirus SW5</t>
  </si>
  <si>
    <t>Moineauvirus SW6</t>
  </si>
  <si>
    <t>Moineauvirus SW7</t>
  </si>
  <si>
    <t>Moineauvirus SW8</t>
  </si>
  <si>
    <t>Moineauvirus SW11</t>
  </si>
  <si>
    <t>Moineauvirus SW12</t>
  </si>
  <si>
    <t>Moineauvirus SWK3</t>
  </si>
  <si>
    <t>Moineauvirus SWK6</t>
  </si>
  <si>
    <t>Moineauvirus VA214</t>
  </si>
  <si>
    <t>Moineauvirus VA460</t>
  </si>
  <si>
    <t>Vansinderenvirus</t>
  </si>
  <si>
    <t>Vansinderenvirus 5093</t>
  </si>
  <si>
    <t>Vansinderenvirus CHPC1198</t>
  </si>
  <si>
    <t>Vansinderenvirus CHPC1232</t>
  </si>
  <si>
    <t>Vansinderenvirus CHPC1282</t>
  </si>
  <si>
    <t>Vansinderenvirus P0092</t>
  </si>
  <si>
    <t>Vansinderenvirus P0093</t>
  </si>
  <si>
    <t>Vansinderenvirus P0095</t>
  </si>
  <si>
    <t>Vansinderenvirus SW4</t>
  </si>
  <si>
    <t>Vansinderenvirus SW19</t>
  </si>
  <si>
    <t>Vansinderenvirus SW24</t>
  </si>
  <si>
    <t>Vansinderenvirus SW27</t>
  </si>
  <si>
    <t>Arenbergviridae</t>
  </si>
  <si>
    <t>Wroclawvirus</t>
  </si>
  <si>
    <t>Wroclawvirus PA5oct</t>
  </si>
  <si>
    <t>Assiduviridae</t>
  </si>
  <si>
    <t>Cebadecemvirus</t>
  </si>
  <si>
    <t>Cebadecemvirus phi10una</t>
  </si>
  <si>
    <t>Cellubavirus</t>
  </si>
  <si>
    <t>Cellubavirus phi19una</t>
  </si>
  <si>
    <t>Nekkelsvirus</t>
  </si>
  <si>
    <t>Nekkelsvirus Nekkels</t>
  </si>
  <si>
    <t>Daemvirus acibel007</t>
  </si>
  <si>
    <t>Friunavirus AB1</t>
  </si>
  <si>
    <t>Friunavirus AB3</t>
  </si>
  <si>
    <t>Friunavirus AB6</t>
  </si>
  <si>
    <t>Friunavirus AbKT21III</t>
  </si>
  <si>
    <t>Friunavirus Abp1</t>
  </si>
  <si>
    <t>Friunavirus Aci07</t>
  </si>
  <si>
    <t>Friunavirus Aci08</t>
  </si>
  <si>
    <t>Friunavirus AS11</t>
  </si>
  <si>
    <t>Friunavirus AS12</t>
  </si>
  <si>
    <t>Friunavirus B1</t>
  </si>
  <si>
    <t>Friunavirus B3</t>
  </si>
  <si>
    <t>Friunavirus B5</t>
  </si>
  <si>
    <t>Friunavirus D2</t>
  </si>
  <si>
    <t>Friunavirus Fri1</t>
  </si>
  <si>
    <t>Friunavirus fv15519</t>
  </si>
  <si>
    <t>Friunavirus IME200</t>
  </si>
  <si>
    <t>Friunavirus P1</t>
  </si>
  <si>
    <t>Friunavirus P2</t>
  </si>
  <si>
    <t>Friunavirus PD6A3</t>
  </si>
  <si>
    <t>Friunavirus PDAB9</t>
  </si>
  <si>
    <t>Friunavirus SWHAb1</t>
  </si>
  <si>
    <t>Friunavirus SWHAb3</t>
  </si>
  <si>
    <t>Friunavirus WCHABP5</t>
  </si>
  <si>
    <t>Pettyvirus petty</t>
  </si>
  <si>
    <t>Gutovirus Vc1</t>
  </si>
  <si>
    <t>Kaohsiungvirus A318</t>
  </si>
  <si>
    <t>Kaohsiungvirus AS51</t>
  </si>
  <si>
    <t>Kaohsiungvirus Vp670</t>
  </si>
  <si>
    <t>Murciavirus CB5A</t>
  </si>
  <si>
    <t>Murciavirus CPP1m</t>
  </si>
  <si>
    <t>Trungvirus VEN</t>
  </si>
  <si>
    <t>Uliginvirus achelous</t>
  </si>
  <si>
    <t>Uliginvirus alpheus</t>
  </si>
  <si>
    <t>Uliginvirus nerthus</t>
  </si>
  <si>
    <t>Uliginvirus njord</t>
  </si>
  <si>
    <t>Uliginvirus uligo</t>
  </si>
  <si>
    <t>Kantovirus C171</t>
  </si>
  <si>
    <t>Kotilavirus PP16</t>
  </si>
  <si>
    <t>Kotilavirus PPWS1</t>
  </si>
  <si>
    <t>Kotilavirus PPWS2</t>
  </si>
  <si>
    <t>Phimunavirus CB5</t>
  </si>
  <si>
    <t>Phimunavirus Clickz</t>
  </si>
  <si>
    <t>Phimunavirus fM1</t>
  </si>
  <si>
    <t>Phimunavirus gaspode</t>
  </si>
  <si>
    <t>Phimunavirus khlen</t>
  </si>
  <si>
    <t>Phimunavirus koot</t>
  </si>
  <si>
    <t>Phimunavirus lelidair</t>
  </si>
  <si>
    <t>Phimunavirus nobby</t>
  </si>
  <si>
    <t>Phimunavirus peat1</t>
  </si>
  <si>
    <t>Phimunavirus phoria</t>
  </si>
  <si>
    <t>Phimunavirus PP90</t>
  </si>
  <si>
    <t>Phimunavirus zenivior</t>
  </si>
  <si>
    <t>Stompvirus BF2512</t>
  </si>
  <si>
    <t>Kirikabuvirus NV3</t>
  </si>
  <si>
    <t>Phikmvvirus 15pyo</t>
  </si>
  <si>
    <t>Phikmvvirus Ab05</t>
  </si>
  <si>
    <t>Phikmvvirus ABTNL</t>
  </si>
  <si>
    <t>Phikmvvirus DL62</t>
  </si>
  <si>
    <t>Phikmvvirus kF77</t>
  </si>
  <si>
    <t>Phikmvvirus LKD16</t>
  </si>
  <si>
    <t>Phikmvvirus LUZ19</t>
  </si>
  <si>
    <t>Phikmvvirus MPK6</t>
  </si>
  <si>
    <t>Phikmvvirus MPK7</t>
  </si>
  <si>
    <t>Phikmvvirus NFS</t>
  </si>
  <si>
    <t>Phikmvvirus PAXYB1</t>
  </si>
  <si>
    <t>Phikmvvirus phiKMV</t>
  </si>
  <si>
    <t>Phikmvvirus PT2</t>
  </si>
  <si>
    <t>Phikmvvirus PT5</t>
  </si>
  <si>
    <t>Phikmvvirus pv130113</t>
  </si>
  <si>
    <t>Phikmvvirus RLP</t>
  </si>
  <si>
    <t>Stubburvirus LKA1</t>
  </si>
  <si>
    <t>Tunggulvirus</t>
  </si>
  <si>
    <t>Tunggulvirus f2</t>
  </si>
  <si>
    <t>Aerosvirus AS7</t>
  </si>
  <si>
    <t>Aerosvirus av25AhydR2PP</t>
  </si>
  <si>
    <t>Aerosvirus ZPAH7</t>
  </si>
  <si>
    <t>Aghbyvirus ISAO8</t>
  </si>
  <si>
    <t>Ahphunavirus Ahp1</t>
  </si>
  <si>
    <t>Ahphunavirus CF7</t>
  </si>
  <si>
    <t>Cronosvirus DevCD23823</t>
  </si>
  <si>
    <t>Cronosvirus GAP227</t>
  </si>
  <si>
    <t>Panjvirus Spp16</t>
  </si>
  <si>
    <t>Pienvirus R801</t>
  </si>
  <si>
    <t>Pokrovskaiavirus fHeYen301</t>
  </si>
  <si>
    <t>Pokrovskaiavirus pv8018</t>
  </si>
  <si>
    <t>Wanjuvirus arno160</t>
  </si>
  <si>
    <t>Wanjuvirus PP2</t>
  </si>
  <si>
    <t>Acadevirus PM85</t>
  </si>
  <si>
    <t>Acadevirus PM93</t>
  </si>
  <si>
    <t>Acadevirus PM116</t>
  </si>
  <si>
    <t>Acadevirus Pm5460</t>
  </si>
  <si>
    <t>Axomammavirus PP1</t>
  </si>
  <si>
    <t>Eracentumvirus era103</t>
  </si>
  <si>
    <t>Eracentumvirus S2</t>
  </si>
  <si>
    <t>Tuodvirus phD2B</t>
  </si>
  <si>
    <t>Vectrevirus AAPEc6</t>
  </si>
  <si>
    <t>Vectrevirus ACGC91</t>
  </si>
  <si>
    <t>Vectrevirus bee</t>
  </si>
  <si>
    <t>Vectrevirus cee</t>
  </si>
  <si>
    <t>Vectrevirus CrRp3</t>
  </si>
  <si>
    <t>Vectrevirus K15</t>
  </si>
  <si>
    <t>Vectrevirus K1E</t>
  </si>
  <si>
    <t>Vectrevirus kay</t>
  </si>
  <si>
    <t>Vectrevirus LL11</t>
  </si>
  <si>
    <t>Vectrevirus mutPK1A2</t>
  </si>
  <si>
    <t>Vectrevirus VEc3</t>
  </si>
  <si>
    <t>Zindervirus BP12B</t>
  </si>
  <si>
    <t>Zindervirus SP6</t>
  </si>
  <si>
    <t>Zindervirus UAB78</t>
  </si>
  <si>
    <t>Ampunavirus BpAMP1</t>
  </si>
  <si>
    <t>Ampunavirus RSPI1</t>
  </si>
  <si>
    <t>Higashivirus RSB1</t>
  </si>
  <si>
    <t>Higashivirus RsoP1IDN</t>
  </si>
  <si>
    <t>Mguuvirus JG068</t>
  </si>
  <si>
    <t>Risjevirus RSJ2</t>
  </si>
  <si>
    <t>Risjevirus RSJ5</t>
  </si>
  <si>
    <t>Sukuvirus RSPII1</t>
  </si>
  <si>
    <t>Bucovirus buco</t>
  </si>
  <si>
    <t>Drulisvirus altogao</t>
  </si>
  <si>
    <t>Drulisvirus BO1E</t>
  </si>
  <si>
    <t>Drulisvirus F19</t>
  </si>
  <si>
    <t>Drulisvirus K244</t>
  </si>
  <si>
    <t>Drulisvirus Kp2</t>
  </si>
  <si>
    <t>Drulisvirus KP34</t>
  </si>
  <si>
    <t>Drulisvirus KPRio2015</t>
  </si>
  <si>
    <t>Drulisvirus KpS2</t>
  </si>
  <si>
    <t>Drulisvirus KpV41</t>
  </si>
  <si>
    <t>Drulisvirus KpV48</t>
  </si>
  <si>
    <t>Drulisvirus KpV71</t>
  </si>
  <si>
    <t>Drulisvirus KpV74</t>
  </si>
  <si>
    <t>Drulisvirus KpV475</t>
  </si>
  <si>
    <t>Drulisvirus KPV811</t>
  </si>
  <si>
    <t>Drulisvirus minorna</t>
  </si>
  <si>
    <t>Drulisvirus myPSH1235</t>
  </si>
  <si>
    <t>Drulisvirus SFN6B</t>
  </si>
  <si>
    <t>Drulisvirus SU503</t>
  </si>
  <si>
    <t>Drulisvirus SU552A</t>
  </si>
  <si>
    <t>Koutsourovirus KDA1</t>
  </si>
  <si>
    <t>Novosibovirus PM16</t>
  </si>
  <si>
    <t>Novosibovirus PM75</t>
  </si>
  <si>
    <t>Aarhusvirus dagda</t>
  </si>
  <si>
    <t>Aarhusvirus katbat</t>
  </si>
  <si>
    <t>Aarhusvirus luksen</t>
  </si>
  <si>
    <t>Aarhusvirus mysterion</t>
  </si>
  <si>
    <t>Apdecimavirus AP10</t>
  </si>
  <si>
    <t>Berlinvirus 285P</t>
  </si>
  <si>
    <t>Berlinvirus A7</t>
  </si>
  <si>
    <t>Berlinvirus BA14</t>
  </si>
  <si>
    <t>Berlinvirus berlin</t>
  </si>
  <si>
    <t>Berlinvirus BP12A</t>
  </si>
  <si>
    <t>Berlinvirus BSP161</t>
  </si>
  <si>
    <t>Berlinvirus FE44</t>
  </si>
  <si>
    <t>Berlinvirus Kvp1</t>
  </si>
  <si>
    <t>Berlinvirus P483</t>
  </si>
  <si>
    <t>Berlinvirus P694</t>
  </si>
  <si>
    <t>Berlinvirus PP74</t>
  </si>
  <si>
    <t>Berlinvirus PYPS50</t>
  </si>
  <si>
    <t>Berlinvirus RN5i1</t>
  </si>
  <si>
    <t>Berlinvirus S523</t>
  </si>
  <si>
    <t>Berlinvirus Yepe2</t>
  </si>
  <si>
    <t>Berlinvirus Yepf</t>
  </si>
  <si>
    <t>Caroctavirus CR8</t>
  </si>
  <si>
    <t>Chatterjeevirus ICP3</t>
  </si>
  <si>
    <t>Chatterjeevirus N4</t>
  </si>
  <si>
    <t>Chatterjeevirus VP4</t>
  </si>
  <si>
    <t>Eapunavirus Eap1</t>
  </si>
  <si>
    <t>Elunavirus L1</t>
  </si>
  <si>
    <t>Foetvirus SRT7</t>
  </si>
  <si>
    <t>Ghunavirus 17A</t>
  </si>
  <si>
    <t>Ghunavirus gh1</t>
  </si>
  <si>
    <t>Ghunavirus henninger</t>
  </si>
  <si>
    <t>Ghunavirus KNP</t>
  </si>
  <si>
    <t>Ghunavirus Pf1ERZ2017</t>
  </si>
  <si>
    <t>Ghunavirus PPPL1</t>
  </si>
  <si>
    <t>Ghunavirus PSA2</t>
  </si>
  <si>
    <t>Ghunavirus Psa17</t>
  </si>
  <si>
    <t>Ghunavirus shl2</t>
  </si>
  <si>
    <t>Ghunavirus WRT</t>
  </si>
  <si>
    <t>Helsettvirus fPS9</t>
  </si>
  <si>
    <t>Helsettvirus fPS53</t>
  </si>
  <si>
    <t>Helsettvirus fPS59</t>
  </si>
  <si>
    <t>Helsettvirus fPS54ocr</t>
  </si>
  <si>
    <t>Jarilovirus jarilo</t>
  </si>
  <si>
    <t>Kayfunavirus CR44b</t>
  </si>
  <si>
    <t>Kayfunavirus Dev2</t>
  </si>
  <si>
    <t>Kayfunavirus EcoDS1</t>
  </si>
  <si>
    <t>Kayfunavirus EcpYZU01</t>
  </si>
  <si>
    <t>Kayfunavirus F</t>
  </si>
  <si>
    <t>Kayfunavirus GA2A</t>
  </si>
  <si>
    <t>Kayfunavirus GW1</t>
  </si>
  <si>
    <t>Kayfunavirus IMM002</t>
  </si>
  <si>
    <t>Kayfunavirus K1F</t>
  </si>
  <si>
    <t>Kayfunavirus LM33P1</t>
  </si>
  <si>
    <t>Kayfunavirus PE31</t>
  </si>
  <si>
    <t>Kayfunavirus Ro45lw</t>
  </si>
  <si>
    <t>Kayfunavirus SFPH2</t>
  </si>
  <si>
    <t>Kayfunavirus SH3</t>
  </si>
  <si>
    <t>Kayfunavirus SH4</t>
  </si>
  <si>
    <t>Kayfunavirus ST31</t>
  </si>
  <si>
    <t>Kayfunavirus Vec13</t>
  </si>
  <si>
    <t>Kayfunavirus YZ1</t>
  </si>
  <si>
    <t>Kayfunavirus ZG49</t>
  </si>
  <si>
    <t>Minipunavirus MmP1</t>
  </si>
  <si>
    <t>Minipunavirus MP2</t>
  </si>
  <si>
    <t>Ningirsuvirus JA10</t>
  </si>
  <si>
    <t>Ningirsuvirus ninurta</t>
  </si>
  <si>
    <t>Pektosvirus PP47</t>
  </si>
  <si>
    <t>Pektosvirus PP81</t>
  </si>
  <si>
    <t>Pektosvirus PPWS4</t>
  </si>
  <si>
    <t>Phutvirus PPpW4</t>
  </si>
  <si>
    <t>Pifdecavirus IBBPF7A</t>
  </si>
  <si>
    <t>Pifdecavirus Pf10</t>
  </si>
  <si>
    <t>Pifdecavirus PFP1</t>
  </si>
  <si>
    <t>Pifdecavirus PhiS1</t>
  </si>
  <si>
    <t>Pifdecavirus pv22PfluR64PP</t>
  </si>
  <si>
    <t>Pifdecavirus UNOSLW1</t>
  </si>
  <si>
    <t>Pijolavirus PspYZU08</t>
  </si>
  <si>
    <t>Przondovirus 2044307w</t>
  </si>
  <si>
    <t>Przondovirus BIS33</t>
  </si>
  <si>
    <t>Przondovirus henu1</t>
  </si>
  <si>
    <t>Przondovirus IL33</t>
  </si>
  <si>
    <t>Przondovirus IME205</t>
  </si>
  <si>
    <t>Przondovirus IME321</t>
  </si>
  <si>
    <t>Przondovirus K5</t>
  </si>
  <si>
    <t>Przondovirus K11</t>
  </si>
  <si>
    <t>Przondovirus K30</t>
  </si>
  <si>
    <t>Przondovirus K52</t>
  </si>
  <si>
    <t>Przondovirus K54</t>
  </si>
  <si>
    <t>Przondovirus KN11</t>
  </si>
  <si>
    <t>Przondovirus KN31</t>
  </si>
  <si>
    <t>Przondovirus KN41</t>
  </si>
  <si>
    <t>Przondovirus Kp1</t>
  </si>
  <si>
    <t>Przondovirus KP32</t>
  </si>
  <si>
    <t>Przondovirus KP32i192</t>
  </si>
  <si>
    <t>Przondovirus KP32i194</t>
  </si>
  <si>
    <t>Przondovirus KP32i195</t>
  </si>
  <si>
    <t>Przondovirus KP32i196</t>
  </si>
  <si>
    <t>Przondovirus kpssk3</t>
  </si>
  <si>
    <t>Przondovirus KpV289</t>
  </si>
  <si>
    <t>Przondovirus KpV763</t>
  </si>
  <si>
    <t>Przondovirus KpV766</t>
  </si>
  <si>
    <t>Przondovirus KpV767</t>
  </si>
  <si>
    <t>Przondovirus pharr</t>
  </si>
  <si>
    <t>Przondovirus PRA33</t>
  </si>
  <si>
    <t>Przondovirus SHKp152234</t>
  </si>
  <si>
    <t>Przondovirus SHKp152410</t>
  </si>
  <si>
    <t>Teetrevirus 2050H2</t>
  </si>
  <si>
    <t>Teetrevirus AP5</t>
  </si>
  <si>
    <t>Teetrevirus CFP1</t>
  </si>
  <si>
    <t>Teetrevirus E2</t>
  </si>
  <si>
    <t>Teetrevirus E3</t>
  </si>
  <si>
    <t>Teetrevirus ECA2</t>
  </si>
  <si>
    <t>Teetrevirus KPN3</t>
  </si>
  <si>
    <t>Teetrevirus LL2</t>
  </si>
  <si>
    <t>Teetrevirus RPN15</t>
  </si>
  <si>
    <t>Teetrevirus SGJL2</t>
  </si>
  <si>
    <t>Teetrevirus SH1</t>
  </si>
  <si>
    <t>Teetrevirus SH2</t>
  </si>
  <si>
    <t>Teetrevirus SM93Y</t>
  </si>
  <si>
    <t>Teetrevirus T3</t>
  </si>
  <si>
    <t>Teetrevirus T3Luria</t>
  </si>
  <si>
    <t>Teetrevirus T7M</t>
  </si>
  <si>
    <t>Teetrevirus tv10164302</t>
  </si>
  <si>
    <t>Teetrevirus YeF10</t>
  </si>
  <si>
    <t>Teetrevirus YeO312</t>
  </si>
  <si>
    <t>Teseptimavirus 13a</t>
  </si>
  <si>
    <t>Teseptimavirus C5</t>
  </si>
  <si>
    <t>Teseptimavirus CICC80001</t>
  </si>
  <si>
    <t>Teseptimavirus ebrios</t>
  </si>
  <si>
    <t>Teseptimavirus EG1</t>
  </si>
  <si>
    <t>Teseptimavirus HZ2R8</t>
  </si>
  <si>
    <t>Teseptimavirus HZP2</t>
  </si>
  <si>
    <t>Teseptimavirus IME15</t>
  </si>
  <si>
    <t>Teseptimavirus IME390</t>
  </si>
  <si>
    <t>Teseptimavirus N30</t>
  </si>
  <si>
    <t>Teseptimavirus NCA</t>
  </si>
  <si>
    <t>Teseptimavirus T7</t>
  </si>
  <si>
    <t>Teseptimavirus tv3A8767</t>
  </si>
  <si>
    <t>Teseptimavirus tv64795ec1</t>
  </si>
  <si>
    <t>Teseptimavirus Vi06</t>
  </si>
  <si>
    <t>Teseptimavirus YpPY</t>
  </si>
  <si>
    <t>Teseptimavirus YpsPG</t>
  </si>
  <si>
    <t>Troedvirus Phi15</t>
  </si>
  <si>
    <t>Unyawovirus DUPPII</t>
  </si>
  <si>
    <t>Warsawvirus 3MF5</t>
  </si>
  <si>
    <t>Aegirvirus SCBP42</t>
  </si>
  <si>
    <t>Anchaingvirus anchaing</t>
  </si>
  <si>
    <t>Aqualcavirus P14</t>
  </si>
  <si>
    <t>Atuphduovirus atuph02</t>
  </si>
  <si>
    <t>Atuphduovirus atuph03</t>
  </si>
  <si>
    <t>Ayakvirus Ap1</t>
  </si>
  <si>
    <t>Banchanvirus SS1201</t>
  </si>
  <si>
    <t>Bifseptvirus andromeda</t>
  </si>
  <si>
    <t>Bifseptvirus Bf7</t>
  </si>
  <si>
    <t>Bonnellvirus J865</t>
  </si>
  <si>
    <t>Bonnellvirus lidtsur</t>
  </si>
  <si>
    <t>Cheungvirus NATL1A7</t>
  </si>
  <si>
    <t>Cuernavacavirus RHEph02</t>
  </si>
  <si>
    <t>Cuernavacavirus RHEph08</t>
  </si>
  <si>
    <t>Cuernavacavirus RHEph09</t>
  </si>
  <si>
    <t>Cyclitvirus cyclit</t>
  </si>
  <si>
    <t>Ermolevavirus PGT2</t>
  </si>
  <si>
    <t>Ermolevavirus PhiKT</t>
  </si>
  <si>
    <t>Foturvirus H44</t>
  </si>
  <si>
    <t>Gajwadongvirus ECBP5</t>
  </si>
  <si>
    <t>Gajwadongvirus PP99</t>
  </si>
  <si>
    <t>Gyeongsanvirus DURPI</t>
  </si>
  <si>
    <t>Gyeongsanvirus RsoP1EGY</t>
  </si>
  <si>
    <t>Igirivirus STIP37</t>
  </si>
  <si>
    <t>Jiaoyazivirus RSB3</t>
  </si>
  <si>
    <t>Kafavirus SWcelC56</t>
  </si>
  <si>
    <t>Kajamvirus SRIP1</t>
  </si>
  <si>
    <t>Kakivirus PS3</t>
  </si>
  <si>
    <t>Kalppathivirus P26059B</t>
  </si>
  <si>
    <t>Kelmasvirus RSB2</t>
  </si>
  <si>
    <t>Kembevirus SCBP2</t>
  </si>
  <si>
    <t>Lauvirus lau218</t>
  </si>
  <si>
    <t>Limelightvirus limelight</t>
  </si>
  <si>
    <t>Lingvirus PGSP1</t>
  </si>
  <si>
    <t>Lirvirus SCBP3</t>
  </si>
  <si>
    <t>Lullwatervirus lullwater</t>
  </si>
  <si>
    <t>Maculvirus KF1</t>
  </si>
  <si>
    <t>Maculvirus KF2</t>
  </si>
  <si>
    <t>Maculvirus OWB</t>
  </si>
  <si>
    <t>Maculvirus VP93</t>
  </si>
  <si>
    <t>Napahaivirus VSW3</t>
  </si>
  <si>
    <t>Paadamvirus RHEph01</t>
  </si>
  <si>
    <t>Pairvirus Lo5R7ANS</t>
  </si>
  <si>
    <t>Pelagivirus HTVC019P</t>
  </si>
  <si>
    <t>Percyvirus percy</t>
  </si>
  <si>
    <t>Piedvirus IMEDE1</t>
  </si>
  <si>
    <t>Pollyceevirus pollyC</t>
  </si>
  <si>
    <t>Poseidonvirus SCBP4</t>
  </si>
  <si>
    <t>Pradovirus f20</t>
  </si>
  <si>
    <t>Pradovirus f30</t>
  </si>
  <si>
    <t>Pradovirus prado</t>
  </si>
  <si>
    <t>Pradovirus XAJ24</t>
  </si>
  <si>
    <t>Pradovirus Xc10</t>
  </si>
  <si>
    <t>Qadamvirus SB28</t>
  </si>
  <si>
    <t>Scottvirus scott</t>
  </si>
  <si>
    <t>Sednavirus SRIP2</t>
  </si>
  <si>
    <t>Serkorvirus ITL1</t>
  </si>
  <si>
    <t>Stompelvirus RPSC1</t>
  </si>
  <si>
    <t>Stopavirus HTVC011P</t>
  </si>
  <si>
    <t>Tangaroavirus NATL2A133</t>
  </si>
  <si>
    <t>Tangaroavirus PSSP10</t>
  </si>
  <si>
    <t>Tangaroavirus tv951510a</t>
  </si>
  <si>
    <t>Tawavirus JSF7</t>
  </si>
  <si>
    <t>Tiamatvirus PSSP7</t>
  </si>
  <si>
    <t>Tiilvirus P60</t>
  </si>
  <si>
    <t>Tritonvirus PSSP2</t>
  </si>
  <si>
    <t>Tritonvirus PSSP3</t>
  </si>
  <si>
    <t>Voetvirus syn5</t>
  </si>
  <si>
    <t>Waewaevirus limezero</t>
  </si>
  <si>
    <t>Wuhanvirus PHB01</t>
  </si>
  <si>
    <t>Wuhanvirus PHB02</t>
  </si>
  <si>
    <t>Youngvirus</t>
  </si>
  <si>
    <t>Youngvirus G1</t>
  </si>
  <si>
    <t>Casjensviridae</t>
  </si>
  <si>
    <t>Broinstvirus</t>
  </si>
  <si>
    <t>Broinstvirus pCB2051A</t>
  </si>
  <si>
    <t>Cenphatecvirus</t>
  </si>
  <si>
    <t>Cenphatecvirus saba</t>
  </si>
  <si>
    <t>Chivirus BSPM4</t>
  </si>
  <si>
    <t>Chivirus chi</t>
  </si>
  <si>
    <t>Chivirus cv35</t>
  </si>
  <si>
    <t>Chivirus cv37</t>
  </si>
  <si>
    <t>Chivirus cv118970sal1</t>
  </si>
  <si>
    <t>Chivirus ER24</t>
  </si>
  <si>
    <t>Chivirus FSLSP030</t>
  </si>
  <si>
    <t>Chivirus FSLSP088</t>
  </si>
  <si>
    <t>Chivirus iEPS5</t>
  </si>
  <si>
    <t>Chivirus KFSSE1</t>
  </si>
  <si>
    <t>Chivirus KpYy141</t>
  </si>
  <si>
    <t>Chivirus SeWh1</t>
  </si>
  <si>
    <t>Chivirus siskin</t>
  </si>
  <si>
    <t>Chivirus SPN19</t>
  </si>
  <si>
    <t>Chivirus ST101</t>
  </si>
  <si>
    <t>Chivirus YSD1</t>
  </si>
  <si>
    <t>Dunedinvirus</t>
  </si>
  <si>
    <t>Dunedinvirus JS26</t>
  </si>
  <si>
    <t>Enchivirus</t>
  </si>
  <si>
    <t>Enchivirus Enc34</t>
  </si>
  <si>
    <t>Fengtaivirus</t>
  </si>
  <si>
    <t>Fengtaivirus Axp2</t>
  </si>
  <si>
    <t>Gediminasvirus</t>
  </si>
  <si>
    <t>Gediminasvirus AchV4</t>
  </si>
  <si>
    <t>Gwanakrovirus</t>
  </si>
  <si>
    <t>Gwanakrovirus SNUABM08</t>
  </si>
  <si>
    <t>Jacunavirus</t>
  </si>
  <si>
    <t>Jacunavirus JC01</t>
  </si>
  <si>
    <t>Kokobelvirus</t>
  </si>
  <si>
    <t>Kokobelvirus kokobel1</t>
  </si>
  <si>
    <t>Lavrentievavirus</t>
  </si>
  <si>
    <t>Lavrentieva E21</t>
  </si>
  <si>
    <t>Lavrentieva PM87</t>
  </si>
  <si>
    <t>Lavrentieva pPM01</t>
  </si>
  <si>
    <t>Maxdohrnvirus</t>
  </si>
  <si>
    <t>Maxdohrnvirus SS2019XI</t>
  </si>
  <si>
    <t>Newforgelanevirus</t>
  </si>
  <si>
    <t>Newforgelanevirus MA12</t>
  </si>
  <si>
    <t>Phobosvirus</t>
  </si>
  <si>
    <t>Phobosvirus phobos</t>
  </si>
  <si>
    <t>Phobosvirus PspYZU01</t>
  </si>
  <si>
    <t>Redjacvirus</t>
  </si>
  <si>
    <t>Redjacvirus piberecoleta</t>
  </si>
  <si>
    <t>Redjacvirus redjac</t>
  </si>
  <si>
    <t>Redjacvirus stilesk</t>
  </si>
  <si>
    <t>Salvovirus</t>
  </si>
  <si>
    <t>Salvovirus bacata</t>
  </si>
  <si>
    <t>Salvovirus salvo</t>
  </si>
  <si>
    <t>Seodaemunguvirus</t>
  </si>
  <si>
    <t>Seodaemunguvirus YMC16-01N133</t>
  </si>
  <si>
    <t>Sessunavirus</t>
  </si>
  <si>
    <t>Sessunavirus SESS1</t>
  </si>
  <si>
    <t>Sharonstreetvirus</t>
  </si>
  <si>
    <t>Sharonstreetvirus A18P4</t>
  </si>
  <si>
    <t>Sharonstreetvirus BUCT551</t>
  </si>
  <si>
    <t>Sharonstreetvirus LAh7</t>
  </si>
  <si>
    <t>Yonseivirus N137</t>
  </si>
  <si>
    <t>Yonseivirus seifer</t>
  </si>
  <si>
    <t>Yonseivirus soft</t>
  </si>
  <si>
    <t>Zhonglingvirus</t>
  </si>
  <si>
    <t>Zhonglingvirus SAP012</t>
  </si>
  <si>
    <t>Carltongylesvirus flopper</t>
  </si>
  <si>
    <t>Carltongylesvirus GJ1</t>
  </si>
  <si>
    <t>Carltongylesvirus mangalitsa</t>
  </si>
  <si>
    <t>Carltongylesvirus ST32</t>
  </si>
  <si>
    <t>Faunusvirus faunus</t>
  </si>
  <si>
    <t>Loessnervirus SSEM1</t>
  </si>
  <si>
    <t>Loessnervirus Y2</t>
  </si>
  <si>
    <t>Myducvirus myduc</t>
  </si>
  <si>
    <t>Sabourvirus sv4HA13</t>
  </si>
  <si>
    <t>Suwonvirus PM1</t>
  </si>
  <si>
    <t>Suwonvirus PP101</t>
  </si>
  <si>
    <t>Pahsextavirus pAh6C</t>
  </si>
  <si>
    <t>Yushanvirus Spp001</t>
  </si>
  <si>
    <t>Yushanvirus SppYZU05</t>
  </si>
  <si>
    <t>Shantouvirus</t>
  </si>
  <si>
    <t>Shantouvirus ZPAH14</t>
  </si>
  <si>
    <t>Cetovirus ceto</t>
  </si>
  <si>
    <t>Jesfedecavirus JSF10</t>
  </si>
  <si>
    <t>Jesfedecavirus JSF12</t>
  </si>
  <si>
    <t>Jesfedecavirus phi3</t>
  </si>
  <si>
    <t>Thalassavirus</t>
  </si>
  <si>
    <t>Thalassavirus achelous</t>
  </si>
  <si>
    <t>Thalassavirus AG74</t>
  </si>
  <si>
    <t>Thalassavirus athena</t>
  </si>
  <si>
    <t>Thalassavirus bennett</t>
  </si>
  <si>
    <t>Thalassavirus brizo</t>
  </si>
  <si>
    <t>Thalassavirus chester</t>
  </si>
  <si>
    <t>Thalassavirus cody</t>
  </si>
  <si>
    <t>Thalassavirus gary</t>
  </si>
  <si>
    <t>Thalassavirus pontus</t>
  </si>
  <si>
    <t>Thalassavirus quinn</t>
  </si>
  <si>
    <t>Thalassavirus river4</t>
  </si>
  <si>
    <t>Thalassavirus thalassa</t>
  </si>
  <si>
    <t>Vipunavirus pVp1</t>
  </si>
  <si>
    <t>Epseptimavirus 100268sal2</t>
  </si>
  <si>
    <t>Epseptimavirus 118970sal2</t>
  </si>
  <si>
    <t>Epseptimavirus atrejo</t>
  </si>
  <si>
    <t>Epseptimavirus bastian</t>
  </si>
  <si>
    <t>Epseptimavirus bombadil</t>
  </si>
  <si>
    <t>Epseptimavirus EPS7</t>
  </si>
  <si>
    <t>Epseptimavirus ev23</t>
  </si>
  <si>
    <t>Epseptimavirus ev119</t>
  </si>
  <si>
    <t>Epseptimavirus ev123</t>
  </si>
  <si>
    <t>Epseptimavirus ev129</t>
  </si>
  <si>
    <t>Epseptimavirus ev329</t>
  </si>
  <si>
    <t>Epseptimavirus faergetype</t>
  </si>
  <si>
    <t>Epseptimavirus fuchur</t>
  </si>
  <si>
    <t>Epseptimavirus LVR16A</t>
  </si>
  <si>
    <t>Epseptimavirus mar003J3</t>
  </si>
  <si>
    <t>Epseptimavirus oselot</t>
  </si>
  <si>
    <t>Epseptimavirus OSYSTA</t>
  </si>
  <si>
    <t>Epseptimavirus R201</t>
  </si>
  <si>
    <t>Epseptimavirus RN29</t>
  </si>
  <si>
    <t>Epseptimavirus rokbiter</t>
  </si>
  <si>
    <t>Epseptimavirus S113</t>
  </si>
  <si>
    <t>Epseptimavirus S114</t>
  </si>
  <si>
    <t>Epseptimavirus S116</t>
  </si>
  <si>
    <t>Epseptimavirus S124</t>
  </si>
  <si>
    <t>Epseptimavirus S126</t>
  </si>
  <si>
    <t>Epseptimavirus S132</t>
  </si>
  <si>
    <t>Epseptimavirus S133</t>
  </si>
  <si>
    <t>Epseptimavirus S147</t>
  </si>
  <si>
    <t>Epseptimavirus saus132</t>
  </si>
  <si>
    <t>Epseptimavirus SB13</t>
  </si>
  <si>
    <t>Epseptimavirus SE24</t>
  </si>
  <si>
    <t>Epseptimavirus seafire</t>
  </si>
  <si>
    <t>Epseptimavirus sepoy</t>
  </si>
  <si>
    <t>Epseptimavirus SH9</t>
  </si>
  <si>
    <t>Epseptimavirus STG2</t>
  </si>
  <si>
    <t>Epseptimavirus stitch</t>
  </si>
  <si>
    <t>Epseptimavirus Sw2</t>
  </si>
  <si>
    <t>Tequintavirus AKFV33</t>
  </si>
  <si>
    <t>Tequintavirus APCEc03</t>
  </si>
  <si>
    <t>Tequintavirus BF23</t>
  </si>
  <si>
    <t>Tequintavirus chee24</t>
  </si>
  <si>
    <t>Tequintavirus DT5712</t>
  </si>
  <si>
    <t>Tequintavirus DT57C</t>
  </si>
  <si>
    <t>Tequintavirus FFH1</t>
  </si>
  <si>
    <t>Tequintavirus fp01</t>
  </si>
  <si>
    <t>Tequintavirus gostya9</t>
  </si>
  <si>
    <t>Tequintavirus H8</t>
  </si>
  <si>
    <t>Tequintavirus HdH2</t>
  </si>
  <si>
    <t>Tequintavirus L6jm</t>
  </si>
  <si>
    <t>Tequintavirus LLS</t>
  </si>
  <si>
    <t>Tequintavirus mar004NP2</t>
  </si>
  <si>
    <t>Tequintavirus NBEco001</t>
  </si>
  <si>
    <t>Tequintavirus NBEco002</t>
  </si>
  <si>
    <t>Tequintavirus NBSal003</t>
  </si>
  <si>
    <t>Tequintavirus NBSal005</t>
  </si>
  <si>
    <t>Tequintavirus NR01</t>
  </si>
  <si>
    <t>Tequintavirus oldekolle</t>
  </si>
  <si>
    <t>Tequintavirus OSYSP</t>
  </si>
  <si>
    <t>Tequintavirus S131</t>
  </si>
  <si>
    <t>Tequintavirus SE11</t>
  </si>
  <si>
    <t>Tequintavirus shivani</t>
  </si>
  <si>
    <t>Tequintavirus SHSML45</t>
  </si>
  <si>
    <t>Tequintavirus slur09</t>
  </si>
  <si>
    <t>Tequintavirus SP01</t>
  </si>
  <si>
    <t>Tequintavirus SP3</t>
  </si>
  <si>
    <t>Tequintavirus SP15</t>
  </si>
  <si>
    <t>Tequintavirus SPC35</t>
  </si>
  <si>
    <t>Tequintavirus SSP1</t>
  </si>
  <si>
    <t>Tequintavirus T5</t>
  </si>
  <si>
    <t>Tequintavirus Th1</t>
  </si>
  <si>
    <t>Tequintavirus VEc33</t>
  </si>
  <si>
    <t>Tequintavirus VSe12</t>
  </si>
  <si>
    <t>Hongcheonvirus DUPPV</t>
  </si>
  <si>
    <t>Myunavirus My1</t>
  </si>
  <si>
    <t>Novosibvirus PM135</t>
  </si>
  <si>
    <t>Novosibvirus stubb</t>
  </si>
  <si>
    <t>Pogseptimavirus PG07</t>
  </si>
  <si>
    <t>Pogseptimavirus VspSw1</t>
  </si>
  <si>
    <t>Priunavirus PR1</t>
  </si>
  <si>
    <t>Priunavirus PSTCR5</t>
  </si>
  <si>
    <t>Shenzhenvirus AhSzq1</t>
  </si>
  <si>
    <t>Shenzhenvirus AhSzw1</t>
  </si>
  <si>
    <t>Sugarlandvirus IME260</t>
  </si>
  <si>
    <t>Sugarlandvirus sugarland</t>
  </si>
  <si>
    <t>Christensenvirus IME542</t>
  </si>
  <si>
    <t>Guelphvirus ACGM12</t>
  </si>
  <si>
    <t>Guelphvirus EC3a</t>
  </si>
  <si>
    <t>Loudonvirus DTL</t>
  </si>
  <si>
    <t>Rtpvirus IME253</t>
  </si>
  <si>
    <t>Rtpvirus Rtp</t>
  </si>
  <si>
    <t>Veterinaerplatzvirus vv12210I</t>
  </si>
  <si>
    <t>Eastlansingvirus Sf12</t>
  </si>
  <si>
    <t>Lindendrivevirus EB49</t>
  </si>
  <si>
    <t>Rogunavirus AHP42</t>
  </si>
  <si>
    <t>Rogunavirus AHS24</t>
  </si>
  <si>
    <t>Rogunavirus AKS96</t>
  </si>
  <si>
    <t>Rogunavirus C119</t>
  </si>
  <si>
    <t>Rogunavirus E41c</t>
  </si>
  <si>
    <t>Rogunavirus Jk06</t>
  </si>
  <si>
    <t>Rogunavirus JLA23</t>
  </si>
  <si>
    <t>Rogunavirus KP26</t>
  </si>
  <si>
    <t>Rogunavirus rogue1</t>
  </si>
  <si>
    <t>Wilsonroadvirus Sd1</t>
  </si>
  <si>
    <t>Changchunvirus PHB17</t>
  </si>
  <si>
    <t>Changchunvirus W011D</t>
  </si>
  <si>
    <t>Hanrivervirus aalborv</t>
  </si>
  <si>
    <t>Hanrivervirus aaroes</t>
  </si>
  <si>
    <t>Hanrivervirus damhaus</t>
  </si>
  <si>
    <t>Hanrivervirus egaa</t>
  </si>
  <si>
    <t>Hanrivervirus G292</t>
  </si>
  <si>
    <t>Hanrivervirus grams</t>
  </si>
  <si>
    <t>Hanrivervirus haarsle</t>
  </si>
  <si>
    <t>Hanrivervirus henu8</t>
  </si>
  <si>
    <t>Hanrivervirus herni</t>
  </si>
  <si>
    <t>Hanrivervirus hv2019SD1</t>
  </si>
  <si>
    <t>Hanrivervirus PGN590</t>
  </si>
  <si>
    <t>Hanrivervirus pSf1</t>
  </si>
  <si>
    <t>Hanrivervirus slyngel</t>
  </si>
  <si>
    <t>Hanrivervirus vojen</t>
  </si>
  <si>
    <t>Henuseptimavirus henu7</t>
  </si>
  <si>
    <t>Tlsvirus DK2017</t>
  </si>
  <si>
    <t>Tlsvirus LL5</t>
  </si>
  <si>
    <t>Tlsvirus PHB07</t>
  </si>
  <si>
    <t>Tlsvirus phSE2</t>
  </si>
  <si>
    <t>Tlsvirus sazh</t>
  </si>
  <si>
    <t>Tlsvirus SP126</t>
  </si>
  <si>
    <t>Tlsvirus stevie</t>
  </si>
  <si>
    <t>Tlsvirus TLS</t>
  </si>
  <si>
    <t>Tlsvirus tv36</t>
  </si>
  <si>
    <t>Tlsvirus YSP2</t>
  </si>
  <si>
    <t>Warwickvirus atuna</t>
  </si>
  <si>
    <t>Warwickvirus JK16</t>
  </si>
  <si>
    <t>Warwickvirus mar001J1</t>
  </si>
  <si>
    <t>Warwickvirus SECphi27</t>
  </si>
  <si>
    <t>Warwickvirus SLUR29</t>
  </si>
  <si>
    <t>Warwickvirus swan01</t>
  </si>
  <si>
    <t>Warwickvirus tiwna</t>
  </si>
  <si>
    <t>Warwickvirus tonijn</t>
  </si>
  <si>
    <t>Warwickvirus tonn</t>
  </si>
  <si>
    <t>Warwickvirus tonnikala</t>
  </si>
  <si>
    <t>Warwickvirus tunus</t>
  </si>
  <si>
    <t>Warwickvirus wv95</t>
  </si>
  <si>
    <t>Badaguanvirus IME347</t>
  </si>
  <si>
    <t>Sertoctavirus SRT8</t>
  </si>
  <si>
    <t>Tunavirus ADB2</t>
  </si>
  <si>
    <t>Tunavirus BIFF</t>
  </si>
  <si>
    <t>Tunavirus DELF2</t>
  </si>
  <si>
    <t>Tunavirus IME18</t>
  </si>
  <si>
    <t>Tunavirus ISF001</t>
  </si>
  <si>
    <t>Tunavirus ISF002</t>
  </si>
  <si>
    <t>Tunavirus JMPW1</t>
  </si>
  <si>
    <t>Tunavirus JMPW2</t>
  </si>
  <si>
    <t>Tunavirus PSf2</t>
  </si>
  <si>
    <t>Tunavirus Sfin1</t>
  </si>
  <si>
    <t>Tunavirus Sfin3</t>
  </si>
  <si>
    <t>Tunavirus SH2</t>
  </si>
  <si>
    <t>Tunavirus SH6</t>
  </si>
  <si>
    <t>Tunavirus Shfl1</t>
  </si>
  <si>
    <t>Tunavirus T1</t>
  </si>
  <si>
    <t>Tunavirus tv008</t>
  </si>
  <si>
    <t>Eclunavirus EcL1</t>
  </si>
  <si>
    <t>Hicfunavirus HCF1</t>
  </si>
  <si>
    <t>Jhansiroadvirus gwaliVC1</t>
  </si>
  <si>
    <t>Kyungwonvirus CS01</t>
  </si>
  <si>
    <t>Kyungwonvirus Esp29491</t>
  </si>
  <si>
    <t>Nouzillyvirus ESCO41</t>
  </si>
  <si>
    <t>Sauletekiovirus AAS23</t>
  </si>
  <si>
    <t>Vilniusvirus NBD2</t>
  </si>
  <si>
    <t>Webervirus alina</t>
  </si>
  <si>
    <t>Webervirus call</t>
  </si>
  <si>
    <t>Webervirus domnhall</t>
  </si>
  <si>
    <t>Webervirus F20</t>
  </si>
  <si>
    <t>Webervirus FZ10</t>
  </si>
  <si>
    <t>Webervirus GHK3</t>
  </si>
  <si>
    <t>Webervirus IMGroot</t>
  </si>
  <si>
    <t>Webervirus JY917</t>
  </si>
  <si>
    <t>Webervirus KL</t>
  </si>
  <si>
    <t>Webervirus KLPN1</t>
  </si>
  <si>
    <t>Webervirus KLPPOU149</t>
  </si>
  <si>
    <t>Webervirus KOX1</t>
  </si>
  <si>
    <t>Webervirus KP36</t>
  </si>
  <si>
    <t>Webervirus KP1801</t>
  </si>
  <si>
    <t>Webervirus KpCol1</t>
  </si>
  <si>
    <t>Webervirus KpKT21phi1</t>
  </si>
  <si>
    <t>Webervirus KpNIH2</t>
  </si>
  <si>
    <t>Webervirus KpV522</t>
  </si>
  <si>
    <t>Webervirus mezzogao</t>
  </si>
  <si>
    <t>Webervirus N141</t>
  </si>
  <si>
    <t>Webervirus NJS1</t>
  </si>
  <si>
    <t>Webervirus PKP126</t>
  </si>
  <si>
    <t>Webervirus segescirculi</t>
  </si>
  <si>
    <t>Webervirus shelby</t>
  </si>
  <si>
    <t>Webervirus sin4</t>
  </si>
  <si>
    <t>Webervirus skenny</t>
  </si>
  <si>
    <t>Webervirus sushi</t>
  </si>
  <si>
    <t>Webervirus sweeny</t>
  </si>
  <si>
    <t>Webervirus TAH8</t>
  </si>
  <si>
    <t>Webervirus TSK1</t>
  </si>
  <si>
    <t>Webervirus wv13</t>
  </si>
  <si>
    <t>Webervirus wv1513</t>
  </si>
  <si>
    <t>Duneviridae</t>
  </si>
  <si>
    <t>Ingelinevirus</t>
  </si>
  <si>
    <t>Ingelinevirus ingeline</t>
  </si>
  <si>
    <t>Labanvirus laban</t>
  </si>
  <si>
    <t>Unahavirus uv1H</t>
  </si>
  <si>
    <t>Unahavirus uv23T</t>
  </si>
  <si>
    <t>Unahavirus uv2A</t>
  </si>
  <si>
    <t>Unahavirus uv6H</t>
  </si>
  <si>
    <t>Fervensviridae</t>
  </si>
  <si>
    <t>Deepoceanvirus</t>
  </si>
  <si>
    <t>Deepoceanvirus guaymasense</t>
  </si>
  <si>
    <t>Forsetiviridae</t>
  </si>
  <si>
    <t>Freyavirus</t>
  </si>
  <si>
    <t>Freyavirus danklef</t>
  </si>
  <si>
    <t>Freyavirus freya</t>
  </si>
  <si>
    <t>Fredfastierviridae</t>
  </si>
  <si>
    <t>Jamesmcgillvirus</t>
  </si>
  <si>
    <t>Jamesmcgillvirus jv119X</t>
  </si>
  <si>
    <t>Jamesmcgillvirus PaMx41</t>
  </si>
  <si>
    <t>Grimontviridae</t>
  </si>
  <si>
    <t>Crifsvirus</t>
  </si>
  <si>
    <t>Crifsvirus A24</t>
  </si>
  <si>
    <t>Crifsvirus GAP52</t>
  </si>
  <si>
    <t>Dalianvirus</t>
  </si>
  <si>
    <t>Dalianvirus R1</t>
  </si>
  <si>
    <t>Libingvirus</t>
  </si>
  <si>
    <t>Libingvirus BUCT695</t>
  </si>
  <si>
    <t>Moazamivirus</t>
  </si>
  <si>
    <t>Moazamivirus 711</t>
  </si>
  <si>
    <t>Moazamivirus SE131</t>
  </si>
  <si>
    <t>Privateervirus 3H1020</t>
  </si>
  <si>
    <t>Privateervirus P59</t>
  </si>
  <si>
    <t>Privateervirus privateer</t>
  </si>
  <si>
    <t>Privateervirus pv009</t>
  </si>
  <si>
    <t>Capvunavirus CpV1</t>
  </si>
  <si>
    <t>Gregsiragusavirus CPD2</t>
  </si>
  <si>
    <t>Gregsiragusavirus CPS1</t>
  </si>
  <si>
    <t>Gregsiragusavirus phi24R</t>
  </si>
  <si>
    <t>Brucesealvirus CP7R</t>
  </si>
  <si>
    <t>Brucesealvirus CPS2</t>
  </si>
  <si>
    <t>Brucesealvirus CPV4</t>
  </si>
  <si>
    <t>Brucesealvirus ZP2</t>
  </si>
  <si>
    <t>Hzauvirus</t>
  </si>
  <si>
    <t>Hzauvirus LPCPA6</t>
  </si>
  <si>
    <t>Susfortunavirus susfortuna</t>
  </si>
  <si>
    <t>Helgolandviridae</t>
  </si>
  <si>
    <t>Leefvirus</t>
  </si>
  <si>
    <t>Leefvirus Leef</t>
  </si>
  <si>
    <t>Agatevirus agate</t>
  </si>
  <si>
    <t>Agatevirus bobb</t>
  </si>
  <si>
    <t>Agatevirus Bp8pC</t>
  </si>
  <si>
    <t>Bastillevirus bastille</t>
  </si>
  <si>
    <t>Bastillevirus CAM003</t>
  </si>
  <si>
    <t>Bastillevirus evoli</t>
  </si>
  <si>
    <t>Bastillevirus hoodyT</t>
  </si>
  <si>
    <t>Bequatrovirus avesobmore</t>
  </si>
  <si>
    <t>Bequatrovirus B4</t>
  </si>
  <si>
    <t>Bequatrovirus bigbertha</t>
  </si>
  <si>
    <t>Bequatrovirus riley</t>
  </si>
  <si>
    <t>Bequatrovirus spock</t>
  </si>
  <si>
    <t>Bequatrovirus troll</t>
  </si>
  <si>
    <t>Caeruleovirus Bc431</t>
  </si>
  <si>
    <t>Caeruleovirus Bcp1</t>
  </si>
  <si>
    <t>Caeruleovirus BCP82</t>
  </si>
  <si>
    <t>Caeruleovirus BM15</t>
  </si>
  <si>
    <t>Caeruleovirus deepblue</t>
  </si>
  <si>
    <t>Caeruleovirus JBP901</t>
  </si>
  <si>
    <t>Eldridgevirus eldridge</t>
  </si>
  <si>
    <t>Goettingenvirus goe8</t>
  </si>
  <si>
    <t>Grisebachstrassevirus goe3</t>
  </si>
  <si>
    <t>Jeonjuvirus BSP38</t>
  </si>
  <si>
    <t>Matervirus mater</t>
  </si>
  <si>
    <t>Moonbeamvirus moonbeam</t>
  </si>
  <si>
    <t>Nitunavirus grass</t>
  </si>
  <si>
    <t>Nitunavirus NIT1</t>
  </si>
  <si>
    <t>Nitunavirus SPG24</t>
  </si>
  <si>
    <t>Shalavirus Shbh1</t>
  </si>
  <si>
    <t>Siophivirus SIOphi</t>
  </si>
  <si>
    <t>Tsarbombavirus BCP78</t>
  </si>
  <si>
    <t>Tsarbombavirus tsarbomba</t>
  </si>
  <si>
    <t>Wphvirus BPS13</t>
  </si>
  <si>
    <t>Wphvirus BPS10C</t>
  </si>
  <si>
    <t>Wphvirus hakuna</t>
  </si>
  <si>
    <t>Wphvirus megatron</t>
  </si>
  <si>
    <t>Wphvirus WPh</t>
  </si>
  <si>
    <t>Kochikohdavirus ECP3</t>
  </si>
  <si>
    <t>Kochikohdavirus EF24C</t>
  </si>
  <si>
    <t>Kochikohdavirus EFLK1</t>
  </si>
  <si>
    <t>Schiekvirus EFDG1</t>
  </si>
  <si>
    <t>Schiekvirus EFP01</t>
  </si>
  <si>
    <t>Schiekvirus EfV12</t>
  </si>
  <si>
    <t>Pecentumvirus A511</t>
  </si>
  <si>
    <t>Pecentumvirus AG20</t>
  </si>
  <si>
    <t>Pecentumvirus list36</t>
  </si>
  <si>
    <t>Pecentumvirus LMSP25</t>
  </si>
  <si>
    <t>Pecentumvirus LMTA34</t>
  </si>
  <si>
    <t>Pecentumvirus LMTA148</t>
  </si>
  <si>
    <t>Pecentumvirus LP048</t>
  </si>
  <si>
    <t>Pecentumvirus LP064</t>
  </si>
  <si>
    <t>Pecentumvirus LP0832</t>
  </si>
  <si>
    <t>Pecentumvirus P100</t>
  </si>
  <si>
    <t>Pecentumvirus WIL1</t>
  </si>
  <si>
    <t>Okubovirus camphawk</t>
  </si>
  <si>
    <t>Okubovirus SPO1</t>
  </si>
  <si>
    <t>Siminovitchvirus CP51</t>
  </si>
  <si>
    <t>Siminovitchvirus JL</t>
  </si>
  <si>
    <t>Siminovitchvirus shanette</t>
  </si>
  <si>
    <t>Baoshanvirus BS1</t>
  </si>
  <si>
    <t>Baoshanvirus BS2</t>
  </si>
  <si>
    <t>Kayvirus G1</t>
  </si>
  <si>
    <t>Kayvirus G15</t>
  </si>
  <si>
    <t>Kayvirus JD7</t>
  </si>
  <si>
    <t>Kayvirus kay</t>
  </si>
  <si>
    <t>Kayvirus MCE2014</t>
  </si>
  <si>
    <t>Kayvirus P108</t>
  </si>
  <si>
    <t>Kayvirus rodi</t>
  </si>
  <si>
    <t>Kayvirus S253</t>
  </si>
  <si>
    <t>Kayvirus S254</t>
  </si>
  <si>
    <t>Kayvirus SA12</t>
  </si>
  <si>
    <t>Kayvirus Sb1</t>
  </si>
  <si>
    <t>Sciuriunavirus SscM1</t>
  </si>
  <si>
    <t>Sepunavirus IPLAC1C</t>
  </si>
  <si>
    <t>Sepunavirus SEP1</t>
  </si>
  <si>
    <t>Silviavirus remus</t>
  </si>
  <si>
    <t>Silviavirus SA11</t>
  </si>
  <si>
    <t>Silviavirus stau2</t>
  </si>
  <si>
    <t>Twortvirus twort</t>
  </si>
  <si>
    <t>Elpedvirus LpeD</t>
  </si>
  <si>
    <t>Harbinvirus bacchae</t>
  </si>
  <si>
    <t>Harbinvirus bromius</t>
  </si>
  <si>
    <t>Harbinvirus iacchus</t>
  </si>
  <si>
    <t>Harbinvirus Lpa804</t>
  </si>
  <si>
    <t>Harbinvirus semele</t>
  </si>
  <si>
    <t>Hopescreekvirus LfeInf</t>
  </si>
  <si>
    <t>Klumppvirus</t>
  </si>
  <si>
    <t>Klumppvirus A9</t>
  </si>
  <si>
    <t>Mooreparkvirus Lb3381</t>
  </si>
  <si>
    <t>Salchichonvirus LP65</t>
  </si>
  <si>
    <t>Tybeckvirus SAC12B</t>
  </si>
  <si>
    <t>Tybeckvirus tv521B</t>
  </si>
  <si>
    <t>Watanabevirus wv3521</t>
  </si>
  <si>
    <t>Kleczkowskaviridae</t>
  </si>
  <si>
    <t>Cuauhnahuacvirus</t>
  </si>
  <si>
    <t>Cuauhnahuacvirus TM30</t>
  </si>
  <si>
    <t>Cuauhnahuacvirus Y65</t>
  </si>
  <si>
    <t>Kyanoviridae</t>
  </si>
  <si>
    <t>Acionnavirus monteraybay</t>
  </si>
  <si>
    <t>Ahtivirus sagseatwo</t>
  </si>
  <si>
    <t>Alisovirus</t>
  </si>
  <si>
    <t>Alisovirus socal22</t>
  </si>
  <si>
    <t>Anaposvirus socalone</t>
  </si>
  <si>
    <t>Atlauavirus acg2014f</t>
  </si>
  <si>
    <t>Atlauavirus caeruleum</t>
  </si>
  <si>
    <t>Atlauavirus tusconc8</t>
  </si>
  <si>
    <t>Bellamyvirus bellamy</t>
  </si>
  <si>
    <t>Bristolvirus</t>
  </si>
  <si>
    <t>Bristolvirus rhodeisland</t>
  </si>
  <si>
    <t>Brizovirus rhodeisland01</t>
  </si>
  <si>
    <t>Brizovirus rhodeisland06</t>
  </si>
  <si>
    <t>Brizovirus syn33</t>
  </si>
  <si>
    <t>Chalconvirus</t>
  </si>
  <si>
    <t>Chalconvirus acg2014e</t>
  </si>
  <si>
    <t>Chalconvirus acg2014i</t>
  </si>
  <si>
    <t>Charybdisvirus scam3</t>
  </si>
  <si>
    <t>Cymopoleiavirus swam2</t>
  </si>
  <si>
    <t>Emcearvirus</t>
  </si>
  <si>
    <t>Emcearvirus gerard</t>
  </si>
  <si>
    <t>Galenevirus</t>
  </si>
  <si>
    <t>Galenevirus mbcm1</t>
  </si>
  <si>
    <t>Gibbetvirus</t>
  </si>
  <si>
    <t>Gibbetvirus rsm4</t>
  </si>
  <si>
    <t>Glaucusvirus</t>
  </si>
  <si>
    <t>Glaucusvirus ssm5</t>
  </si>
  <si>
    <t>Greenvirus</t>
  </si>
  <si>
    <t>Greenvirus ssm4</t>
  </si>
  <si>
    <t>Haifavirus</t>
  </si>
  <si>
    <t>Haifavirus tim68</t>
  </si>
  <si>
    <t>Huanghaivirus</t>
  </si>
  <si>
    <t>Huanghaivirus snothree</t>
  </si>
  <si>
    <t>Kanaloavirus scam9</t>
  </si>
  <si>
    <t>Leucotheavirus sp4</t>
  </si>
  <si>
    <t>Leucotheavirus syn30</t>
  </si>
  <si>
    <t>Libanvirus ptim40</t>
  </si>
  <si>
    <t>Lipsvirus</t>
  </si>
  <si>
    <t>Lipsvirus ssm7</t>
  </si>
  <si>
    <t>Lowelvirus</t>
  </si>
  <si>
    <t>Lowelvirus tuscon4d</t>
  </si>
  <si>
    <t>Macariavirus</t>
  </si>
  <si>
    <t>Macariavirus tuscon14g</t>
  </si>
  <si>
    <t>Makaravirus</t>
  </si>
  <si>
    <t>Makaravirus thirtyfour</t>
  </si>
  <si>
    <t>Makelovirus</t>
  </si>
  <si>
    <t>Makelovirus prm1</t>
  </si>
  <si>
    <t>Mazuvirus scam7</t>
  </si>
  <si>
    <t>Namakavirus smbcm6</t>
  </si>
  <si>
    <t>Neptunevirus srim18</t>
  </si>
  <si>
    <t>Neptunevirus srim50</t>
  </si>
  <si>
    <t>Nereusvirus tusconc4</t>
  </si>
  <si>
    <t>Nereusvirus tusconc61</t>
  </si>
  <si>
    <t>Neritesvirus</t>
  </si>
  <si>
    <t>Neritesvirus scam8</t>
  </si>
  <si>
    <t>Nerrivikvirus srim2</t>
  </si>
  <si>
    <t>Nilusvirus</t>
  </si>
  <si>
    <t>Nilusvirus ssm2</t>
  </si>
  <si>
    <t>Nodensvirus spm2</t>
  </si>
  <si>
    <t>Ormenosvirus</t>
  </si>
  <si>
    <t>Ormenosvirus syn9</t>
  </si>
  <si>
    <t>Palaemonvirus pssm7</t>
  </si>
  <si>
    <t>Pontusvirus syn19</t>
  </si>
  <si>
    <t>Potamoivirus</t>
  </si>
  <si>
    <t>Potamoivirus cam4</t>
  </si>
  <si>
    <t>Potamoivirus tusconj</t>
  </si>
  <si>
    <t>Ronodorvirus pssm3</t>
  </si>
  <si>
    <t>Ronodorvirus ssm4</t>
  </si>
  <si>
    <t>Salacisavirus pssm2</t>
  </si>
  <si>
    <t>Scyllavirus</t>
  </si>
  <si>
    <t>Scyllavirus aitchnine</t>
  </si>
  <si>
    <t>Sedonavirus</t>
  </si>
  <si>
    <t>Sedonavirus tusconh</t>
  </si>
  <si>
    <t>Serangoonvirus</t>
  </si>
  <si>
    <t>Serangoonvirus essarone</t>
  </si>
  <si>
    <t>Shandvirus</t>
  </si>
  <si>
    <t>Shandvirus sb64</t>
  </si>
  <si>
    <t>Shandvirus sh35</t>
  </si>
  <si>
    <t>Shenzhenivirus</t>
  </si>
  <si>
    <t>Shenzhenivirus sszbm1</t>
  </si>
  <si>
    <t>Sokavirus</t>
  </si>
  <si>
    <t>Sokavirus swam1</t>
  </si>
  <si>
    <t>Tamkungvirus ST4</t>
  </si>
  <si>
    <t>Tefnutvirus siom18</t>
  </si>
  <si>
    <t>Thaumasvirus stim4</t>
  </si>
  <si>
    <t>Thetisvirus ssm1</t>
  </si>
  <si>
    <t>Vellamovirus rhodeisland44</t>
  </si>
  <si>
    <t>Vellamovirus syn1</t>
  </si>
  <si>
    <t>Yellowseavirus</t>
  </si>
  <si>
    <t>Yellowseavirus thirtyeight</t>
  </si>
  <si>
    <t>Yushanluvirus</t>
  </si>
  <si>
    <t>Yushanluvirus satich</t>
  </si>
  <si>
    <t>Zhoulongquanvirus</t>
  </si>
  <si>
    <t>Zhoulongquanvirus esscess</t>
  </si>
  <si>
    <t>Madisaviridae</t>
  </si>
  <si>
    <t>Clampvirus</t>
  </si>
  <si>
    <t>Clampvirus HHTV1</t>
  </si>
  <si>
    <t>Mesyanzhinovviridae</t>
  </si>
  <si>
    <t>Bradleyvirinae</t>
  </si>
  <si>
    <t>Abidjanvirus ZC01</t>
  </si>
  <si>
    <t>Bosavirus</t>
  </si>
  <si>
    <t>Bosavirus bosa</t>
  </si>
  <si>
    <t>Epaquintavirus</t>
  </si>
  <si>
    <t>Epaquintavirus Epa5</t>
  </si>
  <si>
    <t>Xooduovirus</t>
  </si>
  <si>
    <t>Xooduovirus Xoosp2</t>
  </si>
  <si>
    <t>Rabinowitzvirinae</t>
  </si>
  <si>
    <t>Keylargovirus</t>
  </si>
  <si>
    <t>Keylargovirus JL001</t>
  </si>
  <si>
    <t>Molycolviridae</t>
  </si>
  <si>
    <t>Mollyvirus</t>
  </si>
  <si>
    <t>Mollyvirus colly</t>
  </si>
  <si>
    <t>Mollyvirus molly</t>
  </si>
  <si>
    <t>Naomviridae</t>
  </si>
  <si>
    <t>Noahvirus</t>
  </si>
  <si>
    <t>Noahvirus arc</t>
  </si>
  <si>
    <t>Orlajensenviridae</t>
  </si>
  <si>
    <t>Pelczarvirinae</t>
  </si>
  <si>
    <t>Bonaevitaevirus</t>
  </si>
  <si>
    <t>Bonaevitae bonaevitae</t>
  </si>
  <si>
    <t>Efekovirus</t>
  </si>
  <si>
    <t>Efkovirus efeko</t>
  </si>
  <si>
    <t>Paopuvirus</t>
  </si>
  <si>
    <t>Paopuvirus azizam</t>
  </si>
  <si>
    <t>Paopuvirus bri160</t>
  </si>
  <si>
    <t>Paopuvirus kaijohn</t>
  </si>
  <si>
    <t>Paopuvirus nobel</t>
  </si>
  <si>
    <t>Paopuvirus noelani</t>
  </si>
  <si>
    <t>Paopuvirus paopu</t>
  </si>
  <si>
    <t>Paopuvirus poranda</t>
  </si>
  <si>
    <t>Paopuvirus quaker</t>
  </si>
  <si>
    <t>Paopuvirus Scamander</t>
  </si>
  <si>
    <t>Pachyviridae</t>
  </si>
  <si>
    <t>Bacelvirus</t>
  </si>
  <si>
    <t>Bacelvirus phi46tres</t>
  </si>
  <si>
    <t>Baltivirus</t>
  </si>
  <si>
    <t>Baltivirus phi13duo</t>
  </si>
  <si>
    <t>Baltivirus phi18tres</t>
  </si>
  <si>
    <t>Baltivirus phi19tres</t>
  </si>
  <si>
    <t>Gundelvirus</t>
  </si>
  <si>
    <t>Gundelvirus Gundel</t>
  </si>
  <si>
    <t>Peduoviridae</t>
  </si>
  <si>
    <t>Aptresvirus</t>
  </si>
  <si>
    <t>Aptresvirus AP3</t>
  </si>
  <si>
    <t>Aptresvirus mana</t>
  </si>
  <si>
    <t>Aresaunavirus RSA1</t>
  </si>
  <si>
    <t>Aresaunavirus RsoM1USA</t>
  </si>
  <si>
    <t>Arsenicumvirus</t>
  </si>
  <si>
    <t>Arsenicumvirus M163</t>
  </si>
  <si>
    <t>Arsyunavirus</t>
  </si>
  <si>
    <t>Arsyunavirus RSY1</t>
  </si>
  <si>
    <t>Baylorvirus bv1127AP1</t>
  </si>
  <si>
    <t>Baylorvirus PHL101</t>
  </si>
  <si>
    <t>Bielevirus phiO18P</t>
  </si>
  <si>
    <t>Bracchivirus</t>
  </si>
  <si>
    <t>Bracchivirus U2F1</t>
  </si>
  <si>
    <t>Canoevirus canoe</t>
  </si>
  <si>
    <t>Catalunyavirus C5a</t>
  </si>
  <si>
    <t>Citexvirus BR319A</t>
  </si>
  <si>
    <t>Citexvirus dobby</t>
  </si>
  <si>
    <t>Citexvirus phiCTX</t>
  </si>
  <si>
    <t>Citexvirus PS75V</t>
  </si>
  <si>
    <t>Dagavirus</t>
  </si>
  <si>
    <t>Dagavirus ST13OXA48phi121</t>
  </si>
  <si>
    <t>Duodecimduovirus</t>
  </si>
  <si>
    <t>Duodecimduovirus phiE122</t>
  </si>
  <si>
    <t>Duonihilunusvirus</t>
  </si>
  <si>
    <t>Duonihilunusvirus YenM5617</t>
  </si>
  <si>
    <t>Duonihilunusvirus YenM06162</t>
  </si>
  <si>
    <t>Duonihilunusvirus YenM20116</t>
  </si>
  <si>
    <t>Eganvirus BIS20</t>
  </si>
  <si>
    <t>Eganvirus EtG</t>
  </si>
  <si>
    <t>Eganvirus ev186</t>
  </si>
  <si>
    <t>Eganvirus PsP3</t>
  </si>
  <si>
    <t>Eganvirus SEN1</t>
  </si>
  <si>
    <t>Eganvirus SW9</t>
  </si>
  <si>
    <t>Elveevirus</t>
  </si>
  <si>
    <t>Elveevirus 4LV2017</t>
  </si>
  <si>
    <t>Elveevirus cartapus</t>
  </si>
  <si>
    <t>Entnonagintavirus ENT90</t>
  </si>
  <si>
    <t>Evevirus</t>
  </si>
  <si>
    <t>Evevirus ev239</t>
  </si>
  <si>
    <t>Felsduovirus Fels2</t>
  </si>
  <si>
    <t>Felsduovirus IN60</t>
  </si>
  <si>
    <t>Felsduovirus RE2010</t>
  </si>
  <si>
    <t>Felsduovirus SEN8</t>
  </si>
  <si>
    <t>Felsduovirus SopEphi</t>
  </si>
  <si>
    <t>Felsduovirus ST437OXA245phi42</t>
  </si>
  <si>
    <t>Finvirus</t>
  </si>
  <si>
    <t>Finvirus FIN13</t>
  </si>
  <si>
    <t>Firavirus</t>
  </si>
  <si>
    <t>Firavirus YenM4218</t>
  </si>
  <si>
    <t>Gegavirus</t>
  </si>
  <si>
    <t>Gegavirus ST15OXA48phi141</t>
  </si>
  <si>
    <t>Gegevirus</t>
  </si>
  <si>
    <t>Gegevirus ST437OXA245phi41</t>
  </si>
  <si>
    <t>Gemsvirus</t>
  </si>
  <si>
    <t>Gemsvirus gv5004652</t>
  </si>
  <si>
    <t>Graikaemvirus</t>
  </si>
  <si>
    <t>Graikaemvirus YenM324</t>
  </si>
  <si>
    <t>Hpunavirus HP1</t>
  </si>
  <si>
    <t>Hpunavirus HP2</t>
  </si>
  <si>
    <t>Irrigatiovirus SI7</t>
  </si>
  <si>
    <t>Irtavirus F108</t>
  </si>
  <si>
    <t>Kapieceevirus</t>
  </si>
  <si>
    <t>Kapieceevirus ST512KPC3phi132</t>
  </si>
  <si>
    <t>Kayeltresvirus</t>
  </si>
  <si>
    <t>Kayeltresvirus KL3</t>
  </si>
  <si>
    <t>Kisquattuordecimvirus FLC5</t>
  </si>
  <si>
    <t>Kisquattuordecimvirus FLC10</t>
  </si>
  <si>
    <t>Kisquattuordecimvirus KS14</t>
  </si>
  <si>
    <t>Kisquinquevirus KS5</t>
  </si>
  <si>
    <t>Longwoodvirus K139</t>
  </si>
  <si>
    <t>Maltschvirus</t>
  </si>
  <si>
    <t>Maltschvirus maltsch</t>
  </si>
  <si>
    <t>Mersinvirus</t>
  </si>
  <si>
    <t>Mersinvirus YA0848V</t>
  </si>
  <si>
    <t>Nampongvirus ST79</t>
  </si>
  <si>
    <t>Novemvirus T5282H</t>
  </si>
  <si>
    <t>Peduovirus 11W</t>
  </si>
  <si>
    <t>Peduovirus AC1</t>
  </si>
  <si>
    <t>Peduovirus DC1</t>
  </si>
  <si>
    <t>Peduovirus fiAA91ss</t>
  </si>
  <si>
    <t>Peduovirus HQ103</t>
  </si>
  <si>
    <t>Peduovirus L413C</t>
  </si>
  <si>
    <t>Peduovirus magyaro</t>
  </si>
  <si>
    <t>Peduovirus P2</t>
  </si>
  <si>
    <t>Peduovirus P37</t>
  </si>
  <si>
    <t>Peduovirus P22H1</t>
  </si>
  <si>
    <t>Peduovirus P22H4</t>
  </si>
  <si>
    <t>Peduovirus P24A7b</t>
  </si>
  <si>
    <t>Peduovirus P24B2</t>
  </si>
  <si>
    <t>Peduovirus P24C9</t>
  </si>
  <si>
    <t>Peduovirus P24E6b</t>
  </si>
  <si>
    <t>Peduovirus pro147</t>
  </si>
  <si>
    <t>Peduovirus pro483</t>
  </si>
  <si>
    <t>Peduovirus pv12474III</t>
  </si>
  <si>
    <t>Peduovirus R18C</t>
  </si>
  <si>
    <t>Peduovirus SIAC10</t>
  </si>
  <si>
    <t>Peduovirus SIDE7</t>
  </si>
  <si>
    <t>Peduovirus STYP1</t>
  </si>
  <si>
    <t>Peduovirus Wphi</t>
  </si>
  <si>
    <t>Peduovirus YPM22</t>
  </si>
  <si>
    <t>Peduovirus YPM46</t>
  </si>
  <si>
    <t>Peduovirus YPM50</t>
  </si>
  <si>
    <t>Phitrevirus phi3</t>
  </si>
  <si>
    <t>Piscesmortuivirus</t>
  </si>
  <si>
    <t>Piscesmortuivirus LPM4</t>
  </si>
  <si>
    <t>Playavirus SMHB1</t>
  </si>
  <si>
    <t>Plazymidvirus</t>
  </si>
  <si>
    <t>Plazymidvirus ZM36</t>
  </si>
  <si>
    <t>Plazymidvirus ZM41</t>
  </si>
  <si>
    <t>Plazymidvirus ZM401</t>
  </si>
  <si>
    <t>Quadragintavirus</t>
  </si>
  <si>
    <t>Quadragintavirus ev015</t>
  </si>
  <si>
    <t>Quadragintavirus ev040</t>
  </si>
  <si>
    <t>Quadragintavirus ev129</t>
  </si>
  <si>
    <t>Reginaelenavirus rv3LV2017</t>
  </si>
  <si>
    <t>Reipivirus ST16OXA48phi54</t>
  </si>
  <si>
    <t>Sanguivirus</t>
  </si>
  <si>
    <t>Sanguivirus H5569V</t>
  </si>
  <si>
    <t>Senquatrovirus SEN4</t>
  </si>
  <si>
    <t>Seongnamvirus ESSI2</t>
  </si>
  <si>
    <t>Simpcentumvirus Smp131</t>
  </si>
  <si>
    <t>Stockinghallvirus FSLSP004</t>
  </si>
  <si>
    <t>Tigrvirus BP822</t>
  </si>
  <si>
    <t>Tigrvirus E202</t>
  </si>
  <si>
    <t>Tigrvirus phi52237</t>
  </si>
  <si>
    <t>Tigrvirus phiE094</t>
  </si>
  <si>
    <t>Tresduoquattuorvirus</t>
  </si>
  <si>
    <t>Tresduoquattuorvirus YenM324</t>
  </si>
  <si>
    <t>Valbvirus</t>
  </si>
  <si>
    <t>Valbvirus ValB1MD2</t>
  </si>
  <si>
    <t>Vimunumvirus ST147VIM1phi71</t>
  </si>
  <si>
    <t>Vulnificusvirus PV94</t>
  </si>
  <si>
    <t>Wadgaonvirus</t>
  </si>
  <si>
    <t>Wadgaonvirus V13P477T2</t>
  </si>
  <si>
    <t>Wadgaonvirus wv5004651</t>
  </si>
  <si>
    <t>Xuanwuvirus P88</t>
  </si>
  <si>
    <t>Xuanwuvirus P884B11</t>
  </si>
  <si>
    <t>Xuanwuvirus xv503458</t>
  </si>
  <si>
    <t>Xuanwuvirus xv520873</t>
  </si>
  <si>
    <t>Yongunavirus yong1</t>
  </si>
  <si>
    <t>Yulgyerivirus</t>
  </si>
  <si>
    <t>Yulgyerivirus E16KP0115V</t>
  </si>
  <si>
    <t>Pervagoviridae</t>
  </si>
  <si>
    <t>Callevirus</t>
  </si>
  <si>
    <t>Callevirus Calle</t>
  </si>
  <si>
    <t>Callevirus phi38una</t>
  </si>
  <si>
    <t>Pootjesviridae</t>
  </si>
  <si>
    <t>Staniewskivirinae</t>
  </si>
  <si>
    <t>Trinifflemingvirus</t>
  </si>
  <si>
    <t>Trinifflemingvirus I19</t>
  </si>
  <si>
    <t>Trinifflemingvirus N34</t>
  </si>
  <si>
    <t>Trinifflemingvirus Y68</t>
  </si>
  <si>
    <t>Emnonavirus</t>
  </si>
  <si>
    <t>Emnonavirus phiM9</t>
  </si>
  <si>
    <t>Heverleevirus</t>
  </si>
  <si>
    <t>Heverleevirus OLIVR5</t>
  </si>
  <si>
    <t>Innesvirus</t>
  </si>
  <si>
    <t>Innesvirus AF3</t>
  </si>
  <si>
    <t>Innesvirus P10VF</t>
  </si>
  <si>
    <t>Innesvirus P9VFCI</t>
  </si>
  <si>
    <t>Innesvirus RL2RES</t>
  </si>
  <si>
    <t>Innesvirus RL38J1</t>
  </si>
  <si>
    <t>Rollinsvirus</t>
  </si>
  <si>
    <t>Rollinsvirus ph04</t>
  </si>
  <si>
    <t>Pungoviridae</t>
  </si>
  <si>
    <t>Flagovirus</t>
  </si>
  <si>
    <t>Flagovirus limi</t>
  </si>
  <si>
    <t>Andhravirus andhra</t>
  </si>
  <si>
    <t>Andhravirus besep3</t>
  </si>
  <si>
    <t>Andhravirus sealphi</t>
  </si>
  <si>
    <t>Andhravirus St134</t>
  </si>
  <si>
    <t>Rosenblumvirus AGO13</t>
  </si>
  <si>
    <t>Rosenblumvirus BP39</t>
  </si>
  <si>
    <t>Rosenblumvirus CSA13</t>
  </si>
  <si>
    <t>Rosenblumvirus EBHT</t>
  </si>
  <si>
    <t>Rosenblumvirus GRCS</t>
  </si>
  <si>
    <t>Rosenblumvirus jpl50</t>
  </si>
  <si>
    <t>Rosenblumvirus LSA2366</t>
  </si>
  <si>
    <t>Rosenblumvirus pabna</t>
  </si>
  <si>
    <t>Rosenblumvirus portland</t>
  </si>
  <si>
    <t>Rosenblumvirus PSa3</t>
  </si>
  <si>
    <t>Rosenblumvirus rv66</t>
  </si>
  <si>
    <t>Rosenblumvirus rv44AHJD</t>
  </si>
  <si>
    <t>Rosenblumvirus S241</t>
  </si>
  <si>
    <t>Rosenblumvirus SA46CL1</t>
  </si>
  <si>
    <t>Rosenblumvirus SAP2</t>
  </si>
  <si>
    <t>Rosenblumvirus SCH1</t>
  </si>
  <si>
    <t>Rosenblumvirus SLPW</t>
  </si>
  <si>
    <t>Copernicusvirus AE417</t>
  </si>
  <si>
    <t>Copernicusvirus Ef62</t>
  </si>
  <si>
    <t>Copernicusvirus Ef63</t>
  </si>
  <si>
    <t>Copernicusvirus Ef72</t>
  </si>
  <si>
    <t>Copernicusvirus Ef73</t>
  </si>
  <si>
    <t>Copernicusvirus Ef74</t>
  </si>
  <si>
    <t>Copernicusvirus Efae230P4</t>
  </si>
  <si>
    <t>Copernicusvirus Efmus1</t>
  </si>
  <si>
    <t>Copernicusvirus Efmus3</t>
  </si>
  <si>
    <t>Copernicusvirus Efmus4</t>
  </si>
  <si>
    <t>Copernicusvirus Idefix</t>
  </si>
  <si>
    <t>Copernicusvirus IME195</t>
  </si>
  <si>
    <t>Copernicusvirus mda1</t>
  </si>
  <si>
    <t>Minhovirus IME199</t>
  </si>
  <si>
    <t>Minhovirus zip</t>
  </si>
  <si>
    <t>Fischettivirus C1</t>
  </si>
  <si>
    <t>Negarvirus WP2</t>
  </si>
  <si>
    <t>Claudivirus aurora</t>
  </si>
  <si>
    <t>Claudivirus baseballfield</t>
  </si>
  <si>
    <t>Claudivirus claudi</t>
  </si>
  <si>
    <t>Claudivirus Goe4</t>
  </si>
  <si>
    <t>Claudivirus juan</t>
  </si>
  <si>
    <t>Claudivirus konjotrouble</t>
  </si>
  <si>
    <t>Claudivirus QCM11</t>
  </si>
  <si>
    <t>Claudivirus serpounce</t>
  </si>
  <si>
    <t>Claudivirus stitch</t>
  </si>
  <si>
    <t>Claudivirus thornton</t>
  </si>
  <si>
    <t>Hemphillvirus DK1</t>
  </si>
  <si>
    <t>Hemphillvirus DK2</t>
  </si>
  <si>
    <t>Hemphillvirus DK3</t>
  </si>
  <si>
    <t>Klosterneuburgvirus MGB1</t>
  </si>
  <si>
    <t>Beecentumtrevirus B103</t>
  </si>
  <si>
    <t>Beecentumtrevirus Goe1</t>
  </si>
  <si>
    <t>Beecentumtrevirus Nf</t>
  </si>
  <si>
    <t>Salasvirus Goe6</t>
  </si>
  <si>
    <t>Salasvirus Gxv1</t>
  </si>
  <si>
    <t>Salasvirus phi29</t>
  </si>
  <si>
    <t>Salasvirus PZA</t>
  </si>
  <si>
    <t>Gaunavirus GA1</t>
  </si>
  <si>
    <t>Gaunavirus SRT01hs</t>
  </si>
  <si>
    <t>Karezivirus karezi</t>
  </si>
  <si>
    <t>Bundooravirus PumA1</t>
  </si>
  <si>
    <t>Bundooravirus PumA2</t>
  </si>
  <si>
    <t>Bundooravirus whyphy</t>
  </si>
  <si>
    <t>Cepunavirus Cp1</t>
  </si>
  <si>
    <t>Cepunavirus Cp7</t>
  </si>
  <si>
    <t>Harambevirus beachbum</t>
  </si>
  <si>
    <t>Harambevirus harambe</t>
  </si>
  <si>
    <t>Huangshavirus</t>
  </si>
  <si>
    <t>Huangshavirus dlcuna</t>
  </si>
  <si>
    <t>Mingyongvirus VMY22</t>
  </si>
  <si>
    <t>Saparoviridae</t>
  </si>
  <si>
    <t>Halohivirus</t>
  </si>
  <si>
    <t>Halohivirus HHTV2</t>
  </si>
  <si>
    <t>Samsavirus</t>
  </si>
  <si>
    <t>Samsavirus HCTV2</t>
  </si>
  <si>
    <t>Demetervirinae</t>
  </si>
  <si>
    <t>Acanvirus</t>
  </si>
  <si>
    <t>Acanvirus Rheph16</t>
  </si>
  <si>
    <t>Acanvirus Rheph22</t>
  </si>
  <si>
    <t>Acanvirus Y26</t>
  </si>
  <si>
    <t>Acanvirus Y38</t>
  </si>
  <si>
    <t>Cyamitesvirus</t>
  </si>
  <si>
    <t>Cyamitesvirus I16</t>
  </si>
  <si>
    <t>Cyamitesvirus N38</t>
  </si>
  <si>
    <t>Enquatrovirus N4</t>
  </si>
  <si>
    <t>Gamaleyavirus APEC5</t>
  </si>
  <si>
    <t>Gamaleyavirus APEC7</t>
  </si>
  <si>
    <t>Gamaleyavirus Bp4</t>
  </si>
  <si>
    <t>Gamaleyavirus EC1UPM</t>
  </si>
  <si>
    <t>Gamaleyavirus ECBP1</t>
  </si>
  <si>
    <t>Gamaleyavirus G17</t>
  </si>
  <si>
    <t>Gamaleyavirus G7C</t>
  </si>
  <si>
    <t>Gamaleyavirus IME11</t>
  </si>
  <si>
    <t>Gamaleyavirus Pgn8291</t>
  </si>
  <si>
    <t>Gamaleyavirus Sb1</t>
  </si>
  <si>
    <t>Gamaleyavirus Sp5m</t>
  </si>
  <si>
    <t>Gamaleyavirus St11ph5</t>
  </si>
  <si>
    <t>Gamaleyavirus U1g</t>
  </si>
  <si>
    <t>Gamaleyavirus Zq2</t>
  </si>
  <si>
    <t>Kaypoctavirus KP8</t>
  </si>
  <si>
    <t>Moovirus</t>
  </si>
  <si>
    <t>Moovirus moo</t>
  </si>
  <si>
    <t>Johnsonvirus Ea92</t>
  </si>
  <si>
    <t>Johnsonvirus frozen</t>
  </si>
  <si>
    <t>Yonginvirus EaP8</t>
  </si>
  <si>
    <t>Matsuvirus pYD6A</t>
  </si>
  <si>
    <t>Stoningtonvirus VBP47</t>
  </si>
  <si>
    <t>Ithacavirus SP058</t>
  </si>
  <si>
    <t>Ithacavirus SP076</t>
  </si>
  <si>
    <t>Pollockvirus pollock</t>
  </si>
  <si>
    <t>Pylasvirus KpCHEMY26</t>
  </si>
  <si>
    <t>Pylasvirus pylas</t>
  </si>
  <si>
    <t>Litunavirus Ab09</t>
  </si>
  <si>
    <t>Litunavirus LIT1</t>
  </si>
  <si>
    <t>Litunavirus Mag4</t>
  </si>
  <si>
    <t>Litunavirus P121</t>
  </si>
  <si>
    <t>Litunavirus PA26</t>
  </si>
  <si>
    <t>Litunavirus Pae575p3</t>
  </si>
  <si>
    <t>Litunavirus Pap02</t>
  </si>
  <si>
    <t>Litunavirus Vl1</t>
  </si>
  <si>
    <t>Litunavirus Yh6</t>
  </si>
  <si>
    <t>Luzseptimavirus KPP21</t>
  </si>
  <si>
    <t>Luzseptimavirus LUZ7</t>
  </si>
  <si>
    <t>Dorisvirus 49B3</t>
  </si>
  <si>
    <t>Galateavirus PVA5</t>
  </si>
  <si>
    <t>Nahantvirus 49C7</t>
  </si>
  <si>
    <t>Aoqinvirus RD1410W101</t>
  </si>
  <si>
    <t>Aorunvirus EE36phi1</t>
  </si>
  <si>
    <t>Aorunvirus V12</t>
  </si>
  <si>
    <t>Baltimorevirus DFL12</t>
  </si>
  <si>
    <t>Gonggongvirus</t>
  </si>
  <si>
    <t>Gonggongvirus R7l</t>
  </si>
  <si>
    <t>Plymouthvirus RPP1</t>
  </si>
  <si>
    <t>Pomeroyivirus V13</t>
  </si>
  <si>
    <t>Raunefjordenvirus CB2047B</t>
  </si>
  <si>
    <t>Sanyabayvirus DS1410Ws06</t>
  </si>
  <si>
    <t>Dongdastvirus Axp3</t>
  </si>
  <si>
    <t>Dongdastvirus Axy04</t>
  </si>
  <si>
    <t>Dongdastvirus Axy12</t>
  </si>
  <si>
    <t>Dongdastvirus Axy24</t>
  </si>
  <si>
    <t>Inbricusvirus inbricus</t>
  </si>
  <si>
    <t>Jwalphavirus jwalpha</t>
  </si>
  <si>
    <t>Pourcelvirus Axy10</t>
  </si>
  <si>
    <t>Pourcelvirus Axy11</t>
  </si>
  <si>
    <t>Cavevirus</t>
  </si>
  <si>
    <t>Cavevirus C121</t>
  </si>
  <si>
    <t>Cbunavirus A41</t>
  </si>
  <si>
    <t>Cbunavirus CB1</t>
  </si>
  <si>
    <t>Cbunavirus CB4</t>
  </si>
  <si>
    <t>Cbunavirus Kc283</t>
  </si>
  <si>
    <t>Cbunavirus nepra</t>
  </si>
  <si>
    <t>Cbunavirus possum</t>
  </si>
  <si>
    <t>Dendoorenvirus RG2014</t>
  </si>
  <si>
    <t>Eceepunavirus EcP1</t>
  </si>
  <si>
    <t>Efbeekayvirus</t>
  </si>
  <si>
    <t>Efbeekayvirus Fbkp27</t>
  </si>
  <si>
    <t>Efbeekayvirus P184</t>
  </si>
  <si>
    <t>Electravirus</t>
  </si>
  <si>
    <t>Electravirus Sbp1</t>
  </si>
  <si>
    <t>Exceevirus</t>
  </si>
  <si>
    <t>Exceevirus Xc38</t>
  </si>
  <si>
    <t>Huelvavirus ort11</t>
  </si>
  <si>
    <t>Littlefixvirus 98Pflur60pp</t>
  </si>
  <si>
    <t>Littlefixvirus littlefix</t>
  </si>
  <si>
    <t>Mukerjeevirus mv48B1</t>
  </si>
  <si>
    <t>Mukerjeevirus mv51A6</t>
  </si>
  <si>
    <t>Mukerjeevirus mv51A7</t>
  </si>
  <si>
    <t>Mukerjeevirus mv52B1</t>
  </si>
  <si>
    <t>Oliverunavirus</t>
  </si>
  <si>
    <t>Oliverunavirus OLIVR1</t>
  </si>
  <si>
    <t>Pacinivirus phi1</t>
  </si>
  <si>
    <t>Pacinivirus VCO139</t>
  </si>
  <si>
    <t>Pariacacavirus</t>
  </si>
  <si>
    <t>Pariacacavirus 1238A</t>
  </si>
  <si>
    <t>Pariacacavirus 1245O</t>
  </si>
  <si>
    <t>Penintadodekavirus</t>
  </si>
  <si>
    <t>Penintadodekavirus 5012</t>
  </si>
  <si>
    <t>Petruschkyvirus</t>
  </si>
  <si>
    <t>Petruschkyvirus QDWS595</t>
  </si>
  <si>
    <t>Philippevirus</t>
  </si>
  <si>
    <t>Philippevirus philippe</t>
  </si>
  <si>
    <t>Pokkenvirus paxi</t>
  </si>
  <si>
    <t>Pokkenvirus piffle</t>
  </si>
  <si>
    <t>Pokkenvirus pokken</t>
  </si>
  <si>
    <t>Presleyvirus presley</t>
  </si>
  <si>
    <t>Riverridervirus riverrider</t>
  </si>
  <si>
    <t>Shizishanvirus phCDa</t>
  </si>
  <si>
    <t>Triduovirus</t>
  </si>
  <si>
    <t>Triduovirus Tr2</t>
  </si>
  <si>
    <t>Varunavirus</t>
  </si>
  <si>
    <t>Varunavirus BUCT194</t>
  </si>
  <si>
    <t>Vicoquintavirus</t>
  </si>
  <si>
    <t>Vicoquintavirus Pvco5</t>
  </si>
  <si>
    <t>Waedenswilvirus S6</t>
  </si>
  <si>
    <t>Xoxocotlavirus</t>
  </si>
  <si>
    <t>Xoxocotlavirus X228B</t>
  </si>
  <si>
    <t>Zicotriavirus ZC03</t>
  </si>
  <si>
    <t>Zicotriavirus ZC08</t>
  </si>
  <si>
    <t>Zurivirus zuri</t>
  </si>
  <si>
    <t>Speroviridae</t>
  </si>
  <si>
    <t>Glazvirus</t>
  </si>
  <si>
    <t>Glazvirus inraei</t>
  </si>
  <si>
    <t>Stanwilliamsviridae</t>
  </si>
  <si>
    <t>Boydwoodruffvirinae</t>
  </si>
  <si>
    <t>Coruscantvirus</t>
  </si>
  <si>
    <t>Coruscantvirus coruscant</t>
  </si>
  <si>
    <t>Samistivirus bmoc</t>
  </si>
  <si>
    <t>Samistivirus braelyn</t>
  </si>
  <si>
    <t>Samistivirus daubenski</t>
  </si>
  <si>
    <t>Samistivirus egole</t>
  </si>
  <si>
    <t>Samistivirus evy</t>
  </si>
  <si>
    <t>Samistivirus jay2jay</t>
  </si>
  <si>
    <t>Samistivirus mildred21</t>
  </si>
  <si>
    <t>Samistivirus nootnoot</t>
  </si>
  <si>
    <t>Samistivirus paradiddles</t>
  </si>
  <si>
    <t>Samistivirus peebs</t>
  </si>
  <si>
    <t>Samistivirus samisti12</t>
  </si>
  <si>
    <t>Tomasvirus</t>
  </si>
  <si>
    <t>Tomasvirus tomas</t>
  </si>
  <si>
    <t>Loccivirinae</t>
  </si>
  <si>
    <t>Annadreamyvirus annadreamy</t>
  </si>
  <si>
    <t>Annadreamyvirus blueeyedbeauty</t>
  </si>
  <si>
    <t>Faustvirus</t>
  </si>
  <si>
    <t>Faustvirus faust</t>
  </si>
  <si>
    <t>Faustvirus tunatartare</t>
  </si>
  <si>
    <t>Gilsonvirus comrade</t>
  </si>
  <si>
    <t>Gilsonvirus gilson</t>
  </si>
  <si>
    <t>Wakandavirus</t>
  </si>
  <si>
    <t>Wakandavirus muntaha</t>
  </si>
  <si>
    <t>Wakandavirus wakanda</t>
  </si>
  <si>
    <t>Wilnyevirus billnye</t>
  </si>
  <si>
    <t>Straboviridae</t>
  </si>
  <si>
    <t>Ceceduovirus assw</t>
  </si>
  <si>
    <t>Ceceduovirus aszj</t>
  </si>
  <si>
    <t>Ceceduovirus cc2</t>
  </si>
  <si>
    <t>Ishigurovirus osborne</t>
  </si>
  <si>
    <t>Dhakavirus anyang</t>
  </si>
  <si>
    <t>Dhakavirus bp7</t>
  </si>
  <si>
    <t>Dhakavirus ecom005</t>
  </si>
  <si>
    <t>Dhakavirus ime08</t>
  </si>
  <si>
    <t>Dhakavirus ime281</t>
  </si>
  <si>
    <t>Dhakavirus ime348</t>
  </si>
  <si>
    <t>Dhakavirus JS10</t>
  </si>
  <si>
    <t>Dhakavirus JS98</t>
  </si>
  <si>
    <t>Dhakavirus mx01</t>
  </si>
  <si>
    <t>Dhakavirus ql01</t>
  </si>
  <si>
    <t>Dhakavirus vr5</t>
  </si>
  <si>
    <t>Dhakavirus wg01</t>
  </si>
  <si>
    <t>Gaprivervirus arezed</t>
  </si>
  <si>
    <t>Gaprivervirus sp18</t>
  </si>
  <si>
    <t>Gaprivervirus vr7</t>
  </si>
  <si>
    <t>Gaprivervirus vr20</t>
  </si>
  <si>
    <t>Gaprivervirus vr25</t>
  </si>
  <si>
    <t>Gaprivervirus vr26</t>
  </si>
  <si>
    <t>Gelderlandvirus cgg41</t>
  </si>
  <si>
    <t>Gelderlandvirus melville</t>
  </si>
  <si>
    <t>Gelderlandvirus s16</t>
  </si>
  <si>
    <t>Gelderlandvirus stml198</t>
  </si>
  <si>
    <t>Gelderlandvirus stp4a</t>
  </si>
  <si>
    <t>Jiaodavirus jd18</t>
  </si>
  <si>
    <t>Jiaodavirus kp179</t>
  </si>
  <si>
    <t>Jiaodavirus kppv15</t>
  </si>
  <si>
    <t>Jiaodavirus kpv477</t>
  </si>
  <si>
    <t>Jiaodavirus mineola</t>
  </si>
  <si>
    <t>Jiaodavirus pko111</t>
  </si>
  <si>
    <t>Kagamiyamavirus</t>
  </si>
  <si>
    <t>Kagamiyamavirus ecs1</t>
  </si>
  <si>
    <t>Kanagawavirus cipnine</t>
  </si>
  <si>
    <t>Kanagawavirus eclm</t>
  </si>
  <si>
    <t>Kanagawavirus mime</t>
  </si>
  <si>
    <t>Kanagawavirus pei20</t>
  </si>
  <si>
    <t>Kanagawavirus threeohfive</t>
  </si>
  <si>
    <t>Karamvirus cc31</t>
  </si>
  <si>
    <t>Karamvirus mypsh1140</t>
  </si>
  <si>
    <t>Karamvirus petcm34</t>
  </si>
  <si>
    <t>Karamvirus pg7</t>
  </si>
  <si>
    <t>Moonvirus cf1</t>
  </si>
  <si>
    <t>Moonvirus kayemsixteen</t>
  </si>
  <si>
    <t>Moonvirus merlin</t>
  </si>
  <si>
    <t>Moonvirus moon</t>
  </si>
  <si>
    <t>Mosigvirus 0157tp3</t>
  </si>
  <si>
    <t>Mosigvirus 25307</t>
  </si>
  <si>
    <t>Mosigvirus atk47</t>
  </si>
  <si>
    <t>Mosigvirus c120</t>
  </si>
  <si>
    <t>Mosigvirus HX01</t>
  </si>
  <si>
    <t>Mosigvirus JS09</t>
  </si>
  <si>
    <t>Mosigvirus mar005p1</t>
  </si>
  <si>
    <t>Mosigvirus p000v</t>
  </si>
  <si>
    <t>Mosigvirus phapec2</t>
  </si>
  <si>
    <t>Mosigvirus RB69</t>
  </si>
  <si>
    <t>Mosigvirus sf</t>
  </si>
  <si>
    <t>Mosigvirus shsm521</t>
  </si>
  <si>
    <t>Mosigvirus utam</t>
  </si>
  <si>
    <t>Mosugukvirus</t>
  </si>
  <si>
    <t>Mosugukvirus pm2</t>
  </si>
  <si>
    <t>Roskildevirus</t>
  </si>
  <si>
    <t>Roskildevirus cronus</t>
  </si>
  <si>
    <t>Tegunavirus fheyen901</t>
  </si>
  <si>
    <t>Tegunavirus r1rt</t>
  </si>
  <si>
    <t>Tegunavirus yenmtg1</t>
  </si>
  <si>
    <t>Tequatrovirus aplgate</t>
  </si>
  <si>
    <t>Tequatrovirus ar1</t>
  </si>
  <si>
    <t>Tequatrovirus c40</t>
  </si>
  <si>
    <t>Tequatrovirus cm8</t>
  </si>
  <si>
    <t>Tequatrovirus cromcrrp10</t>
  </si>
  <si>
    <t>Tequatrovirus deeone</t>
  </si>
  <si>
    <t>Tequatrovirus e112</t>
  </si>
  <si>
    <t>Tequatrovirus ec04</t>
  </si>
  <si>
    <t>Tequatrovirus ec121</t>
  </si>
  <si>
    <t>Tequatrovirus ecml134</t>
  </si>
  <si>
    <t>Tequatrovirus ecnp1</t>
  </si>
  <si>
    <t>Tequatrovirus ecombl75</t>
  </si>
  <si>
    <t>Tequatrovirus ecomdalca</t>
  </si>
  <si>
    <t>Tequatrovirus ecomg28</t>
  </si>
  <si>
    <t>Tequatrovirus ecomim339</t>
  </si>
  <si>
    <t>Tequatrovirus ecomime340</t>
  </si>
  <si>
    <t>Tequatrovirus ecomnbg2</t>
  </si>
  <si>
    <t>Tequatrovirus ecomufv133</t>
  </si>
  <si>
    <t>Tequatrovirus effone</t>
  </si>
  <si>
    <t>Tequatrovirus efftwo</t>
  </si>
  <si>
    <t>Tequatrovirus fps2</t>
  </si>
  <si>
    <t>Tequatrovirus fps65</t>
  </si>
  <si>
    <t>Tequatrovirus fps90</t>
  </si>
  <si>
    <t>Tequatrovirus gee50</t>
  </si>
  <si>
    <t>Tequatrovirus gee4498</t>
  </si>
  <si>
    <t>Tequatrovirus gee4507</t>
  </si>
  <si>
    <t>Tequatrovirus gee9062</t>
  </si>
  <si>
    <t>Tequatrovirus geeight</t>
  </si>
  <si>
    <t>Tequatrovirus gizh</t>
  </si>
  <si>
    <t>Tequatrovirus hy01</t>
  </si>
  <si>
    <t>Tequatrovirus hy03</t>
  </si>
  <si>
    <t>Tequatrovirus ime09</t>
  </si>
  <si>
    <t>Tequatrovirus ime537</t>
  </si>
  <si>
    <t>Tequatrovirus jaykay</t>
  </si>
  <si>
    <t>Tequatrovirus kaw</t>
  </si>
  <si>
    <t>Tequatrovirus kha5h</t>
  </si>
  <si>
    <t>Tequatrovirus kit03</t>
  </si>
  <si>
    <t>Tequatrovirus knp5</t>
  </si>
  <si>
    <t>Tequatrovirus lutter</t>
  </si>
  <si>
    <t>Tequatrovirus mlf4</t>
  </si>
  <si>
    <t>Tequatrovirus nbeco</t>
  </si>
  <si>
    <t>Tequatrovirus oe5505</t>
  </si>
  <si>
    <t>Tequatrovirus ozark</t>
  </si>
  <si>
    <t>Tequatrovirus pd112</t>
  </si>
  <si>
    <t>Tequatrovirus pe37</t>
  </si>
  <si>
    <t>Tequatrovirus pp01</t>
  </si>
  <si>
    <t>Tequatrovirus pss1</t>
  </si>
  <si>
    <t>Tequatrovirus pst</t>
  </si>
  <si>
    <t>Tequatrovirus pyps2t</t>
  </si>
  <si>
    <t>Tequatrovirus RB3</t>
  </si>
  <si>
    <t>Tequatrovirus RB14</t>
  </si>
  <si>
    <t>Tequatrovirus RB18</t>
  </si>
  <si>
    <t>Tequatrovirus RB27</t>
  </si>
  <si>
    <t>Tequatrovirus RB32</t>
  </si>
  <si>
    <t>Tequatrovirus RB51</t>
  </si>
  <si>
    <t>Tequatrovirus sf21</t>
  </si>
  <si>
    <t>Tequatrovirus sf22</t>
  </si>
  <si>
    <t>Tequatrovirus sf23</t>
  </si>
  <si>
    <t>Tequatrovirus sf24</t>
  </si>
  <si>
    <t>Tequatrovirus sgallinarium</t>
  </si>
  <si>
    <t>Tequatrovirus sh7</t>
  </si>
  <si>
    <t>Tequatrovirus SHBML501</t>
  </si>
  <si>
    <t>Tequatrovirus shfl2</t>
  </si>
  <si>
    <t>Tequatrovirus shfml11</t>
  </si>
  <si>
    <t>Tequatrovirus shfml26</t>
  </si>
  <si>
    <t>Tequatrovirus slur02</t>
  </si>
  <si>
    <t>Tequatrovirus slur03</t>
  </si>
  <si>
    <t>Tequatrovirus slur07</t>
  </si>
  <si>
    <t>Tequatrovirus snuabm</t>
  </si>
  <si>
    <t>Tequatrovirus T2</t>
  </si>
  <si>
    <t>Tequatrovirus T4</t>
  </si>
  <si>
    <t>Tequatrovirus T6</t>
  </si>
  <si>
    <t>Tequatrovirus teqdroes</t>
  </si>
  <si>
    <t>Tequatrovirus teqhad</t>
  </si>
  <si>
    <t>Tequatrovirus teqskov</t>
  </si>
  <si>
    <t>Tequatrovirus ufvareg1</t>
  </si>
  <si>
    <t>Tequatrovirus vtec</t>
  </si>
  <si>
    <t>Tequatrovirus yueel1</t>
  </si>
  <si>
    <t>Tequatrovirus zeen18</t>
  </si>
  <si>
    <t>Tequatrovirus zeezee23</t>
  </si>
  <si>
    <t>Tequatrovirus zeezeesix</t>
  </si>
  <si>
    <t>Tequatrovirus zeezeethirty</t>
  </si>
  <si>
    <t>Winklervirus chi14</t>
  </si>
  <si>
    <t>Winklervirus xtwenty</t>
  </si>
  <si>
    <t>Acajnonavirus acj9</t>
  </si>
  <si>
    <t>Hadassahvirus azbtza1</t>
  </si>
  <si>
    <t>Hadassahvirus pht2</t>
  </si>
  <si>
    <t>Lazarusvirus am101</t>
  </si>
  <si>
    <t>Lazarusvirus apostate</t>
  </si>
  <si>
    <t>Lazarusvirus berthold</t>
  </si>
  <si>
    <t>Lazarusvirus fhyacithree</t>
  </si>
  <si>
    <t>Lazarusvirus karl</t>
  </si>
  <si>
    <t>Lazarusvirus kimel</t>
  </si>
  <si>
    <t>Lazarusvirus kronadin</t>
  </si>
  <si>
    <t>Lazarusvirus lazarus</t>
  </si>
  <si>
    <t>Zedzedvirus zz1</t>
  </si>
  <si>
    <t>Angelvirus</t>
  </si>
  <si>
    <t>Angelvirus px29</t>
  </si>
  <si>
    <t>Biquartavirus 44RR2</t>
  </si>
  <si>
    <t>Bragavirus</t>
  </si>
  <si>
    <t>Bragavirus p43</t>
  </si>
  <si>
    <t>Bragavirus pm2</t>
  </si>
  <si>
    <t>Bragavirus pm5461</t>
  </si>
  <si>
    <t>Carettavirus</t>
  </si>
  <si>
    <t>Carettavirus e142</t>
  </si>
  <si>
    <t>Chrysonvirus</t>
  </si>
  <si>
    <t>Chrysonvirus as5</t>
  </si>
  <si>
    <t>Cinqassovirus</t>
  </si>
  <si>
    <t>Cinqassovirus aeh1</t>
  </si>
  <si>
    <t>Cinqassovirus ah1</t>
  </si>
  <si>
    <t>Gualtarvirus</t>
  </si>
  <si>
    <t>Gualtarvirus mp1</t>
  </si>
  <si>
    <t>Jiangsuvirus</t>
  </si>
  <si>
    <t>Jiangsuvirus pspyzu05</t>
  </si>
  <si>
    <t>Krischvirus ecd7</t>
  </si>
  <si>
    <t>Krischvirus gec3s</t>
  </si>
  <si>
    <t>Krischvirus georgiaone</t>
  </si>
  <si>
    <t>Krischvirus jse</t>
  </si>
  <si>
    <t>Krischvirus kfsec</t>
  </si>
  <si>
    <t>Krischvirus RB49</t>
  </si>
  <si>
    <t>Mylasvirus</t>
  </si>
  <si>
    <t>Mylasvirus persius</t>
  </si>
  <si>
    <t>Nanhuvirus</t>
  </si>
  <si>
    <t>Nanhuvirus LPCS28</t>
  </si>
  <si>
    <t>Pseudotevenvirus gap161</t>
  </si>
  <si>
    <t>Pseudotevenvirus imecf2</t>
  </si>
  <si>
    <t>Pseudotevenvirus leb</t>
  </si>
  <si>
    <t>Pseudotevenvirus lee</t>
  </si>
  <si>
    <t>Pseudotevenvirus lw1</t>
  </si>
  <si>
    <t>Pseudotevenvirus margaery</t>
  </si>
  <si>
    <t>Pseudotevenvirus miller</t>
  </si>
  <si>
    <t>Pseudotevenvirus RB16</t>
  </si>
  <si>
    <t>Pseudotevenvirus RB43</t>
  </si>
  <si>
    <t>Schizotequatrovirus KVP40</t>
  </si>
  <si>
    <t>Schizotequatrovirus valkk3</t>
  </si>
  <si>
    <t>Schizotequatrovirus vh7d</t>
  </si>
  <si>
    <t>Slopekvirus eap3</t>
  </si>
  <si>
    <t>Slopekvirus kp15</t>
  </si>
  <si>
    <t>Slopekvirus kp27</t>
  </si>
  <si>
    <t>Slopekvirus matisse</t>
  </si>
  <si>
    <t>Slopekvirus pht4A</t>
  </si>
  <si>
    <t>Tuaanevirus ime13</t>
  </si>
  <si>
    <t>Tulanevirus 50ahydr13pp</t>
  </si>
  <si>
    <t>Tulanevirus 60ahydrpp</t>
  </si>
  <si>
    <t>Tulanevirus aes12</t>
  </si>
  <si>
    <t>Tulanevirus aes508</t>
  </si>
  <si>
    <t>Tulanevirus as4</t>
  </si>
  <si>
    <t>Tulanevirus asgz</t>
  </si>
  <si>
    <t>Tulanevirus bteighttwo</t>
  </si>
  <si>
    <t>Suolaviridae</t>
  </si>
  <si>
    <t>Pormufvirus</t>
  </si>
  <si>
    <t>Pormufvirus HRTV28</t>
  </si>
  <si>
    <t>Verdandiviridae</t>
  </si>
  <si>
    <t>Dolusvirus</t>
  </si>
  <si>
    <t>Dolusvirus pacificense</t>
  </si>
  <si>
    <t>Dolusvirus shimokitaense</t>
  </si>
  <si>
    <t>Tonitrusvirus</t>
  </si>
  <si>
    <t>Tonitrusvirus shimokitaense</t>
  </si>
  <si>
    <t>Vertoviridae</t>
  </si>
  <si>
    <t>Chaovirus</t>
  </si>
  <si>
    <t>Chaovirus ChaoS9</t>
  </si>
  <si>
    <t>Myohalovirus phiCh1</t>
  </si>
  <si>
    <t>Myohalovirus phiH</t>
  </si>
  <si>
    <t>Vilmaviridae</t>
  </si>
  <si>
    <t>Lclasvirinae</t>
  </si>
  <si>
    <t>Bromdenvirus</t>
  </si>
  <si>
    <t>Bromdenvirus bromden</t>
  </si>
  <si>
    <t>Bromdenvirus dyoedafos</t>
  </si>
  <si>
    <t>Bronvirus cicholasnage</t>
  </si>
  <si>
    <t>Bronvirus dirkdirk</t>
  </si>
  <si>
    <t>Bronvirus ohshaghennessy</t>
  </si>
  <si>
    <t>Bronvirus silverleaf</t>
  </si>
  <si>
    <t>Faithunavirus</t>
  </si>
  <si>
    <t>Faithunavirus archie</t>
  </si>
  <si>
    <t>Faithunavirus CELFI</t>
  </si>
  <si>
    <t>Faithunavirus faith1</t>
  </si>
  <si>
    <t>Faithunavirus finemlucis</t>
  </si>
  <si>
    <t>Faithunavirus guuelaD</t>
  </si>
  <si>
    <t>Faithunavirus rumpelstiltskin</t>
  </si>
  <si>
    <t>Faithunavirus tourach</t>
  </si>
  <si>
    <t>Lumosvirus</t>
  </si>
  <si>
    <t>Lumosvirus krypton555</t>
  </si>
  <si>
    <t>Lumosvirus lolly9</t>
  </si>
  <si>
    <t>Lumosvirus lumos</t>
  </si>
  <si>
    <t>Lumosvirus whirlwind</t>
  </si>
  <si>
    <t>Bongovirus bongo</t>
  </si>
  <si>
    <t>Bongovirus reindeer</t>
  </si>
  <si>
    <t>Reyvirus aziz</t>
  </si>
  <si>
    <t>Reyvirus estes</t>
  </si>
  <si>
    <t>Reyvirus mrmagoo</t>
  </si>
  <si>
    <t>Reyvirus rey</t>
  </si>
  <si>
    <t>Kumaovirus</t>
  </si>
  <si>
    <t>Kumaovirus kumao</t>
  </si>
  <si>
    <t>Winoviridae</t>
  </si>
  <si>
    <t>Peternellavirus</t>
  </si>
  <si>
    <t>Peternellavirus peternella</t>
  </si>
  <si>
    <t>Pippivirus lotta</t>
  </si>
  <si>
    <t>Pippivirus pippi</t>
  </si>
  <si>
    <t>Zierdtviridae</t>
  </si>
  <si>
    <t>Emilbogenvirinae</t>
  </si>
  <si>
    <t>Foxborovirus</t>
  </si>
  <si>
    <t>Foxborovirus emianna</t>
  </si>
  <si>
    <t>Foxborovirus foxboro</t>
  </si>
  <si>
    <t>Foxborovirus GTE8</t>
  </si>
  <si>
    <t>Foxborovirus kidneybean</t>
  </si>
  <si>
    <t>Foxborovirus NatB6</t>
  </si>
  <si>
    <t>Gruunavirus</t>
  </si>
  <si>
    <t>Gruunavirus flapper</t>
  </si>
  <si>
    <t>Gruunavirus GRU1</t>
  </si>
  <si>
    <t>Gruunavirus GTE5</t>
  </si>
  <si>
    <t>Gruunavirus turuncu</t>
  </si>
  <si>
    <t>Kablunavirus</t>
  </si>
  <si>
    <t>Kablunavirus buggaboo</t>
  </si>
  <si>
    <t>Kablunavirus kabluna</t>
  </si>
  <si>
    <t>Kablunavirus nosilaM</t>
  </si>
  <si>
    <t>Pleakleyvirus</t>
  </si>
  <si>
    <t>Pleakleyvirus pleakley</t>
  </si>
  <si>
    <t>Skysandvirus</t>
  </si>
  <si>
    <t>Skysandvirus lollipop1437</t>
  </si>
  <si>
    <t>Skysandvirus patio</t>
  </si>
  <si>
    <t>Skysandvirus skysand</t>
  </si>
  <si>
    <t>Sukkupivirus</t>
  </si>
  <si>
    <t>Sukkupivirus idyn</t>
  </si>
  <si>
    <t>Sukkupivirus marietta</t>
  </si>
  <si>
    <t>Sukkupivirus nadinerae</t>
  </si>
  <si>
    <t>Sukkupivirus sukkupi</t>
  </si>
  <si>
    <t>Toshachvirinae</t>
  </si>
  <si>
    <t>Ceetrepovirus kimchi1738</t>
  </si>
  <si>
    <t>Ceetrepovirus stickynote</t>
  </si>
  <si>
    <t>Siovirus americense</t>
  </si>
  <si>
    <t>Siovirus coreense</t>
  </si>
  <si>
    <t>Siovirus germanense</t>
  </si>
  <si>
    <t>Veravirus septentrionalis</t>
  </si>
  <si>
    <t>Citrovirus coptotermitis</t>
  </si>
  <si>
    <t>Icepovirus bengalense</t>
  </si>
  <si>
    <t>Melvirus helgolandense</t>
  </si>
  <si>
    <t>Melvirus orientalis</t>
  </si>
  <si>
    <t>Paundecimvirus PA11</t>
  </si>
  <si>
    <t>Salinovirus utanense</t>
  </si>
  <si>
    <t>Vipivirus canadense</t>
  </si>
  <si>
    <t>Andregratiavirinae</t>
  </si>
  <si>
    <t>Haetaevirus</t>
  </si>
  <si>
    <t>Haetaevirus PBC2</t>
  </si>
  <si>
    <t>Kirovvirus</t>
  </si>
  <si>
    <t>Kirovvirus kirov</t>
  </si>
  <si>
    <t>Andrewesvirinae</t>
  </si>
  <si>
    <t>Denvervirus</t>
  </si>
  <si>
    <t>Denvervirus dv9183</t>
  </si>
  <si>
    <t>Vipetofemvirus</t>
  </si>
  <si>
    <t>Vipetofemvirus nattely</t>
  </si>
  <si>
    <t>Vipetofemvirus vipetofem</t>
  </si>
  <si>
    <t>Vipetofemvirus vv140</t>
  </si>
  <si>
    <t>Arequatrovirus ELB20</t>
  </si>
  <si>
    <t>Arequatrovirus paedore</t>
  </si>
  <si>
    <t>Arequatrovirus R4</t>
  </si>
  <si>
    <t>Caelumvirus</t>
  </si>
  <si>
    <t>Caelumvirus alvy</t>
  </si>
  <si>
    <t>Caelumvirus caelum</t>
  </si>
  <si>
    <t>Caelumvirus daudau</t>
  </si>
  <si>
    <t>Caelumvirus issmi</t>
  </si>
  <si>
    <t>Caelumvirus thestral</t>
  </si>
  <si>
    <t>Camvirus alsaber</t>
  </si>
  <si>
    <t>Camvirus amela</t>
  </si>
  <si>
    <t>Camvirus CAM</t>
  </si>
  <si>
    <t>Camvirus endor1</t>
  </si>
  <si>
    <t>Camvirus endor2</t>
  </si>
  <si>
    <t>Camvirus joe</t>
  </si>
  <si>
    <t>Camvirus saftant</t>
  </si>
  <si>
    <t>Camvirus sitrop</t>
  </si>
  <si>
    <t>Celiavirus</t>
  </si>
  <si>
    <t>Celiavirus celia</t>
  </si>
  <si>
    <t>Hautrevirus</t>
  </si>
  <si>
    <t>Hautrevirus hau3</t>
  </si>
  <si>
    <t>Janusvirus</t>
  </si>
  <si>
    <t>Janusvirus hank144</t>
  </si>
  <si>
    <t>Janusvirus janus</t>
  </si>
  <si>
    <t>Janusvirus pablito</t>
  </si>
  <si>
    <t>Likavirus aaronocolus</t>
  </si>
  <si>
    <t>Likavirus caliburn</t>
  </si>
  <si>
    <t>Likavirus danzina</t>
  </si>
  <si>
    <t>Likavirus goby</t>
  </si>
  <si>
    <t>Likavirus hydra</t>
  </si>
  <si>
    <t>Likavirus izzy</t>
  </si>
  <si>
    <t>Likavirus lannister</t>
  </si>
  <si>
    <t>Likavirus lika</t>
  </si>
  <si>
    <t>Likavirus lorelei</t>
  </si>
  <si>
    <t>Likavirus nanodon</t>
  </si>
  <si>
    <t>Likavirus sujidade</t>
  </si>
  <si>
    <t>Likavirus werner</t>
  </si>
  <si>
    <t>Likavirus yasdnil</t>
  </si>
  <si>
    <t>Likavirus zemlya</t>
  </si>
  <si>
    <t>Omarvirus</t>
  </si>
  <si>
    <t>Omarvirus amethyst</t>
  </si>
  <si>
    <t>Omarvirus diane</t>
  </si>
  <si>
    <t>Omarvirus omar</t>
  </si>
  <si>
    <t>Omarvirus tefunt</t>
  </si>
  <si>
    <t>Salutenavirus</t>
  </si>
  <si>
    <t>Salutenavirus salutena</t>
  </si>
  <si>
    <t>Sentinelvirus</t>
  </si>
  <si>
    <t>Sentinelvirus sentinel</t>
  </si>
  <si>
    <t>Sentinelvirus spernnie</t>
  </si>
  <si>
    <t>Yosifvirus</t>
  </si>
  <si>
    <t>Yosifvirus yosif</t>
  </si>
  <si>
    <t>Azeevirinae</t>
  </si>
  <si>
    <t>Galvastonvirus</t>
  </si>
  <si>
    <t>Galvastonvirus tweety19</t>
  </si>
  <si>
    <t>Manhattanvirus crewmate</t>
  </si>
  <si>
    <t>Manhattanvirus drmanhattan</t>
  </si>
  <si>
    <t>Manhattanvirus drsierra</t>
  </si>
  <si>
    <t>Manhattanvirus kealii</t>
  </si>
  <si>
    <t>Manhattanvirus reedo</t>
  </si>
  <si>
    <t>Yangvirus adumb2043</t>
  </si>
  <si>
    <t>Yangvirus amyev</t>
  </si>
  <si>
    <t>Yangvirus elezi</t>
  </si>
  <si>
    <t>Yangvirus kaylissa</t>
  </si>
  <si>
    <t>Yangvirus lizalica</t>
  </si>
  <si>
    <t>Yangvirus phives</t>
  </si>
  <si>
    <t>Yangvirus tbone</t>
  </si>
  <si>
    <t>Yangvirus warda</t>
  </si>
  <si>
    <t>Yangvirus yang</t>
  </si>
  <si>
    <t>Dubowvirus baqsau1</t>
  </si>
  <si>
    <t>Dubowvirus dv11</t>
  </si>
  <si>
    <t>Dubowvirus dv53</t>
  </si>
  <si>
    <t>Dubowvirus dv69</t>
  </si>
  <si>
    <t>Dubowvirus dv85</t>
  </si>
  <si>
    <t>Dubowvirus dv80alpha</t>
  </si>
  <si>
    <t>Dubowvirus ETA2</t>
  </si>
  <si>
    <t>Dubowvirus HSA84</t>
  </si>
  <si>
    <t>Dubowvirus IPLA88</t>
  </si>
  <si>
    <t>Dubowvirus MR25</t>
  </si>
  <si>
    <t>Dubowvirus NM1</t>
  </si>
  <si>
    <t>Dubowvirus NM2</t>
  </si>
  <si>
    <t>Dubowvirus SA75</t>
  </si>
  <si>
    <t>Dubowvirus SA97</t>
  </si>
  <si>
    <t>Dubowvirus SAP26</t>
  </si>
  <si>
    <t>Dubowvirus SAP33</t>
  </si>
  <si>
    <t>Dubowvirus SP5</t>
  </si>
  <si>
    <t>Dubowvirus TEM126</t>
  </si>
  <si>
    <t>Phietavirus B122</t>
  </si>
  <si>
    <t>Phietavirus B166</t>
  </si>
  <si>
    <t>Phietavirus B236</t>
  </si>
  <si>
    <t>Phietavirus ETA</t>
  </si>
  <si>
    <t>Phietavirus ETA3</t>
  </si>
  <si>
    <t>Phietavirus EW</t>
  </si>
  <si>
    <t>Phietavirus Henu2</t>
  </si>
  <si>
    <t>Phietavirus JB</t>
  </si>
  <si>
    <t>Phietavirus MR11</t>
  </si>
  <si>
    <t>Phietavirus NM4</t>
  </si>
  <si>
    <t>Phietavirus pv29</t>
  </si>
  <si>
    <t>Phietavirus pv37</t>
  </si>
  <si>
    <t>Phietavirus pv55</t>
  </si>
  <si>
    <t>Phietavirus pv71</t>
  </si>
  <si>
    <t>Phietavirus pv80</t>
  </si>
  <si>
    <t>Phietavirus pv88</t>
  </si>
  <si>
    <t>Phietavirus pv92</t>
  </si>
  <si>
    <t>Phietavirus pv96</t>
  </si>
  <si>
    <t>Phietavirus pv187</t>
  </si>
  <si>
    <t>Phietavirus pv3MRA</t>
  </si>
  <si>
    <t>Phietavirus pv52a</t>
  </si>
  <si>
    <t>Phietavirus ROSA</t>
  </si>
  <si>
    <t>Phietavirus SA13</t>
  </si>
  <si>
    <t>Phietavirus SAP27</t>
  </si>
  <si>
    <t>Phietavirus sebago</t>
  </si>
  <si>
    <t>Phietavirus StauST3981</t>
  </si>
  <si>
    <t>Phietavirus StauST3983</t>
  </si>
  <si>
    <t>Phietavirus StauST3985</t>
  </si>
  <si>
    <t>Phietavirus UPMK2</t>
  </si>
  <si>
    <t>Phietavirus X2</t>
  </si>
  <si>
    <t>Acadianvirus acadian</t>
  </si>
  <si>
    <t>Acadianvirus baee</t>
  </si>
  <si>
    <t>Acadianvirus reprobate</t>
  </si>
  <si>
    <t>Acadianvirus serendipitous</t>
  </si>
  <si>
    <t>Birdsnestvirus</t>
  </si>
  <si>
    <t>Birdsnestvirus birdsnest</t>
  </si>
  <si>
    <t>Coopervirus adawi</t>
  </si>
  <si>
    <t>Coopervirus bane1</t>
  </si>
  <si>
    <t>Coopervirus brownCNA</t>
  </si>
  <si>
    <t>Coopervirus chrisnmich</t>
  </si>
  <si>
    <t>Coopervirus cooper</t>
  </si>
  <si>
    <t>Coopervirus fortunato</t>
  </si>
  <si>
    <t>Coopervirus heath</t>
  </si>
  <si>
    <t>Coopervirus JAMaL</t>
  </si>
  <si>
    <t>Coopervirus nigel</t>
  </si>
  <si>
    <t>Coopervirus stinger</t>
  </si>
  <si>
    <t>Coopervirus vincenzo</t>
  </si>
  <si>
    <t>Coopervirus zemanar</t>
  </si>
  <si>
    <t>Imvubuvirus</t>
  </si>
  <si>
    <t>Imvubuvirus imvubu</t>
  </si>
  <si>
    <t>Julieunavirus</t>
  </si>
  <si>
    <t>Julieunavirus julie1</t>
  </si>
  <si>
    <t>Lilmcdreamyvirus</t>
  </si>
  <si>
    <t>Lilmcdreamyvirus lilmcdreamy</t>
  </si>
  <si>
    <t>Pegunavirus apizium</t>
  </si>
  <si>
    <t>Pegunavirus kingtut</t>
  </si>
  <si>
    <t>Pegunavirus manad</t>
  </si>
  <si>
    <t>Pegunavirus oline</t>
  </si>
  <si>
    <t>Pegunavirus osmaximus</t>
  </si>
  <si>
    <t>Pegunavirus Pg1</t>
  </si>
  <si>
    <t>Pegunavirus soto</t>
  </si>
  <si>
    <t>Pegunavirus suffolk</t>
  </si>
  <si>
    <t>Pipefishvirus athena</t>
  </si>
  <si>
    <t>Pipefishvirus bernardo</t>
  </si>
  <si>
    <t>Pipefishvirus gadjet</t>
  </si>
  <si>
    <t>Pipefishvirus obutu</t>
  </si>
  <si>
    <t>Pipefishvirus pipefish</t>
  </si>
  <si>
    <t>Quesadillavirus</t>
  </si>
  <si>
    <t>Quesadillavirus CRB2</t>
  </si>
  <si>
    <t>Quesadillavirus quesadilla</t>
  </si>
  <si>
    <t>Rosebushvirus godines</t>
  </si>
  <si>
    <t>Rosebushvirus laurie</t>
  </si>
  <si>
    <t>Rosebushvirus rosebush</t>
  </si>
  <si>
    <t>Rosebushvirus TA17a</t>
  </si>
  <si>
    <t>Saguarovirus</t>
  </si>
  <si>
    <t>Saguarovirus saguaro</t>
  </si>
  <si>
    <t>Thonkovirus</t>
  </si>
  <si>
    <t>Thonkovirus thonko</t>
  </si>
  <si>
    <t>Beaumontvirinae</t>
  </si>
  <si>
    <t>Bixiavirus</t>
  </si>
  <si>
    <t>Bixiavirus BUCT548</t>
  </si>
  <si>
    <t>Bixiavirus BUCT626</t>
  </si>
  <si>
    <t>Bixiavirus BUCT627</t>
  </si>
  <si>
    <t>Salvavirus</t>
  </si>
  <si>
    <t>Salvavirus salva</t>
  </si>
  <si>
    <t>Siaravirus</t>
  </si>
  <si>
    <t>Siaravirus siara</t>
  </si>
  <si>
    <t>Flowerpowervirus flowerpower</t>
  </si>
  <si>
    <t>Immanueltrevirus immanuel3</t>
  </si>
  <si>
    <t>Manuelvirus JXY1</t>
  </si>
  <si>
    <t>Manuelvirus manuel</t>
  </si>
  <si>
    <t>Manuelvirus wrighton</t>
  </si>
  <si>
    <t>Biseptimavirus BU01</t>
  </si>
  <si>
    <t>Biseptimavirus bv77</t>
  </si>
  <si>
    <t>Biseptimavirus bv23MRA</t>
  </si>
  <si>
    <t>Biseptimavirus IME136101</t>
  </si>
  <si>
    <t>Biseptimavirus NM3</t>
  </si>
  <si>
    <t>Biseptimavirus P282</t>
  </si>
  <si>
    <t>Biseptimavirus P630</t>
  </si>
  <si>
    <t>Biseptimavirus P954</t>
  </si>
  <si>
    <t>Biseptimavirus P1105</t>
  </si>
  <si>
    <t>Biseptimavirus phi7247PVL</t>
  </si>
  <si>
    <t>Biseptimavirus SA1014ruMSSAST7</t>
  </si>
  <si>
    <t>Biseptimavirus SA345ruMSSAST8</t>
  </si>
  <si>
    <t>Biseptimavirus st22</t>
  </si>
  <si>
    <t>Biseptimavirus StauST3984</t>
  </si>
  <si>
    <t>Peeveelvirus CN125</t>
  </si>
  <si>
    <t>Peeveelvirus JS01</t>
  </si>
  <si>
    <t>Peeveelvirus pv13</t>
  </si>
  <si>
    <t>Peeveelvirus PV83</t>
  </si>
  <si>
    <t>Peeveelvirus pv3AJ2017</t>
  </si>
  <si>
    <t>Peeveelvirus PVL</t>
  </si>
  <si>
    <t>Peeveelvirus PVL108</t>
  </si>
  <si>
    <t>Peeveelvirus SA7</t>
  </si>
  <si>
    <t>Peeveelvirus SA780ruMSSAST101</t>
  </si>
  <si>
    <t>Peeveelvirus tp3101</t>
  </si>
  <si>
    <t>Ceeclamvirinae</t>
  </si>
  <si>
    <t>Bixzunavirus alice</t>
  </si>
  <si>
    <t>Bixzunavirus astraea</t>
  </si>
  <si>
    <t>Bixzunavirus bigswole</t>
  </si>
  <si>
    <t>Bixzunavirus Bxz1</t>
  </si>
  <si>
    <t>Bixzunavirus cane17</t>
  </si>
  <si>
    <t>Bixzunavirus charlieB</t>
  </si>
  <si>
    <t>Bixzunavirus dandelion</t>
  </si>
  <si>
    <t>Bixzunavirus hyro</t>
  </si>
  <si>
    <t>Bixzunavirus I3</t>
  </si>
  <si>
    <t>Bixzunavirus lukilu</t>
  </si>
  <si>
    <t>Bixzunavirus mangeria</t>
  </si>
  <si>
    <t>Bixzunavirus nappy</t>
  </si>
  <si>
    <t>Bixzunavirus noodletree</t>
  </si>
  <si>
    <t>Bixzunavirus qbert</t>
  </si>
  <si>
    <t>Bixzunavirus quasimodo</t>
  </si>
  <si>
    <t>Bixzunavirus sauce</t>
  </si>
  <si>
    <t>Bixzunavirus sebata</t>
  </si>
  <si>
    <t>Bixzunavirus tonenili</t>
  </si>
  <si>
    <t>Myrnavirus</t>
  </si>
  <si>
    <t>Myranavirus phabba</t>
  </si>
  <si>
    <t>Myrnavirus myrna</t>
  </si>
  <si>
    <t>Brujitavirus babsiella</t>
  </si>
  <si>
    <t>Brujitavirus brujita</t>
  </si>
  <si>
    <t>Brujitavirus HC</t>
  </si>
  <si>
    <t>Brujitavirus xula</t>
  </si>
  <si>
    <t>Hawkeyevirus hawkeye</t>
  </si>
  <si>
    <t>Plotvirus plot</t>
  </si>
  <si>
    <t>Kenoshavirus chikenjars</t>
  </si>
  <si>
    <t>Kenoshavirus crocheter</t>
  </si>
  <si>
    <t>Kenoshavirus duffington</t>
  </si>
  <si>
    <t>Kenoshavirus kenosha</t>
  </si>
  <si>
    <t>Kenoshavirus ohmyward</t>
  </si>
  <si>
    <t>Kenoshavirus rickmore</t>
  </si>
  <si>
    <t>Kenoshavirus untouchable</t>
  </si>
  <si>
    <t>Secretariatvirus secretariat</t>
  </si>
  <si>
    <t>Tanisvirus avazak</t>
  </si>
  <si>
    <t>Tanisvirus tanis</t>
  </si>
  <si>
    <t>Deeyouvirinae</t>
  </si>
  <si>
    <t>Nevillevirus</t>
  </si>
  <si>
    <t>Nevillevirus neville</t>
  </si>
  <si>
    <t>Nevillevirus rabbitrun</t>
  </si>
  <si>
    <t>Nevillevirus trax</t>
  </si>
  <si>
    <t>Octobienvirus</t>
  </si>
  <si>
    <t>Octobienvirus kudefre</t>
  </si>
  <si>
    <t>Octobienvirus octobien14</t>
  </si>
  <si>
    <t>Octobienvirus sephiroth</t>
  </si>
  <si>
    <t>Octobienvirus syleon</t>
  </si>
  <si>
    <t>Bertelyvirus BL9</t>
  </si>
  <si>
    <t>Bertelyvirus SC</t>
  </si>
  <si>
    <t>Colossusvirus colossus</t>
  </si>
  <si>
    <t>Colossusvirus PW</t>
  </si>
  <si>
    <t>Poindextervirus BL10</t>
  </si>
  <si>
    <t>Poindextervirus rogue</t>
  </si>
  <si>
    <t>Shapirovirus cbk</t>
  </si>
  <si>
    <t>Shapirovirus swift</t>
  </si>
  <si>
    <t>Akonivirus akoni</t>
  </si>
  <si>
    <t>Akonivirus phedro</t>
  </si>
  <si>
    <t>Tinytimothyvirus alex44</t>
  </si>
  <si>
    <t>Tinytimothyvirus tinytimothy</t>
  </si>
  <si>
    <t>Firehammervirus CP21</t>
  </si>
  <si>
    <t>Firehammervirus CP220</t>
  </si>
  <si>
    <t>Firehammervirus CPt10</t>
  </si>
  <si>
    <t>Fletchervirus CP81</t>
  </si>
  <si>
    <t>Fletchervirus CP30A</t>
  </si>
  <si>
    <t>Fletchervirus CPX</t>
  </si>
  <si>
    <t>Fletchervirus Los1</t>
  </si>
  <si>
    <t>Fletchervirus NCTC12673</t>
  </si>
  <si>
    <t>Gclasvirinae</t>
  </si>
  <si>
    <t>Antsirabevirus</t>
  </si>
  <si>
    <t>Antsirabevirus antsirabe</t>
  </si>
  <si>
    <t>Avocadovirus</t>
  </si>
  <si>
    <t>Avocadovirus avocado</t>
  </si>
  <si>
    <t>Avocadovirus cambiare</t>
  </si>
  <si>
    <t>Avocadovirus flagstaff</t>
  </si>
  <si>
    <t>Jolieduovirus</t>
  </si>
  <si>
    <t>Jolieduovirus jolie2</t>
  </si>
  <si>
    <t>Jolieduovirus lemuria</t>
  </si>
  <si>
    <t>Jolieduovirus mercurio</t>
  </si>
  <si>
    <t>Liefievirus grizzly</t>
  </si>
  <si>
    <t>Liefievirus paito</t>
  </si>
  <si>
    <t>Liefievirus rabbs</t>
  </si>
  <si>
    <t>Liefievirus taheera</t>
  </si>
  <si>
    <t>Pinnievirus</t>
  </si>
  <si>
    <t>Pinnievirus moorethemaryer</t>
  </si>
  <si>
    <t>Pinnievirus pinnie</t>
  </si>
  <si>
    <t>Dragolirvirus dragolir</t>
  </si>
  <si>
    <t>Harrisonvirus harrison</t>
  </si>
  <si>
    <t>Vegasvirus vegas</t>
  </si>
  <si>
    <t>Wanderervirus wanderer</t>
  </si>
  <si>
    <t>Gordonclarkvirinae</t>
  </si>
  <si>
    <t>Kuravirus CHD5UKE1</t>
  </si>
  <si>
    <t>Kuravirus EcoN5</t>
  </si>
  <si>
    <t>Kuravirus ES17</t>
  </si>
  <si>
    <t>Kuravirus IMEP8</t>
  </si>
  <si>
    <t>Kuravirus kv1721</t>
  </si>
  <si>
    <t>Kuravirus MN03</t>
  </si>
  <si>
    <t>Kuravirus MN05</t>
  </si>
  <si>
    <t>Kuravirus NJ01</t>
  </si>
  <si>
    <t>Kuravirus O18011</t>
  </si>
  <si>
    <t>Kuravirus paul</t>
  </si>
  <si>
    <t>Kuravirus phiEco32</t>
  </si>
  <si>
    <t>Kuravirus SGF2</t>
  </si>
  <si>
    <t>Kuravirus SU10</t>
  </si>
  <si>
    <t>Kuravirus WFI101126</t>
  </si>
  <si>
    <t>Nieuwekanaalvirus</t>
  </si>
  <si>
    <t>Nieuwekanaalvirus EP335</t>
  </si>
  <si>
    <t>Nieuwekanaalvirus KBNP1711</t>
  </si>
  <si>
    <t>Suseptimavirus</t>
  </si>
  <si>
    <t>Suseptimavirus 101114UKE3</t>
  </si>
  <si>
    <t>Suseptimavirus ECBP2</t>
  </si>
  <si>
    <t>Suseptimavirus EK010</t>
  </si>
  <si>
    <t>Suseptimavirus IME267</t>
  </si>
  <si>
    <t>Suseptimavirus SU7</t>
  </si>
  <si>
    <t>Aphroditevirus aphrodite1</t>
  </si>
  <si>
    <t>Aphroditevirus av2TSL2019</t>
  </si>
  <si>
    <t>Aphroditevirus PDCC1</t>
  </si>
  <si>
    <t>Aphroditevirus USC1</t>
  </si>
  <si>
    <t>Tidunavirus pTD1</t>
  </si>
  <si>
    <t>Tidunavirus VP4B</t>
  </si>
  <si>
    <t>Gracegardnervirinae</t>
  </si>
  <si>
    <t>Avanivirus avani</t>
  </si>
  <si>
    <t>Avanivirus Che9d</t>
  </si>
  <si>
    <t>Avanivirus demsculpinboyz</t>
  </si>
  <si>
    <t>Avanivirus soul22</t>
  </si>
  <si>
    <t>Avanivirus yoshi</t>
  </si>
  <si>
    <t>Avanivirus zapner</t>
  </si>
  <si>
    <t>Cheoctovirus arcusangelus</t>
  </si>
  <si>
    <t>Cheoctovirus batiatus</t>
  </si>
  <si>
    <t>Cheoctovirus blexus</t>
  </si>
  <si>
    <t>Cheoctovirus bobaphett</t>
  </si>
  <si>
    <t>Cheoctovirus bodeinwohner17</t>
  </si>
  <si>
    <t>Cheoctovirus bubbles123</t>
  </si>
  <si>
    <t>Cheoctovirus burwell21</t>
  </si>
  <si>
    <t>Cheoctovirus buzzlyseyear</t>
  </si>
  <si>
    <t>Cheoctovirus byougenkin</t>
  </si>
  <si>
    <t>Cheoctovirus captaintrips</t>
  </si>
  <si>
    <t>Cheoctovirus chuckly</t>
  </si>
  <si>
    <t>Cheoctovirus dante</t>
  </si>
  <si>
    <t>Cheoctovirus dilltech15</t>
  </si>
  <si>
    <t>Cheoctovirus donkeykong</t>
  </si>
  <si>
    <t>Cheoctovirus doug</t>
  </si>
  <si>
    <t>Cheoctovirus DRBy19</t>
  </si>
  <si>
    <t>Cheoctovirus eish</t>
  </si>
  <si>
    <t>Cheoctovirus eleanorgeorge</t>
  </si>
  <si>
    <t>Cheoctovirus emma</t>
  </si>
  <si>
    <t>Cheoctovirus empress</t>
  </si>
  <si>
    <t>Cheoctovirus estave1</t>
  </si>
  <si>
    <t>Cheoctovirus fancypants</t>
  </si>
  <si>
    <t>Cheoctovirus filuzino</t>
  </si>
  <si>
    <t>Cheoctovirus firehouse51</t>
  </si>
  <si>
    <t>Cheoctovirus florinda</t>
  </si>
  <si>
    <t>Cheoctovirus galactic</t>
  </si>
  <si>
    <t>Cheoctovirus gandalph</t>
  </si>
  <si>
    <t>Cheoctovirus geralt</t>
  </si>
  <si>
    <t>Cheoctovirus girr</t>
  </si>
  <si>
    <t>Cheoctovirus gorge</t>
  </si>
  <si>
    <t>Cheoctovirus hades</t>
  </si>
  <si>
    <t>Cheoctovirus hamulus</t>
  </si>
  <si>
    <t>Cheoctovirus harley</t>
  </si>
  <si>
    <t>Cheoctovirus hlubikazi</t>
  </si>
  <si>
    <t>Cheoctovirus inventum</t>
  </si>
  <si>
    <t>Cheoctovirus joeyjr</t>
  </si>
  <si>
    <t>Cheoctovirus kersh</t>
  </si>
  <si>
    <t>Cheoctovirus kimberlium</t>
  </si>
  <si>
    <t>Cheoctovirus krakatau</t>
  </si>
  <si>
    <t>Cheoctovirus kristaram</t>
  </si>
  <si>
    <t>Cheoctovirus lilmoolah</t>
  </si>
  <si>
    <t>Cheoctovirus lizziana</t>
  </si>
  <si>
    <t>Cheoctovirus mahavrat</t>
  </si>
  <si>
    <t>Cheoctovirus mantra</t>
  </si>
  <si>
    <t>Cheoctovirus mattes</t>
  </si>
  <si>
    <t>Cheoctovirus melissauren88</t>
  </si>
  <si>
    <t>Cheoctovirus milleniumforce</t>
  </si>
  <si>
    <t>Cheoctovirus miniondave</t>
  </si>
  <si>
    <t>Cheoctovirus minnie</t>
  </si>
  <si>
    <t>Cheoctovirus moonbeam</t>
  </si>
  <si>
    <t>Cheoctovirus nitzel</t>
  </si>
  <si>
    <t>Cheoctovirus nivrat</t>
  </si>
  <si>
    <t>Cheoctovirus ochi17</t>
  </si>
  <si>
    <t>Cheoctovirus oldben</t>
  </si>
  <si>
    <t>Cheoctovirus olympiasaint</t>
  </si>
  <si>
    <t>Cheoctovirus ovechkin</t>
  </si>
  <si>
    <t>Cheoctovirus owlsT2W</t>
  </si>
  <si>
    <t>Cheoctovirus phasih</t>
  </si>
  <si>
    <t>Cheoctovirus phatniss</t>
  </si>
  <si>
    <t>Cheoctovirus plumbus</t>
  </si>
  <si>
    <t>Cheoctovirus poenanya</t>
  </si>
  <si>
    <t>Cheoctovirus polka14</t>
  </si>
  <si>
    <t>Cheoctovirus poptart</t>
  </si>
  <si>
    <t>Cheoctovirus priscilla</t>
  </si>
  <si>
    <t>Cheoctovirus quickmath</t>
  </si>
  <si>
    <t>Cheoctovirus ritaG</t>
  </si>
  <si>
    <t>Cheoctovirus royals2015</t>
  </si>
  <si>
    <t>Cheoctovirus saal</t>
  </si>
  <si>
    <t>Cheoctovirus sandalphon</t>
  </si>
  <si>
    <t>Cheoctovirus sisi</t>
  </si>
  <si>
    <t>Cheoctovirus sparkdehlily</t>
  </si>
  <si>
    <t>Cheoctovirus spikelee</t>
  </si>
  <si>
    <t>Cheoctovirus spoonbill</t>
  </si>
  <si>
    <t>Cheoctovirus supergrey</t>
  </si>
  <si>
    <t>Cheoctovirus swagpigglett</t>
  </si>
  <si>
    <t>Cheoctovirus veteran</t>
  </si>
  <si>
    <t>Cheoctovirus wachhund</t>
  </si>
  <si>
    <t>Cheoctovirus whouxphf</t>
  </si>
  <si>
    <t>Cheoctovirus willsterrel</t>
  </si>
  <si>
    <t>Cheoctovirus xfactor</t>
  </si>
  <si>
    <t>Cheoctovirus zerg</t>
  </si>
  <si>
    <t>Moomoovirus</t>
  </si>
  <si>
    <t>Moomoovirus moomoo</t>
  </si>
  <si>
    <t>Cornellvirus SP31</t>
  </si>
  <si>
    <t>Jerseyvirus AG11</t>
  </si>
  <si>
    <t>Jerseyvirus Ent1</t>
  </si>
  <si>
    <t>Jerseyvirus f18SE</t>
  </si>
  <si>
    <t>Jerseyvirus jersey</t>
  </si>
  <si>
    <t>Jerseyvirus L13</t>
  </si>
  <si>
    <t>Jerseyvirus LSPA1</t>
  </si>
  <si>
    <t>Jerseyvirus SE2</t>
  </si>
  <si>
    <t>Jerseyvirus SETP3</t>
  </si>
  <si>
    <t>Jerseyvirus SETP7</t>
  </si>
  <si>
    <t>Jerseyvirus SETP13</t>
  </si>
  <si>
    <t>Jerseyvirus SP101</t>
  </si>
  <si>
    <t>Jerseyvirus SS3e</t>
  </si>
  <si>
    <t>Jerseyvirus wksl3</t>
  </si>
  <si>
    <t>Kagunavirus golestan</t>
  </si>
  <si>
    <t>Kagunavirus K1G</t>
  </si>
  <si>
    <t>Kagunavirus K1H</t>
  </si>
  <si>
    <t>Kagunavirus K1ind1</t>
  </si>
  <si>
    <t>Kagunavirus K1ind2</t>
  </si>
  <si>
    <t>Kagunavirus RP180</t>
  </si>
  <si>
    <t>Carmenvirus carmen17</t>
  </si>
  <si>
    <t>Carmenvirus Wes44</t>
  </si>
  <si>
    <t>Pebcunavirus PBC1</t>
  </si>
  <si>
    <t>Byrnievirus HK97</t>
  </si>
  <si>
    <t>Cuauhtlivirus mEpX1</t>
  </si>
  <si>
    <t>Kwaitsingvirus HK446</t>
  </si>
  <si>
    <t>Kwaitsingvirus HK544</t>
  </si>
  <si>
    <t>Nochtlivirus mEp235</t>
  </si>
  <si>
    <t>Saikungvirus HK75</t>
  </si>
  <si>
    <t>Saikungvirus HK633</t>
  </si>
  <si>
    <t>Shamshuipovirus HK022</t>
  </si>
  <si>
    <t>Shamshuipovirus mEpX2</t>
  </si>
  <si>
    <t>Wanchaivirus HK106</t>
  </si>
  <si>
    <t>Wanchaivirus mEp234</t>
  </si>
  <si>
    <t>Wongtaivirus ECP1</t>
  </si>
  <si>
    <t>Wongtaivirus HK542</t>
  </si>
  <si>
    <t>Yautsimvirus HK140</t>
  </si>
  <si>
    <t>Iiscvirinae</t>
  </si>
  <si>
    <t>Aryavirus</t>
  </si>
  <si>
    <t>Aryavirus arya</t>
  </si>
  <si>
    <t>Jilinvirus CVM10</t>
  </si>
  <si>
    <t>Jilinvirus ECOO78</t>
  </si>
  <si>
    <t>Jilinvirus ep3</t>
  </si>
  <si>
    <t>Joanripponvirinae</t>
  </si>
  <si>
    <t>Natevirus</t>
  </si>
  <si>
    <t>Natevirus nate</t>
  </si>
  <si>
    <t>Sophritavirus</t>
  </si>
  <si>
    <t>Sophritavirus pW2</t>
  </si>
  <si>
    <t>Sophritavirus sophrita</t>
  </si>
  <si>
    <t>Tsamsavirus</t>
  </si>
  <si>
    <t>Tsamsavirus chewbecca</t>
  </si>
  <si>
    <t>Tsamsavirus izhevsk</t>
  </si>
  <si>
    <t>Tsamsavirus mrdarsey</t>
  </si>
  <si>
    <t>Tsamsavirus skywalker</t>
  </si>
  <si>
    <t>Tsamsavirus tsamsa</t>
  </si>
  <si>
    <t>Kantovirinae</t>
  </si>
  <si>
    <t>Beograduvirus</t>
  </si>
  <si>
    <t>Beograduvirus KPhi1</t>
  </si>
  <si>
    <t>Beograduvirus Xaf18</t>
  </si>
  <si>
    <t>Tsukubavirus</t>
  </si>
  <si>
    <t>Tsukubavirus OP2</t>
  </si>
  <si>
    <t>Tsukubavirus XPP1</t>
  </si>
  <si>
    <t>Tsukubavirus XPV1</t>
  </si>
  <si>
    <t>Getalongvirus asapag</t>
  </si>
  <si>
    <t>Getalongvirus bentherdunthat</t>
  </si>
  <si>
    <t>Getalongvirus getalong</t>
  </si>
  <si>
    <t>Getalongvirus kenna</t>
  </si>
  <si>
    <t>Horusvirus horus</t>
  </si>
  <si>
    <t>Phistoryvirus phistory</t>
  </si>
  <si>
    <t>Limdunavirus LDG</t>
  </si>
  <si>
    <t>Limdunavirus Lmd1</t>
  </si>
  <si>
    <t>Limdunavirus LN03</t>
  </si>
  <si>
    <t>Limdunavirus LN04</t>
  </si>
  <si>
    <t>Limdunavirus LN12</t>
  </si>
  <si>
    <t>Limdunavirus P793</t>
  </si>
  <si>
    <t>Limdunavirus P965</t>
  </si>
  <si>
    <t>Unaquatrovirus Ln7</t>
  </si>
  <si>
    <t>Unaquatrovirus Ln9</t>
  </si>
  <si>
    <t>Unaquatrovirus LN25</t>
  </si>
  <si>
    <t>Unaquatrovirus LN34</t>
  </si>
  <si>
    <t>Unaquatrovirus uv1A4</t>
  </si>
  <si>
    <t>Charlievirus Aggie</t>
  </si>
  <si>
    <t>Charlievirus Andies</t>
  </si>
  <si>
    <t>Charlievirus butters</t>
  </si>
  <si>
    <t>Charlievirus Charlie</t>
  </si>
  <si>
    <t>Charlievirus Fulbright</t>
  </si>
  <si>
    <t>Charlievirus Jamie19</t>
  </si>
  <si>
    <t>Charlievirus Kevin1</t>
  </si>
  <si>
    <t>Charlievirus michellemybell</t>
  </si>
  <si>
    <t>Charlievirus panchino</t>
  </si>
  <si>
    <t>Charlievirus Philonius</t>
  </si>
  <si>
    <t>Charlievirus phrann</t>
  </si>
  <si>
    <t>Charlievirus Pipsqueaks</t>
  </si>
  <si>
    <t>Charlievirus Raymond7</t>
  </si>
  <si>
    <t>Charlievirus Rebel</t>
  </si>
  <si>
    <t>Charlievirus redi</t>
  </si>
  <si>
    <t>Charlievirus skinnypete</t>
  </si>
  <si>
    <t>Charlievirus Tapioca</t>
  </si>
  <si>
    <t>Charlievirus Xeno</t>
  </si>
  <si>
    <t>Baxterfoxvirus</t>
  </si>
  <si>
    <t>Baxterfoxvirus ohgeesy</t>
  </si>
  <si>
    <t>Baxtervirus baxterfox</t>
  </si>
  <si>
    <t>Baxtervirus yeezy</t>
  </si>
  <si>
    <t>Nymphadoravirus agueybana</t>
  </si>
  <si>
    <t>Nymphadoravirus bosnia</t>
  </si>
  <si>
    <t>Nymphadoravirus boynamedsue</t>
  </si>
  <si>
    <t>Nymphadoravirus bunnybear</t>
  </si>
  <si>
    <t>Nymphadoravirus herod</t>
  </si>
  <si>
    <t>Nymphadoravirus kita</t>
  </si>
  <si>
    <t>Nymphadoravirus madeline</t>
  </si>
  <si>
    <t>Nymphadoravirus maridalia</t>
  </si>
  <si>
    <t>Nymphadoravirus nymphadora</t>
  </si>
  <si>
    <t>Nymphadoravirus polly</t>
  </si>
  <si>
    <t>Nymphadoravirus thankyoujordi</t>
  </si>
  <si>
    <t>Nymphadoravirus zirinka</t>
  </si>
  <si>
    <t>Felixounavirus Alf5</t>
  </si>
  <si>
    <t>Felixounavirus AYO145A</t>
  </si>
  <si>
    <t>Felixounavirus BPS15Q2</t>
  </si>
  <si>
    <t>Felixounavirus BPS17L1</t>
  </si>
  <si>
    <t>Felixounavirus BPS17W1</t>
  </si>
  <si>
    <t>Felixounavirus EC6</t>
  </si>
  <si>
    <t>Felixounavirus felixO1</t>
  </si>
  <si>
    <t>Felixounavirus HY02</t>
  </si>
  <si>
    <t>Felixounavirus JH2</t>
  </si>
  <si>
    <t>Felixounavirus mushroom</t>
  </si>
  <si>
    <t>Felixounavirus RPN213</t>
  </si>
  <si>
    <t>Felixounavirus Si3</t>
  </si>
  <si>
    <t>Felixounavirus SP116</t>
  </si>
  <si>
    <t>Felixounavirus TP1</t>
  </si>
  <si>
    <t>Felixounavirus UAB87</t>
  </si>
  <si>
    <t>Felixounavirus VpaE1</t>
  </si>
  <si>
    <t>Felixounavirus wV8</t>
  </si>
  <si>
    <t>Kolesnikvirus Ea214</t>
  </si>
  <si>
    <t>Kolesnikvirus M7</t>
  </si>
  <si>
    <t>Mooglevirus moogle</t>
  </si>
  <si>
    <t>Mooglevirus mordin</t>
  </si>
  <si>
    <t>Mooglevirus Sf13</t>
  </si>
  <si>
    <t>Mooglevirus Sf14</t>
  </si>
  <si>
    <t>Mooglevirus Sf17</t>
  </si>
  <si>
    <t>Suspvirus SUSP1</t>
  </si>
  <si>
    <t>Suspvirus SUSP2</t>
  </si>
  <si>
    <t>Bignuzvirus bignuz</t>
  </si>
  <si>
    <t>Fishburnevirus arib1</t>
  </si>
  <si>
    <t>Fishburnevirus atcoo</t>
  </si>
  <si>
    <t>Fishburnevirus bartholomew</t>
  </si>
  <si>
    <t>Fishburnevirus brusacoram</t>
  </si>
  <si>
    <t>Fishburnevirus donovan</t>
  </si>
  <si>
    <t>Fishburnevirus firstplacepfu</t>
  </si>
  <si>
    <t>Fishburnevirus fishburne</t>
  </si>
  <si>
    <t>Fishburnevirus greaselightnin</t>
  </si>
  <si>
    <t>Fishburnevirus jebeks</t>
  </si>
  <si>
    <t>Fishburnevirus jung</t>
  </si>
  <si>
    <t>Fishburnevirus kilkor</t>
  </si>
  <si>
    <t>Fishburnevirus ksquared</t>
  </si>
  <si>
    <t>Fishburnevirus majeke</t>
  </si>
  <si>
    <t>Fishburnevirus malithi</t>
  </si>
  <si>
    <t>Fishburnevirus shipwreck</t>
  </si>
  <si>
    <t>Fishburnevirus willsammy</t>
  </si>
  <si>
    <t>Phayoncevirus phayonce</t>
  </si>
  <si>
    <t>Phayoncevirus thulathula</t>
  </si>
  <si>
    <t>Purkyvirus</t>
  </si>
  <si>
    <t>Purkyvirus purky</t>
  </si>
  <si>
    <t>Xaviavirus</t>
  </si>
  <si>
    <t>Xaviavirus xavia</t>
  </si>
  <si>
    <t>Amoyvirus R7M</t>
  </si>
  <si>
    <t>Nipunavirus NP1</t>
  </si>
  <si>
    <t>Nipunavirus PaMx25</t>
  </si>
  <si>
    <t>Nonagvirus JenK1</t>
  </si>
  <si>
    <t>Nonagvirus JenP1</t>
  </si>
  <si>
    <t>Nonagvirus JenP2</t>
  </si>
  <si>
    <t>Nonagvirus nv9g</t>
  </si>
  <si>
    <t>Nonagvirus SE1Kor</t>
  </si>
  <si>
    <t>Seuratvirus cajan</t>
  </si>
  <si>
    <t>Seuratvirus seurat</t>
  </si>
  <si>
    <t>Ruthgordonvirinae</t>
  </si>
  <si>
    <t>Catfishvirus</t>
  </si>
  <si>
    <t>Catfishvirus catfish</t>
  </si>
  <si>
    <t>Dardanusvirus</t>
  </si>
  <si>
    <t>Dardanusvirus dardanus</t>
  </si>
  <si>
    <t>Gesputvirus gsput1</t>
  </si>
  <si>
    <t>Schmidtvirus</t>
  </si>
  <si>
    <t>Schmidtvirus schmidt</t>
  </si>
  <si>
    <t>Tinalinvirus</t>
  </si>
  <si>
    <t>Tinalinvirus tinalin</t>
  </si>
  <si>
    <t>Vendettavirus tzgordon</t>
  </si>
  <si>
    <t>Vendettavirus vendetta</t>
  </si>
  <si>
    <t>Sejongvirinae</t>
  </si>
  <si>
    <t>Basiliskvirus</t>
  </si>
  <si>
    <t>Basiliskvirus bak10</t>
  </si>
  <si>
    <t>Basiliskvirus basilisk</t>
  </si>
  <si>
    <t>Yihwangvirus</t>
  </si>
  <si>
    <t>Yihwangvirus BCPST</t>
  </si>
  <si>
    <t>Yihwangvirus PBC4</t>
  </si>
  <si>
    <t>Yihwangvirus pW4</t>
  </si>
  <si>
    <t>Diegovirus dv7502Stx</t>
  </si>
  <si>
    <t>Diegovirus POCJ13</t>
  </si>
  <si>
    <t>Oslovirus ArgO145</t>
  </si>
  <si>
    <t>Oslovirus Lyz12581Vzw</t>
  </si>
  <si>
    <t>Oslovirus ov191</t>
  </si>
  <si>
    <t>Oslovirus PA2</t>
  </si>
  <si>
    <t>Oslovirus TL2011</t>
  </si>
  <si>
    <t>Oslovirus VASD</t>
  </si>
  <si>
    <t>Traversvirus AU5Stx1</t>
  </si>
  <si>
    <t>Traversvirus AU6Stx1</t>
  </si>
  <si>
    <t>Traversvirus F451</t>
  </si>
  <si>
    <t>Traversvirus II</t>
  </si>
  <si>
    <t>Traversvirus min27</t>
  </si>
  <si>
    <t>Traversvirus P27</t>
  </si>
  <si>
    <t>Traversvirus PA28</t>
  </si>
  <si>
    <t>Traversvirus SH2026Stx1</t>
  </si>
  <si>
    <t>Traversvirus ST28624</t>
  </si>
  <si>
    <t>Traversvirus tv86</t>
  </si>
  <si>
    <t>Traversvirus tv24B</t>
  </si>
  <si>
    <t>Traversvirus tv933W</t>
  </si>
  <si>
    <t>Traversvirus WGPS9</t>
  </si>
  <si>
    <t>Bembunaquatrovirus BMBtp14</t>
  </si>
  <si>
    <t>Pushchinovirus B83</t>
  </si>
  <si>
    <t>Stephanstirmvirinae</t>
  </si>
  <si>
    <t>Justusliebigvirus</t>
  </si>
  <si>
    <t>Justusliebigvirus alia</t>
  </si>
  <si>
    <t>Justusliebigvirus muut</t>
  </si>
  <si>
    <t>Justusliebigvirus PD06</t>
  </si>
  <si>
    <t>Justusliebigvirus PHB05</t>
  </si>
  <si>
    <t>Justusliebigvirus phi92</t>
  </si>
  <si>
    <t>Justusliebigvirus VEcB</t>
  </si>
  <si>
    <t>Phapecoctavirus anhysbys</t>
  </si>
  <si>
    <t>Phapecoctavirus Mt1B1P17</t>
  </si>
  <si>
    <t>Phapecoctavirus nepoznato</t>
  </si>
  <si>
    <t>Phapecoctavirus nieznany</t>
  </si>
  <si>
    <t>Phapecoctavirus Ro121c4YLVW</t>
  </si>
  <si>
    <t>Phapecoctavirus TSP7</t>
  </si>
  <si>
    <t>Phapecoctavirus tuntematon</t>
  </si>
  <si>
    <t>Phapecoctavirus ukendt</t>
  </si>
  <si>
    <t>Jelitavirus B025</t>
  </si>
  <si>
    <t>Slepowronvirus LP101</t>
  </si>
  <si>
    <t>Slepowronvirus LPHM00113468</t>
  </si>
  <si>
    <t>Douglaswolinvirus B2</t>
  </si>
  <si>
    <t>Lenusvirus lenus</t>
  </si>
  <si>
    <t>Lenusvirus nyseid</t>
  </si>
  <si>
    <t>Lenusvirus SAC12</t>
  </si>
  <si>
    <t>Lidleunavirus Ldl1</t>
  </si>
  <si>
    <t>Lidleunavirus ViSo2018a</t>
  </si>
  <si>
    <t>Maenadvirus maenad</t>
  </si>
  <si>
    <t>Maenadvirus P1</t>
  </si>
  <si>
    <t>Maenadvirus satyr</t>
  </si>
  <si>
    <t>Avunavirus Av05</t>
  </si>
  <si>
    <t>Certrevirus CR3</t>
  </si>
  <si>
    <t>Certrevirus CR8</t>
  </si>
  <si>
    <t>Certrevirus CR9</t>
  </si>
  <si>
    <t>Certrevirus PBES02</t>
  </si>
  <si>
    <t>Certrevirus phiTE</t>
  </si>
  <si>
    <t>Henunavirus hena1</t>
  </si>
  <si>
    <t>Henunavirus SNUABM01</t>
  </si>
  <si>
    <t>Mydovirus BIS47</t>
  </si>
  <si>
    <t>Mydovirus KB57</t>
  </si>
  <si>
    <t>Mydovirus KNP2</t>
  </si>
  <si>
    <t>Mydovirus KpS8</t>
  </si>
  <si>
    <t>Mydovirus mydo</t>
  </si>
  <si>
    <t>Mydovirus Ro1</t>
  </si>
  <si>
    <t>Seunavirus 4MG</t>
  </si>
  <si>
    <t>Seunavirus GAP31</t>
  </si>
  <si>
    <t>Seunavirus PVPSE1</t>
  </si>
  <si>
    <t>Seunavirus SSE121</t>
  </si>
  <si>
    <t>Vequintavirus APECc02</t>
  </si>
  <si>
    <t>Vequintavirus FFH2</t>
  </si>
  <si>
    <t>Vequintavirus FV3</t>
  </si>
  <si>
    <t>Vequintavirus JES2013</t>
  </si>
  <si>
    <t>Vequintavirus murica</t>
  </si>
  <si>
    <t>Vequintavirus slur16</t>
  </si>
  <si>
    <t>Vequintavirus V5</t>
  </si>
  <si>
    <t>Vequintavirus V18</t>
  </si>
  <si>
    <t>Weiservirinae</t>
  </si>
  <si>
    <t>Amginevirus</t>
  </si>
  <si>
    <t>Amginevirus amgine</t>
  </si>
  <si>
    <t>Amginevirus amohnition</t>
  </si>
  <si>
    <t>Amginevirus darthP</t>
  </si>
  <si>
    <t>Amginevirus ekdilam</t>
  </si>
  <si>
    <t>Amginevirus ellie</t>
  </si>
  <si>
    <t>Aminayvirus</t>
  </si>
  <si>
    <t>Aminayvirus aminay</t>
  </si>
  <si>
    <t>Anayavirus</t>
  </si>
  <si>
    <t>Anayavirus adephagia</t>
  </si>
  <si>
    <t>Anayavirus adonis</t>
  </si>
  <si>
    <t>Anayavirus alishaPH</t>
  </si>
  <si>
    <t>Anayavirus amelie</t>
  </si>
  <si>
    <t>Anayavirus anaya</t>
  </si>
  <si>
    <t>Anayavirus angelica</t>
  </si>
  <si>
    <t>Anayavirus apocalypse</t>
  </si>
  <si>
    <t>Anayavirus beezoo</t>
  </si>
  <si>
    <t>Anayavirus bella96</t>
  </si>
  <si>
    <t>Anayavirus chris</t>
  </si>
  <si>
    <t>Anayavirus crimD</t>
  </si>
  <si>
    <t>Anayavirus curiosium</t>
  </si>
  <si>
    <t>Anayavirus JAWS</t>
  </si>
  <si>
    <t>Anayavirus kisi</t>
  </si>
  <si>
    <t>Anayavirus lasthope</t>
  </si>
  <si>
    <t>Anayavirus laterM</t>
  </si>
  <si>
    <t>Anayavirus markphew</t>
  </si>
  <si>
    <t>Anayavirus marshawn</t>
  </si>
  <si>
    <t>Anayavirus murucutumbu</t>
  </si>
  <si>
    <t>Anayavirus nibb</t>
  </si>
  <si>
    <t>Anayavirus niklas</t>
  </si>
  <si>
    <t>Anayavirus prithvi</t>
  </si>
  <si>
    <t>Anayavirus sirphilip</t>
  </si>
  <si>
    <t>Anayavirus urkel</t>
  </si>
  <si>
    <t>Anayavirus validus</t>
  </si>
  <si>
    <t>Anayavirus yuna</t>
  </si>
  <si>
    <t>Anayavirus yunkel11</t>
  </si>
  <si>
    <t>Anayavirus zavala</t>
  </si>
  <si>
    <t>Fionnbharthvirus</t>
  </si>
  <si>
    <t>Fionnbharthvirus eponine</t>
  </si>
  <si>
    <t>Fionnbharthvirus fionnbharth</t>
  </si>
  <si>
    <t>Fionnbharthvirus henu3</t>
  </si>
  <si>
    <t>Fionnbharthvirus patt</t>
  </si>
  <si>
    <t>Fionnbharthvirus taquito</t>
  </si>
  <si>
    <t>Keshuvirus</t>
  </si>
  <si>
    <t>Keshuvirus hurricane</t>
  </si>
  <si>
    <t>Keshuvirus keshu</t>
  </si>
  <si>
    <t>Keshuvirus macncheese</t>
  </si>
  <si>
    <t>Keshuvirus pixie</t>
  </si>
  <si>
    <t>Keshuvirus shedlockholmes</t>
  </si>
  <si>
    <t>Kratiovirus</t>
  </si>
  <si>
    <t>Kratiovirus collard</t>
  </si>
  <si>
    <t>Kratiovirus gengar</t>
  </si>
  <si>
    <t>Kratiovirus kratio</t>
  </si>
  <si>
    <t>Kratiovirus larva</t>
  </si>
  <si>
    <t>Kratiovirus leston</t>
  </si>
  <si>
    <t>Kratiovirus omnicron</t>
  </si>
  <si>
    <t>Kratiovirus paola</t>
  </si>
  <si>
    <t>Kratiovirus rando14</t>
  </si>
  <si>
    <t>Kratiovirus thyatira</t>
  </si>
  <si>
    <t>Timquatrovirus findley</t>
  </si>
  <si>
    <t>Timquatrovirus mufasa</t>
  </si>
  <si>
    <t>Timquatrovirus zoeJ</t>
  </si>
  <si>
    <t>Unicornvirus</t>
  </si>
  <si>
    <t>Unicornvirus bryler</t>
  </si>
  <si>
    <t>Unicornvirus krueger</t>
  </si>
  <si>
    <t>Unicornvirus shandong1</t>
  </si>
  <si>
    <t>Unicornvirus unicorn</t>
  </si>
  <si>
    <t>Unicornvirus ximenita</t>
  </si>
  <si>
    <t>Abaiavirus</t>
  </si>
  <si>
    <t>Abaiavirus POA1180</t>
  </si>
  <si>
    <t>Abbeymikolonvirus abbeymikolon</t>
  </si>
  <si>
    <t>Abouovirus abouo</t>
  </si>
  <si>
    <t>Abouovirus davies</t>
  </si>
  <si>
    <t>Adaiavirus</t>
  </si>
  <si>
    <t>Adaiavirus adaia</t>
  </si>
  <si>
    <t>Agmunavirus AGM1</t>
  </si>
  <si>
    <t>Agricanvirus deimos</t>
  </si>
  <si>
    <t>Agricanvirus desertfox</t>
  </si>
  <si>
    <t>Agricanvirus Ea3570</t>
  </si>
  <si>
    <t>Agricanvirus ray</t>
  </si>
  <si>
    <t>Agricanvirus simmy50</t>
  </si>
  <si>
    <t>Agricanvirus specialG</t>
  </si>
  <si>
    <t>Aguilavirus mEp043</t>
  </si>
  <si>
    <t>Aguilavirus mEp213</t>
  </si>
  <si>
    <t>Akiravirus</t>
  </si>
  <si>
    <t>Akiravirus akira</t>
  </si>
  <si>
    <t>Alachuavirus Xp15</t>
  </si>
  <si>
    <t>Alcyoneusvirus K641</t>
  </si>
  <si>
    <t>Alcyoneusvirus RaK2</t>
  </si>
  <si>
    <t>Alegriavirus av2B8</t>
  </si>
  <si>
    <t>Alexandravirus AD1</t>
  </si>
  <si>
    <t>Alexandravirus alexandra</t>
  </si>
  <si>
    <t>Alexandravirus SNUABM1</t>
  </si>
  <si>
    <t>Alexandravirus SNUABM2</t>
  </si>
  <si>
    <t>Alexandravirus SNUABM3</t>
  </si>
  <si>
    <t>Alexandravirus SNUABM16</t>
  </si>
  <si>
    <t>Alexandravirus SNUABM17</t>
  </si>
  <si>
    <t>Alexandravirus SNUABM22</t>
  </si>
  <si>
    <t>Alexandravirus SNUABM30</t>
  </si>
  <si>
    <t>Alexandravirus SNUABM32</t>
  </si>
  <si>
    <t>Alexandravirus SNUABM33</t>
  </si>
  <si>
    <t>Alexandravirus SNUABM35</t>
  </si>
  <si>
    <t>Amigovirus amigo</t>
  </si>
  <si>
    <t>Amigovirus molivia</t>
  </si>
  <si>
    <t>Anamdongvirus LBR48</t>
  </si>
  <si>
    <t>Anatolevirus anatole</t>
  </si>
  <si>
    <t>Anatolevirus B3</t>
  </si>
  <si>
    <t>Andrewvirus andrew</t>
  </si>
  <si>
    <t>Andromedavirus andromeda</t>
  </si>
  <si>
    <t>Andromedavirus blastoid</t>
  </si>
  <si>
    <t>Andromedavirus curly</t>
  </si>
  <si>
    <t>Andromedavirus eoghan</t>
  </si>
  <si>
    <t>Andromedavirus finn</t>
  </si>
  <si>
    <t>Andromedavirus glittering</t>
  </si>
  <si>
    <t>Andromedavirus riggi</t>
  </si>
  <si>
    <t>Andromedavirus taylor</t>
  </si>
  <si>
    <t>Anjalivirus anjali</t>
  </si>
  <si>
    <t>Anjalivirus mendel</t>
  </si>
  <si>
    <t>Anthonyvirus</t>
  </si>
  <si>
    <t>Anthonyvirus anthony</t>
  </si>
  <si>
    <t>Aokuangvirus SCBWM1</t>
  </si>
  <si>
    <t>Appavirus appa</t>
  </si>
  <si>
    <t>Apricotvirus apricot</t>
  </si>
  <si>
    <t>Arawnvirus arawn</t>
  </si>
  <si>
    <t>Archimedesvirus</t>
  </si>
  <si>
    <t>Archimedesvirus archimedes</t>
  </si>
  <si>
    <t>Armstrongvirus armstrong</t>
  </si>
  <si>
    <t>Arvduovirus</t>
  </si>
  <si>
    <t>Arvduovirus ArV2</t>
  </si>
  <si>
    <t>Ashduovirus A2</t>
  </si>
  <si>
    <t>Asteriusvirus av121Q</t>
  </si>
  <si>
    <t>Asteriusvirus PBECO4</t>
  </si>
  <si>
    <t>Astrithrvirus astrithr</t>
  </si>
  <si>
    <t>Atraxavirus</t>
  </si>
  <si>
    <t>Atraxavirus atraxa</t>
  </si>
  <si>
    <t>Attisvirus attis</t>
  </si>
  <si>
    <t>Attisvirus bjanes7</t>
  </si>
  <si>
    <t>Attisvirus ebert</t>
  </si>
  <si>
    <t>Attisvirus lamberg</t>
  </si>
  <si>
    <t>Attisvirus matteo</t>
  </si>
  <si>
    <t>Attisvirus pickett</t>
  </si>
  <si>
    <t>Attisvirus sahara</t>
  </si>
  <si>
    <t>Attisvirus vasanti</t>
  </si>
  <si>
    <t>Attisvirus yeet412</t>
  </si>
  <si>
    <t>Attoomivirus attoomi</t>
  </si>
  <si>
    <t>Audreyjarvisvirus AM1</t>
  </si>
  <si>
    <t>Audreyjarvisvirus AM4</t>
  </si>
  <si>
    <t>Audreyjarvisvirus av949</t>
  </si>
  <si>
    <t>Audreyjarvisvirus L47</t>
  </si>
  <si>
    <t>Audreyjarvisvirus LW81</t>
  </si>
  <si>
    <t>Audreyjarvisvirus P1048</t>
  </si>
  <si>
    <t>Audreyjarvisvirus WRP3</t>
  </si>
  <si>
    <t>Aurunvirus STIM5</t>
  </si>
  <si>
    <t>Austintatiousvirus austintatious</t>
  </si>
  <si>
    <t>Austintatiousvirus ididsumtinwong</t>
  </si>
  <si>
    <t>Austintatiousvirus papayasalad</t>
  </si>
  <si>
    <t>Axeltriavirus</t>
  </si>
  <si>
    <t>Axeltriavirus AXL3</t>
  </si>
  <si>
    <t>Ayohtrevirus abba</t>
  </si>
  <si>
    <t>Backyardiganvirus</t>
  </si>
  <si>
    <t>Backyardiganvirus arturo</t>
  </si>
  <si>
    <t>Backyardiganvirus backyardigan</t>
  </si>
  <si>
    <t>Backyardiganvirus bellusterra</t>
  </si>
  <si>
    <t>Backyardiganvirus camperdownii</t>
  </si>
  <si>
    <t>Backyardiganvirus cerulean</t>
  </si>
  <si>
    <t>Backyardiganvirus cindaradix</t>
  </si>
  <si>
    <t>Backyardiganvirus cintron</t>
  </si>
  <si>
    <t>Backyardiganvirus icleared</t>
  </si>
  <si>
    <t>Backyardiganvirus leoavram</t>
  </si>
  <si>
    <t>Backyardiganvirus LHTSCC</t>
  </si>
  <si>
    <t>Backyardiganvirus miramae</t>
  </si>
  <si>
    <t>Backyardiganvirus mundrea</t>
  </si>
  <si>
    <t>Backyardiganvirus noelle</t>
  </si>
  <si>
    <t>Backyardiganvirus peaches</t>
  </si>
  <si>
    <t>Backyardiganvirus stasia</t>
  </si>
  <si>
    <t>Backyardiganvirus wizard007</t>
  </si>
  <si>
    <t>Badaztecvirus badaargau2</t>
  </si>
  <si>
    <t>Badaztecvirus badaztec1</t>
  </si>
  <si>
    <t>Baikalvirus PaBG</t>
  </si>
  <si>
    <t>Baileybluvirus</t>
  </si>
  <si>
    <t>Baileybluvirus baileyblu</t>
  </si>
  <si>
    <t>Bakolyvirus bakoly</t>
  </si>
  <si>
    <t>Bakolyvirus simangalove</t>
  </si>
  <si>
    <t>Bantamvirus bantam</t>
  </si>
  <si>
    <t>Barbavirus barba18A</t>
  </si>
  <si>
    <t>Barbavirus barba19A</t>
  </si>
  <si>
    <t>Barbavirus barba21A</t>
  </si>
  <si>
    <t>Barbavirus barba5S</t>
  </si>
  <si>
    <t>Barbavirus barba8S</t>
  </si>
  <si>
    <t>Barnyardvirus barnyard</t>
  </si>
  <si>
    <t>Barnyardvirus drlupo</t>
  </si>
  <si>
    <t>Bcepfunavirus bcepF1</t>
  </si>
  <si>
    <t>Bcepmuvirus bcepMu</t>
  </si>
  <si>
    <t>Bcepmuvirus E255</t>
  </si>
  <si>
    <t>Beceayunavirus BceA1</t>
  </si>
  <si>
    <t>Becedseptimavirus BCD7</t>
  </si>
  <si>
    <t>Beenievirus</t>
  </si>
  <si>
    <t>Beenievirus beenie</t>
  </si>
  <si>
    <t>Beenievirus clark</t>
  </si>
  <si>
    <t>Beenievirus dobbyssock</t>
  </si>
  <si>
    <t>Beenievirus dolores</t>
  </si>
  <si>
    <t>Beenievirus dorito</t>
  </si>
  <si>
    <t>Beenievirus easley</t>
  </si>
  <si>
    <t>Beenievirus michaelscott</t>
  </si>
  <si>
    <t>Beenievirus samman98</t>
  </si>
  <si>
    <t>Beenievirus sekhmet</t>
  </si>
  <si>
    <t>Beenievirus suerte</t>
  </si>
  <si>
    <t>Beetrevirus B3</t>
  </si>
  <si>
    <t>Beetrevirus JBD67</t>
  </si>
  <si>
    <t>Beetrevirus JD18</t>
  </si>
  <si>
    <t>Beetrevirus PM105</t>
  </si>
  <si>
    <t>Behunavirus BH1</t>
  </si>
  <si>
    <t>Bendigovirus GMA6</t>
  </si>
  <si>
    <t>Benedictvirus</t>
  </si>
  <si>
    <t>Benedictvirus archetta</t>
  </si>
  <si>
    <t>Benedictvirus benedict</t>
  </si>
  <si>
    <t>Benedictvirus bluefalcon</t>
  </si>
  <si>
    <t>Benedictvirus chadwick</t>
  </si>
  <si>
    <t>Benedictvirus cuco</t>
  </si>
  <si>
    <t>Benedictvirus jovo</t>
  </si>
  <si>
    <t>Benedictvirus littlecherry</t>
  </si>
  <si>
    <t>Benedictvirus naca</t>
  </si>
  <si>
    <t>Benedictvirus scorpia</t>
  </si>
  <si>
    <t>Benedictvirus swirley</t>
  </si>
  <si>
    <t>Benedictvirus theia</t>
  </si>
  <si>
    <t>Benedictvirus tiger</t>
  </si>
  <si>
    <t>Benedictvirus unionjack</t>
  </si>
  <si>
    <t>Benedictvirus zolita</t>
  </si>
  <si>
    <t>Bernalvirus bernal13</t>
  </si>
  <si>
    <t>Bernalvirus mendokysei</t>
  </si>
  <si>
    <t>Betterkatzvirus betterkatz</t>
  </si>
  <si>
    <t>Bievrevirus bv4A7</t>
  </si>
  <si>
    <t>Bigmanorsvirus</t>
  </si>
  <si>
    <t>Bigmanorsvirus bgmanors32</t>
  </si>
  <si>
    <t>Bingvirus bing</t>
  </si>
  <si>
    <t>Bippervirus</t>
  </si>
  <si>
    <t>Bippervirus bipper</t>
  </si>
  <si>
    <t>Bjornvirus bjorn</t>
  </si>
  <si>
    <t>Bocovirus</t>
  </si>
  <si>
    <t>Bocovirus X14</t>
  </si>
  <si>
    <t>Borockvirus brock</t>
  </si>
  <si>
    <t>Bowservirus bowser</t>
  </si>
  <si>
    <t>Branisovskavirus</t>
  </si>
  <si>
    <t>Branisovskavirus Kc263</t>
  </si>
  <si>
    <t>Bridgettevirus bridgette</t>
  </si>
  <si>
    <t>Bridgettevirus constance</t>
  </si>
  <si>
    <t>Bridgettevirus eileen</t>
  </si>
  <si>
    <t>Bridgettevirus judy</t>
  </si>
  <si>
    <t>Bridgettevirus peas</t>
  </si>
  <si>
    <t>Brigitvirus brigit</t>
  </si>
  <si>
    <t>Britbratvirus britbrat</t>
  </si>
  <si>
    <t>Brunovirus SEN34</t>
  </si>
  <si>
    <t>Bruynoghevirus Ab22</t>
  </si>
  <si>
    <t>Bruynoghevirus CHU</t>
  </si>
  <si>
    <t>Bruynoghevirus LUZ24</t>
  </si>
  <si>
    <t>Bruynoghevirus PAA2</t>
  </si>
  <si>
    <t>Bruynoghevirus PaP3</t>
  </si>
  <si>
    <t>Bruynoghevirus PaP4</t>
  </si>
  <si>
    <t>Bruynoghevirus TL</t>
  </si>
  <si>
    <t>Buchananvirus</t>
  </si>
  <si>
    <t>Buchananvirus Sa179lw</t>
  </si>
  <si>
    <t>Burrovirus araxxi</t>
  </si>
  <si>
    <t>Burrovirus arete</t>
  </si>
  <si>
    <t>Burrovirus burro</t>
  </si>
  <si>
    <t>Busanvirus ACP17</t>
  </si>
  <si>
    <t>Caminolopintovirus</t>
  </si>
  <si>
    <t>Caminolopintovirus STGO351</t>
  </si>
  <si>
    <t>Camtrevirus BtCS33</t>
  </si>
  <si>
    <t>Camtrevirus CM3</t>
  </si>
  <si>
    <t>Camtrevirus S3501</t>
  </si>
  <si>
    <t>Cantarevirus</t>
  </si>
  <si>
    <t>Cantarevirus cantare</t>
  </si>
  <si>
    <t>Capnelvirus</t>
  </si>
  <si>
    <t>Capnelvirus RcapNL</t>
  </si>
  <si>
    <t>Carnodivirus</t>
  </si>
  <si>
    <t>Carnodivirus cd2-like</t>
  </si>
  <si>
    <t>Carnodivirus cd4-like</t>
  </si>
  <si>
    <t>Carpasinavirus carpasina</t>
  </si>
  <si>
    <t>Carpasinavirus XcP1</t>
  </si>
  <si>
    <t>Carvajevirus</t>
  </si>
  <si>
    <t>Carvajevirus carvaje</t>
  </si>
  <si>
    <t>Casadabanvirus Ab30</t>
  </si>
  <si>
    <t>Casadabanvirus AIIMSPaB1</t>
  </si>
  <si>
    <t>Casadabanvirus D3112</t>
  </si>
  <si>
    <t>Casadabanvirus DMS3</t>
  </si>
  <si>
    <t>Casadabanvirus FET309</t>
  </si>
  <si>
    <t>Casadabanvirus FHA0480</t>
  </si>
  <si>
    <t>Casadabanvirus HW12</t>
  </si>
  <si>
    <t>Casadabanvirus JBD5</t>
  </si>
  <si>
    <t>Casadabanvirus JBD24</t>
  </si>
  <si>
    <t>Casadabanvirus JBD26</t>
  </si>
  <si>
    <t>Casadabanvirus JBD30</t>
  </si>
  <si>
    <t>Casadabanvirus JBD69</t>
  </si>
  <si>
    <t>Casadabanvirus JD024</t>
  </si>
  <si>
    <t>Casadabanvirus LPB1</t>
  </si>
  <si>
    <t>Casadabanvirus MP22</t>
  </si>
  <si>
    <t>Casadabanvirus MP29</t>
  </si>
  <si>
    <t>Casadabanvirus MP38</t>
  </si>
  <si>
    <t>Casadabanvirus MP42</t>
  </si>
  <si>
    <t>Casadabanvirus MP48</t>
  </si>
  <si>
    <t>Casadabanvirus PA1KOR</t>
  </si>
  <si>
    <t>Casadabanvirus PfII40a</t>
  </si>
  <si>
    <t>Casadabanvirus R24</t>
  </si>
  <si>
    <t>Casadabanvirus R960</t>
  </si>
  <si>
    <t>Casadabanvirus spike</t>
  </si>
  <si>
    <t>Cbastvirus ST</t>
  </si>
  <si>
    <t>Cecivirus cv250</t>
  </si>
  <si>
    <t>Cecivirus IEBH</t>
  </si>
  <si>
    <t>Cedarrivervirus</t>
  </si>
  <si>
    <t>Cedarrivervirus Sf11</t>
  </si>
  <si>
    <t>Ceduovirus bIBB14</t>
  </si>
  <si>
    <t>Ceduovirus bIBBA3</t>
  </si>
  <si>
    <t>Ceduovirus bIBBAm4</t>
  </si>
  <si>
    <t>Ceduovirus bIBBE1</t>
  </si>
  <si>
    <t>Ceduovirus bIBBL12</t>
  </si>
  <si>
    <t>Ceduovirus bIBBp64</t>
  </si>
  <si>
    <t>Ceduovirus bIL67</t>
  </si>
  <si>
    <t>Ceduovirus blBB94p4</t>
  </si>
  <si>
    <t>Ceduovirus c2</t>
  </si>
  <si>
    <t>Ceduovirus CHPC116</t>
  </si>
  <si>
    <t>Ceduovirus CHPC122</t>
  </si>
  <si>
    <t>Ceduovirus CHPC966</t>
  </si>
  <si>
    <t>Ceduovirus CHPC967</t>
  </si>
  <si>
    <t>Ceduovirus CHPC972</t>
  </si>
  <si>
    <t>Ceduovirus CHPC1020</t>
  </si>
  <si>
    <t>Ceduovirus CHPC1170</t>
  </si>
  <si>
    <t>Ceduovirus CHPC1182</t>
  </si>
  <si>
    <t>Ceduovirus CHPC1183</t>
  </si>
  <si>
    <t>Ceduovirus CHPC1242</t>
  </si>
  <si>
    <t>Ceduovirus cv05802</t>
  </si>
  <si>
    <t>Ceduovirus cv20R03M</t>
  </si>
  <si>
    <t>Ceduovirus cv37203</t>
  </si>
  <si>
    <t>Ceduovirus cv50102</t>
  </si>
  <si>
    <t>Ceduovirus cv50504</t>
  </si>
  <si>
    <t>Ceduovirus cv5171F</t>
  </si>
  <si>
    <t>Ceduovirus cv62402</t>
  </si>
  <si>
    <t>Ceduovirus cv62403</t>
  </si>
  <si>
    <t>Ceduovirus cv62606</t>
  </si>
  <si>
    <t>Ceduovirus D4410</t>
  </si>
  <si>
    <t>Ceduovirus D4412</t>
  </si>
  <si>
    <t>Ceduovirus LacS15</t>
  </si>
  <si>
    <t>Ceduovirus M5938</t>
  </si>
  <si>
    <t>Ceduovirus PCB1</t>
  </si>
  <si>
    <t>Ceduovirus PCS1</t>
  </si>
  <si>
    <t>Cequinquevirus c5</t>
  </si>
  <si>
    <t>Cequinquevirus Ld3</t>
  </si>
  <si>
    <t>Cequinquevirus Ld17</t>
  </si>
  <si>
    <t>Cequinquevirus Ld25A</t>
  </si>
  <si>
    <t>Cequinquevirus Ldb</t>
  </si>
  <si>
    <t>Cequinquevirus LLKu</t>
  </si>
  <si>
    <t>Certevirus</t>
  </si>
  <si>
    <t>Certevirus C23</t>
  </si>
  <si>
    <t>Chakrabartyvirus pf16</t>
  </si>
  <si>
    <t>Chaoshanvirus</t>
  </si>
  <si>
    <t>Chaoshanvirus ZPAH34</t>
  </si>
  <si>
    <t>Chenonavirus Che9c</t>
  </si>
  <si>
    <t>Chenonavirus sbash</t>
  </si>
  <si>
    <t>Chertseyvirus GE1</t>
  </si>
  <si>
    <t>Chiangmaivirus RSF1</t>
  </si>
  <si>
    <t>Chiangmaivirus RSL2</t>
  </si>
  <si>
    <t>Chidieberevirus</t>
  </si>
  <si>
    <t>Chidieberevirus chidiebere</t>
  </si>
  <si>
    <t>Chidieberevirus chisanakitsune</t>
  </si>
  <si>
    <t>Chopinvirus KSY1</t>
  </si>
  <si>
    <t>Cimandefvirus cimandef</t>
  </si>
  <si>
    <t>Cimandefvirus eline</t>
  </si>
  <si>
    <t>Cimandefvirus gamede</t>
  </si>
  <si>
    <t>Cimandefvirus Ggerry</t>
  </si>
  <si>
    <t>Cimandefvirus heva</t>
  </si>
  <si>
    <t>Cimpunavirus CMP1</t>
  </si>
  <si>
    <t>Cinunavirus CN1A</t>
  </si>
  <si>
    <t>Clawzvirus</t>
  </si>
  <si>
    <t>Clawzvirus clawz</t>
  </si>
  <si>
    <t>Clownvirus</t>
  </si>
  <si>
    <t>Clownvirus clown</t>
  </si>
  <si>
    <t>Coatlandelriovirus</t>
  </si>
  <si>
    <t>Coatlandelriovirus RSP</t>
  </si>
  <si>
    <t>Cobrasixvirus</t>
  </si>
  <si>
    <t>Cobrasixvirus cobrasix</t>
  </si>
  <si>
    <t>Coetzeevirus ATCC8014</t>
  </si>
  <si>
    <t>Coetzeevirus cIP1</t>
  </si>
  <si>
    <t>Coetzeevirus JL1</t>
  </si>
  <si>
    <t>Coeurvirus</t>
  </si>
  <si>
    <t>Coeurvirus coeur</t>
  </si>
  <si>
    <t>Colneyvirus CD27</t>
  </si>
  <si>
    <t>Colneyvirus CD505</t>
  </si>
  <si>
    <t>Colneyvirus CDKM9</t>
  </si>
  <si>
    <t>Colneyvirus CDKM15</t>
  </si>
  <si>
    <t>Colneyvirus MMP02</t>
  </si>
  <si>
    <t>Colunavirus CL1</t>
  </si>
  <si>
    <t>Colunavirus CL2</t>
  </si>
  <si>
    <t>Colunavirus iLp1308</t>
  </si>
  <si>
    <t>Coralvirus coral</t>
  </si>
  <si>
    <t>Coralvirus kepler</t>
  </si>
  <si>
    <t>Corndogvirus catdawg</t>
  </si>
  <si>
    <t>Corndogvirus corndog</t>
  </si>
  <si>
    <t>Corndogvirus firecracker</t>
  </si>
  <si>
    <t>Corndogvirus ryadel</t>
  </si>
  <si>
    <t>Coventryvirus SN8</t>
  </si>
  <si>
    <t>Coventryvirus SP120</t>
  </si>
  <si>
    <t>Coventryvirus SP197</t>
  </si>
  <si>
    <t>Coventryvirus SP276</t>
  </si>
  <si>
    <t>Coventryvirus SP441</t>
  </si>
  <si>
    <t>Coventryvirus SpT152</t>
  </si>
  <si>
    <t>Coventryvirus WIS42</t>
  </si>
  <si>
    <t>Craquatrovirus</t>
  </si>
  <si>
    <t>Craquatrovirus PSTCR4</t>
  </si>
  <si>
    <t>Craquatrovirus PSTCR7</t>
  </si>
  <si>
    <t>Cronusvirus cronus</t>
  </si>
  <si>
    <t>Cukevirus cuke</t>
  </si>
  <si>
    <t>Daredevilvirus daredevil</t>
  </si>
  <si>
    <t>Decurrovirus decurro</t>
  </si>
  <si>
    <t>Delepquintavirus DLP5</t>
  </si>
  <si>
    <t>Delislevirus P1</t>
  </si>
  <si>
    <t>Demosthenesvirus demosthenes</t>
  </si>
  <si>
    <t>Demosthenesvirus katyusha</t>
  </si>
  <si>
    <t>Denisevirus</t>
  </si>
  <si>
    <t>Denisevirus denise</t>
  </si>
  <si>
    <t>Derbicusvirus derbicus</t>
  </si>
  <si>
    <t>Deseoctovirus</t>
  </si>
  <si>
    <t>Deseoctovirus C1</t>
  </si>
  <si>
    <t>Deseoctovirus DS8</t>
  </si>
  <si>
    <t>Detrevirus D3</t>
  </si>
  <si>
    <t>Detrevirus PMG1</t>
  </si>
  <si>
    <t>Deurplevirus deeppurple</t>
  </si>
  <si>
    <t>Dexdertvirus</t>
  </si>
  <si>
    <t>Dexdertvirus dexdert</t>
  </si>
  <si>
    <t>Dexdertvirus GTE6</t>
  </si>
  <si>
    <t>Dexdertvirus tiamoceli</t>
  </si>
  <si>
    <t>Dhillonvirus EK99P1</t>
  </si>
  <si>
    <t>Dhillonvirus EP23</t>
  </si>
  <si>
    <t>Dhillonvirus HK578</t>
  </si>
  <si>
    <t>Dhillonvirus JL1</t>
  </si>
  <si>
    <t>Dhillonvirus SO1</t>
  </si>
  <si>
    <t>Dhillonvirus SSL2009a</t>
  </si>
  <si>
    <t>Dhillonvirus YD2008s</t>
  </si>
  <si>
    <t>Dibbivirus AAM37</t>
  </si>
  <si>
    <t>Dibbivirus DIBBI</t>
  </si>
  <si>
    <t>Dibbivirus PSKM</t>
  </si>
  <si>
    <t>Dinavirus dina</t>
  </si>
  <si>
    <t>Dismasvirus dismas</t>
  </si>
  <si>
    <t>Donellivirus gee</t>
  </si>
  <si>
    <t>Doucettevirus B22</t>
  </si>
  <si>
    <t>Doucettevirus doucette</t>
  </si>
  <si>
    <t>Doucettevirus E6</t>
  </si>
  <si>
    <t>Doucettevirus G4</t>
  </si>
  <si>
    <t>Dubuvirus</t>
  </si>
  <si>
    <t>Dubuvirus dubu</t>
  </si>
  <si>
    <t>Dybvigvirus Av1</t>
  </si>
  <si>
    <t>Eagleeyevirus</t>
  </si>
  <si>
    <t>Eagleeyevirus eagleeye</t>
  </si>
  <si>
    <t>Edenvirus eden</t>
  </si>
  <si>
    <t>Efquatrovirus AL2</t>
  </si>
  <si>
    <t>Efquatrovirus AL3</t>
  </si>
  <si>
    <t>Efquatrovirus AUEF3</t>
  </si>
  <si>
    <t>Efquatrovirus EcZZ2</t>
  </si>
  <si>
    <t>Efquatrovirus EF3</t>
  </si>
  <si>
    <t>Efquatrovirus EF4</t>
  </si>
  <si>
    <t>Efquatrovirus EfaCPT1</t>
  </si>
  <si>
    <t>Efquatrovirus IME196</t>
  </si>
  <si>
    <t>Efquatrovirus LY0322</t>
  </si>
  <si>
    <t>Efquatrovirus PMBT2</t>
  </si>
  <si>
    <t>Efquatrovirus SANTOR1</t>
  </si>
  <si>
    <t>Efquatrovirus SHEF2</t>
  </si>
  <si>
    <t>Efquatrovirus SHEF4</t>
  </si>
  <si>
    <t>Efquatrovirus SHEF5</t>
  </si>
  <si>
    <t>Eiauvirus eiAU</t>
  </si>
  <si>
    <t>Eisenstarkvirus L7</t>
  </si>
  <si>
    <t>Elemovirus</t>
  </si>
  <si>
    <t>Elemovirus elemoA</t>
  </si>
  <si>
    <t>Elemovirus elemoB</t>
  </si>
  <si>
    <t>Elemovirus elemoC</t>
  </si>
  <si>
    <t>Elemovirus elemoD</t>
  </si>
  <si>
    <t>Elemovirus elemoE</t>
  </si>
  <si>
    <t>Elemovirus elemoF</t>
  </si>
  <si>
    <t>Elerivirus eleri</t>
  </si>
  <si>
    <t>Elmenteitavirus ev125</t>
  </si>
  <si>
    <t>Elvirus EL</t>
  </si>
  <si>
    <t>Emalynvirus cozz</t>
  </si>
  <si>
    <t>Emalynvirus emalyn</t>
  </si>
  <si>
    <t>Emalynvirus GTE2</t>
  </si>
  <si>
    <t>Emalynvirus troje</t>
  </si>
  <si>
    <t>Emdodecavirus M7</t>
  </si>
  <si>
    <t>Emdodecavirus M12</t>
  </si>
  <si>
    <t>Emdodecavirus N3</t>
  </si>
  <si>
    <t>Emperorvirus</t>
  </si>
  <si>
    <t>Emperorvirus emperor</t>
  </si>
  <si>
    <t>Emperorvirus sallyspecial</t>
  </si>
  <si>
    <t>Eneladusvirus BF</t>
  </si>
  <si>
    <t>Eneladusvirus Yen904</t>
  </si>
  <si>
    <t>Enfavirus</t>
  </si>
  <si>
    <t>Enfavirus NF</t>
  </si>
  <si>
    <t>Enhodamvirus VC8</t>
  </si>
  <si>
    <t>Enhodamvirus VP2</t>
  </si>
  <si>
    <t>Enhodamvirus VP5</t>
  </si>
  <si>
    <t>Eowynvirus</t>
  </si>
  <si>
    <t>Eowynvirus eowyn</t>
  </si>
  <si>
    <t>Eponavirus epona</t>
  </si>
  <si>
    <t>Ericdabvirus</t>
  </si>
  <si>
    <t>Ericdabvirus ericdab</t>
  </si>
  <si>
    <t>Erskinevirus asesino</t>
  </si>
  <si>
    <t>Erskinevirus EaH2</t>
  </si>
  <si>
    <t>Eurybiavirus MED4213</t>
  </si>
  <si>
    <t>Eurybiavirus PHM1</t>
  </si>
  <si>
    <t>Eurybiavirus PHM2</t>
  </si>
  <si>
    <t>Eyrevirus eyre</t>
  </si>
  <si>
    <t>Fairfaxidumvirus fairfaxidum</t>
  </si>
  <si>
    <t>Fairfaxidumvirus toast</t>
  </si>
  <si>
    <t>Fairfaxidumvirus william</t>
  </si>
  <si>
    <t>Fajavirus</t>
  </si>
  <si>
    <t>Fajavirus faja</t>
  </si>
  <si>
    <t>Farahnazvirus ISF9</t>
  </si>
  <si>
    <t>Fattrevirus AT3</t>
  </si>
  <si>
    <t>Feofaniavirus Eho49</t>
  </si>
  <si>
    <t>Feofaniavirus Eho59</t>
  </si>
  <si>
    <t>Fernvirus BN12</t>
  </si>
  <si>
    <t>Fernvirus diva</t>
  </si>
  <si>
    <t>Fernvirus eltigre</t>
  </si>
  <si>
    <t>Fernvirus fern</t>
  </si>
  <si>
    <t>Fernvirus Hb10c2</t>
  </si>
  <si>
    <t>Fernvirus jacopo</t>
  </si>
  <si>
    <t>Fernvirus kawika</t>
  </si>
  <si>
    <t>Fernvirus leyra</t>
  </si>
  <si>
    <t>Fernvirus likha</t>
  </si>
  <si>
    <t>Fernvirus lucielle</t>
  </si>
  <si>
    <t>Fernvirus P123</t>
  </si>
  <si>
    <t>Fernvirus pagassa</t>
  </si>
  <si>
    <t>Fernvirus PBL1c</t>
  </si>
  <si>
    <t>Fernvirus rani</t>
  </si>
  <si>
    <t>Fernvirus shelly</t>
  </si>
  <si>
    <t>Fernvirus sitara</t>
  </si>
  <si>
    <t>Fernvirus tadhana</t>
  </si>
  <si>
    <t>Fernvirus yyerffej</t>
  </si>
  <si>
    <t>Ferozepurvirus</t>
  </si>
  <si>
    <t>Ferozepurvirus pAEv1810</t>
  </si>
  <si>
    <t>Ferozepurvirus PS1</t>
  </si>
  <si>
    <t>Fibralongavirus fv2638A</t>
  </si>
  <si>
    <t>Fibralongavirus QT1</t>
  </si>
  <si>
    <t>Ficleduovirus FCL2</t>
  </si>
  <si>
    <t>Ficleduovirus FCV1</t>
  </si>
  <si>
    <t>Finchvirus</t>
  </si>
  <si>
    <t>Finchvirus finch</t>
  </si>
  <si>
    <t>Fipvunavirus Fpv1</t>
  </si>
  <si>
    <t>Fipvunavirus Fpv4</t>
  </si>
  <si>
    <t>Firingavirus firinga</t>
  </si>
  <si>
    <t>Firingavirus RSK1</t>
  </si>
  <si>
    <t>Flaumdravirus KIL2</t>
  </si>
  <si>
    <t>Flaumdravirus KIL4</t>
  </si>
  <si>
    <t>Forzavirus</t>
  </si>
  <si>
    <t>Forzavirus forza</t>
  </si>
  <si>
    <t>Fowlmouthvirus fowlmouth</t>
  </si>
  <si>
    <t>Foxquatrovirus</t>
  </si>
  <si>
    <t>Foxquatrovirus fox4</t>
  </si>
  <si>
    <t>Foxunavirus</t>
  </si>
  <si>
    <t>Foxunavirus fox1</t>
  </si>
  <si>
    <t>Foxunavirus fox2</t>
  </si>
  <si>
    <t>Foxunavirus fox3</t>
  </si>
  <si>
    <t>Foxunavirus fox5</t>
  </si>
  <si>
    <t>Franklinbayvirus fv9A</t>
  </si>
  <si>
    <t>Fremauxvirus CHPC971</t>
  </si>
  <si>
    <t>Fremauxvirus fv1706</t>
  </si>
  <si>
    <t>Fromanvirus alma</t>
  </si>
  <si>
    <t>Fromanvirus astro</t>
  </si>
  <si>
    <t>Fromanvirus bethlehem</t>
  </si>
  <si>
    <t>Fromanvirus billknuckles</t>
  </si>
  <si>
    <t>Fromanvirus bpbiebs31</t>
  </si>
  <si>
    <t>Fromanvirus bruns</t>
  </si>
  <si>
    <t>Fromanvirus Bxb1</t>
  </si>
  <si>
    <t>Fromanvirus Che12</t>
  </si>
  <si>
    <t>Fromanvirus D29</t>
  </si>
  <si>
    <t>Fromanvirus doom</t>
  </si>
  <si>
    <t>Fromanvirus euphoria</t>
  </si>
  <si>
    <t>Fromanvirus george</t>
  </si>
  <si>
    <t>Fromanvirus goose</t>
  </si>
  <si>
    <t>Fromanvirus jasper</t>
  </si>
  <si>
    <t>Fromanvirus JC27</t>
  </si>
  <si>
    <t>Fromanvirus KBG</t>
  </si>
  <si>
    <t>Fromanvirus kssjeb</t>
  </si>
  <si>
    <t>Fromanvirus kugel</t>
  </si>
  <si>
    <t>Fromanvirus L5</t>
  </si>
  <si>
    <t>Fromanvirus lesedi</t>
  </si>
  <si>
    <t>Fromanvirus lockley</t>
  </si>
  <si>
    <t>Fromanvirus marcell</t>
  </si>
  <si>
    <t>Fromanvirus mrgordo</t>
  </si>
  <si>
    <t>Fromanvirus museum</t>
  </si>
  <si>
    <t>Fromanvirus nepal</t>
  </si>
  <si>
    <t>Fromanvirus packman</t>
  </si>
  <si>
    <t>Fromanvirus perseus</t>
  </si>
  <si>
    <t>Fromanvirus rebeuca</t>
  </si>
  <si>
    <t>Fromanvirus redrock</t>
  </si>
  <si>
    <t>Fromanvirus ridgecb</t>
  </si>
  <si>
    <t>Fromanvirus saintus</t>
  </si>
  <si>
    <t>Fromanvirus skipole</t>
  </si>
  <si>
    <t>Fromanvirus solon</t>
  </si>
  <si>
    <t>Fromanvirus switzer</t>
  </si>
  <si>
    <t>Fromanvirus SWU1</t>
  </si>
  <si>
    <t>Fromanvirus trixie</t>
  </si>
  <si>
    <t>Fromanvirus twister</t>
  </si>
  <si>
    <t>Fromanvirus U2</t>
  </si>
  <si>
    <t>Fromanvirus violet</t>
  </si>
  <si>
    <t>Fukuivirus LMM01</t>
  </si>
  <si>
    <t>Fukuivirus MVDC</t>
  </si>
  <si>
    <t>Gaiavirus gaia</t>
  </si>
  <si>
    <t>Galaxyvirus abidatro</t>
  </si>
  <si>
    <t>Galaxyvirus galaxy</t>
  </si>
  <si>
    <t>Galunavirus GAL1</t>
  </si>
  <si>
    <t>Gamtrevirus GMA3</t>
  </si>
  <si>
    <t>Gervaisevirus claudettte</t>
  </si>
  <si>
    <t>Gervaisevirus gervaise</t>
  </si>
  <si>
    <t>Gervaisevirus GP4</t>
  </si>
  <si>
    <t>Getseptimavirus GMA7</t>
  </si>
  <si>
    <t>Getseptimavirus GTE7</t>
  </si>
  <si>
    <t>Ghobesvirus ghobes</t>
  </si>
  <si>
    <t>Gilesvirus giles</t>
  </si>
  <si>
    <t>Gillianvirus oneinagillian</t>
  </si>
  <si>
    <t>Gimaduovirus</t>
  </si>
  <si>
    <t>Gimaduovirus GMA2</t>
  </si>
  <si>
    <t>Gladiatorvirus</t>
  </si>
  <si>
    <t>Gladiatorvirus blinn1</t>
  </si>
  <si>
    <t>Gladiatorvirus CloudWang3</t>
  </si>
  <si>
    <t>Gladiatorvirus ericB</t>
  </si>
  <si>
    <t>Gladiatorvirus gladiator</t>
  </si>
  <si>
    <t>Gladiatorvirus hammer</t>
  </si>
  <si>
    <t>Gladiatorvirus jeffabunny</t>
  </si>
  <si>
    <t>Gladiatorvirus jewelbug</t>
  </si>
  <si>
    <t>Gladiatorvirus koko</t>
  </si>
  <si>
    <t>Gladiatorvirus priamo</t>
  </si>
  <si>
    <t>Gladiatorvirus zaka</t>
  </si>
  <si>
    <t>Glaedevirus gv2H10</t>
  </si>
  <si>
    <t>Godonkavirus godonK</t>
  </si>
  <si>
    <t>Godonkavirus phendrix</t>
  </si>
  <si>
    <t>Gofduovirus edno5</t>
  </si>
  <si>
    <t>Gofduovirus GF2</t>
  </si>
  <si>
    <t>Goodmanvirus goodman</t>
  </si>
  <si>
    <t>Gordonvirus captnmurica</t>
  </si>
  <si>
    <t>Gordonvirus gordon</t>
  </si>
  <si>
    <t>Gordtnkvirus gordtnk2</t>
  </si>
  <si>
    <t>Gorganvirus isfahan</t>
  </si>
  <si>
    <t>Gorjumvirus jumbo</t>
  </si>
  <si>
    <t>Goslarvirus goslar</t>
  </si>
  <si>
    <t>Grutrevirus</t>
  </si>
  <si>
    <t>Grutrevirus GMA5</t>
  </si>
  <si>
    <t>Grutrevirus GRU3</t>
  </si>
  <si>
    <t>Gustavvirus gustav</t>
  </si>
  <si>
    <t>Gustavvirus mahdia</t>
  </si>
  <si>
    <t>Halcyonevirus C7Cdelta</t>
  </si>
  <si>
    <t>Halcyonevirus halcyone</t>
  </si>
  <si>
    <t>Halcyonevirus scottie</t>
  </si>
  <si>
    <t>Halcyonevirus tripp</t>
  </si>
  <si>
    <t>Halcyonevirus unity</t>
  </si>
  <si>
    <t>Hapunavirus HAP1</t>
  </si>
  <si>
    <t>Hapunavirus VP882</t>
  </si>
  <si>
    <t>Harrisonburgvirus</t>
  </si>
  <si>
    <t>Harrisonburgvirus persinger</t>
  </si>
  <si>
    <t>Hattifnattvirus hattifnatt</t>
  </si>
  <si>
    <t>Hedwigvirus hedwig</t>
  </si>
  <si>
    <t>Heilongjiangvirus Lb</t>
  </si>
  <si>
    <t>Helsingorvirus Cba121</t>
  </si>
  <si>
    <t>Helsingorvirus Cba171</t>
  </si>
  <si>
    <t>Helsingorvirus Cba181</t>
  </si>
  <si>
    <t>Hestiavirus</t>
  </si>
  <si>
    <t>Hestiavirus hestia</t>
  </si>
  <si>
    <t>Hiroshimavirus</t>
  </si>
  <si>
    <t>Hiroshimavirus PPpW3</t>
  </si>
  <si>
    <t>Hiyaavirus hiyaa</t>
  </si>
  <si>
    <t>Hnatkovirus DS6A</t>
  </si>
  <si>
    <t>Hollowayvirus F116</t>
  </si>
  <si>
    <t>Hollowayvirus H66</t>
  </si>
  <si>
    <t>Holosalinivirus M1EM1</t>
  </si>
  <si>
    <t>Holosalinivirus M8CR302</t>
  </si>
  <si>
    <t>Homburgvirus LP26</t>
  </si>
  <si>
    <t>Homburgvirus LP37</t>
  </si>
  <si>
    <t>Homburgvirus LP110</t>
  </si>
  <si>
    <t>Homburgvirus LP114</t>
  </si>
  <si>
    <t>Homburgvirus P70</t>
  </si>
  <si>
    <t>Howevirus</t>
  </si>
  <si>
    <t>Howevirus howe</t>
  </si>
  <si>
    <t>Howevirus mcklovin</t>
  </si>
  <si>
    <t>Hubeivirus MY192</t>
  </si>
  <si>
    <t>Hubeivirus PfEFR4</t>
  </si>
  <si>
    <t>Hungariovirus</t>
  </si>
  <si>
    <t>Hungariovirus C1302</t>
  </si>
  <si>
    <t>Iaduovirus iA2</t>
  </si>
  <si>
    <t>Iapetusvirus EaH1</t>
  </si>
  <si>
    <t>Iggyvirus</t>
  </si>
  <si>
    <t>Iggyvirus iggy</t>
  </si>
  <si>
    <t>Iggyvirus PBPA162</t>
  </si>
  <si>
    <t>Ikedavirus phi673</t>
  </si>
  <si>
    <t>Ikedavirus phi674</t>
  </si>
  <si>
    <t>Ilzatvirus hamlet</t>
  </si>
  <si>
    <t>Ilzatvirus ilzat</t>
  </si>
  <si>
    <t>Ilzatvirus mcgalleon</t>
  </si>
  <si>
    <t>Ilzatvirus monchoix</t>
  </si>
  <si>
    <t>Ilzatvirus teagan</t>
  </si>
  <si>
    <t>Immutovirus</t>
  </si>
  <si>
    <t>Immutovirus immuto</t>
  </si>
  <si>
    <t>Incheonvirus</t>
  </si>
  <si>
    <t>Incheonvirus P12002L</t>
  </si>
  <si>
    <t>Incheonvirus P12002S</t>
  </si>
  <si>
    <t>Indlulamithivirus indlulamithi</t>
  </si>
  <si>
    <t>Inhavirus P12024L</t>
  </si>
  <si>
    <t>Inhavirus P12024S</t>
  </si>
  <si>
    <t>Iodovirus PLPE</t>
  </si>
  <si>
    <t>Ionavirus W14</t>
  </si>
  <si>
    <t>Isoldevirus</t>
  </si>
  <si>
    <t>Isoldevirus isolde</t>
  </si>
  <si>
    <t>Ittyvirus</t>
  </si>
  <si>
    <t>Ittyvirus itty13</t>
  </si>
  <si>
    <t>Jacevirus jace</t>
  </si>
  <si>
    <t>Jarrellvirus BCAJ1</t>
  </si>
  <si>
    <t>Jasminevirus adat</t>
  </si>
  <si>
    <t>Jasminevirus jasmine</t>
  </si>
  <si>
    <t>Jedunavirus JD001</t>
  </si>
  <si>
    <t>Jedunavirus KpV52</t>
  </si>
  <si>
    <t>Jedunavirus KpV80</t>
  </si>
  <si>
    <t>Jenstvirus jenst</t>
  </si>
  <si>
    <t>Jimmervirus jimmer</t>
  </si>
  <si>
    <t>Jimmervirus osiris</t>
  </si>
  <si>
    <t>Jouyvirus ev017</t>
  </si>
  <si>
    <t>Jouyvirus ev207</t>
  </si>
  <si>
    <t>Jouyvirus jv1H12</t>
  </si>
  <si>
    <t>Juiceboxvirus juicebox</t>
  </si>
  <si>
    <t>Jujuvirus</t>
  </si>
  <si>
    <t>Jujuvirus azula</t>
  </si>
  <si>
    <t>Jujuvirus blino</t>
  </si>
  <si>
    <t>Jujuvirus frokostdame</t>
  </si>
  <si>
    <t>Jujuvirus juju</t>
  </si>
  <si>
    <t>Jujuvirus petra</t>
  </si>
  <si>
    <t>Jujuvirus walrus</t>
  </si>
  <si>
    <t>Junavirus J1</t>
  </si>
  <si>
    <t>Junavirus LJ</t>
  </si>
  <si>
    <t>Junavirus PL1</t>
  </si>
  <si>
    <t>Kafunavirus KF1</t>
  </si>
  <si>
    <t>Kairosalinivirus M31CR412</t>
  </si>
  <si>
    <t>Kairosalinivirus SRUTV1</t>
  </si>
  <si>
    <t>Kamchatkavirus AP45</t>
  </si>
  <si>
    <t>Kelleziovirus kellezzio</t>
  </si>
  <si>
    <t>Kelleziovirus kitkat</t>
  </si>
  <si>
    <t>Kelquatrovirus KL4</t>
  </si>
  <si>
    <t>Kenyattavirus</t>
  </si>
  <si>
    <t>Kenyattavirus kv136</t>
  </si>
  <si>
    <t>Kilunavirus KL1</t>
  </si>
  <si>
    <t>Kimonavirus</t>
  </si>
  <si>
    <t>Kimonavirus kimona</t>
  </si>
  <si>
    <t>Klausavirus ArV1</t>
  </si>
  <si>
    <t>Klausavirus colucci</t>
  </si>
  <si>
    <t>Klausavirus dryang</t>
  </si>
  <si>
    <t>Klausavirus kburrousTX</t>
  </si>
  <si>
    <t>Klausavirus lymara</t>
  </si>
  <si>
    <t>Klausavirus princesstrina</t>
  </si>
  <si>
    <t>Kleczkowskavirus RHEph4</t>
  </si>
  <si>
    <t>Klementvirus CP1</t>
  </si>
  <si>
    <t>Knuthellervirus PMBT14</t>
  </si>
  <si>
    <t>Kochitakasuvirus KPP25</t>
  </si>
  <si>
    <t>Kochitakasuvirus R18</t>
  </si>
  <si>
    <t>Kojivirus golden</t>
  </si>
  <si>
    <t>Kojivirus koji</t>
  </si>
  <si>
    <t>Konstantinevirus konstantine</t>
  </si>
  <si>
    <t>Korravirus bennie</t>
  </si>
  <si>
    <t>Korravirus bigmack</t>
  </si>
  <si>
    <t>Korravirus drrobert</t>
  </si>
  <si>
    <t>Korravirus gisselle</t>
  </si>
  <si>
    <t>Korravirus glenn</t>
  </si>
  <si>
    <t>Korravirus greenhearts</t>
  </si>
  <si>
    <t>Korravirus greenhouse</t>
  </si>
  <si>
    <t>Korravirus hunterdalle</t>
  </si>
  <si>
    <t>Korravirus huntingdon</t>
  </si>
  <si>
    <t>Korravirus joann</t>
  </si>
  <si>
    <t>Korravirus kittykat</t>
  </si>
  <si>
    <t>Korravirus korra</t>
  </si>
  <si>
    <t>Korravirus litotes</t>
  </si>
  <si>
    <t>Korravirus mamapearl</t>
  </si>
  <si>
    <t>Korravirus nubia</t>
  </si>
  <si>
    <t>Korravirus oxynfrius</t>
  </si>
  <si>
    <t>Korravirus preamble</t>
  </si>
  <si>
    <t>Korravirus pumancara</t>
  </si>
  <si>
    <t>Korravirus sergei</t>
  </si>
  <si>
    <t>Korravirus urla</t>
  </si>
  <si>
    <t>Korravirus wawa</t>
  </si>
  <si>
    <t>Korravirus wayne</t>
  </si>
  <si>
    <t>Kostyavirus bask21</t>
  </si>
  <si>
    <t>Kostyavirus CJW1</t>
  </si>
  <si>
    <t>Kostyavirus eureka</t>
  </si>
  <si>
    <t>Kostyavirus kostya</t>
  </si>
  <si>
    <t>Kostyavirus kv244</t>
  </si>
  <si>
    <t>Kostyavirus porky</t>
  </si>
  <si>
    <t>Kostyavirus pumpkin</t>
  </si>
  <si>
    <t>Kostyavirus sirduracell</t>
  </si>
  <si>
    <t>Kostyavirus toto</t>
  </si>
  <si>
    <t>Kozyakovvirus A4L</t>
  </si>
  <si>
    <t>Krampusvirus krampus</t>
  </si>
  <si>
    <t>Kroosvirus</t>
  </si>
  <si>
    <t>Kroosvirus ashertheman</t>
  </si>
  <si>
    <t>Kroosvirus bizzy</t>
  </si>
  <si>
    <t>Kroosvirus gaea</t>
  </si>
  <si>
    <t>Kroosvirus jksyngboy</t>
  </si>
  <si>
    <t>Kroosvirus kroos</t>
  </si>
  <si>
    <t>Kroosvirus ribeye</t>
  </si>
  <si>
    <t>Kroosvirus tangerine</t>
  </si>
  <si>
    <t>Kroosvirus yorkonyx</t>
  </si>
  <si>
    <t>Krylovvirus tf</t>
  </si>
  <si>
    <t>Kryptosalinivirus M8CC19</t>
  </si>
  <si>
    <t>Kryptosalinivirus M8CRM1</t>
  </si>
  <si>
    <t>Kuleanavirus kuleana</t>
  </si>
  <si>
    <t>Kumottavirus</t>
  </si>
  <si>
    <t>Kumottavirus kumotta</t>
  </si>
  <si>
    <t>Kumottavirus margaretkali</t>
  </si>
  <si>
    <t>Kungbxnavirus pT24</t>
  </si>
  <si>
    <t>Kunmingvirus</t>
  </si>
  <si>
    <t>Kunmingvirus kv2D05</t>
  </si>
  <si>
    <t>Kunmingvirus kv4D05</t>
  </si>
  <si>
    <t>Kylevirus kyle</t>
  </si>
  <si>
    <t>Lacnuvirus LcNu</t>
  </si>
  <si>
    <t>Lacusarxvirus lacusarx</t>
  </si>
  <si>
    <t>Lafunavirus LF1</t>
  </si>
  <si>
    <t>Lagaffevirus lagaffe</t>
  </si>
  <si>
    <t>Lahexavirus LAh6</t>
  </si>
  <si>
    <t>Lahexavirus LAh8</t>
  </si>
  <si>
    <t>Lahexavirus LAh9</t>
  </si>
  <si>
    <t>Lahexavirus lv44572</t>
  </si>
  <si>
    <t>Lambdavirus HK629</t>
  </si>
  <si>
    <t>Lambdavirus HK630</t>
  </si>
  <si>
    <t>Lambdavirus lambda</t>
  </si>
  <si>
    <t>Lambdavirus lvO276</t>
  </si>
  <si>
    <t>Lambovirus gibbin</t>
  </si>
  <si>
    <t>Lambovirus lambo</t>
  </si>
  <si>
    <t>Lambovirus ranch</t>
  </si>
  <si>
    <t>Lambovirus sadboi</t>
  </si>
  <si>
    <t>Lambovirus yikes</t>
  </si>
  <si>
    <t>Lanavirus lana</t>
  </si>
  <si>
    <t>Larmunavirus Lrm1</t>
  </si>
  <si>
    <t>Laroyevirus laroye</t>
  </si>
  <si>
    <t>Laroyevirus lisara</t>
  </si>
  <si>
    <t>Laroyevirus salgado</t>
  </si>
  <si>
    <t>Laroyevirus wheelbite</t>
  </si>
  <si>
    <t>Lastavirus lasta</t>
  </si>
  <si>
    <t>Lastavirus sopranogao</t>
  </si>
  <si>
    <t>Latrobevirus FNU1</t>
  </si>
  <si>
    <t>Lederbergvirus BTP1</t>
  </si>
  <si>
    <t>Lederbergvirus HK620</t>
  </si>
  <si>
    <t>Lederbergvirus P22</t>
  </si>
  <si>
    <t>Lederbergvirus SE1Spa</t>
  </si>
  <si>
    <t>Lederbergvirus Sf6</t>
  </si>
  <si>
    <t>Lederbergvirus ST64T</t>
  </si>
  <si>
    <t>Leicestervirus CD111</t>
  </si>
  <si>
    <t>Leicestervirus CD146</t>
  </si>
  <si>
    <t>Leicestervirus CD382</t>
  </si>
  <si>
    <t>Lentavirus PMBT5</t>
  </si>
  <si>
    <t>Leonardvirus</t>
  </si>
  <si>
    <t>Leonardvirus ali17</t>
  </si>
  <si>
    <t>Leonardvirus emoore</t>
  </si>
  <si>
    <t>Leonardvirus leonard</t>
  </si>
  <si>
    <t>Leonardvirus melbins</t>
  </si>
  <si>
    <t>Lessievirus bcep22</t>
  </si>
  <si>
    <t>Lessievirus bcepil02</t>
  </si>
  <si>
    <t>Lessievirus bcepmigl</t>
  </si>
  <si>
    <t>Lessievirus DC1</t>
  </si>
  <si>
    <t>Lietduovirus LIET2</t>
  </si>
  <si>
    <t>Lightbulbvirus Cba41</t>
  </si>
  <si>
    <t>Lightbulbvirus Cba172</t>
  </si>
  <si>
    <t>Lilbeanievirus</t>
  </si>
  <si>
    <t>Lilbeanievirus lilbeanie</t>
  </si>
  <si>
    <t>Lillamyvirus hemulen</t>
  </si>
  <si>
    <t>Lillamyvirus lillamy</t>
  </si>
  <si>
    <t>Lillamyvirus morran</t>
  </si>
  <si>
    <t>Lillamyvirus sniff</t>
  </si>
  <si>
    <t>Lillamyvirus snork</t>
  </si>
  <si>
    <t>Lillamyvirus stinky</t>
  </si>
  <si>
    <t>Lilyvirus lily</t>
  </si>
  <si>
    <t>Llyrvirus SSKS1</t>
  </si>
  <si>
    <t>Lokivirus IMEAB3</t>
  </si>
  <si>
    <t>Lokivirus loki</t>
  </si>
  <si>
    <t>Lomovskayavirus BT1</t>
  </si>
  <si>
    <t>Lomovskayavirus C31</t>
  </si>
  <si>
    <t>Rosemountvirus ZCSE2</t>
  </si>
  <si>
    <t>Lubbockvirus CD119</t>
  </si>
  <si>
    <t>Lubbockvirus CDHM19</t>
  </si>
  <si>
    <t>Luchadorvirus</t>
  </si>
  <si>
    <t>Lucadorvirus gail</t>
  </si>
  <si>
    <t>Lucadorvirus jeeves</t>
  </si>
  <si>
    <t>Lucadorvirus luchador</t>
  </si>
  <si>
    <t>Luckybarnesvirus luckybarnes</t>
  </si>
  <si>
    <t>Luckytenvirus lucky10</t>
  </si>
  <si>
    <t>Ludhianavirus</t>
  </si>
  <si>
    <t>Ludhianavirus D3</t>
  </si>
  <si>
    <t>Ludhianavirus D6</t>
  </si>
  <si>
    <t>Ludhianavirus LAh10</t>
  </si>
  <si>
    <t>Lughvirus lugh</t>
  </si>
  <si>
    <t>Lwoffvirus BMBtp2</t>
  </si>
  <si>
    <t>Lwoffvirus TP21</t>
  </si>
  <si>
    <t>Maaswegvirus</t>
  </si>
  <si>
    <t>Maaswegvirus Kp24</t>
  </si>
  <si>
    <t>Macdonaldcampvirus</t>
  </si>
  <si>
    <t>Macdonaldcampvirus SB28</t>
  </si>
  <si>
    <t>Macdonaldcampvirus ViIIE1</t>
  </si>
  <si>
    <t>Machinavirus machina</t>
  </si>
  <si>
    <t>Magadivirus Mgbh1</t>
  </si>
  <si>
    <t>Magiavirus</t>
  </si>
  <si>
    <t>Magiavirus magia</t>
  </si>
  <si>
    <t>Majavirus maja</t>
  </si>
  <si>
    <t>Manovirus</t>
  </si>
  <si>
    <t>Manovirus Mano</t>
  </si>
  <si>
    <t>Mapvirus Ff47</t>
  </si>
  <si>
    <t>Mapvirus muddy</t>
  </si>
  <si>
    <t>Mardecavirus MAR10</t>
  </si>
  <si>
    <t>Mardecavirus SSP002</t>
  </si>
  <si>
    <t>Mareflavirus</t>
  </si>
  <si>
    <t>Mareflavirus ZP6</t>
  </si>
  <si>
    <t>Marfavirus F48</t>
  </si>
  <si>
    <t>Marfavirus marfa</t>
  </si>
  <si>
    <t>Marienburgvirus BP4795</t>
  </si>
  <si>
    <t>Marienburgvirus JLK2012</t>
  </si>
  <si>
    <t>Marthavirus barretlemon</t>
  </si>
  <si>
    <t>Marthavirus beans</t>
  </si>
  <si>
    <t>Marthavirus brent</t>
  </si>
  <si>
    <t>Marthavirus jawnski</t>
  </si>
  <si>
    <t>Marthavirus martha</t>
  </si>
  <si>
    <t>Marthavirus piccoletto</t>
  </si>
  <si>
    <t>Marthavirus shade</t>
  </si>
  <si>
    <t>Marthavirus zartrosa</t>
  </si>
  <si>
    <t>Marvinvirus marvin</t>
  </si>
  <si>
    <t>Marvinvirus mosmoris</t>
  </si>
  <si>
    <t>Maxrubnervirus PMBT3</t>
  </si>
  <si>
    <t>Mcgonagallvirus</t>
  </si>
  <si>
    <t>Mcgonagallvirus macgonagall</t>
  </si>
  <si>
    <t>Meadowvirus</t>
  </si>
  <si>
    <t>Meadowvirus AH04</t>
  </si>
  <si>
    <t>Mementomorivirus mementomori</t>
  </si>
  <si>
    <t>Menderavirus IMESM1</t>
  </si>
  <si>
    <t>Menderavirus mendera</t>
  </si>
  <si>
    <t>Menderavirus moby</t>
  </si>
  <si>
    <t>Menderavirus Ps15</t>
  </si>
  <si>
    <t>Metamorphoovirus fireman</t>
  </si>
  <si>
    <t>Metamorphoovirus metamorphoo</t>
  </si>
  <si>
    <t>Metamorphoovirus robsfeet</t>
  </si>
  <si>
    <t>Metrivirus ME3</t>
  </si>
  <si>
    <t>Miamivirus</t>
  </si>
  <si>
    <t>Miamivirus miami</t>
  </si>
  <si>
    <t>Micavirus</t>
  </si>
  <si>
    <t>Micavirus Mica</t>
  </si>
  <si>
    <t>Microwolfvirus</t>
  </si>
  <si>
    <t>Microwolfvirus Bxz2</t>
  </si>
  <si>
    <t>Microwolfvirus JHC117</t>
  </si>
  <si>
    <t>Microwolfvirus microwolf</t>
  </si>
  <si>
    <t>Microwolfvirus purplehaze</t>
  </si>
  <si>
    <t>Microwolfvirus soildragon</t>
  </si>
  <si>
    <t>Microwolfvirus wonder</t>
  </si>
  <si>
    <t>Microwolfvirus zetzy</t>
  </si>
  <si>
    <t>Midgardsormrvirus</t>
  </si>
  <si>
    <t>Midgardsormrvirus midgardsormr38</t>
  </si>
  <si>
    <t>Mieseafarmvirus RSL1</t>
  </si>
  <si>
    <t>Miltoncavirus</t>
  </si>
  <si>
    <t>Miltoncavirus PhiPA3</t>
  </si>
  <si>
    <t>Mimasvirus CBB</t>
  </si>
  <si>
    <t>Mimasvirus GAP32</t>
  </si>
  <si>
    <t>Minunavirus Min1</t>
  </si>
  <si>
    <t>Moabitevirus moabite</t>
  </si>
  <si>
    <t>Moabitevirus mv2050HW</t>
  </si>
  <si>
    <t>Mohonavirus</t>
  </si>
  <si>
    <t>Mohonavirus ICP1</t>
  </si>
  <si>
    <t>Mollymurvirus</t>
  </si>
  <si>
    <t>Mollymurvirus mollymur</t>
  </si>
  <si>
    <t>Montyvirus adgers</t>
  </si>
  <si>
    <t>Montyvirus beaver</t>
  </si>
  <si>
    <t>Montyvirus birksandsocks</t>
  </si>
  <si>
    <t>Montyvirus chelms</t>
  </si>
  <si>
    <t>Montyvirus flakey</t>
  </si>
  <si>
    <t>Montyvirus jellybones</t>
  </si>
  <si>
    <t>Montyvirus john316</t>
  </si>
  <si>
    <t>Montyvirus monty</t>
  </si>
  <si>
    <t>Montyvirus sombrero</t>
  </si>
  <si>
    <t>Montyvirus stevefrench</t>
  </si>
  <si>
    <t>Moturavirus motura</t>
  </si>
  <si>
    <t>Mudcatvirus arcadia</t>
  </si>
  <si>
    <t>Mudcatvirus cheesy</t>
  </si>
  <si>
    <t>Mudcatvirus circum</t>
  </si>
  <si>
    <t>Mudcatvirus correa</t>
  </si>
  <si>
    <t>Mudcatvirus dynamite</t>
  </si>
  <si>
    <t>Mudcatvirus heisenberger</t>
  </si>
  <si>
    <t>Mudcatvirus JEGGS</t>
  </si>
  <si>
    <t>Mudcatvirus kardesai</t>
  </si>
  <si>
    <t>Mudcatvirus keaneylin</t>
  </si>
  <si>
    <t>Mudcatvirus mudcat</t>
  </si>
  <si>
    <t>Mudcatvirus tribby</t>
  </si>
  <si>
    <t>Mudcatvirus xenomorph</t>
  </si>
  <si>
    <t>Mufasoctovirus mufasa8</t>
  </si>
  <si>
    <t>Muldoonvirus muldoon</t>
  </si>
  <si>
    <t>Muldoonvirus PS2</t>
  </si>
  <si>
    <t>Muminvirus filifjonk</t>
  </si>
  <si>
    <t>Muminvirus mumin</t>
  </si>
  <si>
    <t>Muminvirus mymlan</t>
  </si>
  <si>
    <t>Muminvirus snusmum</t>
  </si>
  <si>
    <t>Muminvirus tooticki</t>
  </si>
  <si>
    <t>Murrayvirus EC2</t>
  </si>
  <si>
    <t>Murrayvirus lumpael</t>
  </si>
  <si>
    <t>Mushuvirus mushu</t>
  </si>
  <si>
    <t>Muvirus mu</t>
  </si>
  <si>
    <t>Muvirus SfMu</t>
  </si>
  <si>
    <t>Mycoabscvirus</t>
  </si>
  <si>
    <t>Mycoabscvirus phiT46-1</t>
  </si>
  <si>
    <t>Myoalterovirus PT11V22</t>
  </si>
  <si>
    <t>Myosmarvirus MTx</t>
  </si>
  <si>
    <t>Myosmarvirus myosmar</t>
  </si>
  <si>
    <t>Myradeevirus</t>
  </si>
  <si>
    <t>Myradeevirus MyraDee</t>
  </si>
  <si>
    <t>Myxoctovirus Mx8</t>
  </si>
  <si>
    <t>Naesvirus bcep1</t>
  </si>
  <si>
    <t>Naesvirus bcep43</t>
  </si>
  <si>
    <t>Naesvirus bcep781</t>
  </si>
  <si>
    <t>Naesvirus bcepNY3</t>
  </si>
  <si>
    <t>Namazuvirus</t>
  </si>
  <si>
    <t>Namazuvirus POI1126</t>
  </si>
  <si>
    <t>Nanhaivirus D5C</t>
  </si>
  <si>
    <t>Nankokuvirus Ab03</t>
  </si>
  <si>
    <t>Nankokuvirus G1</t>
  </si>
  <si>
    <t>Nankokuvirus KPP10</t>
  </si>
  <si>
    <t>Nankokuvirus PAKP3</t>
  </si>
  <si>
    <t>Nankokuvirus PS24</t>
  </si>
  <si>
    <t>Neferthenavirus neferthena</t>
  </si>
  <si>
    <t>Nesevirus ev243</t>
  </si>
  <si>
    <t>Nesevirus nv2G7b</t>
  </si>
  <si>
    <t>Nevevirus P078</t>
  </si>
  <si>
    <t>Nevevirus P092</t>
  </si>
  <si>
    <t>Nevevirus P118</t>
  </si>
  <si>
    <t>Nevevirus P162</t>
  </si>
  <si>
    <t>Nickievirus nickie</t>
  </si>
  <si>
    <t>Nimduovirus</t>
  </si>
  <si>
    <t>Nimduovirus N1M2</t>
  </si>
  <si>
    <t>Nonanavirus nv9NA</t>
  </si>
  <si>
    <t>Nonanavirus SP069</t>
  </si>
  <si>
    <t>Northamptonvirus</t>
  </si>
  <si>
    <t>Northamptonvirus jeon</t>
  </si>
  <si>
    <t>Northamptonvirus taptic</t>
  </si>
  <si>
    <t>Noxifervirus noxifer</t>
  </si>
  <si>
    <t>Nyceiraevirus nyceirae</t>
  </si>
  <si>
    <t>Nylescharonvirus LE3</t>
  </si>
  <si>
    <t>Nylescharonvirus LE4</t>
  </si>
  <si>
    <t>Obolenskvirus AB1</t>
  </si>
  <si>
    <t>Obolenskvirus AB2</t>
  </si>
  <si>
    <t>Obolenskvirus AbC62</t>
  </si>
  <si>
    <t>Obolenskvirus AbP2</t>
  </si>
  <si>
    <t>Obolenskvirus AP22</t>
  </si>
  <si>
    <t>Obolenskvirus LZ35</t>
  </si>
  <si>
    <t>Obolenskvirus WCHABP1</t>
  </si>
  <si>
    <t>Obolenskvirus WCHABP12</t>
  </si>
  <si>
    <t>Oengusvirus oengus</t>
  </si>
  <si>
    <t>Omegavirus baka</t>
  </si>
  <si>
    <t>Omegavirus courthouse</t>
  </si>
  <si>
    <t>Omegavirus littlee</t>
  </si>
  <si>
    <t>Omegavirus omega</t>
  </si>
  <si>
    <t>Omegavirus optimus</t>
  </si>
  <si>
    <t>Omegavirus thibault</t>
  </si>
  <si>
    <t>Oneupvirus brutongaster</t>
  </si>
  <si>
    <t>Oneupvirus oneup</t>
  </si>
  <si>
    <t>Onyinyevirus</t>
  </si>
  <si>
    <t>Onyinyevirus onyinye</t>
  </si>
  <si>
    <t>Orchidvirus orchid</t>
  </si>
  <si>
    <t>Oshimavirus P2345</t>
  </si>
  <si>
    <t>Oshimavirus P7426</t>
  </si>
  <si>
    <t>Otagovirus Psa374</t>
  </si>
  <si>
    <t>Otagovirus VCM</t>
  </si>
  <si>
    <t>Paclarkvirus</t>
  </si>
  <si>
    <t>Paclarkvirus ARI04684</t>
  </si>
  <si>
    <t>Paclarkvirus BHN167</t>
  </si>
  <si>
    <t>Paclarkvirus IPP14</t>
  </si>
  <si>
    <t>Paclarkvirus IPP39</t>
  </si>
  <si>
    <t>Paclarkvirus IPP48</t>
  </si>
  <si>
    <t>Paclarkvirus IPP52</t>
  </si>
  <si>
    <t>Paclarkvirus IPP54</t>
  </si>
  <si>
    <t>Paclarkvirus IPP55</t>
  </si>
  <si>
    <t>Paclarkvirus IPP65</t>
  </si>
  <si>
    <t>Paclarkvirus IPP66</t>
  </si>
  <si>
    <t>Paclarkvirus MM1</t>
  </si>
  <si>
    <t>Paclarkvirus SpGS-1</t>
  </si>
  <si>
    <t>Pagevirus page</t>
  </si>
  <si>
    <t>Pagevirus palmer</t>
  </si>
  <si>
    <t>Pagevirus pascal</t>
  </si>
  <si>
    <t>Pagevirus pony</t>
  </si>
  <si>
    <t>Pagevirus pookie</t>
  </si>
  <si>
    <t>Pahexavirus ATCC29399BC</t>
  </si>
  <si>
    <t>Pahexavirus ATCC29399BT</t>
  </si>
  <si>
    <t>Pahexavirus attacne</t>
  </si>
  <si>
    <t>Pahexavirus keiki</t>
  </si>
  <si>
    <t>Pahexavirus kubed</t>
  </si>
  <si>
    <t>Pahexavirus lauchelly</t>
  </si>
  <si>
    <t>Pahexavirus mrAK</t>
  </si>
  <si>
    <t>Pahexavirus ouroboros</t>
  </si>
  <si>
    <t>Pahexavirus P11</t>
  </si>
  <si>
    <t>Pahexavirus P91</t>
  </si>
  <si>
    <t>Pahexavirus P105</t>
  </si>
  <si>
    <t>Pahexavirus P144</t>
  </si>
  <si>
    <t>Pahexavirus P1001</t>
  </si>
  <si>
    <t>Pahexavirus P100A</t>
  </si>
  <si>
    <t>Pahexavirus P100D</t>
  </si>
  <si>
    <t>Pahexavirus P101A</t>
  </si>
  <si>
    <t>Pahexavirus P104A</t>
  </si>
  <si>
    <t>Pahexavirus PA6</t>
  </si>
  <si>
    <t>Pahexavirus pacnes201215</t>
  </si>
  <si>
    <t>Pahexavirus PAD20</t>
  </si>
  <si>
    <t>Pahexavirus PAS50</t>
  </si>
  <si>
    <t>Pahexavirus PHL009M11</t>
  </si>
  <si>
    <t>Pahexavirus PHL025M00</t>
  </si>
  <si>
    <t>Pahexavirus PHL037M02</t>
  </si>
  <si>
    <t>Pahexavirus PHL041M10</t>
  </si>
  <si>
    <t>Pahexavirus PHL060L00</t>
  </si>
  <si>
    <t>Pahexavirus PHL067M01</t>
  </si>
  <si>
    <t>Pahexavirus PHL070N00</t>
  </si>
  <si>
    <t>Pahexavirus PHL071N05</t>
  </si>
  <si>
    <t>Pahexavirus PHL082M03</t>
  </si>
  <si>
    <t>Pahexavirus PHL092M00</t>
  </si>
  <si>
    <t>Pahexavirus PHL095N00</t>
  </si>
  <si>
    <t>Pahexavirus PHL111M01</t>
  </si>
  <si>
    <t>Pahexavirus PHL112N00</t>
  </si>
  <si>
    <t>Pahexavirus PHL113M01</t>
  </si>
  <si>
    <t>Pahexavirus PHL114L00</t>
  </si>
  <si>
    <t>Pahexavirus PHL116M00</t>
  </si>
  <si>
    <t>Pahexavirus PHL117M00</t>
  </si>
  <si>
    <t>Pahexavirus PHL117M01</t>
  </si>
  <si>
    <t>Pahexavirus PHL132N00</t>
  </si>
  <si>
    <t>Pahexavirus PHL141N00</t>
  </si>
  <si>
    <t>Pahexavirus PHL151M00</t>
  </si>
  <si>
    <t>Pahexavirus PHL151N00</t>
  </si>
  <si>
    <t>Pahexavirus PHL152M00</t>
  </si>
  <si>
    <t>Pahexavirus PHL163M00</t>
  </si>
  <si>
    <t>Pahexavirus PHL171M01</t>
  </si>
  <si>
    <t>Pahexavirus PHL179M00</t>
  </si>
  <si>
    <t>Pahexavirus PHL194M00</t>
  </si>
  <si>
    <t>Pahexavirus PHL199M00</t>
  </si>
  <si>
    <t>Pahexavirus PHL301M00</t>
  </si>
  <si>
    <t>Pahexavirus PHL308M00</t>
  </si>
  <si>
    <t>Pahexavirus pirate</t>
  </si>
  <si>
    <t>Pahexavirus procrass1</t>
  </si>
  <si>
    <t>Pahexavirus SKKY</t>
  </si>
  <si>
    <t>Pahexavirus solid</t>
  </si>
  <si>
    <t>Pahexavirus stormborn</t>
  </si>
  <si>
    <t>Pahexavirus wizzo</t>
  </si>
  <si>
    <t>Pakpunavirus CAb1</t>
  </si>
  <si>
    <t>Pakpunavirus CAb02</t>
  </si>
  <si>
    <t>Pakpunavirus JG004</t>
  </si>
  <si>
    <t>Pakpunavirus MAG1</t>
  </si>
  <si>
    <t>Pakpunavirus MK</t>
  </si>
  <si>
    <t>Pakpunavirus PA10</t>
  </si>
  <si>
    <t>Pakpunavirus PAKP1</t>
  </si>
  <si>
    <t>Pakpunavirus PAKP2</t>
  </si>
  <si>
    <t>Pakpunavirus PAKP4</t>
  </si>
  <si>
    <t>Pakpunavirus PaP1</t>
  </si>
  <si>
    <t>Pakpunavirus zigelbrucke</t>
  </si>
  <si>
    <t>Pamexvirus PaMx28</t>
  </si>
  <si>
    <t>Pamexvirus PaMx74</t>
  </si>
  <si>
    <t>Pankowvirus pv1717</t>
  </si>
  <si>
    <t>Pankowvirus pv2851</t>
  </si>
  <si>
    <t>Pankowvirus WGPS6</t>
  </si>
  <si>
    <t>Pankowvirus WGPS8</t>
  </si>
  <si>
    <t>Pankowvirus YYZ2008</t>
  </si>
  <si>
    <t>Papyrusvirus papyrus</t>
  </si>
  <si>
    <t>Papyrusvirus send513</t>
  </si>
  <si>
    <t>Parlovirus parlo</t>
  </si>
  <si>
    <t>Patiencevirus patience</t>
  </si>
  <si>
    <t>Pavtokvirus</t>
  </si>
  <si>
    <t>Pavtokvirus pavtok</t>
  </si>
  <si>
    <t>Pavtokvirus PEp14</t>
  </si>
  <si>
    <t>Pawinskivirus</t>
  </si>
  <si>
    <t>Pawinskivirus PS119XW</t>
  </si>
  <si>
    <t>Pbunavirus Ab28</t>
  </si>
  <si>
    <t>Pbunavirus antinowhere</t>
  </si>
  <si>
    <t>Pbunavirus BrSP1</t>
  </si>
  <si>
    <t>Pbunavirus crassa</t>
  </si>
  <si>
    <t>Pbunavirus datas</t>
  </si>
  <si>
    <t>Pbunavirus DL60</t>
  </si>
  <si>
    <t>Pbunavirus DP1</t>
  </si>
  <si>
    <t>Pbunavirus E215</t>
  </si>
  <si>
    <t>Pbunavirus E217</t>
  </si>
  <si>
    <t>Pbunavirus Epa7</t>
  </si>
  <si>
    <t>Pbunavirus Epa14</t>
  </si>
  <si>
    <t>Pbunavirus EPa61</t>
  </si>
  <si>
    <t>Pbunavirus F8</t>
  </si>
  <si>
    <t>Pbunavirus KPP12</t>
  </si>
  <si>
    <t>Pbunavirus KTN6</t>
  </si>
  <si>
    <t>Pbunavirus LBL3</t>
  </si>
  <si>
    <t>Pbunavirus LMA2</t>
  </si>
  <si>
    <t>Pbunavirus LS1</t>
  </si>
  <si>
    <t>Pbunavirus PA01</t>
  </si>
  <si>
    <t>Pbunavirus PA5</t>
  </si>
  <si>
    <t>Pbunavirus Pa193</t>
  </si>
  <si>
    <t>Pbunavirus PA8P1</t>
  </si>
  <si>
    <t>Pbunavirus PaGU11</t>
  </si>
  <si>
    <t>Pbunavirus PB1</t>
  </si>
  <si>
    <t>Pbunavirus PS44</t>
  </si>
  <si>
    <t>Pbunavirus pv141</t>
  </si>
  <si>
    <t>Pbunavirus R12</t>
  </si>
  <si>
    <t>Pbunavirus R26</t>
  </si>
  <si>
    <t>Pbunavirus S1</t>
  </si>
  <si>
    <t>Pbunavirus SL1</t>
  </si>
  <si>
    <t>Pbunavirus SN</t>
  </si>
  <si>
    <t>Pbunavirus USP1</t>
  </si>
  <si>
    <t>Peatvirus peat2</t>
  </si>
  <si>
    <t>Pemunavirus PM1</t>
  </si>
  <si>
    <t>Pepyhexavirus pepy6</t>
  </si>
  <si>
    <t>Pepyhexavirus poco6</t>
  </si>
  <si>
    <t>Perisivirus Pr</t>
  </si>
  <si>
    <t>Perisivirus Tb</t>
  </si>
  <si>
    <t>Persistencevirus</t>
  </si>
  <si>
    <t>Persistencevirus persistence</t>
  </si>
  <si>
    <t>Petsuvirus pEtSU</t>
  </si>
  <si>
    <t>Phabiovirus</t>
  </si>
  <si>
    <t>Phabiovirus phabio</t>
  </si>
  <si>
    <t>Phabquatrovirus PHB04</t>
  </si>
  <si>
    <t>Pharaohvirus</t>
  </si>
  <si>
    <t>Pharaohvirus pharaoh</t>
  </si>
  <si>
    <t>Pharaohvirus steamy</t>
  </si>
  <si>
    <t>Phifelvirus FL1</t>
  </si>
  <si>
    <t>Phifelvirus FL2</t>
  </si>
  <si>
    <t>Phifelvirus FL3</t>
  </si>
  <si>
    <t>Phikzvirus PA7</t>
  </si>
  <si>
    <t>Phikzvirus phiKZ</t>
  </si>
  <si>
    <t>Phikzvirus SL2</t>
  </si>
  <si>
    <t>Phleivirus</t>
  </si>
  <si>
    <t>Phleivirus Phlei</t>
  </si>
  <si>
    <t>Phrappuccinovirus</t>
  </si>
  <si>
    <t>Phreappuccinovirus Phrappuccino</t>
  </si>
  <si>
    <t>Picardvirus picard</t>
  </si>
  <si>
    <t>Pikminvirus pikmin</t>
  </si>
  <si>
    <t>Piorkowskivirus</t>
  </si>
  <si>
    <t>Piorkowskivirus CHPC577</t>
  </si>
  <si>
    <t>Piorkowskivirus CHPC926</t>
  </si>
  <si>
    <t>Piorkowskivirus pv9871</t>
  </si>
  <si>
    <t>Piorkowskivirus pv9872</t>
  </si>
  <si>
    <t>Piorkowskivirus pv9874</t>
  </si>
  <si>
    <t>Piorkowskivirus SW16</t>
  </si>
  <si>
    <t>Piorkowskivirus SW22</t>
  </si>
  <si>
    <t>Plaisancevirus PMW</t>
  </si>
  <si>
    <t>Plateaulakevirus pv2L372D</t>
  </si>
  <si>
    <t>Plateaulakevirus pv2L372X</t>
  </si>
  <si>
    <t>Plateaulakevirus pv4L372D</t>
  </si>
  <si>
    <t>Plateaulakevirus pv4L372XY</t>
  </si>
  <si>
    <t>Pleeduovirus PLE2</t>
  </si>
  <si>
    <t>Pleetrevirus iLp84</t>
  </si>
  <si>
    <t>Pleetrevirus PLE3</t>
  </si>
  <si>
    <t>Polybotosvirus Atuph07</t>
  </si>
  <si>
    <t>Ponsvirus</t>
  </si>
  <si>
    <t>Ponsvirus bigchungus</t>
  </si>
  <si>
    <t>Ponsvirus cherryonlim</t>
  </si>
  <si>
    <t>Ponsvirus lauer</t>
  </si>
  <si>
    <t>Ponsvirus mayweather</t>
  </si>
  <si>
    <t>Ponsvirus pons</t>
  </si>
  <si>
    <t>Ponsvirus sheckwes</t>
  </si>
  <si>
    <t>Ponsvirus vine</t>
  </si>
  <si>
    <t>Popoffvirus pv56</t>
  </si>
  <si>
    <t>Poushouvirus Poushou</t>
  </si>
  <si>
    <t>Powerballvirus</t>
  </si>
  <si>
    <t>Powerballvirus powerball</t>
  </si>
  <si>
    <t>Predatorvirus predator</t>
  </si>
  <si>
    <t>Psavirus LP302</t>
  </si>
  <si>
    <t>Psavirus PSA</t>
  </si>
  <si>
    <t>Pukovnikvirus</t>
  </si>
  <si>
    <t>Pukovnikvirus bactobuster</t>
  </si>
  <si>
    <t>Pukovnikvirus ironman</t>
  </si>
  <si>
    <t>Pukovnikvirus phaded</t>
  </si>
  <si>
    <t>Pukovnikvirus pukovnik</t>
  </si>
  <si>
    <t>Pulverervirus PFR1</t>
  </si>
  <si>
    <t>Punavirus P1</t>
  </si>
  <si>
    <t>Punavirus RCS47</t>
  </si>
  <si>
    <t>Punavirus SJ46</t>
  </si>
  <si>
    <t>Puppervirus</t>
  </si>
  <si>
    <t>Puppervirus Pupper</t>
  </si>
  <si>
    <t>Purivirus</t>
  </si>
  <si>
    <t>Purivirus UFJFPfDIW6</t>
  </si>
  <si>
    <t>Qingdaovirus J21</t>
  </si>
  <si>
    <t>Questintvirus Q54</t>
  </si>
  <si>
    <t>Quhwahvirus kaihaidragon</t>
  </si>
  <si>
    <t>Quhwahvirus ouhwah</t>
  </si>
  <si>
    <t>Quhwahvirus paschalis</t>
  </si>
  <si>
    <t>Quivirus</t>
  </si>
  <si>
    <t>Quivirus qui</t>
  </si>
  <si>
    <t>Radostvirus ev099</t>
  </si>
  <si>
    <t>Rahariannevirus raharianne</t>
  </si>
  <si>
    <t>Raleighvirus darolandstone</t>
  </si>
  <si>
    <t>Raleighvirus raleigh</t>
  </si>
  <si>
    <t>Rauchvirus BPP1</t>
  </si>
  <si>
    <t>Ravarandavirus kac65v151</t>
  </si>
  <si>
    <t>Ravarandavirus kac68v161</t>
  </si>
  <si>
    <t>Ravarandavirus rv2AV2</t>
  </si>
  <si>
    <t>Ravinvirus N15</t>
  </si>
  <si>
    <t>Refugevirus</t>
  </si>
  <si>
    <t>Refugevirus darthphader</t>
  </si>
  <si>
    <t>Refugevirus refuge</t>
  </si>
  <si>
    <t>Rerduovirus hiro</t>
  </si>
  <si>
    <t>Rerduovirus phailmary</t>
  </si>
  <si>
    <t>Rerduovirus RER2</t>
  </si>
  <si>
    <t>Rerduovirus RGL3</t>
  </si>
  <si>
    <t>Rerduovirus takoda</t>
  </si>
  <si>
    <t>Richievirus</t>
  </si>
  <si>
    <t>Richievirus auxilium</t>
  </si>
  <si>
    <t>Richievirus richie</t>
  </si>
  <si>
    <t>Rigallicvirus P106B</t>
  </si>
  <si>
    <t>Rimavirus drgrey</t>
  </si>
  <si>
    <t>Rimavirus rima</t>
  </si>
  <si>
    <t>Ripduovirus RP12</t>
  </si>
  <si>
    <t>Risingsunvirus risingsun</t>
  </si>
  <si>
    <t>Rivsvirus</t>
  </si>
  <si>
    <t>Rivsvirus SNUABM5</t>
  </si>
  <si>
    <t>Rockefellervirus CNPH82</t>
  </si>
  <si>
    <t>Rockefellervirus CNPx</t>
  </si>
  <si>
    <t>Rockefellervirus IME134801</t>
  </si>
  <si>
    <t>Rockefellervirus IPLA5</t>
  </si>
  <si>
    <t>Rockefellervirus IPLA7</t>
  </si>
  <si>
    <t>Rockefellervirus PH15</t>
  </si>
  <si>
    <t>Rockvillevirus phi4J1</t>
  </si>
  <si>
    <t>Rogerhendrixvirus hendrix</t>
  </si>
  <si>
    <t>Ronaldovirus fryberger</t>
  </si>
  <si>
    <t>Ronaldovirus ronaldo</t>
  </si>
  <si>
    <t>Rosariovirus</t>
  </si>
  <si>
    <t>Rosariovirus Weirdo19ES</t>
  </si>
  <si>
    <t>Rosemountvirus birk</t>
  </si>
  <si>
    <t>Rosemountvirus BP63</t>
  </si>
  <si>
    <t>Rosemountvirus SE13</t>
  </si>
  <si>
    <t>Rosemountvirus UPFBP2</t>
  </si>
  <si>
    <t>Rosemountvirus yarpen</t>
  </si>
  <si>
    <t>Roslyckyvirus</t>
  </si>
  <si>
    <t>Roslyckyvirus ph08</t>
  </si>
  <si>
    <t>Roufvirus pIS4A</t>
  </si>
  <si>
    <t>Rowavirus rowa</t>
  </si>
  <si>
    <t>Ruthyvirus dumpsterdude</t>
  </si>
  <si>
    <t>Ruthyvirus ruthy</t>
  </si>
  <si>
    <t>Ryyoungvirus bcepC6B</t>
  </si>
  <si>
    <t>Saclayvirus Aci05</t>
  </si>
  <si>
    <t>Saclayvirus Aci011</t>
  </si>
  <si>
    <t>Saclayvirus Aci022</t>
  </si>
  <si>
    <t>Sagamiharavirus</t>
  </si>
  <si>
    <t>Sagamiharavirus PP</t>
  </si>
  <si>
    <t>Saintgironsvirus LE1</t>
  </si>
  <si>
    <t>Salmondvirus JA11</t>
  </si>
  <si>
    <t>Salmondvirus JA29</t>
  </si>
  <si>
    <t>Saltrevirus</t>
  </si>
  <si>
    <t>Saltrevirus sv64795sal3</t>
  </si>
  <si>
    <t>Samunavirus SM1</t>
  </si>
  <si>
    <t>Samwavirus adelaide</t>
  </si>
  <si>
    <t>Samwavirus dina</t>
  </si>
  <si>
    <t>Samwavirus samW</t>
  </si>
  <si>
    <t>Samwavirus StAB</t>
  </si>
  <si>
    <t>Samwavirus stiles</t>
  </si>
  <si>
    <t>Sandinevirus BK5T</t>
  </si>
  <si>
    <t>Santafevirus</t>
  </si>
  <si>
    <t>Santafevirus sf40AC</t>
  </si>
  <si>
    <t>Saphexavirus BC611</t>
  </si>
  <si>
    <t>Saphexavirus IMEEF1</t>
  </si>
  <si>
    <t>Saphexavirus SAP6</t>
  </si>
  <si>
    <t>Saphexavirus SPQS1</t>
  </si>
  <si>
    <t>Saphexavirus VD13</t>
  </si>
  <si>
    <t>Sargevirus</t>
  </si>
  <si>
    <t>Sargevirus sarge</t>
  </si>
  <si>
    <t>Sarumanvirus bcepsaruman</t>
  </si>
  <si>
    <t>Sarumanvirus bcepsauron</t>
  </si>
  <si>
    <t>Sasdunavirus</t>
  </si>
  <si>
    <t>Sasdunavirus SASD1</t>
  </si>
  <si>
    <t>Sashavirus sasha</t>
  </si>
  <si>
    <t>Sasquatchvirus Y3</t>
  </si>
  <si>
    <t>Sasvirus BFK20</t>
  </si>
  <si>
    <t>Saundersvirus Tp84</t>
  </si>
  <si>
    <t>Sawaravirus WGPS2</t>
  </si>
  <si>
    <t>Scappvirus</t>
  </si>
  <si>
    <t>Scappvirus scapp</t>
  </si>
  <si>
    <t>Scapunavirus scap1</t>
  </si>
  <si>
    <t>Schmidvirus KHP30</t>
  </si>
  <si>
    <t>Schmidvirus KHP40</t>
  </si>
  <si>
    <t>Schmidvirus sv1961P</t>
  </si>
  <si>
    <t>Schmittlotzvirus sv771</t>
  </si>
  <si>
    <t>Schnabeltiervirus schnabeltier</t>
  </si>
  <si>
    <t>Schubertvirus schubert</t>
  </si>
  <si>
    <t>Seahorsevirus</t>
  </si>
  <si>
    <t>Seahorsevirus seahorse</t>
  </si>
  <si>
    <t>Segzyvirus</t>
  </si>
  <si>
    <t>Segzyvirus LPSTLL</t>
  </si>
  <si>
    <t>Segzyvirus segz1</t>
  </si>
  <si>
    <t>Sendosyvirus APSE1</t>
  </si>
  <si>
    <t>Sendosyvirus APSE2</t>
  </si>
  <si>
    <t>Seongbukvirus MH1</t>
  </si>
  <si>
    <t>Seoulvirus SPN3US</t>
  </si>
  <si>
    <t>Septimatrevirus Ab26</t>
  </si>
  <si>
    <t>Septimatrevirus kakheti25</t>
  </si>
  <si>
    <t>Septimatrevirus sv73</t>
  </si>
  <si>
    <t>Serwervirus</t>
  </si>
  <si>
    <t>Serwervirus 201phi21</t>
  </si>
  <si>
    <t>Seussvirus seuss</t>
  </si>
  <si>
    <t>Sextaecvirus SEP9</t>
  </si>
  <si>
    <t>Sextaecvirus sextaec</t>
  </si>
  <si>
    <t>Sfunavirus</t>
  </si>
  <si>
    <t>Sfunavirus SF1</t>
  </si>
  <si>
    <t>Shandongvirus H101</t>
  </si>
  <si>
    <t>Sheenvirus</t>
  </si>
  <si>
    <t>Sheenvirus Sheen</t>
  </si>
  <si>
    <t>Sherbrookevirus CD506</t>
  </si>
  <si>
    <t>Sherbrookevirus CD4811</t>
  </si>
  <si>
    <t>Sherbrookevirus CDHM11</t>
  </si>
  <si>
    <t>Sherbrookevirus CDHM13</t>
  </si>
  <si>
    <t>Sherbrookevirus CDHM14</t>
  </si>
  <si>
    <t>Sherbrookevirus MMP04</t>
  </si>
  <si>
    <t>Shirahamavirus PTm1</t>
  </si>
  <si>
    <t>Shoyavirus</t>
  </si>
  <si>
    <t>Shoyavirus shoya</t>
  </si>
  <si>
    <t>Shuimuvirus</t>
  </si>
  <si>
    <t>Shuimuvirus IME207</t>
  </si>
  <si>
    <t>Siatvirus</t>
  </si>
  <si>
    <t>Siatvirus Lz245</t>
  </si>
  <si>
    <t>Sidiousvirus</t>
  </si>
  <si>
    <t>Sidiousvirus sidious</t>
  </si>
  <si>
    <t>Siftrevirus</t>
  </si>
  <si>
    <t>Siftrevirus SF3</t>
  </si>
  <si>
    <t>Silentrexvirus</t>
  </si>
  <si>
    <t>Silentrexvirus silentrx</t>
  </si>
  <si>
    <t>Sixamavirus</t>
  </si>
  <si>
    <t>Sixamavirus sixama</t>
  </si>
  <si>
    <t>Skarprettervirus skarpretter</t>
  </si>
  <si>
    <t>Skatevirus</t>
  </si>
  <si>
    <t>Skatevirus BS5</t>
  </si>
  <si>
    <t>Skatevirus KFSSE2</t>
  </si>
  <si>
    <t>Skatevirus LPST10</t>
  </si>
  <si>
    <t>Skatevirus SeSz2</t>
  </si>
  <si>
    <t>Skatevirus Seszw1</t>
  </si>
  <si>
    <t>Skatevirus skate</t>
  </si>
  <si>
    <t>Skatevirus VSt472</t>
  </si>
  <si>
    <t>Skogvirus</t>
  </si>
  <si>
    <t>Skogvirus Skog</t>
  </si>
  <si>
    <t>Skulduggeryvirus</t>
  </si>
  <si>
    <t>Skulduggeryvirus skulduggery</t>
  </si>
  <si>
    <t>Skunavirus A16</t>
  </si>
  <si>
    <t>Skunavirus ASCC191</t>
  </si>
  <si>
    <t>Skunavirus ASCC273</t>
  </si>
  <si>
    <t>Skunavirus ASCC281</t>
  </si>
  <si>
    <t>Skunavirus ASCC465</t>
  </si>
  <si>
    <t>Skunavirus ASCC532</t>
  </si>
  <si>
    <t>Skunavirus B1127</t>
  </si>
  <si>
    <t>Skunavirus bibb29</t>
  </si>
  <si>
    <t>Skunavirus bIBB5g1</t>
  </si>
  <si>
    <t>Skunavirus bIBBF12</t>
  </si>
  <si>
    <t>Skunavirus bIL170</t>
  </si>
  <si>
    <t>Skunavirus caseusJM1</t>
  </si>
  <si>
    <t>Skunavirus CB13</t>
  </si>
  <si>
    <t>Skunavirus CB14</t>
  </si>
  <si>
    <t>Skunavirus CB19</t>
  </si>
  <si>
    <t>Skunavirus CHPC52</t>
  </si>
  <si>
    <t>Skunavirus CHPC129</t>
  </si>
  <si>
    <t>Skunavirus CHPC361</t>
  </si>
  <si>
    <t>Skunavirus CHPC362</t>
  </si>
  <si>
    <t>Skunavirus CHPC781</t>
  </si>
  <si>
    <t>Skunavirus CHPC958</t>
  </si>
  <si>
    <t>Skunavirus CHPC959</t>
  </si>
  <si>
    <t>Skunavirus CHPC964</t>
  </si>
  <si>
    <t>Skunavirus CHPC965</t>
  </si>
  <si>
    <t>Skunavirus E1127</t>
  </si>
  <si>
    <t>Skunavirus F0139</t>
  </si>
  <si>
    <t>Skunavirus fd13</t>
  </si>
  <si>
    <t>Skunavirus i0139</t>
  </si>
  <si>
    <t>Skunavirus JF1</t>
  </si>
  <si>
    <t>Skunavirus jm2</t>
  </si>
  <si>
    <t>Skunavirus jm3</t>
  </si>
  <si>
    <t>Skunavirus L6</t>
  </si>
  <si>
    <t>Skunavirus L18</t>
  </si>
  <si>
    <t>Skunavirus Lj</t>
  </si>
  <si>
    <t>Skunavirus LP0209</t>
  </si>
  <si>
    <t>Skunavirus LP0903</t>
  </si>
  <si>
    <t>Skunavirus LP8511</t>
  </si>
  <si>
    <t>Skunavirus LP9207</t>
  </si>
  <si>
    <t>Skunavirus LP9404</t>
  </si>
  <si>
    <t>Skunavirus LP9609</t>
  </si>
  <si>
    <t>Skunavirus LP9903</t>
  </si>
  <si>
    <t>Skunavirus LP9908</t>
  </si>
  <si>
    <t>Skunavirus LP1502a</t>
  </si>
  <si>
    <t>Skunavirus M1127</t>
  </si>
  <si>
    <t>Skunavirus MP1</t>
  </si>
  <si>
    <t>Skunavirus MV10L</t>
  </si>
  <si>
    <t>Skunavirus P008</t>
  </si>
  <si>
    <t>Skunavirus p272</t>
  </si>
  <si>
    <t>Skunavirus P475</t>
  </si>
  <si>
    <t>Skunavirus P656</t>
  </si>
  <si>
    <t>Skunavirus P680</t>
  </si>
  <si>
    <t>Skunavirus P1532</t>
  </si>
  <si>
    <t>Skunavirus P4565</t>
  </si>
  <si>
    <t>Skunavirus R31</t>
  </si>
  <si>
    <t>Skunavirus S0139</t>
  </si>
  <si>
    <t>Skunavirus sk1</t>
  </si>
  <si>
    <t>Skunavirus Sl4</t>
  </si>
  <si>
    <t>Skunavirus sv7</t>
  </si>
  <si>
    <t>Skunavirus sv15</t>
  </si>
  <si>
    <t>Skunavirus sv42</t>
  </si>
  <si>
    <t>Skunavirus sv44</t>
  </si>
  <si>
    <t>Skunavirus sv109</t>
  </si>
  <si>
    <t>Skunavirus sv145</t>
  </si>
  <si>
    <t>Skunavirus sv155</t>
  </si>
  <si>
    <t>Skunavirus sv193</t>
  </si>
  <si>
    <t>Skunavirus sv340</t>
  </si>
  <si>
    <t>Skunavirus sv512</t>
  </si>
  <si>
    <t>Skunavirus sv712</t>
  </si>
  <si>
    <t>Skunavirus sv936</t>
  </si>
  <si>
    <t>Skunavirus sv05601</t>
  </si>
  <si>
    <t>Skunavirus sv16802</t>
  </si>
  <si>
    <t>Skunavirus sv10W18</t>
  </si>
  <si>
    <t>Skunavirus sv13W11L</t>
  </si>
  <si>
    <t>Skunavirus sv16W23</t>
  </si>
  <si>
    <t>Skunavirus sv30804</t>
  </si>
  <si>
    <t>Skunavirus sv37201</t>
  </si>
  <si>
    <t>Skunavirus sv38503</t>
  </si>
  <si>
    <t>Skunavirus sv38507</t>
  </si>
  <si>
    <t>Skunavirus sv3R16S</t>
  </si>
  <si>
    <t>Skunavirus sv51701</t>
  </si>
  <si>
    <t>Skunavirus sv56003</t>
  </si>
  <si>
    <t>Skunavirus sv56301</t>
  </si>
  <si>
    <t>Skunavirus sv57001</t>
  </si>
  <si>
    <t>Skunavirus sv62601</t>
  </si>
  <si>
    <t>Skunavirus sv62605</t>
  </si>
  <si>
    <t>Skunavirus sv63302</t>
  </si>
  <si>
    <t>Skunavirus sv66901</t>
  </si>
  <si>
    <t>Skunavirus sv79201</t>
  </si>
  <si>
    <t>Skunavirus sv88605</t>
  </si>
  <si>
    <t>Skunavirus sv8V08</t>
  </si>
  <si>
    <t>Skunavirus sv91127</t>
  </si>
  <si>
    <t>Skunavirus sv96401</t>
  </si>
  <si>
    <t>Skunavirus sv96403</t>
  </si>
  <si>
    <t>Skunavirus sv96603</t>
  </si>
  <si>
    <t>Slashvirus slash</t>
  </si>
  <si>
    <t>Slashvirus stahl</t>
  </si>
  <si>
    <t>Slashvirus staley</t>
  </si>
  <si>
    <t>Slashvirus stills</t>
  </si>
  <si>
    <t>Sleepyheadvirus sleepyhead</t>
  </si>
  <si>
    <t>Smoothievirus bachita</t>
  </si>
  <si>
    <t>Smoothievirus clubL</t>
  </si>
  <si>
    <t>Smoothievirus smoothie</t>
  </si>
  <si>
    <t>Snuvirus</t>
  </si>
  <si>
    <t>Snuvirus SNUABM7</t>
  </si>
  <si>
    <t>Sonalivirus sonali</t>
  </si>
  <si>
    <t>Sortsnevirus IME279</t>
  </si>
  <si>
    <t>Sortsnevirus sortsne</t>
  </si>
  <si>
    <t>Soupsvirus soups</t>
  </si>
  <si>
    <t>Soupsvirus strosahl</t>
  </si>
  <si>
    <t>Soupsvirus wait</t>
  </si>
  <si>
    <t>Sourvirus sour</t>
  </si>
  <si>
    <t>Sozzivirus S11</t>
  </si>
  <si>
    <t>Sozzivirus S13</t>
  </si>
  <si>
    <t>Sozzivirus sv9805</t>
  </si>
  <si>
    <t>Sparkyvirus sparky</t>
  </si>
  <si>
    <t>Spbetavirus SPbeta</t>
  </si>
  <si>
    <t>Spizizenvirus sv105</t>
  </si>
  <si>
    <t>Squashvirus hyperion</t>
  </si>
  <si>
    <t>Squashvirus squash</t>
  </si>
  <si>
    <t>Stanholtvirus E125</t>
  </si>
  <si>
    <t>Stanholtvirus sv6442</t>
  </si>
  <si>
    <t>Stanholtvirus sv1026b</t>
  </si>
  <si>
    <t>Steinhofvirus JWX</t>
  </si>
  <si>
    <t>Steinhofvirus sv8324</t>
  </si>
  <si>
    <t>Stonewallvirus</t>
  </si>
  <si>
    <t>Stonewallvirus A25</t>
  </si>
  <si>
    <t>Stormageddonvirus</t>
  </si>
  <si>
    <t>Stormageddonvirus Stormageddon</t>
  </si>
  <si>
    <t>Sukhumvitvirus T25</t>
  </si>
  <si>
    <t>Svunavirus GBSV1</t>
  </si>
  <si>
    <t>Svunavirus sv1</t>
  </si>
  <si>
    <t>Swiduovirus</t>
  </si>
  <si>
    <t>Swiduovirus swi2</t>
  </si>
  <si>
    <t>Syrbvirus</t>
  </si>
  <si>
    <t>Syrbvirus R1</t>
  </si>
  <si>
    <t>Tabernariusvirus tabernarius</t>
  </si>
  <si>
    <t>Takahashivirus PBS1</t>
  </si>
  <si>
    <t>Tandoganvirus A403</t>
  </si>
  <si>
    <t>Tankvirus tank</t>
  </si>
  <si>
    <t>Tantvirus tant</t>
  </si>
  <si>
    <t>Taranisvirus taranis</t>
  </si>
  <si>
    <t>Tepukevirus</t>
  </si>
  <si>
    <t>Tepukevirus Psa21</t>
  </si>
  <si>
    <t>Terapinvirus suzy</t>
  </si>
  <si>
    <t>Terapinvirus terapin</t>
  </si>
  <si>
    <t>Teubervirus AM6</t>
  </si>
  <si>
    <t>Teubervirus LW31</t>
  </si>
  <si>
    <t>Teubervirus P087</t>
  </si>
  <si>
    <t>Teubervirus P596</t>
  </si>
  <si>
    <t>Teubervirus Q1</t>
  </si>
  <si>
    <t>Thornevirus SP15</t>
  </si>
  <si>
    <t>Tieomvirus</t>
  </si>
  <si>
    <t>Tieomvirus BT1011</t>
  </si>
  <si>
    <t>Tigunavirus TG1</t>
  </si>
  <si>
    <t>Tijeunavirus TJE1</t>
  </si>
  <si>
    <t>Timshelvirus</t>
  </si>
  <si>
    <t>Timshelvirus droogsarmy</t>
  </si>
  <si>
    <t>Timshelvirus HINdeR</t>
  </si>
  <si>
    <t>Timshelvirus SWU2</t>
  </si>
  <si>
    <t>Timshelvirus timshel</t>
  </si>
  <si>
    <t>Tinduovirus TIN2</t>
  </si>
  <si>
    <t>Tinduovirus TIN3</t>
  </si>
  <si>
    <t>Titanvirus rcspartan</t>
  </si>
  <si>
    <t>Titanvirus rctitan</t>
  </si>
  <si>
    <t>Toutatisvirus toutatis</t>
  </si>
  <si>
    <t>Triavirus fPfSau02</t>
  </si>
  <si>
    <t>Triavirus IPLA35</t>
  </si>
  <si>
    <t>Triavirus JS02</t>
  </si>
  <si>
    <t>Triavirus LH1</t>
  </si>
  <si>
    <t>Triavirus P240</t>
  </si>
  <si>
    <t>Triavirus R1988</t>
  </si>
  <si>
    <t>Triavirus SA137ruMSSAST121PVL</t>
  </si>
  <si>
    <t>Triavirus SAP11</t>
  </si>
  <si>
    <t>Triavirus SLT</t>
  </si>
  <si>
    <t>Triavirus st1</t>
  </si>
  <si>
    <t>Triavirus st5</t>
  </si>
  <si>
    <t>Triavirus st30</t>
  </si>
  <si>
    <t>Triavirus st78</t>
  </si>
  <si>
    <t>Triavirus st121mssa</t>
  </si>
  <si>
    <t>Triavirus StauST3982</t>
  </si>
  <si>
    <t>Triavirus tp3102</t>
  </si>
  <si>
    <t>Triavirus tv2</t>
  </si>
  <si>
    <t>Triavirus tv12</t>
  </si>
  <si>
    <t>Triavirus tv47</t>
  </si>
  <si>
    <t>Triavirus tv15644</t>
  </si>
  <si>
    <t>Triavirus tv2958PVL</t>
  </si>
  <si>
    <t>Triavirus tv3a</t>
  </si>
  <si>
    <t>Triavirus tv42e</t>
  </si>
  <si>
    <t>Trigintaduovirus 32HC</t>
  </si>
  <si>
    <t>Trigintaduovirus rem711</t>
  </si>
  <si>
    <t>Trinavirus trina</t>
  </si>
  <si>
    <t>Trinevirus trine</t>
  </si>
  <si>
    <t>Triplejayvirus tripleJ</t>
  </si>
  <si>
    <t>Turbidovirus</t>
  </si>
  <si>
    <t>Turbidovirus anselm</t>
  </si>
  <si>
    <t>Turbidovirus benvolio</t>
  </si>
  <si>
    <t>Turbidovirus bugsy</t>
  </si>
  <si>
    <t>Turbidovirus centaur</t>
  </si>
  <si>
    <t>Turbidovirus evilgenius</t>
  </si>
  <si>
    <t>Turbidovirus fameo</t>
  </si>
  <si>
    <t>Turbidovirus georgie2</t>
  </si>
  <si>
    <t>Turbidovirus heffalump</t>
  </si>
  <si>
    <t>Turbidovirus joshkayV</t>
  </si>
  <si>
    <t>Turbidovirus larenn</t>
  </si>
  <si>
    <t>Turbidovirus malec</t>
  </si>
  <si>
    <t>Turbidovirus piro94</t>
  </si>
  <si>
    <t>Turbidovirus turbido</t>
  </si>
  <si>
    <t>Typhavirus</t>
  </si>
  <si>
    <t>Typhavirus typha</t>
  </si>
  <si>
    <t>Uetakevirus epsilon15</t>
  </si>
  <si>
    <t>Uetakevirus phiV10</t>
  </si>
  <si>
    <t>Uetakevirus SPN1S</t>
  </si>
  <si>
    <t>Uwajimavirus PLgW1</t>
  </si>
  <si>
    <t>Vashvirus lilbooboo</t>
  </si>
  <si>
    <t>Vashvirus vash</t>
  </si>
  <si>
    <t>Vedamuthuvirus BM13</t>
  </si>
  <si>
    <t>Vedamuthuvirus P1045</t>
  </si>
  <si>
    <t>Vedamuthuvirus Q33</t>
  </si>
  <si>
    <t>Vedamuthuvirus vv50902</t>
  </si>
  <si>
    <t>Vedamuthuvirus vv62503</t>
  </si>
  <si>
    <t>Veewebvirus</t>
  </si>
  <si>
    <t>Veewebvirus vwb</t>
  </si>
  <si>
    <t>Veracruzvirus</t>
  </si>
  <si>
    <t>Veracruzvirus babyboy</t>
  </si>
  <si>
    <t>Veracruzvirus BTCU1</t>
  </si>
  <si>
    <t>Veracruzvirus heldan</t>
  </si>
  <si>
    <t>Veracruzvirus MA5</t>
  </si>
  <si>
    <t>Veracruzvirus phantastic</t>
  </si>
  <si>
    <t>Veracruzvirus pistachio</t>
  </si>
  <si>
    <t>Veracruzvirus rockstar</t>
  </si>
  <si>
    <t>Veracruzvirus veracruz</t>
  </si>
  <si>
    <t>Vhmlvirus mar</t>
  </si>
  <si>
    <t>Vhmlvirus VHML</t>
  </si>
  <si>
    <t>Vhmlvirus VP585</t>
  </si>
  <si>
    <t>Vhulanivirus Shpa</t>
  </si>
  <si>
    <t>Vibakivirus vibaki</t>
  </si>
  <si>
    <t>Vicosavirus NV1</t>
  </si>
  <si>
    <t>Vicosavirus UFVP2</t>
  </si>
  <si>
    <t>Vidquintavirus Vid5</t>
  </si>
  <si>
    <t>Vieuvirus B1251</t>
  </si>
  <si>
    <t>Vieuvirus R3177</t>
  </si>
  <si>
    <t>Vividuovirus ailee</t>
  </si>
  <si>
    <t>Vividuovirus angelicage</t>
  </si>
  <si>
    <t>Vividuovirus barsten</t>
  </si>
  <si>
    <t>Vividuovirus bibwit</t>
  </si>
  <si>
    <t>Vividuovirus brandonk123</t>
  </si>
  <si>
    <t>Vividuovirus fosterous</t>
  </si>
  <si>
    <t>Vividuovirus galadriel</t>
  </si>
  <si>
    <t>Vividuovirus geodirt</t>
  </si>
  <si>
    <t>Vividuovirus jabberwocky</t>
  </si>
  <si>
    <t>Vividuovirus keitabear</t>
  </si>
  <si>
    <t>Vividuovirus love</t>
  </si>
  <si>
    <t>Vividuovirus mckinley</t>
  </si>
  <si>
    <t>Vividuovirus nordenberg</t>
  </si>
  <si>
    <t>Vividuovirus paries</t>
  </si>
  <si>
    <t>Vividuovirus rofo</t>
  </si>
  <si>
    <t>Vividuovirus stultus</t>
  </si>
  <si>
    <t>Vividuovirus tangent</t>
  </si>
  <si>
    <t>Vividuovirus vivi2</t>
  </si>
  <si>
    <t>Waukeshavirus BMBtp3</t>
  </si>
  <si>
    <t>Waukeshavirus waukesha92</t>
  </si>
  <si>
    <t>Wbetavirus wbeta</t>
  </si>
  <si>
    <t>Weaselvirus weasel</t>
  </si>
  <si>
    <t>Wellingtonvirus wellington</t>
  </si>
  <si>
    <t>Whackvirus whack</t>
  </si>
  <si>
    <t>Whiteheadvirus wv1358</t>
  </si>
  <si>
    <t>Wifcevirus ECML117</t>
  </si>
  <si>
    <t>Wifcevirus FEC19</t>
  </si>
  <si>
    <t>Wifcevirus WFC</t>
  </si>
  <si>
    <t>Wifcevirus WFH</t>
  </si>
  <si>
    <t>Wizardvirus Arri</t>
  </si>
  <si>
    <t>Wizardvirus bakery</t>
  </si>
  <si>
    <t>Wizardvirus barb</t>
  </si>
  <si>
    <t>Wizardvirus danyall</t>
  </si>
  <si>
    <t>Wizardvirus evamon</t>
  </si>
  <si>
    <t>Wizardvirus fireball</t>
  </si>
  <si>
    <t>Wizardvirus jambalaya</t>
  </si>
  <si>
    <t>Wizardvirus kimmyK</t>
  </si>
  <si>
    <t>Wizardvirus mutzi</t>
  </si>
  <si>
    <t>Wizardvirus nubi</t>
  </si>
  <si>
    <t>Wizardvirus phlop</t>
  </si>
  <si>
    <t>Wizardvirus portcullis</t>
  </si>
  <si>
    <t>Wizardvirus rogerdodger</t>
  </si>
  <si>
    <t>Wizardvirus smokingbunny</t>
  </si>
  <si>
    <t>Wizardvirus tillybobjoe</t>
  </si>
  <si>
    <t>Wizardvirus twister6</t>
  </si>
  <si>
    <t>Wizardvirus valary</t>
  </si>
  <si>
    <t>Wizardvirus vandewege</t>
  </si>
  <si>
    <t>Wizardvirus wizard</t>
  </si>
  <si>
    <t>Woesvirus woes</t>
  </si>
  <si>
    <t>Wollypogvirus</t>
  </si>
  <si>
    <t>Wollypogvirus wollypog</t>
  </si>
  <si>
    <t>Wolominvirus</t>
  </si>
  <si>
    <t>Wolominvirus OH</t>
  </si>
  <si>
    <t>Woodruffvirus TP1604</t>
  </si>
  <si>
    <t>Woodruffvirus YDN12</t>
  </si>
  <si>
    <t>Wumpquatrovirus WMP4</t>
  </si>
  <si>
    <t>Wumptrevirus PP</t>
  </si>
  <si>
    <t>Wumptrevirus WMP3</t>
  </si>
  <si>
    <t>Xiamenvirus RDJL1</t>
  </si>
  <si>
    <t>Xiamenvirus RDJL2</t>
  </si>
  <si>
    <t>Xipdecavirus OP1</t>
  </si>
  <si>
    <t>Xipdecavirus Xop411</t>
  </si>
  <si>
    <t>Xipdecavirus Xp10</t>
  </si>
  <si>
    <t>Xuquatrovirus PTXU04</t>
  </si>
  <si>
    <t>Yanchengvirus</t>
  </si>
  <si>
    <t>Yanchengvirus pAEv1818</t>
  </si>
  <si>
    <t>Yeceytrevirus</t>
  </si>
  <si>
    <t>Yeceytrevirus yecey3</t>
  </si>
  <si>
    <t>Yokohamavirus MSW3</t>
  </si>
  <si>
    <t>Yokohamavirus PEi21</t>
  </si>
  <si>
    <t>Yoloswagvirus yoloswag</t>
  </si>
  <si>
    <t>Yongloolinvirus C2</t>
  </si>
  <si>
    <t>Yongloolinvirus CDMH1</t>
  </si>
  <si>
    <t>Yongloolinvirus MMP01</t>
  </si>
  <si>
    <t>Yongloolinvirus MMP03</t>
  </si>
  <si>
    <t>Zetavirus zeta1847</t>
  </si>
  <si>
    <t>Zhangjivirus</t>
  </si>
  <si>
    <t>Zhangjivirus PJN02</t>
  </si>
  <si>
    <t>Zhangqianvirus</t>
  </si>
  <si>
    <t>Zhangqianvirus IME1354</t>
  </si>
  <si>
    <t>Zitchvirus</t>
  </si>
  <si>
    <t>Zitchvirus verity</t>
  </si>
  <si>
    <t>Zitchvirus zipp</t>
  </si>
  <si>
    <t>Zitchvirus zitch</t>
  </si>
  <si>
    <t>Zukovirus</t>
  </si>
  <si>
    <t>Zukovirus phill</t>
  </si>
  <si>
    <t>Zukovirus zuko</t>
  </si>
  <si>
    <t>Affertcholeramvirus CTXphi</t>
  </si>
  <si>
    <t>Affertcholeramvirus preCTX1</t>
  </si>
  <si>
    <t>Affertcholeramvirus preCTX2</t>
  </si>
  <si>
    <t>Capistrivirus KSF1</t>
  </si>
  <si>
    <t>Coriovirus Cf1c</t>
  </si>
  <si>
    <t>Fibrovirus fs1</t>
  </si>
  <si>
    <t>Fibrovirus VGJ</t>
  </si>
  <si>
    <t>Fobrovirus VP24</t>
  </si>
  <si>
    <t>Habenivirus RS551</t>
  </si>
  <si>
    <t>Habenivirus RS603</t>
  </si>
  <si>
    <t>Habenivirus RSM1</t>
  </si>
  <si>
    <t>Habenivirus RSM3</t>
  </si>
  <si>
    <t>Infulavirus If1</t>
  </si>
  <si>
    <t>Inovirus M13</t>
  </si>
  <si>
    <t>Lineavirus I22</t>
  </si>
  <si>
    <t>Lineavirus IKe</t>
  </si>
  <si>
    <t>Lineavirus pear</t>
  </si>
  <si>
    <t>Lophivirus</t>
  </si>
  <si>
    <t>Lophivirus Cf2</t>
  </si>
  <si>
    <t>Lophivirus Lf2</t>
  </si>
  <si>
    <t>Lophivirus LfUK</t>
  </si>
  <si>
    <t>Lophivirus Xv2</t>
  </si>
  <si>
    <t>Parhipatevirus PE226</t>
  </si>
  <si>
    <t>Porrectionivirus</t>
  </si>
  <si>
    <t>Porrectionivirus p12J</t>
  </si>
  <si>
    <t>Primolicivirus Pf1</t>
  </si>
  <si>
    <t>Primolicivirus Pf8</t>
  </si>
  <si>
    <t>Psecadovirus PSH1</t>
  </si>
  <si>
    <t>Restivirus RSBg</t>
  </si>
  <si>
    <t>Restivirus RSS1</t>
  </si>
  <si>
    <t>Saetivirus fs2</t>
  </si>
  <si>
    <t>Saetivirus VFJ</t>
  </si>
  <si>
    <t>Scuticavirus SMA6</t>
  </si>
  <si>
    <t>Siphunculivirus</t>
  </si>
  <si>
    <t>Siphunculivirus SHP2</t>
  </si>
  <si>
    <t>Staminivirus SMA9</t>
  </si>
  <si>
    <t>Subteminivirus SMA7</t>
  </si>
  <si>
    <t>Tertilicivirus Pf3</t>
  </si>
  <si>
    <t>Vasivirus</t>
  </si>
  <si>
    <t>Vasivirus VAI</t>
  </si>
  <si>
    <t>Versovirus VALG6</t>
  </si>
  <si>
    <t>Versovirus VfO3K6</t>
  </si>
  <si>
    <t>Vicialiavirus VCY</t>
  </si>
  <si>
    <t>Villovirus VALG8</t>
  </si>
  <si>
    <t>Villovirus Vf33</t>
  </si>
  <si>
    <t>Xylivirus XacF13</t>
  </si>
  <si>
    <t>Xylivirus Xf109</t>
  </si>
  <si>
    <t>Bifilivirus B5</t>
  </si>
  <si>
    <t>Thomixvirus OH3</t>
  </si>
  <si>
    <t>Plectrovirus L51</t>
  </si>
  <si>
    <t>Suturavirus SVTS2</t>
  </si>
  <si>
    <t>Vespertiliovirus C74</t>
  </si>
  <si>
    <t>Vespertiliovirus R8A2B</t>
  </si>
  <si>
    <t>Vespertiliovirus SkV1CR23x</t>
  </si>
  <si>
    <t>Virgulavirus</t>
  </si>
  <si>
    <t>Virgulavirus SVGII3</t>
  </si>
  <si>
    <t>Alphatrevirus alpha3</t>
  </si>
  <si>
    <t>Alphatrevirus ID21</t>
  </si>
  <si>
    <t>Alphatrevirus ID32</t>
  </si>
  <si>
    <t>Alphatrevirus ID62</t>
  </si>
  <si>
    <t>Alphatrevirus NC28</t>
  </si>
  <si>
    <t>Alphatrevirus NC29</t>
  </si>
  <si>
    <t>Alphatrevirus NC35</t>
  </si>
  <si>
    <t>Alphatrevirus phiK</t>
  </si>
  <si>
    <t>Alphatrevirus St1</t>
  </si>
  <si>
    <t>Alphatrevirus WA45</t>
  </si>
  <si>
    <t>Gequatrovirus G4</t>
  </si>
  <si>
    <t>Gequatrovirus ID52</t>
  </si>
  <si>
    <t>Gequatrovirus talmos</t>
  </si>
  <si>
    <t>Sinsheimervirus phiX174</t>
  </si>
  <si>
    <t>Bdellomicrovirus MH2K</t>
  </si>
  <si>
    <t>Chlamydiamicrovirus Chp1</t>
  </si>
  <si>
    <t>Chlamydiamicrovirus Chp2</t>
  </si>
  <si>
    <t>Chlamydiamicrovirus CPAR39</t>
  </si>
  <si>
    <t>Chlamydiamicrovirus CPG1</t>
  </si>
  <si>
    <t>Spiromicrovirus SpV4</t>
  </si>
  <si>
    <t>Alphapolyomavirus acelebensis</t>
  </si>
  <si>
    <t>Alphapolyomavirus aflavicollis</t>
  </si>
  <si>
    <t>Alphapolyomavirus apaniscus</t>
  </si>
  <si>
    <t>Alphapolyomavirus callosciuri</t>
  </si>
  <si>
    <t>Alphapolyomavirus cardiodermae</t>
  </si>
  <si>
    <t>Alphapolyomavirus carolliae</t>
  </si>
  <si>
    <t>Alphapolyomavirus chlopygerythrus</t>
  </si>
  <si>
    <t>Alphapolyomavirus dobsoniae</t>
  </si>
  <si>
    <t>Alphapolyomavirus eidoli</t>
  </si>
  <si>
    <t>Alphapolyomavirus gorillae</t>
  </si>
  <si>
    <t>Alphapolyomavirus macacae</t>
  </si>
  <si>
    <t>Alphapolyomavirus mauratus</t>
  </si>
  <si>
    <t>Alphapolyomavirus mischreibersii</t>
  </si>
  <si>
    <t>Alphapolyomavirus molossi</t>
  </si>
  <si>
    <t>Alphapolyomavirus muris</t>
  </si>
  <si>
    <t>Alphapolyomavirus nonihominis</t>
  </si>
  <si>
    <t>Alphapolyomavirus octihominis</t>
  </si>
  <si>
    <t>Alphapolyomavirus omartiensseni</t>
  </si>
  <si>
    <t>Alphapolyomavirus pacynocephalus</t>
  </si>
  <si>
    <t>Alphapolyomavirus panos</t>
  </si>
  <si>
    <t>Alphapolyomavirus philantombae</t>
  </si>
  <si>
    <t>Alphapolyomavirus pibadius</t>
  </si>
  <si>
    <t>Alphapolyomavirus pirufomitratus</t>
  </si>
  <si>
    <t>Alphapolyomavirus ponabelii</t>
  </si>
  <si>
    <t>Alphapolyomavirus ponpygmaeus</t>
  </si>
  <si>
    <t>Alphapolyomavirus procyonis</t>
  </si>
  <si>
    <t>Alphapolyomavirus ptevampyrus</t>
  </si>
  <si>
    <t>Alphapolyomavirus quardecihominis</t>
  </si>
  <si>
    <t>Alphapolyomavirus quartipanos</t>
  </si>
  <si>
    <t>Alphapolyomavirus quintihominis</t>
  </si>
  <si>
    <t>Alphapolyomavirus quintipanos</t>
  </si>
  <si>
    <t>Alphapolyomavirus ranorvegicus</t>
  </si>
  <si>
    <t>Alphapolyomavirus saraneus</t>
  </si>
  <si>
    <t>Alphapolyomavirus secarplanirostris</t>
  </si>
  <si>
    <t>Alphapolyomavirus secomartiensseni</t>
  </si>
  <si>
    <t>Alphapolyomavirus secumastomysis</t>
  </si>
  <si>
    <t>Alphapolyomavirus secumischreibersii</t>
  </si>
  <si>
    <t>Alphapolyomavirus secupanos</t>
  </si>
  <si>
    <t>Alphapolyomavirus septipanos</t>
  </si>
  <si>
    <t>Alphapolyomavirus sextipanos</t>
  </si>
  <si>
    <t>Alphapolyomavirus socoronatus</t>
  </si>
  <si>
    <t>Alphapolyomavirus sominutus</t>
  </si>
  <si>
    <t>Alphapolyomavirus sturnirae</t>
  </si>
  <si>
    <t>Alphapolyomavirus suis</t>
  </si>
  <si>
    <t>Alphapolyomavirus terdecihominis</t>
  </si>
  <si>
    <t>Alphapolyomavirus tertarplanisrostris</t>
  </si>
  <si>
    <t>Alphapolyomavirus tertichlopygerythrus</t>
  </si>
  <si>
    <t>Alphapolyomavirus tertimastomysis</t>
  </si>
  <si>
    <t>Alphapolyomavirus tertipanos</t>
  </si>
  <si>
    <t>Alphapolyomavirus tubelangeri</t>
  </si>
  <si>
    <t>Alphapolyomavirus tuglis</t>
  </si>
  <si>
    <t>Betapolyomavirus arplanirostris</t>
  </si>
  <si>
    <t>Betapolyomavirus calbifrons</t>
  </si>
  <si>
    <t>Betapolyomavirus callosciuri</t>
  </si>
  <si>
    <t>Betapolyomavirus canis</t>
  </si>
  <si>
    <t>Betapolyomavirus cercopitheci</t>
  </si>
  <si>
    <t>Betapolyomavirus desrotundus</t>
  </si>
  <si>
    <t>Betapolyomavirus elephanti</t>
  </si>
  <si>
    <t>Betapolyomavirus enhydrae</t>
  </si>
  <si>
    <t>Betapolyomavirus equi</t>
  </si>
  <si>
    <t>Betapolyomavirus gliris</t>
  </si>
  <si>
    <t>Betapolyomavirus hominis</t>
  </si>
  <si>
    <t>Betapolyomavirus leporis</t>
  </si>
  <si>
    <t>Betapolyomavirus lepweddellii</t>
  </si>
  <si>
    <t>Betapolyomavirus macacae</t>
  </si>
  <si>
    <t>Betapolyomavirus mafricanus</t>
  </si>
  <si>
    <t>Betapolyomavirus marvalis</t>
  </si>
  <si>
    <t>Betapolyomavirus mastomysis</t>
  </si>
  <si>
    <t>Betapolyomavirus meletis</t>
  </si>
  <si>
    <t>Betapolyomavirus myoglareolus</t>
  </si>
  <si>
    <t>Betapolyomavirus myolucifugus</t>
  </si>
  <si>
    <t>Betapolyomavirus octipanos</t>
  </si>
  <si>
    <t>Betapolyomavirus pantherae</t>
  </si>
  <si>
    <t>Betapolyomavirus ptedavyi</t>
  </si>
  <si>
    <t>Betapolyomavirus pteparnellii</t>
  </si>
  <si>
    <t>Betapolyomavirus quartihominis</t>
  </si>
  <si>
    <t>Betapolyomavirus raegyptiacus</t>
  </si>
  <si>
    <t>Betapolyomavirus saboliviensis</t>
  </si>
  <si>
    <t>Betapolyomavirus sasciureus</t>
  </si>
  <si>
    <t>Betapolyomavirus sciuri</t>
  </si>
  <si>
    <t>Betapolyomavirus secacelebensis</t>
  </si>
  <si>
    <t>Betapolyomavirus secuchlopygerythrus</t>
  </si>
  <si>
    <t>Betapolyomavirus secudobsoniae</t>
  </si>
  <si>
    <t>Betapolyomavirus secuhominis</t>
  </si>
  <si>
    <t>Betapolyomavirus secumuris</t>
  </si>
  <si>
    <t>Betapolyomavirus secupacynocephalus</t>
  </si>
  <si>
    <t>Betapolyomavirus securanorvegicus</t>
  </si>
  <si>
    <t>Betapolyomavirus tertidobsoniae</t>
  </si>
  <si>
    <t>Betapolyomavirus tertihominis</t>
  </si>
  <si>
    <t>Betapolyomavirus tertimuris</t>
  </si>
  <si>
    <t>Betapolyomavirus vicugnae</t>
  </si>
  <si>
    <t>Betapolyomavirus zacalifornianus</t>
  </si>
  <si>
    <t>Deltapolyomavirus ailuropodae</t>
  </si>
  <si>
    <t>Deltapolyomavirus canis</t>
  </si>
  <si>
    <t>Deltapolyomavirus decihominis</t>
  </si>
  <si>
    <t>Deltapolyomavirus secuprocyonis</t>
  </si>
  <si>
    <t>Deltapolyomavirus septihominis</t>
  </si>
  <si>
    <t>Deltapolyomavirus sextihominis</t>
  </si>
  <si>
    <t>Deltapolyomavirus undecihominis</t>
  </si>
  <si>
    <t>Epsilonpolyomavirus bovis</t>
  </si>
  <si>
    <t>Epsilonpolyomavirus caprae</t>
  </si>
  <si>
    <t>Epsilonpolyomavirus poporcus</t>
  </si>
  <si>
    <t>Etapolyomavirus</t>
  </si>
  <si>
    <t>Etapolyomavirus rhyndjiddensis</t>
  </si>
  <si>
    <t>Gammapolyomavirus anseris</t>
  </si>
  <si>
    <t>Gammapolyomavirus avis</t>
  </si>
  <si>
    <t>Gammapolyomavirus corvi</t>
  </si>
  <si>
    <t>Gammapolyomavirus cratorquatus</t>
  </si>
  <si>
    <t>Gammapolyomavirus egouldiae</t>
  </si>
  <si>
    <t>Gammapolyomavirus lonmaja</t>
  </si>
  <si>
    <t>Gammapolyomavirus padeliae</t>
  </si>
  <si>
    <t>Gammapolyomavirus pypyrrhula</t>
  </si>
  <si>
    <t>Gammapolyomavirus secanaria</t>
  </si>
  <si>
    <t>Thetapolyomavirus</t>
  </si>
  <si>
    <t>Thetapolyomavirus censtriata</t>
  </si>
  <si>
    <t>Thetapolyomavirus spari</t>
  </si>
  <si>
    <t>Thetapolyomavirus trebernacchii</t>
  </si>
  <si>
    <t>Thetapolyomavirus trepennellii</t>
  </si>
  <si>
    <t>Zetapolyomavirus delphini</t>
  </si>
  <si>
    <t>Aquambidensovirus asteroid1</t>
  </si>
  <si>
    <t>Aquambidensovirus asteroid2</t>
  </si>
  <si>
    <t>Aquambidensovirus decapod1</t>
  </si>
  <si>
    <t>Aquambidensovirus ostreid1</t>
  </si>
  <si>
    <t>Blattambidensovirus blattodean1</t>
  </si>
  <si>
    <t>Blattambidensovirus incertum1</t>
  </si>
  <si>
    <t>Blattambidensovirus incertum2</t>
  </si>
  <si>
    <t>Blattambidensovirus incertum3</t>
  </si>
  <si>
    <t>Blattambidensovirus incertum4</t>
  </si>
  <si>
    <t>Diciambidensovirus hemipteran1</t>
  </si>
  <si>
    <t>Diciambidensovirus hemipteran2</t>
  </si>
  <si>
    <t>Diciambidensovirus incertum1</t>
  </si>
  <si>
    <t>Hemiambidensovirus hemipteran1</t>
  </si>
  <si>
    <t>Hemiambidensovirus hemipteran2</t>
  </si>
  <si>
    <t>Iteradensovirus incertum1</t>
  </si>
  <si>
    <t>Iteradensovirus incertum2</t>
  </si>
  <si>
    <t>Iteradensovirus lepidopteran1</t>
  </si>
  <si>
    <t>Iteradensovirus lepidopteran2</t>
  </si>
  <si>
    <t>Iteradensovirus lepidopteran3</t>
  </si>
  <si>
    <t>Iteradensovirus lepidopteran4</t>
  </si>
  <si>
    <t>Iteradensovirus lepidopteran5</t>
  </si>
  <si>
    <t>Muscodensovirus dipteran1</t>
  </si>
  <si>
    <t>Muscodensovirus dipteran2</t>
  </si>
  <si>
    <t>Pefuambidensovirus blattodean1</t>
  </si>
  <si>
    <t>Pefuambidensovirus unionid1</t>
  </si>
  <si>
    <t>Protoambidensovirus dipteran1</t>
  </si>
  <si>
    <t>Protoambidensovirus incertum1</t>
  </si>
  <si>
    <t>Protoambidensovirus lepidopteran1</t>
  </si>
  <si>
    <t>Scindoambidensovirus hemipteran1</t>
  </si>
  <si>
    <t>Scindoambidensovirus hymenopteran1</t>
  </si>
  <si>
    <t>Scindoambidensovirus incertum1</t>
  </si>
  <si>
    <t>Scindoambidensovirus incertum2</t>
  </si>
  <si>
    <t>Scindoambidensovirus orthopteran1</t>
  </si>
  <si>
    <t>Tetuambidensovirus incertum1</t>
  </si>
  <si>
    <t>Tetuambidensovirus incertum2</t>
  </si>
  <si>
    <t>Tetuambidensovirus trombidiform1</t>
  </si>
  <si>
    <t>Brevihamaparvovirus dipteran1</t>
  </si>
  <si>
    <t>Brevihamaparvovirus dipteran2</t>
  </si>
  <si>
    <t>Chaphamaparvovirus anseriform1</t>
  </si>
  <si>
    <t>Chaphamaparvovirus anseriform2</t>
  </si>
  <si>
    <t>Chaphamaparvovirus anseriform3</t>
  </si>
  <si>
    <t>Chaphamaparvovirus anseriform4</t>
  </si>
  <si>
    <t>Chaphamaparvovirus anseriform5</t>
  </si>
  <si>
    <t>Chaphamaparvovirus anseriform6</t>
  </si>
  <si>
    <t>Chaphamaparvovirus avian1</t>
  </si>
  <si>
    <t>Chaphamaparvovirus carnivoran1</t>
  </si>
  <si>
    <t>Chaphamaparvovirus carnivoran2</t>
  </si>
  <si>
    <t>Chaphamaparvovirus carnivoran3</t>
  </si>
  <si>
    <t>Chaphamaparvovirus chiropteran1</t>
  </si>
  <si>
    <t>Chaphamaparvovirus dasyurid1</t>
  </si>
  <si>
    <t>Chaphamaparvovirus dasyurid2</t>
  </si>
  <si>
    <t>Chaphamaparvovirus dasyurid3</t>
  </si>
  <si>
    <t>Chaphamaparvovirus galliform1</t>
  </si>
  <si>
    <t>Chaphamaparvovirus galliform2</t>
  </si>
  <si>
    <t>Chaphamaparvovirus galliform3</t>
  </si>
  <si>
    <t>Chaphamaparvovirus galliform4</t>
  </si>
  <si>
    <t>Chaphamaparvovirus galliform5</t>
  </si>
  <si>
    <t>Chaphamaparvovirus gruiform1</t>
  </si>
  <si>
    <t>Chaphamaparvovirus gruiform2</t>
  </si>
  <si>
    <t>Chaphamaparvovirus gruiform3</t>
  </si>
  <si>
    <t>Chaphamaparvovirus gruiform4</t>
  </si>
  <si>
    <t>Chaphamaparvovirus perciform1</t>
  </si>
  <si>
    <t>Chaphamaparvovirus primate1</t>
  </si>
  <si>
    <t>Chaphamaparvovirus primate2</t>
  </si>
  <si>
    <t>Chaphamaparvovirus psittacine1</t>
  </si>
  <si>
    <t>Chaphamaparvovirus psittacine2</t>
  </si>
  <si>
    <t>Chaphamaparvovirus rodent1</t>
  </si>
  <si>
    <t>Chaphamaparvovirus rodent2</t>
  </si>
  <si>
    <t>Chaphamaparvovirus strigiform1</t>
  </si>
  <si>
    <t>Chaphamaparvovirus ungulate1</t>
  </si>
  <si>
    <t>Hepanhamaparvovirus decapod1</t>
  </si>
  <si>
    <t>Ichtchaphamaparvovirus</t>
  </si>
  <si>
    <t>Ichtchaphamaparvovirus syngnathid1</t>
  </si>
  <si>
    <t>Penstylhamaparvovirus decapod1</t>
  </si>
  <si>
    <t>Amdoparvovirus carnivoran1</t>
  </si>
  <si>
    <t>Amdoparvovirus carnivoran2</t>
  </si>
  <si>
    <t>Amdoparvovirus carnivoran3</t>
  </si>
  <si>
    <t>Amdoparvovirus carnivoran4</t>
  </si>
  <si>
    <t>Amdoparvovirus carnivoran5</t>
  </si>
  <si>
    <t>Amdoparvovirus carnivoran6</t>
  </si>
  <si>
    <t>Amdoparvovirus carnivoran7</t>
  </si>
  <si>
    <t>Artiparvovirus chiropteran1</t>
  </si>
  <si>
    <t>Aveparvovirus columbid1</t>
  </si>
  <si>
    <t>Aveparvovirus galliform1</t>
  </si>
  <si>
    <t>Aveparvovirus gruiform1</t>
  </si>
  <si>
    <t>Aveparvovirus passeriform1</t>
  </si>
  <si>
    <t>Bocaparvovirus carnivoran1</t>
  </si>
  <si>
    <t>Bocaparvovirus carnivoran2</t>
  </si>
  <si>
    <t>Bocaparvovirus carnivoran3</t>
  </si>
  <si>
    <t>Bocaparvovirus carnivoran4</t>
  </si>
  <si>
    <t>Bocaparvovirus carnivoran5</t>
  </si>
  <si>
    <t>Bocaparvovirus carnivoran6</t>
  </si>
  <si>
    <t>Bocaparvovirus carnivoran7</t>
  </si>
  <si>
    <t>Bocaparvovirus chiropteran1</t>
  </si>
  <si>
    <t>Bocaparvovirus chiropteran2</t>
  </si>
  <si>
    <t>Bocaparvovirus chiropteran3</t>
  </si>
  <si>
    <t>Bocaparvovirus chiropteran4</t>
  </si>
  <si>
    <t>Bocaparvovirus chiropteran5</t>
  </si>
  <si>
    <t>Bocaparvovirus incertum1</t>
  </si>
  <si>
    <t>Bocaparvovirus lagomorph1</t>
  </si>
  <si>
    <t>Bocaparvovirus pinniped1</t>
  </si>
  <si>
    <t>Bocaparvovirus pinniped2</t>
  </si>
  <si>
    <t>Bocaparvovirus primate1</t>
  </si>
  <si>
    <t>Bocaparvovirus primate2</t>
  </si>
  <si>
    <t>Bocaparvovirus primate3</t>
  </si>
  <si>
    <t>Bocaparvovirus rodent1</t>
  </si>
  <si>
    <t>Bocaparvovirus rodent2</t>
  </si>
  <si>
    <t>Bocaparvovirus rodent3</t>
  </si>
  <si>
    <t>Bocaparvovirus ungulate1</t>
  </si>
  <si>
    <t>Bocaparvovirus ungulate2</t>
  </si>
  <si>
    <t>Bocaparvovirus ungulate3</t>
  </si>
  <si>
    <t>Bocaparvovirus ungulate4</t>
  </si>
  <si>
    <t>Bocaparvovirus ungulate5</t>
  </si>
  <si>
    <t>Bocaparvovirus ungulate6</t>
  </si>
  <si>
    <t>Bocaparvovirus ungulate7</t>
  </si>
  <si>
    <t>Bocaparvovirus ungulate8</t>
  </si>
  <si>
    <t>Bocaparvovirus ungulate9</t>
  </si>
  <si>
    <t>Copiparvovirus pinniped1</t>
  </si>
  <si>
    <t>Copiparvovirus ungulate1</t>
  </si>
  <si>
    <t>Copiparvovirus ungulate2</t>
  </si>
  <si>
    <t>Copiparvovirus ungulate3</t>
  </si>
  <si>
    <t>Copiparvovirus ungulate4</t>
  </si>
  <si>
    <t>Copiparvovirus ungulate5</t>
  </si>
  <si>
    <t>Copiparvovirus ungulate6</t>
  </si>
  <si>
    <t>Copiparvovirus ungulate7</t>
  </si>
  <si>
    <t>Copiparvovirus ungulate8</t>
  </si>
  <si>
    <t>Dependoparvovirus anseriform1</t>
  </si>
  <si>
    <t>Dependoparvovirus avian1</t>
  </si>
  <si>
    <t>Dependoparvovirus avian2</t>
  </si>
  <si>
    <t>Dependoparvovirus carnivoran1</t>
  </si>
  <si>
    <t>Dependoparvovirus chiropteran1</t>
  </si>
  <si>
    <t>Dependoparvovirus chiropteran2</t>
  </si>
  <si>
    <t>Dependoparvovirus mammalian1</t>
  </si>
  <si>
    <t>Dependoparvovirus pinniped1</t>
  </si>
  <si>
    <t>Dependoparvovirus primate1</t>
  </si>
  <si>
    <t>Dependoparvovirus rodent1</t>
  </si>
  <si>
    <t>Dependoparvovirus rodent2</t>
  </si>
  <si>
    <t>Dependoparvovirus squamate1</t>
  </si>
  <si>
    <t>Dependoparvovirus squamate2</t>
  </si>
  <si>
    <t>Erythroparvovirus pinniped1</t>
  </si>
  <si>
    <t>Erythroparvovirus primate1</t>
  </si>
  <si>
    <t>Erythroparvovirus primate2</t>
  </si>
  <si>
    <t>Erythroparvovirus primate3</t>
  </si>
  <si>
    <t>Erythroparvovirus primate4</t>
  </si>
  <si>
    <t>Erythroparvovirus rodent1</t>
  </si>
  <si>
    <t>Erythroparvovirus ungulate1</t>
  </si>
  <si>
    <t>Loriparvovirus primate1</t>
  </si>
  <si>
    <t>Protoparvovirus carnivoran1</t>
  </si>
  <si>
    <t>Protoparvovirus carnivoran2</t>
  </si>
  <si>
    <t>Protoparvovirus carnivoran3</t>
  </si>
  <si>
    <t>Protoparvovirus carnivoran4</t>
  </si>
  <si>
    <t>Protoparvovirus carnivoran5</t>
  </si>
  <si>
    <t>Protoparvovirus chiropteran1</t>
  </si>
  <si>
    <t>Protoparvovirus eulipotyphla1</t>
  </si>
  <si>
    <t>Protoparvovirus incertum1</t>
  </si>
  <si>
    <t>Protoparvovirus pinniped1</t>
  </si>
  <si>
    <t>Protoparvovirus primate1</t>
  </si>
  <si>
    <t>Protoparvovirus primate2</t>
  </si>
  <si>
    <t>Protoparvovirus primate3</t>
  </si>
  <si>
    <t>Protoparvovirus rodent1</t>
  </si>
  <si>
    <t>Protoparvovirus rodent2</t>
  </si>
  <si>
    <t>Protoparvovirus rodent3</t>
  </si>
  <si>
    <t>Protoparvovirus ungulate1</t>
  </si>
  <si>
    <t>Protoparvovirus ungulate2</t>
  </si>
  <si>
    <t>Protoparvovirus ungulate3</t>
  </si>
  <si>
    <t>Sandeparvovirus</t>
  </si>
  <si>
    <t>Sandeparvovirus perciform1</t>
  </si>
  <si>
    <t>Tetraparvovirus chiropteran1</t>
  </si>
  <si>
    <t>Tetraparvovirus didelphimorph1</t>
  </si>
  <si>
    <t>Tetraparvovirus primate1</t>
  </si>
  <si>
    <t>Tetraparvovirus rodent1</t>
  </si>
  <si>
    <t>Tetraparvovirus ungulate1</t>
  </si>
  <si>
    <t>Tetraparvovirus ungulate2</t>
  </si>
  <si>
    <t>Tetraparvovirus ungulate3</t>
  </si>
  <si>
    <t>Tetraparvovirus ungulate4</t>
  </si>
  <si>
    <t>Metalloincertoparvovirus</t>
  </si>
  <si>
    <t>Metalloincertoparvovirus decapod1</t>
  </si>
  <si>
    <t>Aberdnavirus</t>
  </si>
  <si>
    <t>Aberdnavirus waitai</t>
  </si>
  <si>
    <t>Diatodnavirus chaese</t>
  </si>
  <si>
    <t>Keisodnavirus</t>
  </si>
  <si>
    <t>Keisodnavirus chaetenu</t>
  </si>
  <si>
    <t>Kieseladnavirus ampcren</t>
  </si>
  <si>
    <t>Kieseladnavirus karahue</t>
  </si>
  <si>
    <t>Kieseladnavirus titiko</t>
  </si>
  <si>
    <t>Protobacilladnavirus chaelor</t>
  </si>
  <si>
    <t>Protobacilladnavirus chaetoc</t>
  </si>
  <si>
    <t>Protobacilladnavirus chasesal</t>
  </si>
  <si>
    <t>Protobacilladnavirus hasleos</t>
  </si>
  <si>
    <t>Protobacilladnavirus mudflat</t>
  </si>
  <si>
    <t>Protobacilladnavirus redsnap</t>
  </si>
  <si>
    <t>Protobacilladnavirus snap</t>
  </si>
  <si>
    <t>Protobacilladnavirus tenuis</t>
  </si>
  <si>
    <t>Puahadnavirus</t>
  </si>
  <si>
    <t>Puahadnavirus aber</t>
  </si>
  <si>
    <t>Puahadnavirus inbhir</t>
  </si>
  <si>
    <t>Puahadnavirus kaisui</t>
  </si>
  <si>
    <t>Puahadnavirus takutai</t>
  </si>
  <si>
    <t>Seawadnavirus</t>
  </si>
  <si>
    <t>Seawadnavirus avonheat</t>
  </si>
  <si>
    <t>Seawadnavirus kuhtahan</t>
  </si>
  <si>
    <t>Circovirus barbel</t>
  </si>
  <si>
    <t>Circovirus bastao</t>
  </si>
  <si>
    <t>Circovirus bear</t>
  </si>
  <si>
    <t>Circovirus bianfu</t>
  </si>
  <si>
    <t>Circovirus canary</t>
  </si>
  <si>
    <t>Circovirus canine</t>
  </si>
  <si>
    <t>Circovirus catfish</t>
  </si>
  <si>
    <t>Circovirus chauvesouris</t>
  </si>
  <si>
    <t>Circovirus cia</t>
  </si>
  <si>
    <t>Circovirus civet</t>
  </si>
  <si>
    <t>Circovirus daga</t>
  </si>
  <si>
    <t>Circovirus duck</t>
  </si>
  <si>
    <t>Circovirus elk</t>
  </si>
  <si>
    <t>Circovirus eniyan</t>
  </si>
  <si>
    <t>Circovirus finch</t>
  </si>
  <si>
    <t>Circovirus gloton</t>
  </si>
  <si>
    <t>Circovirus gnaver</t>
  </si>
  <si>
    <t>Circovirus goose</t>
  </si>
  <si>
    <t>Circovirus gryzon</t>
  </si>
  <si>
    <t>Circovirus gull</t>
  </si>
  <si>
    <t>Circovirus hirat</t>
  </si>
  <si>
    <t>Circovirus ialtag</t>
  </si>
  <si>
    <t>Circovirus impundu</t>
  </si>
  <si>
    <t>Circovirus kelawar</t>
  </si>
  <si>
    <t>Circovirus kiore</t>
  </si>
  <si>
    <t>Circovirus lepakko</t>
  </si>
  <si>
    <t>Circovirus lin</t>
  </si>
  <si>
    <t>Circovirus magu</t>
  </si>
  <si>
    <t>Circovirus mink</t>
  </si>
  <si>
    <t>Circovirus miztli</t>
  </si>
  <si>
    <t>Circovirus miztontli</t>
  </si>
  <si>
    <t>Circovirus morcego</t>
  </si>
  <si>
    <t>Circovirus mossi</t>
  </si>
  <si>
    <t>Circovirus naaleeli</t>
  </si>
  <si>
    <t>Circovirus parrot</t>
  </si>
  <si>
    <t>Circovirus pato</t>
  </si>
  <si>
    <t>Circovirus penguin</t>
  </si>
  <si>
    <t>Circovirus pichong</t>
  </si>
  <si>
    <t>Circovirus pigeon</t>
  </si>
  <si>
    <t>Circovirus pipistrello</t>
  </si>
  <si>
    <t>Circovirus porcine1</t>
  </si>
  <si>
    <t>Circovirus porcine2</t>
  </si>
  <si>
    <t>Circovirus porcine3</t>
  </si>
  <si>
    <t>Circovirus porcine4</t>
  </si>
  <si>
    <t>Circovirus ratpenat</t>
  </si>
  <si>
    <t>Circovirus raven</t>
  </si>
  <si>
    <t>Circovirus roditore</t>
  </si>
  <si>
    <t>Circovirus rongeur</t>
  </si>
  <si>
    <t>Circovirus rosegador</t>
  </si>
  <si>
    <t>Circovirus saguzarra</t>
  </si>
  <si>
    <t>Circovirus siksparnis</t>
  </si>
  <si>
    <t>Circovirus starling</t>
  </si>
  <si>
    <t>Circovirus swan</t>
  </si>
  <si>
    <t>Circovirus tetning</t>
  </si>
  <si>
    <t>Circovirus tzinaka</t>
  </si>
  <si>
    <t>Circovirus vleermuis</t>
  </si>
  <si>
    <t>Circovirus wesa</t>
  </si>
  <si>
    <t>Circovirus whale</t>
  </si>
  <si>
    <t>Circovirus yaa</t>
  </si>
  <si>
    <t>Circovirus zebrafinch</t>
  </si>
  <si>
    <t>Cyclovirus aasiak</t>
  </si>
  <si>
    <t>Cyclovirus adie</t>
  </si>
  <si>
    <t>Cyclovirus anyidiwo</t>
  </si>
  <si>
    <t>Cyclovirus babka</t>
  </si>
  <si>
    <t>Cyclovirus bakri</t>
  </si>
  <si>
    <t>Cyclovirus bashri</t>
  </si>
  <si>
    <t>Cyclovirus bastao</t>
  </si>
  <si>
    <t>Cyclovirus bohloa</t>
  </si>
  <si>
    <t>Cyclovirus caballo</t>
  </si>
  <si>
    <t>Cyclovirus cervienka</t>
  </si>
  <si>
    <t>Cyclovirus doi</t>
  </si>
  <si>
    <t>Cyclovirus enseenene</t>
  </si>
  <si>
    <t>Cyclovirus flagermus</t>
  </si>
  <si>
    <t>Cyclovirus fledermoyz</t>
  </si>
  <si>
    <t>Cyclovirus foca</t>
  </si>
  <si>
    <t>Cyclovirus fourmi</t>
  </si>
  <si>
    <t>Cyclovirus gaaye</t>
  </si>
  <si>
    <t>Cyclovirus gato</t>
  </si>
  <si>
    <t>Cyclovirus homa</t>
  </si>
  <si>
    <t>Cyclovirus humana</t>
  </si>
  <si>
    <t>Cyclovirus ibimonyo</t>
  </si>
  <si>
    <t>Cyclovirus insaan</t>
  </si>
  <si>
    <t>Cyclovirus jaaabani</t>
  </si>
  <si>
    <t>Cyclovirus jemage</t>
  </si>
  <si>
    <t>Cyclovirus kacsa</t>
  </si>
  <si>
    <t>Cyclovirus kemirgen</t>
  </si>
  <si>
    <t>Cyclovirus khangkhaw</t>
  </si>
  <si>
    <t>Cyclovirus kiroptero</t>
  </si>
  <si>
    <t>Cyclovirus kisikisi</t>
  </si>
  <si>
    <t>Cyclovirus kokoro</t>
  </si>
  <si>
    <t>Cyclovirus libelula</t>
  </si>
  <si>
    <t>Cyclovirus liepsnele</t>
  </si>
  <si>
    <t>Cyclovirus liliac</t>
  </si>
  <si>
    <t>Cyclovirus liljak</t>
  </si>
  <si>
    <t>Cyclovirus maanav</t>
  </si>
  <si>
    <t>Cyclovirus manitan</t>
  </si>
  <si>
    <t>Cyclovirus manukha</t>
  </si>
  <si>
    <t>Cyclovirus manusyan</t>
  </si>
  <si>
    <t>Cyclovirus mchwa</t>
  </si>
  <si>
    <t>Cyclovirus mier</t>
  </si>
  <si>
    <t>Cyclovirus misi</t>
  </si>
  <si>
    <t>Cyclovirus mmadu</t>
  </si>
  <si>
    <t>Cyclovirus moosa</t>
  </si>
  <si>
    <t>Cyclovirus munthu</t>
  </si>
  <si>
    <t>Cyclovirus murcielago</t>
  </si>
  <si>
    <t>Cyclovirus muricec</t>
  </si>
  <si>
    <t>Cyclovirus mutum</t>
  </si>
  <si>
    <t>Cyclovirus mweyba</t>
  </si>
  <si>
    <t>Cyclovirus naahoohai</t>
  </si>
  <si>
    <t>Cyclovirus naastsosi</t>
  </si>
  <si>
    <t>Cyclovirus nahkhiir</t>
  </si>
  <si>
    <t>Cyclovirus namu</t>
  </si>
  <si>
    <t>Cyclovirus ndanda</t>
  </si>
  <si>
    <t>Cyclovirus netopyr</t>
  </si>
  <si>
    <t>Cyclovirus newla</t>
  </si>
  <si>
    <t>Cyclovirus nhanloai</t>
  </si>
  <si>
    <t>Cyclovirus nietoperz</t>
  </si>
  <si>
    <t>Cyclovirus pauferro</t>
  </si>
  <si>
    <t>Cyclovirus pea</t>
  </si>
  <si>
    <t>Cyclovirus peka</t>
  </si>
  <si>
    <t>Cyclovirus pekapeka</t>
  </si>
  <si>
    <t>Cyclovirus pettirosso</t>
  </si>
  <si>
    <t>Cyclovirus podgana</t>
  </si>
  <si>
    <t>Cyclovirus popo</t>
  </si>
  <si>
    <t>Cyclovirus popoki</t>
  </si>
  <si>
    <t>Cyclovirus prihor</t>
  </si>
  <si>
    <t>Cyclovirus prilep</t>
  </si>
  <si>
    <t>Cyclovirus punarinta</t>
  </si>
  <si>
    <t>Cyclovirus rata</t>
  </si>
  <si>
    <t>Cyclovirus risi</t>
  </si>
  <si>
    <t>Cyclovirus roach</t>
  </si>
  <si>
    <t>Cyclovirus roedor</t>
  </si>
  <si>
    <t>Cyclovirus rotte</t>
  </si>
  <si>
    <t>Cyclovirus rudzik</t>
  </si>
  <si>
    <t>Cyclovirus saguza</t>
  </si>
  <si>
    <t>Cyclovirus sawya</t>
  </si>
  <si>
    <t>Cyclovirus sismis</t>
  </si>
  <si>
    <t>Cyclovirus sokwe</t>
  </si>
  <si>
    <t>Cyclovirus svosve</t>
  </si>
  <si>
    <t>Cyclovirus taniilai</t>
  </si>
  <si>
    <t>Cyclovirus tarako</t>
  </si>
  <si>
    <t>Cyclovirus tonbo</t>
  </si>
  <si>
    <t>Cyclovirus totoi</t>
  </si>
  <si>
    <t>Cyclovirus vauval</t>
  </si>
  <si>
    <t>Cyclovirus vazka</t>
  </si>
  <si>
    <t>Cyclovirus vespertilio</t>
  </si>
  <si>
    <t>Cyclovirus vleermuis</t>
  </si>
  <si>
    <t>Cyclovirus yarasa</t>
  </si>
  <si>
    <t>Cyclovirus ystlum</t>
  </si>
  <si>
    <t>Vilyaviridae</t>
  </si>
  <si>
    <t>Andurilvirus</t>
  </si>
  <si>
    <t>Andurilvirus erebor</t>
  </si>
  <si>
    <t>Andurilvirus finwe</t>
  </si>
  <si>
    <t>Angristvirus</t>
  </si>
  <si>
    <t>Angristvirus fangorn</t>
  </si>
  <si>
    <t>Angristvirus hurin</t>
  </si>
  <si>
    <t>Aranruthvirus</t>
  </si>
  <si>
    <t>Aranruthvirus numenor</t>
  </si>
  <si>
    <t>Arnorvirus</t>
  </si>
  <si>
    <t>Arnorvirus sauron</t>
  </si>
  <si>
    <t>Glamdringvirus</t>
  </si>
  <si>
    <t>Glamdringvirus minas</t>
  </si>
  <si>
    <t>Glamdringvirus thorin</t>
  </si>
  <si>
    <t>Grondvirus</t>
  </si>
  <si>
    <t>Grondvirus lorian</t>
  </si>
  <si>
    <t>Herugrimvirus</t>
  </si>
  <si>
    <t>Herugrimvirus gladden</t>
  </si>
  <si>
    <t>Illuinvirus</t>
  </si>
  <si>
    <t>Illuinvirus amon</t>
  </si>
  <si>
    <t>Ormalvirus</t>
  </si>
  <si>
    <t>Ormalvirus cirith</t>
  </si>
  <si>
    <t>Palantirivirus</t>
  </si>
  <si>
    <t>Palantirivirus imlardis</t>
  </si>
  <si>
    <t>Ringilvirus</t>
  </si>
  <si>
    <t>Ringilvirus thingol</t>
  </si>
  <si>
    <t>Ringilvirus tuor</t>
  </si>
  <si>
    <t>Ringilvirus ungol</t>
  </si>
  <si>
    <t>Vingilotevirus</t>
  </si>
  <si>
    <t>Vingilotevirus gamgee</t>
  </si>
  <si>
    <t>Vingilotevirus gimli</t>
  </si>
  <si>
    <t>Amesuviridae</t>
  </si>
  <si>
    <t>Temfrudevirus</t>
  </si>
  <si>
    <t>Temfrudevirus temperatum</t>
  </si>
  <si>
    <t>Yermavirus</t>
  </si>
  <si>
    <t>Yermavirus ilicis</t>
  </si>
  <si>
    <t>Rivendellvirales</t>
  </si>
  <si>
    <t>Naryaviridae</t>
  </si>
  <si>
    <t>Menegrothvirus</t>
  </si>
  <si>
    <t>Menegrothvirus gilly</t>
  </si>
  <si>
    <t>Nauglamirvirus</t>
  </si>
  <si>
    <t>Nauglamirvirus anduin</t>
  </si>
  <si>
    <t>Nimphelosvirus</t>
  </si>
  <si>
    <t>Nimphelosvirus arnor</t>
  </si>
  <si>
    <t>Nimphelosvirus isildur</t>
  </si>
  <si>
    <t>Phialvirus</t>
  </si>
  <si>
    <t>Phialvirus golin</t>
  </si>
  <si>
    <t>Rohanvirales</t>
  </si>
  <si>
    <t>Nenyaviridae</t>
  </si>
  <si>
    <t>Angainorvirus</t>
  </si>
  <si>
    <t>Angainorvirus turin</t>
  </si>
  <si>
    <t>Galvornvirus</t>
  </si>
  <si>
    <t>Galvornvirus isengard</t>
  </si>
  <si>
    <t>Mazarbulvirus</t>
  </si>
  <si>
    <t>Mazarbulvirus hasufel</t>
  </si>
  <si>
    <t>Mithrilvirus</t>
  </si>
  <si>
    <t>Mithrilvirus smaug</t>
  </si>
  <si>
    <t>Valinorvirus</t>
  </si>
  <si>
    <t>Valinorvirus arda</t>
  </si>
  <si>
    <t>Valinorvirus eriador</t>
  </si>
  <si>
    <t>Gammapleolipovirus Hardyhisp2</t>
  </si>
  <si>
    <t>Alternaviridae</t>
  </si>
  <si>
    <t>Alternavirus</t>
  </si>
  <si>
    <t>Alternavirus alternariae</t>
  </si>
  <si>
    <t>Alternavirus aspergilli</t>
  </si>
  <si>
    <t>Alternavirus cordycipitae</t>
  </si>
  <si>
    <t>Alternavirus foxispori</t>
  </si>
  <si>
    <t>Alternavirus fusarii</t>
  </si>
  <si>
    <t>Alphachrysovirus anthurii</t>
  </si>
  <si>
    <t>Alphachrysovirus aspergilli</t>
  </si>
  <si>
    <t>Alphachrysovirus brassicae</t>
  </si>
  <si>
    <t>Alphachrysovirus cerasi</t>
  </si>
  <si>
    <t>Alphachrysovirus chrysothricis</t>
  </si>
  <si>
    <t>Alphachrysovirus colletotrichi</t>
  </si>
  <si>
    <t>Alphachrysovirus cryphonectriae</t>
  </si>
  <si>
    <t>Alphachrysovirus fusarii</t>
  </si>
  <si>
    <t>Alphachrysovirus helminthosporii</t>
  </si>
  <si>
    <t>Alphachrysovirus isariae</t>
  </si>
  <si>
    <t>Alphachrysovirus macrophominae</t>
  </si>
  <si>
    <t>Alphachrysovirus penicillii</t>
  </si>
  <si>
    <t>Alphachrysovirus penicompacti</t>
  </si>
  <si>
    <t>Alphachrysovirus penifulvi</t>
  </si>
  <si>
    <t>Alphachrysovirus perseae</t>
  </si>
  <si>
    <t>Alphachrysovirus raphani</t>
  </si>
  <si>
    <t>Alphachrysovirus saladoense</t>
  </si>
  <si>
    <t>Alphachrysovirus shuangaoense</t>
  </si>
  <si>
    <t>Alphachrysovirus verticillii</t>
  </si>
  <si>
    <t>Alphachrysovirus zeae</t>
  </si>
  <si>
    <t>Betachrysovirus alternariae</t>
  </si>
  <si>
    <t>Betachrysovirus aspergilli</t>
  </si>
  <si>
    <t>Betachrysovirus botryosphaeriae</t>
  </si>
  <si>
    <t>Betachrysovirus colletotrichi</t>
  </si>
  <si>
    <t>Betachrysovirus coniothyrii</t>
  </si>
  <si>
    <t>Betachrysovirus foxyspori</t>
  </si>
  <si>
    <t>Betachrysovirus fugramineari</t>
  </si>
  <si>
    <t>Betachrysovirus magnaporthis</t>
  </si>
  <si>
    <t>Betachrysovirus neofusicocci</t>
  </si>
  <si>
    <t>Betachrysovirus pripenicillii</t>
  </si>
  <si>
    <t>Betachrysovirus secupenicillii</t>
  </si>
  <si>
    <t>Sedoreoviridae</t>
  </si>
  <si>
    <t>Spinareoviridae</t>
  </si>
  <si>
    <t>Cystovirus phi6</t>
  </si>
  <si>
    <t>Cystovirus phi8</t>
  </si>
  <si>
    <t>Cystovirus phi12</t>
  </si>
  <si>
    <t>Cystovirus phi13</t>
  </si>
  <si>
    <t>Cystovirus phi2954</t>
  </si>
  <si>
    <t>Cystovirus phiNN</t>
  </si>
  <si>
    <t>Cystovirus phiYY</t>
  </si>
  <si>
    <t>Orthohepevirinae</t>
  </si>
  <si>
    <t>Avihepevirus</t>
  </si>
  <si>
    <t>Avihepevirus egretti</t>
  </si>
  <si>
    <t>Avihepevirus magniiecur</t>
  </si>
  <si>
    <t>Chirohepevirus</t>
  </si>
  <si>
    <t>Chirohepevirus desmodi</t>
  </si>
  <si>
    <t>Chirohepevirus eptesici</t>
  </si>
  <si>
    <t>Chirohepevirus rhinolophi</t>
  </si>
  <si>
    <t>Paslahepevirus</t>
  </si>
  <si>
    <t>Paslahepevirus alci</t>
  </si>
  <si>
    <t>Paslahepevirus balayani</t>
  </si>
  <si>
    <t>Rocahepevirus</t>
  </si>
  <si>
    <t>Rocahepevirus eothenomi</t>
  </si>
  <si>
    <t>Rocahepevirus ratti</t>
  </si>
  <si>
    <t>Parahepevirinae</t>
  </si>
  <si>
    <t>Piscihepevirus heenan</t>
  </si>
  <si>
    <t>Anulavirus GLPV</t>
  </si>
  <si>
    <t>Bromovirus SVS</t>
  </si>
  <si>
    <t>Bluvavirus</t>
  </si>
  <si>
    <t>Menthavirus</t>
  </si>
  <si>
    <t>Olivavirus</t>
  </si>
  <si>
    <t>Blunervirus camelliae</t>
  </si>
  <si>
    <t>Blunervirus solani</t>
  </si>
  <si>
    <t>Blunervirus vaccinii</t>
  </si>
  <si>
    <t>Cilevirus australis</t>
  </si>
  <si>
    <t>Cilevirus colombiaense</t>
  </si>
  <si>
    <t>Cilevirus leprosis</t>
  </si>
  <si>
    <t>Cilevirus ligustri</t>
  </si>
  <si>
    <t>Cilevirus oahuense</t>
  </si>
  <si>
    <t>Cilevirus passiflorae</t>
  </si>
  <si>
    <t>Cilevirus solani</t>
  </si>
  <si>
    <t>Higrevirus waimanalo</t>
  </si>
  <si>
    <t>Idaeovirus ligustri</t>
  </si>
  <si>
    <t>Idaeovirus rubi</t>
  </si>
  <si>
    <t>Pteridovirus filicis</t>
  </si>
  <si>
    <t>Pteridovirus maydis</t>
  </si>
  <si>
    <t>Banmivirus</t>
  </si>
  <si>
    <t>Banmivirus BanMMV</t>
  </si>
  <si>
    <t>Banmivirus MoaBV</t>
  </si>
  <si>
    <t>Carlavirus AcVA</t>
  </si>
  <si>
    <t>Carlavirus AgCVB</t>
  </si>
  <si>
    <t>Carlavirus BiCV</t>
  </si>
  <si>
    <t>Carlavirus CCV-1</t>
  </si>
  <si>
    <t>Carlavirus CCV-2</t>
  </si>
  <si>
    <t>Carlavirus ClCVA</t>
  </si>
  <si>
    <t>Carlavirus CVR</t>
  </si>
  <si>
    <t>Carlavirus PaMMaV</t>
  </si>
  <si>
    <t>Carlavirus PapMaV</t>
  </si>
  <si>
    <t>Carlavirus PepVA</t>
  </si>
  <si>
    <t>Carlavirus RoVA</t>
  </si>
  <si>
    <t>Carlavirus RVB</t>
  </si>
  <si>
    <t>Carlavirus SCV1</t>
  </si>
  <si>
    <t>Carlavirus ShVS</t>
  </si>
  <si>
    <t>Foveavirus ChVB</t>
  </si>
  <si>
    <t>Foveavirus CRSaV-4</t>
  </si>
  <si>
    <t>Foveavirus GFVA</t>
  </si>
  <si>
    <t>Foveavirus RuV1</t>
  </si>
  <si>
    <t>Sustrivirus</t>
  </si>
  <si>
    <t>Sustrivirus SCSMaV</t>
  </si>
  <si>
    <t>Capillovirus LoVA</t>
  </si>
  <si>
    <t>Capillovirus TRV1</t>
  </si>
  <si>
    <t>Chordovirus HV4</t>
  </si>
  <si>
    <t>Chordovirus LeCV1</t>
  </si>
  <si>
    <t>Prunevirus CRSaV-1</t>
  </si>
  <si>
    <t>Tepovirus AgVT</t>
  </si>
  <si>
    <t>Tepovirus ChVT</t>
  </si>
  <si>
    <t>Tepovirus ZoVT</t>
  </si>
  <si>
    <t>Trichovirus CLV-1</t>
  </si>
  <si>
    <t>Trichovirus PCLSV</t>
  </si>
  <si>
    <t>Trichovirus PeVM</t>
  </si>
  <si>
    <t>Vitivirus BGMaV</t>
  </si>
  <si>
    <t>Vitivirus GVL</t>
  </si>
  <si>
    <t>Gammaflexivirus</t>
  </si>
  <si>
    <t>Gammaflexivirus EntGFV-1</t>
  </si>
  <si>
    <t>Gammaflexivirus PaGFV-1</t>
  </si>
  <si>
    <t>Xylavirus</t>
  </si>
  <si>
    <t>Xylavirus EntGFV-2</t>
  </si>
  <si>
    <t>Maculavirus vitis</t>
  </si>
  <si>
    <t>Marafivirus asteroides</t>
  </si>
  <si>
    <t>Marafivirus avenae</t>
  </si>
  <si>
    <t>Marafivirus citri</t>
  </si>
  <si>
    <t>Marafivirus cynodonis</t>
  </si>
  <si>
    <t>Marafivirus maydis</t>
  </si>
  <si>
    <t>Marafivirus medicagonis</t>
  </si>
  <si>
    <t>Marafivirus nucipersicae</t>
  </si>
  <si>
    <t>Marafivirus oleae</t>
  </si>
  <si>
    <t>Marafivirus pruni</t>
  </si>
  <si>
    <t>Marafivirus rubi</t>
  </si>
  <si>
    <t>Marafivirus sorghi</t>
  </si>
  <si>
    <t>Marafivirus syrahense</t>
  </si>
  <si>
    <t>Tymovirus abelmoschi</t>
  </si>
  <si>
    <t>Tymovirus anagyris</t>
  </si>
  <si>
    <t>Tymovirus arachidis</t>
  </si>
  <si>
    <t>Tymovirus belladonnae</t>
  </si>
  <si>
    <t>Tymovirus brassicae</t>
  </si>
  <si>
    <t>Tymovirus calopogonii</t>
  </si>
  <si>
    <t>Tymovirus chayotis</t>
  </si>
  <si>
    <t>Tymovirus chiltepini</t>
  </si>
  <si>
    <t>Tymovirus clitoriae</t>
  </si>
  <si>
    <t>Tymovirus cucumis</t>
  </si>
  <si>
    <t>Tymovirus desmodii</t>
  </si>
  <si>
    <t>Tymovirus dulcamarae</t>
  </si>
  <si>
    <t>Tymovirus erysimi</t>
  </si>
  <si>
    <t>Tymovirus kennedyae</t>
  </si>
  <si>
    <t>Tymovirus latandigenum</t>
  </si>
  <si>
    <t>Tymovirus lycopersici</t>
  </si>
  <si>
    <t>Tymovirus melongenae</t>
  </si>
  <si>
    <t>Tymovirus melonis</t>
  </si>
  <si>
    <t>Tymovirus mosandigenum</t>
  </si>
  <si>
    <t>Tymovirus naranjillae</t>
  </si>
  <si>
    <t>Tymovirus nemesiae</t>
  </si>
  <si>
    <t>Tymovirus ononis</t>
  </si>
  <si>
    <t>Tymovirus passiflorae</t>
  </si>
  <si>
    <t>Tymovirus petuniae</t>
  </si>
  <si>
    <t>Tymovirus physalis</t>
  </si>
  <si>
    <t>Tymovirus plantagonis</t>
  </si>
  <si>
    <t>Tymovirus quitoense</t>
  </si>
  <si>
    <t>Tymovirus scrophulariae</t>
  </si>
  <si>
    <t>Tymovirus theobromatis</t>
  </si>
  <si>
    <t>Tymovirus voandzeiae</t>
  </si>
  <si>
    <t>Hepacivirus bovis</t>
  </si>
  <si>
    <t>Hepacivirus colobi</t>
  </si>
  <si>
    <t>Hepacivirus equi</t>
  </si>
  <si>
    <t>Hepacivirus glareoli</t>
  </si>
  <si>
    <t>Hepacivirus hominis</t>
  </si>
  <si>
    <t>Hepacivirus macronycteridis</t>
  </si>
  <si>
    <t>Hepacivirus myodae</t>
  </si>
  <si>
    <t>Hepacivirus norvegici</t>
  </si>
  <si>
    <t>Hepacivirus otomopis</t>
  </si>
  <si>
    <t>Hepacivirus peromysci</t>
  </si>
  <si>
    <t>Hepacivirus platyrrhini</t>
  </si>
  <si>
    <t>Hepacivirus ratti</t>
  </si>
  <si>
    <t>Hepacivirus rhabdomysis</t>
  </si>
  <si>
    <t>Hepacivirus vittatae</t>
  </si>
  <si>
    <t>Orthoflavivirus</t>
  </si>
  <si>
    <t>Orthoflavivirus apoiense</t>
  </si>
  <si>
    <t>Orthoflavivirus aroaense</t>
  </si>
  <si>
    <t>Orthoflavivirus bagazaense</t>
  </si>
  <si>
    <t>Orthoflavivirus banziense</t>
  </si>
  <si>
    <t>Orthoflavivirus boubouiense</t>
  </si>
  <si>
    <t>Orthoflavivirus bravoense</t>
  </si>
  <si>
    <t>Orthoflavivirus bukalasaense</t>
  </si>
  <si>
    <t>Orthoflavivirus cacipacoreense</t>
  </si>
  <si>
    <t>Orthoflavivirus careyense</t>
  </si>
  <si>
    <t>Orthoflavivirus cowboneense</t>
  </si>
  <si>
    <t>Orthoflavivirus dakarense</t>
  </si>
  <si>
    <t>Orthoflavivirus denguei</t>
  </si>
  <si>
    <t>Orthoflavivirus edgehillense</t>
  </si>
  <si>
    <t>Orthoflavivirus encephalitidis</t>
  </si>
  <si>
    <t>Orthoflavivirus entebbeense</t>
  </si>
  <si>
    <t>Orthoflavivirus flavi</t>
  </si>
  <si>
    <t>Orthoflavivirus gadgetsense</t>
  </si>
  <si>
    <t>Orthoflavivirus ilheusense</t>
  </si>
  <si>
    <t>Orthoflavivirus israelense</t>
  </si>
  <si>
    <t>Orthoflavivirus japonicum</t>
  </si>
  <si>
    <t>Orthoflavivirus jugraense</t>
  </si>
  <si>
    <t>Orthoflavivirus jutiapaense</t>
  </si>
  <si>
    <t>Orthoflavivirus kadamense</t>
  </si>
  <si>
    <t>Orthoflavivirus kedougouense</t>
  </si>
  <si>
    <t>Orthoflavivirus kokoberaorum</t>
  </si>
  <si>
    <t>Orthoflavivirus koutangoense</t>
  </si>
  <si>
    <t>Orthoflavivirus kyasanurense</t>
  </si>
  <si>
    <t>Orthoflavivirus langatense</t>
  </si>
  <si>
    <t>Orthoflavivirus louisense</t>
  </si>
  <si>
    <t>Orthoflavivirus loupingi</t>
  </si>
  <si>
    <t>Orthoflavivirus meabanense</t>
  </si>
  <si>
    <t>Orthoflavivirus modocense</t>
  </si>
  <si>
    <t>Orthoflavivirus montanaense</t>
  </si>
  <si>
    <t>Orthoflavivirus murrayense</t>
  </si>
  <si>
    <t>Orthoflavivirus nilense</t>
  </si>
  <si>
    <t>Orthoflavivirus ntayaense</t>
  </si>
  <si>
    <t>Orthoflavivirus omskense</t>
  </si>
  <si>
    <t>Orthoflavivirus perlitaense</t>
  </si>
  <si>
    <t>Orthoflavivirus phnompenhense</t>
  </si>
  <si>
    <t>Orthoflavivirus powassanense</t>
  </si>
  <si>
    <t>Orthoflavivirus royalense</t>
  </si>
  <si>
    <t>Orthoflavivirus saboyaense</t>
  </si>
  <si>
    <t>Orthoflavivirus saumarezense</t>
  </si>
  <si>
    <t>Orthoflavivirus sepikense</t>
  </si>
  <si>
    <t>Orthoflavivirus tembusu</t>
  </si>
  <si>
    <t>Orthoflavivirus tyuleniyense</t>
  </si>
  <si>
    <t>Orthoflavivirus ugandaense</t>
  </si>
  <si>
    <t>Orthoflavivirus usutuense</t>
  </si>
  <si>
    <t>Orthoflavivirus viejaense</t>
  </si>
  <si>
    <t>Orthoflavivirus wesselsbronense</t>
  </si>
  <si>
    <t>Orthoflavivirus yaoundeense</t>
  </si>
  <si>
    <t>Orthoflavivirus yokoseense</t>
  </si>
  <si>
    <t>Orthoflavivirus zikaense</t>
  </si>
  <si>
    <t>Pegivirus caballi</t>
  </si>
  <si>
    <t>Pegivirus carolliae</t>
  </si>
  <si>
    <t>Pegivirus columbiaense</t>
  </si>
  <si>
    <t>Pegivirus equi</t>
  </si>
  <si>
    <t>Pegivirus hominis</t>
  </si>
  <si>
    <t>Pegivirus neotomae</t>
  </si>
  <si>
    <t>Pegivirus platyrrhini</t>
  </si>
  <si>
    <t>Pegivirus pteropi</t>
  </si>
  <si>
    <t>Pegivirus scotophili</t>
  </si>
  <si>
    <t>Pegivirus sturnirae</t>
  </si>
  <si>
    <t>Pegivirus suis</t>
  </si>
  <si>
    <t>Pestivirus antilocaprae</t>
  </si>
  <si>
    <t>Pestivirus australiaense</t>
  </si>
  <si>
    <t>Pestivirus aydinense</t>
  </si>
  <si>
    <t>Pestivirus bovis</t>
  </si>
  <si>
    <t>Pestivirus brazilense</t>
  </si>
  <si>
    <t>Pestivirus giraffae</t>
  </si>
  <si>
    <t>Pestivirus L</t>
  </si>
  <si>
    <t>Pestivirus M</t>
  </si>
  <si>
    <t>Pestivirus N</t>
  </si>
  <si>
    <t>Pestivirus O</t>
  </si>
  <si>
    <t>Pestivirus ovis</t>
  </si>
  <si>
    <t>Pestivirus P</t>
  </si>
  <si>
    <t>Pestivirus Q</t>
  </si>
  <si>
    <t>Pestivirus R</t>
  </si>
  <si>
    <t>Pestivirus ratti</t>
  </si>
  <si>
    <t>Pestivirus S</t>
  </si>
  <si>
    <t>Pestivirus scrofae</t>
  </si>
  <si>
    <t>Pestivirus suis</t>
  </si>
  <si>
    <t>Pestivirus tauri</t>
  </si>
  <si>
    <t>Umbravirus arachidis</t>
  </si>
  <si>
    <t>Umbravirus carotae</t>
  </si>
  <si>
    <t>Umbravirus ethiopiaense</t>
  </si>
  <si>
    <t>Umbravirus ixeridii</t>
  </si>
  <si>
    <t>Umbravirus lactucae</t>
  </si>
  <si>
    <t>Umbravirus maculacarotae</t>
  </si>
  <si>
    <t>Umbravirus maculae</t>
  </si>
  <si>
    <t>Umbravirus nicotianae</t>
  </si>
  <si>
    <t>Umbravirus papaveri</t>
  </si>
  <si>
    <t>Umbravirus patriniae</t>
  </si>
  <si>
    <t>Umbravirus pisi</t>
  </si>
  <si>
    <t>Alphacarmovirus adonis</t>
  </si>
  <si>
    <t>Alphacarmovirus angeloniae</t>
  </si>
  <si>
    <t>Alphacarmovirus cacti</t>
  </si>
  <si>
    <t>Alphacarmovirus calibrachoae</t>
  </si>
  <si>
    <t>Alphacarmovirus dianthi</t>
  </si>
  <si>
    <t>Alphacarmovirus lonicerae</t>
  </si>
  <si>
    <t>Alphacarmovirus lupini</t>
  </si>
  <si>
    <t>Alphacarmovirus pelargonii</t>
  </si>
  <si>
    <t>Alphanecrovirus nicotianae</t>
  </si>
  <si>
    <t>Alphanecrovirus oleae</t>
  </si>
  <si>
    <t>Alphanecrovirus solani</t>
  </si>
  <si>
    <t>Alphanecrovirus tessellati</t>
  </si>
  <si>
    <t>Aureusvirus aurei</t>
  </si>
  <si>
    <t>Aureusvirus cucumis</t>
  </si>
  <si>
    <t>Aureusvirus dioscoreae</t>
  </si>
  <si>
    <t>Aureusvirus sambuci</t>
  </si>
  <si>
    <t>Aureusvirus sorghi</t>
  </si>
  <si>
    <t>Aureusvirus zeae</t>
  </si>
  <si>
    <t>Avenavirus avenae</t>
  </si>
  <si>
    <t>Betacarmovirus brassicae</t>
  </si>
  <si>
    <t>Betacarmovirus cardaminis</t>
  </si>
  <si>
    <t>Betacarmovirus hibisci</t>
  </si>
  <si>
    <t>Betacarmovirus iridis</t>
  </si>
  <si>
    <t>Betanecrovirus betae</t>
  </si>
  <si>
    <t>Betanecrovirus nicotianae</t>
  </si>
  <si>
    <t>Betanecrovirus porri</t>
  </si>
  <si>
    <t>Gallantivirus galinsogae</t>
  </si>
  <si>
    <t>Gammacarmovirus glycinis</t>
  </si>
  <si>
    <t>Gammacarmovirus melonis</t>
  </si>
  <si>
    <t>Gammacarmovirus pisi</t>
  </si>
  <si>
    <t>Gammacarmovirus vignae</t>
  </si>
  <si>
    <t>Macanavirus furcraeae</t>
  </si>
  <si>
    <t>Machlomovirus zeae</t>
  </si>
  <si>
    <t>Panicovirus dactylis</t>
  </si>
  <si>
    <t>Panicovirus panici</t>
  </si>
  <si>
    <t>Panicovirus paspali</t>
  </si>
  <si>
    <t>Pelarspovirus anulopelargonii</t>
  </si>
  <si>
    <t>Pelarspovirus chloropelargonii</t>
  </si>
  <si>
    <t>Pelarspovirus clematis</t>
  </si>
  <si>
    <t>Pelarspovirus jasmini</t>
  </si>
  <si>
    <t>Pelarspovirus lineapelargonii</t>
  </si>
  <si>
    <t>Pelarspovirus rosae</t>
  </si>
  <si>
    <t>Pelarspovirus sambuci</t>
  </si>
  <si>
    <t>Pelarspovirus tessellati</t>
  </si>
  <si>
    <t>Tombusvirus algeriaense</t>
  </si>
  <si>
    <t>Tombusvirus bulgariaense</t>
  </si>
  <si>
    <t>Tombusvirus cucumis</t>
  </si>
  <si>
    <t>Tombusvirus cymbidii</t>
  </si>
  <si>
    <t>Tombusvirus cynarae</t>
  </si>
  <si>
    <t>Tombusvirus dianthi</t>
  </si>
  <si>
    <t>Tombusvirus havelfluminis</t>
  </si>
  <si>
    <t>Tombusvirus latofluminis</t>
  </si>
  <si>
    <t>Tombusvirus limonii</t>
  </si>
  <si>
    <t>Tombusvirus lycopersici</t>
  </si>
  <si>
    <t>Tombusvirus melongenae</t>
  </si>
  <si>
    <t>Tombusvirus moroccoense</t>
  </si>
  <si>
    <t>Tombusvirus neckarfluminis</t>
  </si>
  <si>
    <t>Tombusvirus necropelargonii</t>
  </si>
  <si>
    <t>Tombusvirus pelargonii</t>
  </si>
  <si>
    <t>Tombusvirus petuniae</t>
  </si>
  <si>
    <t>Tombusvirus siktefluminis</t>
  </si>
  <si>
    <t>Tralespevirus</t>
  </si>
  <si>
    <t>Tralespevirus gompholobii</t>
  </si>
  <si>
    <t>Tralespevirus lespedezae</t>
  </si>
  <si>
    <t>Zeavirus zeae</t>
  </si>
  <si>
    <t>Dianthovirus dianthi</t>
  </si>
  <si>
    <t>Dianthovirus meliloti</t>
  </si>
  <si>
    <t>Dianthovirus trifolii</t>
  </si>
  <si>
    <t>Luteovirus avii</t>
  </si>
  <si>
    <t>Luteovirus glycinis</t>
  </si>
  <si>
    <t>Luteovirus kerbihordei</t>
  </si>
  <si>
    <t>Luteovirus kertrihordei</t>
  </si>
  <si>
    <t>Luteovirus mali</t>
  </si>
  <si>
    <t>Luteovirus mavhordei</t>
  </si>
  <si>
    <t>Luteovirus nucipersicae</t>
  </si>
  <si>
    <t>Luteovirus pashordei</t>
  </si>
  <si>
    <t>Luteovirus pavhordei</t>
  </si>
  <si>
    <t>Luteovirus phaseoli</t>
  </si>
  <si>
    <t>Luteovirus rosae</t>
  </si>
  <si>
    <t>Luteovirus sociomali</t>
  </si>
  <si>
    <t>Luteovirus trifolii</t>
  </si>
  <si>
    <t>Duamitovirus</t>
  </si>
  <si>
    <t>Duamitovirus alal1</t>
  </si>
  <si>
    <t>Duamitovirus azfi1</t>
  </si>
  <si>
    <t>Duamitovirus bevu1</t>
  </si>
  <si>
    <t>Duamitovirus boci1</t>
  </si>
  <si>
    <t>Duamitovirus boci3</t>
  </si>
  <si>
    <t>Duamitovirus bodo1</t>
  </si>
  <si>
    <t>Duamitovirus busp1</t>
  </si>
  <si>
    <t>Duamitovirus casa1</t>
  </si>
  <si>
    <t>Duamitovirus cesp1</t>
  </si>
  <si>
    <t>Duamitovirus chqu1</t>
  </si>
  <si>
    <t>Duamitovirus clod1</t>
  </si>
  <si>
    <t>Duamitovirus crpa1</t>
  </si>
  <si>
    <t>Duamitovirus dapi1</t>
  </si>
  <si>
    <t>Duamitovirus epni1</t>
  </si>
  <si>
    <t>Duamitovirus fubo1</t>
  </si>
  <si>
    <t>Duamitovirus fupo3</t>
  </si>
  <si>
    <t>Duamitovirus fupo4</t>
  </si>
  <si>
    <t>Duamitovirus gima1</t>
  </si>
  <si>
    <t>Duamitovirus gima2</t>
  </si>
  <si>
    <t>Duamitovirus gima3</t>
  </si>
  <si>
    <t>Duamitovirus gima4</t>
  </si>
  <si>
    <t>Duamitovirus hean1</t>
  </si>
  <si>
    <t>Duamitovirus hean3</t>
  </si>
  <si>
    <t>Duamitovirus hepa3</t>
  </si>
  <si>
    <t>Duamitovirus hulu1</t>
  </si>
  <si>
    <t>Duamitovirus nepa1</t>
  </si>
  <si>
    <t>Duamitovirus nior1</t>
  </si>
  <si>
    <t>Duamitovirus opno1a</t>
  </si>
  <si>
    <t>Duamitovirus opno1b</t>
  </si>
  <si>
    <t>Duamitovirus opno1c</t>
  </si>
  <si>
    <t>Duamitovirus opno3a</t>
  </si>
  <si>
    <t>Duamitovirus opno3b</t>
  </si>
  <si>
    <t>Duamitovirus oxru1</t>
  </si>
  <si>
    <t>Duamitovirus peex1</t>
  </si>
  <si>
    <t>Duamitovirus rhce1</t>
  </si>
  <si>
    <t>Duamitovirus rhir1</t>
  </si>
  <si>
    <t>Duamitovirus rhso21</t>
  </si>
  <si>
    <t>Duamitovirus rhso25</t>
  </si>
  <si>
    <t>Duamitovirus rhso26</t>
  </si>
  <si>
    <t>Duamitovirus rhso27</t>
  </si>
  <si>
    <t>Duamitovirus rhso31</t>
  </si>
  <si>
    <t>Duamitovirus rhso32</t>
  </si>
  <si>
    <t>Duamitovirus rhso34</t>
  </si>
  <si>
    <t>Duamitovirus scho1</t>
  </si>
  <si>
    <t>Duamitovirus scni2</t>
  </si>
  <si>
    <t>Duamitovirus scsc3</t>
  </si>
  <si>
    <t>Duamitovirus scsc6</t>
  </si>
  <si>
    <t>Duamitovirus soch1</t>
  </si>
  <si>
    <t>Duamitovirus tuae1</t>
  </si>
  <si>
    <t>Kvaramitovirus</t>
  </si>
  <si>
    <t>Kvaramitovirus opno7</t>
  </si>
  <si>
    <t>Triamitovirus</t>
  </si>
  <si>
    <t>Triamitovirus cespA</t>
  </si>
  <si>
    <t>Triamitovirus gesu1</t>
  </si>
  <si>
    <t>Triamitovirus rhcl1</t>
  </si>
  <si>
    <t>Triamitovirus rhor1</t>
  </si>
  <si>
    <t>Triamitovirus rhso1</t>
  </si>
  <si>
    <t>Triamitovirus rhso23</t>
  </si>
  <si>
    <t>Triamitovirus rhso30</t>
  </si>
  <si>
    <t>Triamitovirus rhso39</t>
  </si>
  <si>
    <t>Triamitovirus tuex1</t>
  </si>
  <si>
    <t>Unuamitovirus</t>
  </si>
  <si>
    <t>Unuamitovirus agbi1</t>
  </si>
  <si>
    <t>Unuamitovirus alar1</t>
  </si>
  <si>
    <t>Unuamitovirus albr1</t>
  </si>
  <si>
    <t>Unuamitovirus boci2</t>
  </si>
  <si>
    <t>Unuamitovirus boci4</t>
  </si>
  <si>
    <t>Unuamitovirus crri1</t>
  </si>
  <si>
    <t>Unuamitovirus crri2</t>
  </si>
  <si>
    <t>Unuamitovirus crri3</t>
  </si>
  <si>
    <t>Unuamitovirus crri4</t>
  </si>
  <si>
    <t>Unuamitovirus crri5</t>
  </si>
  <si>
    <t>Unuamitovirus diru1</t>
  </si>
  <si>
    <t>Unuamitovirus enmu1</t>
  </si>
  <si>
    <t>Unuamitovirus enmu2</t>
  </si>
  <si>
    <t>Unuamitovirus enmu3</t>
  </si>
  <si>
    <t>Unuamitovirus enmu4</t>
  </si>
  <si>
    <t>Unuamitovirus enmu5</t>
  </si>
  <si>
    <t>Unuamitovirus enmu6</t>
  </si>
  <si>
    <t>Unuamitovirus enmu7</t>
  </si>
  <si>
    <t>Unuamitovirus enmu8</t>
  </si>
  <si>
    <t>Unuamitovirus fuan1</t>
  </si>
  <si>
    <t>Unuamitovirus fuci1</t>
  </si>
  <si>
    <t>Unuamitovirus fuci2</t>
  </si>
  <si>
    <t>Unuamitovirus fuco1</t>
  </si>
  <si>
    <t>Unuamitovirus fugl1</t>
  </si>
  <si>
    <t>Unuamitovirus fuox1</t>
  </si>
  <si>
    <t>Unuamitovirus fupo1</t>
  </si>
  <si>
    <t>Unuamitovirus fupo2</t>
  </si>
  <si>
    <t>Unuamitovirus fuve1</t>
  </si>
  <si>
    <t>Unuamitovirus grab1</t>
  </si>
  <si>
    <t>Unuamitovirus grab2</t>
  </si>
  <si>
    <t>Unuamitovirus hean2</t>
  </si>
  <si>
    <t>Unuamitovirus hemo1</t>
  </si>
  <si>
    <t>Unuamitovirus hyal1</t>
  </si>
  <si>
    <t>Unuamitovirus hyfr1</t>
  </si>
  <si>
    <t>Unuamitovirus lebi1</t>
  </si>
  <si>
    <t>Unuamitovirus nior2</t>
  </si>
  <si>
    <t>Unuamitovirus opno4</t>
  </si>
  <si>
    <t>Unuamitovirus opno5</t>
  </si>
  <si>
    <t>Unuamitovirus opno6</t>
  </si>
  <si>
    <t>Unuamitovirus pust1</t>
  </si>
  <si>
    <t>Unuamitovirus scni1</t>
  </si>
  <si>
    <t>Unuamitovirus scsc1</t>
  </si>
  <si>
    <t>Unuamitovirus scsc2</t>
  </si>
  <si>
    <t>Unuamitovirus scsc4</t>
  </si>
  <si>
    <t>Unuamitovirus scsc7</t>
  </si>
  <si>
    <t>Unuamitovirus thba1</t>
  </si>
  <si>
    <t>Betabotoulivirus</t>
  </si>
  <si>
    <t>Betabotoulivirus alphaplasmoparae</t>
  </si>
  <si>
    <t>Betabotoulivirus betaplasmoparae</t>
  </si>
  <si>
    <t>Betabotoulivirus deltaplasmoparae</t>
  </si>
  <si>
    <t>Betabotoulivirus entoleucae</t>
  </si>
  <si>
    <t>Betabotoulivirus epsilonplasmoparae</t>
  </si>
  <si>
    <t>Betabotoulivirus etaplasmoparae</t>
  </si>
  <si>
    <t>Betabotoulivirus gammaplasmoparae</t>
  </si>
  <si>
    <t>Betabotoulivirus phaeoacremonium</t>
  </si>
  <si>
    <t>Betabotoulivirus thetaplasmoparae</t>
  </si>
  <si>
    <t>Betabotoulivirus zetaplasmoparae</t>
  </si>
  <si>
    <t>Betarhizoulivirus</t>
  </si>
  <si>
    <t>Betarhizoulivirus alphamellea</t>
  </si>
  <si>
    <t>Betarhizoulivirus solani</t>
  </si>
  <si>
    <t>Betascleroulivirus</t>
  </si>
  <si>
    <t>Betascleroulivirus alphaplasmoparae</t>
  </si>
  <si>
    <t>Betascleroulivirus betaplasmoparae</t>
  </si>
  <si>
    <t>Betascleroulivirus botrytidis</t>
  </si>
  <si>
    <t>Betascleroulivirus deltaplasmoparae</t>
  </si>
  <si>
    <t>Betascleroulivirus epsilonplasmoparae</t>
  </si>
  <si>
    <t>Betascleroulivirus etaplasmoparae</t>
  </si>
  <si>
    <t>Betascleroulivirus gammaplasmoparae</t>
  </si>
  <si>
    <t>Betascleroulivirus iotaplasmoparae</t>
  </si>
  <si>
    <t>Betascleroulivirus kappaplasmoparae</t>
  </si>
  <si>
    <t>Betascleroulivirus lambdaplasmoparae</t>
  </si>
  <si>
    <t>Betascleroulivirus miplasmoparae</t>
  </si>
  <si>
    <t>Betascleroulivirus pyriculariae</t>
  </si>
  <si>
    <t>Betascleroulivirus thetaplasmoparae</t>
  </si>
  <si>
    <t>Betascleroulivirus zetaplasmoparae</t>
  </si>
  <si>
    <t>Botoulivirus alphabotrytidis</t>
  </si>
  <si>
    <t>Botoulivirus alphapestalotiopsis</t>
  </si>
  <si>
    <t>Botoulivirus alphaplasmoparae</t>
  </si>
  <si>
    <t>Botoulivirus betabotrytidis</t>
  </si>
  <si>
    <t>Botoulivirus betaplasmoparae</t>
  </si>
  <si>
    <t>Botoulivirus deltabotrytidis</t>
  </si>
  <si>
    <t>Botoulivirus deltaplasmoparae</t>
  </si>
  <si>
    <t>Botoulivirus epsilonbotrytidis</t>
  </si>
  <si>
    <t>Botoulivirus epsilonplasmoparae</t>
  </si>
  <si>
    <t>Botoulivirus etabotrytidis</t>
  </si>
  <si>
    <t>Botoulivirus etaplasmoparae</t>
  </si>
  <si>
    <t>Botoulivirus gammabotrytidis</t>
  </si>
  <si>
    <t>Botoulivirus gammaplasmoparae</t>
  </si>
  <si>
    <t>Botoulivirus iotabotrytidis</t>
  </si>
  <si>
    <t>Botoulivirus kappabotrytidis</t>
  </si>
  <si>
    <t>Botoulivirus thetabotrytidis</t>
  </si>
  <si>
    <t>Botoulivirus zetabotrytidis</t>
  </si>
  <si>
    <t>Botoulivirus zetaplasmoparae</t>
  </si>
  <si>
    <t>Deltascleroulivirus</t>
  </si>
  <si>
    <t>Deltascleroulivirus alphaplasmoparae</t>
  </si>
  <si>
    <t>Deltascleroulivirus betaplasmoparae</t>
  </si>
  <si>
    <t>Deltascleroulivirus botrytidis</t>
  </si>
  <si>
    <t>Epsilonscleroulivirus</t>
  </si>
  <si>
    <t>Epsilonscleroulivirus alphaoryzae</t>
  </si>
  <si>
    <t>Epsilonscleroulivirus plasmoparae</t>
  </si>
  <si>
    <t>Gammascleroulivirus</t>
  </si>
  <si>
    <t>Gammascleroulivirus alphaoryzae</t>
  </si>
  <si>
    <t>Gammascleroulivirus alphaplasmoparae</t>
  </si>
  <si>
    <t>Gammascleroulivirus betaplasmoparae</t>
  </si>
  <si>
    <t>Magoulivirus alphabotrytidis</t>
  </si>
  <si>
    <t>Magoulivirus alphaheterobasidion</t>
  </si>
  <si>
    <t>Magoulivirus alphamacrophominae</t>
  </si>
  <si>
    <t>Magoulivirus alphamellea</t>
  </si>
  <si>
    <t>Magoulivirus alphaodothidea</t>
  </si>
  <si>
    <t>Magoulivirus alphaoryzae</t>
  </si>
  <si>
    <t>Magoulivirus alphaoxyspori</t>
  </si>
  <si>
    <t>Magoulivirus alphaplasmoparae</t>
  </si>
  <si>
    <t>Magoulivirus betabotrytidis</t>
  </si>
  <si>
    <t>Magoulivirus betamacrophominae</t>
  </si>
  <si>
    <t>Magoulivirus betaplasmoparae</t>
  </si>
  <si>
    <t>Magoulivirus deltaplasmoparae</t>
  </si>
  <si>
    <t>Magoulivirus epsilonplasmoparae</t>
  </si>
  <si>
    <t>Magoulivirus etaplasmoparae</t>
  </si>
  <si>
    <t>Magoulivirus fiplasmoparae</t>
  </si>
  <si>
    <t>Magoulivirus gammaplasmoparae</t>
  </si>
  <si>
    <t>Magoulivirus iotaplasmoparae</t>
  </si>
  <si>
    <t>Magoulivirus ipsilonplasmoparae</t>
  </si>
  <si>
    <t>Magoulivirus jiplasmoparae</t>
  </si>
  <si>
    <t>Magoulivirus kappaplasmoparae</t>
  </si>
  <si>
    <t>Magoulivirus lambdaplasmoparae</t>
  </si>
  <si>
    <t>Magoulivirus malus</t>
  </si>
  <si>
    <t>Magoulivirus miplasmoparae</t>
  </si>
  <si>
    <t>Magoulivirus niplasmoparae</t>
  </si>
  <si>
    <t>Magoulivirus omegaplasmoparae</t>
  </si>
  <si>
    <t>Magoulivirus omicronplasmoparae</t>
  </si>
  <si>
    <t>Magoulivirus piplasmoparae</t>
  </si>
  <si>
    <t>Magoulivirus psiplasmoparae</t>
  </si>
  <si>
    <t>Magoulivirus rhoplasmoparae</t>
  </si>
  <si>
    <t>Magoulivirus sigmaplasmoparae</t>
  </si>
  <si>
    <t>Magoulivirus tauplasmoparae</t>
  </si>
  <si>
    <t>Magoulivirus thetaplasmoparae</t>
  </si>
  <si>
    <t>Magoulivirus viticolae</t>
  </si>
  <si>
    <t>Magoulivirus xiplasmoparae</t>
  </si>
  <si>
    <t>Magoulivirus zetaplasmoparae</t>
  </si>
  <si>
    <t>Penoulivirus alphabotrytidis</t>
  </si>
  <si>
    <t>Penoulivirus alphaerysiphe</t>
  </si>
  <si>
    <t>Penoulivirus alphaoryzae</t>
  </si>
  <si>
    <t>Penoulivirus alphaplasmoparae</t>
  </si>
  <si>
    <t>Penoulivirus betabotrytidis</t>
  </si>
  <si>
    <t>Penoulivirus betaplasmoparae</t>
  </si>
  <si>
    <t>Penoulivirus deltaplasmoparae</t>
  </si>
  <si>
    <t>Penoulivirus epsilonplasmoparae</t>
  </si>
  <si>
    <t>Penoulivirus etaplasmoparae</t>
  </si>
  <si>
    <t>Penoulivirus gammabotrytidis</t>
  </si>
  <si>
    <t>Penoulivirus gammaplasmoparae</t>
  </si>
  <si>
    <t>Penoulivirus iotaplasmoparae</t>
  </si>
  <si>
    <t>Penoulivirus macrophominae</t>
  </si>
  <si>
    <t>Penoulivirus malus</t>
  </si>
  <si>
    <t>Penoulivirus thetaplasmoparae</t>
  </si>
  <si>
    <t>Penoulivirus zetaplasmoparae</t>
  </si>
  <si>
    <t>Rhizoulivirus alpharhizoctoniae</t>
  </si>
  <si>
    <t>Rhizoulivirus betarhizoctoniae</t>
  </si>
  <si>
    <t>Rhizoulivirus gammarhizoctoniae</t>
  </si>
  <si>
    <t>Scleroulivirus alphaoryzae</t>
  </si>
  <si>
    <t>Scleroulivirus alphapestalotiopsis</t>
  </si>
  <si>
    <t>Scleroulivirus alphaplasmoparae</t>
  </si>
  <si>
    <t>Scleroulivirus betaplasmoparae</t>
  </si>
  <si>
    <t>Scleroulivirus deltaplasmoparae</t>
  </si>
  <si>
    <t>Scleroulivirus epsilonplasmoparae</t>
  </si>
  <si>
    <t>Scleroulivirus etaplasmoparae</t>
  </si>
  <si>
    <t>Scleroulivirus gammaplasmoparae</t>
  </si>
  <si>
    <t>Scleroulivirus iotaplasmoparae</t>
  </si>
  <si>
    <t>Scleroulivirus kappaplasmoparae</t>
  </si>
  <si>
    <t>Scleroulivirus lambdaplasmoparae</t>
  </si>
  <si>
    <t>Scleroulivirus miplasmoparae</t>
  </si>
  <si>
    <t>Scleroulivirus niplasmoparae</t>
  </si>
  <si>
    <t>Scleroulivirus oidiodendronae</t>
  </si>
  <si>
    <t>Scleroulivirus omicronplasmoparae</t>
  </si>
  <si>
    <t>Scleroulivirus piplasmoparae</t>
  </si>
  <si>
    <t>Scleroulivirus rhoplasmoparae</t>
  </si>
  <si>
    <t>Scleroulivirus sigmaplasmoparae</t>
  </si>
  <si>
    <t>Scleroulivirus thetaplasmoparae</t>
  </si>
  <si>
    <t>Scleroulivirus xiplasmoparae</t>
  </si>
  <si>
    <t>Scleroulivirus zetaplasmoparae</t>
  </si>
  <si>
    <t>Yingvirus beihaiense</t>
  </si>
  <si>
    <t>Yingvirus charybdis</t>
  </si>
  <si>
    <t>Yingvirus hubeiense</t>
  </si>
  <si>
    <t>Yingvirus sanxiaense</t>
  </si>
  <si>
    <t>Yingvirus shaheense</t>
  </si>
  <si>
    <t>Yingvirus wenzhouense</t>
  </si>
  <si>
    <t>Yingvirus wuhanense</t>
  </si>
  <si>
    <t>Yingvirus xinzhouense</t>
  </si>
  <si>
    <t>Ophiovirus citri</t>
  </si>
  <si>
    <t>Ophiovirus freesiae</t>
  </si>
  <si>
    <t>Ophiovirus lactucae</t>
  </si>
  <si>
    <t>Ophiovirus mirafioriense</t>
  </si>
  <si>
    <t>Ophiovirus ranunculi</t>
  </si>
  <si>
    <t>Ophiovirus tulipae</t>
  </si>
  <si>
    <t>Ophiovirus vaccinii</t>
  </si>
  <si>
    <t>Ollusvirus nomadae</t>
  </si>
  <si>
    <t>Ollusvirus oropsyllae</t>
  </si>
  <si>
    <t>Ollusvirus rhagoveliae</t>
  </si>
  <si>
    <t>Ollusvirus shayangense</t>
  </si>
  <si>
    <t>Mivirus belostomatis</t>
  </si>
  <si>
    <t>Nigecruvirus periplanetae</t>
  </si>
  <si>
    <t>Piscichuvirus craterocephali</t>
  </si>
  <si>
    <t>Rochuvirus</t>
  </si>
  <si>
    <t>Rochuvirus chalcocoris</t>
  </si>
  <si>
    <t>Scarabeuvirus supellae</t>
  </si>
  <si>
    <t>Scarabeuvirus trichopriae</t>
  </si>
  <si>
    <t>Vapochuvirus</t>
  </si>
  <si>
    <t>Vapochuvirus trialeurodis</t>
  </si>
  <si>
    <t>Hexartovirus cirripedis</t>
  </si>
  <si>
    <t>Hexartovirus lepeophtheiri</t>
  </si>
  <si>
    <t>Peropuvirus beihaiense</t>
  </si>
  <si>
    <t>Peropuvirus dentati</t>
  </si>
  <si>
    <t>Peropuvirus hubeiense</t>
  </si>
  <si>
    <t>Peropuvirus juli</t>
  </si>
  <si>
    <t>Peropuvirus lignarii</t>
  </si>
  <si>
    <t>Peropuvirus melongenae</t>
  </si>
  <si>
    <t>Peropuvirus pteromali</t>
  </si>
  <si>
    <t>Carbovirus queenslandense</t>
  </si>
  <si>
    <t>Carbovirus tapeti</t>
  </si>
  <si>
    <t>Cultervirus hemicultri</t>
  </si>
  <si>
    <t>Orthobornavirus alphapsittaciforme</t>
  </si>
  <si>
    <t>Orthobornavirus avisaquaticae</t>
  </si>
  <si>
    <t>Orthobornavirus betapsittaciforme</t>
  </si>
  <si>
    <t>Orthobornavirus bornaense</t>
  </si>
  <si>
    <t>Orthobornavirus caenophidiae</t>
  </si>
  <si>
    <t>Orthobornavirus elapsoideae</t>
  </si>
  <si>
    <t>Orthobornavirus estrildidae</t>
  </si>
  <si>
    <t>Orthobornavirus sciuri</t>
  </si>
  <si>
    <t>Orthobornavirus serini</t>
  </si>
  <si>
    <t>Cuevavirus lloviuense</t>
  </si>
  <si>
    <t>Dianlovirus menglaense</t>
  </si>
  <si>
    <t>Oblavirus</t>
  </si>
  <si>
    <t>Oblavirus percae</t>
  </si>
  <si>
    <t>Orthoebolavirus</t>
  </si>
  <si>
    <t>Orthoebolavirus bombaliense</t>
  </si>
  <si>
    <t>Orthoebolavirus bundibugyoense</t>
  </si>
  <si>
    <t>Orthoebolavirus restonense</t>
  </si>
  <si>
    <t>Orthoebolavirus sudanense</t>
  </si>
  <si>
    <t>Orthoebolavirus taiense</t>
  </si>
  <si>
    <t>Orthoebolavirus zairense</t>
  </si>
  <si>
    <t>Orthomarburgvirus</t>
  </si>
  <si>
    <t>Orthomarburgvirus marburgense</t>
  </si>
  <si>
    <t>Striavirus antennarii</t>
  </si>
  <si>
    <t>Tapjovirus</t>
  </si>
  <si>
    <t>Tapjovirus bothropis</t>
  </si>
  <si>
    <t>Thamnovirus kanderense</t>
  </si>
  <si>
    <t>Thamnovirus percae</t>
  </si>
  <si>
    <t>Thamnovirus thamnaconi</t>
  </si>
  <si>
    <t>Acridvirus</t>
  </si>
  <si>
    <t>Acridvirus hangzhouense</t>
  </si>
  <si>
    <t>Aleyavirus</t>
  </si>
  <si>
    <t>Aleyavirus fuyangense</t>
  </si>
  <si>
    <t>Aleybvirus</t>
  </si>
  <si>
    <t>Aleybvirus fuyangense</t>
  </si>
  <si>
    <t>Anicalvirus</t>
  </si>
  <si>
    <t>Anicalvirus hangzhouense</t>
  </si>
  <si>
    <t>Anidravirus</t>
  </si>
  <si>
    <t>Anidravirus hangzhouense</t>
  </si>
  <si>
    <t>Aranavirus</t>
  </si>
  <si>
    <t>Aranavirus guiyangense</t>
  </si>
  <si>
    <t>Aranbvirus</t>
  </si>
  <si>
    <t>Aranbvirus guiyangense</t>
  </si>
  <si>
    <t>Arlivirus arachnae</t>
  </si>
  <si>
    <t>Arlivirus hangzhouense</t>
  </si>
  <si>
    <t>Arlivirus ningboense</t>
  </si>
  <si>
    <t>Avesvirus</t>
  </si>
  <si>
    <t>Avesvirus sinense</t>
  </si>
  <si>
    <t>Copasivirus</t>
  </si>
  <si>
    <t>Copasivirus ivindoense</t>
  </si>
  <si>
    <t>Copasivirus manlyvaleense</t>
  </si>
  <si>
    <t>Cybitervirus</t>
  </si>
  <si>
    <t>Cybitervirus niederense</t>
  </si>
  <si>
    <t>Damravirus</t>
  </si>
  <si>
    <t>Damravirus dentatis</t>
  </si>
  <si>
    <t>Damravirus fushunense</t>
  </si>
  <si>
    <t>Ganiavirus</t>
  </si>
  <si>
    <t>Ganiavirus tachengense</t>
  </si>
  <si>
    <t>Hemipvirus</t>
  </si>
  <si>
    <t>Hemipvirus scuti</t>
  </si>
  <si>
    <t>Hemipvirus veri</t>
  </si>
  <si>
    <t>Leocovirus</t>
  </si>
  <si>
    <t>Leocovirus coleopteris</t>
  </si>
  <si>
    <t>Nematovirus</t>
  </si>
  <si>
    <t>Nematovirus wuchangense</t>
  </si>
  <si>
    <t>Phelinovirus</t>
  </si>
  <si>
    <t>Phelinovirus aphidis</t>
  </si>
  <si>
    <t>Rivapovirus</t>
  </si>
  <si>
    <t>Rivapovirus aleyrodidae</t>
  </si>
  <si>
    <t>Sanstrivirus</t>
  </si>
  <si>
    <t>Sanstrivirus gerridis</t>
  </si>
  <si>
    <t>Stylovirus</t>
  </si>
  <si>
    <t>Stylovirus niederense</t>
  </si>
  <si>
    <t>Supelovirus</t>
  </si>
  <si>
    <t>Supelovirus thailandense</t>
  </si>
  <si>
    <t>Synelinevirus</t>
  </si>
  <si>
    <t>Synelinevirus bonnense</t>
  </si>
  <si>
    <t>Synelinevirus paranaense</t>
  </si>
  <si>
    <t>Usmuvirus</t>
  </si>
  <si>
    <t>Usmuvirus newyorkense</t>
  </si>
  <si>
    <t>Xenophyvirus</t>
  </si>
  <si>
    <t>Xenophyvirus mathesonense</t>
  </si>
  <si>
    <t>Auricularimonavirus armillariae</t>
  </si>
  <si>
    <t>Auricularimonavirus bondarzewiae</t>
  </si>
  <si>
    <t>Botrytimonavirus alphabotrytidis</t>
  </si>
  <si>
    <t>Hubramonavirus fusarii</t>
  </si>
  <si>
    <t>Hubramonavirus golovinomycesae</t>
  </si>
  <si>
    <t>Hubramonavirus vitis</t>
  </si>
  <si>
    <t>Lentimonavirus armillariae</t>
  </si>
  <si>
    <t>Penicillimonavirus alphaerysiphe</t>
  </si>
  <si>
    <t>Penicillimonavirus betaerysiphe</t>
  </si>
  <si>
    <t>Penicillimonavirus gammaerysiphe</t>
  </si>
  <si>
    <t>Penicillimonavirus magnaporthe</t>
  </si>
  <si>
    <t>Plasmopamonavirus erysiphe</t>
  </si>
  <si>
    <t>Sclerotimonavirus alphabotrytidis</t>
  </si>
  <si>
    <t>Sclerotimonavirus asiafusarii</t>
  </si>
  <si>
    <t>Sclerotimonavirus betabotrytidis</t>
  </si>
  <si>
    <t>Sclerotimonavirus cryphonectriae</t>
  </si>
  <si>
    <t>Sclerotimonavirus xinjiangense</t>
  </si>
  <si>
    <t>Sclerotimonavirus yunnanense</t>
  </si>
  <si>
    <t>Berhavirus beihaiense</t>
  </si>
  <si>
    <t>Berhavirus radialis</t>
  </si>
  <si>
    <t>Berhavirus sipunculi</t>
  </si>
  <si>
    <t>Crustavirus beihaiense</t>
  </si>
  <si>
    <t>Crustavirus wenlingense</t>
  </si>
  <si>
    <t>Crustavirus wenzhouense</t>
  </si>
  <si>
    <t>Formivirus angliae</t>
  </si>
  <si>
    <t>Formivirus chalybii</t>
  </si>
  <si>
    <t>Formivirus finnoniae</t>
  </si>
  <si>
    <t>Formivirus gorytis</t>
  </si>
  <si>
    <t>Formivirus pollinis</t>
  </si>
  <si>
    <t>Formivirus solenopsi</t>
  </si>
  <si>
    <t>Nyavirus argatis</t>
  </si>
  <si>
    <t>Nyavirus midwayense</t>
  </si>
  <si>
    <t>Nyavirus nyamaniniense</t>
  </si>
  <si>
    <t>Nyavirus sanjacintoense</t>
  </si>
  <si>
    <t>Nyavirus sierranevadaense</t>
  </si>
  <si>
    <t>Nyavirus somateriae</t>
  </si>
  <si>
    <t>Orinovirus pasiphilae</t>
  </si>
  <si>
    <t>Orinovirus sanyae</t>
  </si>
  <si>
    <t>Socyvirus heteroderae</t>
  </si>
  <si>
    <t>Tapwovirus cesti</t>
  </si>
  <si>
    <t>Metaavulavirus delawarense</t>
  </si>
  <si>
    <t>Metaavulavirus falklandense</t>
  </si>
  <si>
    <t>Metaavulavirus galliense</t>
  </si>
  <si>
    <t>Metaavulavirus hongkongense</t>
  </si>
  <si>
    <t>Metaavulavirus japanense</t>
  </si>
  <si>
    <t>Metaavulavirus kazakhstanense</t>
  </si>
  <si>
    <t>Metaavulavirus kunitachiense</t>
  </si>
  <si>
    <t>Metaavulavirus peixense</t>
  </si>
  <si>
    <t>Metaavulavirus taiwanense</t>
  </si>
  <si>
    <t>Metaavulavirus tennessense</t>
  </si>
  <si>
    <t>Metaavulavirus yucaipaense</t>
  </si>
  <si>
    <t>Orthoavulavirus borisense</t>
  </si>
  <si>
    <t>Orthoavulavirus italiense</t>
  </si>
  <si>
    <t>Orthoavulavirus japanense</t>
  </si>
  <si>
    <t>Orthoavulavirus javaense</t>
  </si>
  <si>
    <t>Orthoavulavirus kopaiticense</t>
  </si>
  <si>
    <t>Orthoavulavirus koreaense</t>
  </si>
  <si>
    <t>Orthoavulavirus newyorkense</t>
  </si>
  <si>
    <t>Orthoavulavirus oneillense</t>
  </si>
  <si>
    <t>Orthoavulavirus upoense</t>
  </si>
  <si>
    <t>Paraavulavirus hongkongense</t>
  </si>
  <si>
    <t>Paraavulavirus wisconsinense</t>
  </si>
  <si>
    <t>Synodonvirus synodi</t>
  </si>
  <si>
    <t>Aquaparamyxovirus oregonense</t>
  </si>
  <si>
    <t>Aquaparamyxovirus salmonis</t>
  </si>
  <si>
    <t>Ferlavirus reptilis</t>
  </si>
  <si>
    <t>Henipavirus cedarense</t>
  </si>
  <si>
    <t>Henipavirus ghanaense</t>
  </si>
  <si>
    <t>Henipavirus hendraense</t>
  </si>
  <si>
    <t>Henipavirus mojiangense</t>
  </si>
  <si>
    <t>Henipavirus nipahense</t>
  </si>
  <si>
    <t>Jeilongvirus anhuiense</t>
  </si>
  <si>
    <t>Jeilongvirus apodemi</t>
  </si>
  <si>
    <t>Jeilongvirus beilongi</t>
  </si>
  <si>
    <t>Jeilongvirus comorosense</t>
  </si>
  <si>
    <t>Jeilongvirus erinacei</t>
  </si>
  <si>
    <t>Jeilongvirus felis</t>
  </si>
  <si>
    <t>Jeilongvirus lophuromysis</t>
  </si>
  <si>
    <t>Jeilongvirus mabuense</t>
  </si>
  <si>
    <t>Jeilongvirus madagascarense</t>
  </si>
  <si>
    <t>Jeilongvirus miniopteri</t>
  </si>
  <si>
    <t>Jeilongvirus murinae</t>
  </si>
  <si>
    <t>Jeilongvirus myodesis</t>
  </si>
  <si>
    <t>Jeilongvirus queenslandense</t>
  </si>
  <si>
    <t>Jeilongvirus rungweense</t>
  </si>
  <si>
    <t>Jeilongvirus tailamense</t>
  </si>
  <si>
    <t>Morbillivirus canis</t>
  </si>
  <si>
    <t>Morbillivirus caprinae</t>
  </si>
  <si>
    <t>Morbillivirus ceti</t>
  </si>
  <si>
    <t>Morbillivirus felis</t>
  </si>
  <si>
    <t>Morbillivirus hominis</t>
  </si>
  <si>
    <t>Morbillivirus pecoris</t>
  </si>
  <si>
    <t>Morbillivirus phocae</t>
  </si>
  <si>
    <t>Narmovirus mossmanense</t>
  </si>
  <si>
    <t>Narmovirus myodesis</t>
  </si>
  <si>
    <t>Narmovirus narivaense</t>
  </si>
  <si>
    <t>Narmovirus tupaiae</t>
  </si>
  <si>
    <t>Respirovirus bovis</t>
  </si>
  <si>
    <t>Respirovirus caprae</t>
  </si>
  <si>
    <t>Respirovirus laryngotracheitidis</t>
  </si>
  <si>
    <t>Respirovirus muris</t>
  </si>
  <si>
    <t>Respirovirus pneumoniae</t>
  </si>
  <si>
    <t>Respirovirus ratufae</t>
  </si>
  <si>
    <t>Respirovirus suis</t>
  </si>
  <si>
    <t>Salemvirus salemense</t>
  </si>
  <si>
    <t>Orthorubulavirus alstonvillense</t>
  </si>
  <si>
    <t>Orthorubulavirus hominis</t>
  </si>
  <si>
    <t>Orthorubulavirus laryngotracheitidis</t>
  </si>
  <si>
    <t>Orthorubulavirus mammalis</t>
  </si>
  <si>
    <t>Orthorubulavirus mapueraense</t>
  </si>
  <si>
    <t>Orthorubulavirus parotitidis</t>
  </si>
  <si>
    <t>Orthorubulavirus simiae</t>
  </si>
  <si>
    <t>Orthorubulavirus suis</t>
  </si>
  <si>
    <t>Pararubulavirus accraense</t>
  </si>
  <si>
    <t>Pararubulavirus achimotaense</t>
  </si>
  <si>
    <t>Pararubulavirus cantonense</t>
  </si>
  <si>
    <t>Pararubulavirus guangdongense</t>
  </si>
  <si>
    <t>Pararubulavirus herveyense</t>
  </si>
  <si>
    <t>Pararubulavirus hongkongi</t>
  </si>
  <si>
    <t>Pararubulavirus menangleense</t>
  </si>
  <si>
    <t>Pararubulavirus sosugaense</t>
  </si>
  <si>
    <t>Pararubulavirus teviotense</t>
  </si>
  <si>
    <t>Pararubulavirus tiomanense</t>
  </si>
  <si>
    <t>Cynoglossusvirus cynoglossi</t>
  </si>
  <si>
    <t>Hoplichthysvirus hoplichthysis</t>
  </si>
  <si>
    <t>Scoliodonvirus scoliodontis</t>
  </si>
  <si>
    <t>Metapneumovirus avis</t>
  </si>
  <si>
    <t>Metapneumovirus hominis</t>
  </si>
  <si>
    <t>Orthopneumovirus bovis</t>
  </si>
  <si>
    <t>Orthopneumovirus hominis</t>
  </si>
  <si>
    <t>Orthopneumovirus muris</t>
  </si>
  <si>
    <t>Almendravirus almendras</t>
  </si>
  <si>
    <t>Almendravirus arboretum</t>
  </si>
  <si>
    <t>Almendravirus balsa</t>
  </si>
  <si>
    <t>Almendravirus chico</t>
  </si>
  <si>
    <t>Almendravirus cootbay</t>
  </si>
  <si>
    <t>Almendravirus menghai</t>
  </si>
  <si>
    <t>Almendravirus xianshan</t>
  </si>
  <si>
    <t>Alphanemrhavirus bangkok</t>
  </si>
  <si>
    <t>Alphanemrhavirus sodak</t>
  </si>
  <si>
    <t>Alphanemrhavirus xingshan</t>
  </si>
  <si>
    <t>Alphanemrhavirus xinzhou</t>
  </si>
  <si>
    <t>Alphapaprhavirus hubei</t>
  </si>
  <si>
    <t>Alphapaprhavirus pararge</t>
  </si>
  <si>
    <t>Alpharicinrhavirus blanchseco</t>
  </si>
  <si>
    <t>Alpharicinrhavirus bole</t>
  </si>
  <si>
    <t>Alpharicinrhavirus hubei</t>
  </si>
  <si>
    <t>Alpharicinrhavirus wuhan</t>
  </si>
  <si>
    <t>Amplylivirus</t>
  </si>
  <si>
    <t>Amplylivirus cinereus</t>
  </si>
  <si>
    <t>Arurhavirus aruac</t>
  </si>
  <si>
    <t>Arurhavirus inhangapi</t>
  </si>
  <si>
    <t>Arurhavirus santabarbara</t>
  </si>
  <si>
    <t>Arurhavirus xiburema</t>
  </si>
  <si>
    <t>Barhavirus bahia</t>
  </si>
  <si>
    <t>Barhavirus muir</t>
  </si>
  <si>
    <t>Caligrhavirus caligus</t>
  </si>
  <si>
    <t>Caligrhavirus lepeophtheirus</t>
  </si>
  <si>
    <t>Caligrhavirus salmonlouse</t>
  </si>
  <si>
    <t>Cetarhavirus</t>
  </si>
  <si>
    <t>Cetarhavirus laganorhynchus</t>
  </si>
  <si>
    <t>Cetarhavirus phocoena</t>
  </si>
  <si>
    <t>Curiovirus curionopolis</t>
  </si>
  <si>
    <t>Curiovirus iriri</t>
  </si>
  <si>
    <t>Curiovirus itacaiunas</t>
  </si>
  <si>
    <t>Curiovirus rochambeau</t>
  </si>
  <si>
    <t>Ephemerovirus adelaide</t>
  </si>
  <si>
    <t>Ephemerovirus berrimah</t>
  </si>
  <si>
    <t>Ephemerovirus febris</t>
  </si>
  <si>
    <t>Ephemerovirus guangdong</t>
  </si>
  <si>
    <t>Ephemerovirus hayes</t>
  </si>
  <si>
    <t>Ephemerovirus henan</t>
  </si>
  <si>
    <t>Ephemerovirus kent</t>
  </si>
  <si>
    <t>Ephemerovirus kimberley</t>
  </si>
  <si>
    <t>Ephemerovirus koolpinyah</t>
  </si>
  <si>
    <t>Ephemerovirus kotonkan</t>
  </si>
  <si>
    <t>Ephemerovirus obodhiang</t>
  </si>
  <si>
    <t>Ephemerovirus puchong</t>
  </si>
  <si>
    <t>Ephemerovirus yata</t>
  </si>
  <si>
    <t>Hapavirus bangoran</t>
  </si>
  <si>
    <t>Hapavirus flanders</t>
  </si>
  <si>
    <t>Hapavirus graylodge</t>
  </si>
  <si>
    <t>Hapavirus hartpark</t>
  </si>
  <si>
    <t>Hapavirus holmes</t>
  </si>
  <si>
    <t>Hapavirus joinjakaka</t>
  </si>
  <si>
    <t>Hapavirus kamese</t>
  </si>
  <si>
    <t>Hapavirus lajoya</t>
  </si>
  <si>
    <t>Hapavirus landjia</t>
  </si>
  <si>
    <t>Hapavirus manitoba</t>
  </si>
  <si>
    <t>Hapavirus marco</t>
  </si>
  <si>
    <t>Hapavirus mosqueiro</t>
  </si>
  <si>
    <t>Hapavirus mossuril</t>
  </si>
  <si>
    <t>Hapavirus ngaingan</t>
  </si>
  <si>
    <t>Hapavirus ord</t>
  </si>
  <si>
    <t>Hapavirus parry</t>
  </si>
  <si>
    <t>Hapavirus porton</t>
  </si>
  <si>
    <t>Hapavirus wongabel</t>
  </si>
  <si>
    <t>Ledantevirus barur</t>
  </si>
  <si>
    <t>Ledantevirus bughendera</t>
  </si>
  <si>
    <t>Ledantevirus elgon</t>
  </si>
  <si>
    <t>Ledantevirus fikirini</t>
  </si>
  <si>
    <t>Ledantevirus fukuoka</t>
  </si>
  <si>
    <t>Ledantevirus kanyawara</t>
  </si>
  <si>
    <t>Ledantevirus kern</t>
  </si>
  <si>
    <t>Ledantevirus keuraliba</t>
  </si>
  <si>
    <t>Ledantevirus kolente</t>
  </si>
  <si>
    <t>Ledantevirus kumasi</t>
  </si>
  <si>
    <t>Ledantevirus ledantec</t>
  </si>
  <si>
    <t>Ledantevirus longquan</t>
  </si>
  <si>
    <t>Ledantevirus nishimuro</t>
  </si>
  <si>
    <t>Ledantevirus nkolbisson</t>
  </si>
  <si>
    <t>Ledantevirus oita</t>
  </si>
  <si>
    <t>Ledantevirus taiyi</t>
  </si>
  <si>
    <t>Ledantevirus vaprio</t>
  </si>
  <si>
    <t>Ledantevirus wenzhou</t>
  </si>
  <si>
    <t>Ledantevirus wuhan</t>
  </si>
  <si>
    <t>Ledantevirus yongjia</t>
  </si>
  <si>
    <t>Lostrhavirus hyalomma</t>
  </si>
  <si>
    <t>Lostrhavirus lonestar</t>
  </si>
  <si>
    <t>Lyssavirus aravan</t>
  </si>
  <si>
    <t>Lyssavirus australis</t>
  </si>
  <si>
    <t>Lyssavirus bokeloh</t>
  </si>
  <si>
    <t>Lyssavirus caucasicus</t>
  </si>
  <si>
    <t>Lyssavirus duvenhage</t>
  </si>
  <si>
    <t>Lyssavirus formosa</t>
  </si>
  <si>
    <t>Lyssavirus gannoruwa</t>
  </si>
  <si>
    <t>Lyssavirus hamburg</t>
  </si>
  <si>
    <t>Lyssavirus helsinki</t>
  </si>
  <si>
    <t>Lyssavirus ikoma</t>
  </si>
  <si>
    <t>Lyssavirus irkut</t>
  </si>
  <si>
    <t>Lyssavirus khujand</t>
  </si>
  <si>
    <t>Lyssavirus lagos</t>
  </si>
  <si>
    <t>Lyssavirus lleida</t>
  </si>
  <si>
    <t>Lyssavirus mokola</t>
  </si>
  <si>
    <t>Lyssavirus rabies</t>
  </si>
  <si>
    <t>Lyssavirus shimoni</t>
  </si>
  <si>
    <t>Merhavirus merida</t>
  </si>
  <si>
    <t>Merhavirus tritaeniorhynchus</t>
  </si>
  <si>
    <t>Mousrhavirus moussa</t>
  </si>
  <si>
    <t>Ohlsrhavirus angeles</t>
  </si>
  <si>
    <t>Ohlsrhavirus culex</t>
  </si>
  <si>
    <t>Ohlsrhavirus lobeira</t>
  </si>
  <si>
    <t>Ohlsrhavirus northcreek</t>
  </si>
  <si>
    <t>Ohlsrhavirus ohlsdorf</t>
  </si>
  <si>
    <t>Ohlsrhavirus pseudovishnui</t>
  </si>
  <si>
    <t>Ohlsrhavirus riverside</t>
  </si>
  <si>
    <t>Ohlsrhavirus tongilchon</t>
  </si>
  <si>
    <t>Perhabdovirus anguilla</t>
  </si>
  <si>
    <t>Perhabdovirus leman</t>
  </si>
  <si>
    <t>Perhabdovirus perca</t>
  </si>
  <si>
    <t>Perhabdovirus trutta</t>
  </si>
  <si>
    <t>Replylivirus</t>
  </si>
  <si>
    <t>Replylivirus allogus</t>
  </si>
  <si>
    <t>Sawgrhavirus connecticut</t>
  </si>
  <si>
    <t>Sawgrhavirus longisland</t>
  </si>
  <si>
    <t>Sawgrhavirus minto</t>
  </si>
  <si>
    <t>Sawgrhavirus sawgrass</t>
  </si>
  <si>
    <t>Scophrhavirus</t>
  </si>
  <si>
    <t>Scophrhavirus chanodychthys</t>
  </si>
  <si>
    <t>Scophrhavirus maximus</t>
  </si>
  <si>
    <t>Sigmavirus affinis</t>
  </si>
  <si>
    <t>Sigmavirus ananassae</t>
  </si>
  <si>
    <t>Sigmavirus capitata</t>
  </si>
  <si>
    <t>Sigmavirus domestica</t>
  </si>
  <si>
    <t>Sigmavirus hippoboscid</t>
  </si>
  <si>
    <t>Sigmavirus hubei</t>
  </si>
  <si>
    <t>Sigmavirus immigrans</t>
  </si>
  <si>
    <t>Sigmavirus lousefly</t>
  </si>
  <si>
    <t>Sigmavirus melanogaster</t>
  </si>
  <si>
    <t>Sigmavirus muscina</t>
  </si>
  <si>
    <t>Sigmavirus myga</t>
  </si>
  <si>
    <t>Sigmavirus obscura</t>
  </si>
  <si>
    <t>Sigmavirus shayang</t>
  </si>
  <si>
    <t>Sigmavirus sichuan</t>
  </si>
  <si>
    <t>Sigmavirus sturtevanti</t>
  </si>
  <si>
    <t>Sigmavirus tristis</t>
  </si>
  <si>
    <t>Sigmavirus tuva</t>
  </si>
  <si>
    <t>Sigmavirus wuhan</t>
  </si>
  <si>
    <t>Sigmavirus ying</t>
  </si>
  <si>
    <t>Sigmavirus yushu</t>
  </si>
  <si>
    <t>Siniperhavirus</t>
  </si>
  <si>
    <t>Siniperhavirus chuatsi</t>
  </si>
  <si>
    <t>Siniperhavirus zoarces</t>
  </si>
  <si>
    <t>Sprivivirus cyprinus</t>
  </si>
  <si>
    <t>Sprivivirus esox</t>
  </si>
  <si>
    <t>Sripuvirus almpiwar</t>
  </si>
  <si>
    <t>Sripuvirus chaco</t>
  </si>
  <si>
    <t>Sripuvirus charleville</t>
  </si>
  <si>
    <t>Sripuvirus cuiaba</t>
  </si>
  <si>
    <t>Sripuvirus hainan</t>
  </si>
  <si>
    <t>Sripuvirus madureira</t>
  </si>
  <si>
    <t>Sripuvirus niakha</t>
  </si>
  <si>
    <t>Sripuvirus sripur</t>
  </si>
  <si>
    <t>Sunrhavirus alexandria</t>
  </si>
  <si>
    <t>Sunrhavirus bimbo</t>
  </si>
  <si>
    <t>Sunrhavirus boteke</t>
  </si>
  <si>
    <t>Sunrhavirus dillard</t>
  </si>
  <si>
    <t>Sunrhavirus garba</t>
  </si>
  <si>
    <t>Sunrhavirus harrison</t>
  </si>
  <si>
    <t>Sunrhavirus kolongo</t>
  </si>
  <si>
    <t>Sunrhavirus kwatta</t>
  </si>
  <si>
    <t>Sunrhavirus matariya</t>
  </si>
  <si>
    <t>Sunrhavirus nasoule</t>
  </si>
  <si>
    <t>Sunrhavirus oakvale</t>
  </si>
  <si>
    <t>Sunrhavirus ouango</t>
  </si>
  <si>
    <t>Sunrhavirus sandjimba</t>
  </si>
  <si>
    <t>Sunrhavirus sunguru</t>
  </si>
  <si>
    <t>Sunrhavirus walkabout</t>
  </si>
  <si>
    <t>Thriprhavirus</t>
  </si>
  <si>
    <t>Thriprhavirus intonsa</t>
  </si>
  <si>
    <t>Thriprhavirus tabaci</t>
  </si>
  <si>
    <t>Tibrovirus alphaekpoma</t>
  </si>
  <si>
    <t>Tibrovirus beatrice</t>
  </si>
  <si>
    <t>Tibrovirus betaekpoma</t>
  </si>
  <si>
    <t>Tibrovirus coastal</t>
  </si>
  <si>
    <t>Tibrovirus congo</t>
  </si>
  <si>
    <t>Tibrovirus mundri</t>
  </si>
  <si>
    <t>Tibrovirus sweetwater</t>
  </si>
  <si>
    <t>Tibrovirus tibrogargan</t>
  </si>
  <si>
    <t>Tupavirus durham</t>
  </si>
  <si>
    <t>Tupavirus klamath</t>
  </si>
  <si>
    <t>Tupavirus laniger</t>
  </si>
  <si>
    <t>Tupavirus pearsonii</t>
  </si>
  <si>
    <t>Tupavirus tupaia</t>
  </si>
  <si>
    <t>Vesiculovirus alagoas</t>
  </si>
  <si>
    <t>Vesiculovirus bogdanovac</t>
  </si>
  <si>
    <t>Vesiculovirus carajas</t>
  </si>
  <si>
    <t>Vesiculovirus chandipura</t>
  </si>
  <si>
    <t>Vesiculovirus cocal</t>
  </si>
  <si>
    <t>Vesiculovirus eptesicus</t>
  </si>
  <si>
    <t>Vesiculovirus indiana</t>
  </si>
  <si>
    <t>Vesiculovirus isfahan</t>
  </si>
  <si>
    <t>Vesiculovirus jurona</t>
  </si>
  <si>
    <t>Vesiculovirus malpais</t>
  </si>
  <si>
    <t>Vesiculovirus maraba</t>
  </si>
  <si>
    <t>Vesiculovirus mediterranean</t>
  </si>
  <si>
    <t>Vesiculovirus mejal</t>
  </si>
  <si>
    <t>Vesiculovirus morreton</t>
  </si>
  <si>
    <t>Vesiculovirus newjersey</t>
  </si>
  <si>
    <t>Vesiculovirus perinet</t>
  </si>
  <si>
    <t>Vesiculovirus piry</t>
  </si>
  <si>
    <t>Vesiculovirus radi</t>
  </si>
  <si>
    <t>Vesiculovirus rhinolophus</t>
  </si>
  <si>
    <t>Vesiculovirus wufeng</t>
  </si>
  <si>
    <t>Vesiculovirus yinshui</t>
  </si>
  <si>
    <t>Zarhavirus zahedan</t>
  </si>
  <si>
    <t>Alphanucleorhabdovirus agavis</t>
  </si>
  <si>
    <t>Alphanucleorhabdovirus artemisiae</t>
  </si>
  <si>
    <t>Alphanucleorhabdovirus colocasiae</t>
  </si>
  <si>
    <t>Alphanucleorhabdovirus constrictae</t>
  </si>
  <si>
    <t>Alphanucleorhabdovirus joa</t>
  </si>
  <si>
    <t>Alphanucleorhabdovirus maydis</t>
  </si>
  <si>
    <t>Alphanucleorhabdovirus melongenae</t>
  </si>
  <si>
    <t>Alphanucleorhabdovirus morogoromaydis</t>
  </si>
  <si>
    <t>Alphanucleorhabdovirus oryzae</t>
  </si>
  <si>
    <t>Alphanucleorhabdovirus physostegiae</t>
  </si>
  <si>
    <t>Alphanucleorhabdovirus pruni</t>
  </si>
  <si>
    <t>Alphanucleorhabdovirus tritici</t>
  </si>
  <si>
    <t>Alphanucleorhabdovirus tuberosum</t>
  </si>
  <si>
    <t>Alphanucleorhabdovirus zeairanense</t>
  </si>
  <si>
    <t>Betanucleorhabdovirus asclepiadis</t>
  </si>
  <si>
    <t>Betanucleorhabdovirus bacopae</t>
  </si>
  <si>
    <t>Betanucleorhabdovirus cardamomi</t>
  </si>
  <si>
    <t>Betanucleorhabdovirus cnidii</t>
  </si>
  <si>
    <t>Betanucleorhabdovirus daturae</t>
  </si>
  <si>
    <t>Betanucleorhabdovirus loti</t>
  </si>
  <si>
    <t>Betanucleorhabdovirus mali</t>
  </si>
  <si>
    <t>Betanucleorhabdovirus medicagonis</t>
  </si>
  <si>
    <t>Betanucleorhabdovirus plectranthi</t>
  </si>
  <si>
    <t>Betanucleorhabdovirus retesonchi</t>
  </si>
  <si>
    <t>Betanucleorhabdovirus rhododendri</t>
  </si>
  <si>
    <t>Betanucleorhabdovirus ribes</t>
  </si>
  <si>
    <t>Betanucleorhabdovirus venasonchi</t>
  </si>
  <si>
    <t>Betanucleorhabdovirus zanthoxyli</t>
  </si>
  <si>
    <t>Cytorhabdovirus actinidiae</t>
  </si>
  <si>
    <t>Cytorhabdovirus alphatrifolii</t>
  </si>
  <si>
    <t>Cytorhabdovirus alphawuhaninsectum</t>
  </si>
  <si>
    <t>Cytorhabdovirus anthurii</t>
  </si>
  <si>
    <t>Cytorhabdovirus asclepiadis</t>
  </si>
  <si>
    <t>Cytorhabdovirus bacopae</t>
  </si>
  <si>
    <t>Cytorhabdovirus bemisiae</t>
  </si>
  <si>
    <t>Cytorhabdovirus betatrifolii</t>
  </si>
  <si>
    <t>Cytorhabdovirus betawuhaninsectum</t>
  </si>
  <si>
    <t>Cytorhabdovirus brassicae</t>
  </si>
  <si>
    <t>Cytorhabdovirus brassicicolae</t>
  </si>
  <si>
    <t>Cytorhabdovirus broussonetiae</t>
  </si>
  <si>
    <t>Cytorhabdovirus caricae</t>
  </si>
  <si>
    <t>Cytorhabdovirus chrysanthemi</t>
  </si>
  <si>
    <t>Cytorhabdovirus colocasiae</t>
  </si>
  <si>
    <t>Cytorhabdovirus cucurbitae</t>
  </si>
  <si>
    <t>Cytorhabdovirus festucae</t>
  </si>
  <si>
    <t>Cytorhabdovirus flaviyerbamate</t>
  </si>
  <si>
    <t>Cytorhabdovirus fragariae</t>
  </si>
  <si>
    <t>Cytorhabdovirus fragariarugosus</t>
  </si>
  <si>
    <t>Cytorhabdovirus gammawuhaninsectum</t>
  </si>
  <si>
    <t>Cytorhabdovirus glehniae</t>
  </si>
  <si>
    <t>Cytorhabdovirus gramineae</t>
  </si>
  <si>
    <t>Cytorhabdovirus hordei</t>
  </si>
  <si>
    <t>Cytorhabdovirus kenyatuberosum</t>
  </si>
  <si>
    <t>Cytorhabdovirus lactucamaculante</t>
  </si>
  <si>
    <t>Cytorhabdovirus lactucanecante</t>
  </si>
  <si>
    <t>Cytorhabdovirus lycopersici</t>
  </si>
  <si>
    <t>Cytorhabdovirus maydis</t>
  </si>
  <si>
    <t>Cytorhabdovirus maysflavostriatis</t>
  </si>
  <si>
    <t>Cytorhabdovirus medicagonis</t>
  </si>
  <si>
    <t>Cytorhabdovirus nymphaeae</t>
  </si>
  <si>
    <t>Cytorhabdovirus orchidaceae</t>
  </si>
  <si>
    <t>Cytorhabdovirus oryzae</t>
  </si>
  <si>
    <t>Cytorhabdovirus persimmon</t>
  </si>
  <si>
    <t>Cytorhabdovirus rosae</t>
  </si>
  <si>
    <t>Cytorhabdovirus rubus</t>
  </si>
  <si>
    <t>Cytorhabdovirus sonchi</t>
  </si>
  <si>
    <t>Cytorhabdovirus tagetis</t>
  </si>
  <si>
    <t>Cytorhabdovirus trachyspermi</t>
  </si>
  <si>
    <t>Cytorhabdovirus trichosanthei</t>
  </si>
  <si>
    <t>Cytorhabdovirus tritici</t>
  </si>
  <si>
    <t>Cytorhabdovirus yerbamate</t>
  </si>
  <si>
    <t>Dichorhavirus citri</t>
  </si>
  <si>
    <t>Dichorhavirus clerodendri</t>
  </si>
  <si>
    <t>Dichorhavirus coffeae</t>
  </si>
  <si>
    <t>Dichorhavirus leprosis</t>
  </si>
  <si>
    <t>Dichorhavirus orchidaceae</t>
  </si>
  <si>
    <t>Gammanucleorhabdovirus maydis</t>
  </si>
  <si>
    <t>Varicosavirus allii</t>
  </si>
  <si>
    <t>Varicosavirus alopecuri</t>
  </si>
  <si>
    <t>Varicosavirus brassicae</t>
  </si>
  <si>
    <t>Varicosavirus ipomoeae</t>
  </si>
  <si>
    <t>Varicosavirus lactucae</t>
  </si>
  <si>
    <t>Varicosavirus lolii</t>
  </si>
  <si>
    <t>Varicosavirus melampyri</t>
  </si>
  <si>
    <t>Varicosavirus pini</t>
  </si>
  <si>
    <t>Varicosavirus trifolii</t>
  </si>
  <si>
    <t>Varicosavirus vitis</t>
  </si>
  <si>
    <t>Varicosavirus xinjiangense</t>
  </si>
  <si>
    <t>Varicosavirus zosterae</t>
  </si>
  <si>
    <t>Novirhabdovirus hirame</t>
  </si>
  <si>
    <t>Novirhabdovirus piscine</t>
  </si>
  <si>
    <t>Novirhabdovirus salmonid</t>
  </si>
  <si>
    <t>Novirhabdovirus snakehead</t>
  </si>
  <si>
    <t>Alphacrustrhavirus wenling</t>
  </si>
  <si>
    <t>Alphacrustrhavirus zhejiang</t>
  </si>
  <si>
    <t>Alphadrosrhavirus hubei</t>
  </si>
  <si>
    <t>Alphadrosrhavirus shayang</t>
  </si>
  <si>
    <t>Alphahymrhavirus cinereus</t>
  </si>
  <si>
    <t>Alphahymrhavirus hirtum</t>
  </si>
  <si>
    <t>Alphahymrhavirus neglectus</t>
  </si>
  <si>
    <t>Alphahymrhavirus radians</t>
  </si>
  <si>
    <t>Betahymrhavirus austriaca</t>
  </si>
  <si>
    <t>Betahymrhavirus heterodontonyx</t>
  </si>
  <si>
    <t>Betanemrhavirus hubei</t>
  </si>
  <si>
    <t>Betanemrhavirus shayang</t>
  </si>
  <si>
    <t>Betapaprhavirus frugiperda</t>
  </si>
  <si>
    <t>Betapaprhavirus sylvina</t>
  </si>
  <si>
    <t>Betaricinrhavirus chimay</t>
  </si>
  <si>
    <t>Betaricinrhavirus scapularis</t>
  </si>
  <si>
    <t>Sunshinevirus reptilis</t>
  </si>
  <si>
    <t>Alasvirus</t>
  </si>
  <si>
    <t>Alasvirus muscae</t>
  </si>
  <si>
    <t>Anphevirus xinchengense</t>
  </si>
  <si>
    <t>Doupovirus</t>
  </si>
  <si>
    <t>Doupovirus australiaense</t>
  </si>
  <si>
    <t>Draselvirus</t>
  </si>
  <si>
    <t>Draselvirus dentati</t>
  </si>
  <si>
    <t>Drunivirus</t>
  </si>
  <si>
    <t>Drunivirus chambonense</t>
  </si>
  <si>
    <t>Gambievirus</t>
  </si>
  <si>
    <t>Gambievirus bolahunense</t>
  </si>
  <si>
    <t>Gambievirus senegalense</t>
  </si>
  <si>
    <t>Gylbovirus</t>
  </si>
  <si>
    <t>Gylbovirus aagae</t>
  </si>
  <si>
    <t>Hoptevirus</t>
  </si>
  <si>
    <t>Hoptevirus orthopteris</t>
  </si>
  <si>
    <t>Madalivirus</t>
  </si>
  <si>
    <t>Madalivirus amapaense</t>
  </si>
  <si>
    <t>Madalivirus amazonaense</t>
  </si>
  <si>
    <t>Pelmivirus</t>
  </si>
  <si>
    <t>Pelmivirus eymattense</t>
  </si>
  <si>
    <t>Triniovirus</t>
  </si>
  <si>
    <t>Triniovirus yonagoense</t>
  </si>
  <si>
    <t>Ulegvirus</t>
  </si>
  <si>
    <t>Ulegvirus freckenfeldense</t>
  </si>
  <si>
    <t>Yuyuevirus beihaiense</t>
  </si>
  <si>
    <t>Yuyuevirus shaheense</t>
  </si>
  <si>
    <t>Antennavirus hirsutum</t>
  </si>
  <si>
    <t>Antennavirus salmonis</t>
  </si>
  <si>
    <t>Antennavirus striale</t>
  </si>
  <si>
    <t>Hartmanivirus brazilense</t>
  </si>
  <si>
    <t>Hartmanivirus haartmani</t>
  </si>
  <si>
    <t>Hartmanivirus helvetiae</t>
  </si>
  <si>
    <t>Hartmanivirus patriae</t>
  </si>
  <si>
    <t>Hartmanivirus quadrati</t>
  </si>
  <si>
    <t>Hartmanivirus scholae</t>
  </si>
  <si>
    <t>Hartmanivirus turici</t>
  </si>
  <si>
    <t>Hartmanivirus unni</t>
  </si>
  <si>
    <t>Innmovirus</t>
  </si>
  <si>
    <t>Innmovirus hailarense</t>
  </si>
  <si>
    <t>Mammarenavirus alashanense</t>
  </si>
  <si>
    <t>Mammarenavirus allpahuayoense</t>
  </si>
  <si>
    <t>Mammarenavirus amapariense</t>
  </si>
  <si>
    <t>Mammarenavirus aporeense</t>
  </si>
  <si>
    <t>Mammarenavirus bearense</t>
  </si>
  <si>
    <t>Mammarenavirus bituense</t>
  </si>
  <si>
    <t>Mammarenavirus brazilense</t>
  </si>
  <si>
    <t>Mammarenavirus caliense</t>
  </si>
  <si>
    <t>Mammarenavirus cameroonense</t>
  </si>
  <si>
    <t>Mammarenavirus chapareense</t>
  </si>
  <si>
    <t>Mammarenavirus choriomeningitidis</t>
  </si>
  <si>
    <t>Mammarenavirus cupixiense</t>
  </si>
  <si>
    <t>Mammarenavirus dhati-welelense</t>
  </si>
  <si>
    <t>Mammarenavirus flexalense</t>
  </si>
  <si>
    <t>Mammarenavirus gairoense</t>
  </si>
  <si>
    <t>Mammarenavirus guanaritoense</t>
  </si>
  <si>
    <t>Mammarenavirus ippyense</t>
  </si>
  <si>
    <t>Mammarenavirus juninense</t>
  </si>
  <si>
    <t>Mammarenavirus kitaleense</t>
  </si>
  <si>
    <t>Mammarenavirus kwanzaense</t>
  </si>
  <si>
    <t>Mammarenavirus lassaense</t>
  </si>
  <si>
    <t>Mammarenavirus latinum</t>
  </si>
  <si>
    <t>Mammarenavirus lijiangense</t>
  </si>
  <si>
    <t>Mammarenavirus loeiense</t>
  </si>
  <si>
    <t>Mammarenavirus lujoense</t>
  </si>
  <si>
    <t>Mammarenavirus lunaense</t>
  </si>
  <si>
    <t>Mammarenavirus lunkense</t>
  </si>
  <si>
    <t>Mammarenavirus machupoense</t>
  </si>
  <si>
    <t>Mammarenavirus marientalense</t>
  </si>
  <si>
    <t>Mammarenavirus merinoense</t>
  </si>
  <si>
    <t>Mammarenavirus mopeiaense</t>
  </si>
  <si>
    <t>Mammarenavirus okahandjaense</t>
  </si>
  <si>
    <t>Mammarenavirus oliverosense</t>
  </si>
  <si>
    <t>Mammarenavirus paranaense</t>
  </si>
  <si>
    <t>Mammarenavirus piritalense</t>
  </si>
  <si>
    <t>Mammarenavirus praomyidis</t>
  </si>
  <si>
    <t>Mammarenavirus ryukyuense</t>
  </si>
  <si>
    <t>Mammarenavirus solweziense</t>
  </si>
  <si>
    <t>Mammarenavirus tacaribeense</t>
  </si>
  <si>
    <t>Mammarenavirus tamiamiense</t>
  </si>
  <si>
    <t>Mammarenavirus wenzhouense</t>
  </si>
  <si>
    <t>Mammarenavirus whitewaterense</t>
  </si>
  <si>
    <t>Mammarenavirus xapuriense</t>
  </si>
  <si>
    <t>Reptarenavirus aurei</t>
  </si>
  <si>
    <t>Reptarenavirus californiae</t>
  </si>
  <si>
    <t>Reptarenavirus commune</t>
  </si>
  <si>
    <t>Reptarenavirus giessenae</t>
  </si>
  <si>
    <t>Reptarenavirus rotterdamense</t>
  </si>
  <si>
    <t>Discoviridae</t>
  </si>
  <si>
    <t>Orthodiscovirus</t>
  </si>
  <si>
    <t>Orthodiscovirus coniellae</t>
  </si>
  <si>
    <t>Orthodiscovirus hispaniae</t>
  </si>
  <si>
    <t>Orthodiscovirus iberiae</t>
  </si>
  <si>
    <t>Orthodiscovirus missouriense</t>
  </si>
  <si>
    <t>Orthodiscovirus penicillii</t>
  </si>
  <si>
    <t>Emaravirus aceris</t>
  </si>
  <si>
    <t>Emaravirus actinidiae</t>
  </si>
  <si>
    <t>Emaravirus cajani</t>
  </si>
  <si>
    <t>Emaravirus camelliae</t>
  </si>
  <si>
    <t>Emaravirus cercidis</t>
  </si>
  <si>
    <t>Emaravirus chrysanthemi</t>
  </si>
  <si>
    <t>Emaravirus cordylinae</t>
  </si>
  <si>
    <t>Emaravirus corynocarpi</t>
  </si>
  <si>
    <t>Emaravirus fici</t>
  </si>
  <si>
    <t>Emaravirus fraxini</t>
  </si>
  <si>
    <t>Emaravirus idaeobati</t>
  </si>
  <si>
    <t>Emaravirus illicii</t>
  </si>
  <si>
    <t>Emaravirus kiwii</t>
  </si>
  <si>
    <t>Emaravirus parkinsoniae</t>
  </si>
  <si>
    <t>Emaravirus perillae</t>
  </si>
  <si>
    <t>Emaravirus pistaciae</t>
  </si>
  <si>
    <t>Emaravirus populi</t>
  </si>
  <si>
    <t>Emaravirus pyri</t>
  </si>
  <si>
    <t>Emaravirus quercus</t>
  </si>
  <si>
    <t>Emaravirus rosae</t>
  </si>
  <si>
    <t>Emaravirus rubi</t>
  </si>
  <si>
    <t>Emaravirus sorbi</t>
  </si>
  <si>
    <t>Emaravirus syringae</t>
  </si>
  <si>
    <t>Emaravirus toordali</t>
  </si>
  <si>
    <t>Emaravirus tritici</t>
  </si>
  <si>
    <t>Emaravirus verbanni</t>
  </si>
  <si>
    <t>Emaravirus visci</t>
  </si>
  <si>
    <t>Emaravirus vitis</t>
  </si>
  <si>
    <t>Emaravirus ziziphi</t>
  </si>
  <si>
    <t>Actinovirus bernense</t>
  </si>
  <si>
    <t>Actinovirus halieutaeae</t>
  </si>
  <si>
    <t>Actinovirus lophii</t>
  </si>
  <si>
    <t>Actinovirus triacanthodis</t>
  </si>
  <si>
    <t>Agnathovirus eptatreti</t>
  </si>
  <si>
    <t>Loanvirus brunaense</t>
  </si>
  <si>
    <t>Loanvirus longquanense</t>
  </si>
  <si>
    <t>Mobatvirus laibinense</t>
  </si>
  <si>
    <t>Mobatvirus lenaense</t>
  </si>
  <si>
    <t>Mobatvirus novaense</t>
  </si>
  <si>
    <t>Mobatvirus quezonense</t>
  </si>
  <si>
    <t>Mobatvirus xuansonense</t>
  </si>
  <si>
    <t>Orthohantavirus andesense</t>
  </si>
  <si>
    <t>Orthohantavirus asamaense</t>
  </si>
  <si>
    <t>Orthohantavirus asikkalaense</t>
  </si>
  <si>
    <t>Orthohantavirus bayoui</t>
  </si>
  <si>
    <t>Orthohantavirus boweense</t>
  </si>
  <si>
    <t>Orthohantavirus brugesense</t>
  </si>
  <si>
    <t>Orthohantavirus caobangense</t>
  </si>
  <si>
    <t>Orthohantavirus chocloense</t>
  </si>
  <si>
    <t>Orthohantavirus dabieshanense</t>
  </si>
  <si>
    <t>Orthohantavirus delgaditoense</t>
  </si>
  <si>
    <t>Orthohantavirus dobravaense</t>
  </si>
  <si>
    <t>Orthohantavirus fugongense</t>
  </si>
  <si>
    <t>Orthohantavirus fusongense</t>
  </si>
  <si>
    <t>Orthohantavirus hantanense</t>
  </si>
  <si>
    <t>Orthohantavirus jejuense</t>
  </si>
  <si>
    <t>Orthohantavirus kenkemeense</t>
  </si>
  <si>
    <t>Orthohantavirus khabarovskense</t>
  </si>
  <si>
    <t>Orthohantavirus luxiense</t>
  </si>
  <si>
    <t>Orthohantavirus maporalense</t>
  </si>
  <si>
    <t>Orthohantavirus montanoense</t>
  </si>
  <si>
    <t>Orthohantavirus moroense</t>
  </si>
  <si>
    <t>Orthohantavirus necocliense</t>
  </si>
  <si>
    <t>Orthohantavirus negraense</t>
  </si>
  <si>
    <t>Orthohantavirus nigrorivense</t>
  </si>
  <si>
    <t>Orthohantavirus oxbowense</t>
  </si>
  <si>
    <t>Orthohantavirus prospectense</t>
  </si>
  <si>
    <t>Orthohantavirus puumalaense</t>
  </si>
  <si>
    <t>Orthohantavirus robinaense</t>
  </si>
  <si>
    <t>Orthohantavirus rockportense</t>
  </si>
  <si>
    <t>Orthohantavirus sangassouense</t>
  </si>
  <si>
    <t>Orthohantavirus seewisense</t>
  </si>
  <si>
    <t>Orthohantavirus seoulense</t>
  </si>
  <si>
    <t>Orthohantavirus sinnombreense</t>
  </si>
  <si>
    <t>Orthohantavirus tatenalense</t>
  </si>
  <si>
    <t>Orthohantavirus thailandense</t>
  </si>
  <si>
    <t>Orthohantavirus tigrayense</t>
  </si>
  <si>
    <t>Orthohantavirus tulaense</t>
  </si>
  <si>
    <t>Orthohantavirus yakeshiense</t>
  </si>
  <si>
    <t>Thottimvirus imjinense</t>
  </si>
  <si>
    <t>Thottimvirus thottapalayamense</t>
  </si>
  <si>
    <t>Reptillovirus hemidactyli</t>
  </si>
  <si>
    <t>Shilevirus leptomonadis</t>
  </si>
  <si>
    <t>Hubavirus myriapedis</t>
  </si>
  <si>
    <t>Norwavirus beijiense</t>
  </si>
  <si>
    <t>Norwavirus grotenhoutense</t>
  </si>
  <si>
    <t>Ocetevirus paratemnopterygis</t>
  </si>
  <si>
    <t>Orthonairovirus abuhammadense</t>
  </si>
  <si>
    <t>Orthonairovirus abuminaense</t>
  </si>
  <si>
    <t>Orthonairovirus amblyommae</t>
  </si>
  <si>
    <t>Orthonairovirus artashatense</t>
  </si>
  <si>
    <t>Orthonairovirus australiaense</t>
  </si>
  <si>
    <t>Orthonairovirus avalonense</t>
  </si>
  <si>
    <t>Orthonairovirus bandiaense</t>
  </si>
  <si>
    <t>Orthonairovirus buranaense</t>
  </si>
  <si>
    <t>Orthonairovirus bushkeyense</t>
  </si>
  <si>
    <t>Orthonairovirus chimense</t>
  </si>
  <si>
    <t>Orthonairovirus clomorense</t>
  </si>
  <si>
    <t>Orthonairovirus dermacentoris</t>
  </si>
  <si>
    <t>Orthonairovirus dugbeense</t>
  </si>
  <si>
    <t>Orthonairovirus erveense</t>
  </si>
  <si>
    <t>Orthonairovirus esteroense</t>
  </si>
  <si>
    <t>Orthonairovirus gossasense</t>
  </si>
  <si>
    <t>Orthonairovirus haemorrhagiae</t>
  </si>
  <si>
    <t>Orthonairovirus hazaraense</t>
  </si>
  <si>
    <t>Orthonairovirus huangpiense</t>
  </si>
  <si>
    <t>Orthonairovirus issykkulense</t>
  </si>
  <si>
    <t>Orthonairovirus japonicum</t>
  </si>
  <si>
    <t>Orthonairovirus kasokeroense</t>
  </si>
  <si>
    <t>Orthonairovirus keterehense</t>
  </si>
  <si>
    <t>Orthonairovirus khani</t>
  </si>
  <si>
    <t>Orthonairovirus lusakaense</t>
  </si>
  <si>
    <t>Orthonairovirus macquariense</t>
  </si>
  <si>
    <t>Orthonairovirus meramense</t>
  </si>
  <si>
    <t>Orthonairovirus nairobiense</t>
  </si>
  <si>
    <t>Orthonairovirus parahaemorrhagiae</t>
  </si>
  <si>
    <t>Orthonairovirus peruense</t>
  </si>
  <si>
    <t>Orthonairovirus qalyubense</t>
  </si>
  <si>
    <t>Orthonairovirus randallense</t>
  </si>
  <si>
    <t>Orthonairovirus sakhalinense</t>
  </si>
  <si>
    <t>Orthonairovirus soldadoense</t>
  </si>
  <si>
    <t>Orthonairovirus songlingense</t>
  </si>
  <si>
    <t>Orthonairovirus sulinaense</t>
  </si>
  <si>
    <t>Orthonairovirus tachengense</t>
  </si>
  <si>
    <t>Orthonairovirus thiaforaense</t>
  </si>
  <si>
    <t>Orthonairovirus tomdiense</t>
  </si>
  <si>
    <t>Orthonairovirus tunisense</t>
  </si>
  <si>
    <t>Orthonairovirus wenzhouense</t>
  </si>
  <si>
    <t>Orthonairovirus yezoense</t>
  </si>
  <si>
    <t>Orthonairovirus yogueense</t>
  </si>
  <si>
    <t>Orthonairovirus zirkuense</t>
  </si>
  <si>
    <t>Sabavirus americanum</t>
  </si>
  <si>
    <t>Shaspivirus aranei</t>
  </si>
  <si>
    <t>Striwavirus sanxiaense</t>
  </si>
  <si>
    <t>Xinspivirus xinzhouense</t>
  </si>
  <si>
    <t>Herbevirus herberti</t>
  </si>
  <si>
    <t>Herbevirus kibaleense</t>
  </si>
  <si>
    <t>Herbevirus taiense</t>
  </si>
  <si>
    <t>Khurdivirus</t>
  </si>
  <si>
    <t>Khurdivirus volgaense</t>
  </si>
  <si>
    <t>Lakivirus</t>
  </si>
  <si>
    <t>Lakivirus lakamhaense</t>
  </si>
  <si>
    <t>Lambavirus</t>
  </si>
  <si>
    <t>Lambavirus wisconsinense</t>
  </si>
  <si>
    <t>Orthobunyavirus abrasense</t>
  </si>
  <si>
    <t>Orthobunyavirus acaraense</t>
  </si>
  <si>
    <t>Orthobunyavirus achiotei</t>
  </si>
  <si>
    <t>Orthobunyavirus ainoense</t>
  </si>
  <si>
    <t>Orthobunyavirus akabaneense</t>
  </si>
  <si>
    <t>Orthobunyavirus anadyrense</t>
  </si>
  <si>
    <t>Orthobunyavirus ananindeuaense</t>
  </si>
  <si>
    <t>Orthobunyavirus angeloense</t>
  </si>
  <si>
    <t>Orthobunyavirus anhembiense</t>
  </si>
  <si>
    <t>Orthobunyavirus apeuense</t>
  </si>
  <si>
    <t>Orthobunyavirus baakalense</t>
  </si>
  <si>
    <t>Orthobunyavirus bakauense</t>
  </si>
  <si>
    <t>Orthobunyavirus balagoduense</t>
  </si>
  <si>
    <t>Orthobunyavirus bataiense</t>
  </si>
  <si>
    <t>Orthobunyavirus batamaense</t>
  </si>
  <si>
    <t>Orthobunyavirus belemense</t>
  </si>
  <si>
    <t>Orthobunyavirus bellavistaense</t>
  </si>
  <si>
    <t>Orthobunyavirus benficaense</t>
  </si>
  <si>
    <t>Orthobunyavirus bertiogaense</t>
  </si>
  <si>
    <t>Orthobunyavirus biraoense</t>
  </si>
  <si>
    <t>Orthobunyavirus bobayaense</t>
  </si>
  <si>
    <t>Orthobunyavirus boraceiaense</t>
  </si>
  <si>
    <t>Orthobunyavirus botambiense</t>
  </si>
  <si>
    <t>Orthobunyavirus bozoense</t>
  </si>
  <si>
    <t>Orthobunyavirus brazoriaense</t>
  </si>
  <si>
    <t>Orthobunyavirus bruconhaense</t>
  </si>
  <si>
    <t>Orthobunyavirus buffaloense</t>
  </si>
  <si>
    <t>Orthobunyavirus bunyamweraense</t>
  </si>
  <si>
    <t>Orthobunyavirus bushbushense</t>
  </si>
  <si>
    <t>Orthobunyavirus buttonwillowense</t>
  </si>
  <si>
    <t>Orthobunyavirus bwambaense</t>
  </si>
  <si>
    <t>Orthobunyavirus cacheense</t>
  </si>
  <si>
    <t>Orthobunyavirus capimense</t>
  </si>
  <si>
    <t>Orthobunyavirus caraparuense</t>
  </si>
  <si>
    <t>Orthobunyavirus catqueense</t>
  </si>
  <si>
    <t>Orthobunyavirus catuense</t>
  </si>
  <si>
    <t>Orthobunyavirus cuchillaense</t>
  </si>
  <si>
    <t>Orthobunyavirus ebiense</t>
  </si>
  <si>
    <t>Orthobunyavirus encephalitidis</t>
  </si>
  <si>
    <t>Orthobunyavirus enseadaense</t>
  </si>
  <si>
    <t>Orthobunyavirus faceyense</t>
  </si>
  <si>
    <t>Orthobunyavirus gamboaense</t>
  </si>
  <si>
    <t>Orthobunyavirus ganganense</t>
  </si>
  <si>
    <t>Orthobunyavirus guajaraense</t>
  </si>
  <si>
    <t>Orthobunyavirus guamaense</t>
  </si>
  <si>
    <t>Orthobunyavirus guaratubaense</t>
  </si>
  <si>
    <t>Orthobunyavirus guaroaense</t>
  </si>
  <si>
    <t>Orthobunyavirus gumbolimboense</t>
  </si>
  <si>
    <t>Orthobunyavirus heptayabaense</t>
  </si>
  <si>
    <t>Orthobunyavirus horizonteense</t>
  </si>
  <si>
    <t>Orthobunyavirus iacoense</t>
  </si>
  <si>
    <t>Orthobunyavirus ileshaense</t>
  </si>
  <si>
    <t>Orthobunyavirus infirmati</t>
  </si>
  <si>
    <t>Orthobunyavirus ingwavumaense</t>
  </si>
  <si>
    <t>Orthobunyavirus insulae</t>
  </si>
  <si>
    <t>Orthobunyavirus jamestownense</t>
  </si>
  <si>
    <t>Orthobunyavirus jatobalense</t>
  </si>
  <si>
    <t>Orthobunyavirus juandiazense</t>
  </si>
  <si>
    <t>Orthobunyavirus kaengkhoiense</t>
  </si>
  <si>
    <t>Orthobunyavirus kernense</t>
  </si>
  <si>
    <t>Orthobunyavirus ketapangense</t>
  </si>
  <si>
    <t>Orthobunyavirus keystoneense</t>
  </si>
  <si>
    <t>Orthobunyavirus khatangaense</t>
  </si>
  <si>
    <t>Orthobunyavirus koongoli</t>
  </si>
  <si>
    <t>Orthobunyavirus kowanyamaense</t>
  </si>
  <si>
    <t>Orthobunyavirus lacrosseense</t>
  </si>
  <si>
    <t>Orthobunyavirus lasmaloyasense</t>
  </si>
  <si>
    <t>Orthobunyavirus leanyerense</t>
  </si>
  <si>
    <t>Orthobunyavirus ledniceense</t>
  </si>
  <si>
    <t>Orthobunyavirus lukuniense</t>
  </si>
  <si>
    <t>Orthobunyavirus lumboense</t>
  </si>
  <si>
    <t>Orthobunyavirus macauaense</t>
  </si>
  <si>
    <t>Orthobunyavirus madridense</t>
  </si>
  <si>
    <t>Orthobunyavirus maguariense</t>
  </si>
  <si>
    <t>Orthobunyavirus mahoganyense</t>
  </si>
  <si>
    <t>Orthobunyavirus manzanillaense</t>
  </si>
  <si>
    <t>Orthobunyavirus maprikense</t>
  </si>
  <si>
    <t>Orthobunyavirus maritubaense</t>
  </si>
  <si>
    <t>Orthobunyavirus matruhense</t>
  </si>
  <si>
    <t>Orthobunyavirus melajoense</t>
  </si>
  <si>
    <t>Orthobunyavirus mermetense</t>
  </si>
  <si>
    <t>Orthobunyavirus minatitlanense</t>
  </si>
  <si>
    <t>Orthobunyavirus mirimense</t>
  </si>
  <si>
    <t>Orthobunyavirus mitchellense</t>
  </si>
  <si>
    <t>Orthobunyavirus mpokoense</t>
  </si>
  <si>
    <t>Orthobunyavirus navioense</t>
  </si>
  <si>
    <t>Orthobunyavirus nepuyoi</t>
  </si>
  <si>
    <t>Orthobunyavirus nesszionaense</t>
  </si>
  <si>
    <t>Orthobunyavirus nolaense</t>
  </si>
  <si>
    <t>Orthobunyavirus northwayense</t>
  </si>
  <si>
    <t>Orthobunyavirus nyandoense</t>
  </si>
  <si>
    <t>Orthobunyavirus okolaense</t>
  </si>
  <si>
    <t>Orthobunyavirus olifantsvleiense</t>
  </si>
  <si>
    <t>Orthobunyavirus oribocaense</t>
  </si>
  <si>
    <t>Orthobunyavirus oropoucheense</t>
  </si>
  <si>
    <t>Orthobunyavirus oyoense</t>
  </si>
  <si>
    <t>Orthobunyavirus pacoraense</t>
  </si>
  <si>
    <t>Orthobunyavirus patoisense</t>
  </si>
  <si>
    <t>Orthobunyavirus peachesterense</t>
  </si>
  <si>
    <t>Orthobunyavirus porteiraense</t>
  </si>
  <si>
    <t>Orthobunyavirus potosiense</t>
  </si>
  <si>
    <t>Orthobunyavirus saboense</t>
  </si>
  <si>
    <t>Orthobunyavirus sangoense</t>
  </si>
  <si>
    <t>Orthobunyavirus sanjuanense</t>
  </si>
  <si>
    <t>Orthobunyavirus schmallenbergense</t>
  </si>
  <si>
    <t>Orthobunyavirus sedlecense</t>
  </si>
  <si>
    <t>Orthobunyavirus shermanense</t>
  </si>
  <si>
    <t>Orthobunyavirus shokweense</t>
  </si>
  <si>
    <t>Orthobunyavirus shuniense</t>
  </si>
  <si>
    <t>Orthobunyavirus simbuense</t>
  </si>
  <si>
    <t>Orthobunyavirus sororocaense</t>
  </si>
  <si>
    <t>Orthobunyavirus squalofluvii</t>
  </si>
  <si>
    <t>Orthobunyavirus tacaiumaense</t>
  </si>
  <si>
    <t>Orthobunyavirus tahynaense</t>
  </si>
  <si>
    <t>Orthobunyavirus tangaense</t>
  </si>
  <si>
    <t>Orthobunyavirus tataguineense</t>
  </si>
  <si>
    <t>Orthobunyavirus telokense</t>
  </si>
  <si>
    <t>Orthobunyavirus tensawense</t>
  </si>
  <si>
    <t>Orthobunyavirus termeilense</t>
  </si>
  <si>
    <t>Orthobunyavirus teteense</t>
  </si>
  <si>
    <t>Orthobunyavirus thimiriense</t>
  </si>
  <si>
    <t>Orthobunyavirus timboteuaense</t>
  </si>
  <si>
    <t>Orthobunyavirus trinitiense</t>
  </si>
  <si>
    <t>Orthobunyavirus turlockense</t>
  </si>
  <si>
    <t>Orthobunyavirus umbreense</t>
  </si>
  <si>
    <t>Orthobunyavirus utingaense</t>
  </si>
  <si>
    <t>Orthobunyavirus witwatersrandense</t>
  </si>
  <si>
    <t>Orthobunyavirus wolkbergense</t>
  </si>
  <si>
    <t>Orthobunyavirus wyeomyiae</t>
  </si>
  <si>
    <t>Pacuvirus caimitoense</t>
  </si>
  <si>
    <t>Pacuvirus chilibreense</t>
  </si>
  <si>
    <t>Pacuvirus evaense</t>
  </si>
  <si>
    <t>Pacuvirus pacuiense</t>
  </si>
  <si>
    <t>Pacuvirus tapirapeense</t>
  </si>
  <si>
    <t>Shangavirus shuangaoense</t>
  </si>
  <si>
    <t>Cicadellivirus</t>
  </si>
  <si>
    <t>Cicadellivirus scaphoidei</t>
  </si>
  <si>
    <t>Feravirus ferakinum</t>
  </si>
  <si>
    <t>Feravirus guaguaense</t>
  </si>
  <si>
    <t>Feravirus hemipterus</t>
  </si>
  <si>
    <t>Feravirus neuropterus</t>
  </si>
  <si>
    <t>Hymovirus chrysis</t>
  </si>
  <si>
    <t>Hymovirus chrysurae</t>
  </si>
  <si>
    <t>Jonvirus eboris</t>
  </si>
  <si>
    <t>Orthophasmavirus aedis</t>
  </si>
  <si>
    <t>Orthophasmavirus anophelae</t>
  </si>
  <si>
    <t>Orthophasmavirus barstukasense</t>
  </si>
  <si>
    <t>Orthophasmavirus chrysis</t>
  </si>
  <si>
    <t>Orthophasmavirus coleopterus</t>
  </si>
  <si>
    <t>Orthophasmavirus coredoense</t>
  </si>
  <si>
    <t>Orthophasmavirus culicis</t>
  </si>
  <si>
    <t>Orthophasmavirus flenense</t>
  </si>
  <si>
    <t>Orthophasmavirus fushunense</t>
  </si>
  <si>
    <t>Orthophasmavirus gandaense</t>
  </si>
  <si>
    <t>Orthophasmavirus hubeiense</t>
  </si>
  <si>
    <t>Orthophasmavirus kigluaikense</t>
  </si>
  <si>
    <t>Orthophasmavirus miglotasense</t>
  </si>
  <si>
    <t>Orthophasmavirus niuklukense</t>
  </si>
  <si>
    <t>Orthophasmavirus odonatus</t>
  </si>
  <si>
    <t>Orthophasmavirus philoctetis</t>
  </si>
  <si>
    <t>Orthophasmavirus sogatellae</t>
  </si>
  <si>
    <t>Orthophasmavirus wuchangense</t>
  </si>
  <si>
    <t>Orthophasmavirus wuhanense</t>
  </si>
  <si>
    <t>Sawastrivirus sanxiaense</t>
  </si>
  <si>
    <t>Wuhivirus insecti</t>
  </si>
  <si>
    <t>Bandavirus albatrossense</t>
  </si>
  <si>
    <t>Bandavirus amblyommae</t>
  </si>
  <si>
    <t>Bandavirus bhanjanagarense</t>
  </si>
  <si>
    <t>Bandavirus dabieense</t>
  </si>
  <si>
    <t>Bandavirus guertuense</t>
  </si>
  <si>
    <t>Bandavirus heartlandense</t>
  </si>
  <si>
    <t>Bandavirus kismaayoense</t>
  </si>
  <si>
    <t>Bandavirus razdanense</t>
  </si>
  <si>
    <t>Bandavirus zwieselense</t>
  </si>
  <si>
    <t>Beidivirus muscae</t>
  </si>
  <si>
    <t>Citricivirus</t>
  </si>
  <si>
    <t>Citricivirus chongqinense</t>
  </si>
  <si>
    <t>Coguvirus chinense</t>
  </si>
  <si>
    <t>Coguvirus citri</t>
  </si>
  <si>
    <t>Coguvirus citrulli</t>
  </si>
  <si>
    <t>Coguvirus henanense</t>
  </si>
  <si>
    <t>Coguvirus viticulum</t>
  </si>
  <si>
    <t>Coguvirus yunnanense</t>
  </si>
  <si>
    <t>Entovirus entoleucae</t>
  </si>
  <si>
    <t>Goukovirus aphalarae</t>
  </si>
  <si>
    <t>Goukovirus ceraphri</t>
  </si>
  <si>
    <t>Goukovirus cumutoense</t>
  </si>
  <si>
    <t>Goukovirus gouleakoense</t>
  </si>
  <si>
    <t>Goukovirus yichangense</t>
  </si>
  <si>
    <t>Horwuvirus fitzroyense</t>
  </si>
  <si>
    <t>Horwuvirus solenopsidis</t>
  </si>
  <si>
    <t>Horwuvirus wuhanense</t>
  </si>
  <si>
    <t>Hudivirus muscae</t>
  </si>
  <si>
    <t>Hudovirus lepidopteris</t>
  </si>
  <si>
    <t>Ixovirus heckscherense</t>
  </si>
  <si>
    <t>Ixovirus ixodis</t>
  </si>
  <si>
    <t>Ixovirus norvegiae</t>
  </si>
  <si>
    <t>Laulavirus alphaviticulum</t>
  </si>
  <si>
    <t>Laulavirus betaviticulum</t>
  </si>
  <si>
    <t>Laulavirus gammaviticulum</t>
  </si>
  <si>
    <t>Laulavirus laurelense</t>
  </si>
  <si>
    <t>Laulavirus wardellense</t>
  </si>
  <si>
    <t>Lentinuvirus lentinulae</t>
  </si>
  <si>
    <t>Mobuvirus arnae</t>
  </si>
  <si>
    <t>Mobuvirus mothrae</t>
  </si>
  <si>
    <t>Mobuvirus narangueense</t>
  </si>
  <si>
    <t>Mobuvirus stephanocirci</t>
  </si>
  <si>
    <t>Phasivirus baduense</t>
  </si>
  <si>
    <t>Phasivirus guadeloupeense</t>
  </si>
  <si>
    <t>Phasivirus hubeiense</t>
  </si>
  <si>
    <t>Phasivirus parryense</t>
  </si>
  <si>
    <t>Phasivirus phasiense</t>
  </si>
  <si>
    <t>Phasivirus wuhanense</t>
  </si>
  <si>
    <t>Phasivirus wutaiense</t>
  </si>
  <si>
    <t>Phlebovirus adanaense</t>
  </si>
  <si>
    <t>Phlebovirus aguacateense</t>
  </si>
  <si>
    <t>Phlebovirus alcubeense</t>
  </si>
  <si>
    <t>Phlebovirus alenquerense</t>
  </si>
  <si>
    <t>Phlebovirus almendrasense</t>
  </si>
  <si>
    <t>Phlebovirus ambeense</t>
  </si>
  <si>
    <t>Phlebovirus anhangaense</t>
  </si>
  <si>
    <t>Phlebovirus arumowotense</t>
  </si>
  <si>
    <t>Phlebovirus bogoriaense</t>
  </si>
  <si>
    <t>Phlebovirus buenaventuraense</t>
  </si>
  <si>
    <t>Phlebovirus bujaruense</t>
  </si>
  <si>
    <t>Phlebovirus cacaoense</t>
  </si>
  <si>
    <t>Phlebovirus campanaense</t>
  </si>
  <si>
    <t>Phlebovirus candiruense</t>
  </si>
  <si>
    <t>Phlebovirus chagresense</t>
  </si>
  <si>
    <t>Phlebovirus claroense</t>
  </si>
  <si>
    <t>Phlebovirus cocleense</t>
  </si>
  <si>
    <t>Phlebovirus corfouense</t>
  </si>
  <si>
    <t>Phlebovirus dashliense</t>
  </si>
  <si>
    <t>Phlebovirus duraniaense</t>
  </si>
  <si>
    <t>Phlebovirus echarateense</t>
  </si>
  <si>
    <t>Phlebovirus embossosense</t>
  </si>
  <si>
    <t>Phlebovirus florisense</t>
  </si>
  <si>
    <t>Phlebovirus gabekense</t>
  </si>
  <si>
    <t>Phlebovirus gloriaense</t>
  </si>
  <si>
    <t>Phlebovirus gordilense</t>
  </si>
  <si>
    <t>Phlebovirus hediense</t>
  </si>
  <si>
    <t>Phlebovirus icoaraciense</t>
  </si>
  <si>
    <t>Phlebovirus itaitubaense</t>
  </si>
  <si>
    <t>Phlebovirus itaporangaense</t>
  </si>
  <si>
    <t>Phlebovirus ixcanalense</t>
  </si>
  <si>
    <t>Phlebovirus karimabadense</t>
  </si>
  <si>
    <t>Phlebovirus kiborgochense</t>
  </si>
  <si>
    <t>Phlebovirus leticiaense</t>
  </si>
  <si>
    <t>Phlebovirus maldonadoense</t>
  </si>
  <si>
    <t>Phlebovirus massiliaense</t>
  </si>
  <si>
    <t>Phlebovirus medjerdaense</t>
  </si>
  <si>
    <t>Phlebovirus monagritaense</t>
  </si>
  <si>
    <t>Phlebovirus mukawaense</t>
  </si>
  <si>
    <t>Phlebovirus mungubaense</t>
  </si>
  <si>
    <t>Phlebovirus napoliense</t>
  </si>
  <si>
    <t>Phlebovirus niqueense</t>
  </si>
  <si>
    <t>Phlebovirus ntepesense</t>
  </si>
  <si>
    <t>Phlebovirus odrenisrouense</t>
  </si>
  <si>
    <t>Phlebovirus oriximinaense</t>
  </si>
  <si>
    <t>Phlebovirus pantanalense</t>
  </si>
  <si>
    <t>Phlebovirus penablancaense</t>
  </si>
  <si>
    <t>Phlebovirus penshurtense</t>
  </si>
  <si>
    <t>Phlebovirus perkerraense</t>
  </si>
  <si>
    <t>Phlebovirus puniqueense</t>
  </si>
  <si>
    <t>Phlebovirus riftense</t>
  </si>
  <si>
    <t>Phlebovirus riograndense</t>
  </si>
  <si>
    <t>Phlebovirus salangaense</t>
  </si>
  <si>
    <t>Phlebovirus salehabadense</t>
  </si>
  <si>
    <t>Phlebovirus saloboense</t>
  </si>
  <si>
    <t>Phlebovirus siciliaense</t>
  </si>
  <si>
    <t>Phlebovirus taparaense</t>
  </si>
  <si>
    <t>Phlebovirus tehranense</t>
  </si>
  <si>
    <t>Phlebovirus ticoense</t>
  </si>
  <si>
    <t>Phlebovirus toroense</t>
  </si>
  <si>
    <t>Phlebovirus torosense</t>
  </si>
  <si>
    <t>Phlebovirus toscanaense</t>
  </si>
  <si>
    <t>Phlebovirus turunaense</t>
  </si>
  <si>
    <t>Phlebovirus uriuranaense</t>
  </si>
  <si>
    <t>Phlebovirus urucuriense</t>
  </si>
  <si>
    <t>Phlebovirus zerdaliense</t>
  </si>
  <si>
    <t>Pidchovirus pidgei</t>
  </si>
  <si>
    <t>Pidchovirus stethori</t>
  </si>
  <si>
    <t>Rubodvirus argentinaense</t>
  </si>
  <si>
    <t>Rubodvirus armeniaense</t>
  </si>
  <si>
    <t>Rubodvirus mali</t>
  </si>
  <si>
    <t>Rubodvirus prosserense</t>
  </si>
  <si>
    <t>Tanzavirus daressalaamense</t>
  </si>
  <si>
    <t>Tenuivirus echinochloae</t>
  </si>
  <si>
    <t>Tenuivirus eurotritici</t>
  </si>
  <si>
    <t>Tenuivirus oryzabrevis</t>
  </si>
  <si>
    <t>Tenuivirus oryzaclavatae</t>
  </si>
  <si>
    <t>Tenuivirus oryzalbae</t>
  </si>
  <si>
    <t>Tenuivirus persotritici</t>
  </si>
  <si>
    <t>Tenuivirus urochloae</t>
  </si>
  <si>
    <t>Tenuivirus zeae</t>
  </si>
  <si>
    <t>Uukuvirus dabieshanense</t>
  </si>
  <si>
    <t>Uukuvirus dermacentoris</t>
  </si>
  <si>
    <t>Uukuvirus grandarbaudense</t>
  </si>
  <si>
    <t>Uukuvirus hoplandense</t>
  </si>
  <si>
    <t>Uukuvirus huangpiense</t>
  </si>
  <si>
    <t>Uukuvirus kabutoense</t>
  </si>
  <si>
    <t>Uukuvirus kaisodiense</t>
  </si>
  <si>
    <t>Uukuvirus lihanense</t>
  </si>
  <si>
    <t>Uukuvirus macquariense</t>
  </si>
  <si>
    <t>Uukuvirus rukutamaense</t>
  </si>
  <si>
    <t>Uukuvirus schmidti</t>
  </si>
  <si>
    <t>Uukuvirus silverwaterense</t>
  </si>
  <si>
    <t>Uukuvirus tachengense</t>
  </si>
  <si>
    <t>Uukuvirus toyoense</t>
  </si>
  <si>
    <t>Uukuvirus tyulenyense</t>
  </si>
  <si>
    <t>Uukuvirus uriae</t>
  </si>
  <si>
    <t>Uukuvirus uukuniemiense</t>
  </si>
  <si>
    <t>Uukuvirus yongjiaense</t>
  </si>
  <si>
    <t>Wenrivirus penaei</t>
  </si>
  <si>
    <t>Orthotospovirus alstroemeriflavi</t>
  </si>
  <si>
    <t>Orthotospovirus alstroemerinecrosis</t>
  </si>
  <si>
    <t>Orthotospovirus arachianuli</t>
  </si>
  <si>
    <t>Orthotospovirus arachiflavamaculae</t>
  </si>
  <si>
    <t>Orthotospovirus arachiflavi</t>
  </si>
  <si>
    <t>Orthotospovirus arachinecrosis</t>
  </si>
  <si>
    <t>Orthotospovirus callaflavi</t>
  </si>
  <si>
    <t>Orthotospovirus capsiciflavi</t>
  </si>
  <si>
    <t>Orthotospovirus capsicimaculaflavi</t>
  </si>
  <si>
    <t>Orthotospovirus chrysanthinecrocaulis</t>
  </si>
  <si>
    <t>Orthotospovirus citrullomaculosi</t>
  </si>
  <si>
    <t>Orthotospovirus citrullonecrosis</t>
  </si>
  <si>
    <t>Orthotospovirus cucurbichlorosis</t>
  </si>
  <si>
    <t>Orthotospovirus glycininecrovenae</t>
  </si>
  <si>
    <t>Orthotospovirus hippeflavi</t>
  </si>
  <si>
    <t>Orthotospovirus impatiensnecromaculae</t>
  </si>
  <si>
    <t>Orthotospovirus iridimaculaflavi</t>
  </si>
  <si>
    <t>Orthotospovirus meloflavi</t>
  </si>
  <si>
    <t>Orthotospovirus melotessellati</t>
  </si>
  <si>
    <t>Orthotospovirus morivenae</t>
  </si>
  <si>
    <t>Orthotospovirus phaseolinecrotessellati</t>
  </si>
  <si>
    <t>Orthotospovirus polygonianuli</t>
  </si>
  <si>
    <t>Orthotospovirus tomatanuli</t>
  </si>
  <si>
    <t>Orthotospovirus tomatoflavi</t>
  </si>
  <si>
    <t>Orthotospovirus tomatomaculae</t>
  </si>
  <si>
    <t>Orthotospovirus tomatozonae</t>
  </si>
  <si>
    <t>Tulasviridae</t>
  </si>
  <si>
    <t>Orthotulasvirus</t>
  </si>
  <si>
    <t>Orthotulasvirus tulasnellae</t>
  </si>
  <si>
    <t>Wumivirus millepedae</t>
  </si>
  <si>
    <t>Tilapinevirus tilapiae</t>
  </si>
  <si>
    <t>Alphainfluenzavirus influenzae</t>
  </si>
  <si>
    <t>Betainfluenzavirus influenzae</t>
  </si>
  <si>
    <t>Deltainfluenzavirus influenzae</t>
  </si>
  <si>
    <t>Gammainfluenzavirus influenzae</t>
  </si>
  <si>
    <t>Isavirus salaris</t>
  </si>
  <si>
    <t>Mykissvirus</t>
  </si>
  <si>
    <t>Mykissvirus tructae</t>
  </si>
  <si>
    <t>Quaranjavirus araguariense</t>
  </si>
  <si>
    <t>Quaranjavirus chadense</t>
  </si>
  <si>
    <t>Quaranjavirus johnstonense</t>
  </si>
  <si>
    <t>Quaranjavirus quaranfilense</t>
  </si>
  <si>
    <t>Quaranjavirus tyulekense</t>
  </si>
  <si>
    <t>Quaranjavirus wellfleetense</t>
  </si>
  <si>
    <t>Sardinovirus</t>
  </si>
  <si>
    <t>Sardinovirus pilchardi</t>
  </si>
  <si>
    <t>Thogotovirus bourbonense</t>
  </si>
  <si>
    <t>Thogotovirus dhoriense</t>
  </si>
  <si>
    <t>Thogotovirus josense</t>
  </si>
  <si>
    <t>Thogotovirus ozense</t>
  </si>
  <si>
    <t>Thogotovirus sinuense</t>
  </si>
  <si>
    <t>Thogotovirus thailandense</t>
  </si>
  <si>
    <t>Thogotovirus thogotoense</t>
  </si>
  <si>
    <t>Thogotovirus upoluense</t>
  </si>
  <si>
    <t>Tosoviridae</t>
  </si>
  <si>
    <t>Fraservirus</t>
  </si>
  <si>
    <t>Fraservirus testudinis</t>
  </si>
  <si>
    <t>Amalgavirus allii</t>
  </si>
  <si>
    <t>Amalgavirus cepae</t>
  </si>
  <si>
    <t>Amalgavirus lycopersici</t>
  </si>
  <si>
    <t>Amalgavirus marinae</t>
  </si>
  <si>
    <t>Amalgavirus rhododendri</t>
  </si>
  <si>
    <t>Amalgavirus spinaciae</t>
  </si>
  <si>
    <t>Amalgavirus vaccinii</t>
  </si>
  <si>
    <t>Amalgavirus viciae</t>
  </si>
  <si>
    <t>Amalgavirus zosterae</t>
  </si>
  <si>
    <t>Zybavirus bailii</t>
  </si>
  <si>
    <t>Fusariviridae</t>
  </si>
  <si>
    <t>Alphafusarivirus</t>
  </si>
  <si>
    <t>Alphafusarivirus agarici</t>
  </si>
  <si>
    <t>Alphafusarivirus aspergilli</t>
  </si>
  <si>
    <t>Alphafusarivirus auriculariae</t>
  </si>
  <si>
    <t>Alphafusarivirus botryospheriae</t>
  </si>
  <si>
    <t>Alphafusarivirus botrytidis</t>
  </si>
  <si>
    <t>Alphafusarivirus fusarii</t>
  </si>
  <si>
    <t>Alphafusarivirus ioaponiae</t>
  </si>
  <si>
    <t>Alphafusarivirus italiae</t>
  </si>
  <si>
    <t>Alphafusarivirus macrophominae</t>
  </si>
  <si>
    <t>Alphafusarivirus neofusicocci</t>
  </si>
  <si>
    <t>Alphafusarivirus neurosporae</t>
  </si>
  <si>
    <t>Alphafusarivirus penicilli</t>
  </si>
  <si>
    <t>Alphafusarivirus plasmoparae</t>
  </si>
  <si>
    <t>Alphafusarivirus pleosporae</t>
  </si>
  <si>
    <t>Alphafusarivirus portobelli</t>
  </si>
  <si>
    <t>Alphafusarivirus rhizoctoniae</t>
  </si>
  <si>
    <t>Alphafusarivirus rolfsii</t>
  </si>
  <si>
    <t>Alphafusarivirus roqueforti</t>
  </si>
  <si>
    <t>Alphafusarivirus roselliniae</t>
  </si>
  <si>
    <t>Alphafusarivirus rutstroemiae</t>
  </si>
  <si>
    <t>Alphafusarivirus sclerotii</t>
  </si>
  <si>
    <t>Alphafusarivirus zymoseptoriae</t>
  </si>
  <si>
    <t>Betafusarivirus</t>
  </si>
  <si>
    <t>Betafusarivirus alternariae</t>
  </si>
  <si>
    <t>Betafusarivirus botrytidis</t>
  </si>
  <si>
    <t>Betafusarivirus brasiliensis</t>
  </si>
  <si>
    <t>Betafusarivirus crassae</t>
  </si>
  <si>
    <t>Betafusarivirus hispaniae</t>
  </si>
  <si>
    <t>Betafusarivirus homeocarpa</t>
  </si>
  <si>
    <t>Betafusarivirus iberiae</t>
  </si>
  <si>
    <t>Betafusarivirus neurosporae</t>
  </si>
  <si>
    <t>Betafusarivirus rhizoctoniae</t>
  </si>
  <si>
    <t>Betafusarivirus sclerotiniae</t>
  </si>
  <si>
    <t>Betafusarivirus sinensis</t>
  </si>
  <si>
    <t>Gammafusarivirus</t>
  </si>
  <si>
    <t>Gammafusarivirus lentinualea</t>
  </si>
  <si>
    <t>Alphahypovirus</t>
  </si>
  <si>
    <t>Alphahypovirus alternariae</t>
  </si>
  <si>
    <t>Alphahypovirus americanum</t>
  </si>
  <si>
    <t>Alphahypovirus bipolaridis</t>
  </si>
  <si>
    <t>Alphahypovirus botrytidis</t>
  </si>
  <si>
    <t>Alphahypovirus cryphonectriae</t>
  </si>
  <si>
    <t>Alphahypovirus fusarii</t>
  </si>
  <si>
    <t>Alphahypovirus insecti</t>
  </si>
  <si>
    <t>Alphahypovirus japonicum</t>
  </si>
  <si>
    <t>Alphahypovirus macrophominae</t>
  </si>
  <si>
    <t>Alphahypovirus sacchari</t>
  </si>
  <si>
    <t>Alphahypovirus trichodermae</t>
  </si>
  <si>
    <t>Betahypovirus</t>
  </si>
  <si>
    <t>Betahypovirus americanum</t>
  </si>
  <si>
    <t>Betahypovirus cryphonectriae</t>
  </si>
  <si>
    <t>Betahypovirus fusarii</t>
  </si>
  <si>
    <t>Betahypovirus phomopsis</t>
  </si>
  <si>
    <t>Betahypovirus sclerotiniae</t>
  </si>
  <si>
    <t>Betahypovirus setosphaeriae</t>
  </si>
  <si>
    <t>Betahypovirus sinensis</t>
  </si>
  <si>
    <t>Betahypovirus trichodermae</t>
  </si>
  <si>
    <t>Betahypovirus valsae</t>
  </si>
  <si>
    <t>Deltahypovirus</t>
  </si>
  <si>
    <t>Deltahypovirus sinicum</t>
  </si>
  <si>
    <t>Deltahypovirus sipunculidi</t>
  </si>
  <si>
    <t>Epsilonhypovirus</t>
  </si>
  <si>
    <t>Epsilonhypovirus agarici</t>
  </si>
  <si>
    <t>Epsilonhypovirus entoleucae</t>
  </si>
  <si>
    <t>Epsilonhypovirus japonicum</t>
  </si>
  <si>
    <t>Epsilonhypovirus roselliniae</t>
  </si>
  <si>
    <t>Epsilonhypovirus sclerotiniae</t>
  </si>
  <si>
    <t>Epsilonhypovirus sinicum</t>
  </si>
  <si>
    <t>Etahypovirus</t>
  </si>
  <si>
    <t>Etahypovirus sclerotii</t>
  </si>
  <si>
    <t>Gammahypovirus</t>
  </si>
  <si>
    <t>Gammahypovirus atheliae</t>
  </si>
  <si>
    <t>Gammahypovirus meridionalis</t>
  </si>
  <si>
    <t>Gammahypovirus sclerotii</t>
  </si>
  <si>
    <t>Gammahypovirus sinensis</t>
  </si>
  <si>
    <t>Gammahypovirus uredi</t>
  </si>
  <si>
    <t>Thetahypovirus</t>
  </si>
  <si>
    <t>Thetahypovirus botrytidis</t>
  </si>
  <si>
    <t>Thetahypovirus rhizoctoniae</t>
  </si>
  <si>
    <t>Thetahypovirus sclerotii</t>
  </si>
  <si>
    <t>Thetahypovirus sclerotiniae</t>
  </si>
  <si>
    <t>Zetahypovirus</t>
  </si>
  <si>
    <t>Zetahypovirus sclerotiniae</t>
  </si>
  <si>
    <t>Orthopicobirnavirus</t>
  </si>
  <si>
    <t>Orthopicobirnavirus beihaiense</t>
  </si>
  <si>
    <t>Orthopicobirnavirus equi</t>
  </si>
  <si>
    <t>Orthopicobirnavirus hominis</t>
  </si>
  <si>
    <t>Becregavirinae</t>
  </si>
  <si>
    <t>Sicregavirus</t>
  </si>
  <si>
    <t>Trisihevirus</t>
  </si>
  <si>
    <t>Sicregavirus nixi</t>
  </si>
  <si>
    <t>Amalacovirus</t>
  </si>
  <si>
    <t>Alphacoronavirus AMALF</t>
  </si>
  <si>
    <t>Alphacoronavirus CHB25</t>
  </si>
  <si>
    <t>Alphacoronavirus WA3607</t>
  </si>
  <si>
    <t>Alphacoronavirus HKU33</t>
  </si>
  <si>
    <t>Alphacoronavirus WA2028</t>
  </si>
  <si>
    <t>Alphacoronavirus BT020</t>
  </si>
  <si>
    <t>Alphacoronavirus WA1087</t>
  </si>
  <si>
    <t>Pitovirinae</t>
  </si>
  <si>
    <t>Alphapironavirus</t>
  </si>
  <si>
    <t>Samovirus</t>
  </si>
  <si>
    <t>Alphapironavirus bona</t>
  </si>
  <si>
    <t>Yilivirus</t>
  </si>
  <si>
    <t>Alphamesonivirus 11</t>
  </si>
  <si>
    <t>Menanivirinae</t>
  </si>
  <si>
    <t>Nasenivirus</t>
  </si>
  <si>
    <t>Insemevirus</t>
  </si>
  <si>
    <t>Insemevirus tami</t>
  </si>
  <si>
    <t>Metotonivirinae</t>
  </si>
  <si>
    <t>Tocinivirus</t>
  </si>
  <si>
    <t>Acimevirus</t>
  </si>
  <si>
    <t>Tocinivirus aphisi</t>
  </si>
  <si>
    <t>Tofonivirus</t>
  </si>
  <si>
    <t>Fomevirus</t>
  </si>
  <si>
    <t>Tofonivirus foami</t>
  </si>
  <si>
    <t>Nimanivirus</t>
  </si>
  <si>
    <t>Marovirus</t>
  </si>
  <si>
    <t>Nimanivirus lahi</t>
  </si>
  <si>
    <t>Okavirus branchiae</t>
  </si>
  <si>
    <t>Okavirus flavicapitis</t>
  </si>
  <si>
    <t>Okavirus orientale</t>
  </si>
  <si>
    <t>Selatovirus</t>
  </si>
  <si>
    <t>Infratovirus latu</t>
  </si>
  <si>
    <t>Chalatovirus</t>
  </si>
  <si>
    <t>Lyctovirus alpa</t>
  </si>
  <si>
    <t>Pregotovirus heba</t>
  </si>
  <si>
    <t>Septovirus</t>
  </si>
  <si>
    <t>Sekatovirus</t>
  </si>
  <si>
    <t>Septovirus foka</t>
  </si>
  <si>
    <t>Sertovirus</t>
  </si>
  <si>
    <t>Serecovirus</t>
  </si>
  <si>
    <t>Sertovirus cona</t>
  </si>
  <si>
    <t>Vebetovirus</t>
  </si>
  <si>
    <t>Chabetovirus</t>
  </si>
  <si>
    <t>Vebetovirus paba</t>
  </si>
  <si>
    <t>Bantovirus</t>
  </si>
  <si>
    <t>Torovirus banli</t>
  </si>
  <si>
    <t>Aparavirus apisacutum</t>
  </si>
  <si>
    <t>Aparavirus cancerluti</t>
  </si>
  <si>
    <t>Aparavirus israelense</t>
  </si>
  <si>
    <t>Aparavirus kashmirense</t>
  </si>
  <si>
    <t>Aparavirus tauraense</t>
  </si>
  <si>
    <t>Aparavirus vallesi</t>
  </si>
  <si>
    <t>Cripavirus drosophilae</t>
  </si>
  <si>
    <t>Cripavirus grylli</t>
  </si>
  <si>
    <t>Cripavirus mortiferum</t>
  </si>
  <si>
    <t>Cripavirus porteri</t>
  </si>
  <si>
    <t>Cripavirus ropadi</t>
  </si>
  <si>
    <t>Triatovirus himetobi</t>
  </si>
  <si>
    <t>Triatovirus hocoagulatae</t>
  </si>
  <si>
    <t>Triatovirus nigereginacellulae</t>
  </si>
  <si>
    <t>Triatovirus plastali</t>
  </si>
  <si>
    <t>Triatovirus triatomae</t>
  </si>
  <si>
    <t>Iflavirus achedomestici</t>
  </si>
  <si>
    <t>Iflavirus aladeformis</t>
  </si>
  <si>
    <t>Iflavirus apistardum</t>
  </si>
  <si>
    <t>Iflavirus betaspexiguae</t>
  </si>
  <si>
    <t>Iflavirus brebrassicae</t>
  </si>
  <si>
    <t>Iflavirus dinococcinellae</t>
  </si>
  <si>
    <t>Iflavirus ectobliquae</t>
  </si>
  <si>
    <t>Iflavirus flacherie</t>
  </si>
  <si>
    <t>Iflavirus lineacelli</t>
  </si>
  <si>
    <t>Iflavirus lylineolaris</t>
  </si>
  <si>
    <t>Iflavirus nilalugentis</t>
  </si>
  <si>
    <t>Iflavirus pernudae</t>
  </si>
  <si>
    <t>Iflavirus sacbroodi</t>
  </si>
  <si>
    <t>Iflavirus spexiguae</t>
  </si>
  <si>
    <t>Iflavirus vadestruente</t>
  </si>
  <si>
    <t>Iflavirus vomitus</t>
  </si>
  <si>
    <t>Noraviridae</t>
  </si>
  <si>
    <t>Orthonoravirus</t>
  </si>
  <si>
    <t>Orthonoravirus melanogastri</t>
  </si>
  <si>
    <t>Caphthovirinae</t>
  </si>
  <si>
    <t>Ensavirinae</t>
  </si>
  <si>
    <t>Heptrevirinae</t>
  </si>
  <si>
    <t>Kodimesavirinae</t>
  </si>
  <si>
    <t>Paavivirinae</t>
  </si>
  <si>
    <t>Comovirus andesense</t>
  </si>
  <si>
    <t>Comovirus arabidopsis</t>
  </si>
  <si>
    <t>Comovirus capsici</t>
  </si>
  <si>
    <t>Comovirus cucurbitae</t>
  </si>
  <si>
    <t>Comovirus fabae</t>
  </si>
  <si>
    <t>Comovirus glycinis</t>
  </si>
  <si>
    <t>Comovirus musivi</t>
  </si>
  <si>
    <t>Comovirus phaseoli</t>
  </si>
  <si>
    <t>Comovirus pisi</t>
  </si>
  <si>
    <t>Comovirus rapae</t>
  </si>
  <si>
    <t>Comovirus raphani</t>
  </si>
  <si>
    <t>Comovirus rugomusivum</t>
  </si>
  <si>
    <t>Comovirus severum</t>
  </si>
  <si>
    <t>Comovirus siliquae</t>
  </si>
  <si>
    <t>Comovirus strophostylis</t>
  </si>
  <si>
    <t>Comovirus trifolii</t>
  </si>
  <si>
    <t>Comovirus ulluci</t>
  </si>
  <si>
    <t>Comovirus viciae</t>
  </si>
  <si>
    <t>Comovirus vignae</t>
  </si>
  <si>
    <t>Fabavirus alphaviciae</t>
  </si>
  <si>
    <t>Fabavirus betaviciae</t>
  </si>
  <si>
    <t>Fabavirus cucurbitaceae</t>
  </si>
  <si>
    <t>Fabavirus gentianae</t>
  </si>
  <si>
    <t>Fabavirus lamii</t>
  </si>
  <si>
    <t>Fabavirus persicae</t>
  </si>
  <si>
    <t>Fabavirus pruni</t>
  </si>
  <si>
    <t>Fabavirus vitis</t>
  </si>
  <si>
    <t>Nepovirus aegaeum</t>
  </si>
  <si>
    <t>Nepovirus aeonii</t>
  </si>
  <si>
    <t>Nepovirus alphavitis</t>
  </si>
  <si>
    <t>Nepovirus americaense</t>
  </si>
  <si>
    <t>Nepovirus anatoliense</t>
  </si>
  <si>
    <t>Nepovirus anemones</t>
  </si>
  <si>
    <t>Nepovirus arabis</t>
  </si>
  <si>
    <t>Nepovirus armeniacae</t>
  </si>
  <si>
    <t>Nepovirus arracaciae</t>
  </si>
  <si>
    <t>Nepovirus australiaense</t>
  </si>
  <si>
    <t>Nepovirus avii</t>
  </si>
  <si>
    <t>Nepovirus betae</t>
  </si>
  <si>
    <t>Nepovirus betasolani</t>
  </si>
  <si>
    <t>Nepovirus bulgariense</t>
  </si>
  <si>
    <t>Nepovirus cari</t>
  </si>
  <si>
    <t>Nepovirus cerasiferae</t>
  </si>
  <si>
    <t>Nepovirus chromusivum</t>
  </si>
  <si>
    <t>Nepovirus cichorii</t>
  </si>
  <si>
    <t>Nepovirus cucumis</t>
  </si>
  <si>
    <t>Nepovirus cycas</t>
  </si>
  <si>
    <t>Nepovirus cynarae</t>
  </si>
  <si>
    <t>Nepovirus deformationis</t>
  </si>
  <si>
    <t>Nepovirus foliumflabelli</t>
  </si>
  <si>
    <t>Nepovirus glycinis</t>
  </si>
  <si>
    <t>Nepovirus hibisci</t>
  </si>
  <si>
    <t>Nepovirus italiaense</t>
  </si>
  <si>
    <t>Nepovirus lycopersici</t>
  </si>
  <si>
    <t>Nepovirus maculanulatum</t>
  </si>
  <si>
    <t>Nepovirus manihotis</t>
  </si>
  <si>
    <t>Nepovirus mori</t>
  </si>
  <si>
    <t>Nepovirus myrtilli</t>
  </si>
  <si>
    <t>Nepovirus nicotianae</t>
  </si>
  <si>
    <t>Nepovirus nigranuli</t>
  </si>
  <si>
    <t>Nepovirus oleae</t>
  </si>
  <si>
    <t>Nepovirus persicae</t>
  </si>
  <si>
    <t>Nepovirus petuniae</t>
  </si>
  <si>
    <t>Nepovirus poaceae</t>
  </si>
  <si>
    <t>Nepovirus pratensis</t>
  </si>
  <si>
    <t>Nepovirus ribis</t>
  </si>
  <si>
    <t>Nepovirus rubi</t>
  </si>
  <si>
    <t>Nepovirus sichuanense</t>
  </si>
  <si>
    <t>Nepovirus solani</t>
  </si>
  <si>
    <t>Nepovirus stenotaphri</t>
  </si>
  <si>
    <t>Nepovirus theobromatis</t>
  </si>
  <si>
    <t>Nepovirus trifolii</t>
  </si>
  <si>
    <t>Nepovirus tunisiaense</t>
  </si>
  <si>
    <t>Nepovirus usolani</t>
  </si>
  <si>
    <t>Nepovirus vaccinii</t>
  </si>
  <si>
    <t>Cheravirus arracaciae</t>
  </si>
  <si>
    <t>Cheravirus avii</t>
  </si>
  <si>
    <t>Cheravirus mali</t>
  </si>
  <si>
    <t>Cheravirus pruni</t>
  </si>
  <si>
    <t>Cheravirus ribis</t>
  </si>
  <si>
    <t>Sadwavirus alphananas</t>
  </si>
  <si>
    <t>Sadwavirus betananas</t>
  </si>
  <si>
    <t>Sadwavirus dioscoreae</t>
  </si>
  <si>
    <t>Sadwavirus fritillariae</t>
  </si>
  <si>
    <t>Sadwavirus citri</t>
  </si>
  <si>
    <t>Sadwavirus aciphyllae</t>
  </si>
  <si>
    <t>Sadwavirus fragariae</t>
  </si>
  <si>
    <t>Sadwavirus lactucae</t>
  </si>
  <si>
    <t>Sadwavirus rubi</t>
  </si>
  <si>
    <t>Sequivirus carotae</t>
  </si>
  <si>
    <t>Sequivirus pastinacae</t>
  </si>
  <si>
    <t>Sequivirus stellatum</t>
  </si>
  <si>
    <t>Sequivirus taraxaci</t>
  </si>
  <si>
    <t>Stralarivirus</t>
  </si>
  <si>
    <t>Stralarivirus fragariae</t>
  </si>
  <si>
    <t>Stralarivirus lychnis</t>
  </si>
  <si>
    <t>Torradovirus cardiacae</t>
  </si>
  <si>
    <t>Torradovirus carotae</t>
  </si>
  <si>
    <t>Torradovirus codonopsis</t>
  </si>
  <si>
    <t>Torradovirus cucurbitae</t>
  </si>
  <si>
    <t>Torradovirus lactucae</t>
  </si>
  <si>
    <t>Torradovirus lycopersici</t>
  </si>
  <si>
    <t>Torradovirus manihotis</t>
  </si>
  <si>
    <t>Torradovirus marchitezum</t>
  </si>
  <si>
    <t>Waikavirus actinidiae</t>
  </si>
  <si>
    <t>Waikavirus anthrisci</t>
  </si>
  <si>
    <t>Waikavirus brassicae</t>
  </si>
  <si>
    <t>Waikavirus camelliae</t>
  </si>
  <si>
    <t>Waikavirus campanulae</t>
  </si>
  <si>
    <t>Waikavirus diospyri</t>
  </si>
  <si>
    <t>Waikavirus liegense</t>
  </si>
  <si>
    <t>Waikavirus oryzae</t>
  </si>
  <si>
    <t>Waikavirus ribesnigri</t>
  </si>
  <si>
    <t>Waikavirus rosae</t>
  </si>
  <si>
    <t>Waikavirus trifolii</t>
  </si>
  <si>
    <t>Waikavirus zeae</t>
  </si>
  <si>
    <t>Sobemovirus smamv</t>
  </si>
  <si>
    <t>Macluravirus amomulineae</t>
  </si>
  <si>
    <t>Potyvirus achyranthis</t>
  </si>
  <si>
    <t>Potyvirus anemones</t>
  </si>
  <si>
    <t>Potyvirus ashitabae</t>
  </si>
  <si>
    <t>Potyvirus cliviaflavilineae</t>
  </si>
  <si>
    <t>Potyvirus fountaingrassi</t>
  </si>
  <si>
    <t>Potyvirus gladioli</t>
  </si>
  <si>
    <t>Potyvirus mirabilis</t>
  </si>
  <si>
    <t>Potyvirus pleioblasti</t>
  </si>
  <si>
    <t>Potyvirus scorzaureum</t>
  </si>
  <si>
    <t>Potyvirus tagetis</t>
  </si>
  <si>
    <t>Potyvirus thladiatessellati</t>
  </si>
  <si>
    <t>Yadokarivirales</t>
  </si>
  <si>
    <t>Yadokariviridae</t>
  </si>
  <si>
    <t>Alphayadokarivirus</t>
  </si>
  <si>
    <t>Alphayadokarivirus gobani</t>
  </si>
  <si>
    <t>Alphayadokarivirus ichibani</t>
  </si>
  <si>
    <t>Alphayadokarivirus nibani</t>
  </si>
  <si>
    <t>Alphayadokarivirus rokubani</t>
  </si>
  <si>
    <t>Alphayadokarivirus sanbani</t>
  </si>
  <si>
    <t>Alphayadokarivirus yonbani</t>
  </si>
  <si>
    <t>Betayadokarivirus</t>
  </si>
  <si>
    <t>Betayadokarivirus ichibani</t>
  </si>
  <si>
    <t>Betayadokarivirus nibani</t>
  </si>
  <si>
    <t>Betayadokarivirus sanbani</t>
  </si>
  <si>
    <t>Betayadokarivirus yonbani</t>
  </si>
  <si>
    <t>Hadakaviridae</t>
  </si>
  <si>
    <t>Hadakavirus</t>
  </si>
  <si>
    <t>Hadakavirus nanga</t>
  </si>
  <si>
    <t>Aquabirnavirus ascitae</t>
  </si>
  <si>
    <t>Aquabirnavirus salmonidae</t>
  </si>
  <si>
    <t>Aquabirnavirus tellinae</t>
  </si>
  <si>
    <t>Avibirnavirus gumboroense</t>
  </si>
  <si>
    <t>Blosnavirus channae</t>
  </si>
  <si>
    <t>Blosnavirus lati</t>
  </si>
  <si>
    <t>Dronavirus drosophilae</t>
  </si>
  <si>
    <t>Entomobirnavirus anophelae</t>
  </si>
  <si>
    <t>Entomobirnavirus drosophilae</t>
  </si>
  <si>
    <t>Ronavirus rotiferae</t>
  </si>
  <si>
    <t>Telnavirus tellinae</t>
  </si>
  <si>
    <t>Badnavirus aglaonemae</t>
  </si>
  <si>
    <t>Badnavirus alphacolocalasiae</t>
  </si>
  <si>
    <t>Badnavirus alphadioscoreae</t>
  </si>
  <si>
    <t>Badnavirus alphainflatheobromae</t>
  </si>
  <si>
    <t>Badnavirus alphamaculaflavicannae</t>
  </si>
  <si>
    <t>Badnavirus alphananas</t>
  </si>
  <si>
    <t>Badnavirus alphasacchari</t>
  </si>
  <si>
    <t>Badnavirus alphavirgamusae</t>
  </si>
  <si>
    <t>Badnavirus betacolocalasiae</t>
  </si>
  <si>
    <t>Badnavirus betadioscoreae</t>
  </si>
  <si>
    <t>Badnavirus betainflatheobromae</t>
  </si>
  <si>
    <t>Badnavirus betamaculaflavicannae</t>
  </si>
  <si>
    <t>Badnavirus betananas</t>
  </si>
  <si>
    <t>Badnavirus betasasacchari</t>
  </si>
  <si>
    <t>Badnavirus betavirgamusae</t>
  </si>
  <si>
    <t>Badnavirus decoloratiovitis</t>
  </si>
  <si>
    <t>Badnavirus deltadioscoreae</t>
  </si>
  <si>
    <t>Badnavirus deltainflatheobromae</t>
  </si>
  <si>
    <t>Badnavirus deltasacchari</t>
  </si>
  <si>
    <t>Badnavirus deltavirgamusae</t>
  </si>
  <si>
    <t>Badnavirus epsilondioscoreae</t>
  </si>
  <si>
    <t>Badnavirus epsiloninflatheobromae</t>
  </si>
  <si>
    <t>Badnavirus epsilonvirgamusae</t>
  </si>
  <si>
    <t>Badnavirus etadioscoreae</t>
  </si>
  <si>
    <t>Badnavirus etainflatheobromae</t>
  </si>
  <si>
    <t>Badnavirus etavirgamusae</t>
  </si>
  <si>
    <t>Badnavirus fici</t>
  </si>
  <si>
    <t>Badnavirus gammadioscoreae</t>
  </si>
  <si>
    <t>Badnavirus gammainflatheobromae</t>
  </si>
  <si>
    <t>Badnavirus gammasacchari</t>
  </si>
  <si>
    <t>Badnavirus gammavirgamusae</t>
  </si>
  <si>
    <t>Badnavirus iotavirgamusae</t>
  </si>
  <si>
    <t>Badnavirus maculacommelinae</t>
  </si>
  <si>
    <t>Badnavirus maculadracaenae</t>
  </si>
  <si>
    <t>Badnavirus maculaepiphylli</t>
  </si>
  <si>
    <t>Badnavirus maculahederae</t>
  </si>
  <si>
    <t>Badnavirus maculakalanchoes</t>
  </si>
  <si>
    <t>Badnavirus maculapiperis</t>
  </si>
  <si>
    <t>Badnavirus maculasmallanthi</t>
  </si>
  <si>
    <t>Badnavirus maculaspiraeae</t>
  </si>
  <si>
    <t>Badnavirus maculaucubae</t>
  </si>
  <si>
    <t>Badnavirus meliae</t>
  </si>
  <si>
    <t>Badnavirus mori</t>
  </si>
  <si>
    <t>Badnavirus necrozamiae</t>
  </si>
  <si>
    <t>Badnavirus occultipomeae</t>
  </si>
  <si>
    <t>Badnavirus phirubi</t>
  </si>
  <si>
    <t>Badnavirus reterubi</t>
  </si>
  <si>
    <t>Badnavirus rutilanscamelliae</t>
  </si>
  <si>
    <t>Badnavirus tessellocastaneae</t>
  </si>
  <si>
    <t>Badnavirus tessellocitri</t>
  </si>
  <si>
    <t>Badnavirus tessellopolysciatis</t>
  </si>
  <si>
    <t>Badnavirus tessellostyphnolobii</t>
  </si>
  <si>
    <t>Badnavirus tessellotheobromae</t>
  </si>
  <si>
    <t>Badnavirus tesselloziziphi</t>
  </si>
  <si>
    <t>Badnavirus tetadioscoreae</t>
  </si>
  <si>
    <t>Badnavirus theobromae</t>
  </si>
  <si>
    <t>Badnavirus thetavirgamusae</t>
  </si>
  <si>
    <t>Badnavirus venabougainvilleae</t>
  </si>
  <si>
    <t>Badnavirus venacodonopsis</t>
  </si>
  <si>
    <t>Badnavirus venaribis</t>
  </si>
  <si>
    <t>Badnavirus venatheobromae</t>
  </si>
  <si>
    <t>Badnavirus venavitis</t>
  </si>
  <si>
    <t>Badnavirus venazanthoxyli</t>
  </si>
  <si>
    <t>Badnavirus vitis</t>
  </si>
  <si>
    <t>Badnavirus volubetulae</t>
  </si>
  <si>
    <t>Badnavirus wisteriae</t>
  </si>
  <si>
    <t>Badnavirus zetadioscoreae</t>
  </si>
  <si>
    <t>Badnavirus zetainflatheobromae</t>
  </si>
  <si>
    <t>Badnavirus zetavirgamusae</t>
  </si>
  <si>
    <t>Caulimovirus deformatiolamii</t>
  </si>
  <si>
    <t>Caulimovirus glycinis</t>
  </si>
  <si>
    <t>Caulimovirus incidianthi</t>
  </si>
  <si>
    <t>Caulimovirus latensarmoraciae</t>
  </si>
  <si>
    <t>Caulimovirus maculacirsii</t>
  </si>
  <si>
    <t>Caulimovirus maculatractylodei</t>
  </si>
  <si>
    <t>Caulimovirus metaplexis</t>
  </si>
  <si>
    <t>Caulimovirus minutangelicae</t>
  </si>
  <si>
    <t>Caulimovirus tessellobrassicae</t>
  </si>
  <si>
    <t>Caulimovirus tessellodahliae</t>
  </si>
  <si>
    <t>Caulimovirus tessellomirabilis</t>
  </si>
  <si>
    <t>Caulimovirus tesselloscrophulariae</t>
  </si>
  <si>
    <t>Caulimovirus venafragariae</t>
  </si>
  <si>
    <t>Cavemovirus collusipomeae</t>
  </si>
  <si>
    <t>Cavemovirus deltaepiphylli</t>
  </si>
  <si>
    <t>Cavemovirus venamanihotis</t>
  </si>
  <si>
    <t>Dioscovirus dioscoreae</t>
  </si>
  <si>
    <t>Petuvirus venapetuniae</t>
  </si>
  <si>
    <t>Rosadnavirus venarosae</t>
  </si>
  <si>
    <t>Ruflodivirus deformatiorudbeckiae</t>
  </si>
  <si>
    <t>Solendovirus venaipomeae</t>
  </si>
  <si>
    <t>Solendovirus venanicotianae</t>
  </si>
  <si>
    <t>Soymovirus crispocestri</t>
  </si>
  <si>
    <t>Soymovirus eleocharis</t>
  </si>
  <si>
    <t>Soymovirus maculaglycinis</t>
  </si>
  <si>
    <t>Soymovirus maculavaccinii</t>
  </si>
  <si>
    <t>Soymovirus virgarachidis</t>
  </si>
  <si>
    <t>Tungrovirus agapanthi</t>
  </si>
  <si>
    <t>Tungrovirus oryzae</t>
  </si>
  <si>
    <t>Vaccinivirus cadovaccinii</t>
  </si>
  <si>
    <t>Allomimiviridae</t>
  </si>
  <si>
    <t>Heliosvirus</t>
  </si>
  <si>
    <t>Heliosvirus raunefjordenense</t>
  </si>
  <si>
    <t>Oceanusvirus</t>
  </si>
  <si>
    <t>Oceanusvirus kaneohense</t>
  </si>
  <si>
    <t>Mesomimiviridae</t>
  </si>
  <si>
    <t>Tethysvirus</t>
  </si>
  <si>
    <t>Tethysvirus hollandense</t>
  </si>
  <si>
    <t>Tethysvirus ontarioense</t>
  </si>
  <si>
    <t>Tethysvirus raunefjordenense</t>
  </si>
  <si>
    <t>Aliimimivirinae</t>
  </si>
  <si>
    <t>Rheavirus</t>
  </si>
  <si>
    <t>Rheavirus sinusmexicani</t>
  </si>
  <si>
    <t>Klosneuvirinae</t>
  </si>
  <si>
    <t>Fadolivirus</t>
  </si>
  <si>
    <t>Fadolivirus algeromassiliense</t>
  </si>
  <si>
    <t>Theiavirus</t>
  </si>
  <si>
    <t>Theiavirus salishense</t>
  </si>
  <si>
    <t>Yasminevirus</t>
  </si>
  <si>
    <t>Yasminevirus saudimassiliense</t>
  </si>
  <si>
    <t>Megamimivirinae</t>
  </si>
  <si>
    <t>Cotonvirus</t>
  </si>
  <si>
    <t>Cotonvirus japonicum</t>
  </si>
  <si>
    <t>Megavirus</t>
  </si>
  <si>
    <t>Megavirus baoshanense</t>
  </si>
  <si>
    <t>Megavirus chilense</t>
  </si>
  <si>
    <t>Megavirus powaiense</t>
  </si>
  <si>
    <t>Moumouvirus</t>
  </si>
  <si>
    <t>Moumouvirus australiense</t>
  </si>
  <si>
    <t>Moumouvirus goulettemassiliense</t>
  </si>
  <si>
    <t>Moumouvirus moumou</t>
  </si>
  <si>
    <t>Tupanvirus</t>
  </si>
  <si>
    <t>Tupanvirus altamarinense</t>
  </si>
  <si>
    <t>Tupanvirus salinum</t>
  </si>
  <si>
    <t>Mimivirus bradfordmassiliense</t>
  </si>
  <si>
    <t>Mimivirus lagoaense</t>
  </si>
  <si>
    <t>Schizomimiviridae</t>
  </si>
  <si>
    <t>Biavirus</t>
  </si>
  <si>
    <t>Biavirus raunefjordenense</t>
  </si>
  <si>
    <t>Kratosvirus</t>
  </si>
  <si>
    <t>Kratosvirus quantuckense</t>
  </si>
  <si>
    <t>Ascovirus hvav3a</t>
  </si>
  <si>
    <t>Ascovirus sfav1a</t>
  </si>
  <si>
    <t>Ascovirus tnav2a</t>
  </si>
  <si>
    <t>Toursvirus dptv1a</t>
  </si>
  <si>
    <t>Mamonoviridae</t>
  </si>
  <si>
    <t>Medusavirus</t>
  </si>
  <si>
    <t>Medusavirus medusae</t>
  </si>
  <si>
    <t>Medusavirus sthenus</t>
  </si>
  <si>
    <t>Ainoaviricetes</t>
  </si>
  <si>
    <t>Lautamovirales</t>
  </si>
  <si>
    <t>Finnlakevirus FLiP</t>
  </si>
  <si>
    <t>Atroposvirales</t>
  </si>
  <si>
    <t>Skuldviridae</t>
  </si>
  <si>
    <t>Delusorvirus</t>
  </si>
  <si>
    <t>Delusorvirus cascadiense</t>
  </si>
  <si>
    <t>Delusorvirus hikurangiense</t>
  </si>
  <si>
    <t>Coyopavirales</t>
  </si>
  <si>
    <t>Chaacviridae</t>
  </si>
  <si>
    <t>Antichaacvirus</t>
  </si>
  <si>
    <t>Antichaacvirus pescaderoense</t>
  </si>
  <si>
    <t>Homochaacvirus</t>
  </si>
  <si>
    <t>Homochaacvirus californiense</t>
  </si>
  <si>
    <t>Homochaacvirus pescaderoense</t>
  </si>
  <si>
    <t>Alphatectivirus PR4</t>
  </si>
  <si>
    <t>Alphatectivirus PRD1</t>
  </si>
  <si>
    <t>Betatectivirus AP50</t>
  </si>
  <si>
    <t>Betatectivirus Bam35</t>
  </si>
  <si>
    <t>Betatectivirus GIL16</t>
  </si>
  <si>
    <t>Betatectivirus sato</t>
  </si>
  <si>
    <t>Betatectivirus sole</t>
  </si>
  <si>
    <t>Betatectivirus Wip1</t>
  </si>
  <si>
    <t>Deltatectivirus forthebois</t>
  </si>
  <si>
    <t>Deltatectivirus wheeheim</t>
  </si>
  <si>
    <t>Epsilontectivirus toil</t>
  </si>
  <si>
    <t>Gammatectivirus GC1</t>
  </si>
  <si>
    <t>Aviadenovirus leucophthalmi</t>
  </si>
  <si>
    <t>Corticovirus Cr39582</t>
  </si>
  <si>
    <t>Corticovirus PM2</t>
  </si>
  <si>
    <t>Yaraviridae</t>
  </si>
  <si>
    <t>Yaravirus</t>
  </si>
  <si>
    <t>Yaravirus brasiliense</t>
  </si>
  <si>
    <t>Hukuchivirus P2377</t>
  </si>
  <si>
    <t>Alphasphaerolipovirus HCIV1</t>
  </si>
  <si>
    <t>Alphasphaerolipovirus HHIV2</t>
  </si>
  <si>
    <t>Alphasphaerolipovirus PH1</t>
  </si>
  <si>
    <t>Alphasphaerolipovirus SH1</t>
  </si>
  <si>
    <t>Alphabaculovirus adhonmai</t>
  </si>
  <si>
    <t>Alphabaculovirus agipsilonis</t>
  </si>
  <si>
    <t>Alphabaculovirus agsegetum</t>
  </si>
  <si>
    <t>Alphabaculovirus alteragsegetum</t>
  </si>
  <si>
    <t>Alphabaculovirus alterchofumiferanae</t>
  </si>
  <si>
    <t>Alphabaculovirus alterchrincludentis</t>
  </si>
  <si>
    <t>Alphabaculovirus altermaconfiguratae</t>
  </si>
  <si>
    <t>Alphabaculovirus altermyunipunctae</t>
  </si>
  <si>
    <t>Alphabaculovirus altersperidanae</t>
  </si>
  <si>
    <t>Alphabaculovirus alterspexiguae</t>
  </si>
  <si>
    <t>Alphabaculovirus angemmatalis</t>
  </si>
  <si>
    <t>Alphabaculovirus anpernyi</t>
  </si>
  <si>
    <t>Alphabaculovirus ardigrammae</t>
  </si>
  <si>
    <t>Alphabaculovirus bomori</t>
  </si>
  <si>
    <t>Alphabaculovirus busuppressariae</t>
  </si>
  <si>
    <t>Alphabaculovirus capomonae</t>
  </si>
  <si>
    <t>Alphabaculovirus chofumiferanae</t>
  </si>
  <si>
    <t>Alphabaculovirus chomurinanae</t>
  </si>
  <si>
    <t>Alphabaculovirus chorosaceanae</t>
  </si>
  <si>
    <t>Alphabaculovirus chrincludentis</t>
  </si>
  <si>
    <t>Alphabaculovirus chrychalcites</t>
  </si>
  <si>
    <t>Alphabaculovirus clabilineatae</t>
  </si>
  <si>
    <t>Alphabaculovirus covestigialis</t>
  </si>
  <si>
    <t>Alphabaculovirus crypeltasicae</t>
  </si>
  <si>
    <t>Alphabaculovirus cycundantis</t>
  </si>
  <si>
    <t>Alphabaculovirus dijunonis</t>
  </si>
  <si>
    <t>Alphabaculovirus ecobliquae</t>
  </si>
  <si>
    <t>Alphabaculovirus eppostvittanae</t>
  </si>
  <si>
    <t>Alphabaculovirus erankerariae</t>
  </si>
  <si>
    <t>Alphabaculovirus eupseudoconspersae</t>
  </si>
  <si>
    <t>Alphabaculovirus helarmigerae</t>
  </si>
  <si>
    <t>Alphabaculovirus heleucae</t>
  </si>
  <si>
    <t>Alphabaculovirus hycuneae</t>
  </si>
  <si>
    <t>Alphabaculovirus hytalacae</t>
  </si>
  <si>
    <t>Alphabaculovirus lafiscellariae</t>
  </si>
  <si>
    <t>Alphabaculovirus leseparatae</t>
  </si>
  <si>
    <t>Alphabaculovirus lonobliquae</t>
  </si>
  <si>
    <t>Alphabaculovirus lydisparis</t>
  </si>
  <si>
    <t>Alphabaculovirus lyxylinae</t>
  </si>
  <si>
    <t>Alphabaculovirus mabrassicae</t>
  </si>
  <si>
    <t>Alphabaculovirus maconfiguratae</t>
  </si>
  <si>
    <t>Alphabaculovirus mavitratae</t>
  </si>
  <si>
    <t>Alphabaculovirus myunipunctae</t>
  </si>
  <si>
    <t>Alphabaculovirus olmendosae</t>
  </si>
  <si>
    <t>Alphabaculovirus opbrumatae</t>
  </si>
  <si>
    <t>Alphabaculovirus orleucostigmae</t>
  </si>
  <si>
    <t>Alphabaculovirus orpseudotsugatae</t>
  </si>
  <si>
    <t>Alphabaculovirus peluscae</t>
  </si>
  <si>
    <t>Alphabaculovirus pesauciae</t>
  </si>
  <si>
    <t>Alphabaculovirus ranus</t>
  </si>
  <si>
    <t>Alphabaculovirus raous</t>
  </si>
  <si>
    <t>Alphabaculovirus speridanae</t>
  </si>
  <si>
    <t>Alphabaculovirus spexemptae</t>
  </si>
  <si>
    <t>Alphabaculovirus spexiguae</t>
  </si>
  <si>
    <t>Alphabaculovirus splittoralis</t>
  </si>
  <si>
    <t>Alphabaculovirus spliturae</t>
  </si>
  <si>
    <t>Alphabaculovirus spofrugiperdae</t>
  </si>
  <si>
    <t>Alphabaculovirus sujujubae</t>
  </si>
  <si>
    <t>Alphabaculovirus thorichlaceae</t>
  </si>
  <si>
    <t>Alphabaculovirus travishnous</t>
  </si>
  <si>
    <t>Alphabaculovirus trini</t>
  </si>
  <si>
    <t>Alphabaculovirus urprotei</t>
  </si>
  <si>
    <t>Alphabaculovirus wisignatae</t>
  </si>
  <si>
    <t>Aphabaculovirus oxochraceae</t>
  </si>
  <si>
    <t>Betabaculovirus adoranae</t>
  </si>
  <si>
    <t>Betabaculovirus agsegetum</t>
  </si>
  <si>
    <t>Betabaculovirus alterclanastomosis</t>
  </si>
  <si>
    <t>Betabaculovirus altermyunipunctae</t>
  </si>
  <si>
    <t>Betabaculovirus arrapae</t>
  </si>
  <si>
    <t>Betabaculovirus chofumiferanae</t>
  </si>
  <si>
    <t>Betabaculovirus clanachoretae</t>
  </si>
  <si>
    <t>Betabaculovirus clanastomosis</t>
  </si>
  <si>
    <t>Betabaculovirus cnamedinalis</t>
  </si>
  <si>
    <t>Betabaculovirus cryleucotretae</t>
  </si>
  <si>
    <t>Betabaculovirus cypomonellae</t>
  </si>
  <si>
    <t>Betabaculovirus disaccharalis</t>
  </si>
  <si>
    <t>Betabaculovirus epaporemae</t>
  </si>
  <si>
    <t>Betabaculovirus erellonis</t>
  </si>
  <si>
    <t>Betabaculovirus habrilliantis</t>
  </si>
  <si>
    <t>Betabaculovirus helarmigerae</t>
  </si>
  <si>
    <t>Betabaculovirus hycuneae</t>
  </si>
  <si>
    <t>Betabaculovirus lacoleraceae</t>
  </si>
  <si>
    <t>Betabaculovirus maphaseoli</t>
  </si>
  <si>
    <t>Betabaculovirus molatipedis</t>
  </si>
  <si>
    <t>Betabaculovirus myunipunctae</t>
  </si>
  <si>
    <t>Betabaculovirus phoperculellae</t>
  </si>
  <si>
    <t>Betabaculovirus plinterpunctellae</t>
  </si>
  <si>
    <t>Betabaculovirus pluxylostellae</t>
  </si>
  <si>
    <t>Betabaculovirus spliturae</t>
  </si>
  <si>
    <t>Betabaculovirus spofrugiperdae</t>
  </si>
  <si>
    <t>Betabaculovirus trini</t>
  </si>
  <si>
    <t>Betabaculovirus xecnigri</t>
  </si>
  <si>
    <t>Deltabaculovirus cunigripalpi</t>
  </si>
  <si>
    <t>Gammabaculovirus neabietis</t>
  </si>
  <si>
    <t>Gammabaculovirus nelecontei</t>
  </si>
  <si>
    <t>Gammabaculovirus nesertiferis</t>
  </si>
  <si>
    <t>Glossinavirus glopallidipedis</t>
  </si>
  <si>
    <t>Muscavirus musdomesticae</t>
  </si>
  <si>
    <t>Alphanudivirus alterdromelanogasteris</t>
  </si>
  <si>
    <t>Alphanudivirus droinnubilae</t>
  </si>
  <si>
    <t>Alphanudivirus dromelanogasteris</t>
  </si>
  <si>
    <t>Alphanudivirus grybimaculati</t>
  </si>
  <si>
    <t>Alphanudivirus oryrhinocerotis</t>
  </si>
  <si>
    <t>Alphanudivirus quartudromelanogasteris</t>
  </si>
  <si>
    <t>Alphanudivirus tertidromelanogasteris</t>
  </si>
  <si>
    <t>Betanudivirus hezeae</t>
  </si>
  <si>
    <t>Deltanudivirus tipoleraceae</t>
  </si>
  <si>
    <t>Gammanudivirus cameanadis</t>
  </si>
  <si>
    <t>Gammanudivirus cracrangonis</t>
  </si>
  <si>
    <t>Gammanudivirus hogammari</t>
  </si>
  <si>
    <t>Gammanudivirus pemonodonis</t>
  </si>
  <si>
    <t>Aleptorquevirus culic1</t>
  </si>
  <si>
    <t>Aleptorquevirus lepor1</t>
  </si>
  <si>
    <t>Alphatorquevirus cerco1</t>
  </si>
  <si>
    <t>Alphatorquevirus cerco2</t>
  </si>
  <si>
    <t>Alphatorquevirus cerco3</t>
  </si>
  <si>
    <t>Alphatorquevirus cerco5</t>
  </si>
  <si>
    <t>Alphatorquevirus cerco6</t>
  </si>
  <si>
    <t>Alphatorquevirus cerco7</t>
  </si>
  <si>
    <t>Alphatorquevirus homin1</t>
  </si>
  <si>
    <t>Alphatorquevirus homin2</t>
  </si>
  <si>
    <t>Alphatorquevirus homin3</t>
  </si>
  <si>
    <t>Alphatorquevirus homin4</t>
  </si>
  <si>
    <t>Alphatorquevirus homin5</t>
  </si>
  <si>
    <t>Alphatorquevirus homin6</t>
  </si>
  <si>
    <t>Alphatorquevirus homin7</t>
  </si>
  <si>
    <t>Alphatorquevirus homin9</t>
  </si>
  <si>
    <t>Alphatorquevirus homin10</t>
  </si>
  <si>
    <t>Alphatorquevirus homin13</t>
  </si>
  <si>
    <t>Alphatorquevirus homin14</t>
  </si>
  <si>
    <t>Alphatorquevirus homin15</t>
  </si>
  <si>
    <t>Alphatorquevirus homin17</t>
  </si>
  <si>
    <t>Alphatorquevirus homin18</t>
  </si>
  <si>
    <t>Alphatorquevirus homin19</t>
  </si>
  <si>
    <t>Alphatorquevirus homin20</t>
  </si>
  <si>
    <t>Alphatorquevirus homin21</t>
  </si>
  <si>
    <t>Alphatorquevirus homin24</t>
  </si>
  <si>
    <t>Alphatorquevirus homin29</t>
  </si>
  <si>
    <t>Alphatorquevirus homin31</t>
  </si>
  <si>
    <t>Betatorquevirus homini1</t>
  </si>
  <si>
    <t>Betatorquevirus homini2</t>
  </si>
  <si>
    <t>Betatorquevirus homini3</t>
  </si>
  <si>
    <t>Betatorquevirus homini4</t>
  </si>
  <si>
    <t>Betatorquevirus homini5</t>
  </si>
  <si>
    <t>Betatorquevirus homini6</t>
  </si>
  <si>
    <t>Betatorquevirus homini7</t>
  </si>
  <si>
    <t>Betatorquevirus homini8</t>
  </si>
  <si>
    <t>Betatorquevirus homini9</t>
  </si>
  <si>
    <t>Betatorquevirus homini10</t>
  </si>
  <si>
    <t>Betatorquevirus homini11</t>
  </si>
  <si>
    <t>Betatorquevirus homini12</t>
  </si>
  <si>
    <t>Betatorquevirus homini13</t>
  </si>
  <si>
    <t>Betatorquevirus homini14</t>
  </si>
  <si>
    <t>Betatorquevirus homini15</t>
  </si>
  <si>
    <t>Betatorquevirus homini16</t>
  </si>
  <si>
    <t>Betatorquevirus homini17</t>
  </si>
  <si>
    <t>Betatorquevirus homini18</t>
  </si>
  <si>
    <t>Betatorquevirus homini19</t>
  </si>
  <si>
    <t>Betatorquevirus homini20</t>
  </si>
  <si>
    <t>Betatorquevirus homini21</t>
  </si>
  <si>
    <t>Betatorquevirus homini22</t>
  </si>
  <si>
    <t>Betatorquevirus homini23</t>
  </si>
  <si>
    <t>Betatorquevirus homini24</t>
  </si>
  <si>
    <t>Betatorquevirus homini25</t>
  </si>
  <si>
    <t>Betatorquevirus homini26</t>
  </si>
  <si>
    <t>Betatorquevirus homini27</t>
  </si>
  <si>
    <t>Betatorquevirus homini28</t>
  </si>
  <si>
    <t>Betatorquevirus homini29</t>
  </si>
  <si>
    <t>Betatorquevirus homini30</t>
  </si>
  <si>
    <t>Betatorquevirus homini31</t>
  </si>
  <si>
    <t>Betatorquevirus homini32</t>
  </si>
  <si>
    <t>Betatorquevirus homini33</t>
  </si>
  <si>
    <t>Betatorquevirus homini34</t>
  </si>
  <si>
    <t>Betatorquevirus homini35</t>
  </si>
  <si>
    <t>Betatorquevirus homini36</t>
  </si>
  <si>
    <t>Betatorquevirus homini37</t>
  </si>
  <si>
    <t>Betatorquevirus homini38</t>
  </si>
  <si>
    <t>Chitorquevirus indri1</t>
  </si>
  <si>
    <t>Dalettorquevirus ursid6</t>
  </si>
  <si>
    <t>Deltatorquevirus tupai1</t>
  </si>
  <si>
    <t>Epsilontorquevirus calli1</t>
  </si>
  <si>
    <t>Etatorquevirus felid1</t>
  </si>
  <si>
    <t>Etatorquevirus felid2</t>
  </si>
  <si>
    <t>Etatorquevirus felid3</t>
  </si>
  <si>
    <t>Etatorquevirus felid4</t>
  </si>
  <si>
    <t>Etatorquevirus felid5</t>
  </si>
  <si>
    <t>Etatorquevirus viver3</t>
  </si>
  <si>
    <t>Gammatorquevirus homidi1</t>
  </si>
  <si>
    <t>Gammatorquevirus homidi2</t>
  </si>
  <si>
    <t>Gammatorquevirus homidi3</t>
  </si>
  <si>
    <t>Gammatorquevirus homidi4</t>
  </si>
  <si>
    <t>Gammatorquevirus homidi5</t>
  </si>
  <si>
    <t>Gammatorquevirus homidi6</t>
  </si>
  <si>
    <t>Gammatorquevirus homidi7</t>
  </si>
  <si>
    <t>Gammatorquevirus homidi8</t>
  </si>
  <si>
    <t>Gammatorquevirus homidi9</t>
  </si>
  <si>
    <t>Gammatorquevirus homidi10</t>
  </si>
  <si>
    <t>Gammatorquevirus homidi11</t>
  </si>
  <si>
    <t>Gammatorquevirus homidi12</t>
  </si>
  <si>
    <t>Gammatorquevirus homidi13</t>
  </si>
  <si>
    <t>Gammatorquevirus homidi14</t>
  </si>
  <si>
    <t>Gammatorquevirus homidi15</t>
  </si>
  <si>
    <t>Gimeltorquevirus ursid13</t>
  </si>
  <si>
    <t>Gyrovirus chickenanemia</t>
  </si>
  <si>
    <t>Hetorquevirus hominid2</t>
  </si>
  <si>
    <t>Iotatorquevirus suida1a</t>
  </si>
  <si>
    <t>Kappatorquevirus suidak2a</t>
  </si>
  <si>
    <t>Kappatorquevirus suidak2b</t>
  </si>
  <si>
    <t>Lambdatorquevirus phoci1</t>
  </si>
  <si>
    <t>Lambdatorquevirus phoci2</t>
  </si>
  <si>
    <t>Lambdatorquevirus phoci3</t>
  </si>
  <si>
    <t>Lambdatorquevirus phoci5</t>
  </si>
  <si>
    <t>Lambdatorquevirus phoci6</t>
  </si>
  <si>
    <t>Mutorquevirus equid1</t>
  </si>
  <si>
    <t>Mutorquevirus equid2</t>
  </si>
  <si>
    <t>Nutorquevirus phoci4</t>
  </si>
  <si>
    <t>Omegatorquevirus hominid1</t>
  </si>
  <si>
    <t>Omicrontorquevirus ursid5</t>
  </si>
  <si>
    <t>Pitorquevirus ursid7</t>
  </si>
  <si>
    <t>Pitorquevirus ursid8</t>
  </si>
  <si>
    <t>Pitorquevirus ursid9</t>
  </si>
  <si>
    <t>Pitorquevirus ursid10</t>
  </si>
  <si>
    <t>Pitorquevirus ursid11</t>
  </si>
  <si>
    <t>Pitorquevirus ursid12</t>
  </si>
  <si>
    <t>Psitorquevirus procy4</t>
  </si>
  <si>
    <t>Rhotorquevirus murid1</t>
  </si>
  <si>
    <t>Sigmatorquevirus otari1</t>
  </si>
  <si>
    <t>Sigmatorquevirus otari2</t>
  </si>
  <si>
    <t>Sigmatorquevirus otari3</t>
  </si>
  <si>
    <t>Tettorquevirus felid6</t>
  </si>
  <si>
    <t>Thetatorquevirus canid1</t>
  </si>
  <si>
    <t>Thetatorquevirus ixodi1</t>
  </si>
  <si>
    <t>Thetatorquevirus muste1</t>
  </si>
  <si>
    <t>Thetatorquevirus procy5</t>
  </si>
  <si>
    <t>Thetatorquevirus procy6</t>
  </si>
  <si>
    <t>Thetatorquevirus ursid1</t>
  </si>
  <si>
    <t>Thetatorquevirus ursid2</t>
  </si>
  <si>
    <t>Thetatorquevirus ursid3</t>
  </si>
  <si>
    <t>Thetatorquevirus ursid4</t>
  </si>
  <si>
    <t>Thetatorquevirus viver4</t>
  </si>
  <si>
    <t>Upsilontorquevirus procy1</t>
  </si>
  <si>
    <t>Upsilontorquevirus procy2</t>
  </si>
  <si>
    <t>Upsilontorquevirus procy3</t>
  </si>
  <si>
    <t>Upsilontorquevirus procy7</t>
  </si>
  <si>
    <t>Upsilontorquevirus procy8</t>
  </si>
  <si>
    <t>Upsilontorquevirus procy9</t>
  </si>
  <si>
    <t>Upsilontorquevirus viver2</t>
  </si>
  <si>
    <t>Wawtorquevirus crice1</t>
  </si>
  <si>
    <t>Wawtorquevirus crice2</t>
  </si>
  <si>
    <t>Wawtorquevirus crice3</t>
  </si>
  <si>
    <t>Wawtorquevirus culic2</t>
  </si>
  <si>
    <t>Wawtorquevirus murid2</t>
  </si>
  <si>
    <t>Wawtorquevirus murid3</t>
  </si>
  <si>
    <t>Xitorquevirus didel1</t>
  </si>
  <si>
    <t>Xitorquevirus molos1</t>
  </si>
  <si>
    <t>Zayintorquevirus viver1</t>
  </si>
  <si>
    <t>Zayintorquevirus viver5</t>
  </si>
  <si>
    <t>Zetatorquevirus aotid1</t>
  </si>
  <si>
    <t>Plasmavirus L2</t>
  </si>
  <si>
    <t>Polydnaviriformidae</t>
  </si>
  <si>
    <t>Bracoviriform</t>
  </si>
  <si>
    <t>Bracoviriform altitudinis</t>
  </si>
  <si>
    <t>Bracoviriform argentifrontis</t>
  </si>
  <si>
    <t>Bracoviriform blackburni</t>
  </si>
  <si>
    <t>Bracoviriform canadense</t>
  </si>
  <si>
    <t>Bracoviriform congregatae</t>
  </si>
  <si>
    <t>Bracoviriform crassicornis</t>
  </si>
  <si>
    <t>Bracoviriform croceipedis</t>
  </si>
  <si>
    <t>Bracoviriform curvimaculati</t>
  </si>
  <si>
    <t>Bracoviriform demolitoris</t>
  </si>
  <si>
    <t>Bracoviriform ectdytolophae</t>
  </si>
  <si>
    <t>Bracoviriform facetosae</t>
  </si>
  <si>
    <t>Bracoviriform flavicoxis</t>
  </si>
  <si>
    <t>Bracoviriform flavipedis</t>
  </si>
  <si>
    <t>Bracoviriform flavitestaceae</t>
  </si>
  <si>
    <t>Bracoviriform fumiferanae</t>
  </si>
  <si>
    <t>Bracoviriform glomeratae</t>
  </si>
  <si>
    <t>Bracoviriform hyphantriae</t>
  </si>
  <si>
    <t>Bracoviriform inaniti</t>
  </si>
  <si>
    <t>Bracoviriform indiense</t>
  </si>
  <si>
    <t>Bracoviriform insularis</t>
  </si>
  <si>
    <t>Bracoviriform kariyai</t>
  </si>
  <si>
    <t>Bracoviriform liparidis</t>
  </si>
  <si>
    <t>Bracoviriform marginiventris</t>
  </si>
  <si>
    <t>Bracoviriform melanoscelae</t>
  </si>
  <si>
    <t>Bracoviriform nigricipitis</t>
  </si>
  <si>
    <t>Bracoviriform ornigis</t>
  </si>
  <si>
    <t>Bracoviriform paleacritae</t>
  </si>
  <si>
    <t>Bracoviriform quadridentatae</t>
  </si>
  <si>
    <t>Bracoviriform rubeculae</t>
  </si>
  <si>
    <t>Bracoviriform schaeferi</t>
  </si>
  <si>
    <t>Bracoviriform texani</t>
  </si>
  <si>
    <t>Ichnoviriform</t>
  </si>
  <si>
    <t>Ichnoviriform acronyctae</t>
  </si>
  <si>
    <t>Ichnoviriform annulipedis</t>
  </si>
  <si>
    <t>Ichnoviriform aprilis</t>
  </si>
  <si>
    <t>Ichnoviriform arjunae</t>
  </si>
  <si>
    <t>Ichnoviriform benefactoris</t>
  </si>
  <si>
    <t>Ichnoviriform eribori</t>
  </si>
  <si>
    <t>Ichnoviriform exiguae</t>
  </si>
  <si>
    <t>Ichnoviriform flavicinctae</t>
  </si>
  <si>
    <t>Ichnoviriform forcipatae</t>
  </si>
  <si>
    <t>Ichnoviriform fugitivi</t>
  </si>
  <si>
    <t>Ichnoviriform fumiferanae</t>
  </si>
  <si>
    <t>Ichnoviriform geniculatae</t>
  </si>
  <si>
    <t>Ichnoviriform infestae</t>
  </si>
  <si>
    <t>Ichnoviriform interrupti</t>
  </si>
  <si>
    <t>Ichnoviriform lymantriae</t>
  </si>
  <si>
    <t>Ichnoviriform montani</t>
  </si>
  <si>
    <t>Ichnoviriform pilosuli</t>
  </si>
  <si>
    <t>Ichnoviriform rivalis</t>
  </si>
  <si>
    <t>Ichnoviriform rostralis</t>
  </si>
  <si>
    <t>Ichnoviriform sonorense</t>
  </si>
  <si>
    <t>Ichnoviriform tenuifemoris</t>
  </si>
  <si>
    <t>Ichnoviriform terebrantis</t>
  </si>
  <si>
    <t>Apscaviroid aclsvd</t>
  </si>
  <si>
    <t>Apscaviroid cvd-VII</t>
  </si>
  <si>
    <t>Apscaviroid dvd</t>
  </si>
  <si>
    <t>Apscaviroid glvd</t>
  </si>
  <si>
    <t>Apscaviroid lvd</t>
  </si>
  <si>
    <t>Apscaviroid plvd-I</t>
  </si>
  <si>
    <t>Apscaviroid pvd</t>
  </si>
  <si>
    <t>Apscaviroid pvd-2</t>
  </si>
  <si>
    <t>Coleviroid cbvd-5</t>
  </si>
  <si>
    <t>Coleviroid cbvd-6</t>
  </si>
  <si>
    <t>Pospiviroid plvd</t>
  </si>
  <si>
    <t>family</t>
  </si>
  <si>
    <t>genus</t>
  </si>
  <si>
    <t>species</t>
  </si>
  <si>
    <t>Updates approved during EC 54, Online meeting, July 2022 (MSL #38)</t>
  </si>
  <si>
    <t>Seamegvirus</t>
  </si>
  <si>
    <t>Seamegvirus seahorse</t>
  </si>
  <si>
    <t>Mechlorovirus</t>
  </si>
  <si>
    <t>Mechlorovirus cucumeris</t>
  </si>
  <si>
    <t>Email ratification March-April 2023</t>
  </si>
  <si>
    <t>Varidnaviria;Bamfordvirae;Nucleocytoviricota;Megaviricetes;Pimascovirales;Ascoviridae;Toursvirus;Toursvirus dptv1a</t>
  </si>
  <si>
    <t>Varidnaviria;Bamfordvirae;Nucleocytoviricota;Megaviricetes;Pimascovirales;Ascoviridae;Toursvirus;Diadromus pulchellus toursvirus</t>
  </si>
  <si>
    <t>Varidnaviria;Bamfordvirae;Nucleocytoviricota;Megaviricetes;Pimascovirales;Ascoviridae;Ascovirus;Ascovirus tnav2a</t>
  </si>
  <si>
    <t>Varidnaviria;Bamfordvirae;Nucleocytoviricota;Megaviricetes;Pimascovirales;Ascoviridae;Ascovirus;Heliothis virescens ascovirus 3a</t>
  </si>
  <si>
    <t>Varidnaviria;Bamfordvirae;Nucleocytoviricota;Megaviricetes;Pimascovirales;Ascoviridae;Ascovirus;Ascovirus sfav1a</t>
  </si>
  <si>
    <t>Varidnaviria;Bamfordvirae;Nucleocytoviricota;Megaviricetes;Pimascovirales;Ascoviridae;Ascovirus;Spodoptera frugiperda ascovirus 1a</t>
  </si>
  <si>
    <t>Varidnaviria;Bamfordvirae;Nucleocytoviricota;Megaviricetes;Pimascovirales;Ascoviridae;Ascovirus;Ascovirus hvav3a</t>
  </si>
  <si>
    <t>Varidnaviria;Bamfordvirae;Nucleocytoviricota;Megaviricetes;Pimascovirales;Ascoviridae;Ascovirus;Trichoplusia ni ascovirus 2a</t>
  </si>
  <si>
    <t>Varidnaviria;Bamfordvirae;Nucleocytoviricota;Megaviricetes;Imitervirales;Mimiviridae;Mimivirus;Mimivirus bradfordmassiliense</t>
  </si>
  <si>
    <t>Varidnaviria;Bamfordvirae;Nucleocytoviricota;Megaviricetes;Imitervirales;Mimiviridae;Mimivirus;Acanthamoeba polyphaga mimivirus</t>
  </si>
  <si>
    <t>Varidnaviria;Bamfordvirae;Nucleocytoviricota;Megaviricetes;Imitervirales;Mimiviridae;Aliimimivirinae;Rheavirus;Rheavirus sinusmexicani</t>
  </si>
  <si>
    <t>Varidnaviria;Bamfordvirae;Nucleocytoviricota;Megaviricetes;Imitervirales;Mimiviridae;Cafeteriavirus;Cafeteria roenbergensis virus</t>
  </si>
  <si>
    <t>Riboviria;Pararnavirae;Artverviricota;Revtraviricetes;Ortervirales;Caulimoviridae;Vaccinivirus;Vaccinivirus cadovaccinii</t>
  </si>
  <si>
    <t>Riboviria;Pararnavirae;Artverviricota;Revtraviricetes;Ortervirales;Caulimoviridae;Vaccinivirus;Blueberry fruit drop associated virus</t>
  </si>
  <si>
    <t>Riboviria;Pararnavirae;Artverviricota;Revtraviricetes;Ortervirales;Caulimoviridae;Tungrovirus;Tungrovirus oryzae</t>
  </si>
  <si>
    <t>Riboviria;Pararnavirae;Artverviricota;Revtraviricetes;Ortervirales;Caulimoviridae;Tungrovirus;Rice tungro bacilliform virus</t>
  </si>
  <si>
    <t>Riboviria;Pararnavirae;Artverviricota;Revtraviricetes;Ortervirales;Caulimoviridae;Soymovirus;Soymovirus virgarachidis</t>
  </si>
  <si>
    <t>Riboviria;Pararnavirae;Artverviricota;Revtraviricetes;Ortervirales;Caulimoviridae;Soymovirus;Peanut chlorotic streak virus</t>
  </si>
  <si>
    <t>Riboviria;Pararnavirae;Artverviricota;Revtraviricetes;Ortervirales;Caulimoviridae;Soymovirus;Soymovirus maculavaccinii</t>
  </si>
  <si>
    <t>Riboviria;Pararnavirae;Artverviricota;Revtraviricetes;Ortervirales;Caulimoviridae;Soymovirus;Blueberry red ringspot virus</t>
  </si>
  <si>
    <t>Riboviria;Pararnavirae;Artverviricota;Revtraviricetes;Ortervirales;Caulimoviridae;Soymovirus;Soymovirus maculaglycinis</t>
  </si>
  <si>
    <t>Riboviria;Pararnavirae;Artverviricota;Revtraviricetes;Ortervirales;Caulimoviridae;Soymovirus;Soybean chlorotic mottle virus</t>
  </si>
  <si>
    <t>Riboviria;Pararnavirae;Artverviricota;Revtraviricetes;Ortervirales;Caulimoviridae;Soymovirus;Soymovirus crispocestri</t>
  </si>
  <si>
    <t>Riboviria;Pararnavirae;Artverviricota;Revtraviricetes;Ortervirales;Caulimoviridae;Soymovirus;Cestrum yellow leaf curling virus</t>
  </si>
  <si>
    <t>Riboviria;Pararnavirae;Artverviricota;Revtraviricetes;Ortervirales;Caulimoviridae;Solendovirus;Solendovirus venanicotianae</t>
  </si>
  <si>
    <t>Riboviria;Pararnavirae;Artverviricota;Revtraviricetes;Ortervirales;Caulimoviridae;Solendovirus;Tobacco vein clearing virus</t>
  </si>
  <si>
    <t>Riboviria;Pararnavirae;Artverviricota;Revtraviricetes;Ortervirales;Caulimoviridae;Solendovirus;Solendovirus venaipomeae</t>
  </si>
  <si>
    <t>Riboviria;Pararnavirae;Artverviricota;Revtraviricetes;Ortervirales;Caulimoviridae;Solendovirus;Sweet potato vein clearing virus</t>
  </si>
  <si>
    <t>Riboviria;Pararnavirae;Artverviricota;Revtraviricetes;Ortervirales;Caulimoviridae;Ruflodivirus;Ruflodivirus deformatiorudbeckiae</t>
  </si>
  <si>
    <t>Riboviria;Pararnavirae;Artverviricota;Revtraviricetes;Ortervirales;Caulimoviridae;Ruflodivirus;Rudbeckia flower distortion virus</t>
  </si>
  <si>
    <t>Riboviria;Pararnavirae;Artverviricota;Revtraviricetes;Ortervirales;Caulimoviridae;Rosadnavirus;Rosadnavirus venarosae</t>
  </si>
  <si>
    <t>Riboviria;Pararnavirae;Artverviricota;Revtraviricetes;Ortervirales;Caulimoviridae;Rosadnavirus;Rose yellow vein virus</t>
  </si>
  <si>
    <t>Riboviria;Pararnavirae;Artverviricota;Revtraviricetes;Ortervirales;Caulimoviridae;Petuvirus;Petuvirus venapetuniae</t>
  </si>
  <si>
    <t>Riboviria;Pararnavirae;Artverviricota;Revtraviricetes;Ortervirales;Caulimoviridae;Petuvirus;Petunia vein clearing virus</t>
  </si>
  <si>
    <t>Riboviria;Pararnavirae;Artverviricota;Revtraviricetes;Ortervirales;Caulimoviridae;Dioscovirus;Dioscovirus dioscoreae</t>
  </si>
  <si>
    <t>Riboviria;Pararnavirae;Artverviricota;Revtraviricetes;Ortervirales;Caulimoviridae;Dioscovirus;Dioscorea nummularia associated virus</t>
  </si>
  <si>
    <t>Riboviria;Pararnavirae;Artverviricota;Revtraviricetes;Ortervirales;Caulimoviridae;Cavemovirus;Cavemovirus venamanihotis</t>
  </si>
  <si>
    <t>Riboviria;Pararnavirae;Artverviricota;Revtraviricetes;Ortervirales;Caulimoviridae;Cavemovirus;Cassava vein mosaic virus</t>
  </si>
  <si>
    <t>Riboviria;Pararnavirae;Artverviricota;Revtraviricetes;Ortervirales;Caulimoviridae;Cavemovirus;Cavemovirus deltaepiphylli</t>
  </si>
  <si>
    <t>Riboviria;Pararnavirae;Artverviricota;Revtraviricetes;Ortervirales;Caulimoviridae;Cavemovirus;Epiphyllum virus 4</t>
  </si>
  <si>
    <t>Riboviria;Pararnavirae;Artverviricota;Revtraviricetes;Ortervirales;Caulimoviridae;Cavemovirus;Cavemovirus collusipomeae</t>
  </si>
  <si>
    <t>Riboviria;Pararnavirae;Artverviricota;Revtraviricetes;Ortervirales;Caulimoviridae;Cavemovirus;Sweet potato collusive virus</t>
  </si>
  <si>
    <t>Riboviria;Pararnavirae;Artverviricota;Revtraviricetes;Ortervirales;Caulimoviridae;Caulimovirus;Caulimovirus venafragariae</t>
  </si>
  <si>
    <t>Riboviria;Pararnavirae;Artverviricota;Revtraviricetes;Ortervirales;Caulimoviridae;Caulimovirus;Strawberry vein banding virus</t>
  </si>
  <si>
    <t>Riboviria;Pararnavirae;Artverviricota;Revtraviricetes;Ortervirales;Caulimoviridae;Caulimovirus;Caulimovirus tesselloscrophulariae</t>
  </si>
  <si>
    <t>Riboviria;Pararnavirae;Artverviricota;Revtraviricetes;Ortervirales;Caulimoviridae;Caulimovirus;Figwort mosaic virus</t>
  </si>
  <si>
    <t>Riboviria;Pararnavirae;Artverviricota;Revtraviricetes;Ortervirales;Caulimoviridae;Caulimovirus;Caulimovirus tessellomirabilis</t>
  </si>
  <si>
    <t>Riboviria;Pararnavirae;Artverviricota;Revtraviricetes;Ortervirales;Caulimoviridae;Caulimovirus;Mirabilis mosaic virus</t>
  </si>
  <si>
    <t>Riboviria;Pararnavirae;Artverviricota;Revtraviricetes;Ortervirales;Caulimoviridae;Caulimovirus;Caulimovirus tessellodahliae</t>
  </si>
  <si>
    <t>Riboviria;Pararnavirae;Artverviricota;Revtraviricetes;Ortervirales;Caulimoviridae;Caulimovirus;Dahlia mosaic virus</t>
  </si>
  <si>
    <t>Riboviria;Pararnavirae;Artverviricota;Revtraviricetes;Ortervirales;Caulimoviridae;Caulimovirus;Caulimovirus tessellobrassicae</t>
  </si>
  <si>
    <t>Riboviria;Pararnavirae;Artverviricota;Revtraviricetes;Ortervirales;Caulimoviridae;Caulimovirus;Cauliflower mosaic virus</t>
  </si>
  <si>
    <t>Riboviria;Pararnavirae;Artverviricota;Revtraviricetes;Ortervirales;Caulimoviridae;Caulimovirus;Caulimovirus minutangelicae</t>
  </si>
  <si>
    <t>Riboviria;Pararnavirae;Artverviricota;Revtraviricetes;Ortervirales;Caulimoviridae;Caulimovirus;Angelica bushy stunt virus</t>
  </si>
  <si>
    <t>Riboviria;Pararnavirae;Artverviricota;Revtraviricetes;Ortervirales;Caulimoviridae;Caulimovirus;Caulimovirus maculatractylodei</t>
  </si>
  <si>
    <t>Riboviria;Pararnavirae;Artverviricota;Revtraviricetes;Ortervirales;Caulimoviridae;Caulimovirus;Atractylodes mild mottle virus</t>
  </si>
  <si>
    <t>Riboviria;Pararnavirae;Artverviricota;Revtraviricetes;Ortervirales;Caulimoviridae;Caulimovirus;Caulimovirus maculacirsii</t>
  </si>
  <si>
    <t>Riboviria;Pararnavirae;Artverviricota;Revtraviricetes;Ortervirales;Caulimoviridae;Caulimovirus;Thistle mottle virus</t>
  </si>
  <si>
    <t>Riboviria;Pararnavirae;Artverviricota;Revtraviricetes;Ortervirales;Caulimoviridae;Caulimovirus;Caulimovirus latensarmoraciae</t>
  </si>
  <si>
    <t>Riboviria;Pararnavirae;Artverviricota;Revtraviricetes;Ortervirales;Caulimoviridae;Caulimovirus;Horseradish latent virus</t>
  </si>
  <si>
    <t>Riboviria;Pararnavirae;Artverviricota;Revtraviricetes;Ortervirales;Caulimoviridae;Caulimovirus;Caulimovirus incidianthi</t>
  </si>
  <si>
    <t>Riboviria;Pararnavirae;Artverviricota;Revtraviricetes;Ortervirales;Caulimoviridae;Caulimovirus;Carnation etched ring virus</t>
  </si>
  <si>
    <t>Riboviria;Pararnavirae;Artverviricota;Revtraviricetes;Ortervirales;Caulimoviridae;Caulimovirus;Caulimovirus glycinis</t>
  </si>
  <si>
    <t>Riboviria;Pararnavirae;Artverviricota;Revtraviricetes;Ortervirales;Caulimoviridae;Caulimovirus;Soybean Putnam virus</t>
  </si>
  <si>
    <t>Riboviria;Pararnavirae;Artverviricota;Revtraviricetes;Ortervirales;Caulimoviridae;Caulimovirus;Caulimovirus deformatiolamii</t>
  </si>
  <si>
    <t>Riboviria;Pararnavirae;Artverviricota;Revtraviricetes;Ortervirales;Caulimoviridae;Caulimovirus;Lamium leaf distortion virus</t>
  </si>
  <si>
    <t>Riboviria;Pararnavirae;Artverviricota;Revtraviricetes;Ortervirales;Caulimoviridae;Badnavirus;Badnavirus zetavirgamusae</t>
  </si>
  <si>
    <t>Riboviria;Pararnavirae;Artverviricota;Revtraviricetes;Ortervirales;Caulimoviridae;Badnavirus;Banana streak UI virus</t>
  </si>
  <si>
    <t>Riboviria;Pararnavirae;Artverviricota;Revtraviricetes;Ortervirales;Caulimoviridae;Badnavirus;Badnavirus zetainflatheobromae</t>
  </si>
  <si>
    <t>Riboviria;Pararnavirae;Artverviricota;Revtraviricetes;Ortervirales;Caulimoviridae;Badnavirus;Cacao swollen shoot Togo A virus</t>
  </si>
  <si>
    <t>Riboviria;Pararnavirae;Artverviricota;Revtraviricetes;Ortervirales;Caulimoviridae;Badnavirus;Badnavirus zetadioscoreae</t>
  </si>
  <si>
    <t>Riboviria;Pararnavirae;Artverviricota;Revtraviricetes;Ortervirales;Caulimoviridae;Badnavirus;Dioscorea bacilliform RT virus 3</t>
  </si>
  <si>
    <t>Riboviria;Pararnavirae;Artverviricota;Revtraviricetes;Ortervirales;Caulimoviridae;Badnavirus;Badnavirus wisteriae</t>
  </si>
  <si>
    <t>Riboviria;Pararnavirae;Artverviricota;Revtraviricetes;Ortervirales;Caulimoviridae;Badnavirus;Wisteria badnavirus 1</t>
  </si>
  <si>
    <t>Riboviria;Pararnavirae;Artverviricota;Revtraviricetes;Ortervirales;Caulimoviridae;Badnavirus;Badnavirus volubetulae</t>
  </si>
  <si>
    <t>Riboviria;Pararnavirae;Artverviricota;Revtraviricetes;Ortervirales;Caulimoviridae;Badnavirus;Birch leaf roll-associated virus</t>
  </si>
  <si>
    <t>Riboviria;Pararnavirae;Artverviricota;Revtraviricetes;Ortervirales;Caulimoviridae;Badnavirus;Badnavirus vitis</t>
  </si>
  <si>
    <t>Riboviria;Pararnavirae;Artverviricota;Revtraviricetes;Ortervirales;Caulimoviridae;Badnavirus;Grapevine badnavirus 1</t>
  </si>
  <si>
    <t>Riboviria;Pararnavirae;Artverviricota;Revtraviricetes;Ortervirales;Caulimoviridae;Badnavirus;Badnavirus venazanthoxyli</t>
  </si>
  <si>
    <t>Riboviria;Pararnavirae;Artverviricota;Revtraviricetes;Ortervirales;Caulimoviridae;Badnavirus;Green Sichuan pepper vein clearing-associated virus</t>
  </si>
  <si>
    <t>Riboviria;Pararnavirae;Artverviricota;Revtraviricetes;Ortervirales;Caulimoviridae;Badnavirus;Badnavirus venavitis</t>
  </si>
  <si>
    <t>Riboviria;Pararnavirae;Artverviricota;Revtraviricetes;Ortervirales;Caulimoviridae;Badnavirus;Grapevine vein clearing virus</t>
  </si>
  <si>
    <t>Riboviria;Pararnavirae;Artverviricota;Revtraviricetes;Ortervirales;Caulimoviridae;Badnavirus;Badnavirus venatheobromae</t>
  </si>
  <si>
    <t>Riboviria;Pararnavirae;Artverviricota;Revtraviricetes;Ortervirales;Caulimoviridae;Badnavirus;Cacao yellow vein banding virus</t>
  </si>
  <si>
    <t>Riboviria;Pararnavirae;Artverviricota;Revtraviricetes;Ortervirales;Caulimoviridae;Badnavirus;Badnavirus venaribis</t>
  </si>
  <si>
    <t>Riboviria;Pararnavirae;Artverviricota;Revtraviricetes;Ortervirales;Caulimoviridae;Badnavirus;Gooseberry vein banding associated virus</t>
  </si>
  <si>
    <t>Riboviria;Pararnavirae;Artverviricota;Revtraviricetes;Ortervirales;Caulimoviridae;Badnavirus;Badnavirus venacodonopsis</t>
  </si>
  <si>
    <t>Riboviria;Pararnavirae;Artverviricota;Revtraviricetes;Ortervirales;Caulimoviridae;Badnavirus;Codonopsis vein clearing virus</t>
  </si>
  <si>
    <t>Riboviria;Pararnavirae;Artverviricota;Revtraviricetes;Ortervirales;Caulimoviridae;Badnavirus;Badnavirus venabougainvilleae</t>
  </si>
  <si>
    <t>Riboviria;Pararnavirae;Artverviricota;Revtraviricetes;Ortervirales;Caulimoviridae;Badnavirus;Bougainvillea chlorotic vein banding virus</t>
  </si>
  <si>
    <t>Riboviria;Pararnavirae;Artverviricota;Revtraviricetes;Ortervirales;Caulimoviridae;Badnavirus;Badnavirus thetavirgamusae</t>
  </si>
  <si>
    <t>Riboviria;Pararnavirae;Artverviricota;Revtraviricetes;Ortervirales;Caulimoviridae;Badnavirus;Banana streak UM virus</t>
  </si>
  <si>
    <t>Riboviria;Pararnavirae;Artverviricota;Revtraviricetes;Ortervirales;Caulimoviridae;Badnavirus;Badnavirus theobromae</t>
  </si>
  <si>
    <t>Riboviria;Pararnavirae;Artverviricota;Revtraviricetes;Ortervirales;Caulimoviridae;Badnavirus;Cacao bacilliform Sri Lanka virus</t>
  </si>
  <si>
    <t>Riboviria;Pararnavirae;Artverviricota;Revtraviricetes;Ortervirales;Caulimoviridae;Badnavirus;Badnavirus tetadioscoreae</t>
  </si>
  <si>
    <t>Riboviria;Pararnavirae;Artverviricota;Revtraviricetes;Ortervirales;Caulimoviridae;Badnavirus;Dioscorea bacilliform TR virus</t>
  </si>
  <si>
    <t>Riboviria;Pararnavirae;Artverviricota;Revtraviricetes;Ortervirales;Caulimoviridae;Badnavirus;Badnavirus tesselloziziphi</t>
  </si>
  <si>
    <t>Riboviria;Pararnavirae;Artverviricota;Revtraviricetes;Ortervirales;Caulimoviridae;Badnavirus;Jujube mosaic-associated virus</t>
  </si>
  <si>
    <t>Riboviria;Pararnavirae;Artverviricota;Revtraviricetes;Ortervirales;Caulimoviridae;Badnavirus;Badnavirus tessellotheobromae</t>
  </si>
  <si>
    <t>Riboviria;Pararnavirae;Artverviricota;Revtraviricetes;Ortervirales;Caulimoviridae;Badnavirus;Cacao mild mosaic virus</t>
  </si>
  <si>
    <t>Riboviria;Pararnavirae;Artverviricota;Revtraviricetes;Ortervirales;Caulimoviridae;Badnavirus;Badnavirus tessellostyphnolobii</t>
  </si>
  <si>
    <t>Riboviria;Pararnavirae;Artverviricota;Revtraviricetes;Ortervirales;Caulimoviridae;Badnavirus;Pagoda yellow mosaic associated virus</t>
  </si>
  <si>
    <t>Riboviria;Pararnavirae;Artverviricota;Revtraviricetes;Ortervirales;Caulimoviridae;Badnavirus;Badnavirus tessellopolysciatis</t>
  </si>
  <si>
    <t>Riboviria;Pararnavirae;Artverviricota;Revtraviricetes;Ortervirales;Caulimoviridae;Badnavirus;Polyscias mosaic virus</t>
  </si>
  <si>
    <t>Riboviria;Pararnavirae;Artverviricota;Revtraviricetes;Ortervirales;Caulimoviridae;Badnavirus;Badnavirus tessellocitri</t>
  </si>
  <si>
    <t>Riboviria;Pararnavirae;Artverviricota;Revtraviricetes;Ortervirales;Caulimoviridae;Badnavirus;Citrus yellow mosaic virus</t>
  </si>
  <si>
    <t>Riboviria;Pararnavirae;Artverviricota;Revtraviricetes;Ortervirales;Caulimoviridae;Badnavirus;Badnavirus tessellocastaneae</t>
  </si>
  <si>
    <t>Riboviria;Pararnavirae;Artverviricota;Revtraviricetes;Ortervirales;Caulimoviridae;Badnavirus;Badnavirus castaneae</t>
  </si>
  <si>
    <t>Riboviria;Pararnavirae;Artverviricota;Revtraviricetes;Ortervirales;Caulimoviridae;Badnavirus;Badnavirus rutilanscamelliae</t>
  </si>
  <si>
    <t>Riboviria;Pararnavirae;Artverviricota;Revtraviricetes;Ortervirales;Caulimoviridae;Badnavirus;Camellia lemon glow virus</t>
  </si>
  <si>
    <t>Riboviria;Pararnavirae;Artverviricota;Revtraviricetes;Ortervirales;Caulimoviridae;Badnavirus;Badnavirus reterubi</t>
  </si>
  <si>
    <t>Riboviria;Pararnavirae;Artverviricota;Revtraviricetes;Ortervirales;Caulimoviridae;Badnavirus;Rubus yellow net virus</t>
  </si>
  <si>
    <t>Riboviria;Pararnavirae;Artverviricota;Revtraviricetes;Ortervirales;Caulimoviridae;Badnavirus;Badnavirus phirubi</t>
  </si>
  <si>
    <t>Riboviria;Pararnavirae;Artverviricota;Revtraviricetes;Ortervirales;Caulimoviridae;Badnavirus;Blackberry virus F</t>
  </si>
  <si>
    <t>Riboviria;Pararnavirae;Artverviricota;Revtraviricetes;Ortervirales;Caulimoviridae;Badnavirus;Badnavirus occultipomeae</t>
  </si>
  <si>
    <t>Riboviria;Pararnavirae;Artverviricota;Revtraviricetes;Ortervirales;Caulimoviridae;Badnavirus;Sweet potato pakakuy virus</t>
  </si>
  <si>
    <t>Riboviria;Pararnavirae;Artverviricota;Revtraviricetes;Ortervirales;Caulimoviridae;Badnavirus;Badnavirus necrozamiae</t>
  </si>
  <si>
    <t>Riboviria;Pararnavirae;Artverviricota;Revtraviricetes;Ortervirales;Caulimoviridae;Badnavirus;Cycad leaf necrosis virus</t>
  </si>
  <si>
    <t>Riboviria;Pararnavirae;Artverviricota;Revtraviricetes;Ortervirales;Caulimoviridae;Badnavirus;Badnavirus mori</t>
  </si>
  <si>
    <t>Riboviria;Pararnavirae;Artverviricota;Revtraviricetes;Ortervirales;Caulimoviridae;Badnavirus;Mulberry badnavirus 1</t>
  </si>
  <si>
    <t>Riboviria;Pararnavirae;Artverviricota;Revtraviricetes;Ortervirales;Caulimoviridae;Badnavirus;Badnavirus maculaucubae</t>
  </si>
  <si>
    <t>Riboviria;Pararnavirae;Artverviricota;Revtraviricetes;Ortervirales;Caulimoviridae;Badnavirus;Badnavirus aucubae</t>
  </si>
  <si>
    <t>Riboviria;Pararnavirae;Artverviricota;Revtraviricetes;Ortervirales;Caulimoviridae;Badnavirus;Badnavirus maculaspiraeae</t>
  </si>
  <si>
    <t>Riboviria;Pararnavirae;Artverviricota;Revtraviricetes;Ortervirales;Caulimoviridae;Badnavirus;Spiraea yellow leafspot virus</t>
  </si>
  <si>
    <t>Riboviria;Pararnavirae;Artverviricota;Revtraviricetes;Ortervirales;Caulimoviridae;Badnavirus;Badnavirus maculasmallanthi</t>
  </si>
  <si>
    <t>Riboviria;Pararnavirae;Artverviricota;Revtraviricetes;Ortervirales;Caulimoviridae;Badnavirus;Yacon necrotic mottle virus</t>
  </si>
  <si>
    <t>Riboviria;Pararnavirae;Artverviricota;Revtraviricetes;Ortervirales;Caulimoviridae;Badnavirus;Badnavirus maculapiperis</t>
  </si>
  <si>
    <t>Riboviria;Pararnavirae;Artverviricota;Revtraviricetes;Ortervirales;Caulimoviridae;Badnavirus;Piper yellow mottle virus</t>
  </si>
  <si>
    <t>Riboviria;Pararnavirae;Artverviricota;Revtraviricetes;Ortervirales;Caulimoviridae;Badnavirus;Badnavirus maculakalanchoes</t>
  </si>
  <si>
    <t>Riboviria;Pararnavirae;Artverviricota;Revtraviricetes;Ortervirales;Caulimoviridae;Badnavirus;Kalanchoe top-spotting virus</t>
  </si>
  <si>
    <t>Riboviria;Pararnavirae;Artverviricota;Revtraviricetes;Ortervirales;Caulimoviridae;Badnavirus;Badnavirus maculahederae</t>
  </si>
  <si>
    <t>Riboviria;Pararnavirae;Artverviricota;Revtraviricetes;Ortervirales;Caulimoviridae;Badnavirus;Ivy ringspot-associated virus</t>
  </si>
  <si>
    <t>Riboviria;Pararnavirae;Artverviricota;Revtraviricetes;Ortervirales;Caulimoviridae;Badnavirus;Badnavirus maculaepiphylli</t>
  </si>
  <si>
    <t>Riboviria;Pararnavirae;Artverviricota;Revtraviricetes;Ortervirales;Caulimoviridae;Badnavirus;Epiphyllum mottle-associated virus</t>
  </si>
  <si>
    <t>Riboviria;Pararnavirae;Artverviricota;Revtraviricetes;Ortervirales;Caulimoviridae;Badnavirus;Badnavirus maculadracaenae</t>
  </si>
  <si>
    <t>Riboviria;Pararnavirae;Artverviricota;Revtraviricetes;Ortervirales;Caulimoviridae;Badnavirus;Dracaena mottle virus</t>
  </si>
  <si>
    <t>Riboviria;Pararnavirae;Artverviricota;Revtraviricetes;Ortervirales;Caulimoviridae;Badnavirus;Badnavirus maculacommelinae</t>
  </si>
  <si>
    <t>Riboviria;Pararnavirae;Artverviricota;Revtraviricetes;Ortervirales;Caulimoviridae;Badnavirus;Commelina yellow mottle virus</t>
  </si>
  <si>
    <t>Riboviria;Pararnavirae;Artverviricota;Revtraviricetes;Ortervirales;Caulimoviridae;Badnavirus;Badnavirus iotavirgamusae</t>
  </si>
  <si>
    <t>Riboviria;Pararnavirae;Artverviricota;Revtraviricetes;Ortervirales;Caulimoviridae;Badnavirus;Banana streak VN virus</t>
  </si>
  <si>
    <t>Riboviria;Pararnavirae;Artverviricota;Revtraviricetes;Ortervirales;Caulimoviridae;Badnavirus;Badnavirus gammavirgamusae</t>
  </si>
  <si>
    <t>Riboviria;Pararnavirae;Artverviricota;Revtraviricetes;Ortervirales;Caulimoviridae;Badnavirus;Banana streak MY virus</t>
  </si>
  <si>
    <t>Riboviria;Pararnavirae;Artverviricota;Revtraviricetes;Ortervirales;Caulimoviridae;Badnavirus;Badnavirus gammasacchari</t>
  </si>
  <si>
    <t>Riboviria;Pararnavirae;Artverviricota;Revtraviricetes;Ortervirales;Caulimoviridae;Badnavirus;Sugarcane bacilliform IM virus</t>
  </si>
  <si>
    <t>Riboviria;Pararnavirae;Artverviricota;Revtraviricetes;Ortervirales;Caulimoviridae;Badnavirus;Badnavirus gammainflatheobromae</t>
  </si>
  <si>
    <t>Riboviria;Pararnavirae;Artverviricota;Revtraviricetes;Ortervirales;Caulimoviridae;Badnavirus;Cacao swollen shoot Ghana M virus</t>
  </si>
  <si>
    <t>Riboviria;Pararnavirae;Artverviricota;Revtraviricetes;Ortervirales;Caulimoviridae;Badnavirus;Badnavirus gammadioscoreae</t>
  </si>
  <si>
    <t>Riboviria;Pararnavirae;Artverviricota;Revtraviricetes;Ortervirales;Caulimoviridae;Badnavirus;Dioscorea bacilliform ES virus</t>
  </si>
  <si>
    <t>Riboviria;Pararnavirae;Artverviricota;Revtraviricetes;Ortervirales;Caulimoviridae;Badnavirus;Badnavirus fici</t>
  </si>
  <si>
    <t>Riboviria;Pararnavirae;Artverviricota;Revtraviricetes;Ortervirales;Caulimoviridae;Badnavirus;Fig badnavirus 1</t>
  </si>
  <si>
    <t>Riboviria;Pararnavirae;Artverviricota;Revtraviricetes;Ortervirales;Caulimoviridae;Badnavirus;Badnavirus etavirgamusae</t>
  </si>
  <si>
    <t>Riboviria;Pararnavirae;Artverviricota;Revtraviricetes;Ortervirales;Caulimoviridae;Badnavirus;Banana streak UL virus</t>
  </si>
  <si>
    <t>Riboviria;Pararnavirae;Artverviricota;Revtraviricetes;Ortervirales;Caulimoviridae;Badnavirus;Badnavirus etainflatheobromae</t>
  </si>
  <si>
    <t>Riboviria;Pararnavirae;Artverviricota;Revtraviricetes;Ortervirales;Caulimoviridae;Badnavirus;Cacao swollen shoot Togo B virus</t>
  </si>
  <si>
    <t>Riboviria;Pararnavirae;Artverviricota;Revtraviricetes;Ortervirales;Caulimoviridae;Badnavirus;Badnavirus etadioscoreae</t>
  </si>
  <si>
    <t>Riboviria;Pararnavirae;Artverviricota;Revtraviricetes;Ortervirales;Caulimoviridae;Badnavirus;Dioscorea bacilliform SN virus</t>
  </si>
  <si>
    <t>Riboviria;Pararnavirae;Artverviricota;Revtraviricetes;Ortervirales;Caulimoviridae;Badnavirus;Badnavirus epsilonvirgamusae</t>
  </si>
  <si>
    <t>Riboviria;Pararnavirae;Artverviricota;Revtraviricetes;Ortervirales;Caulimoviridae;Badnavirus;Banana streak UA virus</t>
  </si>
  <si>
    <t>Riboviria;Pararnavirae;Artverviricota;Revtraviricetes;Ortervirales;Caulimoviridae;Badnavirus;Badnavirus epsiloninflatheobromae</t>
  </si>
  <si>
    <t>Riboviria;Pararnavirae;Artverviricota;Revtraviricetes;Ortervirales;Caulimoviridae;Badnavirus;Cacao swollen shoot Ghana Q virus</t>
  </si>
  <si>
    <t>Riboviria;Pararnavirae;Artverviricota;Revtraviricetes;Ortervirales;Caulimoviridae;Badnavirus;Badnavirus epsilondioscoreae</t>
  </si>
  <si>
    <t>Riboviria;Pararnavirae;Artverviricota;Revtraviricetes;Ortervirales;Caulimoviridae;Badnavirus;Dioscorea bacilliform RT virus 2</t>
  </si>
  <si>
    <t>Riboviria;Pararnavirae;Artverviricota;Revtraviricetes;Ortervirales;Caulimoviridae;Badnavirus;Badnavirus deltavirgamusae</t>
  </si>
  <si>
    <t>Riboviria;Pararnavirae;Artverviricota;Revtraviricetes;Ortervirales;Caulimoviridae;Badnavirus;Banana streak OL virus</t>
  </si>
  <si>
    <t>Riboviria;Pararnavirae;Artverviricota;Revtraviricetes;Ortervirales;Caulimoviridae;Badnavirus;Badnavirus deltasacchari</t>
  </si>
  <si>
    <t>Riboviria;Pararnavirae;Artverviricota;Revtraviricetes;Ortervirales;Caulimoviridae;Badnavirus;Sugarcane bacilliform MO virus</t>
  </si>
  <si>
    <t>Riboviria;Pararnavirae;Artverviricota;Revtraviricetes;Ortervirales;Caulimoviridae;Badnavirus;Badnavirus deltainflatheobromae</t>
  </si>
  <si>
    <t>Riboviria;Pararnavirae;Artverviricota;Revtraviricetes;Ortervirales;Caulimoviridae;Badnavirus;Cacao swollen shoot Ghana N virus</t>
  </si>
  <si>
    <t>Riboviria;Pararnavirae;Artverviricota;Revtraviricetes;Ortervirales;Caulimoviridae;Badnavirus;Badnavirus deltadioscoreae</t>
  </si>
  <si>
    <t>Riboviria;Pararnavirae;Artverviricota;Revtraviricetes;Ortervirales;Caulimoviridae;Badnavirus;Dioscorea bacilliform RT virus 1</t>
  </si>
  <si>
    <t>Riboviria;Pararnavirae;Artverviricota;Revtraviricetes;Ortervirales;Caulimoviridae;Badnavirus;Badnavirus decoloratiovitis</t>
  </si>
  <si>
    <t>Riboviria;Pararnavirae;Artverviricota;Revtraviricetes;Ortervirales;Caulimoviridae;Badnavirus;Grapevine Roditis leaf discoloration-associated virus</t>
  </si>
  <si>
    <t>Riboviria;Pararnavirae;Artverviricota;Revtraviricetes;Ortervirales;Caulimoviridae;Badnavirus;Badnavirus betavirgamusae</t>
  </si>
  <si>
    <t>Riboviria;Pararnavirae;Artverviricota;Revtraviricetes;Ortervirales;Caulimoviridae;Badnavirus;Banana streak IM virus</t>
  </si>
  <si>
    <t>Riboviria;Pararnavirae;Artverviricota;Revtraviricetes;Ortervirales;Caulimoviridae;Badnavirus;Badnavirus betasasacchari</t>
  </si>
  <si>
    <t>Riboviria;Pararnavirae;Artverviricota;Revtraviricetes;Ortervirales;Caulimoviridae;Badnavirus;Sugarcane bacilliform Guadeloupe D virus</t>
  </si>
  <si>
    <t>Riboviria;Pararnavirae;Artverviricota;Revtraviricetes;Ortervirales;Caulimoviridae;Badnavirus;Badnavirus betananas</t>
  </si>
  <si>
    <t>Riboviria;Pararnavirae;Artverviricota;Revtraviricetes;Ortervirales;Caulimoviridae;Badnavirus;Pineapple bacilliform ER virus</t>
  </si>
  <si>
    <t>Riboviria;Pararnavirae;Artverviricota;Revtraviricetes;Ortervirales;Caulimoviridae;Badnavirus;Badnavirus betamaculaflavicannae</t>
  </si>
  <si>
    <t>Riboviria;Pararnavirae;Artverviricota;Revtraviricetes;Ortervirales;Caulimoviridae;Badnavirus;Canna yellow mottle virus</t>
  </si>
  <si>
    <t>Riboviria;Pararnavirae;Artverviricota;Revtraviricetes;Ortervirales;Caulimoviridae;Badnavirus;Badnavirus betainflatheobromae</t>
  </si>
  <si>
    <t>Riboviria;Pararnavirae;Artverviricota;Revtraviricetes;Ortervirales;Caulimoviridae;Badnavirus;Cacao swollen shoot CE virus</t>
  </si>
  <si>
    <t>Riboviria;Pararnavirae;Artverviricota;Revtraviricetes;Ortervirales;Caulimoviridae;Badnavirus;Badnavirus betadioscoreae</t>
  </si>
  <si>
    <t>Riboviria;Pararnavirae;Artverviricota;Revtraviricetes;Ortervirales;Caulimoviridae;Badnavirus;Dioscorea bacilliform AL virus 2</t>
  </si>
  <si>
    <t>Riboviria;Pararnavirae;Artverviricota;Revtraviricetes;Ortervirales;Caulimoviridae;Badnavirus;Badnavirus betacolocalasiae</t>
  </si>
  <si>
    <t>Riboviria;Pararnavirae;Artverviricota;Revtraviricetes;Ortervirales;Caulimoviridae;Badnavirus;Taro bacilliform CH virus</t>
  </si>
  <si>
    <t>Riboviria;Pararnavirae;Artverviricota;Revtraviricetes;Ortervirales;Caulimoviridae;Badnavirus;Badnavirus alphavirgamusae</t>
  </si>
  <si>
    <t>Riboviria;Pararnavirae;Artverviricota;Revtraviricetes;Ortervirales;Caulimoviridae;Badnavirus;Banana streak GF virus</t>
  </si>
  <si>
    <t>Riboviria;Pararnavirae;Artverviricota;Revtraviricetes;Ortervirales;Caulimoviridae;Badnavirus;Badnavirus alphasacchari</t>
  </si>
  <si>
    <t>Riboviria;Pararnavirae;Artverviricota;Revtraviricetes;Ortervirales;Caulimoviridae;Badnavirus;Sugarcane bacilliform Guadeloupe A virus</t>
  </si>
  <si>
    <t>Riboviria;Pararnavirae;Artverviricota;Revtraviricetes;Ortervirales;Caulimoviridae;Badnavirus;Badnavirus alphananas</t>
  </si>
  <si>
    <t>Riboviria;Pararnavirae;Artverviricota;Revtraviricetes;Ortervirales;Caulimoviridae;Badnavirus;Pineapple bacilliform CO virus</t>
  </si>
  <si>
    <t>Riboviria;Pararnavirae;Artverviricota;Revtraviricetes;Ortervirales;Caulimoviridae;Badnavirus;Badnavirus alphamaculaflavicannae</t>
  </si>
  <si>
    <t>Riboviria;Pararnavirae;Artverviricota;Revtraviricetes;Ortervirales;Caulimoviridae;Badnavirus;Canna yellow mottle associated virus</t>
  </si>
  <si>
    <t>Riboviria;Pararnavirae;Artverviricota;Revtraviricetes;Ortervirales;Caulimoviridae;Badnavirus;Badnavirus alphainflatheobromae</t>
  </si>
  <si>
    <t>Riboviria;Pararnavirae;Artverviricota;Revtraviricetes;Ortervirales;Caulimoviridae;Badnavirus;Cacao swollen shoot CD virus</t>
  </si>
  <si>
    <t>Riboviria;Pararnavirae;Artverviricota;Revtraviricetes;Ortervirales;Caulimoviridae;Badnavirus;Badnavirus alphadioscoreae</t>
  </si>
  <si>
    <t>Riboviria;Pararnavirae;Artverviricota;Revtraviricetes;Ortervirales;Caulimoviridae;Badnavirus;Dioscorea bacilliform AL virus</t>
  </si>
  <si>
    <t>Riboviria;Pararnavirae;Artverviricota;Revtraviricetes;Ortervirales;Caulimoviridae;Badnavirus;Badnavirus alphacolocalasiae</t>
  </si>
  <si>
    <t>Riboviria;Pararnavirae;Artverviricota;Revtraviricetes;Ortervirales;Caulimoviridae;Badnavirus;Taro bacilliform virus</t>
  </si>
  <si>
    <t>Riboviria;Pararnavirae;Artverviricota;Revtraviricetes;Ortervirales;Caulimoviridae;Badnavirus;Badnavirus aglaonemae</t>
  </si>
  <si>
    <t>Riboviria;Pararnavirae;Artverviricota;Revtraviricetes;Ortervirales;Caulimoviridae;Badnavirus;Aglaonema bacilliform virus</t>
  </si>
  <si>
    <t>Riboviria;Orthornavirae;Pisuviricota;Pisoniviricetes;Picornavirales;Secoviridae;Waikavirus;Waikavirus zeae</t>
  </si>
  <si>
    <t>Riboviria;Orthornavirae;Pisuviricota;Pisoniviricetes;Picornavirales;Secoviridae;Waikavirus;Maize chlorotic dwarf virus</t>
  </si>
  <si>
    <t>Riboviria;Orthornavirae;Pisuviricota;Pisoniviricetes;Picornavirales;Secoviridae;Waikavirus;Waikavirus trifolii</t>
  </si>
  <si>
    <t>Riboviria;Orthornavirae;Pisuviricota;Pisoniviricetes;Picornavirales;Secoviridae;Waikavirus;Waikavirus RCaV1</t>
  </si>
  <si>
    <t>Riboviria;Orthornavirae;Pisuviricota;Pisoniviricetes;Picornavirales;Secoviridae;Waikavirus;Waikavirus ribesnigri</t>
  </si>
  <si>
    <t>Riboviria;Orthornavirae;Pisuviricota;Pisoniviricetes;Picornavirales;Secoviridae;Waikavirus;Waikavirus BCWVA</t>
  </si>
  <si>
    <t>Riboviria;Orthornavirae;Pisuviricota;Pisoniviricetes;Picornavirales;Secoviridae;Waikavirus;Waikavirus oryzae</t>
  </si>
  <si>
    <t>Riboviria;Orthornavirae;Pisuviricota;Pisoniviricetes;Picornavirales;Secoviridae;Waikavirus;Rice tungro spherical virus</t>
  </si>
  <si>
    <t>Riboviria;Orthornavirae;Pisuviricota;Pisoniviricetes;Picornavirales;Secoviridae;Waikavirus;Waikavirus liegense</t>
  </si>
  <si>
    <t>Riboviria;Orthornavirae;Pisuviricota;Pisoniviricetes;Picornavirales;Secoviridae;Waikavirus;Waikavirus PoLV1</t>
  </si>
  <si>
    <t>Riboviria;Orthornavirae;Pisuviricota;Pisoniviricetes;Picornavirales;Secoviridae;Waikavirus;Waikavirus diospyri</t>
  </si>
  <si>
    <t>Riboviria;Orthornavirae;Pisuviricota;Pisoniviricetes;Picornavirales;Secoviridae;Waikavirus;Waikavirus PWaiV</t>
  </si>
  <si>
    <t>Riboviria;Orthornavirae;Pisuviricota;Pisoniviricetes;Picornavirales;Secoviridae;Waikavirus;Waikavirus campanulae</t>
  </si>
  <si>
    <t>Riboviria;Orthornavirae;Pisuviricota;Pisoniviricetes;Picornavirales;Secoviridae;Waikavirus;Bellflower vein chlorosis virus</t>
  </si>
  <si>
    <t>Riboviria;Orthornavirae;Pisuviricota;Pisoniviricetes;Picornavirales;Secoviridae;Waikavirus;Waikavirus brassicae</t>
  </si>
  <si>
    <t>Riboviria;Orthornavirae;Pisuviricota;Pisoniviricetes;Picornavirales;Secoviridae;Waikavirus;Waikavirus BnRV1</t>
  </si>
  <si>
    <t>Riboviria;Orthornavirae;Pisuviricota;Pisoniviricetes;Picornavirales;Secoviridae;Waikavirus;Waikavirus anthrisci</t>
  </si>
  <si>
    <t>Riboviria;Orthornavirae;Pisuviricota;Pisoniviricetes;Picornavirales;Secoviridae;Waikavirus;Anthriscus yellows virus</t>
  </si>
  <si>
    <t>Riboviria;Orthornavirae;Pisuviricota;Pisoniviricetes;Picornavirales;Secoviridae;Waikavirus;Waikavirus actinidiae</t>
  </si>
  <si>
    <t>Riboviria;Orthornavirae;Pisuviricota;Pisoniviricetes;Picornavirales;Secoviridae;Waikavirus;Waikavirus AcYV1</t>
  </si>
  <si>
    <t>Riboviria;Orthornavirae;Pisuviricota;Pisoniviricetes;Picornavirales;Secoviridae;Torradovirus;Torradovirus marchitezum</t>
  </si>
  <si>
    <t>Riboviria;Orthornavirae;Pisuviricota;Pisoniviricetes;Picornavirales;Secoviridae;Torradovirus;Tomato marchitez virus</t>
  </si>
  <si>
    <t>Riboviria;Orthornavirae;Pisuviricota;Pisoniviricetes;Picornavirales;Secoviridae;Torradovirus;Torradovirus lycopersici</t>
  </si>
  <si>
    <t>Riboviria;Orthornavirae;Pisuviricota;Pisoniviricetes;Picornavirales;Secoviridae;Torradovirus;Tomato torrado virus</t>
  </si>
  <si>
    <t>Riboviria;Orthornavirae;Pisuviricota;Pisoniviricetes;Picornavirales;Secoviridae;Torradovirus;Torradovirus lactucae</t>
  </si>
  <si>
    <t>Riboviria;Orthornavirae;Pisuviricota;Pisoniviricetes;Picornavirales;Secoviridae;Torradovirus;Lettuce necrotic leaf curl virus</t>
  </si>
  <si>
    <t>Riboviria;Orthornavirae;Pisuviricota;Pisoniviricetes;Picornavirales;Secoviridae;Torradovirus;Torradovirus cucurbitae</t>
  </si>
  <si>
    <t>Riboviria;Orthornavirae;Pisuviricota;Pisoniviricetes;Picornavirales;Secoviridae;Torradovirus;Squash chlorotic leaf spot virus</t>
  </si>
  <si>
    <t>Riboviria;Orthornavirae;Pisuviricota;Pisoniviricetes;Picornavirales;Secoviridae;Torradovirus;Torradovirus carotae</t>
  </si>
  <si>
    <t>Riboviria;Orthornavirae;Pisuviricota;Pisoniviricetes;Picornavirales;Secoviridae;Torradovirus;Carrot torradovirus 1</t>
  </si>
  <si>
    <t>Riboviria;Orthornavirae;Pisuviricota;Pisoniviricetes;Picornavirales;Secoviridae;Torradovirus;Torradovirus cardiacae</t>
  </si>
  <si>
    <t>Riboviria;Orthornavirae;Pisuviricota;Pisoniviricetes;Picornavirales;Secoviridae;Torradovirus;Motherwort yellow mottle virus</t>
  </si>
  <si>
    <t>Riboviria;Orthornavirae;Pisuviricota;Pisoniviricetes;Picornavirales;Secoviridae;Stralarivirus;Stralarivirus lychnis</t>
  </si>
  <si>
    <t>Riboviria;Orthornavirae;Pisuviricota;Pisoniviricetes;Picornavirales;Secoviridae;Stralarivirus;Stralarivirus LycMoV</t>
  </si>
  <si>
    <t>Riboviria;Orthornavirae;Pisuviricota;Pisoniviricetes;Picornavirales;Secoviridae;Stralarivirus;Stralarivirus fragariae</t>
  </si>
  <si>
    <t>Riboviria;Orthornavirae;Pisuviricota;Pisoniviricetes;Picornavirales;Secoviridae;Stralarivirus;Stralarivirus SLRSV</t>
  </si>
  <si>
    <t>Riboviria;Orthornavirae;Pisuviricota;Pisoniviricetes;Picornavirales;Secoviridae;Sequivirus;Sequivirus taraxaci</t>
  </si>
  <si>
    <t>Riboviria;Orthornavirae;Pisuviricota;Pisoniviricetes;Picornavirales;Secoviridae;Sequivirus;Dandelion yellow mosaic virus</t>
  </si>
  <si>
    <t>Riboviria;Orthornavirae;Pisuviricota;Pisoniviricetes;Picornavirales;Secoviridae;Sequivirus;Sequivirus stellatum</t>
  </si>
  <si>
    <t>Riboviria;Orthornavirae;Pisuviricota;Pisoniviricetes;Picornavirales;Secoviridae;Sequivirus;Sequivirus LSMV</t>
  </si>
  <si>
    <t>Riboviria;Orthornavirae;Pisuviricota;Pisoniviricetes;Picornavirales;Secoviridae;Sequivirus;Sequivirus pastinacae</t>
  </si>
  <si>
    <t>Riboviria;Orthornavirae;Pisuviricota;Pisoniviricetes;Picornavirales;Secoviridae;Sequivirus;Parsnip yellow fleck virus</t>
  </si>
  <si>
    <t>Riboviria;Orthornavirae;Pisuviricota;Pisoniviricetes;Picornavirales;Secoviridae;Sequivirus;Sequivirus carotae</t>
  </si>
  <si>
    <t>Riboviria;Orthornavirae;Pisuviricota;Pisoniviricetes;Picornavirales;Secoviridae;Sequivirus;Carrot necrotic dieback virus</t>
  </si>
  <si>
    <t>Riboviria;Orthornavirae;Pisuviricota;Pisoniviricetes;Picornavirales;Secoviridae;Sadwavirus;Stramovirus;Sadwavirus rubi</t>
  </si>
  <si>
    <t>Riboviria;Orthornavirae;Pisuviricota;Pisoniviricetes;Picornavirales;Secoviridae;Sadwavirus;Stramovirus;Black raspberry necrosis virus</t>
  </si>
  <si>
    <t>Riboviria;Orthornavirae;Pisuviricota;Pisoniviricetes;Picornavirales;Secoviridae;Sadwavirus;Stramovirus;Sadwavirus lactucae</t>
  </si>
  <si>
    <t>Riboviria;Orthornavirae;Pisuviricota;Pisoniviricetes;Picornavirales;Secoviridae;Sadwavirus;Stramovirus;Sadwavirus LSV1</t>
  </si>
  <si>
    <t>Riboviria;Orthornavirae;Pisuviricota;Pisoniviricetes;Picornavirales;Secoviridae;Sadwavirus;Stramovirus;Sadwavirus fragariae</t>
  </si>
  <si>
    <t>Riboviria;Orthornavirae;Pisuviricota;Pisoniviricetes;Picornavirales;Secoviridae;Sadwavirus;Stramovirus;Strawberry mottle virus</t>
  </si>
  <si>
    <t>Riboviria;Orthornavirae;Pisuviricota;Pisoniviricetes;Picornavirales;Secoviridae;Sadwavirus;Satsumavirus;Sadwavirus citri</t>
  </si>
  <si>
    <t>Riboviria;Orthornavirae;Pisuviricota;Pisoniviricetes;Picornavirales;Secoviridae;Sadwavirus;Satsumavirus;Satsuma dwarf virus</t>
  </si>
  <si>
    <t>Riboviria;Orthornavirae;Pisuviricota;Pisoniviricetes;Picornavirales;Secoviridae;Sadwavirus;Cholivirus;Sadwavirus fritillariae</t>
  </si>
  <si>
    <t>Riboviria;Orthornavirae;Pisuviricota;Pisoniviricetes;Picornavirales;Secoviridae;Sadwavirus;Cholivirus;Chocolate lily virus A</t>
  </si>
  <si>
    <t>Riboviria;Orthornavirae;Pisuviricota;Pisoniviricetes;Picornavirales;Secoviridae;Sadwavirus;Cholivirus;Sadwavirus dioscoreae</t>
  </si>
  <si>
    <t>Riboviria;Orthornavirae;Pisuviricota;Pisoniviricetes;Picornavirales;Secoviridae;Sadwavirus;Cholivirus;Dioscorea mosaic associated virus</t>
  </si>
  <si>
    <t>Riboviria;Orthornavirae;Pisuviricota;Pisoniviricetes;Picornavirales;Secoviridae;Sadwavirus;Cholivirus;Sadwavirus alphananas</t>
  </si>
  <si>
    <t>Riboviria;Orthornavirae;Pisuviricota;Pisoniviricetes;Picornavirales;Secoviridae;Sadwavirus;Cholivirus;Sadwavirus PSVA</t>
  </si>
  <si>
    <t>Riboviria;Orthornavirae;Pisuviricota;Pisoniviricetes;Picornavirales;Secoviridae;Comovirinae;Nepovirus;Nepovirus vaccinii</t>
  </si>
  <si>
    <t>Riboviria;Orthornavirae;Pisuviricota;Pisoniviricetes;Picornavirales;Secoviridae;Comovirinae;Nepovirus;Blueberry latent spherical virus</t>
  </si>
  <si>
    <t>Riboviria;Orthornavirae;Pisuviricota;Pisoniviricetes;Picornavirales;Secoviridae;Comovirinae;Nepovirus;Nepovirus usolani</t>
  </si>
  <si>
    <t>Riboviria;Orthornavirae;Pisuviricota;Pisoniviricetes;Picornavirales;Secoviridae;Comovirinae;Nepovirus;Potato virus U</t>
  </si>
  <si>
    <t>Riboviria;Orthornavirae;Pisuviricota;Pisoniviricetes;Picornavirales;Secoviridae;Comovirinae;Nepovirus;Nepovirus tunisiaense</t>
  </si>
  <si>
    <t>Riboviria;Orthornavirae;Pisuviricota;Pisoniviricetes;Picornavirales;Secoviridae;Comovirinae;Nepovirus;Grapevine Tunisian ringspot virus</t>
  </si>
  <si>
    <t>Riboviria;Orthornavirae;Pisuviricota;Pisoniviricetes;Picornavirales;Secoviridae;Comovirinae;Nepovirus;Nepovirus trifolii</t>
  </si>
  <si>
    <t>Riboviria;Orthornavirae;Pisuviricota;Pisoniviricetes;Picornavirales;Secoviridae;Comovirinae;Nepovirus;Crimson clover latent virus</t>
  </si>
  <si>
    <t>Riboviria;Orthornavirae;Pisuviricota;Pisoniviricetes;Picornavirales;Secoviridae;Comovirinae;Nepovirus;Nepovirus theobromatis</t>
  </si>
  <si>
    <t>Riboviria;Orthornavirae;Pisuviricota;Pisoniviricetes;Picornavirales;Secoviridae;Comovirinae;Nepovirus;Cocoa necrosis virus</t>
  </si>
  <si>
    <t>Riboviria;Orthornavirae;Pisuviricota;Pisoniviricetes;Picornavirales;Secoviridae;Comovirinae;Nepovirus;Nepovirus solani</t>
  </si>
  <si>
    <t>Riboviria;Orthornavirae;Pisuviricota;Pisoniviricetes;Picornavirales;Secoviridae;Comovirinae;Nepovirus;Potato black ringspot virus</t>
  </si>
  <si>
    <t>Riboviria;Orthornavirae;Pisuviricota;Pisoniviricetes;Picornavirales;Secoviridae;Comovirinae;Nepovirus;Nepovirus sichuanense</t>
  </si>
  <si>
    <t>Riboviria;Orthornavirae;Pisuviricota;Pisoniviricetes;Picornavirales;Secoviridae;Comovirinae;Nepovirus;Nepovirus GSPNeV</t>
  </si>
  <si>
    <t>Riboviria;Orthornavirae;Pisuviricota;Pisoniviricetes;Picornavirales;Secoviridae;Comovirinae;Nepovirus;Nepovirus rubi</t>
  </si>
  <si>
    <t>Riboviria;Orthornavirae;Pisuviricota;Pisoniviricetes;Picornavirales;Secoviridae;Comovirinae;Nepovirus;Raspberry ringspot virus</t>
  </si>
  <si>
    <t>Riboviria;Orthornavirae;Pisuviricota;Pisoniviricetes;Picornavirales;Secoviridae;Comovirinae;Nepovirus;Nepovirus ribis</t>
  </si>
  <si>
    <t>Riboviria;Orthornavirae;Pisuviricota;Pisoniviricetes;Picornavirales;Secoviridae;Comovirinae;Nepovirus;Blackcurrant reversion virus</t>
  </si>
  <si>
    <t>Riboviria;Orthornavirae;Pisuviricota;Pisoniviricetes;Picornavirales;Secoviridae;Comovirinae;Nepovirus;Nepovirus pratensis</t>
  </si>
  <si>
    <t>Riboviria;Orthornavirae;Pisuviricota;Pisoniviricetes;Picornavirales;Secoviridae;Comovirinae;Nepovirus;Nepovirus RCNA</t>
  </si>
  <si>
    <t>Riboviria;Orthornavirae;Pisuviricota;Pisoniviricetes;Picornavirales;Secoviridae;Comovirinae;Nepovirus;Nepovirus poaceae</t>
  </si>
  <si>
    <t>Riboviria;Orthornavirae;Pisuviricota;Pisoniviricetes;Picornavirales;Secoviridae;Comovirinae;Nepovirus;Nepovirus PoLNVA</t>
  </si>
  <si>
    <t>Riboviria;Orthornavirae;Pisuviricota;Pisoniviricetes;Picornavirales;Secoviridae;Comovirinae;Nepovirus;Nepovirus petuniae</t>
  </si>
  <si>
    <t>Riboviria;Orthornavirae;Pisuviricota;Pisoniviricetes;Picornavirales;Secoviridae;Comovirinae;Nepovirus;Nepovirus PCMoV</t>
  </si>
  <si>
    <t>Riboviria;Orthornavirae;Pisuviricota;Pisoniviricetes;Picornavirales;Secoviridae;Comovirinae;Nepovirus;Nepovirus persicae</t>
  </si>
  <si>
    <t>Riboviria;Orthornavirae;Pisuviricota;Pisoniviricetes;Picornavirales;Secoviridae;Comovirinae;Nepovirus;Peach rosette mosaic virus</t>
  </si>
  <si>
    <t>Riboviria;Orthornavirae;Pisuviricota;Pisoniviricetes;Picornavirales;Secoviridae;Comovirinae;Nepovirus;Nepovirus oleae</t>
  </si>
  <si>
    <t>Riboviria;Orthornavirae;Pisuviricota;Pisoniviricetes;Picornavirales;Secoviridae;Comovirinae;Nepovirus;Olive latent ringspot virus</t>
  </si>
  <si>
    <t>Riboviria;Orthornavirae;Pisuviricota;Pisoniviricetes;Picornavirales;Secoviridae;Comovirinae;Nepovirus;Nepovirus nigranuli</t>
  </si>
  <si>
    <t>Riboviria;Orthornavirae;Pisuviricota;Pisoniviricetes;Picornavirales;Secoviridae;Comovirinae;Nepovirus;Tomato black ring virus</t>
  </si>
  <si>
    <t>Riboviria;Orthornavirae;Pisuviricota;Pisoniviricetes;Picornavirales;Secoviridae;Comovirinae;Nepovirus;Nepovirus nicotianae</t>
  </si>
  <si>
    <t>Riboviria;Orthornavirae;Pisuviricota;Pisoniviricetes;Picornavirales;Secoviridae;Comovirinae;Nepovirus;Tobacco ringspot virus</t>
  </si>
  <si>
    <t>Riboviria;Orthornavirae;Pisuviricota;Pisoniviricetes;Picornavirales;Secoviridae;Comovirinae;Nepovirus;Nepovirus myrtilli</t>
  </si>
  <si>
    <t>Riboviria;Orthornavirae;Pisuviricota;Pisoniviricetes;Picornavirales;Secoviridae;Comovirinae;Nepovirus;Blueberry leaf mottle virus</t>
  </si>
  <si>
    <t>Riboviria;Orthornavirae;Pisuviricota;Pisoniviricetes;Picornavirales;Secoviridae;Comovirinae;Nepovirus;Nepovirus mori</t>
  </si>
  <si>
    <t>Riboviria;Orthornavirae;Pisuviricota;Pisoniviricetes;Picornavirales;Secoviridae;Comovirinae;Nepovirus;Mulberry mosaic leaf roll associated virus</t>
  </si>
  <si>
    <t>Riboviria;Orthornavirae;Pisuviricota;Pisoniviricetes;Picornavirales;Secoviridae;Comovirinae;Nepovirus;Nepovirus manihotis</t>
  </si>
  <si>
    <t>Riboviria;Orthornavirae;Pisuviricota;Pisoniviricetes;Picornavirales;Secoviridae;Comovirinae;Nepovirus;Cassava green mottle virus</t>
  </si>
  <si>
    <t>Riboviria;Orthornavirae;Pisuviricota;Pisoniviricetes;Picornavirales;Secoviridae;Comovirinae;Nepovirus;Nepovirus maculanulatum</t>
  </si>
  <si>
    <t>Riboviria;Orthornavirae;Pisuviricota;Pisoniviricetes;Picornavirales;Secoviridae;Comovirinae;Nepovirus;Mulberry ringspot virus</t>
  </si>
  <si>
    <t>Riboviria;Orthornavirae;Pisuviricota;Pisoniviricetes;Picornavirales;Secoviridae;Comovirinae;Nepovirus;Nepovirus lycopersici</t>
  </si>
  <si>
    <t>Riboviria;Orthornavirae;Pisuviricota;Pisoniviricetes;Picornavirales;Secoviridae;Comovirinae;Nepovirus;Tomato ringspot virus</t>
  </si>
  <si>
    <t>Riboviria;Orthornavirae;Pisuviricota;Pisoniviricetes;Picornavirales;Secoviridae;Comovirinae;Nepovirus;Nepovirus italiaense</t>
  </si>
  <si>
    <t>Riboviria;Orthornavirae;Pisuviricota;Pisoniviricetes;Picornavirales;Secoviridae;Comovirinae;Nepovirus;Artichoke Italian latent virus</t>
  </si>
  <si>
    <t>Riboviria;Orthornavirae;Pisuviricota;Pisoniviricetes;Picornavirales;Secoviridae;Comovirinae;Nepovirus;Nepovirus hibisci</t>
  </si>
  <si>
    <t>Riboviria;Orthornavirae;Pisuviricota;Pisoniviricetes;Picornavirales;Secoviridae;Comovirinae;Nepovirus;Hibiscus latent ringspot virus</t>
  </si>
  <si>
    <t>Riboviria;Orthornavirae;Pisuviricota;Pisoniviricetes;Picornavirales;Secoviridae;Comovirinae;Nepovirus;Nepovirus glycinis</t>
  </si>
  <si>
    <t>Riboviria;Orthornavirae;Pisuviricota;Pisoniviricetes;Picornavirales;Secoviridae;Comovirinae;Nepovirus;Soybean latent spherical virus</t>
  </si>
  <si>
    <t>Riboviria;Orthornavirae;Pisuviricota;Pisoniviricetes;Picornavirales;Secoviridae;Comovirinae;Nepovirus;Nepovirus foliumflabelli</t>
  </si>
  <si>
    <t>Riboviria;Orthornavirae;Pisuviricota;Pisoniviricetes;Picornavirales;Secoviridae;Comovirinae;Nepovirus;Grapevine fanleaf virus</t>
  </si>
  <si>
    <t>Riboviria;Orthornavirae;Pisuviricota;Pisoniviricetes;Picornavirales;Secoviridae;Comovirinae;Nepovirus;Nepovirus deformationis</t>
  </si>
  <si>
    <t>Riboviria;Orthornavirae;Pisuviricota;Pisoniviricetes;Picornavirales;Secoviridae;Comovirinae;Nepovirus;Grapevine deformation virus</t>
  </si>
  <si>
    <t>Riboviria;Orthornavirae;Pisuviricota;Pisoniviricetes;Picornavirales;Secoviridae;Comovirinae;Nepovirus;Nepovirus cynarae</t>
  </si>
  <si>
    <t>Riboviria;Orthornavirae;Pisuviricota;Pisoniviricetes;Picornavirales;Secoviridae;Comovirinae;Nepovirus;Artichoke yellow ringspot virus</t>
  </si>
  <si>
    <t>Riboviria;Orthornavirae;Pisuviricota;Pisoniviricetes;Picornavirales;Secoviridae;Comovirinae;Nepovirus;Nepovirus cycas</t>
  </si>
  <si>
    <t>Riboviria;Orthornavirae;Pisuviricota;Pisoniviricetes;Picornavirales;Secoviridae;Comovirinae;Nepovirus;Cycas necrotic stunt virus</t>
  </si>
  <si>
    <t>Riboviria;Orthornavirae;Pisuviricota;Pisoniviricetes;Picornavirales;Secoviridae;Comovirinae;Nepovirus;Nepovirus cucumis</t>
  </si>
  <si>
    <t>Riboviria;Orthornavirae;Pisuviricota;Pisoniviricetes;Picornavirales;Secoviridae;Comovirinae;Nepovirus;Melon mild mottle virus</t>
  </si>
  <si>
    <t>Riboviria;Orthornavirae;Pisuviricota;Pisoniviricetes;Picornavirales;Secoviridae;Comovirinae;Nepovirus;Nepovirus cichorii</t>
  </si>
  <si>
    <t>Riboviria;Orthornavirae;Pisuviricota;Pisoniviricetes;Picornavirales;Secoviridae;Comovirinae;Nepovirus;Chicory yellow mottle virus</t>
  </si>
  <si>
    <t>Riboviria;Orthornavirae;Pisuviricota;Pisoniviricetes;Picornavirales;Secoviridae;Comovirinae;Nepovirus;Nepovirus chromusivum</t>
  </si>
  <si>
    <t>Riboviria;Orthornavirae;Pisuviricota;Pisoniviricetes;Picornavirales;Secoviridae;Comovirinae;Nepovirus;Grapevine chrome mosaic virus</t>
  </si>
  <si>
    <t>Riboviria;Orthornavirae;Pisuviricota;Pisoniviricetes;Picornavirales;Secoviridae;Comovirinae;Nepovirus;Nepovirus cerasiferae</t>
  </si>
  <si>
    <t>Riboviria;Orthornavirae;Pisuviricota;Pisoniviricetes;Picornavirales;Secoviridae;Comovirinae;Nepovirus;Myrobalan latent ringspot virus</t>
  </si>
  <si>
    <t>Riboviria;Orthornavirae;Pisuviricota;Pisoniviricetes;Picornavirales;Secoviridae;Comovirinae;Nepovirus;Nepovirus cari</t>
  </si>
  <si>
    <t>Riboviria;Orthornavirae;Pisuviricota;Pisoniviricetes;Picornavirales;Secoviridae;Comovirinae;Nepovirus;Nepovirus CawYV</t>
  </si>
  <si>
    <t>Riboviria;Orthornavirae;Pisuviricota;Pisoniviricetes;Picornavirales;Secoviridae;Comovirinae;Nepovirus;Nepovirus bulgariense</t>
  </si>
  <si>
    <t>Riboviria;Orthornavirae;Pisuviricota;Pisoniviricetes;Picornavirales;Secoviridae;Comovirinae;Nepovirus;Grapevine Bulgarian latent virus</t>
  </si>
  <si>
    <t>Riboviria;Orthornavirae;Pisuviricota;Pisoniviricetes;Picornavirales;Secoviridae;Comovirinae;Nepovirus;Nepovirus betasolani</t>
  </si>
  <si>
    <t>Riboviria;Orthornavirae;Pisuviricota;Pisoniviricetes;Picornavirales;Secoviridae;Comovirinae;Nepovirus;Potato virus B</t>
  </si>
  <si>
    <t>Riboviria;Orthornavirae;Pisuviricota;Pisoniviricetes;Picornavirales;Secoviridae;Comovirinae;Nepovirus;Nepovirus betae</t>
  </si>
  <si>
    <t>Riboviria;Orthornavirae;Pisuviricota;Pisoniviricetes;Picornavirales;Secoviridae;Comovirinae;Nepovirus;Beet ringspot virus</t>
  </si>
  <si>
    <t>Riboviria;Orthornavirae;Pisuviricota;Pisoniviricetes;Picornavirales;Secoviridae;Comovirinae;Nepovirus;Nepovirus avii</t>
  </si>
  <si>
    <t>Riboviria;Orthornavirae;Pisuviricota;Pisoniviricetes;Picornavirales;Secoviridae;Comovirinae;Nepovirus;Cherry leaf roll virus</t>
  </si>
  <si>
    <t>Riboviria;Orthornavirae;Pisuviricota;Pisoniviricetes;Picornavirales;Secoviridae;Comovirinae;Nepovirus;Nepovirus australiaense</t>
  </si>
  <si>
    <t>Riboviria;Orthornavirae;Pisuviricota;Pisoniviricetes;Picornavirales;Secoviridae;Comovirinae;Nepovirus;Lucerne Australian latent virus</t>
  </si>
  <si>
    <t>Riboviria;Orthornavirae;Pisuviricota;Pisoniviricetes;Picornavirales;Secoviridae;Comovirinae;Nepovirus;Nepovirus arracaciae</t>
  </si>
  <si>
    <t>Riboviria;Orthornavirae;Pisuviricota;Pisoniviricetes;Picornavirales;Secoviridae;Comovirinae;Nepovirus;Arracacha virus A</t>
  </si>
  <si>
    <t>Riboviria;Orthornavirae;Pisuviricota;Pisoniviricetes;Picornavirales;Secoviridae;Comovirinae;Nepovirus;Nepovirus armeniacae</t>
  </si>
  <si>
    <t>Riboviria;Orthornavirae;Pisuviricota;Pisoniviricetes;Picornavirales;Secoviridae;Comovirinae;Nepovirus;Apricot latent ringspot virus</t>
  </si>
  <si>
    <t>Riboviria;Orthornavirae;Pisuviricota;Pisoniviricetes;Picornavirales;Secoviridae;Comovirinae;Nepovirus;Nepovirus arabis</t>
  </si>
  <si>
    <t>Riboviria;Orthornavirae;Pisuviricota;Pisoniviricetes;Picornavirales;Secoviridae;Comovirinae;Nepovirus;Arabis mosaic virus</t>
  </si>
  <si>
    <t>Riboviria;Orthornavirae;Pisuviricota;Pisoniviricetes;Picornavirales;Secoviridae;Comovirinae;Nepovirus;Nepovirus anatoliense</t>
  </si>
  <si>
    <t>Riboviria;Orthornavirae;Pisuviricota;Pisoniviricetes;Picornavirales;Secoviridae;Comovirinae;Nepovirus;Grapevine Anatolian ringspot virus</t>
  </si>
  <si>
    <t>Riboviria;Orthornavirae;Pisuviricota;Pisoniviricetes;Picornavirales;Secoviridae;Comovirinae;Nepovirus;Nepovirus americaense</t>
  </si>
  <si>
    <t>Riboviria;Orthornavirae;Pisuviricota;Pisoniviricetes;Picornavirales;Secoviridae;Comovirinae;Nepovirus;Cassava American latent virus</t>
  </si>
  <si>
    <t>Riboviria;Orthornavirae;Pisuviricota;Pisoniviricetes;Picornavirales;Secoviridae;Comovirinae;Nepovirus;Nepovirus alphavitis</t>
  </si>
  <si>
    <t>Riboviria;Orthornavirae;Pisuviricota;Pisoniviricetes;Picornavirales;Secoviridae;Comovirinae;Nepovirus;Nepovirus GNVA</t>
  </si>
  <si>
    <t>Riboviria;Orthornavirae;Pisuviricota;Pisoniviricetes;Picornavirales;Secoviridae;Comovirinae;Nepovirus;Nepovirus aeonii</t>
  </si>
  <si>
    <t>Riboviria;Orthornavirae;Pisuviricota;Pisoniviricetes;Picornavirales;Secoviridae;Comovirinae;Nepovirus;Aeonium ringspot virus</t>
  </si>
  <si>
    <t>Riboviria;Orthornavirae;Pisuviricota;Pisoniviricetes;Picornavirales;Secoviridae;Comovirinae;Nepovirus;Nepovirus aegaeum</t>
  </si>
  <si>
    <t>Riboviria;Orthornavirae;Pisuviricota;Pisoniviricetes;Picornavirales;Secoviridae;Comovirinae;Nepovirus;Artichoke Aegean ringspot virus</t>
  </si>
  <si>
    <t>Riboviria;Orthornavirae;Pisuviricota;Pisoniviricetes;Picornavirales;Secoviridae;Comovirinae;Fabavirus;Fabavirus vitis</t>
  </si>
  <si>
    <t>Riboviria;Orthornavirae;Pisuviricota;Pisoniviricetes;Picornavirales;Secoviridae;Comovirinae;Fabavirus;Grapevine fabavirus</t>
  </si>
  <si>
    <t>Riboviria;Orthornavirae;Pisuviricota;Pisoniviricetes;Picornavirales;Secoviridae;Comovirinae;Fabavirus;Fabavirus pruni</t>
  </si>
  <si>
    <t>Riboviria;Orthornavirae;Pisuviricota;Pisoniviricetes;Picornavirales;Secoviridae;Comovirinae;Fabavirus;Prunus virus F</t>
  </si>
  <si>
    <t>Riboviria;Orthornavirae;Pisuviricota;Pisoniviricetes;Picornavirales;Secoviridae;Comovirinae;Fabavirus;Fabavirus persicae</t>
  </si>
  <si>
    <t>Riboviria;Orthornavirae;Pisuviricota;Pisoniviricetes;Picornavirales;Secoviridae;Comovirinae;Fabavirus;Fabavirus PLPaV</t>
  </si>
  <si>
    <t>Riboviria;Orthornavirae;Pisuviricota;Pisoniviricetes;Picornavirales;Secoviridae;Comovirinae;Fabavirus;Fabavirus lamii</t>
  </si>
  <si>
    <t>Riboviria;Orthornavirae;Pisuviricota;Pisoniviricetes;Picornavirales;Secoviridae;Comovirinae;Fabavirus;Lamium mild mosaic virus</t>
  </si>
  <si>
    <t>Riboviria;Orthornavirae;Pisuviricota;Pisoniviricetes;Picornavirales;Secoviridae;Comovirinae;Fabavirus;Fabavirus gentianae</t>
  </si>
  <si>
    <t>Riboviria;Orthornavirae;Pisuviricota;Pisoniviricetes;Picornavirales;Secoviridae;Comovirinae;Fabavirus;Gentian mosaic virus</t>
  </si>
  <si>
    <t>Riboviria;Orthornavirae;Pisuviricota;Pisoniviricetes;Picornavirales;Secoviridae;Comovirinae;Fabavirus;Fabavirus cucurbitaceae</t>
  </si>
  <si>
    <t>Riboviria;Orthornavirae;Pisuviricota;Pisoniviricetes;Picornavirales;Secoviridae;Comovirinae;Fabavirus;Cucurbit mild mosaic virus</t>
  </si>
  <si>
    <t>Riboviria;Orthornavirae;Pisuviricota;Pisoniviricetes;Picornavirales;Secoviridae;Comovirinae;Fabavirus;Fabavirus betaviciae</t>
  </si>
  <si>
    <t>Riboviria;Orthornavirae;Pisuviricota;Pisoniviricetes;Picornavirales;Secoviridae;Comovirinae;Fabavirus;Broad bean wilt virus 2</t>
  </si>
  <si>
    <t>Riboviria;Orthornavirae;Pisuviricota;Pisoniviricetes;Picornavirales;Secoviridae;Comovirinae;Fabavirus;Fabavirus alphaviciae</t>
  </si>
  <si>
    <t>Riboviria;Orthornavirae;Pisuviricota;Pisoniviricetes;Picornavirales;Secoviridae;Comovirinae;Fabavirus;Broad bean wilt virus 1</t>
  </si>
  <si>
    <t>Riboviria;Orthornavirae;Pisuviricota;Pisoniviricetes;Picornavirales;Secoviridae;Comovirinae;Comovirus;Comovirus vignae</t>
  </si>
  <si>
    <t>Riboviria;Orthornavirae;Pisuviricota;Pisoniviricetes;Picornavirales;Secoviridae;Comovirinae;Comovirus;Cowpea mosaic virus</t>
  </si>
  <si>
    <t>Riboviria;Orthornavirae;Pisuviricota;Pisoniviricetes;Picornavirales;Secoviridae;Comovirinae;Comovirus;Comovirus viciae</t>
  </si>
  <si>
    <t>Riboviria;Orthornavirae;Pisuviricota;Pisoniviricetes;Picornavirales;Secoviridae;Comovirinae;Comovirus;Broad bean stain virus</t>
  </si>
  <si>
    <t>Riboviria;Orthornavirae;Pisuviricota;Pisoniviricetes;Picornavirales;Secoviridae;Comovirinae;Comovirus;Comovirus ulluci</t>
  </si>
  <si>
    <t>Riboviria;Orthornavirae;Pisuviricota;Pisoniviricetes;Picornavirales;Secoviridae;Comovirinae;Comovirus;Ullucus virus C</t>
  </si>
  <si>
    <t>Riboviria;Orthornavirae;Pisuviricota;Pisoniviricetes;Picornavirales;Secoviridae;Comovirinae;Comovirus;Comovirus trifolii</t>
  </si>
  <si>
    <t>Riboviria;Orthornavirae;Pisuviricota;Pisoniviricetes;Picornavirales;Secoviridae;Comovirinae;Comovirus;Red clover mottle virus</t>
  </si>
  <si>
    <t>Riboviria;Orthornavirae;Pisuviricota;Pisoniviricetes;Picornavirales;Secoviridae;Comovirinae;Comovirus;Comovirus strophostylis</t>
  </si>
  <si>
    <t>Riboviria;Orthornavirae;Pisuviricota;Pisoniviricetes;Picornavirales;Secoviridae;Comovirinae;Comovirus;Quail pea mosaic virus</t>
  </si>
  <si>
    <t>Riboviria;Orthornavirae;Pisuviricota;Pisoniviricetes;Picornavirales;Secoviridae;Comovirinae;Comovirus;Comovirus siliquae</t>
  </si>
  <si>
    <t>Riboviria;Orthornavirae;Pisuviricota;Pisoniviricetes;Picornavirales;Secoviridae;Comovirinae;Comovirus;Bean pod mottle virus</t>
  </si>
  <si>
    <t>Riboviria;Orthornavirae;Pisuviricota;Pisoniviricetes;Picornavirales;Secoviridae;Comovirinae;Comovirus;Comovirus severum</t>
  </si>
  <si>
    <t>Riboviria;Orthornavirae;Pisuviricota;Pisoniviricetes;Picornavirales;Secoviridae;Comovirinae;Comovirus;Cowpea severe mosaic virus</t>
  </si>
  <si>
    <t>Riboviria;Orthornavirae;Pisuviricota;Pisoniviricetes;Picornavirales;Secoviridae;Comovirinae;Comovirus;Comovirus rugomusivum</t>
  </si>
  <si>
    <t>Riboviria;Orthornavirae;Pisuviricota;Pisoniviricetes;Picornavirales;Secoviridae;Comovirinae;Comovirus;Bean rugose mosaic virus</t>
  </si>
  <si>
    <t>Riboviria;Orthornavirae;Pisuviricota;Pisoniviricetes;Picornavirales;Secoviridae;Comovirinae;Comovirus;Comovirus raphani</t>
  </si>
  <si>
    <t>Riboviria;Orthornavirae;Pisuviricota;Pisoniviricetes;Picornavirales;Secoviridae;Comovirinae;Comovirus;Radish mosaic virus</t>
  </si>
  <si>
    <t>Riboviria;Orthornavirae;Pisuviricota;Pisoniviricetes;Picornavirales;Secoviridae;Comovirinae;Comovirus;Comovirus pisi</t>
  </si>
  <si>
    <t>Riboviria;Orthornavirae;Pisuviricota;Pisoniviricetes;Picornavirales;Secoviridae;Comovirinae;Comovirus;Pea green mottle virus</t>
  </si>
  <si>
    <t>Riboviria;Orthornavirae;Pisuviricota;Pisoniviricetes;Picornavirales;Secoviridae;Comovirinae;Comovirus;Comovirus phaseoli</t>
  </si>
  <si>
    <t>Riboviria;Orthornavirae;Pisuviricota;Pisoniviricetes;Picornavirales;Secoviridae;Comovirinae;Comovirus;Comovirus PvSMV</t>
  </si>
  <si>
    <t>Riboviria;Orthornavirae;Pisuviricota;Pisoniviricetes;Picornavirales;Secoviridae;Comovirinae;Comovirus;Comovirus musivi</t>
  </si>
  <si>
    <t>Riboviria;Orthornavirae;Pisuviricota;Pisoniviricetes;Picornavirales;Secoviridae;Comovirinae;Comovirus;Pea mild mosaic virus</t>
  </si>
  <si>
    <t>Riboviria;Orthornavirae;Pisuviricota;Pisoniviricetes;Picornavirales;Secoviridae;Comovirinae;Comovirus;Comovirus glycinis</t>
  </si>
  <si>
    <t>Riboviria;Orthornavirae;Pisuviricota;Pisoniviricetes;Picornavirales;Secoviridae;Comovirinae;Comovirus;Glycine mosaic virus</t>
  </si>
  <si>
    <t>Riboviria;Orthornavirae;Pisuviricota;Pisoniviricetes;Picornavirales;Secoviridae;Comovirinae;Comovirus;Comovirus fabae</t>
  </si>
  <si>
    <t>Riboviria;Orthornavirae;Pisuviricota;Pisoniviricetes;Picornavirales;Secoviridae;Comovirinae;Comovirus;Broad bean true mosaic virus</t>
  </si>
  <si>
    <t>Riboviria;Orthornavirae;Pisuviricota;Pisoniviricetes;Picornavirales;Secoviridae;Comovirinae;Comovirus;Comovirus cucurbitae</t>
  </si>
  <si>
    <t>Riboviria;Orthornavirae;Pisuviricota;Pisoniviricetes;Picornavirales;Secoviridae;Comovirinae;Comovirus;Squash mosaic virus</t>
  </si>
  <si>
    <t>Riboviria;Orthornavirae;Pisuviricota;Pisoniviricetes;Picornavirales;Secoviridae;Comovirinae;Comovirus;Comovirus capsici</t>
  </si>
  <si>
    <t>Riboviria;Orthornavirae;Pisuviricota;Pisoniviricetes;Picornavirales;Secoviridae;Comovirinae;Comovirus;Comovirus PepMMV</t>
  </si>
  <si>
    <t>Riboviria;Orthornavirae;Pisuviricota;Pisoniviricetes;Picornavirales;Secoviridae;Comovirinae;Comovirus;Comovirus arabidopsis</t>
  </si>
  <si>
    <t>Riboviria;Orthornavirae;Pisuviricota;Pisoniviricetes;Picornavirales;Secoviridae;Comovirinae;Comovirus;Comovirus ArLV1</t>
  </si>
  <si>
    <t>Riboviria;Orthornavirae;Pisuviricota;Pisoniviricetes;Picornavirales;Secoviridae;Comovirinae;Comovirus;Comovirus andesense</t>
  </si>
  <si>
    <t>Riboviria;Orthornavirae;Pisuviricota;Pisoniviricetes;Picornavirales;Secoviridae;Comovirinae;Comovirus;Andean potato mottle virus</t>
  </si>
  <si>
    <t>Riboviria;Orthornavirae;Pisuviricota;Pisoniviricetes;Picornavirales;Secoviridae;Cheravirus;Cheravirus ribis</t>
  </si>
  <si>
    <t>Riboviria;Orthornavirae;Pisuviricota;Pisoniviricetes;Picornavirales;Secoviridae;Cheravirus;Currant latent virus</t>
  </si>
  <si>
    <t>Riboviria;Orthornavirae;Pisuviricota;Pisoniviricetes;Picornavirales;Secoviridae;Cheravirus;Cheravirus pruni</t>
  </si>
  <si>
    <t>Riboviria;Orthornavirae;Pisuviricota;Pisoniviricetes;Picornavirales;Secoviridae;Cheravirus;Stocky prune virus</t>
  </si>
  <si>
    <t>Riboviria;Orthornavirae;Pisuviricota;Pisoniviricetes;Picornavirales;Secoviridae;Cheravirus;Cheravirus mali</t>
  </si>
  <si>
    <t>Riboviria;Orthornavirae;Pisuviricota;Pisoniviricetes;Picornavirales;Secoviridae;Cheravirus;Apple latent spherical virus</t>
  </si>
  <si>
    <t>Riboviria;Orthornavirae;Pisuviricota;Pisoniviricetes;Picornavirales;Secoviridae;Cheravirus;Cheravirus avii</t>
  </si>
  <si>
    <t>Riboviria;Orthornavirae;Pisuviricota;Pisoniviricetes;Picornavirales;Secoviridae;Cheravirus;Cherry rasp leaf virus</t>
  </si>
  <si>
    <t>Riboviria;Orthornavirae;Pisuviricota;Pisoniviricetes;Picornavirales;Secoviridae;Cheravirus;Cheravirus arracaciae</t>
  </si>
  <si>
    <t>Riboviria;Orthornavirae;Pisuviricota;Pisoniviricetes;Picornavirales;Secoviridae;Cheravirus;Arracacha virus B</t>
  </si>
  <si>
    <t>Riboviria;Orthornavirae;Pisuviricota;Pisoniviricetes;Picornavirales;Iflaviridae;Iflavirus;Iflavirus vomitus</t>
  </si>
  <si>
    <t>Riboviria;Orthornavirae;Pisuviricota;Pisoniviricetes;Picornavirales;Iflaviridae;Iflavirus;Antheraea pernyi iflavirus</t>
  </si>
  <si>
    <t>Riboviria;Orthornavirae;Pisuviricota;Pisoniviricetes;Picornavirales;Iflaviridae;Iflavirus;Iflavirus vadestruente</t>
  </si>
  <si>
    <t>Riboviria;Orthornavirae;Pisuviricota;Pisoniviricetes;Picornavirales;Iflaviridae;Iflavirus;Varroa destructor iflavirus 1</t>
  </si>
  <si>
    <t>Riboviria;Orthornavirae;Pisuviricota;Pisoniviricetes;Picornavirales;Iflaviridae;Iflavirus;Iflavirus spexiguae</t>
  </si>
  <si>
    <t>Riboviria;Orthornavirae;Pisuviricota;Pisoniviricetes;Picornavirales;Iflaviridae;Iflavirus;Spodoptera exigua iflavirus 1</t>
  </si>
  <si>
    <t>Riboviria;Orthornavirae;Pisuviricota;Pisoniviricetes;Picornavirales;Iflaviridae;Iflavirus;Iflavirus sacbroodi</t>
  </si>
  <si>
    <t>Riboviria;Orthornavirae;Pisuviricota;Pisoniviricetes;Picornavirales;Iflaviridae;Iflavirus;Sacbrood virus</t>
  </si>
  <si>
    <t>Riboviria;Orthornavirae;Pisuviricota;Pisoniviricetes;Picornavirales;Iflaviridae;Iflavirus;Iflavirus pernudae</t>
  </si>
  <si>
    <t>Riboviria;Orthornavirae;Pisuviricota;Pisoniviricetes;Picornavirales;Iflaviridae;Iflavirus;Perina nuda virus</t>
  </si>
  <si>
    <t>Riboviria;Orthornavirae;Pisuviricota;Pisoniviricetes;Picornavirales;Iflaviridae;Iflavirus;Iflavirus nilalugentis</t>
  </si>
  <si>
    <t>Riboviria;Orthornavirae;Pisuviricota;Pisoniviricetes;Picornavirales;Iflaviridae;Iflavirus;Nilaparvata lugens honeydew virus 1</t>
  </si>
  <si>
    <t>Riboviria;Orthornavirae;Pisuviricota;Pisoniviricetes;Picornavirales;Iflaviridae;Iflavirus;Iflavirus lylineolaris</t>
  </si>
  <si>
    <t>Riboviria;Orthornavirae;Pisuviricota;Pisoniviricetes;Picornavirales;Iflaviridae;Iflavirus;Lygus lineolaris virus 1</t>
  </si>
  <si>
    <t>Riboviria;Orthornavirae;Pisuviricota;Pisoniviricetes;Picornavirales;Iflaviridae;Iflavirus;Iflavirus lineacelli</t>
  </si>
  <si>
    <t>Riboviria;Orthornavirae;Pisuviricota;Pisoniviricetes;Picornavirales;Iflaviridae;Iflavirus;Lymantria dispar iflavirus 1</t>
  </si>
  <si>
    <t>Riboviria;Orthornavirae;Pisuviricota;Pisoniviricetes;Picornavirales;Iflaviridae;Iflavirus;Iflavirus flacherie</t>
  </si>
  <si>
    <t>Riboviria;Orthornavirae;Pisuviricota;Pisoniviricetes;Picornavirales;Iflaviridae;Iflavirus;Infectious flacherie virus</t>
  </si>
  <si>
    <t>Riboviria;Orthornavirae;Pisuviricota;Pisoniviricetes;Picornavirales;Iflaviridae;Iflavirus;Iflavirus ectobliquae</t>
  </si>
  <si>
    <t>Riboviria;Orthornavirae;Pisuviricota;Pisoniviricetes;Picornavirales;Iflaviridae;Iflavirus;Ectropis obliqua virus</t>
  </si>
  <si>
    <t>Riboviria;Orthornavirae;Pisuviricota;Pisoniviricetes;Picornavirales;Iflaviridae;Iflavirus;Iflavirus dinococcinellae</t>
  </si>
  <si>
    <t>Riboviria;Orthornavirae;Pisuviricota;Pisoniviricetes;Picornavirales;Iflaviridae;Iflavirus;Dinocampus coccinellae paralysis virus</t>
  </si>
  <si>
    <t>Riboviria;Orthornavirae;Pisuviricota;Pisoniviricetes;Picornavirales;Iflaviridae;Iflavirus;Iflavirus brebrassicae</t>
  </si>
  <si>
    <t>Riboviria;Orthornavirae;Pisuviricota;Pisoniviricetes;Picornavirales;Iflaviridae;Iflavirus;Brevicoryne brassicae virus</t>
  </si>
  <si>
    <t>Riboviria;Orthornavirae;Pisuviricota;Pisoniviricetes;Picornavirales;Iflaviridae;Iflavirus;Iflavirus betaspexiguae</t>
  </si>
  <si>
    <t>Riboviria;Orthornavirae;Pisuviricota;Pisoniviricetes;Picornavirales;Iflaviridae;Iflavirus;Spodoptera exigua iflavirus 2</t>
  </si>
  <si>
    <t>Riboviria;Orthornavirae;Pisuviricota;Pisoniviricetes;Picornavirales;Iflaviridae;Iflavirus;Iflavirus apistardum</t>
  </si>
  <si>
    <t>Riboviria;Orthornavirae;Pisuviricota;Pisoniviricetes;Picornavirales;Iflaviridae;Iflavirus;Slow bee paralysis virus</t>
  </si>
  <si>
    <t>Riboviria;Orthornavirae;Pisuviricota;Pisoniviricetes;Picornavirales;Iflaviridae;Iflavirus;Iflavirus aladeformis</t>
  </si>
  <si>
    <t>Riboviria;Orthornavirae;Pisuviricota;Pisoniviricetes;Picornavirales;Iflaviridae;Iflavirus;Deformed wing virus</t>
  </si>
  <si>
    <t>Riboviria;Orthornavirae;Pisuviricota;Pisoniviricetes;Picornavirales;Iflaviridae;Iflavirus;Iflavirus achedomestici</t>
  </si>
  <si>
    <t>Riboviria;Orthornavirae;Pisuviricota;Pisoniviricetes;Picornavirales;Iflaviridae;Iflavirus;Acheta domesticus iflavirus</t>
  </si>
  <si>
    <t>Riboviria;Orthornavirae;Pisuviricota;Pisoniviricetes;Picornavirales;Dicistroviridae;Triatovirus;Triatovirus triatomae</t>
  </si>
  <si>
    <t>Riboviria;Orthornavirae;Pisuviricota;Pisoniviricetes;Picornavirales;Dicistroviridae;Triatovirus;Triatoma virus</t>
  </si>
  <si>
    <t>Riboviria;Orthornavirae;Pisuviricota;Pisoniviricetes;Picornavirales;Dicistroviridae;Triatovirus;Triatovirus plastali</t>
  </si>
  <si>
    <t>Riboviria;Orthornavirae;Pisuviricota;Pisoniviricetes;Picornavirales;Dicistroviridae;Triatovirus;Plautia stali intestine virus</t>
  </si>
  <si>
    <t>Riboviria;Orthornavirae;Pisuviricota;Pisoniviricetes;Picornavirales;Dicistroviridae;Triatovirus;Triatovirus nigereginacellulae</t>
  </si>
  <si>
    <t>Riboviria;Orthornavirae;Pisuviricota;Pisoniviricetes;Picornavirales;Dicistroviridae;Triatovirus;Black queen cell virus</t>
  </si>
  <si>
    <t>Riboviria;Orthornavirae;Pisuviricota;Pisoniviricetes;Picornavirales;Dicistroviridae;Triatovirus;Triatovirus hocoagulatae</t>
  </si>
  <si>
    <t>Riboviria;Orthornavirae;Pisuviricota;Pisoniviricetes;Picornavirales;Dicistroviridae;Triatovirus;Homalodisca coagulata virus 1</t>
  </si>
  <si>
    <t>Riboviria;Orthornavirae;Pisuviricota;Pisoniviricetes;Picornavirales;Dicistroviridae;Triatovirus;Triatovirus himetobi</t>
  </si>
  <si>
    <t>Riboviria;Orthornavirae;Pisuviricota;Pisoniviricetes;Picornavirales;Dicistroviridae;Triatovirus;Himetobi P virus</t>
  </si>
  <si>
    <t>Riboviria;Orthornavirae;Pisuviricota;Pisoniviricetes;Picornavirales;Dicistroviridae;Cripavirus;Cripavirus ropadi</t>
  </si>
  <si>
    <t>Riboviria;Orthornavirae;Pisuviricota;Pisoniviricetes;Picornavirales;Dicistroviridae;Cripavirus;Rhopalosiphum padi virus</t>
  </si>
  <si>
    <t>Riboviria;Orthornavirae;Pisuviricota;Pisoniviricetes;Picornavirales;Dicistroviridae;Cripavirus;Cripavirus mortiferum</t>
  </si>
  <si>
    <t>Riboviria;Orthornavirae;Pisuviricota;Pisoniviricetes;Picornavirales;Dicistroviridae;Cripavirus;Aphid lethal paralysis virus</t>
  </si>
  <si>
    <t>Riboviria;Orthornavirae;Pisuviricota;Pisoniviricetes;Picornavirales;Dicistroviridae;Cripavirus;Cripavirus grylli</t>
  </si>
  <si>
    <t>Riboviria;Orthornavirae;Pisuviricota;Pisoniviricetes;Picornavirales;Dicistroviridae;Cripavirus;Cricket paralysis virus</t>
  </si>
  <si>
    <t>Riboviria;Orthornavirae;Pisuviricota;Pisoniviricetes;Picornavirales;Dicistroviridae;Cripavirus;Cripavirus drosophilae</t>
  </si>
  <si>
    <t>Riboviria;Orthornavirae;Pisuviricota;Pisoniviricetes;Picornavirales;Dicistroviridae;Cripavirus;Drosophila C virus</t>
  </si>
  <si>
    <t>Riboviria;Orthornavirae;Pisuviricota;Pisoniviricetes;Picornavirales;Dicistroviridae;Aparavirus;Aparavirus vallesi</t>
  </si>
  <si>
    <t>Riboviria;Orthornavirae;Pisuviricota;Pisoniviricetes;Picornavirales;Dicistroviridae;Aparavirus;Solenopsis invicta virus 1</t>
  </si>
  <si>
    <t>Riboviria;Orthornavirae;Pisuviricota;Pisoniviricetes;Picornavirales;Dicistroviridae;Aparavirus;Aparavirus tauraense</t>
  </si>
  <si>
    <t>Riboviria;Orthornavirae;Pisuviricota;Pisoniviricetes;Picornavirales;Dicistroviridae;Aparavirus;Taura syndrome virus</t>
  </si>
  <si>
    <t>Riboviria;Orthornavirae;Pisuviricota;Pisoniviricetes;Picornavirales;Dicistroviridae;Aparavirus;Aparavirus kashmirense</t>
  </si>
  <si>
    <t>Riboviria;Orthornavirae;Pisuviricota;Pisoniviricetes;Picornavirales;Dicistroviridae;Aparavirus;Kashmir bee virus</t>
  </si>
  <si>
    <t>Riboviria;Orthornavirae;Pisuviricota;Pisoniviricetes;Picornavirales;Dicistroviridae;Aparavirus;Aparavirus israelense</t>
  </si>
  <si>
    <t>Riboviria;Orthornavirae;Pisuviricota;Pisoniviricetes;Picornavirales;Dicistroviridae;Aparavirus;Israeli acute paralysis virus</t>
  </si>
  <si>
    <t>Riboviria;Orthornavirae;Pisuviricota;Pisoniviricetes;Picornavirales;Dicistroviridae;Aparavirus;Aparavirus cancerluti</t>
  </si>
  <si>
    <t>Riboviria;Orthornavirae;Pisuviricota;Pisoniviricetes;Picornavirales;Dicistroviridae;Aparavirus;Mud crab virus</t>
  </si>
  <si>
    <t>Riboviria;Orthornavirae;Pisuviricota;Pisoniviricetes;Picornavirales;Dicistroviridae;Aparavirus;Aparavirus apisacutum</t>
  </si>
  <si>
    <t>Riboviria;Orthornavirae;Pisuviricota;Pisoniviricetes;Picornavirales;Dicistroviridae;Aparavirus;Acute bee paralysis virus</t>
  </si>
  <si>
    <t>Riboviria;Orthornavirae;Pisuviricota;Pisoniviricetes;Nidovirales;Ronidovirineae;Roniviridae;Okanivirinae;Okavirus;Tipravirus;Okavirus orientale</t>
  </si>
  <si>
    <t>Riboviria;Orthornavirae;Pisuviricota;Pisoniviricetes;Nidovirales;Ronidovirineae;Roniviridae;Okanivirinae;Okavirus;Tipravirus;Okavirus 1</t>
  </si>
  <si>
    <t>Riboviria;Orthornavirae;Pisuviricota;Pisoniviricetes;Nidovirales;Ronidovirineae;Roniviridae;Okanivirinae;Okavirus;Tipravirus;Okavirus flavicapitis</t>
  </si>
  <si>
    <t>Riboviria;Orthornavirae;Pisuviricota;Pisoniviricetes;Nidovirales;Ronidovirineae;Roniviridae;Okanivirinae;Okavirus;Tipravirus;Yellow head virus</t>
  </si>
  <si>
    <t>Riboviria;Orthornavirae;Pisuviricota;Pisoniviricetes;Nidovirales;Ronidovirineae;Roniviridae;Okanivirinae;Okavirus;Tipravirus;Okavirus branchiae</t>
  </si>
  <si>
    <t>Riboviria;Orthornavirae;Pisuviricota;Pisoniviricetes;Nidovirales;Ronidovirineae;Roniviridae;Okanivirinae;Okavirus;Tipravirus;Gill-associated virus</t>
  </si>
  <si>
    <t>Riboviria;Orthornavirae;Pisuviricota;Duplopiviricetes;Durnavirales;Amalgaviridae;Zybavirus;Zybavirus bailii</t>
  </si>
  <si>
    <t>Riboviria;Orthornavirae;Pisuviricota;Duplopiviricetes;Durnavirales;Amalgaviridae;Zybavirus;Zygosaccharomyces bailii virus Z</t>
  </si>
  <si>
    <t>Riboviria;Orthornavirae;Pisuviricota;Duplopiviricetes;Durnavirales;Amalgaviridae;Amalgavirus;Amalgavirus zosterae</t>
  </si>
  <si>
    <t>Riboviria;Orthornavirae;Pisuviricota;Duplopiviricetes;Durnavirales;Amalgaviridae;Amalgavirus;Zoostera marina amalgavirus 1</t>
  </si>
  <si>
    <t>Riboviria;Orthornavirae;Pisuviricota;Duplopiviricetes;Durnavirales;Amalgaviridae;Amalgavirus;Amalgavirus viciae</t>
  </si>
  <si>
    <t>Riboviria;Orthornavirae;Pisuviricota;Duplopiviricetes;Durnavirales;Amalgaviridae;Amalgavirus;Vicia cryptic virus M</t>
  </si>
  <si>
    <t>Riboviria;Orthornavirae;Pisuviricota;Duplopiviricetes;Durnavirales;Amalgaviridae;Amalgavirus;Amalgavirus vaccinii</t>
  </si>
  <si>
    <t>Riboviria;Orthornavirae;Pisuviricota;Duplopiviricetes;Durnavirales;Amalgaviridae;Amalgavirus;Blueberry latent virus</t>
  </si>
  <si>
    <t>Riboviria;Orthornavirae;Pisuviricota;Duplopiviricetes;Durnavirales;Amalgaviridae;Amalgavirus;Amalgavirus spinaciae</t>
  </si>
  <si>
    <t>Riboviria;Orthornavirae;Pisuviricota;Duplopiviricetes;Durnavirales;Amalgaviridae;Amalgavirus;Spinach amalgavirus 1</t>
  </si>
  <si>
    <t>Riboviria;Orthornavirae;Pisuviricota;Duplopiviricetes;Durnavirales;Amalgaviridae;Amalgavirus;Amalgavirus rhododendri</t>
  </si>
  <si>
    <t>Riboviria;Orthornavirae;Pisuviricota;Duplopiviricetes;Durnavirales;Amalgaviridae;Amalgavirus;Rhododendron virus A</t>
  </si>
  <si>
    <t>Riboviria;Orthornavirae;Pisuviricota;Duplopiviricetes;Durnavirales;Amalgaviridae;Amalgavirus;Amalgavirus marinae</t>
  </si>
  <si>
    <t>Riboviria;Orthornavirae;Pisuviricota;Duplopiviricetes;Durnavirales;Amalgaviridae;Amalgavirus;Zoostera marina amalgavirus 2</t>
  </si>
  <si>
    <t>Riboviria;Orthornavirae;Pisuviricota;Duplopiviricetes;Durnavirales;Amalgaviridae;Amalgavirus;Amalgavirus lycopersici</t>
  </si>
  <si>
    <t>Riboviria;Orthornavirae;Pisuviricota;Duplopiviricetes;Durnavirales;Amalgaviridae;Amalgavirus;Southern tomato virus</t>
  </si>
  <si>
    <t>Riboviria;Orthornavirae;Pisuviricota;Duplopiviricetes;Durnavirales;Amalgaviridae;Amalgavirus;Amalgavirus cepae</t>
  </si>
  <si>
    <t>Riboviria;Orthornavirae;Pisuviricota;Duplopiviricetes;Durnavirales;Amalgaviridae;Amalgavirus;Allium cepa amalgavirus 2</t>
  </si>
  <si>
    <t>Riboviria;Orthornavirae;Pisuviricota;Duplopiviricetes;Durnavirales;Amalgaviridae;Amalgavirus;Amalgavirus allii</t>
  </si>
  <si>
    <t>Riboviria;Orthornavirae;Pisuviricota;Duplopiviricetes;Durnavirales;Amalgaviridae;Amalgavirus;Allium cepa amalgavirus 1</t>
  </si>
  <si>
    <t>Riboviria;Orthornavirae;Negarnaviricota;Polyploviricotina;Ellioviricetes;Bunyavirales;Tospoviridae;Orthotospovirus;Orthotospovirus tomatozonae</t>
  </si>
  <si>
    <t>Riboviria;Orthornavirae;Negarnaviricota;Polyploviricotina;Ellioviricetes;Bunyavirales;Tospoviridae;Orthotospovirus;Tomato zonate spot orthotospovirus</t>
  </si>
  <si>
    <t>Riboviria;Orthornavirae;Negarnaviricota;Polyploviricotina;Ellioviricetes;Bunyavirales;Tospoviridae;Orthotospovirus;Orthotospovirus tomatomaculae</t>
  </si>
  <si>
    <t>Riboviria;Orthornavirae;Negarnaviricota;Polyploviricotina;Ellioviricetes;Bunyavirales;Tospoviridae;Orthotospovirus;Tomato spotted wilt orthotospovirus</t>
  </si>
  <si>
    <t>Riboviria;Orthornavirae;Negarnaviricota;Polyploviricotina;Ellioviricetes;Bunyavirales;Tospoviridae;Orthotospovirus;Orthotospovirus tomatoflavi</t>
  </si>
  <si>
    <t>Riboviria;Orthornavirae;Negarnaviricota;Polyploviricotina;Ellioviricetes;Bunyavirales;Tospoviridae;Orthotospovirus;Tomato chlorotic spot orthotospovirus</t>
  </si>
  <si>
    <t>Riboviria;Orthornavirae;Negarnaviricota;Polyploviricotina;Ellioviricetes;Bunyavirales;Tospoviridae;Orthotospovirus;Orthotospovirus tomatanuli</t>
  </si>
  <si>
    <t>Riboviria;Orthornavirae;Negarnaviricota;Polyploviricotina;Ellioviricetes;Bunyavirales;Tospoviridae;Orthotospovirus;Tomato yellow ring orthotospovirus</t>
  </si>
  <si>
    <t>Riboviria;Orthornavirae;Negarnaviricota;Polyploviricotina;Ellioviricetes;Bunyavirales;Tospoviridae;Orthotospovirus;Orthotospovirus polygonianuli</t>
  </si>
  <si>
    <t>Riboviria;Orthornavirae;Negarnaviricota;Polyploviricotina;Ellioviricetes;Bunyavirales;Tospoviridae;Orthotospovirus;Polygonum ringspot orthotospovirus</t>
  </si>
  <si>
    <t>Riboviria;Orthornavirae;Negarnaviricota;Polyploviricotina;Ellioviricetes;Bunyavirales;Tospoviridae;Orthotospovirus;Orthotospovirus phaseolinecrotessellati</t>
  </si>
  <si>
    <t>Riboviria;Orthornavirae;Negarnaviricota;Polyploviricotina;Ellioviricetes;Bunyavirales;Tospoviridae;Orthotospovirus;Bean necrotic mosaic orthotospovirus</t>
  </si>
  <si>
    <t>Riboviria;Orthornavirae;Negarnaviricota;Polyploviricotina;Ellioviricetes;Bunyavirales;Tospoviridae;Orthotospovirus;Orthotospovirus morivenae</t>
  </si>
  <si>
    <t>Riboviria;Orthornavirae;Negarnaviricota;Polyploviricotina;Ellioviricetes;Bunyavirales;Tospoviridae;Orthotospovirus;Mulberry vein banding associated orthotospovirus</t>
  </si>
  <si>
    <t>Riboviria;Orthornavirae;Negarnaviricota;Polyploviricotina;Ellioviricetes;Bunyavirales;Tospoviridae;Orthotospovirus;Orthotospovirus melotessellati</t>
  </si>
  <si>
    <t>Riboviria;Orthornavirae;Negarnaviricota;Polyploviricotina;Ellioviricetes;Bunyavirales;Tospoviridae;Orthotospovirus;Melon severe mosaic orthotospovirus</t>
  </si>
  <si>
    <t>Riboviria;Orthornavirae;Negarnaviricota;Polyploviricotina;Ellioviricetes;Bunyavirales;Tospoviridae;Orthotospovirus;Orthotospovirus meloflavi</t>
  </si>
  <si>
    <t>Riboviria;Orthornavirae;Negarnaviricota;Polyploviricotina;Ellioviricetes;Bunyavirales;Tospoviridae;Orthotospovirus;Melon yellow spot orthotospovirus</t>
  </si>
  <si>
    <t>Riboviria;Orthornavirae;Negarnaviricota;Polyploviricotina;Ellioviricetes;Bunyavirales;Tospoviridae;Orthotospovirus;Orthotospovirus iridimaculaflavi</t>
  </si>
  <si>
    <t>Riboviria;Orthornavirae;Negarnaviricota;Polyploviricotina;Ellioviricetes;Bunyavirales;Tospoviridae;Orthotospovirus;Iris yellow spot orthotospovirus</t>
  </si>
  <si>
    <t>Riboviria;Orthornavirae;Negarnaviricota;Polyploviricotina;Ellioviricetes;Bunyavirales;Tospoviridae;Orthotospovirus;Orthotospovirus impatiensnecromaculae</t>
  </si>
  <si>
    <t>Riboviria;Orthornavirae;Negarnaviricota;Polyploviricotina;Ellioviricetes;Bunyavirales;Tospoviridae;Orthotospovirus;Impatiens necrotic spot orthotospovirus</t>
  </si>
  <si>
    <t>Riboviria;Orthornavirae;Negarnaviricota;Polyploviricotina;Ellioviricetes;Bunyavirales;Tospoviridae;Orthotospovirus;Orthotospovirus hippeflavi</t>
  </si>
  <si>
    <t>Riboviria;Orthornavirae;Negarnaviricota;Polyploviricotina;Ellioviricetes;Bunyavirales;Tospoviridae;Orthotospovirus;Hippeastrum chlorotic ringspot orthotospovirus</t>
  </si>
  <si>
    <t>Riboviria;Orthornavirae;Negarnaviricota;Polyploviricotina;Ellioviricetes;Bunyavirales;Tospoviridae;Orthotospovirus;Orthotospovirus glycininecrovenae</t>
  </si>
  <si>
    <t>Riboviria;Orthornavirae;Negarnaviricota;Polyploviricotina;Ellioviricetes;Bunyavirales;Tospoviridae;Orthotospovirus;Soybean vein necrosis orthotospovirus</t>
  </si>
  <si>
    <t>Riboviria;Orthornavirae;Negarnaviricota;Polyploviricotina;Ellioviricetes;Bunyavirales;Tospoviridae;Orthotospovirus;Orthotospovirus cucurbichlorosis</t>
  </si>
  <si>
    <t>Riboviria;Orthornavirae;Negarnaviricota;Polyploviricotina;Ellioviricetes;Bunyavirales;Tospoviridae;Orthotospovirus;Zucchini lethal chlorosis orthotospovirus</t>
  </si>
  <si>
    <t>Riboviria;Orthornavirae;Negarnaviricota;Polyploviricotina;Ellioviricetes;Bunyavirales;Tospoviridae;Orthotospovirus;Orthotospovirus citrullonecrosis</t>
  </si>
  <si>
    <t>Riboviria;Orthornavirae;Negarnaviricota;Polyploviricotina;Ellioviricetes;Bunyavirales;Tospoviridae;Orthotospovirus;Watermelon bud necrosis orthotospovirus</t>
  </si>
  <si>
    <t>Riboviria;Orthornavirae;Negarnaviricota;Polyploviricotina;Ellioviricetes;Bunyavirales;Tospoviridae;Orthotospovirus;Orthotospovirus citrullomaculosi</t>
  </si>
  <si>
    <t>Riboviria;Orthornavirae;Negarnaviricota;Polyploviricotina;Ellioviricetes;Bunyavirales;Tospoviridae;Orthotospovirus;Watermelon silver mottle orthotospovirus</t>
  </si>
  <si>
    <t>Riboviria;Orthornavirae;Negarnaviricota;Polyploviricotina;Ellioviricetes;Bunyavirales;Tospoviridae;Orthotospovirus;Orthotospovirus chrysanthinecrocaulis</t>
  </si>
  <si>
    <t>Riboviria;Orthornavirae;Negarnaviricota;Polyploviricotina;Ellioviricetes;Bunyavirales;Tospoviridae;Orthotospovirus;Chrysanthemum stem necrosis orthotospovirus</t>
  </si>
  <si>
    <t>Riboviria;Orthornavirae;Negarnaviricota;Polyploviricotina;Ellioviricetes;Bunyavirales;Tospoviridae;Orthotospovirus;Orthotospovirus capsicimaculaflavi</t>
  </si>
  <si>
    <t>Riboviria;Orthornavirae;Negarnaviricota;Polyploviricotina;Ellioviricetes;Bunyavirales;Tospoviridae;Orthotospovirus;Pepper chlorotic spot orthotospovirus</t>
  </si>
  <si>
    <t>Riboviria;Orthornavirae;Negarnaviricota;Polyploviricotina;Ellioviricetes;Bunyavirales;Tospoviridae;Orthotospovirus;Orthotospovirus capsiciflavi</t>
  </si>
  <si>
    <t>Riboviria;Orthornavirae;Negarnaviricota;Polyploviricotina;Ellioviricetes;Bunyavirales;Tospoviridae;Orthotospovirus;Capsicum chlorosis orthotospovirus</t>
  </si>
  <si>
    <t>Riboviria;Orthornavirae;Negarnaviricota;Polyploviricotina;Ellioviricetes;Bunyavirales;Tospoviridae;Orthotospovirus;Orthotospovirus callaflavi</t>
  </si>
  <si>
    <t>Riboviria;Orthornavirae;Negarnaviricota;Polyploviricotina;Ellioviricetes;Bunyavirales;Tospoviridae;Orthotospovirus;Calla lily chlorotic spot orthotospovirus</t>
  </si>
  <si>
    <t>Riboviria;Orthornavirae;Negarnaviricota;Polyploviricotina;Ellioviricetes;Bunyavirales;Tospoviridae;Orthotospovirus;Orthotospovirus arachinecrosis</t>
  </si>
  <si>
    <t>Riboviria;Orthornavirae;Negarnaviricota;Polyploviricotina;Ellioviricetes;Bunyavirales;Tospoviridae;Orthotospovirus;Groundnut bud necrosis orthotospovirus</t>
  </si>
  <si>
    <t>Riboviria;Orthornavirae;Negarnaviricota;Polyploviricotina;Ellioviricetes;Bunyavirales;Tospoviridae;Orthotospovirus;Orthotospovirus arachiflavi</t>
  </si>
  <si>
    <t>Riboviria;Orthornavirae;Negarnaviricota;Polyploviricotina;Ellioviricetes;Bunyavirales;Tospoviridae;Orthotospovirus;Groundnut chlorotic fan spot orthotospovirus</t>
  </si>
  <si>
    <t>Riboviria;Orthornavirae;Negarnaviricota;Polyploviricotina;Ellioviricetes;Bunyavirales;Tospoviridae;Orthotospovirus;Orthotospovirus arachiflavamaculae</t>
  </si>
  <si>
    <t>Riboviria;Orthornavirae;Negarnaviricota;Polyploviricotina;Ellioviricetes;Bunyavirales;Tospoviridae;Orthotospovirus;Groundnut yellow spot orthotospovirus</t>
  </si>
  <si>
    <t>Riboviria;Orthornavirae;Negarnaviricota;Polyploviricotina;Ellioviricetes;Bunyavirales;Tospoviridae;Orthotospovirus;Orthotospovirus arachianuli</t>
  </si>
  <si>
    <t>Riboviria;Orthornavirae;Negarnaviricota;Polyploviricotina;Ellioviricetes;Bunyavirales;Tospoviridae;Orthotospovirus;Groundnut ringspot orthotospovirus</t>
  </si>
  <si>
    <t>Riboviria;Orthornavirae;Negarnaviricota;Polyploviricotina;Ellioviricetes;Bunyavirales;Tospoviridae;Orthotospovirus;Orthotospovirus alstroemerinecrosis</t>
  </si>
  <si>
    <t>Riboviria;Orthornavirae;Negarnaviricota;Polyploviricotina;Ellioviricetes;Bunyavirales;Tospoviridae;Orthotospovirus;Alstroemeria necrotic streak orthotospovirus</t>
  </si>
  <si>
    <t>Riboviria;Orthornavirae;Negarnaviricota;Polyploviricotina;Ellioviricetes;Bunyavirales;Tospoviridae;Orthotospovirus;Orthotospovirus alstroemeriflavi</t>
  </si>
  <si>
    <t>Riboviria;Orthornavirae;Negarnaviricota;Polyploviricotina;Ellioviricetes;Bunyavirales;Tospoviridae;Orthotospovirus;Alstroemeria yellow spot orthotospovirus</t>
  </si>
  <si>
    <t>Riboviria;Orthornavirae;Negarnaviricota;Polyploviricotina;Ellioviricetes;Bunyavirales;Phenuiviridae;Wenrivirus;Wenrivirus penaei</t>
  </si>
  <si>
    <t>Riboviria;Orthornavirae;Negarnaviricota;Polyploviricotina;Ellioviricetes;Bunyavirales;Phenuiviridae;Wenrivirus;Shrimp wenrivirus</t>
  </si>
  <si>
    <t>Riboviria;Orthornavirae;Negarnaviricota;Polyploviricotina;Ellioviricetes;Bunyavirales;Phenuiviridae;Uukuvirus;Uukuvirus yongjiaense</t>
  </si>
  <si>
    <t>Riboviria;Orthornavirae;Negarnaviricota;Polyploviricotina;Ellioviricetes;Bunyavirales;Phenuiviridae;Uukuvirus;Yongjia uukuvirus</t>
  </si>
  <si>
    <t>Riboviria;Orthornavirae;Negarnaviricota;Polyploviricotina;Ellioviricetes;Bunyavirales;Phenuiviridae;Uukuvirus;Uukuvirus uukuniemiense</t>
  </si>
  <si>
    <t>Riboviria;Orthornavirae;Negarnaviricota;Polyploviricotina;Ellioviricetes;Bunyavirales;Phenuiviridae;Uukuvirus;Uukuniemi uukuvirus</t>
  </si>
  <si>
    <t>Riboviria;Orthornavirae;Negarnaviricota;Polyploviricotina;Ellioviricetes;Bunyavirales;Phenuiviridae;Uukuvirus;Uukuvirus uriae</t>
  </si>
  <si>
    <t>Riboviria;Orthornavirae;Negarnaviricota;Polyploviricotina;Ellioviricetes;Bunyavirales;Phenuiviridae;Uukuvirus;Murre uukuvirus</t>
  </si>
  <si>
    <t>Riboviria;Orthornavirae;Negarnaviricota;Polyploviricotina;Ellioviricetes;Bunyavirales;Phenuiviridae;Uukuvirus;Uukuvirus tyulenyense</t>
  </si>
  <si>
    <t>Riboviria;Orthornavirae;Negarnaviricota;Polyploviricotina;Ellioviricetes;Bunyavirales;Phenuiviridae;Uukuvirus;Zaliv Terpeniya uukuvirus</t>
  </si>
  <si>
    <t>Riboviria;Orthornavirae;Negarnaviricota;Polyploviricotina;Ellioviricetes;Bunyavirales;Phenuiviridae;Uukuvirus;Uukuvirus tachengense</t>
  </si>
  <si>
    <t>Riboviria;Orthornavirae;Negarnaviricota;Polyploviricotina;Ellioviricetes;Bunyavirales;Phenuiviridae;Uukuvirus;Tacheng uukuvirus</t>
  </si>
  <si>
    <t>Riboviria;Orthornavirae;Negarnaviricota;Polyploviricotina;Ellioviricetes;Bunyavirales;Phenuiviridae;Uukuvirus;Uukuvirus silverwaterense</t>
  </si>
  <si>
    <t>Riboviria;Orthornavirae;Negarnaviricota;Polyploviricotina;Ellioviricetes;Bunyavirales;Phenuiviridae;Uukuvirus;Silverwater uukuvirus</t>
  </si>
  <si>
    <t>Riboviria;Orthornavirae;Negarnaviricota;Polyploviricotina;Ellioviricetes;Bunyavirales;Phenuiviridae;Uukuvirus;Uukuvirus schmidti</t>
  </si>
  <si>
    <t>Riboviria;Orthornavirae;Negarnaviricota;Polyploviricotina;Ellioviricetes;Bunyavirales;Phenuiviridae;Uukuvirus;Schmidt uukuvirus</t>
  </si>
  <si>
    <t>Riboviria;Orthornavirae;Negarnaviricota;Polyploviricotina;Ellioviricetes;Bunyavirales;Phenuiviridae;Uukuvirus;Uukuvirus rukutamaense</t>
  </si>
  <si>
    <t>Riboviria;Orthornavirae;Negarnaviricota;Polyploviricotina;Ellioviricetes;Bunyavirales;Phenuiviridae;Uukuvirus;Rukutama uukuvirus</t>
  </si>
  <si>
    <t>Riboviria;Orthornavirae;Negarnaviricota;Polyploviricotina;Ellioviricetes;Bunyavirales;Phenuiviridae;Uukuvirus;Uukuvirus macquariense</t>
  </si>
  <si>
    <t>Riboviria;Orthornavirae;Negarnaviricota;Polyploviricotina;Ellioviricetes;Bunyavirales;Phenuiviridae;Uukuvirus;Precarious Point uukuvirus</t>
  </si>
  <si>
    <t>Riboviria;Orthornavirae;Negarnaviricota;Polyploviricotina;Ellioviricetes;Bunyavirales;Phenuiviridae;Uukuvirus;Uukuvirus lihanense</t>
  </si>
  <si>
    <t>Riboviria;Orthornavirae;Negarnaviricota;Polyploviricotina;Ellioviricetes;Bunyavirales;Phenuiviridae;Uukuvirus;Lihan uukuvirus</t>
  </si>
  <si>
    <t>Riboviria;Orthornavirae;Negarnaviricota;Polyploviricotina;Ellioviricetes;Bunyavirales;Phenuiviridae;Uukuvirus;Uukuvirus kaisodiense</t>
  </si>
  <si>
    <t>Riboviria;Orthornavirae;Negarnaviricota;Polyploviricotina;Ellioviricetes;Bunyavirales;Phenuiviridae;Uukuvirus;Kaisodi uukuvirus</t>
  </si>
  <si>
    <t>Riboviria;Orthornavirae;Negarnaviricota;Polyploviricotina;Ellioviricetes;Bunyavirales;Phenuiviridae;Uukuvirus;Uukuvirus kabutoense</t>
  </si>
  <si>
    <t>Riboviria;Orthornavirae;Negarnaviricota;Polyploviricotina;Ellioviricetes;Bunyavirales;Phenuiviridae;Uukuvirus;Kabuto mountain uukuvirus</t>
  </si>
  <si>
    <t>Riboviria;Orthornavirae;Negarnaviricota;Polyploviricotina;Ellioviricetes;Bunyavirales;Phenuiviridae;Uukuvirus;Uukuvirus huangpiense</t>
  </si>
  <si>
    <t>Riboviria;Orthornavirae;Negarnaviricota;Polyploviricotina;Ellioviricetes;Bunyavirales;Phenuiviridae;Uukuvirus;Huangpi uukuvirus</t>
  </si>
  <si>
    <t>Riboviria;Orthornavirae;Negarnaviricota;Polyploviricotina;Ellioviricetes;Bunyavirales;Phenuiviridae;Uukuvirus;Uukuvirus hoplandense</t>
  </si>
  <si>
    <t>Riboviria;Orthornavirae;Negarnaviricota;Polyploviricotina;Ellioviricetes;Bunyavirales;Phenuiviridae;Uukuvirus;Pacific coast uukuvirus</t>
  </si>
  <si>
    <t>Riboviria;Orthornavirae;Negarnaviricota;Polyploviricotina;Ellioviricetes;Bunyavirales;Phenuiviridae;Uukuvirus;Uukuvirus grandarbaudense</t>
  </si>
  <si>
    <t>Riboviria;Orthornavirae;Negarnaviricota;Polyploviricotina;Ellioviricetes;Bunyavirales;Phenuiviridae;Uukuvirus;Grand Arbaud uukuvirus</t>
  </si>
  <si>
    <t>Riboviria;Orthornavirae;Negarnaviricota;Polyploviricotina;Ellioviricetes;Bunyavirales;Phenuiviridae;Uukuvirus;Uukuvirus dermacentoris</t>
  </si>
  <si>
    <t>Riboviria;Orthornavirae;Negarnaviricota;Polyploviricotina;Ellioviricetes;Bunyavirales;Phenuiviridae;Uukuvirus;American dog uukuvirus</t>
  </si>
  <si>
    <t>Riboviria;Orthornavirae;Negarnaviricota;Polyploviricotina;Ellioviricetes;Bunyavirales;Phenuiviridae;Uukuvirus;Uukuvirus dabieshanense</t>
  </si>
  <si>
    <t>Riboviria;Orthornavirae;Negarnaviricota;Polyploviricotina;Ellioviricetes;Bunyavirales;Phenuiviridae;Uukuvirus;Dabieshan uukuvirus</t>
  </si>
  <si>
    <t>Riboviria;Orthornavirae;Negarnaviricota;Polyploviricotina;Ellioviricetes;Bunyavirales;Phenuiviridae;Tenuivirus;Tenuivirus zeae</t>
  </si>
  <si>
    <t>Riboviria;Orthornavirae;Negarnaviricota;Polyploviricotina;Ellioviricetes;Bunyavirales;Phenuiviridae;Tenuivirus;Maize stripe tenuivirus</t>
  </si>
  <si>
    <t>Riboviria;Orthornavirae;Negarnaviricota;Polyploviricotina;Ellioviricetes;Bunyavirales;Phenuiviridae;Tenuivirus;Tenuivirus urochloae</t>
  </si>
  <si>
    <t>Riboviria;Orthornavirae;Negarnaviricota;Polyploviricotina;Ellioviricetes;Bunyavirales;Phenuiviridae;Tenuivirus;Urochloa hoja blanca tenuivirus</t>
  </si>
  <si>
    <t>Riboviria;Orthornavirae;Negarnaviricota;Polyploviricotina;Ellioviricetes;Bunyavirales;Phenuiviridae;Tenuivirus;Tenuivirus persotritici</t>
  </si>
  <si>
    <t>Riboviria;Orthornavirae;Negarnaviricota;Polyploviricotina;Ellioviricetes;Bunyavirales;Phenuiviridae;Tenuivirus;Iranian wheat stripe tenuivirus</t>
  </si>
  <si>
    <t>Riboviria;Orthornavirae;Negarnaviricota;Polyploviricotina;Ellioviricetes;Bunyavirales;Phenuiviridae;Tenuivirus;Tenuivirus oryzalbae</t>
  </si>
  <si>
    <t>Riboviria;Orthornavirae;Negarnaviricota;Polyploviricotina;Ellioviricetes;Bunyavirales;Phenuiviridae;Tenuivirus;Rice hoja blanca tenuivirus</t>
  </si>
  <si>
    <t>Riboviria;Orthornavirae;Negarnaviricota;Polyploviricotina;Ellioviricetes;Bunyavirales;Phenuiviridae;Tenuivirus;Tenuivirus oryzaclavatae</t>
  </si>
  <si>
    <t>Riboviria;Orthornavirae;Negarnaviricota;Polyploviricotina;Ellioviricetes;Bunyavirales;Phenuiviridae;Tenuivirus;Rice stripe tenuivirus</t>
  </si>
  <si>
    <t>Riboviria;Orthornavirae;Negarnaviricota;Polyploviricotina;Ellioviricetes;Bunyavirales;Phenuiviridae;Tenuivirus;Tenuivirus oryzabrevis</t>
  </si>
  <si>
    <t>Riboviria;Orthornavirae;Negarnaviricota;Polyploviricotina;Ellioviricetes;Bunyavirales;Phenuiviridae;Tenuivirus;Rice grassy stunt tenuivirus</t>
  </si>
  <si>
    <t>Riboviria;Orthornavirae;Negarnaviricota;Polyploviricotina;Ellioviricetes;Bunyavirales;Phenuiviridae;Tenuivirus;Tenuivirus eurotritici</t>
  </si>
  <si>
    <t>Riboviria;Orthornavirae;Negarnaviricota;Polyploviricotina;Ellioviricetes;Bunyavirales;Phenuiviridae;Tenuivirus;European wheat striate mosaic tenuivirus</t>
  </si>
  <si>
    <t>Riboviria;Orthornavirae;Negarnaviricota;Polyploviricotina;Ellioviricetes;Bunyavirales;Phenuiviridae;Tenuivirus;Tenuivirus echinochloae</t>
  </si>
  <si>
    <t>Riboviria;Orthornavirae;Negarnaviricota;Polyploviricotina;Ellioviricetes;Bunyavirales;Phenuiviridae;Tenuivirus;Echinochloa hoja blanca tenuivirus</t>
  </si>
  <si>
    <t>Riboviria;Orthornavirae;Negarnaviricota;Polyploviricotina;Ellioviricetes;Bunyavirales;Phenuiviridae;Tanzavirus;Tanzavirus daressalaamense</t>
  </si>
  <si>
    <t>Riboviria;Orthornavirae;Negarnaviricota;Polyploviricotina;Ellioviricetes;Bunyavirales;Phenuiviridae;Tanzavirus;Human tanzavirus</t>
  </si>
  <si>
    <t>Riboviria;Orthornavirae;Negarnaviricota;Polyploviricotina;Ellioviricetes;Bunyavirales;Phenuiviridae;Rubodvirus;Rubodvirus prosserense</t>
  </si>
  <si>
    <t>Riboviria;Orthornavirae;Negarnaviricota;Polyploviricotina;Ellioviricetes;Bunyavirales;Phenuiviridae;Rubodvirus;Apple rubodvirus 2</t>
  </si>
  <si>
    <t>Riboviria;Orthornavirae;Negarnaviricota;Polyploviricotina;Ellioviricetes;Bunyavirales;Phenuiviridae;Rubodvirus;Rubodvirus mali</t>
  </si>
  <si>
    <t>Riboviria;Orthornavirae;Negarnaviricota;Polyploviricotina;Ellioviricetes;Bunyavirales;Phenuiviridae;Rubodvirus;Apple rubodvirus 1</t>
  </si>
  <si>
    <t>Riboviria;Orthornavirae;Negarnaviricota;Polyploviricotina;Ellioviricetes;Bunyavirales;Phenuiviridae;Rubodvirus;Rubodvirus armeniaense</t>
  </si>
  <si>
    <t>Riboviria;Orthornavirae;Negarnaviricota;Polyploviricotina;Ellioviricetes;Bunyavirales;Phenuiviridae;Rubodvirus;Grapevine rubodvirus 1</t>
  </si>
  <si>
    <t>Riboviria;Orthornavirae;Negarnaviricota;Polyploviricotina;Ellioviricetes;Bunyavirales;Phenuiviridae;Rubodvirus;Rubodvirus argentinaense</t>
  </si>
  <si>
    <t>Riboviria;Orthornavirae;Negarnaviricota;Polyploviricotina;Ellioviricetes;Bunyavirales;Phenuiviridae;Rubodvirus;Grapevine rubodvirus 2</t>
  </si>
  <si>
    <t>Riboviria;Orthornavirae;Negarnaviricota;Polyploviricotina;Ellioviricetes;Bunyavirales;Phenuiviridae;Pidchovirus;Pidchovirus stethori</t>
  </si>
  <si>
    <t>Riboviria;Orthornavirae;Negarnaviricota;Polyploviricotina;Ellioviricetes;Bunyavirales;Phenuiviridae;Pidchovirus;Coleopteran pidchovirus</t>
  </si>
  <si>
    <t>Riboviria;Orthornavirae;Negarnaviricota;Polyploviricotina;Ellioviricetes;Bunyavirales;Phenuiviridae;Pidchovirus;Pidchovirus pidgei</t>
  </si>
  <si>
    <t>Riboviria;Orthornavirae;Negarnaviricota;Polyploviricotina;Ellioviricetes;Bunyavirales;Phenuiviridae;Pidchovirus;Pidgey pidchovirus</t>
  </si>
  <si>
    <t>Riboviria;Orthornavirae;Negarnaviricota;Polyploviricotina;Ellioviricetes;Bunyavirales;Phenuiviridae;Phlebovirus;Phlebovirus zerdaliense</t>
  </si>
  <si>
    <t>Riboviria;Orthornavirae;Negarnaviricota;Polyploviricotina;Ellioviricetes;Bunyavirales;Phenuiviridae;Phlebovirus;Zerdali phlebovirus</t>
  </si>
  <si>
    <t>Riboviria;Orthornavirae;Negarnaviricota;Polyploviricotina;Ellioviricetes;Bunyavirales;Phenuiviridae;Phlebovirus;Phlebovirus urucuriense</t>
  </si>
  <si>
    <t>Riboviria;Orthornavirae;Negarnaviricota;Polyploviricotina;Ellioviricetes;Bunyavirales;Phenuiviridae;Phlebovirus;Urucuri phlebovirus</t>
  </si>
  <si>
    <t>Riboviria;Orthornavirae;Negarnaviricota;Polyploviricotina;Ellioviricetes;Bunyavirales;Phenuiviridae;Phlebovirus;Phlebovirus uriuranaense</t>
  </si>
  <si>
    <t>Riboviria;Orthornavirae;Negarnaviricota;Polyploviricotina;Ellioviricetes;Bunyavirales;Phenuiviridae;Phlebovirus;Uriurana phlebovirus</t>
  </si>
  <si>
    <t>Riboviria;Orthornavirae;Negarnaviricota;Polyploviricotina;Ellioviricetes;Bunyavirales;Phenuiviridae;Phlebovirus;Phlebovirus turunaense</t>
  </si>
  <si>
    <t>Riboviria;Orthornavirae;Negarnaviricota;Polyploviricotina;Ellioviricetes;Bunyavirales;Phenuiviridae;Phlebovirus;Turuna phlebovirus</t>
  </si>
  <si>
    <t>Riboviria;Orthornavirae;Negarnaviricota;Polyploviricotina;Ellioviricetes;Bunyavirales;Phenuiviridae;Phlebovirus;Phlebovirus toscanaense</t>
  </si>
  <si>
    <t>Riboviria;Orthornavirae;Negarnaviricota;Polyploviricotina;Ellioviricetes;Bunyavirales;Phenuiviridae;Phlebovirus;Toscana phlebovirus</t>
  </si>
  <si>
    <t>Riboviria;Orthornavirae;Negarnaviricota;Polyploviricotina;Ellioviricetes;Bunyavirales;Phenuiviridae;Phlebovirus;Phlebovirus torosense</t>
  </si>
  <si>
    <t>Riboviria;Orthornavirae;Negarnaviricota;Polyploviricotina;Ellioviricetes;Bunyavirales;Phenuiviridae;Phlebovirus;Toros phlebovirus</t>
  </si>
  <si>
    <t>Riboviria;Orthornavirae;Negarnaviricota;Polyploviricotina;Ellioviricetes;Bunyavirales;Phenuiviridae;Phlebovirus;Phlebovirus toroense</t>
  </si>
  <si>
    <t>Riboviria;Orthornavirae;Negarnaviricota;Polyploviricotina;Ellioviricetes;Bunyavirales;Phenuiviridae;Phlebovirus;Punta Toro phlebovirus</t>
  </si>
  <si>
    <t>Riboviria;Orthornavirae;Negarnaviricota;Polyploviricotina;Ellioviricetes;Bunyavirales;Phenuiviridae;Phlebovirus;Phlebovirus ticoense</t>
  </si>
  <si>
    <t>Riboviria;Orthornavirae;Negarnaviricota;Polyploviricotina;Ellioviricetes;Bunyavirales;Phenuiviridae;Phlebovirus;Tico phlebovirus</t>
  </si>
  <si>
    <t>Riboviria;Orthornavirae;Negarnaviricota;Polyploviricotina;Ellioviricetes;Bunyavirales;Phenuiviridae;Phlebovirus;Phlebovirus tehranense</t>
  </si>
  <si>
    <t>Riboviria;Orthornavirae;Negarnaviricota;Polyploviricotina;Ellioviricetes;Bunyavirales;Phenuiviridae;Phlebovirus;Tehran phlebovirus</t>
  </si>
  <si>
    <t>Riboviria;Orthornavirae;Negarnaviricota;Polyploviricotina;Ellioviricetes;Bunyavirales;Phenuiviridae;Phlebovirus;Phlebovirus taparaense</t>
  </si>
  <si>
    <t>Riboviria;Orthornavirae;Negarnaviricota;Polyploviricotina;Ellioviricetes;Bunyavirales;Phenuiviridae;Phlebovirus;Tapara phlebovirus</t>
  </si>
  <si>
    <t>Riboviria;Orthornavirae;Negarnaviricota;Polyploviricotina;Ellioviricetes;Bunyavirales;Phenuiviridae;Phlebovirus;Phlebovirus siciliaense</t>
  </si>
  <si>
    <t>Riboviria;Orthornavirae;Negarnaviricota;Polyploviricotina;Ellioviricetes;Bunyavirales;Phenuiviridae;Phlebovirus;Sicilian phlebovirus</t>
  </si>
  <si>
    <t>Riboviria;Orthornavirae;Negarnaviricota;Polyploviricotina;Ellioviricetes;Bunyavirales;Phenuiviridae;Phlebovirus;Phlebovirus saloboense</t>
  </si>
  <si>
    <t>Riboviria;Orthornavirae;Negarnaviricota;Polyploviricotina;Ellioviricetes;Bunyavirales;Phenuiviridae;Phlebovirus;Salobo phlebovirus</t>
  </si>
  <si>
    <t>Riboviria;Orthornavirae;Negarnaviricota;Polyploviricotina;Ellioviricetes;Bunyavirales;Phenuiviridae;Phlebovirus;Phlebovirus salehabadense</t>
  </si>
  <si>
    <t>Riboviria;Orthornavirae;Negarnaviricota;Polyploviricotina;Ellioviricetes;Bunyavirales;Phenuiviridae;Phlebovirus;Salehabad phlebovirus</t>
  </si>
  <si>
    <t>Riboviria;Orthornavirae;Negarnaviricota;Polyploviricotina;Ellioviricetes;Bunyavirales;Phenuiviridae;Phlebovirus;Phlebovirus salangaense</t>
  </si>
  <si>
    <t>Riboviria;Orthornavirae;Negarnaviricota;Polyploviricotina;Ellioviricetes;Bunyavirales;Phenuiviridae;Phlebovirus;Salanga phlebovirus</t>
  </si>
  <si>
    <t>Riboviria;Orthornavirae;Negarnaviricota;Polyploviricotina;Ellioviricetes;Bunyavirales;Phenuiviridae;Phlebovirus;Phlebovirus riograndense</t>
  </si>
  <si>
    <t>Riboviria;Orthornavirae;Negarnaviricota;Polyploviricotina;Ellioviricetes;Bunyavirales;Phenuiviridae;Phlebovirus;Rio Grande phlebovirus</t>
  </si>
  <si>
    <t>Riboviria;Orthornavirae;Negarnaviricota;Polyploviricotina;Ellioviricetes;Bunyavirales;Phenuiviridae;Phlebovirus;Phlebovirus riftense</t>
  </si>
  <si>
    <t>Riboviria;Orthornavirae;Negarnaviricota;Polyploviricotina;Ellioviricetes;Bunyavirales;Phenuiviridae;Phlebovirus;Rift Valley fever phlebovirus</t>
  </si>
  <si>
    <t>Riboviria;Orthornavirae;Negarnaviricota;Polyploviricotina;Ellioviricetes;Bunyavirales;Phenuiviridae;Phlebovirus;Phlebovirus puniqueense</t>
  </si>
  <si>
    <t>Riboviria;Orthornavirae;Negarnaviricota;Polyploviricotina;Ellioviricetes;Bunyavirales;Phenuiviridae;Phlebovirus;Punique phlebovirus</t>
  </si>
  <si>
    <t>Riboviria;Orthornavirae;Negarnaviricota;Polyploviricotina;Ellioviricetes;Bunyavirales;Phenuiviridae;Phlebovirus;Phlebovirus perkerraense</t>
  </si>
  <si>
    <t>Riboviria;Orthornavirae;Negarnaviricota;Polyploviricotina;Ellioviricetes;Bunyavirales;Phenuiviridae;Phlebovirus;Perkerra phlebovirus</t>
  </si>
  <si>
    <t>Riboviria;Orthornavirae;Negarnaviricota;Polyploviricotina;Ellioviricetes;Bunyavirales;Phenuiviridae;Phlebovirus;Phlebovirus penshurtense</t>
  </si>
  <si>
    <t>Riboviria;Orthornavirae;Negarnaviricota;Polyploviricotina;Ellioviricetes;Bunyavirales;Phenuiviridae;Phlebovirus;Penshurt phlebovirus</t>
  </si>
  <si>
    <t>Riboviria;Orthornavirae;Negarnaviricota;Polyploviricotina;Ellioviricetes;Bunyavirales;Phenuiviridae;Phlebovirus;Phlebovirus penablancaense</t>
  </si>
  <si>
    <t>Riboviria;Orthornavirae;Negarnaviricota;Polyploviricotina;Ellioviricetes;Bunyavirales;Phenuiviridae;Phlebovirus;Pena Blanca phlebovirus</t>
  </si>
  <si>
    <t>Riboviria;Orthornavirae;Negarnaviricota;Polyploviricotina;Ellioviricetes;Bunyavirales;Phenuiviridae;Phlebovirus;Phlebovirus pantanalense</t>
  </si>
  <si>
    <t>Riboviria;Orthornavirae;Negarnaviricota;Polyploviricotina;Ellioviricetes;Bunyavirales;Phenuiviridae;Phlebovirus;Viola phlebovirus</t>
  </si>
  <si>
    <t>Riboviria;Orthornavirae;Negarnaviricota;Polyploviricotina;Ellioviricetes;Bunyavirales;Phenuiviridae;Phlebovirus;Phlebovirus oriximinaense</t>
  </si>
  <si>
    <t>Riboviria;Orthornavirae;Negarnaviricota;Polyploviricotina;Ellioviricetes;Bunyavirales;Phenuiviridae;Phlebovirus;Oriximina phlebovirus</t>
  </si>
  <si>
    <t>Riboviria;Orthornavirae;Negarnaviricota;Polyploviricotina;Ellioviricetes;Bunyavirales;Phenuiviridae;Phlebovirus;Phlebovirus odrenisrouense</t>
  </si>
  <si>
    <t>Riboviria;Orthornavirae;Negarnaviricota;Polyploviricotina;Ellioviricetes;Bunyavirales;Phenuiviridae;Phlebovirus;Odrenisrou phlebovirus</t>
  </si>
  <si>
    <t>Riboviria;Orthornavirae;Negarnaviricota;Polyploviricotina;Ellioviricetes;Bunyavirales;Phenuiviridae;Phlebovirus;Phlebovirus ntepesense</t>
  </si>
  <si>
    <t>Riboviria;Orthornavirae;Negarnaviricota;Polyploviricotina;Ellioviricetes;Bunyavirales;Phenuiviridae;Phlebovirus;Ntepes phlebovirus</t>
  </si>
  <si>
    <t>Riboviria;Orthornavirae;Negarnaviricota;Polyploviricotina;Ellioviricetes;Bunyavirales;Phenuiviridae;Phlebovirus;Phlebovirus niqueense</t>
  </si>
  <si>
    <t>Riboviria;Orthornavirae;Negarnaviricota;Polyploviricotina;Ellioviricetes;Bunyavirales;Phenuiviridae;Phlebovirus;Nique phlebovirus</t>
  </si>
  <si>
    <t>Riboviria;Orthornavirae;Negarnaviricota;Polyploviricotina;Ellioviricetes;Bunyavirales;Phenuiviridae;Phlebovirus;Phlebovirus napoliense</t>
  </si>
  <si>
    <t>Riboviria;Orthornavirae;Negarnaviricota;Polyploviricotina;Ellioviricetes;Bunyavirales;Phenuiviridae;Phlebovirus;Naples phlebovirus</t>
  </si>
  <si>
    <t>Riboviria;Orthornavirae;Negarnaviricota;Polyploviricotina;Ellioviricetes;Bunyavirales;Phenuiviridae;Phlebovirus;Phlebovirus mungubaense</t>
  </si>
  <si>
    <t>Riboviria;Orthornavirae;Negarnaviricota;Polyploviricotina;Ellioviricetes;Bunyavirales;Phenuiviridae;Phlebovirus;Munguba phlebovirus</t>
  </si>
  <si>
    <t>Riboviria;Orthornavirae;Negarnaviricota;Polyploviricotina;Ellioviricetes;Bunyavirales;Phenuiviridae;Phlebovirus;Phlebovirus mukawaense</t>
  </si>
  <si>
    <t>Riboviria;Orthornavirae;Negarnaviricota;Polyploviricotina;Ellioviricetes;Bunyavirales;Phenuiviridae;Phlebovirus;Mukawa phlebovirus</t>
  </si>
  <si>
    <t>Riboviria;Orthornavirae;Negarnaviricota;Polyploviricotina;Ellioviricetes;Bunyavirales;Phenuiviridae;Phlebovirus;Phlebovirus monagritaense</t>
  </si>
  <si>
    <t>Riboviria;Orthornavirae;Negarnaviricota;Polyploviricotina;Ellioviricetes;Bunyavirales;Phenuiviridae;Phlebovirus;Mona Grita phlebovirus</t>
  </si>
  <si>
    <t>Riboviria;Orthornavirae;Negarnaviricota;Polyploviricotina;Ellioviricetes;Bunyavirales;Phenuiviridae;Phlebovirus;Phlebovirus medjerdaense</t>
  </si>
  <si>
    <t>Riboviria;Orthornavirae;Negarnaviricota;Polyploviricotina;Ellioviricetes;Bunyavirales;Phenuiviridae;Phlebovirus;Medjerda phlebovirus</t>
  </si>
  <si>
    <t>Riboviria;Orthornavirae;Negarnaviricota;Polyploviricotina;Ellioviricetes;Bunyavirales;Phenuiviridae;Phlebovirus;Phlebovirus massiliaense</t>
  </si>
  <si>
    <t>Riboviria;Orthornavirae;Negarnaviricota;Polyploviricotina;Ellioviricetes;Bunyavirales;Phenuiviridae;Phlebovirus;Massilia phlebovirus</t>
  </si>
  <si>
    <t>Riboviria;Orthornavirae;Negarnaviricota;Polyploviricotina;Ellioviricetes;Bunyavirales;Phenuiviridae;Phlebovirus;Phlebovirus maldonadoense</t>
  </si>
  <si>
    <t>Riboviria;Orthornavirae;Negarnaviricota;Polyploviricotina;Ellioviricetes;Bunyavirales;Phenuiviridae;Phlebovirus;Maldonado phlebovirus</t>
  </si>
  <si>
    <t>Riboviria;Orthornavirae;Negarnaviricota;Polyploviricotina;Ellioviricetes;Bunyavirales;Phenuiviridae;Phlebovirus;Phlebovirus leticiaense</t>
  </si>
  <si>
    <t>Riboviria;Orthornavirae;Negarnaviricota;Polyploviricotina;Ellioviricetes;Bunyavirales;Phenuiviridae;Phlebovirus;Leticia phlebovirus</t>
  </si>
  <si>
    <t>Riboviria;Orthornavirae;Negarnaviricota;Polyploviricotina;Ellioviricetes;Bunyavirales;Phenuiviridae;Phlebovirus;Phlebovirus kiborgochense</t>
  </si>
  <si>
    <t>Riboviria;Orthornavirae;Negarnaviricota;Polyploviricotina;Ellioviricetes;Bunyavirales;Phenuiviridae;Phlebovirus;Kiborgoch phlebovirus</t>
  </si>
  <si>
    <t>Riboviria;Orthornavirae;Negarnaviricota;Polyploviricotina;Ellioviricetes;Bunyavirales;Phenuiviridae;Phlebovirus;Phlebovirus karimabadense</t>
  </si>
  <si>
    <t>Riboviria;Orthornavirae;Negarnaviricota;Polyploviricotina;Ellioviricetes;Bunyavirales;Phenuiviridae;Phlebovirus;Karimabad phlebovirus</t>
  </si>
  <si>
    <t>Riboviria;Orthornavirae;Negarnaviricota;Polyploviricotina;Ellioviricetes;Bunyavirales;Phenuiviridae;Phlebovirus;Phlebovirus ixcanalense</t>
  </si>
  <si>
    <t>Riboviria;Orthornavirae;Negarnaviricota;Polyploviricotina;Ellioviricetes;Bunyavirales;Phenuiviridae;Phlebovirus;Ixcanal phlebovirus</t>
  </si>
  <si>
    <t>Riboviria;Orthornavirae;Negarnaviricota;Polyploviricotina;Ellioviricetes;Bunyavirales;Phenuiviridae;Phlebovirus;Phlebovirus itaporangaense</t>
  </si>
  <si>
    <t>Riboviria;Orthornavirae;Negarnaviricota;Polyploviricotina;Ellioviricetes;Bunyavirales;Phenuiviridae;Phlebovirus;Itaporanga phlebovirus</t>
  </si>
  <si>
    <t>Riboviria;Orthornavirae;Negarnaviricota;Polyploviricotina;Ellioviricetes;Bunyavirales;Phenuiviridae;Phlebovirus;Phlebovirus itaitubaense</t>
  </si>
  <si>
    <t>Riboviria;Orthornavirae;Negarnaviricota;Polyploviricotina;Ellioviricetes;Bunyavirales;Phenuiviridae;Phlebovirus;Itaituba phlebovirus</t>
  </si>
  <si>
    <t>Riboviria;Orthornavirae;Negarnaviricota;Polyploviricotina;Ellioviricetes;Bunyavirales;Phenuiviridae;Phlebovirus;Phlebovirus icoaraciense</t>
  </si>
  <si>
    <t>Riboviria;Orthornavirae;Negarnaviricota;Polyploviricotina;Ellioviricetes;Bunyavirales;Phenuiviridae;Phlebovirus;Icoaraci phlebovirus</t>
  </si>
  <si>
    <t>Riboviria;Orthornavirae;Negarnaviricota;Polyploviricotina;Ellioviricetes;Bunyavirales;Phenuiviridae;Phlebovirus;Phlebovirus gordilense</t>
  </si>
  <si>
    <t>Riboviria;Orthornavirae;Negarnaviricota;Polyploviricotina;Ellioviricetes;Bunyavirales;Phenuiviridae;Phlebovirus;Gordil phlebovirus</t>
  </si>
  <si>
    <t>Riboviria;Orthornavirae;Negarnaviricota;Polyploviricotina;Ellioviricetes;Bunyavirales;Phenuiviridae;Phlebovirus;Phlebovirus gloriaense</t>
  </si>
  <si>
    <t>Riboviria;Orthornavirae;Negarnaviricota;Polyploviricotina;Ellioviricetes;Bunyavirales;Phenuiviridae;Phlebovirus;La Gloria phlebovirus</t>
  </si>
  <si>
    <t>Riboviria;Orthornavirae;Negarnaviricota;Polyploviricotina;Ellioviricetes;Bunyavirales;Phenuiviridae;Phlebovirus;Phlebovirus gabekense</t>
  </si>
  <si>
    <t>Riboviria;Orthornavirae;Negarnaviricota;Polyploviricotina;Ellioviricetes;Bunyavirales;Phenuiviridae;Phlebovirus;Gabek phlebovirus</t>
  </si>
  <si>
    <t>Riboviria;Orthornavirae;Negarnaviricota;Polyploviricotina;Ellioviricetes;Bunyavirales;Phenuiviridae;Phlebovirus;Phlebovirus florisense</t>
  </si>
  <si>
    <t>Riboviria;Orthornavirae;Negarnaviricota;Polyploviricotina;Ellioviricetes;Bunyavirales;Phenuiviridae;Phlebovirus;Saint Floris phlebovirus</t>
  </si>
  <si>
    <t>Riboviria;Orthornavirae;Negarnaviricota;Polyploviricotina;Ellioviricetes;Bunyavirales;Phenuiviridae;Phlebovirus;Phlebovirus embossosense</t>
  </si>
  <si>
    <t>Riboviria;Orthornavirae;Negarnaviricota;Polyploviricotina;Ellioviricetes;Bunyavirales;Phenuiviridae;Phlebovirus;Embossos phlebovirus</t>
  </si>
  <si>
    <t>Riboviria;Orthornavirae;Negarnaviricota;Polyploviricotina;Ellioviricetes;Bunyavirales;Phenuiviridae;Phlebovirus;Phlebovirus echarateense</t>
  </si>
  <si>
    <t>Riboviria;Orthornavirae;Negarnaviricota;Polyploviricotina;Ellioviricetes;Bunyavirales;Phenuiviridae;Phlebovirus;Echarate phlebovirus</t>
  </si>
  <si>
    <t>Riboviria;Orthornavirae;Negarnaviricota;Polyploviricotina;Ellioviricetes;Bunyavirales;Phenuiviridae;Phlebovirus;Phlebovirus duraniaense</t>
  </si>
  <si>
    <t>Riboviria;Orthornavirae;Negarnaviricota;Polyploviricotina;Ellioviricetes;Bunyavirales;Phenuiviridae;Phlebovirus;Durania phlebovirus</t>
  </si>
  <si>
    <t>Riboviria;Orthornavirae;Negarnaviricota;Polyploviricotina;Ellioviricetes;Bunyavirales;Phenuiviridae;Phlebovirus;Phlebovirus dashliense</t>
  </si>
  <si>
    <t>Riboviria;Orthornavirae;Negarnaviricota;Polyploviricotina;Ellioviricetes;Bunyavirales;Phenuiviridae;Phlebovirus;Dashli phlebovirus</t>
  </si>
  <si>
    <t>Riboviria;Orthornavirae;Negarnaviricota;Polyploviricotina;Ellioviricetes;Bunyavirales;Phenuiviridae;Phlebovirus;Phlebovirus corfouense</t>
  </si>
  <si>
    <t>Riboviria;Orthornavirae;Negarnaviricota;Polyploviricotina;Ellioviricetes;Bunyavirales;Phenuiviridae;Phlebovirus;Corfou phlebovirus</t>
  </si>
  <si>
    <t>Riboviria;Orthornavirae;Negarnaviricota;Polyploviricotina;Ellioviricetes;Bunyavirales;Phenuiviridae;Phlebovirus;Phlebovirus cocleense</t>
  </si>
  <si>
    <t>Riboviria;Orthornavirae;Negarnaviricota;Polyploviricotina;Ellioviricetes;Bunyavirales;Phenuiviridae;Phlebovirus;Cocle phlebovirus</t>
  </si>
  <si>
    <t>Riboviria;Orthornavirae;Negarnaviricota;Polyploviricotina;Ellioviricetes;Bunyavirales;Phenuiviridae;Phlebovirus;Phlebovirus claroense</t>
  </si>
  <si>
    <t>Riboviria;Orthornavirae;Negarnaviricota;Polyploviricotina;Ellioviricetes;Bunyavirales;Phenuiviridae;Phlebovirus;Lara phlebovirus</t>
  </si>
  <si>
    <t>Riboviria;Orthornavirae;Negarnaviricota;Polyploviricotina;Ellioviricetes;Bunyavirales;Phenuiviridae;Phlebovirus;Phlebovirus chagresense</t>
  </si>
  <si>
    <t>Riboviria;Orthornavirae;Negarnaviricota;Polyploviricotina;Ellioviricetes;Bunyavirales;Phenuiviridae;Phlebovirus;Chagres phlebovirus</t>
  </si>
  <si>
    <t>Riboviria;Orthornavirae;Negarnaviricota;Polyploviricotina;Ellioviricetes;Bunyavirales;Phenuiviridae;Phlebovirus;Phlebovirus candiruense</t>
  </si>
  <si>
    <t>Riboviria;Orthornavirae;Negarnaviricota;Polyploviricotina;Ellioviricetes;Bunyavirales;Phenuiviridae;Phlebovirus;Candiru phlebovirus</t>
  </si>
  <si>
    <t>Riboviria;Orthornavirae;Negarnaviricota;Polyploviricotina;Ellioviricetes;Bunyavirales;Phenuiviridae;Phlebovirus;Phlebovirus campanaense</t>
  </si>
  <si>
    <t>Riboviria;Orthornavirae;Negarnaviricota;Polyploviricotina;Ellioviricetes;Bunyavirales;Phenuiviridae;Phlebovirus;Campana phlebovirus</t>
  </si>
  <si>
    <t>Riboviria;Orthornavirae;Negarnaviricota;Polyploviricotina;Ellioviricetes;Bunyavirales;Phenuiviridae;Phlebovirus;Phlebovirus cacaoense</t>
  </si>
  <si>
    <t>Riboviria;Orthornavirae;Negarnaviricota;Polyploviricotina;Ellioviricetes;Bunyavirales;Phenuiviridae;Phlebovirus;Cacao phlebovirus</t>
  </si>
  <si>
    <t>Riboviria;Orthornavirae;Negarnaviricota;Polyploviricotina;Ellioviricetes;Bunyavirales;Phenuiviridae;Phlebovirus;Phlebovirus bujaruense</t>
  </si>
  <si>
    <t>Riboviria;Orthornavirae;Negarnaviricota;Polyploviricotina;Ellioviricetes;Bunyavirales;Phenuiviridae;Phlebovirus;Bujaru phlebovirus</t>
  </si>
  <si>
    <t>Riboviria;Orthornavirae;Negarnaviricota;Polyploviricotina;Ellioviricetes;Bunyavirales;Phenuiviridae;Phlebovirus;Phlebovirus buenaventuraense</t>
  </si>
  <si>
    <t>Riboviria;Orthornavirae;Negarnaviricota;Polyploviricotina;Ellioviricetes;Bunyavirales;Phenuiviridae;Phlebovirus;Buenaventura phlebovirus</t>
  </si>
  <si>
    <t>Riboviria;Orthornavirae;Negarnaviricota;Polyploviricotina;Ellioviricetes;Bunyavirales;Phenuiviridae;Phlebovirus;Phlebovirus bogoriaense</t>
  </si>
  <si>
    <t>Riboviria;Orthornavirae;Negarnaviricota;Polyploviricotina;Ellioviricetes;Bunyavirales;Phenuiviridae;Phlebovirus;Bogoria phlebovirus</t>
  </si>
  <si>
    <t>Riboviria;Orthornavirae;Negarnaviricota;Polyploviricotina;Ellioviricetes;Bunyavirales;Phenuiviridae;Phlebovirus;Phlebovirus arumowotense</t>
  </si>
  <si>
    <t>Riboviria;Orthornavirae;Negarnaviricota;Polyploviricotina;Ellioviricetes;Bunyavirales;Phenuiviridae;Phlebovirus;Arumowot phlebovirus</t>
  </si>
  <si>
    <t>Riboviria;Orthornavirae;Negarnaviricota;Polyploviricotina;Ellioviricetes;Bunyavirales;Phenuiviridae;Phlebovirus;Phlebovirus anhangaense</t>
  </si>
  <si>
    <t>Riboviria;Orthornavirae;Negarnaviricota;Polyploviricotina;Ellioviricetes;Bunyavirales;Phenuiviridae;Phlebovirus;Anhanga phlebovirus</t>
  </si>
  <si>
    <t>Riboviria;Orthornavirae;Negarnaviricota;Polyploviricotina;Ellioviricetes;Bunyavirales;Phenuiviridae;Phlebovirus;Phlebovirus ambeense</t>
  </si>
  <si>
    <t>Riboviria;Orthornavirae;Negarnaviricota;Polyploviricotina;Ellioviricetes;Bunyavirales;Phenuiviridae;Phlebovirus;Ambe phlebovirus</t>
  </si>
  <si>
    <t>Riboviria;Orthornavirae;Negarnaviricota;Polyploviricotina;Ellioviricetes;Bunyavirales;Phenuiviridae;Phlebovirus;Phlebovirus almendrasense</t>
  </si>
  <si>
    <t>Riboviria;Orthornavirae;Negarnaviricota;Polyploviricotina;Ellioviricetes;Bunyavirales;Phenuiviridae;Phlebovirus;Tres Almendras phlebovirus</t>
  </si>
  <si>
    <t>Riboviria;Orthornavirae;Negarnaviricota;Polyploviricotina;Ellioviricetes;Bunyavirales;Phenuiviridae;Phlebovirus;Phlebovirus alenquerense</t>
  </si>
  <si>
    <t>Riboviria;Orthornavirae;Negarnaviricota;Polyploviricotina;Ellioviricetes;Bunyavirales;Phenuiviridae;Phlebovirus;Alenquer phlebovirus</t>
  </si>
  <si>
    <t>Riboviria;Orthornavirae;Negarnaviricota;Polyploviricotina;Ellioviricetes;Bunyavirales;Phenuiviridae;Phlebovirus;Phlebovirus alcubeense</t>
  </si>
  <si>
    <t>Riboviria;Orthornavirae;Negarnaviricota;Polyploviricotina;Ellioviricetes;Bunyavirales;Phenuiviridae;Phlebovirus;Alcube phlebovirus</t>
  </si>
  <si>
    <t>Riboviria;Orthornavirae;Negarnaviricota;Polyploviricotina;Ellioviricetes;Bunyavirales;Phenuiviridae;Phlebovirus;Phlebovirus aguacateense</t>
  </si>
  <si>
    <t>Riboviria;Orthornavirae;Negarnaviricota;Polyploviricotina;Ellioviricetes;Bunyavirales;Phenuiviridae;Phlebovirus;Aguacate phlebovirus</t>
  </si>
  <si>
    <t>Riboviria;Orthornavirae;Negarnaviricota;Polyploviricotina;Ellioviricetes;Bunyavirales;Phenuiviridae;Phlebovirus;Phlebovirus adanaense</t>
  </si>
  <si>
    <t>Riboviria;Orthornavirae;Negarnaviricota;Polyploviricotina;Ellioviricetes;Bunyavirales;Phenuiviridae;Phlebovirus;Adana phlebovirus</t>
  </si>
  <si>
    <t>Riboviria;Orthornavirae;Negarnaviricota;Polyploviricotina;Ellioviricetes;Bunyavirales;Phenuiviridae;Phasivirus;Phasivirus wutaiense</t>
  </si>
  <si>
    <t>Riboviria;Orthornavirae;Negarnaviricota;Polyploviricotina;Ellioviricetes;Bunyavirales;Phenuiviridae;Phasivirus;Wutai mosquito phasivirus</t>
  </si>
  <si>
    <t>Riboviria;Orthornavirae;Negarnaviricota;Polyploviricotina;Ellioviricetes;Bunyavirales;Phenuiviridae;Phasivirus;Phasivirus wuhanense</t>
  </si>
  <si>
    <t>Riboviria;Orthornavirae;Negarnaviricota;Polyploviricotina;Ellioviricetes;Bunyavirales;Phenuiviridae;Phasivirus;Fly phasivirus</t>
  </si>
  <si>
    <t>Riboviria;Orthornavirae;Negarnaviricota;Polyploviricotina;Ellioviricetes;Bunyavirales;Phenuiviridae;Phasivirus;Phasivirus phasiense</t>
  </si>
  <si>
    <t>Riboviria;Orthornavirae;Negarnaviricota;Polyploviricotina;Ellioviricetes;Bunyavirales;Phenuiviridae;Phasivirus;Phasi Charoen-like phasivirus</t>
  </si>
  <si>
    <t>Riboviria;Orthornavirae;Negarnaviricota;Polyploviricotina;Ellioviricetes;Bunyavirales;Phenuiviridae;Phasivirus;Phasivirus parryense</t>
  </si>
  <si>
    <t>Riboviria;Orthornavirae;Negarnaviricota;Polyploviricotina;Ellioviricetes;Bunyavirales;Phenuiviridae;Phasivirus;Kimberley phasivirus</t>
  </si>
  <si>
    <t>Riboviria;Orthornavirae;Negarnaviricota;Polyploviricotina;Ellioviricetes;Bunyavirales;Phenuiviridae;Phasivirus;Phasivirus hubeiense</t>
  </si>
  <si>
    <t>Riboviria;Orthornavirae;Negarnaviricota;Polyploviricotina;Ellioviricetes;Bunyavirales;Phenuiviridae;Phasivirus;Dipteran phasivirus</t>
  </si>
  <si>
    <t>Riboviria;Orthornavirae;Negarnaviricota;Polyploviricotina;Ellioviricetes;Bunyavirales;Phenuiviridae;Phasivirus;Phasivirus guadeloupeense</t>
  </si>
  <si>
    <t>Riboviria;Orthornavirae;Negarnaviricota;Polyploviricotina;Ellioviricetes;Bunyavirales;Phenuiviridae;Phasivirus;Guadeloupe phasivirus</t>
  </si>
  <si>
    <t>Riboviria;Orthornavirae;Negarnaviricota;Polyploviricotina;Ellioviricetes;Bunyavirales;Phenuiviridae;Phasivirus;Phasivirus baduense</t>
  </si>
  <si>
    <t>Riboviria;Orthornavirae;Negarnaviricota;Polyploviricotina;Ellioviricetes;Bunyavirales;Phenuiviridae;Phasivirus;Badu phasivirus</t>
  </si>
  <si>
    <t>Riboviria;Orthornavirae;Negarnaviricota;Polyploviricotina;Ellioviricetes;Bunyavirales;Phenuiviridae;Mobuvirus;Mobuvirus narangueense</t>
  </si>
  <si>
    <t>Riboviria;Orthornavirae;Negarnaviricota;Polyploviricotina;Ellioviricetes;Bunyavirales;Phenuiviridae;Mobuvirus;Narangue mobuvirus</t>
  </si>
  <si>
    <t>Riboviria;Orthornavirae;Negarnaviricota;Polyploviricotina;Ellioviricetes;Bunyavirales;Phenuiviridae;Mobuvirus;Mobuvirus mothrae</t>
  </si>
  <si>
    <t>Riboviria;Orthornavirae;Negarnaviricota;Polyploviricotina;Ellioviricetes;Bunyavirales;Phenuiviridae;Mobuvirus;Mothra mobuvirus</t>
  </si>
  <si>
    <t>Riboviria;Orthornavirae;Negarnaviricota;Polyploviricotina;Ellioviricetes;Bunyavirales;Phenuiviridae;Mechlorovirus;Mechlorovirus cucumeris</t>
  </si>
  <si>
    <t>Riboviria;Orthornavirae;Negarnaviricota;Polyploviricotina;Ellioviricetes;Bunyavirales;Phenuiviridae;Tenuivirus;Melon tenuivirus</t>
  </si>
  <si>
    <t>Riboviria;Orthornavirae;Negarnaviricota;Polyploviricotina;Ellioviricetes;Bunyavirales;Phenuiviridae;Lentinuvirus;Lentinuvirus lentinulae</t>
  </si>
  <si>
    <t>Riboviria;Orthornavirae;Negarnaviricota;Polyploviricotina;Ellioviricetes;Bunyavirales;Phenuiviridae;Lentinuvirus;Lentinula lentinuvirus</t>
  </si>
  <si>
    <t>Riboviria;Orthornavirae;Negarnaviricota;Polyploviricotina;Ellioviricetes;Bunyavirales;Phenuiviridae;Laulavirus;Laulavirus laurelense</t>
  </si>
  <si>
    <t>Riboviria;Orthornavirae;Negarnaviricota;Polyploviricotina;Ellioviricetes;Bunyavirales;Phenuiviridae;Laulavirus;Laurel Lake laulavirus</t>
  </si>
  <si>
    <t>Riboviria;Orthornavirae;Negarnaviricota;Polyploviricotina;Ellioviricetes;Bunyavirales;Phenuiviridae;Laulavirus;Laulavirus gammaviticulum</t>
  </si>
  <si>
    <t>Riboviria;Orthornavirae;Negarnaviricota;Polyploviricotina;Ellioviricetes;Bunyavirales;Phenuiviridae;Laulavirus;Grapevine laulavirus 4</t>
  </si>
  <si>
    <t>Riboviria;Orthornavirae;Negarnaviricota;Polyploviricotina;Ellioviricetes;Bunyavirales;Phenuiviridae;Laulavirus;Laulavirus betaviticulum</t>
  </si>
  <si>
    <t>Riboviria;Orthornavirae;Negarnaviricota;Polyploviricotina;Ellioviricetes;Bunyavirales;Phenuiviridae;Laulavirus;Grapevine laulavirus 3</t>
  </si>
  <si>
    <t>Riboviria;Orthornavirae;Negarnaviricota;Polyploviricotina;Ellioviricetes;Bunyavirales;Phenuiviridae;Laulavirus;Laulavirus alphaviticulum</t>
  </si>
  <si>
    <t>Riboviria;Orthornavirae;Negarnaviricota;Polyploviricotina;Ellioviricetes;Bunyavirales;Phenuiviridae;Laulavirus;Grapevine laulavirus 2</t>
  </si>
  <si>
    <t>Riboviria;Orthornavirae;Negarnaviricota;Polyploviricotina;Ellioviricetes;Bunyavirales;Phenuiviridae;Ixovirus;Ixovirus norvegiae</t>
  </si>
  <si>
    <t>Riboviria;Orthornavirae;Negarnaviricota;Polyploviricotina;Ellioviricetes;Bunyavirales;Phenuiviridae;Ixovirus;Norway ixovirus</t>
  </si>
  <si>
    <t>Riboviria;Orthornavirae;Negarnaviricota;Polyploviricotina;Ellioviricetes;Bunyavirales;Phenuiviridae;Ixovirus;Ixovirus ixodis</t>
  </si>
  <si>
    <t>Riboviria;Orthornavirae;Negarnaviricota;Polyploviricotina;Ellioviricetes;Bunyavirales;Phenuiviridae;Ixovirus;Scapularis ixovirus</t>
  </si>
  <si>
    <t>Riboviria;Orthornavirae;Negarnaviricota;Polyploviricotina;Ellioviricetes;Bunyavirales;Phenuiviridae;Ixovirus;Ixovirus heckscherense</t>
  </si>
  <si>
    <t>Riboviria;Orthornavirae;Negarnaviricota;Polyploviricotina;Ellioviricetes;Bunyavirales;Phenuiviridae;Ixovirus;Blackleg ixovirus</t>
  </si>
  <si>
    <t>Riboviria;Orthornavirae;Negarnaviricota;Polyploviricotina;Ellioviricetes;Bunyavirales;Phenuiviridae;Hudovirus;Hudovirus lepidopteris</t>
  </si>
  <si>
    <t>Riboviria;Orthornavirae;Negarnaviricota;Polyploviricotina;Ellioviricetes;Bunyavirales;Phenuiviridae;Hudovirus;Lepidopteran hudovirus</t>
  </si>
  <si>
    <t>Riboviria;Orthornavirae;Negarnaviricota;Polyploviricotina;Ellioviricetes;Bunyavirales;Phenuiviridae;Hudivirus;Hudivirus muscae</t>
  </si>
  <si>
    <t>Riboviria;Orthornavirae;Negarnaviricota;Polyploviricotina;Ellioviricetes;Bunyavirales;Phenuiviridae;Hudivirus;Dipteran hudivirus</t>
  </si>
  <si>
    <t>Riboviria;Orthornavirae;Negarnaviricota;Polyploviricotina;Ellioviricetes;Bunyavirales;Phenuiviridae;Horwuvirus;Horwuvirus wuhanense</t>
  </si>
  <si>
    <t>Riboviria;Orthornavirae;Negarnaviricota;Polyploviricotina;Ellioviricetes;Bunyavirales;Phenuiviridae;Horwuvirus;Horsefly horwuvirus</t>
  </si>
  <si>
    <t>Riboviria;Orthornavirae;Negarnaviricota;Polyploviricotina;Ellioviricetes;Bunyavirales;Phenuiviridae;Horwuvirus;Horwuvirus fitzroyense</t>
  </si>
  <si>
    <t>Riboviria;Orthornavirae;Negarnaviricota;Polyploviricotina;Ellioviricetes;Bunyavirales;Phenuiviridae;Horwuvirus;Kimberley horwuvirus</t>
  </si>
  <si>
    <t>Riboviria;Orthornavirae;Negarnaviricota;Polyploviricotina;Ellioviricetes;Bunyavirales;Phenuiviridae;Goukovirus;Goukovirus yichangense</t>
  </si>
  <si>
    <t>Riboviria;Orthornavirae;Negarnaviricota;Polyploviricotina;Ellioviricetes;Bunyavirales;Phenuiviridae;Goukovirus;Yichang insect goukovirus</t>
  </si>
  <si>
    <t>Riboviria;Orthornavirae;Negarnaviricota;Polyploviricotina;Ellioviricetes;Bunyavirales;Phenuiviridae;Goukovirus;Goukovirus gouleakoense</t>
  </si>
  <si>
    <t>Riboviria;Orthornavirae;Negarnaviricota;Polyploviricotina;Ellioviricetes;Bunyavirales;Phenuiviridae;Goukovirus;Gouleako goukovirus</t>
  </si>
  <si>
    <t>Riboviria;Orthornavirae;Negarnaviricota;Polyploviricotina;Ellioviricetes;Bunyavirales;Phenuiviridae;Goukovirus;Goukovirus cumutoense</t>
  </si>
  <si>
    <t>Riboviria;Orthornavirae;Negarnaviricota;Polyploviricotina;Ellioviricetes;Bunyavirales;Phenuiviridae;Goukovirus;Cumuto goukovirus</t>
  </si>
  <si>
    <t>Riboviria;Orthornavirae;Negarnaviricota;Polyploviricotina;Ellioviricetes;Bunyavirales;Phenuiviridae;Entovirus;Entovirus entoleucae</t>
  </si>
  <si>
    <t>Riboviria;Orthornavirae;Negarnaviricota;Polyploviricotina;Ellioviricetes;Bunyavirales;Phenuiviridae;Entovirus;Entoleuca entovirus</t>
  </si>
  <si>
    <t>Riboviria;Orthornavirae;Negarnaviricota;Polyploviricotina;Ellioviricetes;Bunyavirales;Phenuiviridae;Coguvirus;Coguvirus viticulum</t>
  </si>
  <si>
    <t>Riboviria;Orthornavirae;Negarnaviricota;Polyploviricotina;Ellioviricetes;Bunyavirales;Phenuiviridae;Coguvirus;Grapevine coguvirus</t>
  </si>
  <si>
    <t>Riboviria;Orthornavirae;Negarnaviricota;Polyploviricotina;Ellioviricetes;Bunyavirales;Phenuiviridae;Coguvirus;Coguvirus citri</t>
  </si>
  <si>
    <t>Riboviria;Orthornavirae;Negarnaviricota;Polyploviricotina;Ellioviricetes;Bunyavirales;Phenuiviridae;Coguvirus;Citrus coguvirus</t>
  </si>
  <si>
    <t>Riboviria;Orthornavirae;Negarnaviricota;Polyploviricotina;Ellioviricetes;Bunyavirales;Phenuiviridae;Beidivirus;Beidivirus muscae</t>
  </si>
  <si>
    <t>Riboviria;Orthornavirae;Negarnaviricota;Polyploviricotina;Ellioviricetes;Bunyavirales;Phenuiviridae;Beidivirus;Dipteran beidivirus</t>
  </si>
  <si>
    <t>Riboviria;Orthornavirae;Negarnaviricota;Polyploviricotina;Ellioviricetes;Bunyavirales;Phenuiviridae;Bandavirus;Bandavirus razdanense</t>
  </si>
  <si>
    <t>Riboviria;Orthornavirae;Negarnaviricota;Polyploviricotina;Ellioviricetes;Bunyavirales;Phenuiviridae;Bandavirus;Razdan bandavirus</t>
  </si>
  <si>
    <t>Riboviria;Orthornavirae;Negarnaviricota;Polyploviricotina;Ellioviricetes;Bunyavirales;Phenuiviridae;Bandavirus;Bandavirus kismaayoense</t>
  </si>
  <si>
    <t>Riboviria;Orthornavirae;Negarnaviricota;Polyploviricotina;Ellioviricetes;Bunyavirales;Phenuiviridae;Bandavirus;Kismaayo bandavirus</t>
  </si>
  <si>
    <t>Riboviria;Orthornavirae;Negarnaviricota;Polyploviricotina;Ellioviricetes;Bunyavirales;Phenuiviridae;Bandavirus;Bandavirus heartlandense</t>
  </si>
  <si>
    <t>Riboviria;Orthornavirae;Negarnaviricota;Polyploviricotina;Ellioviricetes;Bunyavirales;Phenuiviridae;Bandavirus;Heartland bandavirus</t>
  </si>
  <si>
    <t>Riboviria;Orthornavirae;Negarnaviricota;Polyploviricotina;Ellioviricetes;Bunyavirales;Phenuiviridae;Bandavirus;Bandavirus guertuense</t>
  </si>
  <si>
    <t>Riboviria;Orthornavirae;Negarnaviricota;Polyploviricotina;Ellioviricetes;Bunyavirales;Phenuiviridae;Bandavirus;Guertu bandavirus</t>
  </si>
  <si>
    <t>Riboviria;Orthornavirae;Negarnaviricota;Polyploviricotina;Ellioviricetes;Bunyavirales;Phenuiviridae;Bandavirus;Bandavirus dabieense</t>
  </si>
  <si>
    <t>Riboviria;Orthornavirae;Negarnaviricota;Polyploviricotina;Ellioviricetes;Bunyavirales;Phenuiviridae;Bandavirus;Dabie bandavirus</t>
  </si>
  <si>
    <t>Riboviria;Orthornavirae;Negarnaviricota;Polyploviricotina;Ellioviricetes;Bunyavirales;Phenuiviridae;Bandavirus;Bandavirus bhanjanagarense</t>
  </si>
  <si>
    <t>Riboviria;Orthornavirae;Negarnaviricota;Polyploviricotina;Ellioviricetes;Bunyavirales;Phenuiviridae;Bandavirus;Bhanja bandavirus</t>
  </si>
  <si>
    <t>Riboviria;Orthornavirae;Negarnaviricota;Polyploviricotina;Ellioviricetes;Bunyavirales;Phenuiviridae;Bandavirus;Bandavirus amblyommae</t>
  </si>
  <si>
    <t>Riboviria;Orthornavirae;Negarnaviricota;Polyploviricotina;Ellioviricetes;Bunyavirales;Phenuiviridae;Bandavirus;Lone star bandavirus</t>
  </si>
  <si>
    <t>Riboviria;Orthornavirae;Negarnaviricota;Polyploviricotina;Ellioviricetes;Bunyavirales;Phenuiviridae;Bandavirus;Bandavirus albatrossense</t>
  </si>
  <si>
    <t>Riboviria;Orthornavirae;Negarnaviricota;Polyploviricotina;Ellioviricetes;Bunyavirales;Phenuiviridae;Bandavirus;Hunter Island bandavirus</t>
  </si>
  <si>
    <t>Riboviria;Orthornavirae;Negarnaviricota;Polyploviricotina;Ellioviricetes;Bunyavirales;Phasmaviridae;Wuhivirus;Wuhivirus insecti</t>
  </si>
  <si>
    <t>Riboviria;Orthornavirae;Negarnaviricota;Polyploviricotina;Ellioviricetes;Bunyavirales;Phasmaviridae;Wuhivirus;Insect wuhivirus</t>
  </si>
  <si>
    <t>Riboviria;Orthornavirae;Negarnaviricota;Polyploviricotina;Ellioviricetes;Bunyavirales;Phasmaviridae;Sawastrivirus;Sawastrivirus sanxiaense</t>
  </si>
  <si>
    <t>Riboviria;Orthornavirae;Negarnaviricota;Polyploviricotina;Ellioviricetes;Bunyavirales;Phasmaviridae;Sawastrivirus;Sanxia sawastrivirus</t>
  </si>
  <si>
    <t>Riboviria;Orthornavirae;Negarnaviricota;Polyploviricotina;Ellioviricetes;Bunyavirales;Phasmaviridae;Orthophasmavirus;Orthophasmavirus wuhanense</t>
  </si>
  <si>
    <t>Riboviria;Orthornavirae;Negarnaviricota;Polyploviricotina;Ellioviricetes;Bunyavirales;Phasmaviridae;Orthophasmavirus;Wuhan mosquito orthophasmavirus 1</t>
  </si>
  <si>
    <t>Riboviria;Orthornavirae;Negarnaviricota;Polyploviricotina;Ellioviricetes;Bunyavirales;Phasmaviridae;Orthophasmavirus;Orthophasmavirus wuchangense</t>
  </si>
  <si>
    <t>Riboviria;Orthornavirae;Negarnaviricota;Polyploviricotina;Ellioviricetes;Bunyavirales;Phasmaviridae;Orthophasmavirus;Wuchang cockroach orthophasmavirus 1</t>
  </si>
  <si>
    <t>Riboviria;Orthornavirae;Negarnaviricota;Polyploviricotina;Ellioviricetes;Bunyavirales;Phasmaviridae;Orthophasmavirus;Orthophasmavirus philoctetis</t>
  </si>
  <si>
    <t>Riboviria;Orthornavirae;Negarnaviricota;Polyploviricotina;Ellioviricetes;Bunyavirales;Phasmaviridae;Orthophasmavirus;Hymenopteran orthophasmavirus 1</t>
  </si>
  <si>
    <t>Riboviria;Orthornavirae;Negarnaviricota;Polyploviricotina;Ellioviricetes;Bunyavirales;Phasmaviridae;Orthophasmavirus;Orthophasmavirus odonatus</t>
  </si>
  <si>
    <t>Riboviria;Orthornavirae;Negarnaviricota;Polyploviricotina;Ellioviricetes;Bunyavirales;Phasmaviridae;Orthophasmavirus;Odonate orthophasmavirus</t>
  </si>
  <si>
    <t>Riboviria;Orthornavirae;Negarnaviricota;Polyploviricotina;Ellioviricetes;Bunyavirales;Phasmaviridae;Orthophasmavirus;Orthophasmavirus niuklukense</t>
  </si>
  <si>
    <t>Riboviria;Orthornavirae;Negarnaviricota;Polyploviricotina;Ellioviricetes;Bunyavirales;Phasmaviridae;Orthophasmavirus;Niukluk phantom orthophasmavirus</t>
  </si>
  <si>
    <t>Riboviria;Orthornavirae;Negarnaviricota;Polyploviricotina;Ellioviricetes;Bunyavirales;Phasmaviridae;Orthophasmavirus;Orthophasmavirus kigluaikense</t>
  </si>
  <si>
    <t>Riboviria;Orthornavirae;Negarnaviricota;Polyploviricotina;Ellioviricetes;Bunyavirales;Phasmaviridae;Orthophasmavirus;Kigluaik phantom orthophasmavirus</t>
  </si>
  <si>
    <t>Riboviria;Orthornavirae;Negarnaviricota;Polyploviricotina;Ellioviricetes;Bunyavirales;Phasmaviridae;Orthophasmavirus;Orthophasmavirus hubeiense</t>
  </si>
  <si>
    <t>Riboviria;Orthornavirae;Negarnaviricota;Polyploviricotina;Ellioviricetes;Bunyavirales;Phasmaviridae;Orthophasmavirus;Qingling orthophasmavirus</t>
  </si>
  <si>
    <t>Riboviria;Orthornavirae;Negarnaviricota;Polyploviricotina;Ellioviricetes;Bunyavirales;Phasmaviridae;Orthophasmavirus;Orthophasmavirus gandaense</t>
  </si>
  <si>
    <t>Riboviria;Orthornavirae;Negarnaviricota;Polyploviricotina;Ellioviricetes;Bunyavirales;Phasmaviridae;Orthophasmavirus;Ganda orthophasmavirus</t>
  </si>
  <si>
    <t>Riboviria;Orthornavirae;Negarnaviricota;Polyploviricotina;Ellioviricetes;Bunyavirales;Phasmaviridae;Orthophasmavirus;Orthophasmavirus culicis</t>
  </si>
  <si>
    <t>Riboviria;Orthornavirae;Negarnaviricota;Polyploviricotina;Ellioviricetes;Bunyavirales;Phasmaviridae;Orthophasmavirus;Culex orthophasmavirus</t>
  </si>
  <si>
    <t>Riboviria;Orthornavirae;Negarnaviricota;Polyploviricotina;Ellioviricetes;Bunyavirales;Phasmaviridae;Orthophasmavirus;Orthophasmavirus coleopterus</t>
  </si>
  <si>
    <t>Riboviria;Orthornavirae;Negarnaviricota;Polyploviricotina;Ellioviricetes;Bunyavirales;Phasmaviridae;Orthophasmavirus;Coleopteran orthophasmavirus</t>
  </si>
  <si>
    <t>Riboviria;Orthornavirae;Negarnaviricota;Polyploviricotina;Ellioviricetes;Bunyavirales;Phasmaviridae;Orthophasmavirus;Orthophasmavirus chrysis</t>
  </si>
  <si>
    <t>Riboviria;Orthornavirae;Negarnaviricota;Polyploviricotina;Ellioviricetes;Bunyavirales;Phasmaviridae;Orthophasmavirus;Hymenopteran orthophasmavirus 2</t>
  </si>
  <si>
    <t>Riboviria;Orthornavirae;Negarnaviricota;Polyploviricotina;Ellioviricetes;Bunyavirales;Phasmaviridae;Orthophasmavirus;Orthophasmavirus anophelae</t>
  </si>
  <si>
    <t>Riboviria;Orthornavirae;Negarnaviricota;Polyploviricotina;Ellioviricetes;Bunyavirales;Phasmaviridae;Orthophasmavirus;Anopheles orthophasmavirus</t>
  </si>
  <si>
    <t>Riboviria;Orthornavirae;Negarnaviricota;Polyploviricotina;Ellioviricetes;Bunyavirales;Phasmaviridae;Orthophasmavirus;Orthophasmavirus aedis</t>
  </si>
  <si>
    <t>Riboviria;Orthornavirae;Negarnaviricota;Polyploviricotina;Ellioviricetes;Bunyavirales;Phasmaviridae;Orthophasmavirus;Wuhan mosquito orthophasmavirus 2</t>
  </si>
  <si>
    <t>Riboviria;Orthornavirae;Negarnaviricota;Polyploviricotina;Ellioviricetes;Bunyavirales;Phasmaviridae;Jonvirus;Jonvirus eboris</t>
  </si>
  <si>
    <t>Riboviria;Orthornavirae;Negarnaviricota;Polyploviricotina;Ellioviricetes;Bunyavirales;Phasmaviridae;Jonvirus;Jonchet jonvirus</t>
  </si>
  <si>
    <t>Riboviria;Orthornavirae;Negarnaviricota;Polyploviricotina;Ellioviricetes;Bunyavirales;Phasmaviridae;Hymovirus;Hymovirus chrysurae</t>
  </si>
  <si>
    <t>Riboviria;Orthornavirae;Negarnaviricota;Polyploviricotina;Ellioviricetes;Bunyavirales;Phasmaviridae;Hymovirus;Hymenopteran hymovirus 1</t>
  </si>
  <si>
    <t>Riboviria;Orthornavirae;Negarnaviricota;Polyploviricotina;Ellioviricetes;Bunyavirales;Phasmaviridae;Hymovirus;Hymovirus chrysis</t>
  </si>
  <si>
    <t>Riboviria;Orthornavirae;Negarnaviricota;Polyploviricotina;Ellioviricetes;Bunyavirales;Phasmaviridae;Hymovirus;Hymenopteran hymovirus 2</t>
  </si>
  <si>
    <t>Riboviria;Orthornavirae;Negarnaviricota;Polyploviricotina;Ellioviricetes;Bunyavirales;Phasmaviridae;Feravirus;Feravirus neuropterus</t>
  </si>
  <si>
    <t>Riboviria;Orthornavirae;Negarnaviricota;Polyploviricotina;Ellioviricetes;Bunyavirales;Phasmaviridae;Feravirus;Neuropteran feravirus</t>
  </si>
  <si>
    <t>Riboviria;Orthornavirae;Negarnaviricota;Polyploviricotina;Ellioviricetes;Bunyavirales;Phasmaviridae;Feravirus;Feravirus hemipterus</t>
  </si>
  <si>
    <t>Riboviria;Orthornavirae;Negarnaviricota;Polyploviricotina;Ellioviricetes;Bunyavirales;Phasmaviridae;Feravirus;Hemipteran feravirus</t>
  </si>
  <si>
    <t>Riboviria;Orthornavirae;Negarnaviricota;Polyploviricotina;Ellioviricetes;Bunyavirales;Phasmaviridae;Feravirus;Feravirus ferakinum</t>
  </si>
  <si>
    <t>Riboviria;Orthornavirae;Negarnaviricota;Polyploviricotina;Ellioviricetes;Bunyavirales;Phasmaviridae;Feravirus;Ferak feravirus</t>
  </si>
  <si>
    <t>Riboviria;Orthornavirae;Negarnaviricota;Polyploviricotina;Ellioviricetes;Bunyavirales;Peribunyaviridae;Shangavirus;Shangavirus shuangaoense</t>
  </si>
  <si>
    <t>Riboviria;Orthornavirae;Negarnaviricota;Polyploviricotina;Ellioviricetes;Bunyavirales;Peribunyaviridae;Shangavirus;Insect shangavirus</t>
  </si>
  <si>
    <t>Riboviria;Orthornavirae;Negarnaviricota;Polyploviricotina;Ellioviricetes;Bunyavirales;Peribunyaviridae;Pacuvirus;Pacuvirus tapirapeense</t>
  </si>
  <si>
    <t>Riboviria;Orthornavirae;Negarnaviricota;Polyploviricotina;Ellioviricetes;Bunyavirales;Peribunyaviridae;Pacuvirus;Tapirape pacuvirus</t>
  </si>
  <si>
    <t>Riboviria;Orthornavirae;Negarnaviricota;Polyploviricotina;Ellioviricetes;Bunyavirales;Peribunyaviridae;Pacuvirus;Pacuvirus pacuiense</t>
  </si>
  <si>
    <t>Riboviria;Orthornavirae;Negarnaviricota;Polyploviricotina;Ellioviricetes;Bunyavirales;Peribunyaviridae;Pacuvirus;Pacui pacuvirus</t>
  </si>
  <si>
    <t>Riboviria;Orthornavirae;Negarnaviricota;Polyploviricotina;Ellioviricetes;Bunyavirales;Peribunyaviridae;Pacuvirus;Pacuvirus evaense</t>
  </si>
  <si>
    <t>Riboviria;Orthornavirae;Negarnaviricota;Polyploviricotina;Ellioviricetes;Bunyavirales;Peribunyaviridae;Pacuvirus;Rio Preto da Eva pacuvirus</t>
  </si>
  <si>
    <t>Riboviria;Orthornavirae;Negarnaviricota;Polyploviricotina;Ellioviricetes;Bunyavirales;Peribunyaviridae;Pacuvirus;Pacuvirus chilibreense</t>
  </si>
  <si>
    <t>Riboviria;Orthornavirae;Negarnaviricota;Polyploviricotina;Ellioviricetes;Bunyavirales;Peribunyaviridae;Pacuvirus;Chilibre pacuvirus</t>
  </si>
  <si>
    <t>Riboviria;Orthornavirae;Negarnaviricota;Polyploviricotina;Ellioviricetes;Bunyavirales;Peribunyaviridae;Pacuvirus;Pacuvirus caimitoense</t>
  </si>
  <si>
    <t>Riboviria;Orthornavirae;Negarnaviricota;Polyploviricotina;Ellioviricetes;Bunyavirales;Peribunyaviridae;Pacuvirus;Caimito pacuvirus</t>
  </si>
  <si>
    <t>Riboviria;Orthornavirae;Negarnaviricota;Polyploviricotina;Ellioviricetes;Bunyavirales;Peribunyaviridae;Orthobunyavirus;Orthobunyavirus wyeomyiae</t>
  </si>
  <si>
    <t>Riboviria;Orthornavirae;Negarnaviricota;Polyploviricotina;Ellioviricetes;Bunyavirales;Peribunyaviridae;Orthobunyavirus;Wyeomyia orthobunyavirus</t>
  </si>
  <si>
    <t>Riboviria;Orthornavirae;Negarnaviricota;Polyploviricotina;Ellioviricetes;Bunyavirales;Peribunyaviridae;Orthobunyavirus;Orthobunyavirus wolkbergense</t>
  </si>
  <si>
    <t>Riboviria;Orthornavirae;Negarnaviricota;Polyploviricotina;Ellioviricetes;Bunyavirales;Peribunyaviridae;Orthobunyavirus;Wolkberg orthobunyavirus</t>
  </si>
  <si>
    <t>Riboviria;Orthornavirae;Negarnaviricota;Polyploviricotina;Ellioviricetes;Bunyavirales;Peribunyaviridae;Orthobunyavirus;Orthobunyavirus witwatersrandense</t>
  </si>
  <si>
    <t>Riboviria;Orthornavirae;Negarnaviricota;Polyploviricotina;Ellioviricetes;Bunyavirales;Peribunyaviridae;Orthobunyavirus;Witwatersrand orthobunyavirus</t>
  </si>
  <si>
    <t>Riboviria;Orthornavirae;Negarnaviricota;Polyploviricotina;Ellioviricetes;Bunyavirales;Peribunyaviridae;Orthobunyavirus;Orthobunyavirus utingaense</t>
  </si>
  <si>
    <t>Riboviria;Orthornavirae;Negarnaviricota;Polyploviricotina;Ellioviricetes;Bunyavirales;Peribunyaviridae;Orthobunyavirus;Utinga orthobunyavirus</t>
  </si>
  <si>
    <t>Riboviria;Orthornavirae;Negarnaviricota;Polyploviricotina;Ellioviricetes;Bunyavirales;Peribunyaviridae;Orthobunyavirus;Orthobunyavirus turlockense</t>
  </si>
  <si>
    <t>Riboviria;Orthornavirae;Negarnaviricota;Polyploviricotina;Ellioviricetes;Bunyavirales;Peribunyaviridae;Orthobunyavirus;Turlock orthobunyavirus</t>
  </si>
  <si>
    <t>Riboviria;Orthornavirae;Negarnaviricota;Polyploviricotina;Ellioviricetes;Bunyavirales;Peribunyaviridae;Orthobunyavirus;Orthobunyavirus trinitiense</t>
  </si>
  <si>
    <t>Riboviria;Orthornavirae;Negarnaviricota;Polyploviricotina;Ellioviricetes;Bunyavirales;Peribunyaviridae;Orthobunyavirus;Triniti orthobunyavirus</t>
  </si>
  <si>
    <t>Riboviria;Orthornavirae;Negarnaviricota;Polyploviricotina;Ellioviricetes;Bunyavirales;Peribunyaviridae;Orthobunyavirus;Orthobunyavirus timboteuaense</t>
  </si>
  <si>
    <t>Riboviria;Orthornavirae;Negarnaviricota;Polyploviricotina;Ellioviricetes;Bunyavirales;Peribunyaviridae;Orthobunyavirus;Timboteua orthobunyavirus</t>
  </si>
  <si>
    <t>Riboviria;Orthornavirae;Negarnaviricota;Polyploviricotina;Ellioviricetes;Bunyavirales;Peribunyaviridae;Orthobunyavirus;Orthobunyavirus thimiriense</t>
  </si>
  <si>
    <t>Riboviria;Orthornavirae;Negarnaviricota;Polyploviricotina;Ellioviricetes;Bunyavirales;Peribunyaviridae;Orthobunyavirus;Thimiri orthobunyavirus</t>
  </si>
  <si>
    <t>Riboviria;Orthornavirae;Negarnaviricota;Polyploviricotina;Ellioviricetes;Bunyavirales;Peribunyaviridae;Orthobunyavirus;Orthobunyavirus teteense</t>
  </si>
  <si>
    <t>Riboviria;Orthornavirae;Negarnaviricota;Polyploviricotina;Ellioviricetes;Bunyavirales;Peribunyaviridae;Orthobunyavirus;Tete orthobunyavirus</t>
  </si>
  <si>
    <t>Riboviria;Orthornavirae;Negarnaviricota;Polyploviricotina;Ellioviricetes;Bunyavirales;Peribunyaviridae;Orthobunyavirus;Orthobunyavirus tensawense</t>
  </si>
  <si>
    <t>Riboviria;Orthornavirae;Negarnaviricota;Polyploviricotina;Ellioviricetes;Bunyavirales;Peribunyaviridae;Orthobunyavirus;Tensaw orthobunyavirus</t>
  </si>
  <si>
    <t>Riboviria;Orthornavirae;Negarnaviricota;Polyploviricotina;Ellioviricetes;Bunyavirales;Peribunyaviridae;Orthobunyavirus;Orthobunyavirus tataguineense</t>
  </si>
  <si>
    <t>Riboviria;Orthornavirae;Negarnaviricota;Polyploviricotina;Ellioviricetes;Bunyavirales;Peribunyaviridae;Orthobunyavirus;Tataguine orthobunyavirus</t>
  </si>
  <si>
    <t>Riboviria;Orthornavirae;Negarnaviricota;Polyploviricotina;Ellioviricetes;Bunyavirales;Peribunyaviridae;Orthobunyavirus;Orthobunyavirus tahynaense</t>
  </si>
  <si>
    <t>Riboviria;Orthornavirae;Negarnaviricota;Polyploviricotina;Ellioviricetes;Bunyavirales;Peribunyaviridae;Orthobunyavirus;Tahyna orthobunyavirus</t>
  </si>
  <si>
    <t>Riboviria;Orthornavirae;Negarnaviricota;Polyploviricotina;Ellioviricetes;Bunyavirales;Peribunyaviridae;Orthobunyavirus;Orthobunyavirus tacaiumaense</t>
  </si>
  <si>
    <t>Riboviria;Orthornavirae;Negarnaviricota;Polyploviricotina;Ellioviricetes;Bunyavirales;Peribunyaviridae;Orthobunyavirus;Tacaiuma orthobunyavirus</t>
  </si>
  <si>
    <t>Riboviria;Orthornavirae;Negarnaviricota;Polyploviricotina;Ellioviricetes;Bunyavirales;Peribunyaviridae;Orthobunyavirus;Orthobunyavirus squalofluvii</t>
  </si>
  <si>
    <t>Riboviria;Orthornavirae;Negarnaviricota;Polyploviricotina;Ellioviricetes;Bunyavirales;Peribunyaviridae;Orthobunyavirus;Shark River orthobunyavirus</t>
  </si>
  <si>
    <t>Riboviria;Orthornavirae;Negarnaviricota;Polyploviricotina;Ellioviricetes;Bunyavirales;Peribunyaviridae;Orthobunyavirus;Orthobunyavirus sororocaense</t>
  </si>
  <si>
    <t>Riboviria;Orthornavirae;Negarnaviricota;Polyploviricotina;Ellioviricetes;Bunyavirales;Peribunyaviridae;Orthobunyavirus;Sororoca orthobunyavirus</t>
  </si>
  <si>
    <t>Riboviria;Orthornavirae;Negarnaviricota;Polyploviricotina;Ellioviricetes;Bunyavirales;Peribunyaviridae;Orthobunyavirus;Orthobunyavirus simbuense</t>
  </si>
  <si>
    <t>Riboviria;Orthornavirae;Negarnaviricota;Polyploviricotina;Ellioviricetes;Bunyavirales;Peribunyaviridae;Orthobunyavirus;Simbu orthobunyavirus</t>
  </si>
  <si>
    <t>Riboviria;Orthornavirae;Negarnaviricota;Polyploviricotina;Ellioviricetes;Bunyavirales;Peribunyaviridae;Orthobunyavirus;Orthobunyavirus shuniense</t>
  </si>
  <si>
    <t>Riboviria;Orthornavirae;Negarnaviricota;Polyploviricotina;Ellioviricetes;Bunyavirales;Peribunyaviridae;Orthobunyavirus;Shuni orthobunyavirus</t>
  </si>
  <si>
    <t>Riboviria;Orthornavirae;Negarnaviricota;Polyploviricotina;Ellioviricetes;Bunyavirales;Peribunyaviridae;Orthobunyavirus;Orthobunyavirus shermanense</t>
  </si>
  <si>
    <t>Riboviria;Orthornavirae;Negarnaviricota;Polyploviricotina;Ellioviricetes;Bunyavirales;Peribunyaviridae;Orthobunyavirus;Fort Sherman orthobunyavirus</t>
  </si>
  <si>
    <t>Riboviria;Orthornavirae;Negarnaviricota;Polyploviricotina;Ellioviricetes;Bunyavirales;Peribunyaviridae;Orthobunyavirus;Orthobunyavirus sedlecense</t>
  </si>
  <si>
    <t>Riboviria;Orthornavirae;Negarnaviricota;Polyploviricotina;Ellioviricetes;Bunyavirales;Peribunyaviridae;Orthobunyavirus;Sedlec orthobunyavirus</t>
  </si>
  <si>
    <t>Riboviria;Orthornavirae;Negarnaviricota;Polyploviricotina;Ellioviricetes;Bunyavirales;Peribunyaviridae;Orthobunyavirus;Orthobunyavirus schmallenbergense</t>
  </si>
  <si>
    <t>Riboviria;Orthornavirae;Negarnaviricota;Polyploviricotina;Ellioviricetes;Bunyavirales;Peribunyaviridae;Orthobunyavirus;Schmallenberg orthobunyavirus</t>
  </si>
  <si>
    <t>Riboviria;Orthornavirae;Negarnaviricota;Polyploviricotina;Ellioviricetes;Bunyavirales;Peribunyaviridae;Orthobunyavirus;Orthobunyavirus sangoense</t>
  </si>
  <si>
    <t>Riboviria;Orthornavirae;Negarnaviricota;Polyploviricotina;Ellioviricetes;Bunyavirales;Peribunyaviridae;Orthobunyavirus;Sango orthobunyavirus</t>
  </si>
  <si>
    <t>Riboviria;Orthornavirae;Negarnaviricota;Polyploviricotina;Ellioviricetes;Bunyavirales;Peribunyaviridae;Orthobunyavirus;Orthobunyavirus saboense</t>
  </si>
  <si>
    <t>Riboviria;Orthornavirae;Negarnaviricota;Polyploviricotina;Ellioviricetes;Bunyavirales;Peribunyaviridae;Orthobunyavirus;Sabo orthobunyavirus</t>
  </si>
  <si>
    <t>Riboviria;Orthornavirae;Negarnaviricota;Polyploviricotina;Ellioviricetes;Bunyavirales;Peribunyaviridae;Orthobunyavirus;Orthobunyavirus potosiense</t>
  </si>
  <si>
    <t>Riboviria;Orthornavirae;Negarnaviricota;Polyploviricotina;Ellioviricetes;Bunyavirales;Peribunyaviridae;Orthobunyavirus;Potosi orthobunyavirus</t>
  </si>
  <si>
    <t>Riboviria;Orthornavirae;Negarnaviricota;Polyploviricotina;Ellioviricetes;Bunyavirales;Peribunyaviridae;Orthobunyavirus;Orthobunyavirus porteiraense</t>
  </si>
  <si>
    <t>Riboviria;Orthornavirae;Negarnaviricota;Polyploviricotina;Ellioviricetes;Bunyavirales;Peribunyaviridae;Orthobunyavirus;Cachoeira Porteira orthobunyavirus</t>
  </si>
  <si>
    <t>Riboviria;Orthornavirae;Negarnaviricota;Polyploviricotina;Ellioviricetes;Bunyavirales;Peribunyaviridae;Orthobunyavirus;Orthobunyavirus peachesterense</t>
  </si>
  <si>
    <t>Riboviria;Orthornavirae;Negarnaviricota;Polyploviricotina;Ellioviricetes;Bunyavirales;Peribunyaviridae;Orthobunyavirus;Peaton orthobunyavirus</t>
  </si>
  <si>
    <t>Riboviria;Orthornavirae;Negarnaviricota;Polyploviricotina;Ellioviricetes;Bunyavirales;Peribunyaviridae;Orthobunyavirus;Orthobunyavirus patoisense</t>
  </si>
  <si>
    <t>Riboviria;Orthornavirae;Negarnaviricota;Polyploviricotina;Ellioviricetes;Bunyavirales;Peribunyaviridae;Orthobunyavirus;Patois orthobunyavirus</t>
  </si>
  <si>
    <t>Riboviria;Orthornavirae;Negarnaviricota;Polyploviricotina;Ellioviricetes;Bunyavirales;Peribunyaviridae;Orthobunyavirus;Orthobunyavirus oyoense</t>
  </si>
  <si>
    <t>Riboviria;Orthornavirae;Negarnaviricota;Polyploviricotina;Ellioviricetes;Bunyavirales;Peribunyaviridae;Orthobunyavirus;Oyo orthobunyavirus</t>
  </si>
  <si>
    <t>Riboviria;Orthornavirae;Negarnaviricota;Polyploviricotina;Ellioviricetes;Bunyavirales;Peribunyaviridae;Orthobunyavirus;Orthobunyavirus oropoucheense</t>
  </si>
  <si>
    <t>Riboviria;Orthornavirae;Negarnaviricota;Polyploviricotina;Ellioviricetes;Bunyavirales;Peribunyaviridae;Orthobunyavirus;Oropouche orthobunyavirus</t>
  </si>
  <si>
    <t>Riboviria;Orthornavirae;Negarnaviricota;Polyploviricotina;Ellioviricetes;Bunyavirales;Peribunyaviridae;Orthobunyavirus;Orthobunyavirus oribocaense</t>
  </si>
  <si>
    <t>Riboviria;Orthornavirae;Negarnaviricota;Polyploviricotina;Ellioviricetes;Bunyavirales;Peribunyaviridae;Orthobunyavirus;Oriboca orthobunyavirus</t>
  </si>
  <si>
    <t>Riboviria;Orthornavirae;Negarnaviricota;Polyploviricotina;Ellioviricetes;Bunyavirales;Peribunyaviridae;Orthobunyavirus;Orthobunyavirus olifantsvleiense</t>
  </si>
  <si>
    <t>Riboviria;Orthornavirae;Negarnaviricota;Polyploviricotina;Ellioviricetes;Bunyavirales;Peribunyaviridae;Orthobunyavirus;Olifantsvlei orthobunyavirus</t>
  </si>
  <si>
    <t>Riboviria;Orthornavirae;Negarnaviricota;Polyploviricotina;Ellioviricetes;Bunyavirales;Peribunyaviridae;Orthobunyavirus;Orthobunyavirus nyandoense</t>
  </si>
  <si>
    <t>Riboviria;Orthornavirae;Negarnaviricota;Polyploviricotina;Ellioviricetes;Bunyavirales;Peribunyaviridae;Orthobunyavirus;Nyando orthobunyavirus</t>
  </si>
  <si>
    <t>Riboviria;Orthornavirae;Negarnaviricota;Polyploviricotina;Ellioviricetes;Bunyavirales;Peribunyaviridae;Orthobunyavirus;Orthobunyavirus navioense</t>
  </si>
  <si>
    <t>Riboviria;Orthornavirae;Negarnaviricota;Polyploviricotina;Ellioviricetes;Bunyavirales;Peribunyaviridae;Orthobunyavirus;Serra do Navio orthobunyavirus</t>
  </si>
  <si>
    <t>Riboviria;Orthornavirae;Negarnaviricota;Polyploviricotina;Ellioviricetes;Bunyavirales;Peribunyaviridae;Orthobunyavirus;Orthobunyavirus mpokoense</t>
  </si>
  <si>
    <t>Riboviria;Orthornavirae;Negarnaviricota;Polyploviricotina;Ellioviricetes;Bunyavirales;Peribunyaviridae;Orthobunyavirus;MPoko orthobunyavirus</t>
  </si>
  <si>
    <t>Riboviria;Orthornavirae;Negarnaviricota;Polyploviricotina;Ellioviricetes;Bunyavirales;Peribunyaviridae;Orthobunyavirus;Orthobunyavirus mitchellense</t>
  </si>
  <si>
    <t>Riboviria;Orthornavirae;Negarnaviricota;Polyploviricotina;Ellioviricetes;Bunyavirales;Peribunyaviridae;Orthobunyavirus;Mapputta orthobunyavirus</t>
  </si>
  <si>
    <t>Riboviria;Orthornavirae;Negarnaviricota;Polyploviricotina;Ellioviricetes;Bunyavirales;Peribunyaviridae;Orthobunyavirus;Orthobunyavirus minatitlanense</t>
  </si>
  <si>
    <t>Riboviria;Orthornavirae;Negarnaviricota;Polyploviricotina;Ellioviricetes;Bunyavirales;Peribunyaviridae;Orthobunyavirus;Minatitlan orthobunyavirus</t>
  </si>
  <si>
    <t>Riboviria;Orthornavirae;Negarnaviricota;Polyploviricotina;Ellioviricetes;Bunyavirales;Peribunyaviridae;Orthobunyavirus;Orthobunyavirus mermetense</t>
  </si>
  <si>
    <t>Riboviria;Orthornavirae;Negarnaviricota;Polyploviricotina;Ellioviricetes;Bunyavirales;Peribunyaviridae;Orthobunyavirus;Mermet orthobunyavirus</t>
  </si>
  <si>
    <t>Riboviria;Orthornavirae;Negarnaviricota;Polyploviricotina;Ellioviricetes;Bunyavirales;Peribunyaviridae;Orthobunyavirus;Orthobunyavirus melajoense</t>
  </si>
  <si>
    <t>Riboviria;Orthornavirae;Negarnaviricota;Polyploviricotina;Ellioviricetes;Bunyavirales;Peribunyaviridae;Orthobunyavirus;Melao orthobunyavirus</t>
  </si>
  <si>
    <t>Riboviria;Orthornavirae;Negarnaviricota;Polyploviricotina;Ellioviricetes;Bunyavirales;Peribunyaviridae;Orthobunyavirus;Orthobunyavirus matruhense</t>
  </si>
  <si>
    <t>Riboviria;Orthornavirae;Negarnaviricota;Polyploviricotina;Ellioviricetes;Bunyavirales;Peribunyaviridae;Orthobunyavirus;Matruh orthobunyavirus</t>
  </si>
  <si>
    <t>Riboviria;Orthornavirae;Negarnaviricota;Polyploviricotina;Ellioviricetes;Bunyavirales;Peribunyaviridae;Orthobunyavirus;Orthobunyavirus maritubaense</t>
  </si>
  <si>
    <t>Riboviria;Orthornavirae;Negarnaviricota;Polyploviricotina;Ellioviricetes;Bunyavirales;Peribunyaviridae;Orthobunyavirus;Marituba orthobunyavirus</t>
  </si>
  <si>
    <t>Riboviria;Orthornavirae;Negarnaviricota;Polyploviricotina;Ellioviricetes;Bunyavirales;Peribunyaviridae;Orthobunyavirus;Orthobunyavirus maprikense</t>
  </si>
  <si>
    <t>Riboviria;Orthornavirae;Negarnaviricota;Polyploviricotina;Ellioviricetes;Bunyavirales;Peribunyaviridae;Orthobunyavirus;Maprik orthobunyavirus</t>
  </si>
  <si>
    <t>Riboviria;Orthornavirae;Negarnaviricota;Polyploviricotina;Ellioviricetes;Bunyavirales;Peribunyaviridae;Orthobunyavirus;Orthobunyavirus manzanillaense</t>
  </si>
  <si>
    <t>Riboviria;Orthornavirae;Negarnaviricota;Polyploviricotina;Ellioviricetes;Bunyavirales;Peribunyaviridae;Orthobunyavirus;Manzanilla orthobunyavirus</t>
  </si>
  <si>
    <t>Riboviria;Orthornavirae;Negarnaviricota;Polyploviricotina;Ellioviricetes;Bunyavirales;Peribunyaviridae;Orthobunyavirus;Orthobunyavirus mahoganyense</t>
  </si>
  <si>
    <t>Riboviria;Orthornavirae;Negarnaviricota;Polyploviricotina;Ellioviricetes;Bunyavirales;Peribunyaviridae;Orthobunyavirus;Mahogany Hammock orthobunyavirus</t>
  </si>
  <si>
    <t>Riboviria;Orthornavirae;Negarnaviricota;Polyploviricotina;Ellioviricetes;Bunyavirales;Peribunyaviridae;Orthobunyavirus;Orthobunyavirus maguariense</t>
  </si>
  <si>
    <t>Riboviria;Orthornavirae;Negarnaviricota;Polyploviricotina;Ellioviricetes;Bunyavirales;Peribunyaviridae;Orthobunyavirus;Maguari orthobunyavirus</t>
  </si>
  <si>
    <t>Riboviria;Orthornavirae;Negarnaviricota;Polyploviricotina;Ellioviricetes;Bunyavirales;Peribunyaviridae;Orthobunyavirus;Orthobunyavirus madridense</t>
  </si>
  <si>
    <t>Riboviria;Orthornavirae;Negarnaviricota;Polyploviricotina;Ellioviricetes;Bunyavirales;Peribunyaviridae;Orthobunyavirus;Madrid orthobunyavirus</t>
  </si>
  <si>
    <t>Riboviria;Orthornavirae;Negarnaviricota;Polyploviricotina;Ellioviricetes;Bunyavirales;Peribunyaviridae;Orthobunyavirus;Orthobunyavirus macauaense</t>
  </si>
  <si>
    <t>Riboviria;Orthornavirae;Negarnaviricota;Polyploviricotina;Ellioviricetes;Bunyavirales;Peribunyaviridae;Orthobunyavirus;Macaua orthobunyavirus</t>
  </si>
  <si>
    <t>Riboviria;Orthornavirae;Negarnaviricota;Polyploviricotina;Ellioviricetes;Bunyavirales;Peribunyaviridae;Orthobunyavirus;Orthobunyavirus lumboense</t>
  </si>
  <si>
    <t>Riboviria;Orthornavirae;Negarnaviricota;Polyploviricotina;Ellioviricetes;Bunyavirales;Peribunyaviridae;Orthobunyavirus;Lumbo orthobunyavirus</t>
  </si>
  <si>
    <t>Riboviria;Orthornavirae;Negarnaviricota;Polyploviricotina;Ellioviricetes;Bunyavirales;Peribunyaviridae;Orthobunyavirus;Orthobunyavirus leanyerense</t>
  </si>
  <si>
    <t>Riboviria;Orthornavirae;Negarnaviricota;Polyploviricotina;Ellioviricetes;Bunyavirales;Peribunyaviridae;Orthobunyavirus;Leanyer orthobunyavirus</t>
  </si>
  <si>
    <t>Riboviria;Orthornavirae;Negarnaviricota;Polyploviricotina;Ellioviricetes;Bunyavirales;Peribunyaviridae;Orthobunyavirus;Orthobunyavirus lacrosseense</t>
  </si>
  <si>
    <t>Riboviria;Orthornavirae;Negarnaviricota;Polyploviricotina;Ellioviricetes;Bunyavirales;Peribunyaviridae;Orthobunyavirus;La Crosse orthobunyavirus</t>
  </si>
  <si>
    <t>Riboviria;Orthornavirae;Negarnaviricota;Polyploviricotina;Ellioviricetes;Bunyavirales;Peribunyaviridae;Orthobunyavirus;Orthobunyavirus koongoli</t>
  </si>
  <si>
    <t>Riboviria;Orthornavirae;Negarnaviricota;Polyploviricotina;Ellioviricetes;Bunyavirales;Peribunyaviridae;Orthobunyavirus;Koongol orthobunyavirus</t>
  </si>
  <si>
    <t>Riboviria;Orthornavirae;Negarnaviricota;Polyploviricotina;Ellioviricetes;Bunyavirales;Peribunyaviridae;Orthobunyavirus;Orthobunyavirus khatangaense</t>
  </si>
  <si>
    <t>Riboviria;Orthornavirae;Negarnaviricota;Polyploviricotina;Ellioviricetes;Bunyavirales;Peribunyaviridae;Orthobunyavirus;Snowshoe hare orthobunyavirus</t>
  </si>
  <si>
    <t>Riboviria;Orthornavirae;Negarnaviricota;Polyploviricotina;Ellioviricetes;Bunyavirales;Peribunyaviridae;Orthobunyavirus;Orthobunyavirus keystoneense</t>
  </si>
  <si>
    <t>Riboviria;Orthornavirae;Negarnaviricota;Polyploviricotina;Ellioviricetes;Bunyavirales;Peribunyaviridae;Orthobunyavirus;Keystone orthobunyavirus</t>
  </si>
  <si>
    <t>Riboviria;Orthornavirae;Negarnaviricota;Polyploviricotina;Ellioviricetes;Bunyavirales;Peribunyaviridae;Orthobunyavirus;Orthobunyavirus kernense</t>
  </si>
  <si>
    <t>Riboviria;Orthornavirae;Negarnaviricota;Polyploviricotina;Ellioviricetes;Bunyavirales;Peribunyaviridae;Orthobunyavirus;Main Drain orthobunyavirus</t>
  </si>
  <si>
    <t>Riboviria;Orthornavirae;Negarnaviricota;Polyploviricotina;Ellioviricetes;Bunyavirales;Peribunyaviridae;Orthobunyavirus;Orthobunyavirus kaengkhoiense</t>
  </si>
  <si>
    <t>Riboviria;Orthornavirae;Negarnaviricota;Polyploviricotina;Ellioviricetes;Bunyavirales;Peribunyaviridae;Orthobunyavirus;Kaeng Khoi orthobunyavirus</t>
  </si>
  <si>
    <t>Riboviria;Orthornavirae;Negarnaviricota;Polyploviricotina;Ellioviricetes;Bunyavirales;Peribunyaviridae;Orthobunyavirus;Orthobunyavirus jatobalense</t>
  </si>
  <si>
    <t>Riboviria;Orthornavirae;Negarnaviricota;Polyploviricotina;Ellioviricetes;Bunyavirales;Peribunyaviridae;Orthobunyavirus;Jatobal orthobunyavirus</t>
  </si>
  <si>
    <t>Riboviria;Orthornavirae;Negarnaviricota;Polyploviricotina;Ellioviricetes;Bunyavirales;Peribunyaviridae;Orthobunyavirus;Orthobunyavirus jamestownense</t>
  </si>
  <si>
    <t>Riboviria;Orthornavirae;Negarnaviricota;Polyploviricotina;Ellioviricetes;Bunyavirales;Peribunyaviridae;Orthobunyavirus;Jamestown Canyon orthobunyavirus</t>
  </si>
  <si>
    <t>Riboviria;Orthornavirae;Negarnaviricota;Polyploviricotina;Ellioviricetes;Bunyavirales;Peribunyaviridae;Orthobunyavirus;Orthobunyavirus insulae</t>
  </si>
  <si>
    <t>Riboviria;Orthornavirae;Negarnaviricota;Polyploviricotina;Ellioviricetes;Bunyavirales;Peribunyaviridae;Orthobunyavirus;Kairi orthobunyavirus</t>
  </si>
  <si>
    <t>Riboviria;Orthornavirae;Negarnaviricota;Polyploviricotina;Ellioviricetes;Bunyavirales;Peribunyaviridae;Orthobunyavirus;Orthobunyavirus ingwavumaense</t>
  </si>
  <si>
    <t>Riboviria;Orthornavirae;Negarnaviricota;Polyploviricotina;Ellioviricetes;Bunyavirales;Peribunyaviridae;Orthobunyavirus;Ingwavuma orthobunyavirus</t>
  </si>
  <si>
    <t>Riboviria;Orthornavirae;Negarnaviricota;Polyploviricotina;Ellioviricetes;Bunyavirales;Peribunyaviridae;Orthobunyavirus;Orthobunyavirus ileshaense</t>
  </si>
  <si>
    <t>Riboviria;Orthornavirae;Negarnaviricota;Polyploviricotina;Ellioviricetes;Bunyavirales;Peribunyaviridae;Orthobunyavirus;Ilesha orthobunyavirus</t>
  </si>
  <si>
    <t>Riboviria;Orthornavirae;Negarnaviricota;Polyploviricotina;Ellioviricetes;Bunyavirales;Peribunyaviridae;Orthobunyavirus;Orthobunyavirus iacoense</t>
  </si>
  <si>
    <t>Riboviria;Orthornavirae;Negarnaviricota;Polyploviricotina;Ellioviricetes;Bunyavirales;Peribunyaviridae;Orthobunyavirus;Iaco orthobunyavirus</t>
  </si>
  <si>
    <t>Riboviria;Orthornavirae;Negarnaviricota;Polyploviricotina;Ellioviricetes;Bunyavirales;Peribunyaviridae;Orthobunyavirus;Orthobunyavirus horizonteense</t>
  </si>
  <si>
    <t>Riboviria;Orthornavirae;Negarnaviricota;Polyploviricotina;Ellioviricetes;Bunyavirales;Peribunyaviridae;Orthobunyavirus;Anopheles A orthobunyavirus</t>
  </si>
  <si>
    <t>Riboviria;Orthornavirae;Negarnaviricota;Polyploviricotina;Ellioviricetes;Bunyavirales;Peribunyaviridae;Orthobunyavirus;Orthobunyavirus guaroaense</t>
  </si>
  <si>
    <t>Riboviria;Orthornavirae;Negarnaviricota;Polyploviricotina;Ellioviricetes;Bunyavirales;Peribunyaviridae;Orthobunyavirus;Guaroa orthobunyavirus</t>
  </si>
  <si>
    <t>Riboviria;Orthornavirae;Negarnaviricota;Polyploviricotina;Ellioviricetes;Bunyavirales;Peribunyaviridae;Orthobunyavirus;Orthobunyavirus guamaense</t>
  </si>
  <si>
    <t>Riboviria;Orthornavirae;Negarnaviricota;Polyploviricotina;Ellioviricetes;Bunyavirales;Peribunyaviridae;Orthobunyavirus;Guama orthobunyavirus</t>
  </si>
  <si>
    <t>Riboviria;Orthornavirae;Negarnaviricota;Polyploviricotina;Ellioviricetes;Bunyavirales;Peribunyaviridae;Orthobunyavirus;Orthobunyavirus guajaraense</t>
  </si>
  <si>
    <t>Riboviria;Orthornavirae;Negarnaviricota;Polyploviricotina;Ellioviricetes;Bunyavirales;Peribunyaviridae;Orthobunyavirus;Guajara orthobunyavirus</t>
  </si>
  <si>
    <t>Riboviria;Orthornavirae;Negarnaviricota;Polyploviricotina;Ellioviricetes;Bunyavirales;Peribunyaviridae;Orthobunyavirus;Orthobunyavirus ganganense</t>
  </si>
  <si>
    <t>Riboviria;Orthornavirae;Negarnaviricota;Polyploviricotina;Ellioviricetes;Bunyavirales;Peribunyaviridae;Orthobunyavirus;Gan Gan orthobunyavirus</t>
  </si>
  <si>
    <t>Riboviria;Orthornavirae;Negarnaviricota;Polyploviricotina;Ellioviricetes;Bunyavirales;Peribunyaviridae;Orthobunyavirus;Orthobunyavirus gamboaense</t>
  </si>
  <si>
    <t>Riboviria;Orthornavirae;Negarnaviricota;Polyploviricotina;Ellioviricetes;Bunyavirales;Peribunyaviridae;Orthobunyavirus;Gamboa orthobunyavirus</t>
  </si>
  <si>
    <t>Riboviria;Orthornavirae;Negarnaviricota;Polyploviricotina;Ellioviricetes;Bunyavirales;Peribunyaviridae;Orthobunyavirus;Orthobunyavirus faceyense</t>
  </si>
  <si>
    <t>Riboviria;Orthornavirae;Negarnaviricota;Polyploviricotina;Ellioviricetes;Bunyavirales;Peribunyaviridae;Orthobunyavirus;Faceys paddock orthobunyavirus</t>
  </si>
  <si>
    <t>Riboviria;Orthornavirae;Negarnaviricota;Polyploviricotina;Ellioviricetes;Bunyavirales;Peribunyaviridae;Orthobunyavirus;Orthobunyavirus enseadaense</t>
  </si>
  <si>
    <t>Riboviria;Orthornavirae;Negarnaviricota;Polyploviricotina;Ellioviricetes;Bunyavirales;Peribunyaviridae;Orthobunyavirus;Enseada orthobunyavirus</t>
  </si>
  <si>
    <t>Riboviria;Orthornavirae;Negarnaviricota;Polyploviricotina;Ellioviricetes;Bunyavirales;Peribunyaviridae;Orthobunyavirus;Orthobunyavirus encephalitidis</t>
  </si>
  <si>
    <t>Riboviria;Orthornavirae;Negarnaviricota;Polyploviricotina;Ellioviricetes;Bunyavirales;Peribunyaviridae;Orthobunyavirus;California encephalitis orthobunyavirus</t>
  </si>
  <si>
    <t>Riboviria;Orthornavirae;Negarnaviricota;Polyploviricotina;Ellioviricetes;Bunyavirales;Peribunyaviridae;Orthobunyavirus;Orthobunyavirus cuchillaense</t>
  </si>
  <si>
    <t>Riboviria;Orthornavirae;Negarnaviricota;Polyploviricotina;Ellioviricetes;Bunyavirales;Peribunyaviridae;Orthobunyavirus;Anopheles B orthobunyavirus</t>
  </si>
  <si>
    <t>Riboviria;Orthornavirae;Negarnaviricota;Polyploviricotina;Ellioviricetes;Bunyavirales;Peribunyaviridae;Orthobunyavirus;Orthobunyavirus catuense</t>
  </si>
  <si>
    <t>Riboviria;Orthornavirae;Negarnaviricota;Polyploviricotina;Ellioviricetes;Bunyavirales;Peribunyaviridae;Orthobunyavirus;Catu orthobunyavirus</t>
  </si>
  <si>
    <t>Riboviria;Orthornavirae;Negarnaviricota;Polyploviricotina;Ellioviricetes;Bunyavirales;Peribunyaviridae;Orthobunyavirus;Orthobunyavirus catqueense</t>
  </si>
  <si>
    <t>Riboviria;Orthornavirae;Negarnaviricota;Polyploviricotina;Ellioviricetes;Bunyavirales;Peribunyaviridae;Orthobunyavirus;Cat Que orthobunyavirus</t>
  </si>
  <si>
    <t>Riboviria;Orthornavirae;Negarnaviricota;Polyploviricotina;Ellioviricetes;Bunyavirales;Peribunyaviridae;Orthobunyavirus;Orthobunyavirus caraparuense</t>
  </si>
  <si>
    <t>Riboviria;Orthornavirae;Negarnaviricota;Polyploviricotina;Ellioviricetes;Bunyavirales;Peribunyaviridae;Orthobunyavirus;Caraparu orthobunyavirus</t>
  </si>
  <si>
    <t>Riboviria;Orthornavirae;Negarnaviricota;Polyploviricotina;Ellioviricetes;Bunyavirales;Peribunyaviridae;Orthobunyavirus;Orthobunyavirus capimense</t>
  </si>
  <si>
    <t>Riboviria;Orthornavirae;Negarnaviricota;Polyploviricotina;Ellioviricetes;Bunyavirales;Peribunyaviridae;Orthobunyavirus;Capim orthobunyavirus</t>
  </si>
  <si>
    <t>Riboviria;Orthornavirae;Negarnaviricota;Polyploviricotina;Ellioviricetes;Bunyavirales;Peribunyaviridae;Orthobunyavirus;Orthobunyavirus cacheense</t>
  </si>
  <si>
    <t>Riboviria;Orthornavirae;Negarnaviricota;Polyploviricotina;Ellioviricetes;Bunyavirales;Peribunyaviridae;Orthobunyavirus;Cache Valley orthobunyavirus</t>
  </si>
  <si>
    <t>Riboviria;Orthornavirae;Negarnaviricota;Polyploviricotina;Ellioviricetes;Bunyavirales;Peribunyaviridae;Orthobunyavirus;Orthobunyavirus bwambaense</t>
  </si>
  <si>
    <t>Riboviria;Orthornavirae;Negarnaviricota;Polyploviricotina;Ellioviricetes;Bunyavirales;Peribunyaviridae;Orthobunyavirus;Bwamba orthobunyavirus</t>
  </si>
  <si>
    <t>Riboviria;Orthornavirae;Negarnaviricota;Polyploviricotina;Ellioviricetes;Bunyavirales;Peribunyaviridae;Orthobunyavirus;Orthobunyavirus buttonwillowense</t>
  </si>
  <si>
    <t>Riboviria;Orthornavirae;Negarnaviricota;Polyploviricotina;Ellioviricetes;Bunyavirales;Peribunyaviridae;Orthobunyavirus;Buttonwillow orthobunyavirus</t>
  </si>
  <si>
    <t>Riboviria;Orthornavirae;Negarnaviricota;Polyploviricotina;Ellioviricetes;Bunyavirales;Peribunyaviridae;Orthobunyavirus;Orthobunyavirus bushbushense</t>
  </si>
  <si>
    <t>Riboviria;Orthornavirae;Negarnaviricota;Polyploviricotina;Ellioviricetes;Bunyavirales;Peribunyaviridae;Orthobunyavirus;Bushbush orthobunyavirus</t>
  </si>
  <si>
    <t>Riboviria;Orthornavirae;Negarnaviricota;Polyploviricotina;Ellioviricetes;Bunyavirales;Peribunyaviridae;Orthobunyavirus;Orthobunyavirus bunyamweraense</t>
  </si>
  <si>
    <t>Riboviria;Orthornavirae;Negarnaviricota;Polyploviricotina;Ellioviricetes;Bunyavirales;Peribunyaviridae;Orthobunyavirus;Bunyamwera orthobunyavirus</t>
  </si>
  <si>
    <t>Riboviria;Orthornavirae;Negarnaviricota;Polyploviricotina;Ellioviricetes;Bunyavirales;Peribunyaviridae;Orthobunyavirus;Orthobunyavirus buffaloense</t>
  </si>
  <si>
    <t>Riboviria;Orthornavirae;Negarnaviricota;Polyploviricotina;Ellioviricetes;Bunyavirales;Peribunyaviridae;Orthobunyavirus;Buffalo Creek orthobunyavirus</t>
  </si>
  <si>
    <t>Riboviria;Orthornavirae;Negarnaviricota;Polyploviricotina;Ellioviricetes;Bunyavirales;Peribunyaviridae;Orthobunyavirus;Orthobunyavirus bruconhaense</t>
  </si>
  <si>
    <t>Riboviria;Orthornavirae;Negarnaviricota;Polyploviricotina;Ellioviricetes;Bunyavirales;Peribunyaviridae;Orthobunyavirus;Bruconha orthobunyavirus</t>
  </si>
  <si>
    <t>Riboviria;Orthornavirae;Negarnaviricota;Polyploviricotina;Ellioviricetes;Bunyavirales;Peribunyaviridae;Orthobunyavirus;Orthobunyavirus brazoriaense</t>
  </si>
  <si>
    <t>Riboviria;Orthornavirae;Negarnaviricota;Polyploviricotina;Ellioviricetes;Bunyavirales;Peribunyaviridae;Orthobunyavirus;Brazoran orthobunyavirus</t>
  </si>
  <si>
    <t>Riboviria;Orthornavirae;Negarnaviricota;Polyploviricotina;Ellioviricetes;Bunyavirales;Peribunyaviridae;Orthobunyavirus;Orthobunyavirus bozoense</t>
  </si>
  <si>
    <t>Riboviria;Orthornavirae;Negarnaviricota;Polyploviricotina;Ellioviricetes;Bunyavirales;Peribunyaviridae;Orthobunyavirus;Bozo orthobunyavirus</t>
  </si>
  <si>
    <t>Riboviria;Orthornavirae;Negarnaviricota;Polyploviricotina;Ellioviricetes;Bunyavirales;Peribunyaviridae;Orthobunyavirus;Orthobunyavirus botambiense</t>
  </si>
  <si>
    <t>Riboviria;Orthornavirae;Negarnaviricota;Polyploviricotina;Ellioviricetes;Bunyavirales;Peribunyaviridae;Orthobunyavirus;Botambi orthobunyavirus</t>
  </si>
  <si>
    <t>Riboviria;Orthornavirae;Negarnaviricota;Polyploviricotina;Ellioviricetes;Bunyavirales;Peribunyaviridae;Orthobunyavirus;Orthobunyavirus biraoense</t>
  </si>
  <si>
    <t>Riboviria;Orthornavirae;Negarnaviricota;Polyploviricotina;Ellioviricetes;Bunyavirales;Peribunyaviridae;Orthobunyavirus;Birao orthobunyavirus</t>
  </si>
  <si>
    <t>Riboviria;Orthornavirae;Negarnaviricota;Polyploviricotina;Ellioviricetes;Bunyavirales;Peribunyaviridae;Orthobunyavirus;Orthobunyavirus bertiogaense</t>
  </si>
  <si>
    <t>Riboviria;Orthornavirae;Negarnaviricota;Polyploviricotina;Ellioviricetes;Bunyavirales;Peribunyaviridae;Orthobunyavirus;Bertioga orthobunyavirus</t>
  </si>
  <si>
    <t>Riboviria;Orthornavirae;Negarnaviricota;Polyploviricotina;Ellioviricetes;Bunyavirales;Peribunyaviridae;Orthobunyavirus;Orthobunyavirus bellavistaense</t>
  </si>
  <si>
    <t>Riboviria;Orthornavirae;Negarnaviricota;Polyploviricotina;Ellioviricetes;Bunyavirales;Peribunyaviridae;Orthobunyavirus;Bellavista orthobunyavirus</t>
  </si>
  <si>
    <t>Riboviria;Orthornavirae;Negarnaviricota;Polyploviricotina;Ellioviricetes;Bunyavirales;Peribunyaviridae;Orthobunyavirus;Orthobunyavirus batamaense</t>
  </si>
  <si>
    <t>Riboviria;Orthornavirae;Negarnaviricota;Polyploviricotina;Ellioviricetes;Bunyavirales;Peribunyaviridae;Orthobunyavirus;Batama orthobunyavirus</t>
  </si>
  <si>
    <t>Riboviria;Orthornavirae;Negarnaviricota;Polyploviricotina;Ellioviricetes;Bunyavirales;Peribunyaviridae;Orthobunyavirus;Orthobunyavirus bataiense</t>
  </si>
  <si>
    <t>Riboviria;Orthornavirae;Negarnaviricota;Polyploviricotina;Ellioviricetes;Bunyavirales;Peribunyaviridae;Orthobunyavirus;Batai orthobunyavirus</t>
  </si>
  <si>
    <t>Riboviria;Orthornavirae;Negarnaviricota;Polyploviricotina;Ellioviricetes;Bunyavirales;Peribunyaviridae;Orthobunyavirus;Orthobunyavirus bakauense</t>
  </si>
  <si>
    <t>Riboviria;Orthornavirae;Negarnaviricota;Polyploviricotina;Ellioviricetes;Bunyavirales;Peribunyaviridae;Orthobunyavirus;Bakau orthobunyavirus</t>
  </si>
  <si>
    <t>Riboviria;Orthornavirae;Negarnaviricota;Polyploviricotina;Ellioviricetes;Bunyavirales;Peribunyaviridae;Orthobunyavirus;Orthobunyavirus apeuense</t>
  </si>
  <si>
    <t>Riboviria;Orthornavirae;Negarnaviricota;Polyploviricotina;Ellioviricetes;Bunyavirales;Peribunyaviridae;Orthobunyavirus;Apeu orthobunyavirus</t>
  </si>
  <si>
    <t>Riboviria;Orthornavirae;Negarnaviricota;Polyploviricotina;Ellioviricetes;Bunyavirales;Peribunyaviridae;Orthobunyavirus;Orthobunyavirus anhembiense</t>
  </si>
  <si>
    <t>Riboviria;Orthornavirae;Negarnaviricota;Polyploviricotina;Ellioviricetes;Bunyavirales;Peribunyaviridae;Orthobunyavirus;Anhembi orthobunyavirus</t>
  </si>
  <si>
    <t>Riboviria;Orthornavirae;Negarnaviricota;Polyploviricotina;Ellioviricetes;Bunyavirales;Peribunyaviridae;Orthobunyavirus;Orthobunyavirus angeloense</t>
  </si>
  <si>
    <t>Riboviria;Orthornavirae;Negarnaviricota;Polyploviricotina;Ellioviricetes;Bunyavirales;Peribunyaviridae;Orthobunyavirus;San Angelo orthobunyavirus</t>
  </si>
  <si>
    <t>Riboviria;Orthornavirae;Negarnaviricota;Polyploviricotina;Ellioviricetes;Bunyavirales;Peribunyaviridae;Orthobunyavirus;Orthobunyavirus ananindeuaense</t>
  </si>
  <si>
    <t>Riboviria;Orthornavirae;Negarnaviricota;Polyploviricotina;Ellioviricetes;Bunyavirales;Peribunyaviridae;Orthobunyavirus;Ananindeua orthobunyavirus</t>
  </si>
  <si>
    <t>Riboviria;Orthornavirae;Negarnaviricota;Polyploviricotina;Ellioviricetes;Bunyavirales;Peribunyaviridae;Orthobunyavirus;Orthobunyavirus anadyrense</t>
  </si>
  <si>
    <t>Riboviria;Orthornavirae;Negarnaviricota;Polyploviricotina;Ellioviricetes;Bunyavirales;Peribunyaviridae;Orthobunyavirus;Anadyr orthobunyavirus</t>
  </si>
  <si>
    <t>Riboviria;Orthornavirae;Negarnaviricota;Polyploviricotina;Ellioviricetes;Bunyavirales;Peribunyaviridae;Orthobunyavirus;Orthobunyavirus akabaneense</t>
  </si>
  <si>
    <t>Riboviria;Orthornavirae;Negarnaviricota;Polyploviricotina;Ellioviricetes;Bunyavirales;Peribunyaviridae;Orthobunyavirus;Akabane orthobunyavirus</t>
  </si>
  <si>
    <t>Riboviria;Orthornavirae;Negarnaviricota;Polyploviricotina;Ellioviricetes;Bunyavirales;Peribunyaviridae;Orthobunyavirus;Orthobunyavirus ainoense</t>
  </si>
  <si>
    <t>Riboviria;Orthornavirae;Negarnaviricota;Polyploviricotina;Ellioviricetes;Bunyavirales;Peribunyaviridae;Orthobunyavirus;Aino orthobunyavirus</t>
  </si>
  <si>
    <t>Riboviria;Orthornavirae;Negarnaviricota;Polyploviricotina;Ellioviricetes;Bunyavirales;Peribunyaviridae;Orthobunyavirus;Orthobunyavirus achiotei</t>
  </si>
  <si>
    <t>Riboviria;Orthornavirae;Negarnaviricota;Polyploviricotina;Ellioviricetes;Bunyavirales;Peribunyaviridae;Orthobunyavirus;Trivittatus orthobunyavirus</t>
  </si>
  <si>
    <t>Riboviria;Orthornavirae;Negarnaviricota;Polyploviricotina;Ellioviricetes;Bunyavirales;Peribunyaviridae;Orthobunyavirus;Orthobunyavirus acaraense</t>
  </si>
  <si>
    <t>Riboviria;Orthornavirae;Negarnaviricota;Polyploviricotina;Ellioviricetes;Bunyavirales;Peribunyaviridae;Orthobunyavirus;Acara orthobunyavirus</t>
  </si>
  <si>
    <t>Riboviria;Orthornavirae;Negarnaviricota;Polyploviricotina;Ellioviricetes;Bunyavirales;Peribunyaviridae;Orthobunyavirus;Orthobunyavirus abrasense</t>
  </si>
  <si>
    <t>Riboviria;Orthornavirae;Negarnaviricota;Polyploviricotina;Ellioviricetes;Bunyavirales;Peribunyaviridae;Orthobunyavirus;Abras orthobunyavirus</t>
  </si>
  <si>
    <t>Riboviria;Orthornavirae;Negarnaviricota;Polyploviricotina;Ellioviricetes;Bunyavirales;Peribunyaviridae;Herbevirus;Herbevirus taiense</t>
  </si>
  <si>
    <t>Riboviria;Orthornavirae;Negarnaviricota;Polyploviricotina;Ellioviricetes;Bunyavirales;Peribunyaviridae;Herbevirus;Tai herbevirus</t>
  </si>
  <si>
    <t>Riboviria;Orthornavirae;Negarnaviricota;Polyploviricotina;Ellioviricetes;Bunyavirales;Peribunyaviridae;Herbevirus;Herbevirus kibaleense</t>
  </si>
  <si>
    <t>Riboviria;Orthornavirae;Negarnaviricota;Polyploviricotina;Ellioviricetes;Bunyavirales;Peribunyaviridae;Herbevirus;Kibale herbevirus</t>
  </si>
  <si>
    <t>Riboviria;Orthornavirae;Negarnaviricota;Polyploviricotina;Ellioviricetes;Bunyavirales;Peribunyaviridae;Herbevirus;Herbevirus herberti</t>
  </si>
  <si>
    <t>Riboviria;Orthornavirae;Negarnaviricota;Polyploviricotina;Ellioviricetes;Bunyavirales;Peribunyaviridae;Herbevirus;Herbert herbevirus</t>
  </si>
  <si>
    <t>Riboviria;Orthornavirae;Negarnaviricota;Polyploviricotina;Ellioviricetes;Bunyavirales;Nairoviridae;Xinspivirus;Xinspivirus xinzhouense</t>
  </si>
  <si>
    <t>Riboviria;Orthornavirae;Negarnaviricota;Polyploviricotina;Ellioviricetes;Bunyavirales;Nairoviridae;Xinspivirus;Xinzhou xinspivirus</t>
  </si>
  <si>
    <t>Riboviria;Orthornavirae;Negarnaviricota;Polyploviricotina;Ellioviricetes;Bunyavirales;Nairoviridae;Striwavirus;Striwavirus sanxiaense</t>
  </si>
  <si>
    <t>Riboviria;Orthornavirae;Negarnaviricota;Polyploviricotina;Ellioviricetes;Bunyavirales;Nairoviridae;Striwavirus;Strider striwavirus</t>
  </si>
  <si>
    <t>Riboviria;Orthornavirae;Negarnaviricota;Polyploviricotina;Ellioviricetes;Bunyavirales;Nairoviridae;Shaspivirus;Shaspivirus aranei</t>
  </si>
  <si>
    <t>Riboviria;Orthornavirae;Negarnaviricota;Polyploviricotina;Ellioviricetes;Bunyavirales;Nairoviridae;Shaspivirus;Spider shaspivirus</t>
  </si>
  <si>
    <t>Riboviria;Orthornavirae;Negarnaviricota;Polyploviricotina;Ellioviricetes;Bunyavirales;Nairoviridae;Sabavirus;Sabavirus americanum</t>
  </si>
  <si>
    <t>Riboviria;Orthornavirae;Negarnaviricota;Polyploviricotina;Ellioviricetes;Bunyavirales;Nairoviridae;Sabavirus;South Bay sabavirus</t>
  </si>
  <si>
    <t>Riboviria;Orthornavirae;Negarnaviricota;Polyploviricotina;Ellioviricetes;Bunyavirales;Nairoviridae;Orthonairovirus;Orthonairovirus zirkuense</t>
  </si>
  <si>
    <t>Riboviria;Orthornavirae;Negarnaviricota;Polyploviricotina;Ellioviricetes;Bunyavirales;Nairoviridae;Orthonairovirus;Zirqa orthonairovirus</t>
  </si>
  <si>
    <t>Riboviria;Orthornavirae;Negarnaviricota;Polyploviricotina;Ellioviricetes;Bunyavirales;Nairoviridae;Orthonairovirus;Orthonairovirus yogueense</t>
  </si>
  <si>
    <t>Riboviria;Orthornavirae;Negarnaviricota;Polyploviricotina;Ellioviricetes;Bunyavirales;Nairoviridae;Orthonairovirus;Yogue orthonairovirus</t>
  </si>
  <si>
    <t>Riboviria;Orthornavirae;Negarnaviricota;Polyploviricotina;Ellioviricetes;Bunyavirales;Nairoviridae;Orthonairovirus;Orthonairovirus wenzhouense</t>
  </si>
  <si>
    <t>Riboviria;Orthornavirae;Negarnaviricota;Polyploviricotina;Ellioviricetes;Bunyavirales;Nairoviridae;Orthonairovirus;Wenzhou orthonairovirus</t>
  </si>
  <si>
    <t>Riboviria;Orthornavirae;Negarnaviricota;Polyploviricotina;Ellioviricetes;Bunyavirales;Nairoviridae;Orthonairovirus;Orthonairovirus tunisense</t>
  </si>
  <si>
    <t>Riboviria;Orthornavirae;Negarnaviricota;Polyploviricotina;Ellioviricetes;Bunyavirales;Nairoviridae;Orthonairovirus;Tunis orthonairovirus</t>
  </si>
  <si>
    <t>Riboviria;Orthornavirae;Negarnaviricota;Polyploviricotina;Ellioviricetes;Bunyavirales;Nairoviridae;Orthonairovirus;Orthonairovirus tomdiense</t>
  </si>
  <si>
    <t>Riboviria;Orthornavirae;Negarnaviricota;Polyploviricotina;Ellioviricetes;Bunyavirales;Nairoviridae;Orthonairovirus;Tamdy orthonairovirus</t>
  </si>
  <si>
    <t>Riboviria;Orthornavirae;Negarnaviricota;Polyploviricotina;Ellioviricetes;Bunyavirales;Nairoviridae;Orthonairovirus;Orthonairovirus thiaforaense</t>
  </si>
  <si>
    <t>Riboviria;Orthornavirae;Negarnaviricota;Polyploviricotina;Ellioviricetes;Bunyavirales;Nairoviridae;Orthonairovirus;Thiafora orthonairovirus</t>
  </si>
  <si>
    <t>Riboviria;Orthornavirae;Negarnaviricota;Polyploviricotina;Ellioviricetes;Bunyavirales;Nairoviridae;Orthonairovirus;Orthonairovirus tachengense</t>
  </si>
  <si>
    <t>Riboviria;Orthornavirae;Negarnaviricota;Polyploviricotina;Ellioviricetes;Bunyavirales;Nairoviridae;Orthonairovirus;Tacheng orthonairovirus</t>
  </si>
  <si>
    <t>Riboviria;Orthornavirae;Negarnaviricota;Polyploviricotina;Ellioviricetes;Bunyavirales;Nairoviridae;Orthonairovirus;Orthonairovirus soldadoense</t>
  </si>
  <si>
    <t>Riboviria;Orthornavirae;Negarnaviricota;Polyploviricotina;Ellioviricetes;Bunyavirales;Nairoviridae;Orthonairovirus;Soldado orthonairovirus</t>
  </si>
  <si>
    <t>Riboviria;Orthornavirae;Negarnaviricota;Polyploviricotina;Ellioviricetes;Bunyavirales;Nairoviridae;Orthonairovirus;Orthonairovirus sakhalinense</t>
  </si>
  <si>
    <t>Riboviria;Orthornavirae;Negarnaviricota;Polyploviricotina;Ellioviricetes;Bunyavirales;Nairoviridae;Orthonairovirus;Sakhalin orthonairovirus</t>
  </si>
  <si>
    <t>Riboviria;Orthornavirae;Negarnaviricota;Polyploviricotina;Ellioviricetes;Bunyavirales;Nairoviridae;Orthonairovirus;Orthonairovirus randallense</t>
  </si>
  <si>
    <t>Riboviria;Orthornavirae;Negarnaviricota;Polyploviricotina;Ellioviricetes;Bunyavirales;Nairoviridae;Orthonairovirus;Sapphire orthonairovirus</t>
  </si>
  <si>
    <t>Riboviria;Orthornavirae;Negarnaviricota;Polyploviricotina;Ellioviricetes;Bunyavirales;Nairoviridae;Orthonairovirus;Orthonairovirus qalyubense</t>
  </si>
  <si>
    <t>Riboviria;Orthornavirae;Negarnaviricota;Polyploviricotina;Ellioviricetes;Bunyavirales;Nairoviridae;Orthonairovirus;Qalyub orthonairovirus</t>
  </si>
  <si>
    <t>Riboviria;Orthornavirae;Negarnaviricota;Polyploviricotina;Ellioviricetes;Bunyavirales;Nairoviridae;Orthonairovirus;Orthonairovirus peruense</t>
  </si>
  <si>
    <t>Riboviria;Orthornavirae;Negarnaviricota;Polyploviricotina;Ellioviricetes;Bunyavirales;Nairoviridae;Orthonairovirus;Punta orthonairovirus</t>
  </si>
  <si>
    <t>Riboviria;Orthornavirae;Negarnaviricota;Polyploviricotina;Ellioviricetes;Bunyavirales;Nairoviridae;Orthonairovirus;Orthonairovirus parahaemorrhagiae</t>
  </si>
  <si>
    <t>Riboviria;Orthornavirae;Negarnaviricota;Polyploviricotina;Ellioviricetes;Bunyavirales;Nairoviridae;Orthonairovirus;Congoid orthonairovirus</t>
  </si>
  <si>
    <t>Riboviria;Orthornavirae;Negarnaviricota;Polyploviricotina;Ellioviricetes;Bunyavirales;Nairoviridae;Orthonairovirus;Orthonairovirus nairobiense</t>
  </si>
  <si>
    <t>Riboviria;Orthornavirae;Negarnaviricota;Polyploviricotina;Ellioviricetes;Bunyavirales;Nairoviridae;Orthonairovirus;Nairobi sheep disease orthonairovirus</t>
  </si>
  <si>
    <t>Riboviria;Orthornavirae;Negarnaviricota;Polyploviricotina;Ellioviricetes;Bunyavirales;Nairoviridae;Orthonairovirus;Orthonairovirus meramense</t>
  </si>
  <si>
    <t>Riboviria;Orthornavirae;Negarnaviricota;Polyploviricotina;Ellioviricetes;Bunyavirales;Nairoviridae;Orthonairovirus;Meram orthonairovirus</t>
  </si>
  <si>
    <t>Riboviria;Orthornavirae;Negarnaviricota;Polyploviricotina;Ellioviricetes;Bunyavirales;Nairoviridae;Orthonairovirus;Orthonairovirus macquariense</t>
  </si>
  <si>
    <t>Riboviria;Orthornavirae;Negarnaviricota;Polyploviricotina;Ellioviricetes;Bunyavirales;Nairoviridae;Orthonairovirus;Taggert orthonairovirus</t>
  </si>
  <si>
    <t>Riboviria;Orthornavirae;Negarnaviricota;Polyploviricotina;Ellioviricetes;Bunyavirales;Nairoviridae;Orthonairovirus;Orthonairovirus lusakaense</t>
  </si>
  <si>
    <t>Riboviria;Orthornavirae;Negarnaviricota;Polyploviricotina;Ellioviricetes;Bunyavirales;Nairoviridae;Orthonairovirus;Leopards Hill orthonairovirus</t>
  </si>
  <si>
    <t>Riboviria;Orthornavirae;Negarnaviricota;Polyploviricotina;Ellioviricetes;Bunyavirales;Nairoviridae;Orthonairovirus;Orthonairovirus khani</t>
  </si>
  <si>
    <t>Riboviria;Orthornavirae;Negarnaviricota;Polyploviricotina;Ellioviricetes;Bunyavirales;Nairoviridae;Orthonairovirus;Dera Ghazi Khan orthonairovirus</t>
  </si>
  <si>
    <t>Riboviria;Orthornavirae;Negarnaviricota;Polyploviricotina;Ellioviricetes;Bunyavirales;Nairoviridae;Orthonairovirus;Orthonairovirus keterehense</t>
  </si>
  <si>
    <t>Riboviria;Orthornavirae;Negarnaviricota;Polyploviricotina;Ellioviricetes;Bunyavirales;Nairoviridae;Orthonairovirus;Keterah orthonairovirus</t>
  </si>
  <si>
    <t>Riboviria;Orthornavirae;Negarnaviricota;Polyploviricotina;Ellioviricetes;Bunyavirales;Nairoviridae;Orthonairovirus;Orthonairovirus kasokeroense</t>
  </si>
  <si>
    <t>Riboviria;Orthornavirae;Negarnaviricota;Polyploviricotina;Ellioviricetes;Bunyavirales;Nairoviridae;Orthonairovirus;Kasokero orthonairovirus</t>
  </si>
  <si>
    <t>Riboviria;Orthornavirae;Negarnaviricota;Polyploviricotina;Ellioviricetes;Bunyavirales;Nairoviridae;Orthonairovirus;Orthonairovirus japonicum</t>
  </si>
  <si>
    <t>Riboviria;Orthornavirae;Negarnaviricota;Polyploviricotina;Ellioviricetes;Bunyavirales;Nairoviridae;Orthonairovirus;Tofla orthonairovirus</t>
  </si>
  <si>
    <t>Riboviria;Orthornavirae;Negarnaviricota;Polyploviricotina;Ellioviricetes;Bunyavirales;Nairoviridae;Orthonairovirus;Orthonairovirus issykkulense</t>
  </si>
  <si>
    <t>Riboviria;Orthornavirae;Negarnaviricota;Polyploviricotina;Ellioviricetes;Bunyavirales;Nairoviridae;Orthonairovirus;Issyk-kul orthonairovirus</t>
  </si>
  <si>
    <t>Riboviria;Orthornavirae;Negarnaviricota;Polyploviricotina;Ellioviricetes;Bunyavirales;Nairoviridae;Orthonairovirus;Orthonairovirus huangpiense</t>
  </si>
  <si>
    <t>Riboviria;Orthornavirae;Negarnaviricota;Polyploviricotina;Ellioviricetes;Bunyavirales;Nairoviridae;Orthonairovirus;Huangpi orthonairovirus</t>
  </si>
  <si>
    <t>Riboviria;Orthornavirae;Negarnaviricota;Polyploviricotina;Ellioviricetes;Bunyavirales;Nairoviridae;Orthonairovirus;Orthonairovirus hazaraense</t>
  </si>
  <si>
    <t>Riboviria;Orthornavirae;Negarnaviricota;Polyploviricotina;Ellioviricetes;Bunyavirales;Nairoviridae;Orthonairovirus;Hazara orthonairovirus</t>
  </si>
  <si>
    <t>Riboviria;Orthornavirae;Negarnaviricota;Polyploviricotina;Ellioviricetes;Bunyavirales;Nairoviridae;Orthonairovirus;Orthonairovirus haemorrhagiae</t>
  </si>
  <si>
    <t>Riboviria;Orthornavirae;Negarnaviricota;Polyploviricotina;Ellioviricetes;Bunyavirales;Nairoviridae;Orthonairovirus;Crimean-Congo hemorrhagic fever orthonairovirus</t>
  </si>
  <si>
    <t>Riboviria;Orthornavirae;Negarnaviricota;Polyploviricotina;Ellioviricetes;Bunyavirales;Nairoviridae;Orthonairovirus;Orthonairovirus gossasense</t>
  </si>
  <si>
    <t>Riboviria;Orthornavirae;Negarnaviricota;Polyploviricotina;Ellioviricetes;Bunyavirales;Nairoviridae;Orthonairovirus;Gossas orthonairovirus</t>
  </si>
  <si>
    <t>Riboviria;Orthornavirae;Negarnaviricota;Polyploviricotina;Ellioviricetes;Bunyavirales;Nairoviridae;Orthonairovirus;Orthonairovirus esteroense</t>
  </si>
  <si>
    <t>Riboviria;Orthornavirae;Negarnaviricota;Polyploviricotina;Ellioviricetes;Bunyavirales;Nairoviridae;Orthonairovirus;Estero Real orthonairovirus</t>
  </si>
  <si>
    <t>Riboviria;Orthornavirae;Negarnaviricota;Polyploviricotina;Ellioviricetes;Bunyavirales;Nairoviridae;Orthonairovirus;Orthonairovirus erveense</t>
  </si>
  <si>
    <t>Riboviria;Orthornavirae;Negarnaviricota;Polyploviricotina;Ellioviricetes;Bunyavirales;Nairoviridae;Orthonairovirus;Erve orthonairovirus</t>
  </si>
  <si>
    <t>Riboviria;Orthornavirae;Negarnaviricota;Polyploviricotina;Ellioviricetes;Bunyavirales;Nairoviridae;Orthonairovirus;Orthonairovirus dugbeense</t>
  </si>
  <si>
    <t>Riboviria;Orthornavirae;Negarnaviricota;Polyploviricotina;Ellioviricetes;Bunyavirales;Nairoviridae;Orthonairovirus;Dugbe orthonairovirus</t>
  </si>
  <si>
    <t>Riboviria;Orthornavirae;Negarnaviricota;Polyploviricotina;Ellioviricetes;Bunyavirales;Nairoviridae;Orthonairovirus;Orthonairovirus dermacentoris</t>
  </si>
  <si>
    <t>Riboviria;Orthornavirae;Negarnaviricota;Polyploviricotina;Ellioviricetes;Bunyavirales;Nairoviridae;Orthonairovirus;Pacific Coast orthonairovirus</t>
  </si>
  <si>
    <t>Riboviria;Orthornavirae;Negarnaviricota;Polyploviricotina;Ellioviricetes;Bunyavirales;Nairoviridae;Orthonairovirus;Orthonairovirus clomorense</t>
  </si>
  <si>
    <t>Riboviria;Orthornavirae;Negarnaviricota;Polyploviricotina;Ellioviricetes;Bunyavirales;Nairoviridae;Orthonairovirus;Scot orthonairovirus</t>
  </si>
  <si>
    <t>Riboviria;Orthornavirae;Negarnaviricota;Polyploviricotina;Ellioviricetes;Bunyavirales;Nairoviridae;Orthonairovirus;Orthonairovirus chimense</t>
  </si>
  <si>
    <t>Riboviria;Orthornavirae;Negarnaviricota;Polyploviricotina;Ellioviricetes;Bunyavirales;Nairoviridae;Orthonairovirus;Chim orthonairovirus</t>
  </si>
  <si>
    <t>Riboviria;Orthornavirae;Negarnaviricota;Polyploviricotina;Ellioviricetes;Bunyavirales;Nairoviridae;Orthonairovirus;Orthonairovirus bushkeyense</t>
  </si>
  <si>
    <t>Riboviria;Orthornavirae;Negarnaviricota;Polyploviricotina;Ellioviricetes;Bunyavirales;Nairoviridae;Orthonairovirus;Hughes orthonairovirus</t>
  </si>
  <si>
    <t>Riboviria;Orthornavirae;Negarnaviricota;Polyploviricotina;Ellioviricetes;Bunyavirales;Nairoviridae;Orthonairovirus;Orthonairovirus buranaense</t>
  </si>
  <si>
    <t>Riboviria;Orthornavirae;Negarnaviricota;Polyploviricotina;Ellioviricetes;Bunyavirales;Nairoviridae;Orthonairovirus;Burana orthonairovirus</t>
  </si>
  <si>
    <t>Riboviria;Orthornavirae;Negarnaviricota;Polyploviricotina;Ellioviricetes;Bunyavirales;Nairoviridae;Orthonairovirus;Orthonairovirus bandiaense</t>
  </si>
  <si>
    <t>Riboviria;Orthornavirae;Negarnaviricota;Polyploviricotina;Ellioviricetes;Bunyavirales;Nairoviridae;Orthonairovirus;Bandia orthonairovirus</t>
  </si>
  <si>
    <t>Riboviria;Orthornavirae;Negarnaviricota;Polyploviricotina;Ellioviricetes;Bunyavirales;Nairoviridae;Orthonairovirus;Orthonairovirus avalonense</t>
  </si>
  <si>
    <t>Riboviria;Orthornavirae;Negarnaviricota;Polyploviricotina;Ellioviricetes;Bunyavirales;Nairoviridae;Orthonairovirus;Avalon orthonairovirus</t>
  </si>
  <si>
    <t>Riboviria;Orthornavirae;Negarnaviricota;Polyploviricotina;Ellioviricetes;Bunyavirales;Nairoviridae;Orthonairovirus;Orthonairovirus australiaense</t>
  </si>
  <si>
    <t>Riboviria;Orthornavirae;Negarnaviricota;Polyploviricotina;Ellioviricetes;Bunyavirales;Nairoviridae;Orthonairovirus;Vinegar Hill orthonairovirus</t>
  </si>
  <si>
    <t>Riboviria;Orthornavirae;Negarnaviricota;Polyploviricotina;Ellioviricetes;Bunyavirales;Nairoviridae;Orthonairovirus;Orthonairovirus artashatense</t>
  </si>
  <si>
    <t>Riboviria;Orthornavirae;Negarnaviricota;Polyploviricotina;Ellioviricetes;Bunyavirales;Nairoviridae;Orthonairovirus;Artashat orthonairovirus</t>
  </si>
  <si>
    <t>Riboviria;Orthornavirae;Negarnaviricota;Polyploviricotina;Ellioviricetes;Bunyavirales;Nairoviridae;Orthonairovirus;Orthonairovirus amblyommae</t>
  </si>
  <si>
    <t>Riboviria;Orthornavirae;Negarnaviricota;Polyploviricotina;Ellioviricetes;Bunyavirales;Nairoviridae;Orthonairovirus;Kupe orthonairovirus</t>
  </si>
  <si>
    <t>Riboviria;Orthornavirae;Negarnaviricota;Polyploviricotina;Ellioviricetes;Bunyavirales;Nairoviridae;Orthonairovirus;Orthonairovirus abuminaense</t>
  </si>
  <si>
    <t>Riboviria;Orthornavirae;Negarnaviricota;Polyploviricotina;Ellioviricetes;Bunyavirales;Nairoviridae;Orthonairovirus;Abu Mina orthonairovirus</t>
  </si>
  <si>
    <t>Riboviria;Orthornavirae;Negarnaviricota;Polyploviricotina;Ellioviricetes;Bunyavirales;Nairoviridae;Orthonairovirus;Orthonairovirus abuhammadense</t>
  </si>
  <si>
    <t>Riboviria;Orthornavirae;Negarnaviricota;Polyploviricotina;Ellioviricetes;Bunyavirales;Nairoviridae;Orthonairovirus;Abu Hammad orthonairovirus</t>
  </si>
  <si>
    <t>Riboviria;Orthornavirae;Negarnaviricota;Polyploviricotina;Ellioviricetes;Bunyavirales;Nairoviridae;Ocetevirus;Ocetevirus paratemnopterygis</t>
  </si>
  <si>
    <t>Riboviria;Orthornavirae;Negarnaviricota;Polyploviricotina;Ellioviricetes;Bunyavirales;Nairoviridae;Ocetevirus;Blattodean ocetevirus</t>
  </si>
  <si>
    <t>Riboviria;Orthornavirae;Negarnaviricota;Polyploviricotina;Ellioviricetes;Bunyavirales;Nairoviridae;Norwavirus;Norwavirus grotenhoutense</t>
  </si>
  <si>
    <t>Riboviria;Orthornavirae;Negarnaviricota;Polyploviricotina;Ellioviricetes;Bunyavirales;Nairoviridae;Norwavirus;Grotenhout norwavirus</t>
  </si>
  <si>
    <t>Riboviria;Orthornavirae;Negarnaviricota;Polyploviricotina;Ellioviricetes;Bunyavirales;Hantaviridae;Repantavirinae;Reptillovirus;Reptillovirus hemidactyli</t>
  </si>
  <si>
    <t>Riboviria;Orthornavirae;Negarnaviricota;Polyploviricotina;Ellioviricetes;Bunyavirales;Hantaviridae;Repantavirinae;Reptillovirus;Gecko reptillovirus</t>
  </si>
  <si>
    <t>Riboviria;Orthornavirae;Negarnaviricota;Polyploviricotina;Ellioviricetes;Bunyavirales;Hantaviridae;Mammantavirinae;Thottimvirus;Thottimvirus thottapalayamense</t>
  </si>
  <si>
    <t>Riboviria;Orthornavirae;Negarnaviricota;Polyploviricotina;Ellioviricetes;Bunyavirales;Hantaviridae;Mammantavirinae;Thottimvirus;Thottapalayam thottimvirus</t>
  </si>
  <si>
    <t>Riboviria;Orthornavirae;Negarnaviricota;Polyploviricotina;Ellioviricetes;Bunyavirales;Hantaviridae;Mammantavirinae;Thottimvirus;Thottimvirus imjinense</t>
  </si>
  <si>
    <t>Riboviria;Orthornavirae;Negarnaviricota;Polyploviricotina;Ellioviricetes;Bunyavirales;Hantaviridae;Mammantavirinae;Thottimvirus;Imjin thottimvirus</t>
  </si>
  <si>
    <t>Riboviria;Orthornavirae;Negarnaviricota;Polyploviricotina;Ellioviricetes;Bunyavirales;Hantaviridae;Mammantavirinae;Orthohantavirus;Orthohantavirus yakeshiense</t>
  </si>
  <si>
    <t>Riboviria;Orthornavirae;Negarnaviricota;Polyploviricotina;Ellioviricetes;Bunyavirales;Hantaviridae;Mammantavirinae;Orthohantavirus;Yakeshi orthohantavirus</t>
  </si>
  <si>
    <t>Riboviria;Orthornavirae;Negarnaviricota;Polyploviricotina;Ellioviricetes;Bunyavirales;Hantaviridae;Mammantavirinae;Orthohantavirus;Orthohantavirus tulaense</t>
  </si>
  <si>
    <t>Riboviria;Orthornavirae;Negarnaviricota;Polyploviricotina;Ellioviricetes;Bunyavirales;Hantaviridae;Mammantavirinae;Orthohantavirus;Tula orthohantavirus</t>
  </si>
  <si>
    <t>Riboviria;Orthornavirae;Negarnaviricota;Polyploviricotina;Ellioviricetes;Bunyavirales;Hantaviridae;Mammantavirinae;Orthohantavirus;Orthohantavirus tigrayense</t>
  </si>
  <si>
    <t>Riboviria;Orthornavirae;Negarnaviricota;Polyploviricotina;Ellioviricetes;Bunyavirales;Hantaviridae;Mammantavirinae;Orthohantavirus;Tigray orthohantavirus</t>
  </si>
  <si>
    <t>Riboviria;Orthornavirae;Negarnaviricota;Polyploviricotina;Ellioviricetes;Bunyavirales;Hantaviridae;Mammantavirinae;Orthohantavirus;Orthohantavirus thailandense</t>
  </si>
  <si>
    <t>Riboviria;Orthornavirae;Negarnaviricota;Polyploviricotina;Ellioviricetes;Bunyavirales;Hantaviridae;Mammantavirinae;Orthohantavirus;Thailand orthohantavirus</t>
  </si>
  <si>
    <t>Riboviria;Orthornavirae;Negarnaviricota;Polyploviricotina;Ellioviricetes;Bunyavirales;Hantaviridae;Mammantavirinae;Orthohantavirus;Orthohantavirus tatenalense</t>
  </si>
  <si>
    <t>Riboviria;Orthornavirae;Negarnaviricota;Polyploviricotina;Ellioviricetes;Bunyavirales;Hantaviridae;Mammantavirinae;Orthohantavirus;Tatenale orthohantavirus</t>
  </si>
  <si>
    <t>Riboviria;Orthornavirae;Negarnaviricota;Polyploviricotina;Ellioviricetes;Bunyavirales;Hantaviridae;Mammantavirinae;Orthohantavirus;Orthohantavirus sinnombreense</t>
  </si>
  <si>
    <t>Riboviria;Orthornavirae;Negarnaviricota;Polyploviricotina;Ellioviricetes;Bunyavirales;Hantaviridae;Mammantavirinae;Orthohantavirus;Sin Nombre orthohantavirus</t>
  </si>
  <si>
    <t>Riboviria;Orthornavirae;Negarnaviricota;Polyploviricotina;Ellioviricetes;Bunyavirales;Hantaviridae;Mammantavirinae;Orthohantavirus;Orthohantavirus seoulense</t>
  </si>
  <si>
    <t>Riboviria;Orthornavirae;Negarnaviricota;Polyploviricotina;Ellioviricetes;Bunyavirales;Hantaviridae;Mammantavirinae;Orthohantavirus;Seoul orthohantavirus</t>
  </si>
  <si>
    <t>Riboviria;Orthornavirae;Negarnaviricota;Polyploviricotina;Ellioviricetes;Bunyavirales;Hantaviridae;Mammantavirinae;Orthohantavirus;Orthohantavirus seewisense</t>
  </si>
  <si>
    <t>Riboviria;Orthornavirae;Negarnaviricota;Polyploviricotina;Ellioviricetes;Bunyavirales;Hantaviridae;Mammantavirinae;Orthohantavirus;Seewis orthohantavirus</t>
  </si>
  <si>
    <t>Riboviria;Orthornavirae;Negarnaviricota;Polyploviricotina;Ellioviricetes;Bunyavirales;Hantaviridae;Mammantavirinae;Orthohantavirus;Orthohantavirus sangassouense</t>
  </si>
  <si>
    <t>Riboviria;Orthornavirae;Negarnaviricota;Polyploviricotina;Ellioviricetes;Bunyavirales;Hantaviridae;Mammantavirinae;Orthohantavirus;Sangassou orthohantavirus</t>
  </si>
  <si>
    <t>Riboviria;Orthornavirae;Negarnaviricota;Polyploviricotina;Ellioviricetes;Bunyavirales;Hantaviridae;Mammantavirinae;Orthohantavirus;Orthohantavirus rockportense</t>
  </si>
  <si>
    <t>Riboviria;Orthornavirae;Negarnaviricota;Polyploviricotina;Ellioviricetes;Bunyavirales;Hantaviridae;Mammantavirinae;Orthohantavirus;Rockport orthohantavirus</t>
  </si>
  <si>
    <t>Riboviria;Orthornavirae;Negarnaviricota;Polyploviricotina;Ellioviricetes;Bunyavirales;Hantaviridae;Mammantavirinae;Orthohantavirus;Orthohantavirus robinaense</t>
  </si>
  <si>
    <t>Riboviria;Orthornavirae;Negarnaviricota;Polyploviricotina;Ellioviricetes;Bunyavirales;Hantaviridae;Mammantavirinae;Orthohantavirus;Robina orthohantavirus</t>
  </si>
  <si>
    <t>Riboviria;Orthornavirae;Negarnaviricota;Polyploviricotina;Ellioviricetes;Bunyavirales;Hantaviridae;Mammantavirinae;Orthohantavirus;Orthohantavirus puumalaense</t>
  </si>
  <si>
    <t>Riboviria;Orthornavirae;Negarnaviricota;Polyploviricotina;Ellioviricetes;Bunyavirales;Hantaviridae;Mammantavirinae;Orthohantavirus;Puumala orthohantavirus</t>
  </si>
  <si>
    <t>Riboviria;Orthornavirae;Negarnaviricota;Polyploviricotina;Ellioviricetes;Bunyavirales;Hantaviridae;Mammantavirinae;Orthohantavirus;Orthohantavirus prospectense</t>
  </si>
  <si>
    <t>Riboviria;Orthornavirae;Negarnaviricota;Polyploviricotina;Ellioviricetes;Bunyavirales;Hantaviridae;Mammantavirinae;Orthohantavirus;Prospect Hill orthohantavirus</t>
  </si>
  <si>
    <t>Riboviria;Orthornavirae;Negarnaviricota;Polyploviricotina;Ellioviricetes;Bunyavirales;Hantaviridae;Mammantavirinae;Orthohantavirus;Orthohantavirus oxbowense</t>
  </si>
  <si>
    <t>Riboviria;Orthornavirae;Negarnaviricota;Polyploviricotina;Ellioviricetes;Bunyavirales;Hantaviridae;Mammantavirinae;Orthohantavirus;Oxbow orthohantavirus</t>
  </si>
  <si>
    <t>Riboviria;Orthornavirae;Negarnaviricota;Polyploviricotina;Ellioviricetes;Bunyavirales;Hantaviridae;Mammantavirinae;Orthohantavirus;Orthohantavirus nigrorivense</t>
  </si>
  <si>
    <t>Riboviria;Orthornavirae;Negarnaviricota;Polyploviricotina;Ellioviricetes;Bunyavirales;Hantaviridae;Mammantavirinae;Orthohantavirus;Black Creek Canal orthohantavirus</t>
  </si>
  <si>
    <t>Riboviria;Orthornavirae;Negarnaviricota;Polyploviricotina;Ellioviricetes;Bunyavirales;Hantaviridae;Mammantavirinae;Orthohantavirus;Orthohantavirus negraense</t>
  </si>
  <si>
    <t>Riboviria;Orthornavirae;Negarnaviricota;Polyploviricotina;Ellioviricetes;Bunyavirales;Hantaviridae;Mammantavirinae;Orthohantavirus;Laguna Negra orthohantavirus</t>
  </si>
  <si>
    <t>Riboviria;Orthornavirae;Negarnaviricota;Polyploviricotina;Ellioviricetes;Bunyavirales;Hantaviridae;Mammantavirinae;Orthohantavirus;Orthohantavirus necocliense</t>
  </si>
  <si>
    <t>Riboviria;Orthornavirae;Negarnaviricota;Polyploviricotina;Ellioviricetes;Bunyavirales;Hantaviridae;Mammantavirinae;Orthohantavirus;Necocli orthohantavirus</t>
  </si>
  <si>
    <t>Riboviria;Orthornavirae;Negarnaviricota;Polyploviricotina;Ellioviricetes;Bunyavirales;Hantaviridae;Mammantavirinae;Orthohantavirus;Orthohantavirus moroense</t>
  </si>
  <si>
    <t>Riboviria;Orthornavirae;Negarnaviricota;Polyploviricotina;Ellioviricetes;Bunyavirales;Hantaviridae;Mammantavirinae;Orthohantavirus;El Moro Canyon orthohantavirus</t>
  </si>
  <si>
    <t>Riboviria;Orthornavirae;Negarnaviricota;Polyploviricotina;Ellioviricetes;Bunyavirales;Hantaviridae;Mammantavirinae;Orthohantavirus;Orthohantavirus montanoense</t>
  </si>
  <si>
    <t>Riboviria;Orthornavirae;Negarnaviricota;Polyploviricotina;Ellioviricetes;Bunyavirales;Hantaviridae;Mammantavirinae;Orthohantavirus;Montano orthohantavirus</t>
  </si>
  <si>
    <t>Riboviria;Orthornavirae;Negarnaviricota;Polyploviricotina;Ellioviricetes;Bunyavirales;Hantaviridae;Mammantavirinae;Orthohantavirus;Orthohantavirus maporalense</t>
  </si>
  <si>
    <t>Riboviria;Orthornavirae;Negarnaviricota;Polyploviricotina;Ellioviricetes;Bunyavirales;Hantaviridae;Mammantavirinae;Orthohantavirus;Maporal orthohantavirus</t>
  </si>
  <si>
    <t>Riboviria;Orthornavirae;Negarnaviricota;Polyploviricotina;Ellioviricetes;Bunyavirales;Hantaviridae;Mammantavirinae;Orthohantavirus;Orthohantavirus luxiense</t>
  </si>
  <si>
    <t>Riboviria;Orthornavirae;Negarnaviricota;Polyploviricotina;Ellioviricetes;Bunyavirales;Hantaviridae;Mammantavirinae;Orthohantavirus;Luxi orthohantavirus</t>
  </si>
  <si>
    <t>Riboviria;Orthornavirae;Negarnaviricota;Polyploviricotina;Ellioviricetes;Bunyavirales;Hantaviridae;Mammantavirinae;Orthohantavirus;Orthohantavirus khabarovskense</t>
  </si>
  <si>
    <t>Riboviria;Orthornavirae;Negarnaviricota;Polyploviricotina;Ellioviricetes;Bunyavirales;Hantaviridae;Mammantavirinae;Orthohantavirus;Khabarovsk orthohantavirus</t>
  </si>
  <si>
    <t>Riboviria;Orthornavirae;Negarnaviricota;Polyploviricotina;Ellioviricetes;Bunyavirales;Hantaviridae;Mammantavirinae;Orthohantavirus;Orthohantavirus kenkemeense</t>
  </si>
  <si>
    <t>Riboviria;Orthornavirae;Negarnaviricota;Polyploviricotina;Ellioviricetes;Bunyavirales;Hantaviridae;Mammantavirinae;Orthohantavirus;Kenkeme orthohantavirus</t>
  </si>
  <si>
    <t>Riboviria;Orthornavirae;Negarnaviricota;Polyploviricotina;Ellioviricetes;Bunyavirales;Hantaviridae;Mammantavirinae;Orthohantavirus;Orthohantavirus jejuense</t>
  </si>
  <si>
    <t>Riboviria;Orthornavirae;Negarnaviricota;Polyploviricotina;Ellioviricetes;Bunyavirales;Hantaviridae;Mammantavirinae;Orthohantavirus;Jeju orthohantavirus</t>
  </si>
  <si>
    <t>Riboviria;Orthornavirae;Negarnaviricota;Polyploviricotina;Ellioviricetes;Bunyavirales;Hantaviridae;Mammantavirinae;Orthohantavirus;Orthohantavirus hantanense</t>
  </si>
  <si>
    <t>Riboviria;Orthornavirae;Negarnaviricota;Polyploviricotina;Ellioviricetes;Bunyavirales;Hantaviridae;Mammantavirinae;Orthohantavirus;Hantaan orthohantavirus</t>
  </si>
  <si>
    <t>Riboviria;Orthornavirae;Negarnaviricota;Polyploviricotina;Ellioviricetes;Bunyavirales;Hantaviridae;Mammantavirinae;Orthohantavirus;Orthohantavirus fusongense</t>
  </si>
  <si>
    <t>Riboviria;Orthornavirae;Negarnaviricota;Polyploviricotina;Ellioviricetes;Bunyavirales;Hantaviridae;Mammantavirinae;Orthohantavirus;Fusong orthohantavirus</t>
  </si>
  <si>
    <t>Riboviria;Orthornavirae;Negarnaviricota;Polyploviricotina;Ellioviricetes;Bunyavirales;Hantaviridae;Mammantavirinae;Orthohantavirus;Orthohantavirus fugongense</t>
  </si>
  <si>
    <t>Riboviria;Orthornavirae;Negarnaviricota;Polyploviricotina;Ellioviricetes;Bunyavirales;Hantaviridae;Mammantavirinae;Orthohantavirus;Fugong orthohantavirus</t>
  </si>
  <si>
    <t>Riboviria;Orthornavirae;Negarnaviricota;Polyploviricotina;Ellioviricetes;Bunyavirales;Hantaviridae;Mammantavirinae;Orthohantavirus;Orthohantavirus dobravaense</t>
  </si>
  <si>
    <t>Riboviria;Orthornavirae;Negarnaviricota;Polyploviricotina;Ellioviricetes;Bunyavirales;Hantaviridae;Mammantavirinae;Orthohantavirus;Dobrava-Belgrade orthohantavirus</t>
  </si>
  <si>
    <t>Riboviria;Orthornavirae;Negarnaviricota;Polyploviricotina;Ellioviricetes;Bunyavirales;Hantaviridae;Mammantavirinae;Orthohantavirus;Orthohantavirus delgaditoense</t>
  </si>
  <si>
    <t>Riboviria;Orthornavirae;Negarnaviricota;Polyploviricotina;Ellioviricetes;Bunyavirales;Hantaviridae;Mammantavirinae;Orthohantavirus;Cano Delgadito orthohantavirus</t>
  </si>
  <si>
    <t>Riboviria;Orthornavirae;Negarnaviricota;Polyploviricotina;Ellioviricetes;Bunyavirales;Hantaviridae;Mammantavirinae;Orthohantavirus;Orthohantavirus dabieshanense</t>
  </si>
  <si>
    <t>Riboviria;Orthornavirae;Negarnaviricota;Polyploviricotina;Ellioviricetes;Bunyavirales;Hantaviridae;Mammantavirinae;Orthohantavirus;Dabieshan orthohantavirus</t>
  </si>
  <si>
    <t>Riboviria;Orthornavirae;Negarnaviricota;Polyploviricotina;Ellioviricetes;Bunyavirales;Hantaviridae;Mammantavirinae;Orthohantavirus;Orthohantavirus chocloense</t>
  </si>
  <si>
    <t>Riboviria;Orthornavirae;Negarnaviricota;Polyploviricotina;Ellioviricetes;Bunyavirales;Hantaviridae;Mammantavirinae;Orthohantavirus;Choclo orthohantavirus</t>
  </si>
  <si>
    <t>Riboviria;Orthornavirae;Negarnaviricota;Polyploviricotina;Ellioviricetes;Bunyavirales;Hantaviridae;Mammantavirinae;Orthohantavirus;Orthohantavirus caobangense</t>
  </si>
  <si>
    <t>Riboviria;Orthornavirae;Negarnaviricota;Polyploviricotina;Ellioviricetes;Bunyavirales;Hantaviridae;Mammantavirinae;Orthohantavirus;Cao Bang orthohantavirus</t>
  </si>
  <si>
    <t>Riboviria;Orthornavirae;Negarnaviricota;Polyploviricotina;Ellioviricetes;Bunyavirales;Hantaviridae;Mammantavirinae;Orthohantavirus;Orthohantavirus brugesense</t>
  </si>
  <si>
    <t>Riboviria;Orthornavirae;Negarnaviricota;Polyploviricotina;Ellioviricetes;Bunyavirales;Hantaviridae;Mammantavirinae;Orthohantavirus;Bruges orthohantavirus</t>
  </si>
  <si>
    <t>Riboviria;Orthornavirae;Negarnaviricota;Polyploviricotina;Ellioviricetes;Bunyavirales;Hantaviridae;Mammantavirinae;Orthohantavirus;Orthohantavirus boweense</t>
  </si>
  <si>
    <t>Riboviria;Orthornavirae;Negarnaviricota;Polyploviricotina;Ellioviricetes;Bunyavirales;Hantaviridae;Mammantavirinae;Orthohantavirus;Bowe orthohantavirus</t>
  </si>
  <si>
    <t>Riboviria;Orthornavirae;Negarnaviricota;Polyploviricotina;Ellioviricetes;Bunyavirales;Hantaviridae;Mammantavirinae;Orthohantavirus;Orthohantavirus bayoui</t>
  </si>
  <si>
    <t>Riboviria;Orthornavirae;Negarnaviricota;Polyploviricotina;Ellioviricetes;Bunyavirales;Hantaviridae;Mammantavirinae;Orthohantavirus;Bayou orthohantavirus</t>
  </si>
  <si>
    <t>Riboviria;Orthornavirae;Negarnaviricota;Polyploviricotina;Ellioviricetes;Bunyavirales;Hantaviridae;Mammantavirinae;Orthohantavirus;Orthohantavirus asikkalaense</t>
  </si>
  <si>
    <t>Riboviria;Orthornavirae;Negarnaviricota;Polyploviricotina;Ellioviricetes;Bunyavirales;Hantaviridae;Mammantavirinae;Orthohantavirus;Asikkala orthohantavirus</t>
  </si>
  <si>
    <t>Riboviria;Orthornavirae;Negarnaviricota;Polyploviricotina;Ellioviricetes;Bunyavirales;Hantaviridae;Mammantavirinae;Orthohantavirus;Orthohantavirus asamaense</t>
  </si>
  <si>
    <t>Riboviria;Orthornavirae;Negarnaviricota;Polyploviricotina;Ellioviricetes;Bunyavirales;Hantaviridae;Mammantavirinae;Orthohantavirus;Asama orthohantavirus</t>
  </si>
  <si>
    <t>Riboviria;Orthornavirae;Negarnaviricota;Polyploviricotina;Ellioviricetes;Bunyavirales;Hantaviridae;Mammantavirinae;Orthohantavirus;Orthohantavirus andesense</t>
  </si>
  <si>
    <t>Riboviria;Orthornavirae;Negarnaviricota;Polyploviricotina;Ellioviricetes;Bunyavirales;Hantaviridae;Mammantavirinae;Orthohantavirus;Andes orthohantavirus</t>
  </si>
  <si>
    <t>Riboviria;Orthornavirae;Negarnaviricota;Polyploviricotina;Ellioviricetes;Bunyavirales;Hantaviridae;Mammantavirinae;Mobatvirus;Mobatvirus xuansonense</t>
  </si>
  <si>
    <t>Riboviria;Orthornavirae;Negarnaviricota;Polyploviricotina;Ellioviricetes;Bunyavirales;Hantaviridae;Mammantavirinae;Mobatvirus;Xuan Son mobatvirus</t>
  </si>
  <si>
    <t>Riboviria;Orthornavirae;Negarnaviricota;Polyploviricotina;Ellioviricetes;Bunyavirales;Hantaviridae;Mammantavirinae;Mobatvirus;Mobatvirus quezonense</t>
  </si>
  <si>
    <t>Riboviria;Orthornavirae;Negarnaviricota;Polyploviricotina;Ellioviricetes;Bunyavirales;Hantaviridae;Mammantavirinae;Mobatvirus;Quezon mobatvirus</t>
  </si>
  <si>
    <t>Riboviria;Orthornavirae;Negarnaviricota;Polyploviricotina;Ellioviricetes;Bunyavirales;Hantaviridae;Mammantavirinae;Mobatvirus;Mobatvirus novaense</t>
  </si>
  <si>
    <t>Riboviria;Orthornavirae;Negarnaviricota;Polyploviricotina;Ellioviricetes;Bunyavirales;Hantaviridae;Mammantavirinae;Mobatvirus;Nova mobatvirus</t>
  </si>
  <si>
    <t>Riboviria;Orthornavirae;Negarnaviricota;Polyploviricotina;Ellioviricetes;Bunyavirales;Hantaviridae;Mammantavirinae;Mobatvirus;Mobatvirus lenaense</t>
  </si>
  <si>
    <t>Riboviria;Orthornavirae;Negarnaviricota;Polyploviricotina;Ellioviricetes;Bunyavirales;Hantaviridae;Mammantavirinae;Mobatvirus;Lena mobatvirus</t>
  </si>
  <si>
    <t>Riboviria;Orthornavirae;Negarnaviricota;Polyploviricotina;Ellioviricetes;Bunyavirales;Hantaviridae;Mammantavirinae;Mobatvirus;Mobatvirus laibinense</t>
  </si>
  <si>
    <t>Riboviria;Orthornavirae;Negarnaviricota;Polyploviricotina;Ellioviricetes;Bunyavirales;Hantaviridae;Mammantavirinae;Mobatvirus;Laibin mobatvirus</t>
  </si>
  <si>
    <t>Riboviria;Orthornavirae;Negarnaviricota;Polyploviricotina;Ellioviricetes;Bunyavirales;Hantaviridae;Mammantavirinae;Loanvirus;Loanvirus longquanense</t>
  </si>
  <si>
    <t>Riboviria;Orthornavirae;Negarnaviricota;Polyploviricotina;Ellioviricetes;Bunyavirales;Hantaviridae;Mammantavirinae;Loanvirus;Longquan loanvirus</t>
  </si>
  <si>
    <t>Riboviria;Orthornavirae;Negarnaviricota;Polyploviricotina;Ellioviricetes;Bunyavirales;Hantaviridae;Mammantavirinae;Loanvirus;Loanvirus brunaense</t>
  </si>
  <si>
    <t>Riboviria;Orthornavirae;Negarnaviricota;Polyploviricotina;Ellioviricetes;Bunyavirales;Hantaviridae;Mammantavirinae;Loanvirus;Brno loanvirus</t>
  </si>
  <si>
    <t>Riboviria;Orthornavirae;Negarnaviricota;Polyploviricotina;Ellioviricetes;Bunyavirales;Hantaviridae;Agantavirinae;Agnathovirus;Agnathovirus eptatreti</t>
  </si>
  <si>
    <t>Riboviria;Orthornavirae;Negarnaviricota;Polyploviricotina;Ellioviricetes;Bunyavirales;Hantaviridae;Agantavirinae;Agnathovirus;Hagfish agnathovirus</t>
  </si>
  <si>
    <t>Riboviria;Orthornavirae;Negarnaviricota;Polyploviricotina;Ellioviricetes;Bunyavirales;Hantaviridae;Actantavirinae;Actinovirus;Actinovirus triacanthodis</t>
  </si>
  <si>
    <t>Riboviria;Orthornavirae;Negarnaviricota;Polyploviricotina;Ellioviricetes;Bunyavirales;Hantaviridae;Actantavirinae;Actinovirus;Spikefish actinovirus</t>
  </si>
  <si>
    <t>Riboviria;Orthornavirae;Negarnaviricota;Polyploviricotina;Ellioviricetes;Bunyavirales;Hantaviridae;Actantavirinae;Actinovirus;Actinovirus lophii</t>
  </si>
  <si>
    <t>Riboviria;Orthornavirae;Negarnaviricota;Polyploviricotina;Ellioviricetes;Bunyavirales;Hantaviridae;Actantavirinae;Actinovirus;Goosefish actinovirus</t>
  </si>
  <si>
    <t>Riboviria;Orthornavirae;Negarnaviricota;Polyploviricotina;Ellioviricetes;Bunyavirales;Hantaviridae;Actantavirinae;Actinovirus;Actinovirus halieutaeae</t>
  </si>
  <si>
    <t>Riboviria;Orthornavirae;Negarnaviricota;Polyploviricotina;Ellioviricetes;Bunyavirales;Hantaviridae;Actantavirinae;Actinovirus;Batfish actinovirus</t>
  </si>
  <si>
    <t>Riboviria;Orthornavirae;Negarnaviricota;Polyploviricotina;Ellioviricetes;Bunyavirales;Hantaviridae;Actantavirinae;Actinovirus;Actinovirus bernense</t>
  </si>
  <si>
    <t>Riboviria;Orthornavirae;Negarnaviricota;Polyploviricotina;Ellioviricetes;Bunyavirales;Hantaviridae;Actantavirinae;Actinovirus;Perch actinovirus</t>
  </si>
  <si>
    <t>Riboviria;Orthornavirae;Negarnaviricota;Polyploviricotina;Ellioviricetes;Bunyavirales;Arenaviridae;Reptarenavirus;Reptarenavirus rotterdamense</t>
  </si>
  <si>
    <t>Riboviria;Orthornavirae;Negarnaviricota;Polyploviricotina;Ellioviricetes;Bunyavirales;Arenaviridae;Reptarenavirus;Rotterdam reptarenavirus</t>
  </si>
  <si>
    <t>Riboviria;Orthornavirae;Negarnaviricota;Polyploviricotina;Ellioviricetes;Bunyavirales;Arenaviridae;Reptarenavirus;Reptarenavirus giessenae</t>
  </si>
  <si>
    <t>Riboviria;Orthornavirae;Negarnaviricota;Polyploviricotina;Ellioviricetes;Bunyavirales;Arenaviridae;Reptarenavirus;Giessen reptarenavirus</t>
  </si>
  <si>
    <t>Riboviria;Orthornavirae;Negarnaviricota;Polyploviricotina;Ellioviricetes;Bunyavirales;Arenaviridae;Reptarenavirus;Reptarenavirus commune</t>
  </si>
  <si>
    <t>Riboviria;Orthornavirae;Negarnaviricota;Polyploviricotina;Ellioviricetes;Bunyavirales;Arenaviridae;Reptarenavirus;Ordinary reptarenavirus</t>
  </si>
  <si>
    <t>Riboviria;Orthornavirae;Negarnaviricota;Polyploviricotina;Ellioviricetes;Bunyavirales;Arenaviridae;Reptarenavirus;Reptarenavirus californiae</t>
  </si>
  <si>
    <t>Riboviria;Orthornavirae;Negarnaviricota;Polyploviricotina;Ellioviricetes;Bunyavirales;Arenaviridae;Reptarenavirus;California reptarenavirus</t>
  </si>
  <si>
    <t>Riboviria;Orthornavirae;Negarnaviricota;Polyploviricotina;Ellioviricetes;Bunyavirales;Arenaviridae;Reptarenavirus;Reptarenavirus aurei</t>
  </si>
  <si>
    <t>Riboviria;Orthornavirae;Negarnaviricota;Polyploviricotina;Ellioviricetes;Bunyavirales;Arenaviridae;Reptarenavirus;Golden reptarenavirus</t>
  </si>
  <si>
    <t>Riboviria;Orthornavirae;Negarnaviricota;Polyploviricotina;Ellioviricetes;Bunyavirales;Arenaviridae;Mammarenavirus;Mammarenavirus xapuriense</t>
  </si>
  <si>
    <t>Riboviria;Orthornavirae;Negarnaviricota;Polyploviricotina;Ellioviricetes;Bunyavirales;Arenaviridae;Mammarenavirus;Xapuri mammarenavirus</t>
  </si>
  <si>
    <t>Riboviria;Orthornavirae;Negarnaviricota;Polyploviricotina;Ellioviricetes;Bunyavirales;Arenaviridae;Mammarenavirus;Mammarenavirus whitewaterense</t>
  </si>
  <si>
    <t>Riboviria;Orthornavirae;Negarnaviricota;Polyploviricotina;Ellioviricetes;Bunyavirales;Arenaviridae;Mammarenavirus;Whitewater Arroyo mammarenavirus</t>
  </si>
  <si>
    <t>Riboviria;Orthornavirae;Negarnaviricota;Polyploviricotina;Ellioviricetes;Bunyavirales;Arenaviridae;Mammarenavirus;Mammarenavirus wenzhouense</t>
  </si>
  <si>
    <t>Riboviria;Orthornavirae;Negarnaviricota;Polyploviricotina;Ellioviricetes;Bunyavirales;Arenaviridae;Mammarenavirus;Wenzhou mammarenavirus</t>
  </si>
  <si>
    <t>Riboviria;Orthornavirae;Negarnaviricota;Polyploviricotina;Ellioviricetes;Bunyavirales;Arenaviridae;Mammarenavirus;Mammarenavirus tamiamiense</t>
  </si>
  <si>
    <t>Riboviria;Orthornavirae;Negarnaviricota;Polyploviricotina;Ellioviricetes;Bunyavirales;Arenaviridae;Mammarenavirus;Tamiami mammarenavirus</t>
  </si>
  <si>
    <t>Riboviria;Orthornavirae;Negarnaviricota;Polyploviricotina;Ellioviricetes;Bunyavirales;Arenaviridae;Mammarenavirus;Mammarenavirus tacaribeense</t>
  </si>
  <si>
    <t>Riboviria;Orthornavirae;Negarnaviricota;Polyploviricotina;Ellioviricetes;Bunyavirales;Arenaviridae;Mammarenavirus;Tacaribe mammarenavirus</t>
  </si>
  <si>
    <t>Riboviria;Orthornavirae;Negarnaviricota;Polyploviricotina;Ellioviricetes;Bunyavirales;Arenaviridae;Mammarenavirus;Mammarenavirus solweziense</t>
  </si>
  <si>
    <t>Riboviria;Orthornavirae;Negarnaviricota;Polyploviricotina;Ellioviricetes;Bunyavirales;Arenaviridae;Mammarenavirus;Solwezi mammarenavirus</t>
  </si>
  <si>
    <t>Riboviria;Orthornavirae;Negarnaviricota;Polyploviricotina;Ellioviricetes;Bunyavirales;Arenaviridae;Mammarenavirus;Mammarenavirus ryukyuense</t>
  </si>
  <si>
    <t>Riboviria;Orthornavirae;Negarnaviricota;Polyploviricotina;Ellioviricetes;Bunyavirales;Arenaviridae;Mammarenavirus;Ryukyu mammarenavirus</t>
  </si>
  <si>
    <t>Riboviria;Orthornavirae;Negarnaviricota;Polyploviricotina;Ellioviricetes;Bunyavirales;Arenaviridae;Mammarenavirus;Mammarenavirus praomyidis</t>
  </si>
  <si>
    <t>Riboviria;Orthornavirae;Negarnaviricota;Polyploviricotina;Ellioviricetes;Bunyavirales;Arenaviridae;Mammarenavirus;Mobala mammarenavirus</t>
  </si>
  <si>
    <t>Riboviria;Orthornavirae;Negarnaviricota;Polyploviricotina;Ellioviricetes;Bunyavirales;Arenaviridae;Mammarenavirus;Mammarenavirus piritalense</t>
  </si>
  <si>
    <t>Riboviria;Orthornavirae;Negarnaviricota;Polyploviricotina;Ellioviricetes;Bunyavirales;Arenaviridae;Mammarenavirus;Pirital mammarenavirus</t>
  </si>
  <si>
    <t>Riboviria;Orthornavirae;Negarnaviricota;Polyploviricotina;Ellioviricetes;Bunyavirales;Arenaviridae;Mammarenavirus;Mammarenavirus paranaense</t>
  </si>
  <si>
    <t>Riboviria;Orthornavirae;Negarnaviricota;Polyploviricotina;Ellioviricetes;Bunyavirales;Arenaviridae;Mammarenavirus;Paraguayan mammarenavirus</t>
  </si>
  <si>
    <t>Riboviria;Orthornavirae;Negarnaviricota;Polyploviricotina;Ellioviricetes;Bunyavirales;Arenaviridae;Mammarenavirus;Mammarenavirus oliverosense</t>
  </si>
  <si>
    <t>Riboviria;Orthornavirae;Negarnaviricota;Polyploviricotina;Ellioviricetes;Bunyavirales;Arenaviridae;Mammarenavirus;Oliveros mammarenavirus</t>
  </si>
  <si>
    <t>Riboviria;Orthornavirae;Negarnaviricota;Polyploviricotina;Ellioviricetes;Bunyavirales;Arenaviridae;Mammarenavirus;Mammarenavirus okahandjaense</t>
  </si>
  <si>
    <t>Riboviria;Orthornavirae;Negarnaviricota;Polyploviricotina;Ellioviricetes;Bunyavirales;Arenaviridae;Mammarenavirus;Okahandja mammarenavirus</t>
  </si>
  <si>
    <t>Riboviria;Orthornavirae;Negarnaviricota;Polyploviricotina;Ellioviricetes;Bunyavirales;Arenaviridae;Mammarenavirus;Mammarenavirus mopeiaense</t>
  </si>
  <si>
    <t>Riboviria;Orthornavirae;Negarnaviricota;Polyploviricotina;Ellioviricetes;Bunyavirales;Arenaviridae;Mammarenavirus;Mopeia mammarenavirus</t>
  </si>
  <si>
    <t>Riboviria;Orthornavirae;Negarnaviricota;Polyploviricotina;Ellioviricetes;Bunyavirales;Arenaviridae;Mammarenavirus;Mammarenavirus merinoense</t>
  </si>
  <si>
    <t>Riboviria;Orthornavirae;Negarnaviricota;Polyploviricotina;Ellioviricetes;Bunyavirales;Arenaviridae;Mammarenavirus;Merino Walk mammarenavirus</t>
  </si>
  <si>
    <t>Riboviria;Orthornavirae;Negarnaviricota;Polyploviricotina;Ellioviricetes;Bunyavirales;Arenaviridae;Mammarenavirus;Mammarenavirus marientalense</t>
  </si>
  <si>
    <t>Riboviria;Orthornavirae;Negarnaviricota;Polyploviricotina;Ellioviricetes;Bunyavirales;Arenaviridae;Mammarenavirus;Mariental mammarenavirus</t>
  </si>
  <si>
    <t>Riboviria;Orthornavirae;Negarnaviricota;Polyploviricotina;Ellioviricetes;Bunyavirales;Arenaviridae;Mammarenavirus;Mammarenavirus machupoense</t>
  </si>
  <si>
    <t>Riboviria;Orthornavirae;Negarnaviricota;Polyploviricotina;Ellioviricetes;Bunyavirales;Arenaviridae;Mammarenavirus;Machupo mammarenavirus</t>
  </si>
  <si>
    <t>Riboviria;Orthornavirae;Negarnaviricota;Polyploviricotina;Ellioviricetes;Bunyavirales;Arenaviridae;Mammarenavirus;Mammarenavirus lunkense</t>
  </si>
  <si>
    <t>Riboviria;Orthornavirae;Negarnaviricota;Polyploviricotina;Ellioviricetes;Bunyavirales;Arenaviridae;Mammarenavirus;Lunk mammarenavirus</t>
  </si>
  <si>
    <t>Riboviria;Orthornavirae;Negarnaviricota;Polyploviricotina;Ellioviricetes;Bunyavirales;Arenaviridae;Mammarenavirus;Mammarenavirus lunaense</t>
  </si>
  <si>
    <t>Riboviria;Orthornavirae;Negarnaviricota;Polyploviricotina;Ellioviricetes;Bunyavirales;Arenaviridae;Mammarenavirus;Luna mammarenavirus</t>
  </si>
  <si>
    <t>Riboviria;Orthornavirae;Negarnaviricota;Polyploviricotina;Ellioviricetes;Bunyavirales;Arenaviridae;Mammarenavirus;Mammarenavirus lujoense</t>
  </si>
  <si>
    <t>Riboviria;Orthornavirae;Negarnaviricota;Polyploviricotina;Ellioviricetes;Bunyavirales;Arenaviridae;Mammarenavirus;Lujo mammarenavirus</t>
  </si>
  <si>
    <t>Riboviria;Orthornavirae;Negarnaviricota;Polyploviricotina;Ellioviricetes;Bunyavirales;Arenaviridae;Mammarenavirus;Mammarenavirus loeiense</t>
  </si>
  <si>
    <t>Riboviria;Orthornavirae;Negarnaviricota;Polyploviricotina;Ellioviricetes;Bunyavirales;Arenaviridae;Mammarenavirus;Loei River mammarenavirus</t>
  </si>
  <si>
    <t>Riboviria;Orthornavirae;Negarnaviricota;Polyploviricotina;Ellioviricetes;Bunyavirales;Arenaviridae;Mammarenavirus;Mammarenavirus lijiangense</t>
  </si>
  <si>
    <t>Riboviria;Orthornavirae;Negarnaviricota;Polyploviricotina;Ellioviricetes;Bunyavirales;Arenaviridae;Mammarenavirus;Chevrier mammarenavirus</t>
  </si>
  <si>
    <t>Riboviria;Orthornavirae;Negarnaviricota;Polyploviricotina;Ellioviricetes;Bunyavirales;Arenaviridae;Mammarenavirus;Mammarenavirus latinum</t>
  </si>
  <si>
    <t>Riboviria;Orthornavirae;Negarnaviricota;Polyploviricotina;Ellioviricetes;Bunyavirales;Arenaviridae;Mammarenavirus;Latino mammarenavirus</t>
  </si>
  <si>
    <t>Riboviria;Orthornavirae;Negarnaviricota;Polyploviricotina;Ellioviricetes;Bunyavirales;Arenaviridae;Mammarenavirus;Mammarenavirus lassaense</t>
  </si>
  <si>
    <t>Riboviria;Orthornavirae;Negarnaviricota;Polyploviricotina;Ellioviricetes;Bunyavirales;Arenaviridae;Mammarenavirus;Lassa mammarenavirus</t>
  </si>
  <si>
    <t>Riboviria;Orthornavirae;Negarnaviricota;Polyploviricotina;Ellioviricetes;Bunyavirales;Arenaviridae;Mammarenavirus;Mammarenavirus kitaleense</t>
  </si>
  <si>
    <t>Riboviria;Orthornavirae;Negarnaviricota;Polyploviricotina;Ellioviricetes;Bunyavirales;Arenaviridae;Mammarenavirus;Kitale mammarenavirus</t>
  </si>
  <si>
    <t>Riboviria;Orthornavirae;Negarnaviricota;Polyploviricotina;Ellioviricetes;Bunyavirales;Arenaviridae;Mammarenavirus;Mammarenavirus juninense</t>
  </si>
  <si>
    <t>Riboviria;Orthornavirae;Negarnaviricota;Polyploviricotina;Ellioviricetes;Bunyavirales;Arenaviridae;Mammarenavirus;Argentinian mammarenavirus</t>
  </si>
  <si>
    <t>Riboviria;Orthornavirae;Negarnaviricota;Polyploviricotina;Ellioviricetes;Bunyavirales;Arenaviridae;Mammarenavirus;Mammarenavirus ippyense</t>
  </si>
  <si>
    <t>Riboviria;Orthornavirae;Negarnaviricota;Polyploviricotina;Ellioviricetes;Bunyavirales;Arenaviridae;Mammarenavirus;Ippy mammarenavirus</t>
  </si>
  <si>
    <t>Riboviria;Orthornavirae;Negarnaviricota;Polyploviricotina;Ellioviricetes;Bunyavirales;Arenaviridae;Mammarenavirus;Mammarenavirus guanaritoense</t>
  </si>
  <si>
    <t>Riboviria;Orthornavirae;Negarnaviricota;Polyploviricotina;Ellioviricetes;Bunyavirales;Arenaviridae;Mammarenavirus;Guanarito mammarenavirus</t>
  </si>
  <si>
    <t>Riboviria;Orthornavirae;Negarnaviricota;Polyploviricotina;Ellioviricetes;Bunyavirales;Arenaviridae;Mammarenavirus;Mammarenavirus gairoense</t>
  </si>
  <si>
    <t>Riboviria;Orthornavirae;Negarnaviricota;Polyploviricotina;Ellioviricetes;Bunyavirales;Arenaviridae;Mammarenavirus;Gairo mammarenavirus</t>
  </si>
  <si>
    <t>Riboviria;Orthornavirae;Negarnaviricota;Polyploviricotina;Ellioviricetes;Bunyavirales;Arenaviridae;Mammarenavirus;Mammarenavirus flexalense</t>
  </si>
  <si>
    <t>Riboviria;Orthornavirae;Negarnaviricota;Polyploviricotina;Ellioviricetes;Bunyavirales;Arenaviridae;Mammarenavirus;Flexal mammarenavirus</t>
  </si>
  <si>
    <t>Riboviria;Orthornavirae;Negarnaviricota;Polyploviricotina;Ellioviricetes;Bunyavirales;Arenaviridae;Mammarenavirus;Mammarenavirus cupixiense</t>
  </si>
  <si>
    <t>Riboviria;Orthornavirae;Negarnaviricota;Polyploviricotina;Ellioviricetes;Bunyavirales;Arenaviridae;Mammarenavirus;Cupixi mammarenavirus</t>
  </si>
  <si>
    <t>Riboviria;Orthornavirae;Negarnaviricota;Polyploviricotina;Ellioviricetes;Bunyavirales;Arenaviridae;Mammarenavirus;Mammarenavirus choriomeningitidis</t>
  </si>
  <si>
    <t>Riboviria;Orthornavirae;Negarnaviricota;Polyploviricotina;Ellioviricetes;Bunyavirales;Arenaviridae;Mammarenavirus;Lymphocytic choriomeningitis mammarenavirus</t>
  </si>
  <si>
    <t>Riboviria;Orthornavirae;Negarnaviricota;Polyploviricotina;Ellioviricetes;Bunyavirales;Arenaviridae;Mammarenavirus;Mammarenavirus chapareense</t>
  </si>
  <si>
    <t>Riboviria;Orthornavirae;Negarnaviricota;Polyploviricotina;Ellioviricetes;Bunyavirales;Arenaviridae;Mammarenavirus;Chapare mammarenavirus</t>
  </si>
  <si>
    <t>Riboviria;Orthornavirae;Negarnaviricota;Polyploviricotina;Ellioviricetes;Bunyavirales;Arenaviridae;Mammarenavirus;Mammarenavirus cameroonense</t>
  </si>
  <si>
    <t>Riboviria;Orthornavirae;Negarnaviricota;Polyploviricotina;Ellioviricetes;Bunyavirales;Arenaviridae;Mammarenavirus;Souris mammarenavirus</t>
  </si>
  <si>
    <t>Riboviria;Orthornavirae;Negarnaviricota;Polyploviricotina;Ellioviricetes;Bunyavirales;Arenaviridae;Mammarenavirus;Mammarenavirus caliense</t>
  </si>
  <si>
    <t>Riboviria;Orthornavirae;Negarnaviricota;Polyploviricotina;Ellioviricetes;Bunyavirales;Arenaviridae;Mammarenavirus;Cali mammarenavirus</t>
  </si>
  <si>
    <t>Riboviria;Orthornavirae;Negarnaviricota;Polyploviricotina;Ellioviricetes;Bunyavirales;Arenaviridae;Mammarenavirus;Mammarenavirus brazilense</t>
  </si>
  <si>
    <t>Riboviria;Orthornavirae;Negarnaviricota;Polyploviricotina;Ellioviricetes;Bunyavirales;Arenaviridae;Mammarenavirus;Brazilian mammarenavirus</t>
  </si>
  <si>
    <t>Riboviria;Orthornavirae;Negarnaviricota;Polyploviricotina;Ellioviricetes;Bunyavirales;Arenaviridae;Mammarenavirus;Mammarenavirus bearense</t>
  </si>
  <si>
    <t>Riboviria;Orthornavirae;Negarnaviricota;Polyploviricotina;Ellioviricetes;Bunyavirales;Arenaviridae;Mammarenavirus;Bear Canyon mammarenavirus</t>
  </si>
  <si>
    <t>Riboviria;Orthornavirae;Negarnaviricota;Polyploviricotina;Ellioviricetes;Bunyavirales;Arenaviridae;Mammarenavirus;Mammarenavirus aporeense</t>
  </si>
  <si>
    <t>Riboviria;Orthornavirae;Negarnaviricota;Polyploviricotina;Ellioviricetes;Bunyavirales;Arenaviridae;Mammarenavirus;Planalto mammarenavirus</t>
  </si>
  <si>
    <t>Riboviria;Orthornavirae;Negarnaviricota;Polyploviricotina;Ellioviricetes;Bunyavirales;Arenaviridae;Mammarenavirus;Mammarenavirus amapariense</t>
  </si>
  <si>
    <t>Riboviria;Orthornavirae;Negarnaviricota;Polyploviricotina;Ellioviricetes;Bunyavirales;Arenaviridae;Mammarenavirus;Serra do Navio mammarenavirus</t>
  </si>
  <si>
    <t>Riboviria;Orthornavirae;Negarnaviricota;Polyploviricotina;Ellioviricetes;Bunyavirales;Arenaviridae;Mammarenavirus;Mammarenavirus allpahuayoense</t>
  </si>
  <si>
    <t>Riboviria;Orthornavirae;Negarnaviricota;Polyploviricotina;Ellioviricetes;Bunyavirales;Arenaviridae;Mammarenavirus;Allpahuayo mammarenavirus</t>
  </si>
  <si>
    <t>Riboviria;Orthornavirae;Negarnaviricota;Polyploviricotina;Ellioviricetes;Bunyavirales;Arenaviridae;Mammarenavirus;Mammarenavirus alashanense</t>
  </si>
  <si>
    <t>Riboviria;Orthornavirae;Negarnaviricota;Polyploviricotina;Ellioviricetes;Bunyavirales;Arenaviridae;Mammarenavirus;Alxa mammarenavirus</t>
  </si>
  <si>
    <t>Riboviria;Orthornavirae;Negarnaviricota;Polyploviricotina;Ellioviricetes;Bunyavirales;Arenaviridae;Hartmanivirus;Hartmanivirus turici</t>
  </si>
  <si>
    <t>Riboviria;Orthornavirae;Negarnaviricota;Polyploviricotina;Ellioviricetes;Bunyavirales;Arenaviridae;Hartmanivirus;Zurich hartmanivirus</t>
  </si>
  <si>
    <t>Riboviria;Orthornavirae;Negarnaviricota;Polyploviricotina;Ellioviricetes;Bunyavirales;Arenaviridae;Hartmanivirus;Hartmanivirus scholae</t>
  </si>
  <si>
    <t>Riboviria;Orthornavirae;Negarnaviricota;Polyploviricotina;Ellioviricetes;Bunyavirales;Arenaviridae;Hartmanivirus;Schoolhouse hartmanivirus</t>
  </si>
  <si>
    <t>Riboviria;Orthornavirae;Negarnaviricota;Polyploviricotina;Ellioviricetes;Bunyavirales;Arenaviridae;Hartmanivirus;Hartmanivirus patriae</t>
  </si>
  <si>
    <t>Riboviria;Orthornavirae;Negarnaviricota;Polyploviricotina;Ellioviricetes;Bunyavirales;Arenaviridae;Hartmanivirus;Heimat hartmanivirus</t>
  </si>
  <si>
    <t>Riboviria;Orthornavirae;Negarnaviricota;Polyploviricotina;Ellioviricetes;Bunyavirales;Arenaviridae;Hartmanivirus;Hartmanivirus helvetiae</t>
  </si>
  <si>
    <t>Riboviria;Orthornavirae;Negarnaviricota;Polyploviricotina;Ellioviricetes;Bunyavirales;Arenaviridae;Hartmanivirus;Muikkunen hartmanivirus</t>
  </si>
  <si>
    <t>Riboviria;Orthornavirae;Negarnaviricota;Polyploviricotina;Ellioviricetes;Bunyavirales;Arenaviridae;Hartmanivirus;Hartmanivirus haartmani</t>
  </si>
  <si>
    <t>Riboviria;Orthornavirae;Negarnaviricota;Polyploviricotina;Ellioviricetes;Bunyavirales;Arenaviridae;Hartmanivirus;Haartman hartmanivirus</t>
  </si>
  <si>
    <t>Riboviria;Orthornavirae;Negarnaviricota;Polyploviricotina;Ellioviricetes;Bunyavirales;Arenaviridae;Hartmanivirus;Hartmanivirus brazilense</t>
  </si>
  <si>
    <t>Riboviria;Orthornavirae;Negarnaviricota;Polyploviricotina;Ellioviricetes;Bunyavirales;Arenaviridae;Hartmanivirus;Setpatvet hartmanivirus</t>
  </si>
  <si>
    <t>Riboviria;Orthornavirae;Negarnaviricota;Polyploviricotina;Ellioviricetes;Bunyavirales;Arenaviridae;Antennavirus;Antennavirus striale</t>
  </si>
  <si>
    <t>Riboviria;Orthornavirae;Negarnaviricota;Polyploviricotina;Ellioviricetes;Bunyavirales;Arenaviridae;Antennavirus;Striated antennavirus</t>
  </si>
  <si>
    <t>Riboviria;Orthornavirae;Negarnaviricota;Polyploviricotina;Ellioviricetes;Bunyavirales;Arenaviridae;Antennavirus;Antennavirus salmonis</t>
  </si>
  <si>
    <t>Riboviria;Orthornavirae;Negarnaviricota;Polyploviricotina;Ellioviricetes;Bunyavirales;Arenaviridae;Antennavirus;Salmon antennavirus</t>
  </si>
  <si>
    <t>Riboviria;Orthornavirae;Negarnaviricota;Polyploviricotina;Ellioviricetes;Bunyavirales;Arenaviridae;Antennavirus;Antennavirus hirsutum</t>
  </si>
  <si>
    <t>Riboviria;Orthornavirae;Negarnaviricota;Polyploviricotina;Ellioviricetes;Bunyavirales;Arenaviridae;Antennavirus;Hairy antennavirus</t>
  </si>
  <si>
    <t>Riboviria;Orthornavirae;Negarnaviricota;Haploviricotina;Monjiviricetes;Mononegavirales;Pneumoviridae;Orthopneumovirus;Orthopneumovirus muris</t>
  </si>
  <si>
    <t>Riboviria;Orthornavirae;Negarnaviricota;Haploviricotina;Monjiviricetes;Mononegavirales;Pneumoviridae;Orthopneumovirus;Murine orthopneumovirus</t>
  </si>
  <si>
    <t>Riboviria;Orthornavirae;Negarnaviricota;Haploviricotina;Monjiviricetes;Mononegavirales;Pneumoviridae;Orthopneumovirus;Orthopneumovirus hominis</t>
  </si>
  <si>
    <t>Riboviria;Orthornavirae;Negarnaviricota;Haploviricotina;Monjiviricetes;Mononegavirales;Pneumoviridae;Orthopneumovirus;Human orthopneumovirus</t>
  </si>
  <si>
    <t>Riboviria;Orthornavirae;Negarnaviricota;Haploviricotina;Monjiviricetes;Mononegavirales;Pneumoviridae;Orthopneumovirus;Orthopneumovirus bovis</t>
  </si>
  <si>
    <t>Riboviria;Orthornavirae;Negarnaviricota;Haploviricotina;Monjiviricetes;Mononegavirales;Pneumoviridae;Orthopneumovirus;Bovine orthopneumovirus</t>
  </si>
  <si>
    <t>Riboviria;Orthornavirae;Negarnaviricota;Haploviricotina;Monjiviricetes;Mononegavirales;Pneumoviridae;Metapneumovirus;Metapneumovirus hominis</t>
  </si>
  <si>
    <t>Riboviria;Orthornavirae;Negarnaviricota;Haploviricotina;Monjiviricetes;Mononegavirales;Pneumoviridae;Metapneumovirus;Human metapneumovirus</t>
  </si>
  <si>
    <t>Riboviria;Orthornavirae;Negarnaviricota;Haploviricotina;Monjiviricetes;Mononegavirales;Pneumoviridae;Metapneumovirus;Metapneumovirus avis</t>
  </si>
  <si>
    <t>Riboviria;Orthornavirae;Negarnaviricota;Haploviricotina;Monjiviricetes;Mononegavirales;Pneumoviridae;Metapneumovirus;Avian metapneumovirus</t>
  </si>
  <si>
    <t>Riboviria;Orthornavirae;Negarnaviricota;Haploviricotina;Monjiviricetes;Mononegavirales;Paramyxoviridae;Scoliodonvirus;Scoliodonvirus scoliodontis</t>
  </si>
  <si>
    <t>Riboviria;Orthornavirae;Negarnaviricota;Haploviricotina;Monjiviricetes;Mononegavirales;Paramyxoviridae;Scoliodonvirus;Scoliodon scoliodonvirus</t>
  </si>
  <si>
    <t>Riboviria;Orthornavirae;Negarnaviricota;Haploviricotina;Monjiviricetes;Mononegavirales;Paramyxoviridae;Rubulavirinae;Pararubulavirus;Pararubulavirus tiomanense</t>
  </si>
  <si>
    <t>Riboviria;Orthornavirae;Negarnaviricota;Haploviricotina;Monjiviricetes;Mononegavirales;Paramyxoviridae;Rubulavirinae;Pararubulavirus;Tioman pararubulavirus</t>
  </si>
  <si>
    <t>Riboviria;Orthornavirae;Negarnaviricota;Haploviricotina;Monjiviricetes;Mononegavirales;Paramyxoviridae;Rubulavirinae;Pararubulavirus;Pararubulavirus teviotense</t>
  </si>
  <si>
    <t>Riboviria;Orthornavirae;Negarnaviricota;Haploviricotina;Monjiviricetes;Mononegavirales;Paramyxoviridae;Rubulavirinae;Pararubulavirus;Teviot pararubulavirus</t>
  </si>
  <si>
    <t>Riboviria;Orthornavirae;Negarnaviricota;Haploviricotina;Monjiviricetes;Mononegavirales;Paramyxoviridae;Rubulavirinae;Pararubulavirus;Pararubulavirus sosugaense</t>
  </si>
  <si>
    <t>Riboviria;Orthornavirae;Negarnaviricota;Haploviricotina;Monjiviricetes;Mononegavirales;Paramyxoviridae;Rubulavirinae;Pararubulavirus;Sosuga pararubulavirus</t>
  </si>
  <si>
    <t>Riboviria;Orthornavirae;Negarnaviricota;Haploviricotina;Monjiviricetes;Mononegavirales;Paramyxoviridae;Rubulavirinae;Pararubulavirus;Pararubulavirus menangleense</t>
  </si>
  <si>
    <t>Riboviria;Orthornavirae;Negarnaviricota;Haploviricotina;Monjiviricetes;Mononegavirales;Paramyxoviridae;Rubulavirinae;Pararubulavirus;Menangle pararubulavirus</t>
  </si>
  <si>
    <t>Riboviria;Orthornavirae;Negarnaviricota;Haploviricotina;Monjiviricetes;Mononegavirales;Paramyxoviridae;Rubulavirinae;Pararubulavirus;Pararubulavirus hongkongi</t>
  </si>
  <si>
    <t>Riboviria;Orthornavirae;Negarnaviricota;Haploviricotina;Monjiviricetes;Mononegavirales;Paramyxoviridae;Rubulavirinae;Pararubulavirus;Tuhoko pararubulavirus 3</t>
  </si>
  <si>
    <t>Riboviria;Orthornavirae;Negarnaviricota;Haploviricotina;Monjiviricetes;Mononegavirales;Paramyxoviridae;Rubulavirinae;Pararubulavirus;Pararubulavirus herveyense</t>
  </si>
  <si>
    <t>Riboviria;Orthornavirae;Negarnaviricota;Haploviricotina;Monjiviricetes;Mononegavirales;Paramyxoviridae;Rubulavirinae;Pararubulavirus;Hervey pararubulavirus</t>
  </si>
  <si>
    <t>Riboviria;Orthornavirae;Negarnaviricota;Haploviricotina;Monjiviricetes;Mononegavirales;Paramyxoviridae;Rubulavirinae;Pararubulavirus;Pararubulavirus guangdongense</t>
  </si>
  <si>
    <t>Riboviria;Orthornavirae;Negarnaviricota;Haploviricotina;Monjiviricetes;Mononegavirales;Paramyxoviridae;Rubulavirinae;Pararubulavirus;Tuhoko pararubulavirus 1</t>
  </si>
  <si>
    <t>Riboviria;Orthornavirae;Negarnaviricota;Haploviricotina;Monjiviricetes;Mononegavirales;Paramyxoviridae;Rubulavirinae;Pararubulavirus;Pararubulavirus cantonense</t>
  </si>
  <si>
    <t>Riboviria;Orthornavirae;Negarnaviricota;Haploviricotina;Monjiviricetes;Mononegavirales;Paramyxoviridae;Rubulavirinae;Pararubulavirus;Tuhoko pararubulavirus 2</t>
  </si>
  <si>
    <t>Riboviria;Orthornavirae;Negarnaviricota;Haploviricotina;Monjiviricetes;Mononegavirales;Paramyxoviridae;Rubulavirinae;Pararubulavirus;Pararubulavirus achimotaense</t>
  </si>
  <si>
    <t>Riboviria;Orthornavirae;Negarnaviricota;Haploviricotina;Monjiviricetes;Mononegavirales;Paramyxoviridae;Rubulavirinae;Pararubulavirus;Achimota pararubulavirus 1</t>
  </si>
  <si>
    <t>Riboviria;Orthornavirae;Negarnaviricota;Haploviricotina;Monjiviricetes;Mononegavirales;Paramyxoviridae;Rubulavirinae;Pararubulavirus;Pararubulavirus accraense</t>
  </si>
  <si>
    <t>Riboviria;Orthornavirae;Negarnaviricota;Haploviricotina;Monjiviricetes;Mononegavirales;Paramyxoviridae;Rubulavirinae;Pararubulavirus;Achimota pararubulavirus 2</t>
  </si>
  <si>
    <t>Riboviria;Orthornavirae;Negarnaviricota;Haploviricotina;Monjiviricetes;Mononegavirales;Paramyxoviridae;Rubulavirinae;Orthorubulavirus;Orthorubulavirus suis</t>
  </si>
  <si>
    <t>Riboviria;Orthornavirae;Negarnaviricota;Haploviricotina;Monjiviricetes;Mononegavirales;Paramyxoviridae;Rubulavirinae;Orthorubulavirus;Porcine orthorubulavirus</t>
  </si>
  <si>
    <t>Riboviria;Orthornavirae;Negarnaviricota;Haploviricotina;Monjiviricetes;Mononegavirales;Paramyxoviridae;Rubulavirinae;Orthorubulavirus;Orthorubulavirus simiae</t>
  </si>
  <si>
    <t>Riboviria;Orthornavirae;Negarnaviricota;Haploviricotina;Monjiviricetes;Mononegavirales;Paramyxoviridae;Rubulavirinae;Orthorubulavirus;Simian orthorubulavirus</t>
  </si>
  <si>
    <t>Riboviria;Orthornavirae;Negarnaviricota;Haploviricotina;Monjiviricetes;Mononegavirales;Paramyxoviridae;Rubulavirinae;Orthorubulavirus;Orthorubulavirus parotitidis</t>
  </si>
  <si>
    <t>Riboviria;Orthornavirae;Negarnaviricota;Haploviricotina;Monjiviricetes;Mononegavirales;Paramyxoviridae;Rubulavirinae;Orthorubulavirus;Mumps orthorubulavirus</t>
  </si>
  <si>
    <t>Riboviria;Orthornavirae;Negarnaviricota;Haploviricotina;Monjiviricetes;Mononegavirales;Paramyxoviridae;Rubulavirinae;Orthorubulavirus;Orthorubulavirus mapueraense</t>
  </si>
  <si>
    <t>Riboviria;Orthornavirae;Negarnaviricota;Haploviricotina;Monjiviricetes;Mononegavirales;Paramyxoviridae;Rubulavirinae;Orthorubulavirus;Mapuera orthorubulavirus</t>
  </si>
  <si>
    <t>Riboviria;Orthornavirae;Negarnaviricota;Haploviricotina;Monjiviricetes;Mononegavirales;Paramyxoviridae;Rubulavirinae;Orthorubulavirus;Orthorubulavirus mammalis</t>
  </si>
  <si>
    <t>Riboviria;Orthornavirae;Negarnaviricota;Haploviricotina;Monjiviricetes;Mononegavirales;Paramyxoviridae;Rubulavirinae;Orthorubulavirus;Mammalian orthorubulavirus 5</t>
  </si>
  <si>
    <t>Riboviria;Orthornavirae;Negarnaviricota;Haploviricotina;Monjiviricetes;Mononegavirales;Paramyxoviridae;Rubulavirinae;Orthorubulavirus;Orthorubulavirus laryngotracheitidis</t>
  </si>
  <si>
    <t>Riboviria;Orthornavirae;Negarnaviricota;Haploviricotina;Monjiviricetes;Mononegavirales;Paramyxoviridae;Rubulavirinae;Orthorubulavirus;Human orthorubulavirus 2</t>
  </si>
  <si>
    <t>Riboviria;Orthornavirae;Negarnaviricota;Haploviricotina;Monjiviricetes;Mononegavirales;Paramyxoviridae;Rubulavirinae;Orthorubulavirus;Orthorubulavirus hominis</t>
  </si>
  <si>
    <t>Riboviria;Orthornavirae;Negarnaviricota;Haploviricotina;Monjiviricetes;Mononegavirales;Paramyxoviridae;Rubulavirinae;Orthorubulavirus;Human orthorubulavirus 4</t>
  </si>
  <si>
    <t>Riboviria;Orthornavirae;Negarnaviricota;Haploviricotina;Monjiviricetes;Mononegavirales;Paramyxoviridae;Rubulavirinae;Orthorubulavirus;Orthorubulavirus alstonvillense</t>
  </si>
  <si>
    <t>Riboviria;Orthornavirae;Negarnaviricota;Haploviricotina;Monjiviricetes;Mononegavirales;Paramyxoviridae;Rubulavirinae;Orthorubulavirus;Mammalian orthorubulavirus 6</t>
  </si>
  <si>
    <t>Riboviria;Orthornavirae;Negarnaviricota;Haploviricotina;Monjiviricetes;Mononegavirales;Paramyxoviridae;Orthoparamyxovirinae;Salemvirus;Salemvirus salemense</t>
  </si>
  <si>
    <t>Riboviria;Orthornavirae;Negarnaviricota;Haploviricotina;Monjiviricetes;Mononegavirales;Paramyxoviridae;Orthoparamyxovirinae;Salemvirus;Salem salemvirus</t>
  </si>
  <si>
    <t>Riboviria;Orthornavirae;Negarnaviricota;Haploviricotina;Monjiviricetes;Mononegavirales;Paramyxoviridae;Orthoparamyxovirinae;Respirovirus;Respirovirus suis</t>
  </si>
  <si>
    <t>Riboviria;Orthornavirae;Negarnaviricota;Haploviricotina;Monjiviricetes;Mononegavirales;Paramyxoviridae;Orthoparamyxovirinae;Respirovirus;Porcine respirovirus 1</t>
  </si>
  <si>
    <t>Riboviria;Orthornavirae;Negarnaviricota;Haploviricotina;Monjiviricetes;Mononegavirales;Paramyxoviridae;Orthoparamyxovirinae;Respirovirus;Respirovirus ratufae</t>
  </si>
  <si>
    <t>Riboviria;Orthornavirae;Negarnaviricota;Haploviricotina;Monjiviricetes;Mononegavirales;Paramyxoviridae;Orthoparamyxovirinae;Respirovirus;Squirrel respirovirus</t>
  </si>
  <si>
    <t>Riboviria;Orthornavirae;Negarnaviricota;Haploviricotina;Monjiviricetes;Mononegavirales;Paramyxoviridae;Orthoparamyxovirinae;Respirovirus;Respirovirus pneumoniae</t>
  </si>
  <si>
    <t>Riboviria;Orthornavirae;Negarnaviricota;Haploviricotina;Monjiviricetes;Mononegavirales;Paramyxoviridae;Orthoparamyxovirinae;Respirovirus;Human respirovirus 3</t>
  </si>
  <si>
    <t>Riboviria;Orthornavirae;Negarnaviricota;Haploviricotina;Monjiviricetes;Mononegavirales;Paramyxoviridae;Orthoparamyxovirinae;Respirovirus;Respirovirus muris</t>
  </si>
  <si>
    <t>Riboviria;Orthornavirae;Negarnaviricota;Haploviricotina;Monjiviricetes;Mononegavirales;Paramyxoviridae;Orthoparamyxovirinae;Respirovirus;Murine respirovirus</t>
  </si>
  <si>
    <t>Riboviria;Orthornavirae;Negarnaviricota;Haploviricotina;Monjiviricetes;Mononegavirales;Paramyxoviridae;Orthoparamyxovirinae;Respirovirus;Respirovirus laryngotracheitidis</t>
  </si>
  <si>
    <t>Riboviria;Orthornavirae;Negarnaviricota;Haploviricotina;Monjiviricetes;Mononegavirales;Paramyxoviridae;Orthoparamyxovirinae;Respirovirus;Human respirovirus 1</t>
  </si>
  <si>
    <t>Riboviria;Orthornavirae;Negarnaviricota;Haploviricotina;Monjiviricetes;Mononegavirales;Paramyxoviridae;Orthoparamyxovirinae;Respirovirus;Respirovirus caprae</t>
  </si>
  <si>
    <t>Riboviria;Orthornavirae;Negarnaviricota;Haploviricotina;Monjiviricetes;Mononegavirales;Paramyxoviridae;Orthoparamyxovirinae;Respirovirus;Caprine respirovirus 3</t>
  </si>
  <si>
    <t>Riboviria;Orthornavirae;Negarnaviricota;Haploviricotina;Monjiviricetes;Mononegavirales;Paramyxoviridae;Orthoparamyxovirinae;Respirovirus;Respirovirus bovis</t>
  </si>
  <si>
    <t>Riboviria;Orthornavirae;Negarnaviricota;Haploviricotina;Monjiviricetes;Mononegavirales;Paramyxoviridae;Orthoparamyxovirinae;Respirovirus;Bovine respirovirus 3</t>
  </si>
  <si>
    <t>Riboviria;Orthornavirae;Negarnaviricota;Haploviricotina;Monjiviricetes;Mononegavirales;Paramyxoviridae;Orthoparamyxovirinae;Narmovirus;Narmovirus tupaiae</t>
  </si>
  <si>
    <t>Riboviria;Orthornavirae;Negarnaviricota;Haploviricotina;Monjiviricetes;Mononegavirales;Paramyxoviridae;Orthoparamyxovirinae;Narmovirus;Tupaia narmovirus</t>
  </si>
  <si>
    <t>Riboviria;Orthornavirae;Negarnaviricota;Haploviricotina;Monjiviricetes;Mononegavirales;Paramyxoviridae;Orthoparamyxovirinae;Narmovirus;Narmovirus narivaense</t>
  </si>
  <si>
    <t>Riboviria;Orthornavirae;Negarnaviricota;Haploviricotina;Monjiviricetes;Mononegavirales;Paramyxoviridae;Orthoparamyxovirinae;Narmovirus;Nariva narmovirus</t>
  </si>
  <si>
    <t>Riboviria;Orthornavirae;Negarnaviricota;Haploviricotina;Monjiviricetes;Mononegavirales;Paramyxoviridae;Orthoparamyxovirinae;Narmovirus;Narmovirus myodesis</t>
  </si>
  <si>
    <t>Riboviria;Orthornavirae;Negarnaviricota;Haploviricotina;Monjiviricetes;Mononegavirales;Paramyxoviridae;Orthoparamyxovirinae;Narmovirus;Myodes narmovirus</t>
  </si>
  <si>
    <t>Riboviria;Orthornavirae;Negarnaviricota;Haploviricotina;Monjiviricetes;Mononegavirales;Paramyxoviridae;Orthoparamyxovirinae;Narmovirus;Narmovirus mossmanense</t>
  </si>
  <si>
    <t>Riboviria;Orthornavirae;Negarnaviricota;Haploviricotina;Monjiviricetes;Mononegavirales;Paramyxoviridae;Orthoparamyxovirinae;Narmovirus;Mossman narmovirus</t>
  </si>
  <si>
    <t>Riboviria;Orthornavirae;Negarnaviricota;Haploviricotina;Monjiviricetes;Mononegavirales;Paramyxoviridae;Orthoparamyxovirinae;Morbillivirus;Morbillivirus phocae</t>
  </si>
  <si>
    <t>Riboviria;Orthornavirae;Negarnaviricota;Haploviricotina;Monjiviricetes;Mononegavirales;Paramyxoviridae;Orthoparamyxovirinae;Morbillivirus;Phocine morbillivirus</t>
  </si>
  <si>
    <t>Riboviria;Orthornavirae;Negarnaviricota;Haploviricotina;Monjiviricetes;Mononegavirales;Paramyxoviridae;Orthoparamyxovirinae;Morbillivirus;Morbillivirus pecoris</t>
  </si>
  <si>
    <t>Riboviria;Orthornavirae;Negarnaviricota;Haploviricotina;Monjiviricetes;Mononegavirales;Paramyxoviridae;Orthoparamyxovirinae;Morbillivirus;Rinderpest morbillivirus</t>
  </si>
  <si>
    <t>Riboviria;Orthornavirae;Negarnaviricota;Haploviricotina;Monjiviricetes;Mononegavirales;Paramyxoviridae;Orthoparamyxovirinae;Morbillivirus;Morbillivirus hominis</t>
  </si>
  <si>
    <t>Riboviria;Orthornavirae;Negarnaviricota;Haploviricotina;Monjiviricetes;Mononegavirales;Paramyxoviridae;Orthoparamyxovirinae;Morbillivirus;Measles morbillivirus</t>
  </si>
  <si>
    <t>Riboviria;Orthornavirae;Negarnaviricota;Haploviricotina;Monjiviricetes;Mononegavirales;Paramyxoviridae;Orthoparamyxovirinae;Morbillivirus;Morbillivirus felis</t>
  </si>
  <si>
    <t>Riboviria;Orthornavirae;Negarnaviricota;Haploviricotina;Monjiviricetes;Mononegavirales;Paramyxoviridae;Orthoparamyxovirinae;Morbillivirus;Feline morbillivirus</t>
  </si>
  <si>
    <t>Riboviria;Orthornavirae;Negarnaviricota;Haploviricotina;Monjiviricetes;Mononegavirales;Paramyxoviridae;Orthoparamyxovirinae;Morbillivirus;Morbillivirus ceti</t>
  </si>
  <si>
    <t>Riboviria;Orthornavirae;Negarnaviricota;Haploviricotina;Monjiviricetes;Mononegavirales;Paramyxoviridae;Orthoparamyxovirinae;Morbillivirus;Cetacean morbillivirus</t>
  </si>
  <si>
    <t>Riboviria;Orthornavirae;Negarnaviricota;Haploviricotina;Monjiviricetes;Mononegavirales;Paramyxoviridae;Orthoparamyxovirinae;Morbillivirus;Morbillivirus caprinae</t>
  </si>
  <si>
    <t>Riboviria;Orthornavirae;Negarnaviricota;Haploviricotina;Monjiviricetes;Mononegavirales;Paramyxoviridae;Orthoparamyxovirinae;Morbillivirus;Small ruminant morbillivirus</t>
  </si>
  <si>
    <t>Riboviria;Orthornavirae;Negarnaviricota;Haploviricotina;Monjiviricetes;Mononegavirales;Paramyxoviridae;Orthoparamyxovirinae;Morbillivirus;Morbillivirus canis</t>
  </si>
  <si>
    <t>Riboviria;Orthornavirae;Negarnaviricota;Haploviricotina;Monjiviricetes;Mononegavirales;Paramyxoviridae;Orthoparamyxovirinae;Morbillivirus;Canine morbillivirus</t>
  </si>
  <si>
    <t>Riboviria;Orthornavirae;Negarnaviricota;Haploviricotina;Monjiviricetes;Mononegavirales;Paramyxoviridae;Orthoparamyxovirinae;Jeilongvirus;Jeilongvirus tailamense</t>
  </si>
  <si>
    <t>Riboviria;Orthornavirae;Negarnaviricota;Haploviricotina;Monjiviricetes;Mononegavirales;Paramyxoviridae;Orthoparamyxovirinae;Jeilongvirus;Tailam jeilongvirus</t>
  </si>
  <si>
    <t>Riboviria;Orthornavirae;Negarnaviricota;Haploviricotina;Monjiviricetes;Mononegavirales;Paramyxoviridae;Orthoparamyxovirinae;Jeilongvirus;Jeilongvirus queenslandense</t>
  </si>
  <si>
    <t>Riboviria;Orthornavirae;Negarnaviricota;Haploviricotina;Monjiviricetes;Mononegavirales;Paramyxoviridae;Orthoparamyxovirinae;Jeilongvirus;Jun jeilongvirus</t>
  </si>
  <si>
    <t>Riboviria;Orthornavirae;Negarnaviricota;Haploviricotina;Monjiviricetes;Mononegavirales;Paramyxoviridae;Orthoparamyxovirinae;Jeilongvirus;Jeilongvirus myodesis</t>
  </si>
  <si>
    <t>Riboviria;Orthornavirae;Negarnaviricota;Haploviricotina;Monjiviricetes;Mononegavirales;Paramyxoviridae;Orthoparamyxovirinae;Jeilongvirus;Myodes jeilongvirus</t>
  </si>
  <si>
    <t>Riboviria;Orthornavirae;Negarnaviricota;Haploviricotina;Monjiviricetes;Mononegavirales;Paramyxoviridae;Orthoparamyxovirinae;Jeilongvirus;Jeilongvirus miniopteri</t>
  </si>
  <si>
    <t>Riboviria;Orthornavirae;Negarnaviricota;Haploviricotina;Monjiviricetes;Mononegavirales;Paramyxoviridae;Orthoparamyxovirinae;Jeilongvirus;Miniopteran jeilongvirus</t>
  </si>
  <si>
    <t>Riboviria;Orthornavirae;Negarnaviricota;Haploviricotina;Monjiviricetes;Mononegavirales;Paramyxoviridae;Orthoparamyxovirinae;Jeilongvirus;Jeilongvirus mabuense</t>
  </si>
  <si>
    <t>Riboviria;Orthornavirae;Negarnaviricota;Haploviricotina;Monjiviricetes;Mononegavirales;Paramyxoviridae;Orthoparamyxovirinae;Jeilongvirus;Lophuromys jeilongvirus 2</t>
  </si>
  <si>
    <t>Riboviria;Orthornavirae;Negarnaviricota;Haploviricotina;Monjiviricetes;Mononegavirales;Paramyxoviridae;Orthoparamyxovirinae;Jeilongvirus;Jeilongvirus lophuromysis</t>
  </si>
  <si>
    <t>Riboviria;Orthornavirae;Negarnaviricota;Haploviricotina;Monjiviricetes;Mononegavirales;Paramyxoviridae;Orthoparamyxovirinae;Jeilongvirus;Lophuromys jeilongvirus 1</t>
  </si>
  <si>
    <t>Riboviria;Orthornavirae;Negarnaviricota;Haploviricotina;Monjiviricetes;Mononegavirales;Paramyxoviridae;Orthoparamyxovirinae;Jeilongvirus;Jeilongvirus beilongi</t>
  </si>
  <si>
    <t>Riboviria;Orthornavirae;Negarnaviricota;Haploviricotina;Monjiviricetes;Mononegavirales;Paramyxoviridae;Orthoparamyxovirinae;Jeilongvirus;Beilong jeilongvirus</t>
  </si>
  <si>
    <t>Riboviria;Orthornavirae;Negarnaviricota;Haploviricotina;Monjiviricetes;Mononegavirales;Paramyxoviridae;Orthoparamyxovirinae;Henipavirus;Henipavirus nipahense</t>
  </si>
  <si>
    <t>Riboviria;Orthornavirae;Negarnaviricota;Haploviricotina;Monjiviricetes;Mononegavirales;Paramyxoviridae;Orthoparamyxovirinae;Henipavirus;Nipah henipavirus</t>
  </si>
  <si>
    <t>Riboviria;Orthornavirae;Negarnaviricota;Haploviricotina;Monjiviricetes;Mononegavirales;Paramyxoviridae;Orthoparamyxovirinae;Henipavirus;Henipavirus mojiangense</t>
  </si>
  <si>
    <t>Riboviria;Orthornavirae;Negarnaviricota;Haploviricotina;Monjiviricetes;Mononegavirales;Paramyxoviridae;Orthoparamyxovirinae;Henipavirus;Mojiang henipavirus</t>
  </si>
  <si>
    <t>Riboviria;Orthornavirae;Negarnaviricota;Haploviricotina;Monjiviricetes;Mononegavirales;Paramyxoviridae;Orthoparamyxovirinae;Henipavirus;Henipavirus hendraense</t>
  </si>
  <si>
    <t>Riboviria;Orthornavirae;Negarnaviricota;Haploviricotina;Monjiviricetes;Mononegavirales;Paramyxoviridae;Orthoparamyxovirinae;Henipavirus;Hendra henipavirus</t>
  </si>
  <si>
    <t>Riboviria;Orthornavirae;Negarnaviricota;Haploviricotina;Monjiviricetes;Mononegavirales;Paramyxoviridae;Orthoparamyxovirinae;Henipavirus;Henipavirus ghanaense</t>
  </si>
  <si>
    <t>Riboviria;Orthornavirae;Negarnaviricota;Haploviricotina;Monjiviricetes;Mononegavirales;Paramyxoviridae;Orthoparamyxovirinae;Henipavirus;Ghanaian bat henipavirus</t>
  </si>
  <si>
    <t>Riboviria;Orthornavirae;Negarnaviricota;Haploviricotina;Monjiviricetes;Mononegavirales;Paramyxoviridae;Orthoparamyxovirinae;Henipavirus;Henipavirus cedarense</t>
  </si>
  <si>
    <t>Riboviria;Orthornavirae;Negarnaviricota;Haploviricotina;Monjiviricetes;Mononegavirales;Paramyxoviridae;Orthoparamyxovirinae;Henipavirus;Cedar henipavirus</t>
  </si>
  <si>
    <t>Riboviria;Orthornavirae;Negarnaviricota;Haploviricotina;Monjiviricetes;Mononegavirales;Paramyxoviridae;Orthoparamyxovirinae;Ferlavirus;Ferlavirus reptilis</t>
  </si>
  <si>
    <t>Riboviria;Orthornavirae;Negarnaviricota;Haploviricotina;Monjiviricetes;Mononegavirales;Paramyxoviridae;Orthoparamyxovirinae;Ferlavirus;Reptilian ferlavirus</t>
  </si>
  <si>
    <t>Riboviria;Orthornavirae;Negarnaviricota;Haploviricotina;Monjiviricetes;Mononegavirales;Paramyxoviridae;Orthoparamyxovirinae;Aquaparamyxovirus;Aquaparamyxovirus salmonis</t>
  </si>
  <si>
    <t>Riboviria;Orthornavirae;Negarnaviricota;Haploviricotina;Monjiviricetes;Mononegavirales;Paramyxoviridae;Orthoparamyxovirinae;Aquaparamyxovirus;Salmo aquaparamyxovirus</t>
  </si>
  <si>
    <t>Riboviria;Orthornavirae;Negarnaviricota;Haploviricotina;Monjiviricetes;Mononegavirales;Paramyxoviridae;Orthoparamyxovirinae;Aquaparamyxovirus;Aquaparamyxovirus oregonense</t>
  </si>
  <si>
    <t>Riboviria;Orthornavirae;Negarnaviricota;Haploviricotina;Monjiviricetes;Mononegavirales;Paramyxoviridae;Orthoparamyxovirinae;Aquaparamyxovirus;Oncorhynchus aquaparamyxovirus</t>
  </si>
  <si>
    <t>Riboviria;Orthornavirae;Negarnaviricota;Haploviricotina;Monjiviricetes;Mononegavirales;Paramyxoviridae;Metaparamyxovirinae;Synodonvirus;Synodonvirus synodi</t>
  </si>
  <si>
    <t>Riboviria;Orthornavirae;Negarnaviricota;Haploviricotina;Monjiviricetes;Mononegavirales;Paramyxoviridae;Metaparamyxovirinae;Synodonvirus;Synodus synodonvirus</t>
  </si>
  <si>
    <t>Riboviria;Orthornavirae;Negarnaviricota;Haploviricotina;Monjiviricetes;Mononegavirales;Paramyxoviridae;Hoplichthysvirus;Hoplichthysvirus hoplichthysis</t>
  </si>
  <si>
    <t>Riboviria;Orthornavirae;Negarnaviricota;Haploviricotina;Monjiviricetes;Mononegavirales;Paramyxoviridae;Hoplichthysvirus;Hoplichthys hoplichthysvirus</t>
  </si>
  <si>
    <t>Riboviria;Orthornavirae;Negarnaviricota;Haploviricotina;Monjiviricetes;Mononegavirales;Paramyxoviridae;Cynoglossusvirus;Cynoglossusvirus cynoglossi</t>
  </si>
  <si>
    <t>Riboviria;Orthornavirae;Negarnaviricota;Haploviricotina;Monjiviricetes;Mononegavirales;Paramyxoviridae;Cynoglossusvirus;Cynoglossus cynoglossusvirus</t>
  </si>
  <si>
    <t>Riboviria;Orthornavirae;Negarnaviricota;Haploviricotina;Monjiviricetes;Mononegavirales;Paramyxoviridae;Avulavirinae;Paraavulavirus;Paraavulavirus wisconsinense</t>
  </si>
  <si>
    <t>Riboviria;Orthornavirae;Negarnaviricota;Haploviricotina;Monjiviricetes;Mononegavirales;Paramyxoviridae;Avulavirinae;Paraavulavirus;Avian paraavulavirus 3</t>
  </si>
  <si>
    <t>Riboviria;Orthornavirae;Negarnaviricota;Haploviricotina;Monjiviricetes;Mononegavirales;Paramyxoviridae;Avulavirinae;Paraavulavirus;Paraavulavirus hongkongense</t>
  </si>
  <si>
    <t>Riboviria;Orthornavirae;Negarnaviricota;Haploviricotina;Monjiviricetes;Mononegavirales;Paramyxoviridae;Avulavirinae;Paraavulavirus;Avian paraavulavirus 4</t>
  </si>
  <si>
    <t>Riboviria;Orthornavirae;Negarnaviricota;Haploviricotina;Monjiviricetes;Mononegavirales;Paramyxoviridae;Avulavirinae;Orthoavulavirus;Orthoavulavirus upoense</t>
  </si>
  <si>
    <t>Riboviria;Orthornavirae;Negarnaviricota;Haploviricotina;Monjiviricetes;Mononegavirales;Paramyxoviridae;Avulavirinae;Orthoavulavirus;Avian orthoavulavirus 16</t>
  </si>
  <si>
    <t>Riboviria;Orthornavirae;Negarnaviricota;Haploviricotina;Monjiviricetes;Mononegavirales;Paramyxoviridae;Avulavirinae;Orthoavulavirus;Orthoavulavirus oneillense</t>
  </si>
  <si>
    <t>Riboviria;Orthornavirae;Negarnaviricota;Haploviricotina;Monjiviricetes;Mononegavirales;Paramyxoviridae;Avulavirinae;Orthoavulavirus;Avian orthoavulavirus 19</t>
  </si>
  <si>
    <t>Riboviria;Orthornavirae;Negarnaviricota;Haploviricotina;Monjiviricetes;Mononegavirales;Paramyxoviridae;Avulavirinae;Orthoavulavirus;Orthoavulavirus newyorkense</t>
  </si>
  <si>
    <t>Riboviria;Orthornavirae;Negarnaviricota;Haploviricotina;Monjiviricetes;Mononegavirales;Paramyxoviridae;Avulavirinae;Orthoavulavirus;Avian orthoavulavirus 9</t>
  </si>
  <si>
    <t>Riboviria;Orthornavirae;Negarnaviricota;Haploviricotina;Monjiviricetes;Mononegavirales;Paramyxoviridae;Avulavirinae;Orthoavulavirus;Orthoavulavirus koreaense</t>
  </si>
  <si>
    <t>Riboviria;Orthornavirae;Negarnaviricota;Haploviricotina;Monjiviricetes;Mononegavirales;Paramyxoviridae;Avulavirinae;Orthoavulavirus;Avian orthoavulavirus 21</t>
  </si>
  <si>
    <t>Riboviria;Orthornavirae;Negarnaviricota;Haploviricotina;Monjiviricetes;Mononegavirales;Paramyxoviridae;Avulavirinae;Orthoavulavirus;Orthoavulavirus kopaiticense</t>
  </si>
  <si>
    <t>Riboviria;Orthornavirae;Negarnaviricota;Haploviricotina;Monjiviricetes;Mononegavirales;Paramyxoviridae;Avulavirinae;Orthoavulavirus;Avian orthoavulavirus 18</t>
  </si>
  <si>
    <t>Riboviria;Orthornavirae;Negarnaviricota;Haploviricotina;Monjiviricetes;Mononegavirales;Paramyxoviridae;Avulavirinae;Orthoavulavirus;Orthoavulavirus javaense</t>
  </si>
  <si>
    <t>Riboviria;Orthornavirae;Negarnaviricota;Haploviricotina;Monjiviricetes;Mononegavirales;Paramyxoviridae;Avulavirinae;Orthoavulavirus;Avian orthoavulavirus 1</t>
  </si>
  <si>
    <t>Riboviria;Orthornavirae;Negarnaviricota;Haploviricotina;Monjiviricetes;Mononegavirales;Paramyxoviridae;Avulavirinae;Orthoavulavirus;Orthoavulavirus japanense</t>
  </si>
  <si>
    <t>Riboviria;Orthornavirae;Negarnaviricota;Haploviricotina;Monjiviricetes;Mononegavirales;Paramyxoviridae;Avulavirinae;Orthoavulavirus;Avian orthoavulavirus 13</t>
  </si>
  <si>
    <t>Riboviria;Orthornavirae;Negarnaviricota;Haploviricotina;Monjiviricetes;Mononegavirales;Paramyxoviridae;Avulavirinae;Orthoavulavirus;Orthoavulavirus italiense</t>
  </si>
  <si>
    <t>Riboviria;Orthornavirae;Negarnaviricota;Haploviricotina;Monjiviricetes;Mononegavirales;Paramyxoviridae;Avulavirinae;Orthoavulavirus;Avian orthoavulavirus 12</t>
  </si>
  <si>
    <t>Riboviria;Orthornavirae;Negarnaviricota;Haploviricotina;Monjiviricetes;Mononegavirales;Paramyxoviridae;Avulavirinae;Orthoavulavirus;Orthoavulavirus borisense</t>
  </si>
  <si>
    <t>Riboviria;Orthornavirae;Negarnaviricota;Haploviricotina;Monjiviricetes;Mononegavirales;Paramyxoviridae;Avulavirinae;Orthoavulavirus;Avian orthoavulavirus 17</t>
  </si>
  <si>
    <t>Riboviria;Orthornavirae;Negarnaviricota;Haploviricotina;Monjiviricetes;Mononegavirales;Paramyxoviridae;Avulavirinae;Metaavulavirus;Metaavulavirus yucaipaense</t>
  </si>
  <si>
    <t>Riboviria;Orthornavirae;Negarnaviricota;Haploviricotina;Monjiviricetes;Mononegavirales;Paramyxoviridae;Avulavirinae;Metaavulavirus;Avian metaavulavirus 2</t>
  </si>
  <si>
    <t>Riboviria;Orthornavirae;Negarnaviricota;Haploviricotina;Monjiviricetes;Mononegavirales;Paramyxoviridae;Avulavirinae;Metaavulavirus;Metaavulavirus tennessense</t>
  </si>
  <si>
    <t>Riboviria;Orthornavirae;Negarnaviricota;Haploviricotina;Monjiviricetes;Mononegavirales;Paramyxoviridae;Avulavirinae;Metaavulavirus;Avian metaavulavirus 7</t>
  </si>
  <si>
    <t>Riboviria;Orthornavirae;Negarnaviricota;Haploviricotina;Monjiviricetes;Mononegavirales;Paramyxoviridae;Avulavirinae;Metaavulavirus;Metaavulavirus taiwanense</t>
  </si>
  <si>
    <t>Riboviria;Orthornavirae;Negarnaviricota;Haploviricotina;Monjiviricetes;Mononegavirales;Paramyxoviridae;Avulavirinae;Metaavulavirus;Avian metaavulavirus 22</t>
  </si>
  <si>
    <t>Riboviria;Orthornavirae;Negarnaviricota;Haploviricotina;Monjiviricetes;Mononegavirales;Paramyxoviridae;Avulavirinae;Metaavulavirus;Metaavulavirus peixense</t>
  </si>
  <si>
    <t>Riboviria;Orthornavirae;Negarnaviricota;Haploviricotina;Monjiviricetes;Mononegavirales;Paramyxoviridae;Avulavirinae;Metaavulavirus;Avian metaavulavirus 15</t>
  </si>
  <si>
    <t>Riboviria;Orthornavirae;Negarnaviricota;Haploviricotina;Monjiviricetes;Mononegavirales;Paramyxoviridae;Avulavirinae;Metaavulavirus;Metaavulavirus kunitachiense</t>
  </si>
  <si>
    <t>Riboviria;Orthornavirae;Negarnaviricota;Haploviricotina;Monjiviricetes;Mononegavirales;Paramyxoviridae;Avulavirinae;Metaavulavirus;Avian metaavulavirus 5</t>
  </si>
  <si>
    <t>Riboviria;Orthornavirae;Negarnaviricota;Haploviricotina;Monjiviricetes;Mononegavirales;Paramyxoviridae;Avulavirinae;Metaavulavirus;Metaavulavirus kazakhstanense</t>
  </si>
  <si>
    <t>Riboviria;Orthornavirae;Negarnaviricota;Haploviricotina;Monjiviricetes;Mononegavirales;Paramyxoviridae;Avulavirinae;Metaavulavirus;Avian metaavulavirus 20</t>
  </si>
  <si>
    <t>Riboviria;Orthornavirae;Negarnaviricota;Haploviricotina;Monjiviricetes;Mononegavirales;Paramyxoviridae;Avulavirinae;Metaavulavirus;Metaavulavirus japanense</t>
  </si>
  <si>
    <t>Riboviria;Orthornavirae;Negarnaviricota;Haploviricotina;Monjiviricetes;Mononegavirales;Paramyxoviridae;Avulavirinae;Metaavulavirus;Avian metaavulavirus 14</t>
  </si>
  <si>
    <t>Riboviria;Orthornavirae;Negarnaviricota;Haploviricotina;Monjiviricetes;Mononegavirales;Paramyxoviridae;Avulavirinae;Metaavulavirus;Metaavulavirus hongkongense</t>
  </si>
  <si>
    <t>Riboviria;Orthornavirae;Negarnaviricota;Haploviricotina;Monjiviricetes;Mononegavirales;Paramyxoviridae;Avulavirinae;Metaavulavirus;Avian metaavulavirus 6</t>
  </si>
  <si>
    <t>Riboviria;Orthornavirae;Negarnaviricota;Haploviricotina;Monjiviricetes;Mononegavirales;Paramyxoviridae;Avulavirinae;Metaavulavirus;Metaavulavirus galliense</t>
  </si>
  <si>
    <t>Riboviria;Orthornavirae;Negarnaviricota;Haploviricotina;Monjiviricetes;Mononegavirales;Paramyxoviridae;Avulavirinae;Metaavulavirus;Avian metaavulavirus 11</t>
  </si>
  <si>
    <t>Riboviria;Orthornavirae;Negarnaviricota;Haploviricotina;Monjiviricetes;Mononegavirales;Paramyxoviridae;Avulavirinae;Metaavulavirus;Metaavulavirus falklandense</t>
  </si>
  <si>
    <t>Riboviria;Orthornavirae;Negarnaviricota;Haploviricotina;Monjiviricetes;Mononegavirales;Paramyxoviridae;Avulavirinae;Metaavulavirus;Avian metaavulavirus 10</t>
  </si>
  <si>
    <t>Riboviria;Orthornavirae;Negarnaviricota;Haploviricotina;Monjiviricetes;Mononegavirales;Paramyxoviridae;Avulavirinae;Metaavulavirus;Metaavulavirus delawarense</t>
  </si>
  <si>
    <t>Riboviria;Orthornavirae;Negarnaviricota;Haploviricotina;Monjiviricetes;Mononegavirales;Paramyxoviridae;Avulavirinae;Metaavulavirus;Avian metaavulavirus 8</t>
  </si>
  <si>
    <t>Riboviria;Orthornavirae;Negarnaviricota;Haploviricotina;Monjiviricetes;Mononegavirales;Filoviridae;Thamnovirus;Thamnovirus thamnaconi</t>
  </si>
  <si>
    <t>Riboviria;Orthornavirae;Negarnaviricota;Haploviricotina;Monjiviricetes;Mononegavirales;Filoviridae;Thamnovirus;Huangjiao thamnovirus</t>
  </si>
  <si>
    <t>Riboviria;Orthornavirae;Negarnaviricota;Haploviricotina;Monjiviricetes;Mononegavirales;Filoviridae;Striavirus;Striavirus antennarii</t>
  </si>
  <si>
    <t>Riboviria;Orthornavirae;Negarnaviricota;Haploviricotina;Monjiviricetes;Mononegavirales;Filoviridae;Striavirus;Xilang striavirus</t>
  </si>
  <si>
    <t>Riboviria;Orthornavirae;Negarnaviricota;Haploviricotina;Monjiviricetes;Mononegavirales;Filoviridae;Orthomarburgvirus;Orthomarburgvirus marburgense</t>
  </si>
  <si>
    <t>Riboviria;Orthornavirae;Negarnaviricota;Haploviricotina;Monjiviricetes;Mononegavirales;Filoviridae;Marburgvirus;Marburg marburgvirus</t>
  </si>
  <si>
    <t>Riboviria;Orthornavirae;Negarnaviricota;Haploviricotina;Monjiviricetes;Mononegavirales;Filoviridae;Orthoebolavirus;Orthoebolavirus zairense</t>
  </si>
  <si>
    <t>Riboviria;Orthornavirae;Negarnaviricota;Haploviricotina;Monjiviricetes;Mononegavirales;Filoviridae;Ebolavirus;Zaire ebolavirus</t>
  </si>
  <si>
    <t>Riboviria;Orthornavirae;Negarnaviricota;Haploviricotina;Monjiviricetes;Mononegavirales;Filoviridae;Orthoebolavirus;Orthoebolavirus taiense</t>
  </si>
  <si>
    <t>Riboviria;Orthornavirae;Negarnaviricota;Haploviricotina;Monjiviricetes;Mononegavirales;Filoviridae;Ebolavirus;Tai Forest ebolavirus</t>
  </si>
  <si>
    <t>Riboviria;Orthornavirae;Negarnaviricota;Haploviricotina;Monjiviricetes;Mononegavirales;Filoviridae;Orthoebolavirus;Orthoebolavirus sudanense</t>
  </si>
  <si>
    <t>Riboviria;Orthornavirae;Negarnaviricota;Haploviricotina;Monjiviricetes;Mononegavirales;Filoviridae;Ebolavirus;Sudan ebolavirus</t>
  </si>
  <si>
    <t>Riboviria;Orthornavirae;Negarnaviricota;Haploviricotina;Monjiviricetes;Mononegavirales;Filoviridae;Orthoebolavirus;Orthoebolavirus restonense</t>
  </si>
  <si>
    <t>Riboviria;Orthornavirae;Negarnaviricota;Haploviricotina;Monjiviricetes;Mononegavirales;Filoviridae;Ebolavirus;Reston ebolavirus</t>
  </si>
  <si>
    <t>Riboviria;Orthornavirae;Negarnaviricota;Haploviricotina;Monjiviricetes;Mononegavirales;Filoviridae;Orthoebolavirus;Orthoebolavirus bundibugyoense</t>
  </si>
  <si>
    <t>Riboviria;Orthornavirae;Negarnaviricota;Haploviricotina;Monjiviricetes;Mononegavirales;Filoviridae;Ebolavirus;Bundibugyo ebolavirus</t>
  </si>
  <si>
    <t>Riboviria;Orthornavirae;Negarnaviricota;Haploviricotina;Monjiviricetes;Mononegavirales;Filoviridae;Orthoebolavirus;Orthoebolavirus bombaliense</t>
  </si>
  <si>
    <t>Riboviria;Orthornavirae;Negarnaviricota;Haploviricotina;Monjiviricetes;Mononegavirales;Filoviridae;Ebolavirus;Bombali ebolavirus</t>
  </si>
  <si>
    <t>Riboviria;Orthornavirae;Negarnaviricota;Haploviricotina;Monjiviricetes;Mononegavirales;Filoviridae;Dianlovirus;Dianlovirus menglaense</t>
  </si>
  <si>
    <t>Riboviria;Orthornavirae;Negarnaviricota;Haploviricotina;Monjiviricetes;Mononegavirales;Filoviridae;Dianlovirus;Mengla dianlovirus</t>
  </si>
  <si>
    <t>Riboviria;Orthornavirae;Negarnaviricota;Haploviricotina;Monjiviricetes;Mononegavirales;Filoviridae;Cuevavirus;Cuevavirus lloviuense</t>
  </si>
  <si>
    <t>Riboviria;Orthornavirae;Negarnaviricota;Haploviricotina;Monjiviricetes;Mononegavirales;Filoviridae;Cuevavirus;Lloviu cuevavirus</t>
  </si>
  <si>
    <t>Riboviria;Orthornavirae;Kitrinoviricota;Tolucaviricetes;Tolivirales;Tombusviridae;Regressovirinae;Luteovirus;Luteovirus trifolii</t>
  </si>
  <si>
    <t>Riboviria;Orthornavirae;Kitrinoviricota;Tolucaviricetes;Tolivirales;Tombusviridae;Luteovirus;Red clover associated luteovirus</t>
  </si>
  <si>
    <t>Riboviria;Orthornavirae;Kitrinoviricota;Tolucaviricetes;Tolivirales;Tombusviridae;Regressovirinae;Luteovirus;Luteovirus sociomali</t>
  </si>
  <si>
    <t>Riboviria;Orthornavirae;Kitrinoviricota;Tolucaviricetes;Tolivirales;Tombusviridae;Luteovirus;Apple associated luteovirus</t>
  </si>
  <si>
    <t>Riboviria;Orthornavirae;Kitrinoviricota;Tolucaviricetes;Tolivirales;Tombusviridae;Regressovirinae;Luteovirus;Luteovirus rosae</t>
  </si>
  <si>
    <t>Riboviria;Orthornavirae;Kitrinoviricota;Tolucaviricetes;Tolivirales;Tombusviridae;Luteovirus;Rose spring dwarf-associated virus</t>
  </si>
  <si>
    <t>Riboviria;Orthornavirae;Kitrinoviricota;Tolucaviricetes;Tolivirales;Tombusviridae;Regressovirinae;Luteovirus;Luteovirus phaseoli</t>
  </si>
  <si>
    <t>Riboviria;Orthornavirae;Kitrinoviricota;Tolucaviricetes;Tolivirales;Tombusviridae;Luteovirus;Bean leafroll virus</t>
  </si>
  <si>
    <t>Riboviria;Orthornavirae;Kitrinoviricota;Tolucaviricetes;Tolivirales;Tombusviridae;Regressovirinae;Luteovirus;Luteovirus pavhordei</t>
  </si>
  <si>
    <t>Riboviria;Orthornavirae;Kitrinoviricota;Tolucaviricetes;Tolivirales;Tombusviridae;Luteovirus;Barley yellow dwarf virus PAV</t>
  </si>
  <si>
    <t>Riboviria;Orthornavirae;Kitrinoviricota;Tolucaviricetes;Tolivirales;Tombusviridae;Regressovirinae;Luteovirus;Luteovirus pashordei</t>
  </si>
  <si>
    <t>Riboviria;Orthornavirae;Kitrinoviricota;Tolucaviricetes;Tolivirales;Tombusviridae;Luteovirus;Barley yellow dwarf virus PAS</t>
  </si>
  <si>
    <t>Riboviria;Orthornavirae;Kitrinoviricota;Tolucaviricetes;Tolivirales;Tombusviridae;Regressovirinae;Luteovirus;Luteovirus nucipersicae</t>
  </si>
  <si>
    <t>Riboviria;Orthornavirae;Kitrinoviricota;Tolucaviricetes;Tolivirales;Tombusviridae;Luteovirus;Nectarine stem pitting associated virus</t>
  </si>
  <si>
    <t>Riboviria;Orthornavirae;Kitrinoviricota;Tolucaviricetes;Tolivirales;Tombusviridae;Regressovirinae;Luteovirus;Luteovirus mavhordei</t>
  </si>
  <si>
    <t>Riboviria;Orthornavirae;Kitrinoviricota;Tolucaviricetes;Tolivirales;Tombusviridae;Luteovirus;Barley yellow dwarf virus MAV</t>
  </si>
  <si>
    <t>Riboviria;Orthornavirae;Kitrinoviricota;Tolucaviricetes;Tolivirales;Tombusviridae;Regressovirinae;Luteovirus;Luteovirus mali</t>
  </si>
  <si>
    <t>Riboviria;Orthornavirae;Kitrinoviricota;Tolucaviricetes;Tolivirales;Tombusviridae;Luteovirus;Apple luteovirus 1</t>
  </si>
  <si>
    <t>Riboviria;Orthornavirae;Kitrinoviricota;Tolucaviricetes;Tolivirales;Tombusviridae;Regressovirinae;Luteovirus;Luteovirus kertrihordei</t>
  </si>
  <si>
    <t>Riboviria;Orthornavirae;Kitrinoviricota;Tolucaviricetes;Tolivirales;Tombusviridae;Luteovirus;Barley yellow dwarf virus kerIII</t>
  </si>
  <si>
    <t>Riboviria;Orthornavirae;Kitrinoviricota;Tolucaviricetes;Tolivirales;Tombusviridae;Regressovirinae;Luteovirus;Luteovirus kerbihordei</t>
  </si>
  <si>
    <t>Riboviria;Orthornavirae;Kitrinoviricota;Tolucaviricetes;Tolivirales;Tombusviridae;Luteovirus;Barley yellow dwarf virus kerII</t>
  </si>
  <si>
    <t>Riboviria;Orthornavirae;Kitrinoviricota;Tolucaviricetes;Tolivirales;Tombusviridae;Regressovirinae;Luteovirus;Luteovirus glycinis</t>
  </si>
  <si>
    <t>Riboviria;Orthornavirae;Kitrinoviricota;Tolucaviricetes;Tolivirales;Tombusviridae;Luteovirus;Soybean dwarf virus</t>
  </si>
  <si>
    <t>Riboviria;Orthornavirae;Kitrinoviricota;Tolucaviricetes;Tolivirales;Tombusviridae;Regressovirinae;Luteovirus;Luteovirus avii</t>
  </si>
  <si>
    <t>Riboviria;Orthornavirae;Kitrinoviricota;Tolucaviricetes;Tolivirales;Tombusviridae;Luteovirus;Cherry associated luteovirus</t>
  </si>
  <si>
    <t>Riboviria;Orthornavirae;Kitrinoviricota;Tolucaviricetes;Tolivirales;Tombusviridae;Regressovirinae;Dianthovirus;Dianthovirus trifolii</t>
  </si>
  <si>
    <t>Riboviria;Orthornavirae;Kitrinoviricota;Tolucaviricetes;Tolivirales;Tombusviridae;Regressovirinae;Dianthovirus;Red clover necrotic mosaic virus</t>
  </si>
  <si>
    <t>Riboviria;Orthornavirae;Kitrinoviricota;Tolucaviricetes;Tolivirales;Tombusviridae;Regressovirinae;Dianthovirus;Dianthovirus meliloti</t>
  </si>
  <si>
    <t>Riboviria;Orthornavirae;Kitrinoviricota;Tolucaviricetes;Tolivirales;Tombusviridae;Regressovirinae;Dianthovirus;Sweet clover necrotic mosaic virus</t>
  </si>
  <si>
    <t>Riboviria;Orthornavirae;Kitrinoviricota;Tolucaviricetes;Tolivirales;Tombusviridae;Regressovirinae;Dianthovirus;Dianthovirus dianthi</t>
  </si>
  <si>
    <t>Riboviria;Orthornavirae;Kitrinoviricota;Tolucaviricetes;Tolivirales;Tombusviridae;Regressovirinae;Dianthovirus;Carnation ringspot virus</t>
  </si>
  <si>
    <t>Riboviria;Orthornavirae;Kitrinoviricota;Tolucaviricetes;Tolivirales;Tombusviridae;Procedovirinae;Zeavirus;Zeavirus zeae</t>
  </si>
  <si>
    <t>Riboviria;Orthornavirae;Kitrinoviricota;Tolucaviricetes;Tolivirales;Tombusviridae;Procedovirinae;Zeavirus;Maize necrotic streak virus</t>
  </si>
  <si>
    <t>Riboviria;Orthornavirae;Kitrinoviricota;Tolucaviricetes;Tolivirales;Tombusviridae;Procedovirinae;Tombusvirus;Tombusvirus siktefluminis</t>
  </si>
  <si>
    <t>Riboviria;Orthornavirae;Kitrinoviricota;Tolucaviricetes;Tolivirales;Tombusviridae;Procedovirinae;Tombusvirus;Sikte waterborne virus</t>
  </si>
  <si>
    <t>Riboviria;Orthornavirae;Kitrinoviricota;Tolucaviricetes;Tolivirales;Tombusviridae;Procedovirinae;Tombusvirus;Tombusvirus petuniae</t>
  </si>
  <si>
    <t>Riboviria;Orthornavirae;Kitrinoviricota;Tolucaviricetes;Tolivirales;Tombusviridae;Procedovirinae;Tombusvirus;Petunia asteroid mosaic virus</t>
  </si>
  <si>
    <t>Riboviria;Orthornavirae;Kitrinoviricota;Tolucaviricetes;Tolivirales;Tombusviridae;Procedovirinae;Tombusvirus;Tombusvirus pelargonii</t>
  </si>
  <si>
    <t>Riboviria;Orthornavirae;Kitrinoviricota;Tolucaviricetes;Tolivirales;Tombusviridae;Procedovirinae;Tombusvirus;Pelargonium leaf curl virus</t>
  </si>
  <si>
    <t>Riboviria;Orthornavirae;Kitrinoviricota;Tolucaviricetes;Tolivirales;Tombusviridae;Procedovirinae;Tombusvirus;Tombusvirus necropelargonii</t>
  </si>
  <si>
    <t>Riboviria;Orthornavirae;Kitrinoviricota;Tolucaviricetes;Tolivirales;Tombusviridae;Procedovirinae;Tombusvirus;Pelargonium necrotic spot virus</t>
  </si>
  <si>
    <t>Riboviria;Orthornavirae;Kitrinoviricota;Tolucaviricetes;Tolivirales;Tombusviridae;Procedovirinae;Tombusvirus;Tombusvirus neckarfluminis</t>
  </si>
  <si>
    <t>Riboviria;Orthornavirae;Kitrinoviricota;Tolucaviricetes;Tolivirales;Tombusviridae;Procedovirinae;Tombusvirus;Neckar River virus</t>
  </si>
  <si>
    <t>Riboviria;Orthornavirae;Kitrinoviricota;Tolucaviricetes;Tolivirales;Tombusviridae;Procedovirinae;Tombusvirus;Tombusvirus moroccoense</t>
  </si>
  <si>
    <t>Riboviria;Orthornavirae;Kitrinoviricota;Tolucaviricetes;Tolivirales;Tombusviridae;Procedovirinae;Tombusvirus;Moroccan pepper virus</t>
  </si>
  <si>
    <t>Riboviria;Orthornavirae;Kitrinoviricota;Tolucaviricetes;Tolivirales;Tombusviridae;Procedovirinae;Tombusvirus;Tombusvirus melongenae</t>
  </si>
  <si>
    <t>Riboviria;Orthornavirae;Kitrinoviricota;Tolucaviricetes;Tolivirales;Tombusviridae;Procedovirinae;Tombusvirus;Eggplant mottled crinkle virus</t>
  </si>
  <si>
    <t>Riboviria;Orthornavirae;Kitrinoviricota;Tolucaviricetes;Tolivirales;Tombusviridae;Procedovirinae;Tombusvirus;Tombusvirus lycopersici</t>
  </si>
  <si>
    <t>Riboviria;Orthornavirae;Kitrinoviricota;Tolucaviricetes;Tolivirales;Tombusviridae;Procedovirinae;Tombusvirus;Tomato bushy stunt virus</t>
  </si>
  <si>
    <t>Riboviria;Orthornavirae;Kitrinoviricota;Tolucaviricetes;Tolivirales;Tombusviridae;Procedovirinae;Tombusvirus;Tombusvirus limonii</t>
  </si>
  <si>
    <t>Riboviria;Orthornavirae;Kitrinoviricota;Tolucaviricetes;Tolivirales;Tombusviridae;Procedovirinae;Tombusvirus;Limonium flower distortion virus</t>
  </si>
  <si>
    <t>Riboviria;Orthornavirae;Kitrinoviricota;Tolucaviricetes;Tolivirales;Tombusviridae;Procedovirinae;Tombusvirus;Tombusvirus latofluminis</t>
  </si>
  <si>
    <t>Riboviria;Orthornavirae;Kitrinoviricota;Tolucaviricetes;Tolivirales;Tombusviridae;Procedovirinae;Tombusvirus;Lato River virus</t>
  </si>
  <si>
    <t>Riboviria;Orthornavirae;Kitrinoviricota;Tolucaviricetes;Tolivirales;Tombusviridae;Procedovirinae;Tombusvirus;Tombusvirus havelfluminis</t>
  </si>
  <si>
    <t>Riboviria;Orthornavirae;Kitrinoviricota;Tolucaviricetes;Tolivirales;Tombusviridae;Procedovirinae;Tombusvirus;Havel River virus</t>
  </si>
  <si>
    <t>Riboviria;Orthornavirae;Kitrinoviricota;Tolucaviricetes;Tolivirales;Tombusviridae;Procedovirinae;Tombusvirus;Tombusvirus dianthi</t>
  </si>
  <si>
    <t>Riboviria;Orthornavirae;Kitrinoviricota;Tolucaviricetes;Tolivirales;Tombusviridae;Procedovirinae;Tombusvirus;Carnation Italian ringspot virus</t>
  </si>
  <si>
    <t>Riboviria;Orthornavirae;Kitrinoviricota;Tolucaviricetes;Tolivirales;Tombusviridae;Procedovirinae;Tombusvirus;Tombusvirus cynarae</t>
  </si>
  <si>
    <t>Riboviria;Orthornavirae;Kitrinoviricota;Tolucaviricetes;Tolivirales;Tombusviridae;Procedovirinae;Tombusvirus;Artichoke mottled crinkle virus</t>
  </si>
  <si>
    <t>Riboviria;Orthornavirae;Kitrinoviricota;Tolucaviricetes;Tolivirales;Tombusviridae;Procedovirinae;Tombusvirus;Tombusvirus cymbidii</t>
  </si>
  <si>
    <t>Riboviria;Orthornavirae;Kitrinoviricota;Tolucaviricetes;Tolivirales;Tombusviridae;Procedovirinae;Tombusvirus;Cymbidium ringspot virus</t>
  </si>
  <si>
    <t>Riboviria;Orthornavirae;Kitrinoviricota;Tolucaviricetes;Tolivirales;Tombusviridae;Procedovirinae;Tombusvirus;Tombusvirus cucumis</t>
  </si>
  <si>
    <t>Riboviria;Orthornavirae;Kitrinoviricota;Tolucaviricetes;Tolivirales;Tombusviridae;Procedovirinae;Tombusvirus;Cucumber necrosis virus</t>
  </si>
  <si>
    <t>Riboviria;Orthornavirae;Kitrinoviricota;Tolucaviricetes;Tolivirales;Tombusviridae;Procedovirinae;Tombusvirus;Tombusvirus bulgariaense</t>
  </si>
  <si>
    <t>Riboviria;Orthornavirae;Kitrinoviricota;Tolucaviricetes;Tolivirales;Tombusviridae;Procedovirinae;Tombusvirus;Cucumber Bulgarian latent virus</t>
  </si>
  <si>
    <t>Riboviria;Orthornavirae;Kitrinoviricota;Tolucaviricetes;Tolivirales;Tombusviridae;Procedovirinae;Tombusvirus;Tombusvirus algeriaense</t>
  </si>
  <si>
    <t>Riboviria;Orthornavirae;Kitrinoviricota;Tolucaviricetes;Tolivirales;Tombusviridae;Procedovirinae;Tombusvirus;Grapevine Algerian latent virus</t>
  </si>
  <si>
    <t>Riboviria;Orthornavirae;Kitrinoviricota;Tolucaviricetes;Tolivirales;Tombusviridae;Procedovirinae;Pelarspovirus;Pelarspovirus tessellati</t>
  </si>
  <si>
    <t>Riboviria;Orthornavirae;Kitrinoviricota;Tolucaviricetes;Tolivirales;Tombusviridae;Procedovirinae;Pelarspovirus;Jasmine mosaic-associated virus</t>
  </si>
  <si>
    <t>Riboviria;Orthornavirae;Kitrinoviricota;Tolucaviricetes;Tolivirales;Tombusviridae;Procedovirinae;Pelarspovirus;Pelarspovirus sambuci</t>
  </si>
  <si>
    <t>Riboviria;Orthornavirae;Kitrinoviricota;Tolucaviricetes;Tolivirales;Tombusviridae;Procedovirinae;Pelarspovirus;Elderberry latent virus</t>
  </si>
  <si>
    <t>Riboviria;Orthornavirae;Kitrinoviricota;Tolucaviricetes;Tolivirales;Tombusviridae;Procedovirinae;Pelarspovirus;Pelarspovirus rosae</t>
  </si>
  <si>
    <t>Riboviria;Orthornavirae;Kitrinoviricota;Tolucaviricetes;Tolivirales;Tombusviridae;Procedovirinae;Pelarspovirus;Rosa rugosa leaf distortion virus</t>
  </si>
  <si>
    <t>Riboviria;Orthornavirae;Kitrinoviricota;Tolucaviricetes;Tolivirales;Tombusviridae;Procedovirinae;Pelarspovirus;Pelarspovirus lineapelargonii</t>
  </si>
  <si>
    <t>Riboviria;Orthornavirae;Kitrinoviricota;Tolucaviricetes;Tolivirales;Tombusviridae;Procedovirinae;Pelarspovirus;Pelargonium line pattern virus</t>
  </si>
  <si>
    <t>Riboviria;Orthornavirae;Kitrinoviricota;Tolucaviricetes;Tolivirales;Tombusviridae;Procedovirinae;Pelarspovirus;Pelarspovirus jasmini</t>
  </si>
  <si>
    <t>Riboviria;Orthornavirae;Kitrinoviricota;Tolucaviricetes;Tolivirales;Tombusviridae;Procedovirinae;Pelarspovirus;Jasmine virus H</t>
  </si>
  <si>
    <t>Riboviria;Orthornavirae;Kitrinoviricota;Tolucaviricetes;Tolivirales;Tombusviridae;Procedovirinae;Pelarspovirus;Pelarspovirus clematis</t>
  </si>
  <si>
    <t>Riboviria;Orthornavirae;Kitrinoviricota;Tolucaviricetes;Tolivirales;Tombusviridae;Procedovirinae;Pelarspovirus;Clematis chlorotic mottle virus</t>
  </si>
  <si>
    <t>Riboviria;Orthornavirae;Kitrinoviricota;Tolucaviricetes;Tolivirales;Tombusviridae;Procedovirinae;Pelarspovirus;Pelarspovirus chloropelargonii</t>
  </si>
  <si>
    <t>Riboviria;Orthornavirae;Kitrinoviricota;Tolucaviricetes;Tolivirales;Tombusviridae;Procedovirinae;Pelarspovirus;Pelargonium chlorotic ring pattern virus</t>
  </si>
  <si>
    <t>Riboviria;Orthornavirae;Kitrinoviricota;Tolucaviricetes;Tolivirales;Tombusviridae;Procedovirinae;Pelarspovirus;Pelarspovirus anulopelargonii</t>
  </si>
  <si>
    <t>Riboviria;Orthornavirae;Kitrinoviricota;Tolucaviricetes;Tolivirales;Tombusviridae;Procedovirinae;Pelarspovirus;Pelargonium ringspot virus</t>
  </si>
  <si>
    <t>Riboviria;Orthornavirae;Kitrinoviricota;Tolucaviricetes;Tolivirales;Tombusviridae;Procedovirinae;Panicovirus;Panicovirus paspali</t>
  </si>
  <si>
    <t>Riboviria;Orthornavirae;Kitrinoviricota;Tolucaviricetes;Tolivirales;Tombusviridae;Procedovirinae;Panicovirus;Thin paspalum asymptomatic virus</t>
  </si>
  <si>
    <t>Riboviria;Orthornavirae;Kitrinoviricota;Tolucaviricetes;Tolivirales;Tombusviridae;Procedovirinae;Panicovirus;Panicovirus panici</t>
  </si>
  <si>
    <t>Riboviria;Orthornavirae;Kitrinoviricota;Tolucaviricetes;Tolivirales;Tombusviridae;Procedovirinae;Panicovirus;Panicum mosaic virus</t>
  </si>
  <si>
    <t>Riboviria;Orthornavirae;Kitrinoviricota;Tolucaviricetes;Tolivirales;Tombusviridae;Procedovirinae;Panicovirus;Panicovirus dactylis</t>
  </si>
  <si>
    <t>Riboviria;Orthornavirae;Kitrinoviricota;Tolucaviricetes;Tolivirales;Tombusviridae;Procedovirinae;Panicovirus;Cocksfoot mild mosaic virus</t>
  </si>
  <si>
    <t>Riboviria;Orthornavirae;Kitrinoviricota;Tolucaviricetes;Tolivirales;Tombusviridae;Procedovirinae;Machlomovirus;Machlomovirus zeae</t>
  </si>
  <si>
    <t>Riboviria;Orthornavirae;Kitrinoviricota;Tolucaviricetes;Tolivirales;Tombusviridae;Procedovirinae;Machlomovirus;Maize chlorotic mottle virus</t>
  </si>
  <si>
    <t>Riboviria;Orthornavirae;Kitrinoviricota;Tolucaviricetes;Tolivirales;Tombusviridae;Procedovirinae;Macanavirus;Macanavirus furcraeae</t>
  </si>
  <si>
    <t>Riboviria;Orthornavirae;Kitrinoviricota;Tolucaviricetes;Tolivirales;Tombusviridae;Procedovirinae;Macanavirus;Furcraea necrotic streak virus</t>
  </si>
  <si>
    <t>Riboviria;Orthornavirae;Kitrinoviricota;Tolucaviricetes;Tolivirales;Tombusviridae;Procedovirinae;Gammacarmovirus;Gammacarmovirus vignae</t>
  </si>
  <si>
    <t>Riboviria;Orthornavirae;Kitrinoviricota;Tolucaviricetes;Tolivirales;Tombusviridae;Procedovirinae;Gammacarmovirus;Cowpea mottle virus</t>
  </si>
  <si>
    <t>Riboviria;Orthornavirae;Kitrinoviricota;Tolucaviricetes;Tolivirales;Tombusviridae;Procedovirinae;Gammacarmovirus;Gammacarmovirus pisi</t>
  </si>
  <si>
    <t>Riboviria;Orthornavirae;Kitrinoviricota;Tolucaviricetes;Tolivirales;Tombusviridae;Procedovirinae;Gammacarmovirus;Pea stem necrosis virus</t>
  </si>
  <si>
    <t>Riboviria;Orthornavirae;Kitrinoviricota;Tolucaviricetes;Tolivirales;Tombusviridae;Procedovirinae;Gammacarmovirus;Gammacarmovirus melonis</t>
  </si>
  <si>
    <t>Riboviria;Orthornavirae;Kitrinoviricota;Tolucaviricetes;Tolivirales;Tombusviridae;Procedovirinae;Gammacarmovirus;Melon necrotic spot virus</t>
  </si>
  <si>
    <t>Riboviria;Orthornavirae;Kitrinoviricota;Tolucaviricetes;Tolivirales;Tombusviridae;Procedovirinae;Gammacarmovirus;Gammacarmovirus glycinis</t>
  </si>
  <si>
    <t>Riboviria;Orthornavirae;Kitrinoviricota;Tolucaviricetes;Tolivirales;Tombusviridae;Procedovirinae;Gammacarmovirus;Soybean yellow mottle mosaic virus</t>
  </si>
  <si>
    <t>Riboviria;Orthornavirae;Kitrinoviricota;Tolucaviricetes;Tolivirales;Tombusviridae;Procedovirinae;Gallantivirus;Gallantivirus galinsogae</t>
  </si>
  <si>
    <t>Riboviria;Orthornavirae;Kitrinoviricota;Tolucaviricetes;Tolivirales;Tombusviridae;Procedovirinae;Gallantivirus;Galinsoga mosaic virus</t>
  </si>
  <si>
    <t>Riboviria;Orthornavirae;Kitrinoviricota;Tolucaviricetes;Tolivirales;Tombusviridae;Procedovirinae;Betanecrovirus;Betanecrovirus porri</t>
  </si>
  <si>
    <t>Riboviria;Orthornavirae;Kitrinoviricota;Tolucaviricetes;Tolivirales;Tombusviridae;Procedovirinae;Betanecrovirus;Leek white stripe virus</t>
  </si>
  <si>
    <t>Riboviria;Orthornavirae;Kitrinoviricota;Tolucaviricetes;Tolivirales;Tombusviridae;Procedovirinae;Betanecrovirus;Betanecrovirus nicotianae</t>
  </si>
  <si>
    <t>Riboviria;Orthornavirae;Kitrinoviricota;Tolucaviricetes;Tolivirales;Tombusviridae;Procedovirinae;Betanecrovirus;Tobacco necrosis virus D</t>
  </si>
  <si>
    <t>Riboviria;Orthornavirae;Kitrinoviricota;Tolucaviricetes;Tolivirales;Tombusviridae;Procedovirinae;Betanecrovirus;Betanecrovirus betae</t>
  </si>
  <si>
    <t>Riboviria;Orthornavirae;Kitrinoviricota;Tolucaviricetes;Tolivirales;Tombusviridae;Procedovirinae;Betanecrovirus;Beet black scorch virus</t>
  </si>
  <si>
    <t>Riboviria;Orthornavirae;Kitrinoviricota;Tolucaviricetes;Tolivirales;Tombusviridae;Procedovirinae;Betacarmovirus;Betacarmovirus iridis</t>
  </si>
  <si>
    <t>Riboviria;Orthornavirae;Kitrinoviricota;Tolucaviricetes;Tolivirales;Tombusviridae;Procedovirinae;Betacarmovirus;Japanese iris necrotic ring virus</t>
  </si>
  <si>
    <t>Riboviria;Orthornavirae;Kitrinoviricota;Tolucaviricetes;Tolivirales;Tombusviridae;Procedovirinae;Betacarmovirus;Betacarmovirus hibisci</t>
  </si>
  <si>
    <t>Riboviria;Orthornavirae;Kitrinoviricota;Tolucaviricetes;Tolivirales;Tombusviridae;Procedovirinae;Betacarmovirus;Hibiscus chlorotic ringspot virus</t>
  </si>
  <si>
    <t>Riboviria;Orthornavirae;Kitrinoviricota;Tolucaviricetes;Tolivirales;Tombusviridae;Procedovirinae;Betacarmovirus;Betacarmovirus cardaminis</t>
  </si>
  <si>
    <t>Riboviria;Orthornavirae;Kitrinoviricota;Tolucaviricetes;Tolivirales;Tombusviridae;Procedovirinae;Betacarmovirus;Cardamine chlorotic fleck virus</t>
  </si>
  <si>
    <t>Riboviria;Orthornavirae;Kitrinoviricota;Tolucaviricetes;Tolivirales;Tombusviridae;Procedovirinae;Betacarmovirus;Betacarmovirus brassicae</t>
  </si>
  <si>
    <t>Riboviria;Orthornavirae;Kitrinoviricota;Tolucaviricetes;Tolivirales;Tombusviridae;Procedovirinae;Betacarmovirus;Turnip crinkle virus</t>
  </si>
  <si>
    <t>Riboviria;Orthornavirae;Kitrinoviricota;Tolucaviricetes;Tolivirales;Tombusviridae;Procedovirinae;Avenavirus;Avenavirus avenae</t>
  </si>
  <si>
    <t>Riboviria;Orthornavirae;Kitrinoviricota;Tolucaviricetes;Tolivirales;Tombusviridae;Procedovirinae;Avenavirus;Oat chlorotic stunt virus</t>
  </si>
  <si>
    <t>Riboviria;Orthornavirae;Kitrinoviricota;Tolucaviricetes;Tolivirales;Tombusviridae;Procedovirinae;Aureusvirus;Aureusvirus zeae</t>
  </si>
  <si>
    <t>Riboviria;Orthornavirae;Kitrinoviricota;Tolucaviricetes;Tolivirales;Tombusviridae;Procedovirinae;Aureusvirus;Maize white line mosaic virus</t>
  </si>
  <si>
    <t>Riboviria;Orthornavirae;Kitrinoviricota;Tolucaviricetes;Tolivirales;Tombusviridae;Procedovirinae;Aureusvirus;Aureusvirus sorghi</t>
  </si>
  <si>
    <t>Riboviria;Orthornavirae;Kitrinoviricota;Tolucaviricetes;Tolivirales;Tombusviridae;Procedovirinae;Aureusvirus;Johnsongrass chlorotic stripe mosaic virus</t>
  </si>
  <si>
    <t>Riboviria;Orthornavirae;Kitrinoviricota;Tolucaviricetes;Tolivirales;Tombusviridae;Procedovirinae;Aureusvirus;Aureusvirus sambuci</t>
  </si>
  <si>
    <t>Riboviria;Orthornavirae;Kitrinoviricota;Tolucaviricetes;Tolivirales;Tombusviridae;Procedovirinae;Aureusvirus;Elderberry aureusvirus 1</t>
  </si>
  <si>
    <t>Riboviria;Orthornavirae;Kitrinoviricota;Tolucaviricetes;Tolivirales;Tombusviridae;Procedovirinae;Aureusvirus;Aureusvirus dioscoreae</t>
  </si>
  <si>
    <t>Riboviria;Orthornavirae;Kitrinoviricota;Tolucaviricetes;Tolivirales;Tombusviridae;Procedovirinae;Aureusvirus;Yam spherical virus</t>
  </si>
  <si>
    <t>Riboviria;Orthornavirae;Kitrinoviricota;Tolucaviricetes;Tolivirales;Tombusviridae;Procedovirinae;Aureusvirus;Aureusvirus cucumis</t>
  </si>
  <si>
    <t>Riboviria;Orthornavirae;Kitrinoviricota;Tolucaviricetes;Tolivirales;Tombusviridae;Procedovirinae;Aureusvirus;Cucumber leaf spot virus</t>
  </si>
  <si>
    <t>Riboviria;Orthornavirae;Kitrinoviricota;Tolucaviricetes;Tolivirales;Tombusviridae;Procedovirinae;Aureusvirus;Aureusvirus aurei</t>
  </si>
  <si>
    <t>Riboviria;Orthornavirae;Kitrinoviricota;Tolucaviricetes;Tolivirales;Tombusviridae;Procedovirinae;Aureusvirus;Pothos latent virus</t>
  </si>
  <si>
    <t>Riboviria;Orthornavirae;Kitrinoviricota;Tolucaviricetes;Tolivirales;Tombusviridae;Procedovirinae;Alphanecrovirus;Alphanecrovirus tessellati</t>
  </si>
  <si>
    <t>Riboviria;Orthornavirae;Kitrinoviricota;Tolucaviricetes;Tolivirales;Tombusviridae;Procedovirinae;Alphanecrovirus;Olive mild mosaic virus</t>
  </si>
  <si>
    <t>Riboviria;Orthornavirae;Kitrinoviricota;Tolucaviricetes;Tolivirales;Tombusviridae;Procedovirinae;Alphanecrovirus;Alphanecrovirus solani</t>
  </si>
  <si>
    <t>Riboviria;Orthornavirae;Kitrinoviricota;Tolucaviricetes;Tolivirales;Tombusviridae;Procedovirinae;Alphanecrovirus;Potato necrosis virus</t>
  </si>
  <si>
    <t>Riboviria;Orthornavirae;Kitrinoviricota;Tolucaviricetes;Tolivirales;Tombusviridae;Procedovirinae;Alphanecrovirus;Alphanecrovirus oleae</t>
  </si>
  <si>
    <t>Riboviria;Orthornavirae;Kitrinoviricota;Tolucaviricetes;Tolivirales;Tombusviridae;Procedovirinae;Alphanecrovirus;Olive latent virus 1</t>
  </si>
  <si>
    <t>Riboviria;Orthornavirae;Kitrinoviricota;Tolucaviricetes;Tolivirales;Tombusviridae;Procedovirinae;Alphanecrovirus;Alphanecrovirus nicotianae</t>
  </si>
  <si>
    <t>Riboviria;Orthornavirae;Kitrinoviricota;Tolucaviricetes;Tolivirales;Tombusviridae;Procedovirinae;Alphanecrovirus;Tobacco necrosis virus A</t>
  </si>
  <si>
    <t>Riboviria;Orthornavirae;Kitrinoviricota;Tolucaviricetes;Tolivirales;Tombusviridae;Procedovirinae;Alphacarmovirus;Alphacarmovirus pelargonii</t>
  </si>
  <si>
    <t>Riboviria;Orthornavirae;Kitrinoviricota;Tolucaviricetes;Tolivirales;Tombusviridae;Procedovirinae;Alphacarmovirus;Pelargonium flower break virus</t>
  </si>
  <si>
    <t>Riboviria;Orthornavirae;Kitrinoviricota;Tolucaviricetes;Tolivirales;Tombusviridae;Procedovirinae;Alphacarmovirus;Alphacarmovirus lupini</t>
  </si>
  <si>
    <t>Riboviria;Orthornavirae;Kitrinoviricota;Tolucaviricetes;Tolivirales;Tombusviridae;Procedovirinae;Alphacarmovirus;Nootka lupine vein clearing virus</t>
  </si>
  <si>
    <t>Riboviria;Orthornavirae;Kitrinoviricota;Tolucaviricetes;Tolivirales;Tombusviridae;Procedovirinae;Alphacarmovirus;Alphacarmovirus lonicerae</t>
  </si>
  <si>
    <t>Riboviria;Orthornavirae;Kitrinoviricota;Tolucaviricetes;Tolivirales;Tombusviridae;Procedovirinae;Alphacarmovirus;Honeysuckle ringspot virus</t>
  </si>
  <si>
    <t>Riboviria;Orthornavirae;Kitrinoviricota;Tolucaviricetes;Tolivirales;Tombusviridae;Procedovirinae;Alphacarmovirus;Alphacarmovirus dianthi</t>
  </si>
  <si>
    <t>Riboviria;Orthornavirae;Kitrinoviricota;Tolucaviricetes;Tolivirales;Tombusviridae;Procedovirinae;Alphacarmovirus;Carnation mottle virus</t>
  </si>
  <si>
    <t>Riboviria;Orthornavirae;Kitrinoviricota;Tolucaviricetes;Tolivirales;Tombusviridae;Procedovirinae;Alphacarmovirus;Alphacarmovirus calibrachoae</t>
  </si>
  <si>
    <t>Riboviria;Orthornavirae;Kitrinoviricota;Tolucaviricetes;Tolivirales;Tombusviridae;Procedovirinae;Alphacarmovirus;Calibrachoa mottle virus</t>
  </si>
  <si>
    <t>Riboviria;Orthornavirae;Kitrinoviricota;Tolucaviricetes;Tolivirales;Tombusviridae;Procedovirinae;Alphacarmovirus;Alphacarmovirus cacti</t>
  </si>
  <si>
    <t>Riboviria;Orthornavirae;Kitrinoviricota;Tolucaviricetes;Tolivirales;Tombusviridae;Procedovirinae;Alphacarmovirus;Saguaro cactus virus</t>
  </si>
  <si>
    <t>Riboviria;Orthornavirae;Kitrinoviricota;Tolucaviricetes;Tolivirales;Tombusviridae;Procedovirinae;Alphacarmovirus;Alphacarmovirus angeloniae</t>
  </si>
  <si>
    <t>Riboviria;Orthornavirae;Kitrinoviricota;Tolucaviricetes;Tolivirales;Tombusviridae;Procedovirinae;Alphacarmovirus;Angelonia flower break virus</t>
  </si>
  <si>
    <t>Riboviria;Orthornavirae;Kitrinoviricota;Tolucaviricetes;Tolivirales;Tombusviridae;Procedovirinae;Alphacarmovirus;Alphacarmovirus adonis</t>
  </si>
  <si>
    <t>Riboviria;Orthornavirae;Kitrinoviricota;Tolucaviricetes;Tolivirales;Tombusviridae;Procedovirinae;Alphacarmovirus;Adonis mosaic virus</t>
  </si>
  <si>
    <t>Riboviria;Orthornavirae;Kitrinoviricota;Tolucaviricetes;Tolivirales;Tombusviridae;Calvusvirinae;Umbravirus;Umbravirus pisi</t>
  </si>
  <si>
    <t>Riboviria;Orthornavirae;Kitrinoviricota;Tolucaviricetes;Tolivirales;Tombusviridae;Calvusvirinae;Umbravirus;Pea enation mosaic virus 2</t>
  </si>
  <si>
    <t>Riboviria;Orthornavirae;Kitrinoviricota;Tolucaviricetes;Tolivirales;Tombusviridae;Calvusvirinae;Umbravirus;Umbravirus patriniae</t>
  </si>
  <si>
    <t>Riboviria;Orthornavirae;Kitrinoviricota;Tolucaviricetes;Tolivirales;Tombusviridae;Calvusvirinae;Umbravirus;Patrinia mild mottle virus</t>
  </si>
  <si>
    <t>Riboviria;Orthornavirae;Kitrinoviricota;Tolucaviricetes;Tolivirales;Tombusviridae;Calvusvirinae;Umbravirus;Umbravirus papaveri</t>
  </si>
  <si>
    <t>Riboviria;Orthornavirae;Kitrinoviricota;Tolucaviricetes;Tolivirales;Tombusviridae;Calvusvirinae;Umbravirus;Opium poppy mosaic virus</t>
  </si>
  <si>
    <t>Riboviria;Orthornavirae;Kitrinoviricota;Tolucaviricetes;Tolivirales;Tombusviridae;Calvusvirinae;Umbravirus;Umbravirus nicotianae</t>
  </si>
  <si>
    <t>Riboviria;Orthornavirae;Kitrinoviricota;Tolucaviricetes;Tolivirales;Tombusviridae;Calvusvirinae;Umbravirus;Tobacco bushy top virus</t>
  </si>
  <si>
    <t>Riboviria;Orthornavirae;Kitrinoviricota;Tolucaviricetes;Tolivirales;Tombusviridae;Calvusvirinae;Umbravirus;Umbravirus maculae</t>
  </si>
  <si>
    <t>Riboviria;Orthornavirae;Kitrinoviricota;Tolucaviricetes;Tolivirales;Tombusviridae;Calvusvirinae;Umbravirus;Tobacco mottle virus</t>
  </si>
  <si>
    <t>Riboviria;Orthornavirae;Kitrinoviricota;Tolucaviricetes;Tolivirales;Tombusviridae;Calvusvirinae;Umbravirus;Umbravirus maculacarotae</t>
  </si>
  <si>
    <t>Riboviria;Orthornavirae;Kitrinoviricota;Tolucaviricetes;Tolivirales;Tombusviridae;Calvusvirinae;Umbravirus;Carrot mottle virus</t>
  </si>
  <si>
    <t>Riboviria;Orthornavirae;Kitrinoviricota;Tolucaviricetes;Tolivirales;Tombusviridae;Calvusvirinae;Umbravirus;Umbravirus lactucae</t>
  </si>
  <si>
    <t>Riboviria;Orthornavirae;Kitrinoviricota;Tolucaviricetes;Tolivirales;Tombusviridae;Calvusvirinae;Umbravirus;Lettuce speckles mottle virus</t>
  </si>
  <si>
    <t>Riboviria;Orthornavirae;Kitrinoviricota;Tolucaviricetes;Tolivirales;Tombusviridae;Calvusvirinae;Umbravirus;Umbravirus ixeridii</t>
  </si>
  <si>
    <t>Riboviria;Orthornavirae;Kitrinoviricota;Tolucaviricetes;Tolivirales;Tombusviridae;Calvusvirinae;Umbravirus;Ixeridium yellow mottle virus 2</t>
  </si>
  <si>
    <t>Riboviria;Orthornavirae;Kitrinoviricota;Tolucaviricetes;Tolivirales;Tombusviridae;Calvusvirinae;Umbravirus;Umbravirus ethiopiaense</t>
  </si>
  <si>
    <t>Riboviria;Orthornavirae;Kitrinoviricota;Tolucaviricetes;Tolivirales;Tombusviridae;Calvusvirinae;Umbravirus;Ethiopian tobacco bushy top virus</t>
  </si>
  <si>
    <t>Riboviria;Orthornavirae;Kitrinoviricota;Tolucaviricetes;Tolivirales;Tombusviridae;Calvusvirinae;Umbravirus;Umbravirus carotae</t>
  </si>
  <si>
    <t>Riboviria;Orthornavirae;Kitrinoviricota;Tolucaviricetes;Tolivirales;Tombusviridae;Calvusvirinae;Umbravirus;Carrot mottle mimic virus</t>
  </si>
  <si>
    <t>Riboviria;Orthornavirae;Kitrinoviricota;Tolucaviricetes;Tolivirales;Tombusviridae;Calvusvirinae;Umbravirus;Umbravirus arachidis</t>
  </si>
  <si>
    <t>Riboviria;Orthornavirae;Kitrinoviricota;Tolucaviricetes;Tolivirales;Tombusviridae;Calvusvirinae;Umbravirus;Groundnut rosette virus</t>
  </si>
  <si>
    <t>Riboviria;Orthornavirae;Kitrinoviricota;Flasuviricetes;Amarillovirales;Flaviviridae;Pestivirus;Pestivirus tauri</t>
  </si>
  <si>
    <t>Riboviria;Orthornavirae;Kitrinoviricota;Flasuviricetes;Amarillovirales;Flaviviridae;Pestivirus;Pestivirus B</t>
  </si>
  <si>
    <t>Riboviria;Orthornavirae;Kitrinoviricota;Flasuviricetes;Amarillovirales;Flaviviridae;Pestivirus;Pestivirus suis</t>
  </si>
  <si>
    <t>Riboviria;Orthornavirae;Kitrinoviricota;Flasuviricetes;Amarillovirales;Flaviviridae;Pestivirus;Pestivirus C</t>
  </si>
  <si>
    <t>Riboviria;Orthornavirae;Kitrinoviricota;Flasuviricetes;Amarillovirales;Flaviviridae;Pestivirus;Pestivirus scrofae</t>
  </si>
  <si>
    <t>Riboviria;Orthornavirae;Kitrinoviricota;Flasuviricetes;Amarillovirales;Flaviviridae;Pestivirus;Pestivirus K</t>
  </si>
  <si>
    <t>Riboviria;Orthornavirae;Kitrinoviricota;Flasuviricetes;Amarillovirales;Flaviviridae;Pestivirus;Pestivirus ratti</t>
  </si>
  <si>
    <t>Riboviria;Orthornavirae;Kitrinoviricota;Flasuviricetes;Amarillovirales;Flaviviridae;Pestivirus;Pestivirus J</t>
  </si>
  <si>
    <t>Riboviria;Orthornavirae;Kitrinoviricota;Flasuviricetes;Amarillovirales;Flaviviridae;Pestivirus;Pestivirus ovis</t>
  </si>
  <si>
    <t>Riboviria;Orthornavirae;Kitrinoviricota;Flasuviricetes;Amarillovirales;Flaviviridae;Pestivirus;Pestivirus D</t>
  </si>
  <si>
    <t>Riboviria;Orthornavirae;Kitrinoviricota;Flasuviricetes;Amarillovirales;Flaviviridae;Pestivirus;Pestivirus giraffae</t>
  </si>
  <si>
    <t>Riboviria;Orthornavirae;Kitrinoviricota;Flasuviricetes;Amarillovirales;Flaviviridae;Pestivirus;Pestivirus G</t>
  </si>
  <si>
    <t>Riboviria;Orthornavirae;Kitrinoviricota;Flasuviricetes;Amarillovirales;Flaviviridae;Pestivirus;Pestivirus brazilense</t>
  </si>
  <si>
    <t>Riboviria;Orthornavirae;Kitrinoviricota;Flasuviricetes;Amarillovirales;Flaviviridae;Pestivirus;Pestivirus H</t>
  </si>
  <si>
    <t>Riboviria;Orthornavirae;Kitrinoviricota;Flasuviricetes;Amarillovirales;Flaviviridae;Pestivirus;Pestivirus bovis</t>
  </si>
  <si>
    <t>Riboviria;Orthornavirae;Kitrinoviricota;Flasuviricetes;Amarillovirales;Flaviviridae;Pestivirus;Pestivirus A</t>
  </si>
  <si>
    <t>Riboviria;Orthornavirae;Kitrinoviricota;Flasuviricetes;Amarillovirales;Flaviviridae;Pestivirus;Pestivirus aydinense</t>
  </si>
  <si>
    <t>Riboviria;Orthornavirae;Kitrinoviricota;Flasuviricetes;Amarillovirales;Flaviviridae;Pestivirus;Pestivirus I</t>
  </si>
  <si>
    <t>Riboviria;Orthornavirae;Kitrinoviricota;Flasuviricetes;Amarillovirales;Flaviviridae;Pestivirus;Pestivirus australiaense</t>
  </si>
  <si>
    <t>Riboviria;Orthornavirae;Kitrinoviricota;Flasuviricetes;Amarillovirales;Flaviviridae;Pestivirus;Pestivirus F</t>
  </si>
  <si>
    <t>Riboviria;Orthornavirae;Kitrinoviricota;Flasuviricetes;Amarillovirales;Flaviviridae;Pestivirus;Pestivirus antilocaprae</t>
  </si>
  <si>
    <t>Riboviria;Orthornavirae;Kitrinoviricota;Flasuviricetes;Amarillovirales;Flaviviridae;Pestivirus;Pestivirus E</t>
  </si>
  <si>
    <t>Riboviria;Orthornavirae;Kitrinoviricota;Flasuviricetes;Amarillovirales;Flaviviridae;Pegivirus;Pegivirus suis</t>
  </si>
  <si>
    <t>Riboviria;Orthornavirae;Kitrinoviricota;Flasuviricetes;Amarillovirales;Flaviviridae;Pegivirus;Pegivirus K</t>
  </si>
  <si>
    <t>Riboviria;Orthornavirae;Kitrinoviricota;Flasuviricetes;Amarillovirales;Flaviviridae;Pegivirus;Pegivirus sturnirae</t>
  </si>
  <si>
    <t>Riboviria;Orthornavirae;Kitrinoviricota;Flasuviricetes;Amarillovirales;Flaviviridae;Pegivirus;Pegivirus I</t>
  </si>
  <si>
    <t>Riboviria;Orthornavirae;Kitrinoviricota;Flasuviricetes;Amarillovirales;Flaviviridae;Pegivirus;Pegivirus scotophili</t>
  </si>
  <si>
    <t>Riboviria;Orthornavirae;Kitrinoviricota;Flasuviricetes;Amarillovirales;Flaviviridae;Pegivirus;Pegivirus G</t>
  </si>
  <si>
    <t>Riboviria;Orthornavirae;Kitrinoviricota;Flasuviricetes;Amarillovirales;Flaviviridae;Pegivirus;Pegivirus pteropi</t>
  </si>
  <si>
    <t>Riboviria;Orthornavirae;Kitrinoviricota;Flasuviricetes;Amarillovirales;Flaviviridae;Pegivirus;Pegivirus B</t>
  </si>
  <si>
    <t>Riboviria;Orthornavirae;Kitrinoviricota;Flasuviricetes;Amarillovirales;Flaviviridae;Pegivirus;Pegivirus platyrrhini</t>
  </si>
  <si>
    <t>Riboviria;Orthornavirae;Kitrinoviricota;Flasuviricetes;Amarillovirales;Flaviviridae;Pegivirus;Pegivirus A</t>
  </si>
  <si>
    <t>Riboviria;Orthornavirae;Kitrinoviricota;Flasuviricetes;Amarillovirales;Flaviviridae;Pegivirus;Pegivirus neotomae</t>
  </si>
  <si>
    <t>Riboviria;Orthornavirae;Kitrinoviricota;Flasuviricetes;Amarillovirales;Flaviviridae;Pegivirus;Pegivirus J</t>
  </si>
  <si>
    <t>Riboviria;Orthornavirae;Kitrinoviricota;Flasuviricetes;Amarillovirales;Flaviviridae;Pegivirus;Pegivirus hominis</t>
  </si>
  <si>
    <t>Riboviria;Orthornavirae;Kitrinoviricota;Flasuviricetes;Amarillovirales;Flaviviridae;Pegivirus;Pegivirus C</t>
  </si>
  <si>
    <t>Riboviria;Orthornavirae;Kitrinoviricota;Flasuviricetes;Amarillovirales;Flaviviridae;Pegivirus;Pegivirus equi</t>
  </si>
  <si>
    <t>Riboviria;Orthornavirae;Kitrinoviricota;Flasuviricetes;Amarillovirales;Flaviviridae;Pegivirus;Pegivirus D</t>
  </si>
  <si>
    <t>Riboviria;Orthornavirae;Kitrinoviricota;Flasuviricetes;Amarillovirales;Flaviviridae;Pegivirus;Pegivirus columbiaense</t>
  </si>
  <si>
    <t>Riboviria;Orthornavirae;Kitrinoviricota;Flasuviricetes;Amarillovirales;Flaviviridae;Pegivirus;Pegivirus H</t>
  </si>
  <si>
    <t>Riboviria;Orthornavirae;Kitrinoviricota;Flasuviricetes;Amarillovirales;Flaviviridae;Pegivirus;Pegivirus carolliae</t>
  </si>
  <si>
    <t>Riboviria;Orthornavirae;Kitrinoviricota;Flasuviricetes;Amarillovirales;Flaviviridae;Pegivirus;Pegivirus F</t>
  </si>
  <si>
    <t>Riboviria;Orthornavirae;Kitrinoviricota;Flasuviricetes;Amarillovirales;Flaviviridae;Pegivirus;Pegivirus caballi</t>
  </si>
  <si>
    <t>Riboviria;Orthornavirae;Kitrinoviricota;Flasuviricetes;Amarillovirales;Flaviviridae;Pegivirus;Pegivirus E</t>
  </si>
  <si>
    <t>Riboviria;Orthornavirae;Kitrinoviricota;Flasuviricetes;Amarillovirales;Flaviviridae;Orthoflavivirus;Orthoflavivirus zikaense</t>
  </si>
  <si>
    <t>Riboviria;Orthornavirae;Kitrinoviricota;Flasuviricetes;Amarillovirales;Flaviviridae;Flavivirus;Zika virus</t>
  </si>
  <si>
    <t>Riboviria;Orthornavirae;Kitrinoviricota;Flasuviricetes;Amarillovirales;Flaviviridae;Orthoflavivirus;Orthoflavivirus yokoseense</t>
  </si>
  <si>
    <t>Riboviria;Orthornavirae;Kitrinoviricota;Flasuviricetes;Amarillovirales;Flaviviridae;Flavivirus;Yokose virus</t>
  </si>
  <si>
    <t>Riboviria;Orthornavirae;Kitrinoviricota;Flasuviricetes;Amarillovirales;Flaviviridae;Orthoflavivirus;Orthoflavivirus yaoundeense</t>
  </si>
  <si>
    <t>Riboviria;Orthornavirae;Kitrinoviricota;Flasuviricetes;Amarillovirales;Flaviviridae;Flavivirus;Yaounde virus</t>
  </si>
  <si>
    <t>Riboviria;Orthornavirae;Kitrinoviricota;Flasuviricetes;Amarillovirales;Flaviviridae;Orthoflavivirus;Orthoflavivirus wesselsbronense</t>
  </si>
  <si>
    <t>Riboviria;Orthornavirae;Kitrinoviricota;Flasuviricetes;Amarillovirales;Flaviviridae;Flavivirus;Wesselsbron virus</t>
  </si>
  <si>
    <t>Riboviria;Orthornavirae;Kitrinoviricota;Flasuviricetes;Amarillovirales;Flaviviridae;Orthoflavivirus;Orthoflavivirus viejaense</t>
  </si>
  <si>
    <t>Riboviria;Orthornavirae;Kitrinoviricota;Flasuviricetes;Amarillovirales;Flaviviridae;Flavivirus;Sal Vieja virus</t>
  </si>
  <si>
    <t>Riboviria;Orthornavirae;Kitrinoviricota;Flasuviricetes;Amarillovirales;Flaviviridae;Orthoflavivirus;Orthoflavivirus usutuense</t>
  </si>
  <si>
    <t>Riboviria;Orthornavirae;Kitrinoviricota;Flasuviricetes;Amarillovirales;Flaviviridae;Flavivirus;Usutu virus</t>
  </si>
  <si>
    <t>Riboviria;Orthornavirae;Kitrinoviricota;Flasuviricetes;Amarillovirales;Flaviviridae;Orthoflavivirus;Orthoflavivirus ugandaense</t>
  </si>
  <si>
    <t>Riboviria;Orthornavirae;Kitrinoviricota;Flasuviricetes;Amarillovirales;Flaviviridae;Flavivirus;Uganda S virus</t>
  </si>
  <si>
    <t>Riboviria;Orthornavirae;Kitrinoviricota;Flasuviricetes;Amarillovirales;Flaviviridae;Orthoflavivirus;Orthoflavivirus tyuleniyense</t>
  </si>
  <si>
    <t>Riboviria;Orthornavirae;Kitrinoviricota;Flasuviricetes;Amarillovirales;Flaviviridae;Flavivirus;Tyuleniy virus</t>
  </si>
  <si>
    <t>Riboviria;Orthornavirae;Kitrinoviricota;Flasuviricetes;Amarillovirales;Flaviviridae;Orthoflavivirus;Orthoflavivirus tembusu</t>
  </si>
  <si>
    <t>Riboviria;Orthornavirae;Kitrinoviricota;Flasuviricetes;Amarillovirales;Flaviviridae;Flavivirus;Tembusu virus</t>
  </si>
  <si>
    <t>Riboviria;Orthornavirae;Kitrinoviricota;Flasuviricetes;Amarillovirales;Flaviviridae;Orthoflavivirus;Orthoflavivirus sepikense</t>
  </si>
  <si>
    <t>Riboviria;Orthornavirae;Kitrinoviricota;Flasuviricetes;Amarillovirales;Flaviviridae;Flavivirus;Sepik virus</t>
  </si>
  <si>
    <t>Riboviria;Orthornavirae;Kitrinoviricota;Flasuviricetes;Amarillovirales;Flaviviridae;Orthoflavivirus;Orthoflavivirus saumarezense</t>
  </si>
  <si>
    <t>Riboviria;Orthornavirae;Kitrinoviricota;Flasuviricetes;Amarillovirales;Flaviviridae;Flavivirus;Saumarez Reef virus</t>
  </si>
  <si>
    <t>Riboviria;Orthornavirae;Kitrinoviricota;Flasuviricetes;Amarillovirales;Flaviviridae;Orthoflavivirus;Orthoflavivirus saboyaense</t>
  </si>
  <si>
    <t>Riboviria;Orthornavirae;Kitrinoviricota;Flasuviricetes;Amarillovirales;Flaviviridae;Flavivirus;Saboya virus</t>
  </si>
  <si>
    <t>Riboviria;Orthornavirae;Kitrinoviricota;Flasuviricetes;Amarillovirales;Flaviviridae;Orthoflavivirus;Orthoflavivirus royalense</t>
  </si>
  <si>
    <t>Riboviria;Orthornavirae;Kitrinoviricota;Flasuviricetes;Amarillovirales;Flaviviridae;Flavivirus;Royal Farm virus</t>
  </si>
  <si>
    <t>Riboviria;Orthornavirae;Kitrinoviricota;Flasuviricetes;Amarillovirales;Flaviviridae;Orthoflavivirus;Orthoflavivirus powassanense</t>
  </si>
  <si>
    <t>Riboviria;Orthornavirae;Kitrinoviricota;Flasuviricetes;Amarillovirales;Flaviviridae;Flavivirus;Powassan virus</t>
  </si>
  <si>
    <t>Riboviria;Orthornavirae;Kitrinoviricota;Flasuviricetes;Amarillovirales;Flaviviridae;Orthoflavivirus;Orthoflavivirus phnompenhense</t>
  </si>
  <si>
    <t>Riboviria;Orthornavirae;Kitrinoviricota;Flasuviricetes;Amarillovirales;Flaviviridae;Flavivirus;Phnom Penh bat virus</t>
  </si>
  <si>
    <t>Riboviria;Orthornavirae;Kitrinoviricota;Flasuviricetes;Amarillovirales;Flaviviridae;Orthoflavivirus;Orthoflavivirus perlitaense</t>
  </si>
  <si>
    <t>Riboviria;Orthornavirae;Kitrinoviricota;Flasuviricetes;Amarillovirales;Flaviviridae;Flavivirus;San Perlita virus</t>
  </si>
  <si>
    <t>Riboviria;Orthornavirae;Kitrinoviricota;Flasuviricetes;Amarillovirales;Flaviviridae;Orthoflavivirus;Orthoflavivirus omskense</t>
  </si>
  <si>
    <t>Riboviria;Orthornavirae;Kitrinoviricota;Flasuviricetes;Amarillovirales;Flaviviridae;Flavivirus;Omsk hemorrhagic fever virus</t>
  </si>
  <si>
    <t>Riboviria;Orthornavirae;Kitrinoviricota;Flasuviricetes;Amarillovirales;Flaviviridae;Orthoflavivirus;Orthoflavivirus ntayaense</t>
  </si>
  <si>
    <t>Riboviria;Orthornavirae;Kitrinoviricota;Flasuviricetes;Amarillovirales;Flaviviridae;Flavivirus;Ntaya virus</t>
  </si>
  <si>
    <t>Riboviria;Orthornavirae;Kitrinoviricota;Flasuviricetes;Amarillovirales;Flaviviridae;Orthoflavivirus;Orthoflavivirus nilense</t>
  </si>
  <si>
    <t>Riboviria;Orthornavirae;Kitrinoviricota;Flasuviricetes;Amarillovirales;Flaviviridae;Flavivirus;West Nile virus</t>
  </si>
  <si>
    <t>Riboviria;Orthornavirae;Kitrinoviricota;Flasuviricetes;Amarillovirales;Flaviviridae;Orthoflavivirus;Orthoflavivirus murrayense</t>
  </si>
  <si>
    <t>Riboviria;Orthornavirae;Kitrinoviricota;Flasuviricetes;Amarillovirales;Flaviviridae;Flavivirus;Murray Valley encephalitis virus</t>
  </si>
  <si>
    <t>Riboviria;Orthornavirae;Kitrinoviricota;Flasuviricetes;Amarillovirales;Flaviviridae;Orthoflavivirus;Orthoflavivirus montanaense</t>
  </si>
  <si>
    <t>Riboviria;Orthornavirae;Kitrinoviricota;Flasuviricetes;Amarillovirales;Flaviviridae;Flavivirus;Montana myotis leukoencephalitis virus</t>
  </si>
  <si>
    <t>Riboviria;Orthornavirae;Kitrinoviricota;Flasuviricetes;Amarillovirales;Flaviviridae;Orthoflavivirus;Orthoflavivirus modocense</t>
  </si>
  <si>
    <t>Riboviria;Orthornavirae;Kitrinoviricota;Flasuviricetes;Amarillovirales;Flaviviridae;Flavivirus;Modoc virus</t>
  </si>
  <si>
    <t>Riboviria;Orthornavirae;Kitrinoviricota;Flasuviricetes;Amarillovirales;Flaviviridae;Orthoflavivirus;Orthoflavivirus meabanense</t>
  </si>
  <si>
    <t>Riboviria;Orthornavirae;Kitrinoviricota;Flasuviricetes;Amarillovirales;Flaviviridae;Flavivirus;Meaban virus</t>
  </si>
  <si>
    <t>Riboviria;Orthornavirae;Kitrinoviricota;Flasuviricetes;Amarillovirales;Flaviviridae;Orthoflavivirus;Orthoflavivirus loupingi</t>
  </si>
  <si>
    <t>Riboviria;Orthornavirae;Kitrinoviricota;Flasuviricetes;Amarillovirales;Flaviviridae;Flavivirus;Louping ill virus</t>
  </si>
  <si>
    <t>Riboviria;Orthornavirae;Kitrinoviricota;Flasuviricetes;Amarillovirales;Flaviviridae;Orthoflavivirus;Orthoflavivirus louisense</t>
  </si>
  <si>
    <t>Riboviria;Orthornavirae;Kitrinoviricota;Flasuviricetes;Amarillovirales;Flaviviridae;Flavivirus;Saint Louis encephalitis virus</t>
  </si>
  <si>
    <t>Riboviria;Orthornavirae;Kitrinoviricota;Flasuviricetes;Amarillovirales;Flaviviridae;Orthoflavivirus;Orthoflavivirus langatense</t>
  </si>
  <si>
    <t>Riboviria;Orthornavirae;Kitrinoviricota;Flasuviricetes;Amarillovirales;Flaviviridae;Flavivirus;Langat virus</t>
  </si>
  <si>
    <t>Riboviria;Orthornavirae;Kitrinoviricota;Flasuviricetes;Amarillovirales;Flaviviridae;Orthoflavivirus;Orthoflavivirus kyasanurense</t>
  </si>
  <si>
    <t>Riboviria;Orthornavirae;Kitrinoviricota;Flasuviricetes;Amarillovirales;Flaviviridae;Flavivirus;Kyasanur Forest disease virus</t>
  </si>
  <si>
    <t>Riboviria;Orthornavirae;Kitrinoviricota;Flasuviricetes;Amarillovirales;Flaviviridae;Orthoflavivirus;Orthoflavivirus koutangoense</t>
  </si>
  <si>
    <t>Riboviria;Orthornavirae;Kitrinoviricota;Flasuviricetes;Amarillovirales;Flaviviridae;Flavivirus;Koutango virus</t>
  </si>
  <si>
    <t>Riboviria;Orthornavirae;Kitrinoviricota;Flasuviricetes;Amarillovirales;Flaviviridae;Orthoflavivirus;Orthoflavivirus kokoberaorum</t>
  </si>
  <si>
    <t>Riboviria;Orthornavirae;Kitrinoviricota;Flasuviricetes;Amarillovirales;Flaviviridae;Flavivirus;Kokobera virus</t>
  </si>
  <si>
    <t>Riboviria;Orthornavirae;Kitrinoviricota;Flasuviricetes;Amarillovirales;Flaviviridae;Orthoflavivirus;Orthoflavivirus kedougouense</t>
  </si>
  <si>
    <t>Riboviria;Orthornavirae;Kitrinoviricota;Flasuviricetes;Amarillovirales;Flaviviridae;Flavivirus;Kedougou virus</t>
  </si>
  <si>
    <t>Riboviria;Orthornavirae;Kitrinoviricota;Flasuviricetes;Amarillovirales;Flaviviridae;Orthoflavivirus;Orthoflavivirus kadamense</t>
  </si>
  <si>
    <t>Riboviria;Orthornavirae;Kitrinoviricota;Flasuviricetes;Amarillovirales;Flaviviridae;Flavivirus;Kadam virus</t>
  </si>
  <si>
    <t>Riboviria;Orthornavirae;Kitrinoviricota;Flasuviricetes;Amarillovirales;Flaviviridae;Orthoflavivirus;Orthoflavivirus jutiapaense</t>
  </si>
  <si>
    <t>Riboviria;Orthornavirae;Kitrinoviricota;Flasuviricetes;Amarillovirales;Flaviviridae;Flavivirus;Jutiapa virus</t>
  </si>
  <si>
    <t>Riboviria;Orthornavirae;Kitrinoviricota;Flasuviricetes;Amarillovirales;Flaviviridae;Orthoflavivirus;Orthoflavivirus jugraense</t>
  </si>
  <si>
    <t>Riboviria;Orthornavirae;Kitrinoviricota;Flasuviricetes;Amarillovirales;Flaviviridae;Flavivirus;Jugra virus</t>
  </si>
  <si>
    <t>Riboviria;Orthornavirae;Kitrinoviricota;Flasuviricetes;Amarillovirales;Flaviviridae;Orthoflavivirus;Orthoflavivirus japonicum</t>
  </si>
  <si>
    <t>Riboviria;Orthornavirae;Kitrinoviricota;Flasuviricetes;Amarillovirales;Flaviviridae;Flavivirus;Japanese encephalitis virus</t>
  </si>
  <si>
    <t>Riboviria;Orthornavirae;Kitrinoviricota;Flasuviricetes;Amarillovirales;Flaviviridae;Orthoflavivirus;Orthoflavivirus israelense</t>
  </si>
  <si>
    <t>Riboviria;Orthornavirae;Kitrinoviricota;Flasuviricetes;Amarillovirales;Flaviviridae;Flavivirus;Israel turkey meningoencephalomyelitis virus</t>
  </si>
  <si>
    <t>Riboviria;Orthornavirae;Kitrinoviricota;Flasuviricetes;Amarillovirales;Flaviviridae;Orthoflavivirus;Orthoflavivirus ilheusense</t>
  </si>
  <si>
    <t>Riboviria;Orthornavirae;Kitrinoviricota;Flasuviricetes;Amarillovirales;Flaviviridae;Flavivirus;Ilheus virus</t>
  </si>
  <si>
    <t>Riboviria;Orthornavirae;Kitrinoviricota;Flasuviricetes;Amarillovirales;Flaviviridae;Orthoflavivirus;Orthoflavivirus gadgetsense</t>
  </si>
  <si>
    <t>Riboviria;Orthornavirae;Kitrinoviricota;Flasuviricetes;Amarillovirales;Flaviviridae;Flavivirus;Gadgets Gully virus</t>
  </si>
  <si>
    <t>Riboviria;Orthornavirae;Kitrinoviricota;Flasuviricetes;Amarillovirales;Flaviviridae;Orthoflavivirus;Orthoflavivirus flavi</t>
  </si>
  <si>
    <t>Riboviria;Orthornavirae;Kitrinoviricota;Flasuviricetes;Amarillovirales;Flaviviridae;Flavivirus;Yellow fever virus</t>
  </si>
  <si>
    <t>Riboviria;Orthornavirae;Kitrinoviricota;Flasuviricetes;Amarillovirales;Flaviviridae;Orthoflavivirus;Orthoflavivirus entebbeense</t>
  </si>
  <si>
    <t>Riboviria;Orthornavirae;Kitrinoviricota;Flasuviricetes;Amarillovirales;Flaviviridae;Flavivirus;Entebbe bat virus</t>
  </si>
  <si>
    <t>Riboviria;Orthornavirae;Kitrinoviricota;Flasuviricetes;Amarillovirales;Flaviviridae;Orthoflavivirus;Orthoflavivirus encephalitidis</t>
  </si>
  <si>
    <t>Riboviria;Orthornavirae;Kitrinoviricota;Flasuviricetes;Amarillovirales;Flaviviridae;Flavivirus;Tick-borne encephalitis virus</t>
  </si>
  <si>
    <t>Riboviria;Orthornavirae;Kitrinoviricota;Flasuviricetes;Amarillovirales;Flaviviridae;Orthoflavivirus;Orthoflavivirus edgehillense</t>
  </si>
  <si>
    <t>Riboviria;Orthornavirae;Kitrinoviricota;Flasuviricetes;Amarillovirales;Flaviviridae;Flavivirus;Edge Hill virus</t>
  </si>
  <si>
    <t>Riboviria;Orthornavirae;Kitrinoviricota;Flasuviricetes;Amarillovirales;Flaviviridae;Orthoflavivirus;Orthoflavivirus denguei</t>
  </si>
  <si>
    <t>Riboviria;Orthornavirae;Kitrinoviricota;Flasuviricetes;Amarillovirales;Flaviviridae;Flavivirus;Dengue virus</t>
  </si>
  <si>
    <t>Riboviria;Orthornavirae;Kitrinoviricota;Flasuviricetes;Amarillovirales;Flaviviridae;Orthoflavivirus;Orthoflavivirus dakarense</t>
  </si>
  <si>
    <t>Riboviria;Orthornavirae;Kitrinoviricota;Flasuviricetes;Amarillovirales;Flaviviridae;Flavivirus;Dakar bat virus</t>
  </si>
  <si>
    <t>Riboviria;Orthornavirae;Kitrinoviricota;Flasuviricetes;Amarillovirales;Flaviviridae;Orthoflavivirus;Orthoflavivirus cowboneense</t>
  </si>
  <si>
    <t>Riboviria;Orthornavirae;Kitrinoviricota;Flasuviricetes;Amarillovirales;Flaviviridae;Flavivirus;Cowbone Ridge virus</t>
  </si>
  <si>
    <t>Riboviria;Orthornavirae;Kitrinoviricota;Flasuviricetes;Amarillovirales;Flaviviridae;Orthoflavivirus;Orthoflavivirus careyense</t>
  </si>
  <si>
    <t>Riboviria;Orthornavirae;Kitrinoviricota;Flasuviricetes;Amarillovirales;Flaviviridae;Flavivirus;Carey Island virus</t>
  </si>
  <si>
    <t>Riboviria;Orthornavirae;Kitrinoviricota;Flasuviricetes;Amarillovirales;Flaviviridae;Orthoflavivirus;Orthoflavivirus cacipacoreense</t>
  </si>
  <si>
    <t>Riboviria;Orthornavirae;Kitrinoviricota;Flasuviricetes;Amarillovirales;Flaviviridae;Flavivirus;Cacipacore virus</t>
  </si>
  <si>
    <t>Riboviria;Orthornavirae;Kitrinoviricota;Flasuviricetes;Amarillovirales;Flaviviridae;Orthoflavivirus;Orthoflavivirus bukalasaense</t>
  </si>
  <si>
    <t>Riboviria;Orthornavirae;Kitrinoviricota;Flasuviricetes;Amarillovirales;Flaviviridae;Flavivirus;Bukalasa bat virus</t>
  </si>
  <si>
    <t>Riboviria;Orthornavirae;Kitrinoviricota;Flasuviricetes;Amarillovirales;Flaviviridae;Orthoflavivirus;Orthoflavivirus bravoense</t>
  </si>
  <si>
    <t>Riboviria;Orthornavirae;Kitrinoviricota;Flasuviricetes;Amarillovirales;Flaviviridae;Flavivirus;Rio Bravo virus</t>
  </si>
  <si>
    <t>Riboviria;Orthornavirae;Kitrinoviricota;Flasuviricetes;Amarillovirales;Flaviviridae;Orthoflavivirus;Orthoflavivirus boubouiense</t>
  </si>
  <si>
    <t>Riboviria;Orthornavirae;Kitrinoviricota;Flasuviricetes;Amarillovirales;Flaviviridae;Flavivirus;Bouboui virus</t>
  </si>
  <si>
    <t>Riboviria;Orthornavirae;Kitrinoviricota;Flasuviricetes;Amarillovirales;Flaviviridae;Orthoflavivirus;Orthoflavivirus banziense</t>
  </si>
  <si>
    <t>Riboviria;Orthornavirae;Kitrinoviricota;Flasuviricetes;Amarillovirales;Flaviviridae;Flavivirus;Banzi virus</t>
  </si>
  <si>
    <t>Riboviria;Orthornavirae;Kitrinoviricota;Flasuviricetes;Amarillovirales;Flaviviridae;Orthoflavivirus;Orthoflavivirus bagazaense</t>
  </si>
  <si>
    <t>Riboviria;Orthornavirae;Kitrinoviricota;Flasuviricetes;Amarillovirales;Flaviviridae;Flavivirus;Bagaza virus</t>
  </si>
  <si>
    <t>Riboviria;Orthornavirae;Kitrinoviricota;Flasuviricetes;Amarillovirales;Flaviviridae;Orthoflavivirus;Orthoflavivirus aroaense</t>
  </si>
  <si>
    <t>Riboviria;Orthornavirae;Kitrinoviricota;Flasuviricetes;Amarillovirales;Flaviviridae;Flavivirus;Aroa virus</t>
  </si>
  <si>
    <t>Riboviria;Orthornavirae;Kitrinoviricota;Flasuviricetes;Amarillovirales;Flaviviridae;Orthoflavivirus;Orthoflavivirus apoiense</t>
  </si>
  <si>
    <t>Riboviria;Orthornavirae;Kitrinoviricota;Flasuviricetes;Amarillovirales;Flaviviridae;Flavivirus;Apoi virus</t>
  </si>
  <si>
    <t>Riboviria;Orthornavirae;Kitrinoviricota;Flasuviricetes;Amarillovirales;Flaviviridae;Hepacivirus;Hepacivirus vittatae</t>
  </si>
  <si>
    <t>Riboviria;Orthornavirae;Kitrinoviricota;Flasuviricetes;Amarillovirales;Flaviviridae;Hepacivirus;Hepacivirus L</t>
  </si>
  <si>
    <t>Riboviria;Orthornavirae;Kitrinoviricota;Flasuviricetes;Amarillovirales;Flaviviridae;Hepacivirus;Hepacivirus rhabdomysis</t>
  </si>
  <si>
    <t>Riboviria;Orthornavirae;Kitrinoviricota;Flasuviricetes;Amarillovirales;Flaviviridae;Hepacivirus;Hepacivirus I</t>
  </si>
  <si>
    <t>Riboviria;Orthornavirae;Kitrinoviricota;Flasuviricetes;Amarillovirales;Flaviviridae;Hepacivirus;Hepacivirus ratti</t>
  </si>
  <si>
    <t>Riboviria;Orthornavirae;Kitrinoviricota;Flasuviricetes;Amarillovirales;Flaviviridae;Hepacivirus;Hepacivirus G</t>
  </si>
  <si>
    <t>Riboviria;Orthornavirae;Kitrinoviricota;Flasuviricetes;Amarillovirales;Flaviviridae;Hepacivirus;Hepacivirus platyrrhini</t>
  </si>
  <si>
    <t>Riboviria;Orthornavirae;Kitrinoviricota;Flasuviricetes;Amarillovirales;Flaviviridae;Hepacivirus;Hepacivirus B</t>
  </si>
  <si>
    <t>Riboviria;Orthornavirae;Kitrinoviricota;Flasuviricetes;Amarillovirales;Flaviviridae;Hepacivirus;Hepacivirus peromysci</t>
  </si>
  <si>
    <t>Riboviria;Orthornavirae;Kitrinoviricota;Flasuviricetes;Amarillovirales;Flaviviridae;Hepacivirus;Hepacivirus E</t>
  </si>
  <si>
    <t>Riboviria;Orthornavirae;Kitrinoviricota;Flasuviricetes;Amarillovirales;Flaviviridae;Hepacivirus;Hepacivirus otomopis</t>
  </si>
  <si>
    <t>Riboviria;Orthornavirae;Kitrinoviricota;Flasuviricetes;Amarillovirales;Flaviviridae;Hepacivirus;Hepacivirus M</t>
  </si>
  <si>
    <t>Riboviria;Orthornavirae;Kitrinoviricota;Flasuviricetes;Amarillovirales;Flaviviridae;Hepacivirus;Hepacivirus norvegici</t>
  </si>
  <si>
    <t>Riboviria;Orthornavirae;Kitrinoviricota;Flasuviricetes;Amarillovirales;Flaviviridae;Hepacivirus;Hepacivirus H</t>
  </si>
  <si>
    <t>Riboviria;Orthornavirae;Kitrinoviricota;Flasuviricetes;Amarillovirales;Flaviviridae;Hepacivirus;Hepacivirus myodae</t>
  </si>
  <si>
    <t>Riboviria;Orthornavirae;Kitrinoviricota;Flasuviricetes;Amarillovirales;Flaviviridae;Hepacivirus;Hepacivirus F</t>
  </si>
  <si>
    <t>Riboviria;Orthornavirae;Kitrinoviricota;Flasuviricetes;Amarillovirales;Flaviviridae;Hepacivirus;Hepacivirus macronycteridis</t>
  </si>
  <si>
    <t>Riboviria;Orthornavirae;Kitrinoviricota;Flasuviricetes;Amarillovirales;Flaviviridae;Hepacivirus;Hepacivirus K</t>
  </si>
  <si>
    <t>Riboviria;Orthornavirae;Kitrinoviricota;Flasuviricetes;Amarillovirales;Flaviviridae;Hepacivirus;Hepacivirus hominis</t>
  </si>
  <si>
    <t>Riboviria;Orthornavirae;Kitrinoviricota;Flasuviricetes;Amarillovirales;Flaviviridae;Hepacivirus;Hepacivirus C</t>
  </si>
  <si>
    <t>Riboviria;Orthornavirae;Kitrinoviricota;Flasuviricetes;Amarillovirales;Flaviviridae;Hepacivirus;Hepacivirus glareoli</t>
  </si>
  <si>
    <t>Riboviria;Orthornavirae;Kitrinoviricota;Flasuviricetes;Amarillovirales;Flaviviridae;Hepacivirus;Hepacivirus J</t>
  </si>
  <si>
    <t>Riboviria;Orthornavirae;Kitrinoviricota;Flasuviricetes;Amarillovirales;Flaviviridae;Hepacivirus;Hepacivirus equi</t>
  </si>
  <si>
    <t>Riboviria;Orthornavirae;Kitrinoviricota;Flasuviricetes;Amarillovirales;Flaviviridae;Hepacivirus;Hepacivirus A</t>
  </si>
  <si>
    <t>Riboviria;Orthornavirae;Kitrinoviricota;Flasuviricetes;Amarillovirales;Flaviviridae;Hepacivirus;Hepacivirus colobi</t>
  </si>
  <si>
    <t>Riboviria;Orthornavirae;Kitrinoviricota;Flasuviricetes;Amarillovirales;Flaviviridae;Hepacivirus;Hepacivirus D</t>
  </si>
  <si>
    <t>Riboviria;Orthornavirae;Kitrinoviricota;Flasuviricetes;Amarillovirales;Flaviviridae;Hepacivirus;Hepacivirus bovis</t>
  </si>
  <si>
    <t>Riboviria;Orthornavirae;Kitrinoviricota;Flasuviricetes;Amarillovirales;Flaviviridae;Hepacivirus;Hepacivirus N</t>
  </si>
  <si>
    <t>Riboviria;Orthornavirae;Kitrinoviricota;Alsuviricetes;Tymovirales;Tymoviridae;Tymovirus;Tymovirus voandzeiae</t>
  </si>
  <si>
    <t>Riboviria;Orthornavirae;Kitrinoviricota;Alsuviricetes;Tymovirales;Tymoviridae;Tymovirus;Voandzeia necrotic mosaic virus</t>
  </si>
  <si>
    <t>Riboviria;Orthornavirae;Kitrinoviricota;Alsuviricetes;Tymovirales;Tymoviridae;Tymovirus;Tymovirus theobromatis</t>
  </si>
  <si>
    <t>Riboviria;Orthornavirae;Kitrinoviricota;Alsuviricetes;Tymovirales;Tymoviridae;Tymovirus;Cacao yellow mosaic virus</t>
  </si>
  <si>
    <t>Riboviria;Orthornavirae;Kitrinoviricota;Alsuviricetes;Tymovirales;Tymoviridae;Tymovirus;Tymovirus scrophulariae</t>
  </si>
  <si>
    <t>Riboviria;Orthornavirae;Kitrinoviricota;Alsuviricetes;Tymovirales;Tymoviridae;Tymovirus;Scrophularia mottle virus</t>
  </si>
  <si>
    <t>Riboviria;Orthornavirae;Kitrinoviricota;Alsuviricetes;Tymovirales;Tymoviridae;Tymovirus;Tymovirus plantagonis</t>
  </si>
  <si>
    <t>Riboviria;Orthornavirae;Kitrinoviricota;Alsuviricetes;Tymovirales;Tymoviridae;Tymovirus;Plantago mottle virus</t>
  </si>
  <si>
    <t>Riboviria;Orthornavirae;Kitrinoviricota;Alsuviricetes;Tymovirales;Tymoviridae;Tymovirus;Tymovirus physalis</t>
  </si>
  <si>
    <t>Riboviria;Orthornavirae;Kitrinoviricota;Alsuviricetes;Tymovirales;Tymoviridae;Tymovirus;Physalis mottle virus</t>
  </si>
  <si>
    <t>Riboviria;Orthornavirae;Kitrinoviricota;Alsuviricetes;Tymovirales;Tymoviridae;Tymovirus;Tymovirus petuniae</t>
  </si>
  <si>
    <t>Riboviria;Orthornavirae;Kitrinoviricota;Alsuviricetes;Tymovirales;Tymoviridae;Tymovirus;Petunia vein banding virus</t>
  </si>
  <si>
    <t>Riboviria;Orthornavirae;Kitrinoviricota;Alsuviricetes;Tymovirales;Tymoviridae;Tymovirus;Tymovirus passiflorae</t>
  </si>
  <si>
    <t>Riboviria;Orthornavirae;Kitrinoviricota;Alsuviricetes;Tymovirales;Tymoviridae;Tymovirus;Passion fruit yellow mosaic virus</t>
  </si>
  <si>
    <t>Riboviria;Orthornavirae;Kitrinoviricota;Alsuviricetes;Tymovirales;Tymoviridae;Tymovirus;Tymovirus ononis</t>
  </si>
  <si>
    <t>Riboviria;Orthornavirae;Kitrinoviricota;Alsuviricetes;Tymovirales;Tymoviridae;Tymovirus;Ononis yellow mosaic virus</t>
  </si>
  <si>
    <t>Riboviria;Orthornavirae;Kitrinoviricota;Alsuviricetes;Tymovirales;Tymoviridae;Tymovirus;Tymovirus nemesiae</t>
  </si>
  <si>
    <t>Riboviria;Orthornavirae;Kitrinoviricota;Alsuviricetes;Tymovirales;Tymoviridae;Tymovirus;Nemesia ring necrosis virus</t>
  </si>
  <si>
    <t>Riboviria;Orthornavirae;Kitrinoviricota;Alsuviricetes;Tymovirales;Tymoviridae;Tymovirus;Tymovirus mosandigenum</t>
  </si>
  <si>
    <t>Riboviria;Orthornavirae;Kitrinoviricota;Alsuviricetes;Tymovirales;Tymoviridae;Tymovirus;Andean potato mild mosaic virus</t>
  </si>
  <si>
    <t>Riboviria;Orthornavirae;Kitrinoviricota;Alsuviricetes;Tymovirales;Tymoviridae;Tymovirus;Tymovirus melonis</t>
  </si>
  <si>
    <t>Riboviria;Orthornavirae;Kitrinoviricota;Alsuviricetes;Tymovirales;Tymoviridae;Tymovirus;Melon rugose mosaic virus</t>
  </si>
  <si>
    <t>Riboviria;Orthornavirae;Kitrinoviricota;Alsuviricetes;Tymovirales;Tymoviridae;Tymovirus;Tymovirus melongenae</t>
  </si>
  <si>
    <t>Riboviria;Orthornavirae;Kitrinoviricota;Alsuviricetes;Tymovirales;Tymoviridae;Tymovirus;Eggplant mosaic virus</t>
  </si>
  <si>
    <t>Riboviria;Orthornavirae;Kitrinoviricota;Alsuviricetes;Tymovirales;Tymoviridae;Tymovirus;Tymovirus lycopersici</t>
  </si>
  <si>
    <t>Riboviria;Orthornavirae;Kitrinoviricota;Alsuviricetes;Tymovirales;Tymoviridae;Tymovirus;Tomato blistering mosaic tymovirus</t>
  </si>
  <si>
    <t>Riboviria;Orthornavirae;Kitrinoviricota;Alsuviricetes;Tymovirales;Tymoviridae;Tymovirus;Tymovirus latandigenum</t>
  </si>
  <si>
    <t>Riboviria;Orthornavirae;Kitrinoviricota;Alsuviricetes;Tymovirales;Tymoviridae;Tymovirus;Andean potato latent virus</t>
  </si>
  <si>
    <t>Riboviria;Orthornavirae;Kitrinoviricota;Alsuviricetes;Tymovirales;Tymoviridae;Tymovirus;Tymovirus kennedyae</t>
  </si>
  <si>
    <t>Riboviria;Orthornavirae;Kitrinoviricota;Alsuviricetes;Tymovirales;Tymoviridae;Tymovirus;Kennedya yellow mosaic virus</t>
  </si>
  <si>
    <t>Riboviria;Orthornavirae;Kitrinoviricota;Alsuviricetes;Tymovirales;Tymoviridae;Tymovirus;Tymovirus erysimi</t>
  </si>
  <si>
    <t>Riboviria;Orthornavirae;Kitrinoviricota;Alsuviricetes;Tymovirales;Tymoviridae;Tymovirus;Erysimum latent virus</t>
  </si>
  <si>
    <t>Riboviria;Orthornavirae;Kitrinoviricota;Alsuviricetes;Tymovirales;Tymoviridae;Tymovirus;Tymovirus dulcamarae</t>
  </si>
  <si>
    <t>Riboviria;Orthornavirae;Kitrinoviricota;Alsuviricetes;Tymovirales;Tymoviridae;Tymovirus;Dulcamara mottle virus</t>
  </si>
  <si>
    <t>Riboviria;Orthornavirae;Kitrinoviricota;Alsuviricetes;Tymovirales;Tymoviridae;Tymovirus;Tymovirus desmodii</t>
  </si>
  <si>
    <t>Riboviria;Orthornavirae;Kitrinoviricota;Alsuviricetes;Tymovirales;Tymoviridae;Tymovirus;Desmodium yellow mottle virus</t>
  </si>
  <si>
    <t>Riboviria;Orthornavirae;Kitrinoviricota;Alsuviricetes;Tymovirales;Tymoviridae;Tymovirus;Tymovirus cucumis</t>
  </si>
  <si>
    <t>Riboviria;Orthornavirae;Kitrinoviricota;Alsuviricetes;Tymovirales;Tymoviridae;Tymovirus;Wild cucumber mosaic virus</t>
  </si>
  <si>
    <t>Riboviria;Orthornavirae;Kitrinoviricota;Alsuviricetes;Tymovirales;Tymoviridae;Tymovirus;Tymovirus clitoriae</t>
  </si>
  <si>
    <t>Riboviria;Orthornavirae;Kitrinoviricota;Alsuviricetes;Tymovirales;Tymoviridae;Tymovirus;Clitoria yellow vein virus</t>
  </si>
  <si>
    <t>Riboviria;Orthornavirae;Kitrinoviricota;Alsuviricetes;Tymovirales;Tymoviridae;Tymovirus;Tymovirus chiltepini</t>
  </si>
  <si>
    <t>Riboviria;Orthornavirae;Kitrinoviricota;Alsuviricetes;Tymovirales;Tymoviridae;Tymovirus;Chiltepin yellow mosaic virus</t>
  </si>
  <si>
    <t>Riboviria;Orthornavirae;Kitrinoviricota;Alsuviricetes;Tymovirales;Tymoviridae;Tymovirus;Tymovirus chayotis</t>
  </si>
  <si>
    <t>Riboviria;Orthornavirae;Kitrinoviricota;Alsuviricetes;Tymovirales;Tymoviridae;Tymovirus;Chayote mosaic virus</t>
  </si>
  <si>
    <t>Riboviria;Orthornavirae;Kitrinoviricota;Alsuviricetes;Tymovirales;Tymoviridae;Tymovirus;Tymovirus calopogonii</t>
  </si>
  <si>
    <t>Riboviria;Orthornavirae;Kitrinoviricota;Alsuviricetes;Tymovirales;Tymoviridae;Tymovirus;Calopogonium yellow vein virus</t>
  </si>
  <si>
    <t>Riboviria;Orthornavirae;Kitrinoviricota;Alsuviricetes;Tymovirales;Tymoviridae;Tymovirus;Tymovirus brassicae</t>
  </si>
  <si>
    <t>Riboviria;Orthornavirae;Kitrinoviricota;Alsuviricetes;Tymovirales;Tymoviridae;Tymovirus;Turnip yellow mosaic virus</t>
  </si>
  <si>
    <t>Riboviria;Orthornavirae;Kitrinoviricota;Alsuviricetes;Tymovirales;Tymoviridae;Tymovirus;Tymovirus belladonnae</t>
  </si>
  <si>
    <t>Riboviria;Orthornavirae;Kitrinoviricota;Alsuviricetes;Tymovirales;Tymoviridae;Tymovirus;Belladonna mottle virus</t>
  </si>
  <si>
    <t>Riboviria;Orthornavirae;Kitrinoviricota;Alsuviricetes;Tymovirales;Tymoviridae;Tymovirus;Tymovirus arachidis</t>
  </si>
  <si>
    <t>Riboviria;Orthornavirae;Kitrinoviricota;Alsuviricetes;Tymovirales;Tymoviridae;Tymovirus;Peanut yellow mosaic virus</t>
  </si>
  <si>
    <t>Riboviria;Orthornavirae;Kitrinoviricota;Alsuviricetes;Tymovirales;Tymoviridae;Tymovirus;Tymovirus anagyris</t>
  </si>
  <si>
    <t>Riboviria;Orthornavirae;Kitrinoviricota;Alsuviricetes;Tymovirales;Tymoviridae;Tymovirus;Anagyris vein yellowing virus</t>
  </si>
  <si>
    <t>Riboviria;Orthornavirae;Kitrinoviricota;Alsuviricetes;Tymovirales;Tymoviridae;Tymovirus;Tymovirus abelmoschi</t>
  </si>
  <si>
    <t>Riboviria;Orthornavirae;Kitrinoviricota;Alsuviricetes;Tymovirales;Tymoviridae;Tymovirus;Okra mosaic virus</t>
  </si>
  <si>
    <t>Riboviria;Orthornavirae;Kitrinoviricota;Alsuviricetes;Tymovirales;Tymoviridae;Marafivirus;Marafivirus syrahense</t>
  </si>
  <si>
    <t>Riboviria;Orthornavirae;Kitrinoviricota;Alsuviricetes;Tymovirales;Tymoviridae;Marafivirus;Grapevine Syrah virus 1</t>
  </si>
  <si>
    <t>Riboviria;Orthornavirae;Kitrinoviricota;Alsuviricetes;Tymovirales;Tymoviridae;Marafivirus;Marafivirus rubi</t>
  </si>
  <si>
    <t>Riboviria;Orthornavirae;Kitrinoviricota;Alsuviricetes;Tymovirales;Tymoviridae;Marafivirus;Blackberry virus S</t>
  </si>
  <si>
    <t>Riboviria;Orthornavirae;Kitrinoviricota;Alsuviricetes;Tymovirales;Tymoviridae;Marafivirus;Marafivirus pruni</t>
  </si>
  <si>
    <t>Riboviria;Orthornavirae;Kitrinoviricota;Alsuviricetes;Tymovirales;Tymoviridae;Marafivirus;Peach marafivirus D</t>
  </si>
  <si>
    <t>Riboviria;Orthornavirae;Kitrinoviricota;Alsuviricetes;Tymovirales;Tymoviridae;Marafivirus;Marafivirus oleae</t>
  </si>
  <si>
    <t>Riboviria;Orthornavirae;Kitrinoviricota;Alsuviricetes;Tymovirales;Tymoviridae;Marafivirus;Olive latent virus 3</t>
  </si>
  <si>
    <t>Riboviria;Orthornavirae;Kitrinoviricota;Alsuviricetes;Tymovirales;Tymoviridae;Marafivirus;Marafivirus nucipersicae</t>
  </si>
  <si>
    <t>Riboviria;Orthornavirae;Kitrinoviricota;Alsuviricetes;Tymovirales;Tymoviridae;Marafivirus;Nectarine marafivirus M</t>
  </si>
  <si>
    <t>Riboviria;Orthornavirae;Kitrinoviricota;Alsuviricetes;Tymovirales;Tymoviridae;Marafivirus;Marafivirus medicagonis</t>
  </si>
  <si>
    <t>Riboviria;Orthornavirae;Kitrinoviricota;Alsuviricetes;Tymovirales;Tymoviridae;Marafivirus;Alfalfa virus F</t>
  </si>
  <si>
    <t>Riboviria;Orthornavirae;Kitrinoviricota;Alsuviricetes;Tymovirales;Tymoviridae;Marafivirus;Marafivirus maydis</t>
  </si>
  <si>
    <t>Riboviria;Orthornavirae;Kitrinoviricota;Alsuviricetes;Tymovirales;Tymoviridae;Marafivirus;Maize rayado fino virus</t>
  </si>
  <si>
    <t>Riboviria;Orthornavirae;Kitrinoviricota;Alsuviricetes;Tymovirales;Tymoviridae;Marafivirus;Marafivirus cynodonis</t>
  </si>
  <si>
    <t>Riboviria;Orthornavirae;Kitrinoviricota;Alsuviricetes;Tymovirales;Tymoviridae;Marafivirus;Bermuda grass etched-line virus</t>
  </si>
  <si>
    <t>Riboviria;Orthornavirae;Kitrinoviricota;Alsuviricetes;Tymovirales;Tymoviridae;Marafivirus;Marafivirus citri</t>
  </si>
  <si>
    <t>Riboviria;Orthornavirae;Kitrinoviricota;Alsuviricetes;Tymovirales;Tymoviridae;Marafivirus;Citrus sudden death-associated virus</t>
  </si>
  <si>
    <t>Riboviria;Orthornavirae;Kitrinoviricota;Alsuviricetes;Tymovirales;Tymoviridae;Marafivirus;Marafivirus avenae</t>
  </si>
  <si>
    <t>Riboviria;Orthornavirae;Kitrinoviricota;Alsuviricetes;Tymovirales;Tymoviridae;Marafivirus;Oat blue dwarf virus</t>
  </si>
  <si>
    <t>Riboviria;Orthornavirae;Kitrinoviricota;Alsuviricetes;Tymovirales;Tymoviridae;Marafivirus;Marafivirus asteroides</t>
  </si>
  <si>
    <t>Riboviria;Orthornavirae;Kitrinoviricota;Alsuviricetes;Tymovirales;Tymoviridae;Marafivirus;Grapevine asteroid mosaic associated virus</t>
  </si>
  <si>
    <t>Riboviria;Orthornavirae;Kitrinoviricota;Alsuviricetes;Tymovirales;Tymoviridae;Maculavirus;Maculavirus vitis</t>
  </si>
  <si>
    <t>Riboviria;Orthornavirae;Kitrinoviricota;Alsuviricetes;Tymovirales;Tymoviridae;Maculavirus;Grapevine fleck virus</t>
  </si>
  <si>
    <t>Riboviria;Orthornavirae;Kitrinoviricota;Alsuviricetes;Martellivirales;Kitaviridae;Higrevirus;Higrevirus waimanalo</t>
  </si>
  <si>
    <t>Riboviria;Orthornavirae;Kitrinoviricota;Alsuviricetes;Martellivirales;Kitaviridae;Higrevirus;Hibiscus green spot virus 2</t>
  </si>
  <si>
    <t>Riboviria;Orthornavirae;Kitrinoviricota;Alsuviricetes;Martellivirales;Kitaviridae;Cilevirus;Cilevirus passiflorae</t>
  </si>
  <si>
    <t>Riboviria;Orthornavirae;Kitrinoviricota;Alsuviricetes;Martellivirales;Kitaviridae;Cilevirus;Passion fruit green spot virus</t>
  </si>
  <si>
    <t>Riboviria;Orthornavirae;Kitrinoviricota;Alsuviricetes;Martellivirales;Kitaviridae;Cilevirus;Cilevirus leprosis</t>
  </si>
  <si>
    <t>Riboviria;Orthornavirae;Kitrinoviricota;Alsuviricetes;Martellivirales;Kitaviridae;Cilevirus;Citrus leprosis virus C</t>
  </si>
  <si>
    <t>Riboviria;Orthornavirae;Kitrinoviricota;Alsuviricetes;Martellivirales;Kitaviridae;Cilevirus;Cilevirus colombiaense</t>
  </si>
  <si>
    <t>Riboviria;Orthornavirae;Kitrinoviricota;Alsuviricetes;Martellivirales;Kitaviridae;Cilevirus;Citrus leprosis virus C2</t>
  </si>
  <si>
    <t>Riboviria;Orthornavirae;Kitrinoviricota;Alsuviricetes;Martellivirales;Kitaviridae;Blunervirus;Blunervirus vaccinii</t>
  </si>
  <si>
    <t>Riboviria;Orthornavirae;Kitrinoviricota;Alsuviricetes;Martellivirales;Kitaviridae;Blunervirus;Blueberry necrotic ring blotch virus</t>
  </si>
  <si>
    <t>Riboviria;Orthornavirae;Kitrinoviricota;Alsuviricetes;Martellivirales;Kitaviridae;Blunervirus;Blunervirus solani</t>
  </si>
  <si>
    <t>Riboviria;Orthornavirae;Kitrinoviricota;Alsuviricetes;Martellivirales;Kitaviridae;Blunervirus;Tomato fruit blotch virus</t>
  </si>
  <si>
    <t>Riboviria;Orthornavirae;Kitrinoviricota;Alsuviricetes;Martellivirales;Kitaviridae;Blunervirus;Blunervirus camelliae</t>
  </si>
  <si>
    <t>Riboviria;Orthornavirae;Kitrinoviricota;Alsuviricetes;Martellivirales;Kitaviridae;Blunervirus;Tea plant necrotic ring blotch virus</t>
  </si>
  <si>
    <t>Riboviria;Orthornavirae;Birnaviridae;Telnavirus;Telnavirus tellinae</t>
  </si>
  <si>
    <t>Riboviria;Orthornavirae;Birnaviridae;Telnavirus;Tellina virus 1</t>
  </si>
  <si>
    <t>Riboviria;Orthornavirae;Birnaviridae;Ronavirus;Ronavirus rotiferae</t>
  </si>
  <si>
    <t>Riboviria;Orthornavirae;Birnaviridae;Ronavirus;Rotifer birnavirus</t>
  </si>
  <si>
    <t>Riboviria;Orthornavirae;Birnaviridae;Entomobirnavirus;Entomobirnavirus drosophilae</t>
  </si>
  <si>
    <t>Riboviria;Orthornavirae;Birnaviridae;Entomobirnavirus;Drosophila X virus</t>
  </si>
  <si>
    <t>Riboviria;Orthornavirae;Birnaviridae;Entomobirnavirus;Entomobirnavirus anophelae</t>
  </si>
  <si>
    <t>Riboviria;Orthornavirae;Birnaviridae;Entomobirnavirus;Mosquito X virus</t>
  </si>
  <si>
    <t>Riboviria;Orthornavirae;Birnaviridae;Dronavirus;Dronavirus drosophilae</t>
  </si>
  <si>
    <t>Riboviria;Orthornavirae;Birnaviridae;Dronavirus;Drosophina B birnavirus</t>
  </si>
  <si>
    <t>Riboviria;Orthornavirae;Birnaviridae;Blosnavirus;Blosnavirus lati</t>
  </si>
  <si>
    <t>Riboviria;Orthornavirae;Birnaviridae;Blosnavirus;Lates calcarifer birnavirus</t>
  </si>
  <si>
    <t>Riboviria;Orthornavirae;Birnaviridae;Blosnavirus;Blosnavirus channae</t>
  </si>
  <si>
    <t>Riboviria;Orthornavirae;Birnaviridae;Blosnavirus;Blotched snakehead virus</t>
  </si>
  <si>
    <t>Riboviria;Orthornavirae;Birnaviridae;Avibirnavirus;Avibirnavirus gumboroense</t>
  </si>
  <si>
    <t>Riboviria;Orthornavirae;Birnaviridae;Avibirnavirus;Infectious bursal disease virus</t>
  </si>
  <si>
    <t>Riboviria;Orthornavirae;Birnaviridae;Aquabirnavirus;Aquabirnavirus tellinae</t>
  </si>
  <si>
    <t>Riboviria;Orthornavirae;Birnaviridae;Aquabirnavirus;Tellina virus</t>
  </si>
  <si>
    <t>Riboviria;Orthornavirae;Birnaviridae;Aquabirnavirus;Aquabirnavirus salmonidae</t>
  </si>
  <si>
    <t>Riboviria;Orthornavirae;Birnaviridae;Aquabirnavirus;Infectious pancreatic necrosis virus</t>
  </si>
  <si>
    <t>Riboviria;Orthornavirae;Birnaviridae;Aquabirnavirus;Aquabirnavirus ascitae</t>
  </si>
  <si>
    <t>Riboviria;Orthornavirae;Birnaviridae;Aquabirnavirus;Yellowtail ascites virus</t>
  </si>
  <si>
    <t>Naldaviricetes;Lefavirales;Nudiviridae;Gammanudivirus;Gammanudivirus pemonodonis</t>
  </si>
  <si>
    <t>Naldaviricetes;Lefavirales;Nudiviridae;Gammanudivirus;Penaeus monodon nudivirus</t>
  </si>
  <si>
    <t>Naldaviricetes;Lefavirales;Nudiviridae;Gammanudivirus;Gammanudivirus hogammari</t>
  </si>
  <si>
    <t>Naldaviricetes;Lefavirales;Nudiviridae;Gammanudivirus;Homarus gammarus nudivirus</t>
  </si>
  <si>
    <t>Naldaviricetes;Lefavirales;Nudiviridae;Gammanudivirus;Gammanudivirus cracrangonis</t>
  </si>
  <si>
    <t>Naldaviricetes;Lefavirales;Nudiviridae;Gammanudivirus;Gammanudivirus cracrangoni</t>
  </si>
  <si>
    <t>Naldaviricetes;Lefavirales;Nudiviridae;Gammanudivirus;Gammanudivirus cameanadis</t>
  </si>
  <si>
    <t>Naldaviricetes;Lefavirales;Nudiviridae;Gammanudivirus;Gammanudivirus camaenasi</t>
  </si>
  <si>
    <t>Naldaviricetes;Lefavirales;Nudiviridae;Deltanudivirus;Deltanudivirus tipoleraceae</t>
  </si>
  <si>
    <t>Naldaviricetes;Lefavirales;Nudiviridae;Deltanudivirus;Tipula oleracea nudivirus</t>
  </si>
  <si>
    <t>Naldaviricetes;Lefavirales;Nudiviridae;Betanudivirus;Betanudivirus hezeae</t>
  </si>
  <si>
    <t>Naldaviricetes;Lefavirales;Nudiviridae;Betanudivirus;Heliothis zea nudivirus</t>
  </si>
  <si>
    <t>Naldaviricetes;Lefavirales;Nudiviridae;Alphanudivirus;Alphanudivirus tertidromelanogasteris</t>
  </si>
  <si>
    <t>Naldaviricetes;Lefavirales;Nudiviridae;Alphanudivirus;Drosophila melanogaster nudivirus C</t>
  </si>
  <si>
    <t>Naldaviricetes;Lefavirales;Nudiviridae;Alphanudivirus;Alphanudivirus quartudromelanogasteris</t>
  </si>
  <si>
    <t>Naldaviricetes;Lefavirales;Nudiviridae;Alphanudivirus;Drosophila melanogaster nudivirus D</t>
  </si>
  <si>
    <t>Naldaviricetes;Lefavirales;Nudiviridae;Alphanudivirus;Alphanudivirus oryrhinocerotis</t>
  </si>
  <si>
    <t>Naldaviricetes;Lefavirales;Nudiviridae;Alphanudivirus;Oryctes rhinoceros nudivirus</t>
  </si>
  <si>
    <t>Naldaviricetes;Lefavirales;Nudiviridae;Alphanudivirus;Alphanudivirus grybimaculati</t>
  </si>
  <si>
    <t>Naldaviricetes;Lefavirales;Nudiviridae;Alphanudivirus;Gryllus bimaculatus nudivirus</t>
  </si>
  <si>
    <t>Naldaviricetes;Lefavirales;Nudiviridae;Alphanudivirus;Alphanudivirus dromelanogasteris</t>
  </si>
  <si>
    <t>Naldaviricetes;Lefavirales;Nudiviridae;Alphanudivirus;Drosophila melanogaster nudivirus A</t>
  </si>
  <si>
    <t>Naldaviricetes;Lefavirales;Nudiviridae;Alphanudivirus;Alphanudivirus droinnubilae</t>
  </si>
  <si>
    <t>Naldaviricetes;Lefavirales;Nudiviridae;Alphanudivirus;Drosophila innubila nudivirus</t>
  </si>
  <si>
    <t>Naldaviricetes;Lefavirales;Nudiviridae;Alphanudivirus;Alphanudivirus alterdromelanogasteris</t>
  </si>
  <si>
    <t>Naldaviricetes;Lefavirales;Nudiviridae;Alphanudivirus;Drosophila melanogaster nudivirus B</t>
  </si>
  <si>
    <t>Naldaviricetes;Lefavirales;Hytrosaviridae;Muscavirus;Muscavirus musdomesticae</t>
  </si>
  <si>
    <t>Naldaviricetes;Lefavirales;Hytrosaviridae;Muscavirus;Musca hytrosavirus</t>
  </si>
  <si>
    <t>Naldaviricetes;Lefavirales;Hytrosaviridae;Glossinavirus;Glossinavirus glopallidipedis</t>
  </si>
  <si>
    <t>Naldaviricetes;Lefavirales;Hytrosaviridae;Glossinavirus;Glossina hytrosavirus</t>
  </si>
  <si>
    <t>Naldaviricetes;Lefavirales;Baculoviridae;Gammabaculovirus;Gammabaculovirus nesertiferis</t>
  </si>
  <si>
    <t>Naldaviricetes;Lefavirales;Baculoviridae;Gammabaculovirus;Neodiprion sertifer nucleopolyhedrovirus</t>
  </si>
  <si>
    <t>Naldaviricetes;Lefavirales;Baculoviridae;Gammabaculovirus;Gammabaculovirus nelecontei</t>
  </si>
  <si>
    <t>Naldaviricetes;Lefavirales;Baculoviridae;Gammabaculovirus;Neodiprion lecontei nucleopolyhedrovirus</t>
  </si>
  <si>
    <t>Naldaviricetes;Lefavirales;Baculoviridae;Deltabaculovirus;Deltabaculovirus cunigripalpi</t>
  </si>
  <si>
    <t>Naldaviricetes;Lefavirales;Baculoviridae;Deltabaculovirus;Culex nigripalpus nucleopolyhedrovirus</t>
  </si>
  <si>
    <t>Naldaviricetes;Lefavirales;Baculoviridae;Betabaculovirus;Betabaculovirus xecnigri</t>
  </si>
  <si>
    <t>Naldaviricetes;Lefavirales;Baculoviridae;Betabaculovirus;Xestia c-nigrum granulovirus</t>
  </si>
  <si>
    <t>Naldaviricetes;Lefavirales;Baculoviridae;Betabaculovirus;Betabaculovirus trini</t>
  </si>
  <si>
    <t>Naldaviricetes;Lefavirales;Baculoviridae;Betabaculovirus;Trichoplusia ni granulovirus</t>
  </si>
  <si>
    <t>Naldaviricetes;Lefavirales;Baculoviridae;Betabaculovirus;Betabaculovirus spofrugiperdae</t>
  </si>
  <si>
    <t>Naldaviricetes;Lefavirales;Baculoviridae;Betabaculovirus;Spodoptera frugiperda granulovirus</t>
  </si>
  <si>
    <t>Naldaviricetes;Lefavirales;Baculoviridae;Betabaculovirus;Betabaculovirus spliturae</t>
  </si>
  <si>
    <t>Naldaviricetes;Lefavirales;Baculoviridae;Betabaculovirus;Spodoptera litura granulovirus</t>
  </si>
  <si>
    <t>Naldaviricetes;Lefavirales;Baculoviridae;Betabaculovirus;Betabaculovirus pluxylostellae</t>
  </si>
  <si>
    <t>Naldaviricetes;Lefavirales;Baculoviridae;Betabaculovirus;Plutella xylostella granulovirus</t>
  </si>
  <si>
    <t>Naldaviricetes;Lefavirales;Baculoviridae;Betabaculovirus;Betabaculovirus plinterpunctellae</t>
  </si>
  <si>
    <t>Naldaviricetes;Lefavirales;Baculoviridae;Betabaculovirus;Plodia interpunctella granulovirus</t>
  </si>
  <si>
    <t>Naldaviricetes;Lefavirales;Baculoviridae;Betabaculovirus;Betabaculovirus phoperculellae</t>
  </si>
  <si>
    <t>Naldaviricetes;Lefavirales;Baculoviridae;Betabaculovirus;Phthorimaea operculella granulovirus</t>
  </si>
  <si>
    <t>Naldaviricetes;Lefavirales;Baculoviridae;Betabaculovirus;Betabaculovirus myunipunctae</t>
  </si>
  <si>
    <t>Naldaviricetes;Lefavirales;Baculoviridae;Betabaculovirus;Mythimna unipuncta granulovirus A</t>
  </si>
  <si>
    <t>Naldaviricetes;Lefavirales;Baculoviridae;Betabaculovirus;Betabaculovirus molatipedis</t>
  </si>
  <si>
    <t>Naldaviricetes;Lefavirales;Baculoviridae;Betabaculovirus;Mocis latipes granulovirus</t>
  </si>
  <si>
    <t>Naldaviricetes;Lefavirales;Baculoviridae;Betabaculovirus;Betabaculovirus lacoleraceae</t>
  </si>
  <si>
    <t>Naldaviricetes;Lefavirales;Baculoviridae;Betabaculovirus;Lacanobia oleracea granulovirus</t>
  </si>
  <si>
    <t>Naldaviricetes;Lefavirales;Baculoviridae;Betabaculovirus;Betabaculovirus hycuneae</t>
  </si>
  <si>
    <t>Naldaviricetes;Lefavirales;Baculoviridae;Betabaculovirus;Betabaculovirus hycunea</t>
  </si>
  <si>
    <t>Naldaviricetes;Lefavirales;Baculoviridae;Betabaculovirus;Betabaculovirus helarmigerae</t>
  </si>
  <si>
    <t>Naldaviricetes;Lefavirales;Baculoviridae;Betabaculovirus;Helicoverpa armigera granulovirus</t>
  </si>
  <si>
    <t>Naldaviricetes;Lefavirales;Baculoviridae;Betabaculovirus;Betabaculovirus habrilliantis</t>
  </si>
  <si>
    <t>Naldaviricetes;Lefavirales;Baculoviridae;Betabaculovirus;Harrisina brillians granulovirus</t>
  </si>
  <si>
    <t>Naldaviricetes;Lefavirales;Baculoviridae;Betabaculovirus;Betabaculovirus erellonis</t>
  </si>
  <si>
    <t>Naldaviricetes;Lefavirales;Baculoviridae;Betabaculovirus;Erinnyis ello granulovirus</t>
  </si>
  <si>
    <t>Naldaviricetes;Lefavirales;Baculoviridae;Betabaculovirus;Betabaculovirus epaporemae</t>
  </si>
  <si>
    <t>Naldaviricetes;Lefavirales;Baculoviridae;Betabaculovirus;Epinotia aporema granulovirus</t>
  </si>
  <si>
    <t>Naldaviricetes;Lefavirales;Baculoviridae;Betabaculovirus;Betabaculovirus disaccharalis</t>
  </si>
  <si>
    <t>Naldaviricetes;Lefavirales;Baculoviridae;Betabaculovirus;Diatraea saccharalis granulovirus</t>
  </si>
  <si>
    <t>Naldaviricetes;Lefavirales;Baculoviridae;Betabaculovirus;Betabaculovirus cypomonellae</t>
  </si>
  <si>
    <t>Naldaviricetes;Lefavirales;Baculoviridae;Betabaculovirus;Cydia pomonella granulovirus</t>
  </si>
  <si>
    <t>Naldaviricetes;Lefavirales;Baculoviridae;Betabaculovirus;Betabaculovirus cryleucotretae</t>
  </si>
  <si>
    <t>Naldaviricetes;Lefavirales;Baculoviridae;Betabaculovirus;Cryptophlebia leucotreta granulovirus</t>
  </si>
  <si>
    <t>Naldaviricetes;Lefavirales;Baculoviridae;Betabaculovirus;Betabaculovirus cnamedinalis</t>
  </si>
  <si>
    <t>Naldaviricetes;Lefavirales;Baculoviridae;Betabaculovirus;Cnaphalocrocis medinalis granulovirus</t>
  </si>
  <si>
    <t>Naldaviricetes;Lefavirales;Baculoviridae;Betabaculovirus;Betabaculovirus clanastomosis</t>
  </si>
  <si>
    <t>Naldaviricetes;Lefavirales;Baculoviridae;Betabaculovirus;Clostera anastomosis granulovirus A</t>
  </si>
  <si>
    <t>Naldaviricetes;Lefavirales;Baculoviridae;Betabaculovirus;Betabaculovirus clanachoretae</t>
  </si>
  <si>
    <t>Naldaviricetes;Lefavirales;Baculoviridae;Betabaculovirus;Clostera anachoreta granulovirus</t>
  </si>
  <si>
    <t>Naldaviricetes;Lefavirales;Baculoviridae;Betabaculovirus;Betabaculovirus chofumiferanae</t>
  </si>
  <si>
    <t>Naldaviricetes;Lefavirales;Baculoviridae;Betabaculovirus;Choristoneura fumiferana granulovirus</t>
  </si>
  <si>
    <t>Naldaviricetes;Lefavirales;Baculoviridae;Betabaculovirus;Betabaculovirus arrapae</t>
  </si>
  <si>
    <t>Naldaviricetes;Lefavirales;Baculoviridae;Betabaculovirus;Artogeia rapae granulovirus</t>
  </si>
  <si>
    <t>Naldaviricetes;Lefavirales;Baculoviridae;Betabaculovirus;Betabaculovirus altermyunipunctae</t>
  </si>
  <si>
    <t>Naldaviricetes;Lefavirales;Baculoviridae;Betabaculovirus;Mythimna unipuncta granulovirus B</t>
  </si>
  <si>
    <t>Naldaviricetes;Lefavirales;Baculoviridae;Betabaculovirus;Betabaculovirus alterclanastomosis</t>
  </si>
  <si>
    <t>Naldaviricetes;Lefavirales;Baculoviridae;Betabaculovirus;Clostera anastomosis granulovirus B</t>
  </si>
  <si>
    <t>Naldaviricetes;Lefavirales;Baculoviridae;Betabaculovirus;Betabaculovirus agsegetum</t>
  </si>
  <si>
    <t>Naldaviricetes;Lefavirales;Baculoviridae;Betabaculovirus;Agrotis segetum granulovirus</t>
  </si>
  <si>
    <t>Naldaviricetes;Lefavirales;Baculoviridae;Betabaculovirus;Betabaculovirus adoranae</t>
  </si>
  <si>
    <t>Naldaviricetes;Lefavirales;Baculoviridae;Betabaculovirus;Adoxophyes orana granulovirus</t>
  </si>
  <si>
    <t>Naldaviricetes;Lefavirales;Baculoviridae;Alphabaculovirus;Aphabaculovirus oxochraceae</t>
  </si>
  <si>
    <t>Naldaviricetes;Lefavirales;Baculoviridae;Alphabaculovirus;Oxyplax ochracea nucleopolyhedrovirus</t>
  </si>
  <si>
    <t>Naldaviricetes;Lefavirales;Baculoviridae;Alphabaculovirus;Alphabaculovirus wisignatae</t>
  </si>
  <si>
    <t>Naldaviricetes;Lefavirales;Baculoviridae;Alphabaculovirus;Wiseana signata nucleopolyhedrovirus</t>
  </si>
  <si>
    <t>Naldaviricetes;Lefavirales;Baculoviridae;Alphabaculovirus;Alphabaculovirus urprotei</t>
  </si>
  <si>
    <t>Naldaviricetes;Lefavirales;Baculoviridae;Alphabaculovirus;Urbanus proteus nucleopolyhedrovirus</t>
  </si>
  <si>
    <t>Naldaviricetes;Lefavirales;Baculoviridae;Alphabaculovirus;Alphabaculovirus trini</t>
  </si>
  <si>
    <t>Naldaviricetes;Lefavirales;Baculoviridae;Alphabaculovirus;Trichoplusia ni single nucleopolyhedrovirus</t>
  </si>
  <si>
    <t>Naldaviricetes;Lefavirales;Baculoviridae;Alphabaculovirus;Alphabaculovirus thorichlaceae</t>
  </si>
  <si>
    <t>Naldaviricetes;Lefavirales;Baculoviridae;Alphabaculovirus;Thysanoplusia orichalcea nucleopolyhedrovirus</t>
  </si>
  <si>
    <t>Naldaviricetes;Lefavirales;Baculoviridae;Alphabaculovirus;Alphabaculovirus sujujubae</t>
  </si>
  <si>
    <t>Naldaviricetes;Lefavirales;Baculoviridae;Alphabaculovirus;Sucra jujuba nucleopolyhedrovirus</t>
  </si>
  <si>
    <t>Naldaviricetes;Lefavirales;Baculoviridae;Alphabaculovirus;Alphabaculovirus spofrugiperdae</t>
  </si>
  <si>
    <t>Naldaviricetes;Lefavirales;Baculoviridae;Alphabaculovirus;Spodoptera frugiperda multiple nucleopolyhedrovirus</t>
  </si>
  <si>
    <t>Naldaviricetes;Lefavirales;Baculoviridae;Alphabaculovirus;Alphabaculovirus spliturae</t>
  </si>
  <si>
    <t>Naldaviricetes;Lefavirales;Baculoviridae;Alphabaculovirus;Spodoptera litura nucleopolyhedrovirus</t>
  </si>
  <si>
    <t>Naldaviricetes;Lefavirales;Baculoviridae;Alphabaculovirus;Alphabaculovirus splittoralis</t>
  </si>
  <si>
    <t>Naldaviricetes;Lefavirales;Baculoviridae;Alphabaculovirus;Spodoptera littoralis nucleopolyhedrovirus</t>
  </si>
  <si>
    <t>Naldaviricetes;Lefavirales;Baculoviridae;Alphabaculovirus;Alphabaculovirus spexiguae</t>
  </si>
  <si>
    <t>Naldaviricetes;Lefavirales;Baculoviridae;Alphabaculovirus;Spodoptera exigua multiple nucleopolyhedrovirus A</t>
  </si>
  <si>
    <t>Naldaviricetes;Lefavirales;Baculoviridae;Alphabaculovirus;Alphabaculovirus spexemptae</t>
  </si>
  <si>
    <t>Naldaviricetes;Lefavirales;Baculoviridae;Alphabaculovirus;Spodoptera exempta nucleopolyhedrovirus</t>
  </si>
  <si>
    <t>Naldaviricetes;Lefavirales;Baculoviridae;Alphabaculovirus;Alphabaculovirus speridanae</t>
  </si>
  <si>
    <t>Naldaviricetes;Lefavirales;Baculoviridae;Alphabaculovirus;Spodoptera eridania nucleopolyhedrovirus</t>
  </si>
  <si>
    <t>Naldaviricetes;Lefavirales;Baculoviridae;Alphabaculovirus;Alphabaculovirus ranus</t>
  </si>
  <si>
    <t>Naldaviricetes;Lefavirales;Baculoviridae;Alphabaculovirus;Alphabaculovirus ranu</t>
  </si>
  <si>
    <t>Naldaviricetes;Lefavirales;Baculoviridae;Alphabaculovirus;Alphabaculovirus pesauciae</t>
  </si>
  <si>
    <t>Naldaviricetes;Lefavirales;Baculoviridae;Alphabaculovirus;Peridroma saucia nucleopolyhedrovirus</t>
  </si>
  <si>
    <t>Naldaviricetes;Lefavirales;Baculoviridae;Alphabaculovirus;Alphabaculovirus peluscae</t>
  </si>
  <si>
    <t>Naldaviricetes;Lefavirales;Baculoviridae;Alphabaculovirus;Perigonia lusca nucleopolyhedrovirus</t>
  </si>
  <si>
    <t>Naldaviricetes;Lefavirales;Baculoviridae;Alphabaculovirus;Alphabaculovirus orpseudotsugatae</t>
  </si>
  <si>
    <t>Naldaviricetes;Lefavirales;Baculoviridae;Alphabaculovirus;Orgyia pseudotsugata multiple nucleopolyhedrovirus</t>
  </si>
  <si>
    <t>Naldaviricetes;Lefavirales;Baculoviridae;Alphabaculovirus;Alphabaculovirus orleucostigmae</t>
  </si>
  <si>
    <t>Naldaviricetes;Lefavirales;Baculoviridae;Alphabaculovirus;Orgyia leucostigma nucleopolyhedrovirus</t>
  </si>
  <si>
    <t>Naldaviricetes;Lefavirales;Baculoviridae;Alphabaculovirus;Alphabaculovirus opbrumatae</t>
  </si>
  <si>
    <t>Naldaviricetes;Lefavirales;Baculoviridae;Alphabaculovirus;Operophtera brumata nucleopolyhedrovirus</t>
  </si>
  <si>
    <t>Naldaviricetes;Lefavirales;Baculoviridae;Alphabaculovirus;Alphabaculovirus myunipunctae</t>
  </si>
  <si>
    <t>Naldaviricetes;Lefavirales;Baculoviridae;Alphabaculovirus;Mythimna unipuncta nucleopolyhedrovirus A</t>
  </si>
  <si>
    <t>Naldaviricetes;Lefavirales;Baculoviridae;Alphabaculovirus;Alphabaculovirus mavitratae</t>
  </si>
  <si>
    <t>Naldaviricetes;Lefavirales;Baculoviridae;Alphabaculovirus;Maruca vitrata nucleopolyhedrovirus</t>
  </si>
  <si>
    <t>Naldaviricetes;Lefavirales;Baculoviridae;Alphabaculovirus;Alphabaculovirus maconfiguratae</t>
  </si>
  <si>
    <t>Naldaviricetes;Lefavirales;Baculoviridae;Alphabaculovirus;Mamestra configurata nucleopolyhedrovirus A</t>
  </si>
  <si>
    <t>Naldaviricetes;Lefavirales;Baculoviridae;Alphabaculovirus;Alphabaculovirus mabrassicae</t>
  </si>
  <si>
    <t>Naldaviricetes;Lefavirales;Baculoviridae;Alphabaculovirus;Mamestra brassicae multiple nucleopolyhedrovirus</t>
  </si>
  <si>
    <t>Naldaviricetes;Lefavirales;Baculoviridae;Alphabaculovirus;Alphabaculovirus lyxylinae</t>
  </si>
  <si>
    <t>Naldaviricetes;Lefavirales;Baculoviridae;Alphabaculovirus;Lymantria xylina nucleopolyhedrovirus</t>
  </si>
  <si>
    <t>Naldaviricetes;Lefavirales;Baculoviridae;Alphabaculovirus;Alphabaculovirus lydisparis</t>
  </si>
  <si>
    <t>Naldaviricetes;Lefavirales;Baculoviridae;Alphabaculovirus;Lymantria dispar multiple nucleopolyhedrovirus</t>
  </si>
  <si>
    <t>Naldaviricetes;Lefavirales;Baculoviridae;Alphabaculovirus;Alphabaculovirus lonobliquae</t>
  </si>
  <si>
    <t>Naldaviricetes;Lefavirales;Baculoviridae;Alphabaculovirus;Lonomia obliqua nucleopolyhedrovirus</t>
  </si>
  <si>
    <t>Naldaviricetes;Lefavirales;Baculoviridae;Alphabaculovirus;Alphabaculovirus leseparatae</t>
  </si>
  <si>
    <t>Naldaviricetes;Lefavirales;Baculoviridae;Alphabaculovirus;Leucania separata nucleopolyhedrovirus</t>
  </si>
  <si>
    <t>Naldaviricetes;Lefavirales;Baculoviridae;Alphabaculovirus;Alphabaculovirus lafiscellariae</t>
  </si>
  <si>
    <t>Naldaviricetes;Lefavirales;Baculoviridae;Alphabaculovirus;Lambdina fiscellaria nucleopolyhedrovirus</t>
  </si>
  <si>
    <t>Naldaviricetes;Lefavirales;Baculoviridae;Alphabaculovirus;Alphabaculovirus hytalacae</t>
  </si>
  <si>
    <t>Naldaviricetes;Lefavirales;Baculoviridae;Alphabaculovirus;Hyposidra talaca nucleopolyhedrovirus</t>
  </si>
  <si>
    <t>Naldaviricetes;Lefavirales;Baculoviridae;Alphabaculovirus;Alphabaculovirus hycuneae</t>
  </si>
  <si>
    <t>Naldaviricetes;Lefavirales;Baculoviridae;Alphabaculovirus;Hyphantria cunea nucleopolyhedrovirus</t>
  </si>
  <si>
    <t>Naldaviricetes;Lefavirales;Baculoviridae;Alphabaculovirus;Alphabaculovirus heleucae</t>
  </si>
  <si>
    <t>Naldaviricetes;Lefavirales;Baculoviridae;Alphabaculovirus;Hemileuca species nucleopolyhedrovirus</t>
  </si>
  <si>
    <t>Naldaviricetes;Lefavirales;Baculoviridae;Alphabaculovirus;Alphabaculovirus helarmigerae</t>
  </si>
  <si>
    <t>Naldaviricetes;Lefavirales;Baculoviridae;Alphabaculovirus;Helicoverpa armigera nucleopolyhedrovirus</t>
  </si>
  <si>
    <t>Naldaviricetes;Lefavirales;Baculoviridae;Alphabaculovirus;Alphabaculovirus eupseudoconspersae</t>
  </si>
  <si>
    <t>Naldaviricetes;Lefavirales;Baculoviridae;Alphabaculovirus;Euproctis pseudoconspersa nucleopolyhedrovirus</t>
  </si>
  <si>
    <t>Naldaviricetes;Lefavirales;Baculoviridae;Alphabaculovirus;Alphabaculovirus eppostvittanae</t>
  </si>
  <si>
    <t>Naldaviricetes;Lefavirales;Baculoviridae;Alphabaculovirus;Epiphyas postvittana nucleopolyhedrovirus</t>
  </si>
  <si>
    <t>Naldaviricetes;Lefavirales;Baculoviridae;Alphabaculovirus;Alphabaculovirus ecobliquae</t>
  </si>
  <si>
    <t>Naldaviricetes;Lefavirales;Baculoviridae;Alphabaculovirus;Ectropis obliqua nucleopolyhedrovirus</t>
  </si>
  <si>
    <t>Naldaviricetes;Lefavirales;Baculoviridae;Alphabaculovirus;Alphabaculovirus dijunonis</t>
  </si>
  <si>
    <t>Naldaviricetes;Lefavirales;Baculoviridae;Alphabaculovirus;Alphabaculovirus dijuno</t>
  </si>
  <si>
    <t>Naldaviricetes;Lefavirales;Baculoviridae;Alphabaculovirus;Alphabaculovirus cycundantis</t>
  </si>
  <si>
    <t>Naldaviricetes;Lefavirales;Baculoviridae;Alphabaculovirus;Cyclophragma undans nucleopolyhedrovirus</t>
  </si>
  <si>
    <t>Naldaviricetes;Lefavirales;Baculoviridae;Alphabaculovirus;Alphabaculovirus crypeltasicae</t>
  </si>
  <si>
    <t>Naldaviricetes;Lefavirales;Baculoviridae;Alphabaculovirus;Cryptophlebia peltastica nucleopolyhedrovirus</t>
  </si>
  <si>
    <t>Naldaviricetes;Lefavirales;Baculoviridae;Alphabaculovirus;Alphabaculovirus covestigialis</t>
  </si>
  <si>
    <t>Naldaviricetes;Lefavirales;Baculoviridae;Alphabaculovirus;Condylorrhiza vestigialis nucleopolyhedrovirus</t>
  </si>
  <si>
    <t>Naldaviricetes;Lefavirales;Baculoviridae;Alphabaculovirus;Alphabaculovirus clabilineatae</t>
  </si>
  <si>
    <t>Naldaviricetes;Lefavirales;Baculoviridae;Alphabaculovirus;Clanis bilineata nucleopolyhedrovirus</t>
  </si>
  <si>
    <t>Naldaviricetes;Lefavirales;Baculoviridae;Alphabaculovirus;Alphabaculovirus chrychalcites</t>
  </si>
  <si>
    <t>Naldaviricetes;Lefavirales;Baculoviridae;Alphabaculovirus;Chrysodeixis chalcites nucleopolyhedrovirus</t>
  </si>
  <si>
    <t>Naldaviricetes;Lefavirales;Baculoviridae;Alphabaculovirus;Alphabaculovirus chrincludentis</t>
  </si>
  <si>
    <t>Naldaviricetes;Lefavirales;Baculoviridae;Alphabaculovirus;Chrysodeixis includens nucleopolyhedrovirus</t>
  </si>
  <si>
    <t>Naldaviricetes;Lefavirales;Baculoviridae;Alphabaculovirus;Alphabaculovirus chorosaceanae</t>
  </si>
  <si>
    <t>Naldaviricetes;Lefavirales;Baculoviridae;Alphabaculovirus;Choristoneura rosaceana nucleopolyhedrovirus</t>
  </si>
  <si>
    <t>Naldaviricetes;Lefavirales;Baculoviridae;Alphabaculovirus;Alphabaculovirus chomurinanae</t>
  </si>
  <si>
    <t>Naldaviricetes;Lefavirales;Baculoviridae;Alphabaculovirus;Choristoneura murinana nucleopolyhedrovirus</t>
  </si>
  <si>
    <t>Naldaviricetes;Lefavirales;Baculoviridae;Alphabaculovirus;Alphabaculovirus chofumiferanae</t>
  </si>
  <si>
    <t>Naldaviricetes;Lefavirales;Baculoviridae;Alphabaculovirus;Choristoneura fumiferana multiple nucleopolyhedrovirus</t>
  </si>
  <si>
    <t>Naldaviricetes;Lefavirales;Baculoviridae;Alphabaculovirus;Alphabaculovirus capomonae</t>
  </si>
  <si>
    <t>Naldaviricetes;Lefavirales;Baculoviridae;Alphabaculovirus;Catopsilia pomona nucleopolyhedrovirus</t>
  </si>
  <si>
    <t>Naldaviricetes;Lefavirales;Baculoviridae;Alphabaculovirus;Alphabaculovirus busuppressariae</t>
  </si>
  <si>
    <t>Naldaviricetes;Lefavirales;Baculoviridae;Alphabaculovirus;Buzura suppressaria nucleopolyhedrovirus</t>
  </si>
  <si>
    <t>Naldaviricetes;Lefavirales;Baculoviridae;Alphabaculovirus;Alphabaculovirus bomori</t>
  </si>
  <si>
    <t>Naldaviricetes;Lefavirales;Baculoviridae;Alphabaculovirus;Bombyx mori nucleopolyhedrovirus</t>
  </si>
  <si>
    <t>Naldaviricetes;Lefavirales;Baculoviridae;Alphabaculovirus;Alphabaculovirus aucalifonicae</t>
  </si>
  <si>
    <t>Naldaviricetes;Lefavirales;Baculoviridae;Alphabaculovirus;Autographa californica multiple nucleopolyhedrovirus</t>
  </si>
  <si>
    <t>Naldaviricetes;Lefavirales;Baculoviridae;Alphabaculovirus;Alphabaculovirus ardigrammae</t>
  </si>
  <si>
    <t>Naldaviricetes;Lefavirales;Baculoviridae;Alphabaculovirus;Alphabaculovirus ardigramma</t>
  </si>
  <si>
    <t>Naldaviricetes;Lefavirales;Baculoviridae;Alphabaculovirus;Alphabaculovirus anpernyi</t>
  </si>
  <si>
    <t>Naldaviricetes;Lefavirales;Baculoviridae;Alphabaculovirus;Antheraea pernyi nucleopolyhedrovirus</t>
  </si>
  <si>
    <t>Naldaviricetes;Lefavirales;Baculoviridae;Alphabaculovirus;Alphabaculovirus angemmatalis</t>
  </si>
  <si>
    <t>Naldaviricetes;Lefavirales;Baculoviridae;Alphabaculovirus;Anticarsia gemmatalis multiple nucleopolyhedrovirus</t>
  </si>
  <si>
    <t>Naldaviricetes;Lefavirales;Baculoviridae;Alphabaculovirus;Alphabaculovirus alterspexiguae</t>
  </si>
  <si>
    <t>Naldaviricetes;Lefavirales;Baculoviridae;Alphabaculovirus;Spodoptera exigua multiple nucleopolyhedrovirus B</t>
  </si>
  <si>
    <t>Naldaviricetes;Lefavirales;Baculoviridae;Alphabaculovirus;Alphabaculovirus altersperidanae</t>
  </si>
  <si>
    <t>Naldaviricetes;Lefavirales;Baculoviridae;Alphabaculovirus;Alphabaculovirus speridania-b</t>
  </si>
  <si>
    <t>Naldaviricetes;Lefavirales;Baculoviridae;Alphabaculovirus;Alphabaculovirus altermyunipunctae</t>
  </si>
  <si>
    <t>Naldaviricetes;Lefavirales;Baculoviridae;Alphabaculovirus;Mythimna unipuncta nucleopolyhedrovirus B</t>
  </si>
  <si>
    <t>Naldaviricetes;Lefavirales;Baculoviridae;Alphabaculovirus;Alphabaculovirus altermaconfiguratae</t>
  </si>
  <si>
    <t>Naldaviricetes;Lefavirales;Baculoviridae;Alphabaculovirus;Mamestra configurata nucleopolyhedrovirus B</t>
  </si>
  <si>
    <t>Naldaviricetes;Lefavirales;Baculoviridae;Alphabaculovirus;Alphabaculovirus alterchofumiferanae</t>
  </si>
  <si>
    <t>Naldaviricetes;Lefavirales;Baculoviridae;Alphabaculovirus;Choristoneura fumiferana DEF multiple nucleopolyhedrovirus</t>
  </si>
  <si>
    <t>Naldaviricetes;Lefavirales;Baculoviridae;Alphabaculovirus;Alphabaculovirus alteragsegetum</t>
  </si>
  <si>
    <t>Naldaviricetes;Lefavirales;Baculoviridae;Alphabaculovirus;Agrotis segetum nucleopolyhedrovirus B</t>
  </si>
  <si>
    <t>Naldaviricetes;Lefavirales;Baculoviridae;Alphabaculovirus;Alphabaculovirus agsegetum</t>
  </si>
  <si>
    <t>Naldaviricetes;Lefavirales;Baculoviridae;Alphabaculovirus;Agrotis segetum nucleopolyhedrovirus A</t>
  </si>
  <si>
    <t>Naldaviricetes;Lefavirales;Baculoviridae;Alphabaculovirus;Alphabaculovirus agipsilonis</t>
  </si>
  <si>
    <t>Naldaviricetes;Lefavirales;Baculoviridae;Alphabaculovirus;Agrotis ipsilon multiple nucleopolyhedrovirus</t>
  </si>
  <si>
    <t>Naldaviricetes;Lefavirales;Baculoviridae;Alphabaculovirus;Alphabaculovirus adhonmai</t>
  </si>
  <si>
    <t>Naldaviricetes;Lefavirales;Baculoviridae;Alphabaculovirus;Adoxophyes honmai nucleopolyhedrovirus</t>
  </si>
  <si>
    <t>Monodnaviria;Shotokuvirae;Cressdnaviricota;Arfiviricetes;Cirlivirales;Circoviridae;Cyclovirus;Cyclovirus yarasa</t>
  </si>
  <si>
    <t>Monodnaviria;Shotokuvirae;Cressdnaviricota;Arfiviricetes;Cirlivirales;Circoviridae;Cyclovirus;Bat associated cyclovirus 11</t>
  </si>
  <si>
    <t>Monodnaviria;Shotokuvirae;Cressdnaviricota;Arfiviricetes;Cirlivirales;Circoviridae;Cyclovirus;Cyclovirus vazka</t>
  </si>
  <si>
    <t>Monodnaviria;Shotokuvirae;Cressdnaviricota;Arfiviricetes;Cirlivirales;Circoviridae;Cyclovirus;Dragonfly associated cyclovirus 4</t>
  </si>
  <si>
    <t>Monodnaviria;Shotokuvirae;Cressdnaviricota;Arfiviricetes;Cirlivirales;Circoviridae;Cyclovirus;Cyclovirus tonbo</t>
  </si>
  <si>
    <t>Monodnaviria;Shotokuvirae;Cressdnaviricota;Arfiviricetes;Cirlivirales;Circoviridae;Cyclovirus;Dragonfly associated cyclovirus 3</t>
  </si>
  <si>
    <t>Monodnaviria;Shotokuvirae;Cressdnaviricota;Arfiviricetes;Cirlivirales;Circoviridae;Cyclovirus;Cyclovirus tarako</t>
  </si>
  <si>
    <t>Monodnaviria;Shotokuvirae;Cressdnaviricota;Arfiviricetes;Cirlivirales;Circoviridae;Cyclovirus;Dragonfly associated cyclovirus 8</t>
  </si>
  <si>
    <t>Monodnaviria;Shotokuvirae;Cressdnaviricota;Arfiviricetes;Cirlivirales;Circoviridae;Cyclovirus;Cyclovirus taniilai</t>
  </si>
  <si>
    <t>Monodnaviria;Shotokuvirae;Cressdnaviricota;Arfiviricetes;Cirlivirales;Circoviridae;Cyclovirus;Dragonfly associated cyclovirus 2</t>
  </si>
  <si>
    <t>Monodnaviria;Shotokuvirae;Cressdnaviricota;Arfiviricetes;Cirlivirales;Circoviridae;Cyclovirus;Cyclovirus sokwe</t>
  </si>
  <si>
    <t>Monodnaviria;Shotokuvirae;Cressdnaviricota;Arfiviricetes;Cirlivirales;Circoviridae;Cyclovirus;Chimpanzee associated cyclovirus 1</t>
  </si>
  <si>
    <t>Monodnaviria;Shotokuvirae;Cressdnaviricota;Arfiviricetes;Cirlivirales;Circoviridae;Cyclovirus;Cyclovirus sismis</t>
  </si>
  <si>
    <t>Monodnaviria;Shotokuvirae;Cressdnaviricota;Arfiviricetes;Cirlivirales;Circoviridae;Cyclovirus;Bat associated cyclovirus 4</t>
  </si>
  <si>
    <t>Monodnaviria;Shotokuvirae;Cressdnaviricota;Arfiviricetes;Cirlivirales;Circoviridae;Cyclovirus;Cyclovirus roedor</t>
  </si>
  <si>
    <t>Monodnaviria;Shotokuvirae;Cressdnaviricota;Arfiviricetes;Cirlivirales;Circoviridae;Cyclovirus;Capybara associated cyclovirus</t>
  </si>
  <si>
    <t>Monodnaviria;Shotokuvirae;Cressdnaviricota;Arfiviricetes;Cirlivirales;Circoviridae;Cyclovirus;Cyclovirus roach</t>
  </si>
  <si>
    <t>Monodnaviria;Shotokuvirae;Cressdnaviricota;Arfiviricetes;Cirlivirales;Circoviridae;Cyclovirus;Cockroach associated cyclovirus 1</t>
  </si>
  <si>
    <t>Monodnaviria;Shotokuvirae;Cressdnaviricota;Arfiviricetes;Cirlivirales;Circoviridae;Cyclovirus;Cyclovirus risi</t>
  </si>
  <si>
    <t>Monodnaviria;Shotokuvirae;Cressdnaviricota;Arfiviricetes;Cirlivirales;Circoviridae;Cyclovirus;Squirrel associated cyclovirus 1</t>
  </si>
  <si>
    <t>Monodnaviria;Shotokuvirae;Cressdnaviricota;Arfiviricetes;Cirlivirales;Circoviridae;Cyclovirus;Cyclovirus rata</t>
  </si>
  <si>
    <t>Monodnaviria;Shotokuvirae;Cressdnaviricota;Arfiviricetes;Cirlivirales;Circoviridae;Cyclovirus;Rodent associated cyclovirus 1</t>
  </si>
  <si>
    <t>Monodnaviria;Shotokuvirae;Cressdnaviricota;Arfiviricetes;Cirlivirales;Circoviridae;Cyclovirus;Cyclovirus popo</t>
  </si>
  <si>
    <t>Monodnaviria;Shotokuvirae;Cressdnaviricota;Arfiviricetes;Cirlivirales;Circoviridae;Cyclovirus;Bat associated cyclovirus 6</t>
  </si>
  <si>
    <t>Monodnaviria;Shotokuvirae;Cressdnaviricota;Arfiviricetes;Cirlivirales;Circoviridae;Cyclovirus;Cyclovirus podgana</t>
  </si>
  <si>
    <t>Monodnaviria;Shotokuvirae;Cressdnaviricota;Arfiviricetes;Cirlivirales;Circoviridae;Cyclovirus;Rodent associated cyclovirus 2</t>
  </si>
  <si>
    <t>Monodnaviria;Shotokuvirae;Cressdnaviricota;Arfiviricetes;Cirlivirales;Circoviridae;Cyclovirus;Cyclovirus pekapeka</t>
  </si>
  <si>
    <t>Monodnaviria;Shotokuvirae;Cressdnaviricota;Arfiviricetes;Cirlivirales;Circoviridae;Cyclovirus;Bat associated cyclovirus 16</t>
  </si>
  <si>
    <t>Monodnaviria;Shotokuvirae;Cressdnaviricota;Arfiviricetes;Cirlivirales;Circoviridae;Cyclovirus;Cyclovirus peka</t>
  </si>
  <si>
    <t>Monodnaviria;Shotokuvirae;Cressdnaviricota;Arfiviricetes;Cirlivirales;Circoviridae;Cyclovirus;Bat associated cyclovirus 14</t>
  </si>
  <si>
    <t>Monodnaviria;Shotokuvirae;Cressdnaviricota;Arfiviricetes;Cirlivirales;Circoviridae;Cyclovirus;Cyclovirus pea</t>
  </si>
  <si>
    <t>Monodnaviria;Shotokuvirae;Cressdnaviricota;Arfiviricetes;Cirlivirales;Circoviridae;Cyclovirus;Bat associated cyclovirus 15</t>
  </si>
  <si>
    <t>Monodnaviria;Shotokuvirae;Cressdnaviricota;Arfiviricetes;Cirlivirales;Circoviridae;Cyclovirus;Cyclovirus nietoperz</t>
  </si>
  <si>
    <t>Monodnaviria;Shotokuvirae;Cressdnaviricota;Arfiviricetes;Cirlivirales;Circoviridae;Cyclovirus;Bat associated cyclovirus 13</t>
  </si>
  <si>
    <t>Monodnaviria;Shotokuvirae;Cressdnaviricota;Arfiviricetes;Cirlivirales;Circoviridae;Cyclovirus;Cyclovirus nhanloai</t>
  </si>
  <si>
    <t>Monodnaviria;Shotokuvirae;Cressdnaviricota;Arfiviricetes;Cirlivirales;Circoviridae;Cyclovirus;Human associated cyclovirus 8</t>
  </si>
  <si>
    <t>Monodnaviria;Shotokuvirae;Cressdnaviricota;Arfiviricetes;Cirlivirales;Circoviridae;Cyclovirus;Cyclovirus namu</t>
  </si>
  <si>
    <t>Monodnaviria;Shotokuvirae;Cressdnaviricota;Arfiviricetes;Cirlivirales;Circoviridae;Cyclovirus;Dragonfly associated cyclovirus 7</t>
  </si>
  <si>
    <t>Monodnaviria;Shotokuvirae;Cressdnaviricota;Arfiviricetes;Cirlivirales;Circoviridae;Cyclovirus;Cyclovirus nahkhiir</t>
  </si>
  <si>
    <t>Monodnaviria;Shotokuvirae;Cressdnaviricota;Arfiviricetes;Cirlivirales;Circoviridae;Cyclovirus;Bat associated cyclovirus 8</t>
  </si>
  <si>
    <t>Monodnaviria;Shotokuvirae;Cressdnaviricota;Arfiviricetes;Cirlivirales;Circoviridae;Cyclovirus;Cyclovirus naastsosi</t>
  </si>
  <si>
    <t>Monodnaviria;Shotokuvirae;Cressdnaviricota;Arfiviricetes;Cirlivirales;Circoviridae;Cyclovirus;Mouse associated cyclovirus 1</t>
  </si>
  <si>
    <t>Monodnaviria;Shotokuvirae;Cressdnaviricota;Arfiviricetes;Cirlivirales;Circoviridae;Cyclovirus;Cyclovirus naahoohai</t>
  </si>
  <si>
    <t>Monodnaviria;Shotokuvirae;Cressdnaviricota;Arfiviricetes;Cirlivirales;Circoviridae;Cyclovirus;Chicken associated cyclovirus 2</t>
  </si>
  <si>
    <t>Monodnaviria;Shotokuvirae;Cressdnaviricota;Arfiviricetes;Cirlivirales;Circoviridae;Cyclovirus;Cyclovirus mutum</t>
  </si>
  <si>
    <t>Monodnaviria;Shotokuvirae;Cressdnaviricota;Arfiviricetes;Cirlivirales;Circoviridae;Cyclovirus;Human associated cyclovirus 7</t>
  </si>
  <si>
    <t>Monodnaviria;Shotokuvirae;Cressdnaviricota;Arfiviricetes;Cirlivirales;Circoviridae;Cyclovirus;Cyclovirus munthu</t>
  </si>
  <si>
    <t>Monodnaviria;Shotokuvirae;Cressdnaviricota;Arfiviricetes;Cirlivirales;Circoviridae;Cyclovirus;Human associated cyclovirus 9</t>
  </si>
  <si>
    <t>Monodnaviria;Shotokuvirae;Cressdnaviricota;Arfiviricetes;Cirlivirales;Circoviridae;Cyclovirus;Cyclovirus mmadu</t>
  </si>
  <si>
    <t>Monodnaviria;Shotokuvirae;Cressdnaviricota;Arfiviricetes;Cirlivirales;Circoviridae;Cyclovirus;Human associated cyclovirus 6</t>
  </si>
  <si>
    <t>Monodnaviria;Shotokuvirae;Cressdnaviricota;Arfiviricetes;Cirlivirales;Circoviridae;Cyclovirus;Cyclovirus mchwa</t>
  </si>
  <si>
    <t>Monodnaviria;Shotokuvirae;Cressdnaviricota;Arfiviricetes;Cirlivirales;Circoviridae;Cyclovirus;Ant associated cyclovirus 1</t>
  </si>
  <si>
    <t>Monodnaviria;Shotokuvirae;Cressdnaviricota;Arfiviricetes;Cirlivirales;Circoviridae;Cyclovirus;Cyclovirus manusyan</t>
  </si>
  <si>
    <t>Monodnaviria;Shotokuvirae;Cressdnaviricota;Arfiviricetes;Cirlivirales;Circoviridae;Cyclovirus;Human associated cyclovirus 12</t>
  </si>
  <si>
    <t>Monodnaviria;Shotokuvirae;Cressdnaviricota;Arfiviricetes;Cirlivirales;Circoviridae;Cyclovirus;Cyclovirus manukha</t>
  </si>
  <si>
    <t>Monodnaviria;Shotokuvirae;Cressdnaviricota;Arfiviricetes;Cirlivirales;Circoviridae;Cyclovirus;Human associated cyclovirus 3</t>
  </si>
  <si>
    <t>Monodnaviria;Shotokuvirae;Cressdnaviricota;Arfiviricetes;Cirlivirales;Circoviridae;Cyclovirus;Cyclovirus manitan</t>
  </si>
  <si>
    <t>Monodnaviria;Shotokuvirae;Cressdnaviricota;Arfiviricetes;Cirlivirales;Circoviridae;Cyclovirus;Human associated cyclovirus 11</t>
  </si>
  <si>
    <t>Monodnaviria;Shotokuvirae;Cressdnaviricota;Arfiviricetes;Cirlivirales;Circoviridae;Cyclovirus;Cyclovirus maanav</t>
  </si>
  <si>
    <t>Monodnaviria;Shotokuvirae;Cressdnaviricota;Arfiviricetes;Cirlivirales;Circoviridae;Cyclovirus;Human associated cyclovirus 1</t>
  </si>
  <si>
    <t>Monodnaviria;Shotokuvirae;Cressdnaviricota;Arfiviricetes;Cirlivirales;Circoviridae;Cyclovirus;Cyclovirus liliac</t>
  </si>
  <si>
    <t>Monodnaviria;Shotokuvirae;Cressdnaviricota;Arfiviricetes;Cirlivirales;Circoviridae;Cyclovirus;Bat associated cyclovirus 7</t>
  </si>
  <si>
    <t>Monodnaviria;Shotokuvirae;Cressdnaviricota;Arfiviricetes;Cirlivirales;Circoviridae;Cyclovirus;Cyclovirus libelula</t>
  </si>
  <si>
    <t>Monodnaviria;Shotokuvirae;Cressdnaviricota;Arfiviricetes;Cirlivirales;Circoviridae;Cyclovirus;Dragonfly associated cyclovirus 5</t>
  </si>
  <si>
    <t>Monodnaviria;Shotokuvirae;Cressdnaviricota;Arfiviricetes;Cirlivirales;Circoviridae;Cyclovirus;Cyclovirus kisikisi</t>
  </si>
  <si>
    <t>Monodnaviria;Shotokuvirae;Cressdnaviricota;Arfiviricetes;Cirlivirales;Circoviridae;Cyclovirus;Dragonfly associated cyclovirus 1</t>
  </si>
  <si>
    <t>Monodnaviria;Shotokuvirae;Cressdnaviricota;Arfiviricetes;Cirlivirales;Circoviridae;Cyclovirus;Cyclovirus kiroptero</t>
  </si>
  <si>
    <t>Monodnaviria;Shotokuvirae;Cressdnaviricota;Arfiviricetes;Cirlivirales;Circoviridae;Cyclovirus;Bat associated cyclovirus 3</t>
  </si>
  <si>
    <t>Monodnaviria;Shotokuvirae;Cressdnaviricota;Arfiviricetes;Cirlivirales;Circoviridae;Cyclovirus;Cyclovirus khangkhaw</t>
  </si>
  <si>
    <t>Monodnaviria;Shotokuvirae;Cressdnaviricota;Arfiviricetes;Cirlivirales;Circoviridae;Cyclovirus;Bat associated cyclovirus 9</t>
  </si>
  <si>
    <t>Monodnaviria;Shotokuvirae;Cressdnaviricota;Arfiviricetes;Cirlivirales;Circoviridae;Cyclovirus;Cyclovirus kacsa</t>
  </si>
  <si>
    <t>Monodnaviria;Shotokuvirae;Cressdnaviricota;Arfiviricetes;Cirlivirales;Circoviridae;Cyclovirus;Duck associated cyclovirus 1</t>
  </si>
  <si>
    <t>Monodnaviria;Shotokuvirae;Cressdnaviricota;Arfiviricetes;Cirlivirales;Circoviridae;Cyclovirus;Cyclovirus jemage</t>
  </si>
  <si>
    <t>Monodnaviria;Shotokuvirae;Cressdnaviricota;Arfiviricetes;Cirlivirales;Circoviridae;Cyclovirus;Bat associated cyclovirus 2</t>
  </si>
  <si>
    <t>Monodnaviria;Shotokuvirae;Cressdnaviricota;Arfiviricetes;Cirlivirales;Circoviridae;Cyclovirus;Cyclovirus jaaabani</t>
  </si>
  <si>
    <t>Monodnaviria;Shotokuvirae;Cressdnaviricota;Arfiviricetes;Cirlivirales;Circoviridae;Cyclovirus;Bat associated cyclovirus 1</t>
  </si>
  <si>
    <t>Monodnaviria;Shotokuvirae;Cressdnaviricota;Arfiviricetes;Cirlivirales;Circoviridae;Cyclovirus;Cyclovirus insaan</t>
  </si>
  <si>
    <t>Monodnaviria;Shotokuvirae;Cressdnaviricota;Arfiviricetes;Cirlivirales;Circoviridae;Cyclovirus;Human associated cyclovirus 2</t>
  </si>
  <si>
    <t>Monodnaviria;Shotokuvirae;Cressdnaviricota;Arfiviricetes;Cirlivirales;Circoviridae;Cyclovirus;Cyclovirus humana</t>
  </si>
  <si>
    <t>Monodnaviria;Shotokuvirae;Cressdnaviricota;Arfiviricetes;Cirlivirales;Circoviridae;Cyclovirus;Human associated cyclovirus 10</t>
  </si>
  <si>
    <t>Monodnaviria;Shotokuvirae;Cressdnaviricota;Arfiviricetes;Cirlivirales;Circoviridae;Cyclovirus;Cyclovirus homa</t>
  </si>
  <si>
    <t>Monodnaviria;Shotokuvirae;Cressdnaviricota;Arfiviricetes;Cirlivirales;Circoviridae;Cyclovirus;Human associated cyclovirus 5</t>
  </si>
  <si>
    <t>Monodnaviria;Shotokuvirae;Cressdnaviricota;Arfiviricetes;Cirlivirales;Circoviridae;Cyclovirus;Cyclovirus gato</t>
  </si>
  <si>
    <t>Monodnaviria;Shotokuvirae;Cressdnaviricota;Arfiviricetes;Cirlivirales;Circoviridae;Cyclovirus;Feline associated cyclovirus 1</t>
  </si>
  <si>
    <t>Monodnaviria;Shotokuvirae;Cressdnaviricota;Arfiviricetes;Cirlivirales;Circoviridae;Cyclovirus;Cyclovirus gaaye</t>
  </si>
  <si>
    <t>Monodnaviria;Shotokuvirae;Cressdnaviricota;Arfiviricetes;Cirlivirales;Circoviridae;Cyclovirus;Bovine associated cyclovirus 1</t>
  </si>
  <si>
    <t>Monodnaviria;Shotokuvirae;Cressdnaviricota;Arfiviricetes;Cirlivirales;Circoviridae;Cyclovirus;Cyclovirus flagermus</t>
  </si>
  <si>
    <t>Monodnaviria;Shotokuvirae;Cressdnaviricota;Arfiviricetes;Cirlivirales;Circoviridae;Cyclovirus;Bat associated cyclovirus 5</t>
  </si>
  <si>
    <t>Monodnaviria;Shotokuvirae;Cressdnaviricota;Arfiviricetes;Cirlivirales;Circoviridae;Cyclovirus;Cyclovirus doi</t>
  </si>
  <si>
    <t>Monodnaviria;Shotokuvirae;Cressdnaviricota;Arfiviricetes;Cirlivirales;Circoviridae;Cyclovirus;Bat associated cyclovirus 12</t>
  </si>
  <si>
    <t>Monodnaviria;Shotokuvirae;Cressdnaviricota;Arfiviricetes;Cirlivirales;Circoviridae;Cyclovirus;Cyclovirus caballo</t>
  </si>
  <si>
    <t>Monodnaviria;Shotokuvirae;Cressdnaviricota;Arfiviricetes;Cirlivirales;Circoviridae;Cyclovirus;Horse associated cyclovirus 1</t>
  </si>
  <si>
    <t>Monodnaviria;Shotokuvirae;Cressdnaviricota;Arfiviricetes;Cirlivirales;Circoviridae;Cyclovirus;Cyclovirus bastao</t>
  </si>
  <si>
    <t>Monodnaviria;Shotokuvirae;Cressdnaviricota;Arfiviricetes;Cirlivirales;Circoviridae;Cyclovirus;Bat associated cyclovirus 10</t>
  </si>
  <si>
    <t>Monodnaviria;Shotokuvirae;Cressdnaviricota;Arfiviricetes;Cirlivirales;Circoviridae;Cyclovirus;Cyclovirus bashri</t>
  </si>
  <si>
    <t>Monodnaviria;Shotokuvirae;Cressdnaviricota;Arfiviricetes;Cirlivirales;Circoviridae;Cyclovirus;Human associated cyclovirus 4</t>
  </si>
  <si>
    <t>Monodnaviria;Shotokuvirae;Cressdnaviricota;Arfiviricetes;Cirlivirales;Circoviridae;Cyclovirus;Cyclovirus bakri</t>
  </si>
  <si>
    <t>Monodnaviria;Shotokuvirae;Cressdnaviricota;Arfiviricetes;Cirlivirales;Circoviridae;Cyclovirus;Goat associated cyclovirus 1</t>
  </si>
  <si>
    <t>Monodnaviria;Shotokuvirae;Cressdnaviricota;Arfiviricetes;Cirlivirales;Circoviridae;Cyclovirus;Cyclovirus babka</t>
  </si>
  <si>
    <t>Monodnaviria;Shotokuvirae;Cressdnaviricota;Arfiviricetes;Cirlivirales;Circoviridae;Cyclovirus;Dragonfly associated cyclovirus 6</t>
  </si>
  <si>
    <t>Monodnaviria;Shotokuvirae;Cressdnaviricota;Arfiviricetes;Cirlivirales;Circoviridae;Cyclovirus;Cyclovirus adie</t>
  </si>
  <si>
    <t>Monodnaviria;Shotokuvirae;Cressdnaviricota;Arfiviricetes;Cirlivirales;Circoviridae;Cyclovirus;Chicken associated cyclovirus 1</t>
  </si>
  <si>
    <t>Monodnaviria;Shotokuvirae;Cressdnaviricota;Arfiviricetes;Cirlivirales;Circoviridae;Cyclovirus;Cyclovirus aasiak</t>
  </si>
  <si>
    <t>Monodnaviria;Shotokuvirae;Cressdnaviricota;Arfiviricetes;Cirlivirales;Circoviridae;Cyclovirus;Spider associated cyclovirus 1</t>
  </si>
  <si>
    <t>Monodnaviria;Shotokuvirae;Cressdnaviricota;Arfiviricetes;Cirlivirales;Circoviridae;Circovirus;Circovirus zebrafinch</t>
  </si>
  <si>
    <t>Monodnaviria;Shotokuvirae;Cressdnaviricota;Arfiviricetes;Cirlivirales;Circoviridae;Circovirus;Zebra finch circovirus</t>
  </si>
  <si>
    <t>Monodnaviria;Shotokuvirae;Cressdnaviricota;Arfiviricetes;Cirlivirales;Circoviridae;Circovirus;Circovirus yaa</t>
  </si>
  <si>
    <t>Monodnaviria;Shotokuvirae;Cressdnaviricota;Arfiviricetes;Cirlivirales;Circoviridae;Circovirus;Tick associated circovirus 1</t>
  </si>
  <si>
    <t>Monodnaviria;Shotokuvirae;Cressdnaviricota;Arfiviricetes;Cirlivirales;Circoviridae;Circovirus;Circovirus whale</t>
  </si>
  <si>
    <t>Monodnaviria;Shotokuvirae;Cressdnaviricota;Arfiviricetes;Cirlivirales;Circoviridae;Circovirus;Whale circovirus</t>
  </si>
  <si>
    <t>Monodnaviria;Shotokuvirae;Cressdnaviricota;Arfiviricetes;Cirlivirales;Circoviridae;Circovirus;Circovirus vleermuis</t>
  </si>
  <si>
    <t>Monodnaviria;Shotokuvirae;Cressdnaviricota;Arfiviricetes;Cirlivirales;Circoviridae;Circovirus;Bat associated circovirus 2</t>
  </si>
  <si>
    <t>Monodnaviria;Shotokuvirae;Cressdnaviricota;Arfiviricetes;Cirlivirales;Circoviridae;Circovirus;Circovirus swan</t>
  </si>
  <si>
    <t>Monodnaviria;Shotokuvirae;Cressdnaviricota;Arfiviricetes;Cirlivirales;Circoviridae;Circovirus;Swan circovirus</t>
  </si>
  <si>
    <t>Monodnaviria;Shotokuvirae;Cressdnaviricota;Arfiviricetes;Cirlivirales;Circoviridae;Circovirus;Circovirus starling</t>
  </si>
  <si>
    <t>Monodnaviria;Shotokuvirae;Cressdnaviricota;Arfiviricetes;Cirlivirales;Circoviridae;Circovirus;Starling circovirus</t>
  </si>
  <si>
    <t>Monodnaviria;Shotokuvirae;Cressdnaviricota;Arfiviricetes;Cirlivirales;Circoviridae;Circovirus;Circovirus siksparnis</t>
  </si>
  <si>
    <t>Monodnaviria;Shotokuvirae;Cressdnaviricota;Arfiviricetes;Cirlivirales;Circoviridae;Circovirus;Bat associated circovirus 11</t>
  </si>
  <si>
    <t>Monodnaviria;Shotokuvirae;Cressdnaviricota;Arfiviricetes;Cirlivirales;Circoviridae;Circovirus;Circovirus saguzarra</t>
  </si>
  <si>
    <t>Monodnaviria;Shotokuvirae;Cressdnaviricota;Arfiviricetes;Cirlivirales;Circoviridae;Circovirus;Bat associated circovirus 5</t>
  </si>
  <si>
    <t>Monodnaviria;Shotokuvirae;Cressdnaviricota;Arfiviricetes;Cirlivirales;Circoviridae;Circovirus;Circovirus rosegador</t>
  </si>
  <si>
    <t>Monodnaviria;Shotokuvirae;Cressdnaviricota;Arfiviricetes;Cirlivirales;Circoviridae;Circovirus;Rodent associated circovirus 4</t>
  </si>
  <si>
    <t>Monodnaviria;Shotokuvirae;Cressdnaviricota;Arfiviricetes;Cirlivirales;Circoviridae;Circovirus;Circovirus rongeur</t>
  </si>
  <si>
    <t>Monodnaviria;Shotokuvirae;Cressdnaviricota;Arfiviricetes;Cirlivirales;Circoviridae;Circovirus;Rodent associated circovirus 1</t>
  </si>
  <si>
    <t>Monodnaviria;Shotokuvirae;Cressdnaviricota;Arfiviricetes;Cirlivirales;Circoviridae;Circovirus;Circovirus roditore</t>
  </si>
  <si>
    <t>Monodnaviria;Shotokuvirae;Cressdnaviricota;Arfiviricetes;Cirlivirales;Circoviridae;Circovirus;Rodent associated circovirus 3</t>
  </si>
  <si>
    <t>Monodnaviria;Shotokuvirae;Cressdnaviricota;Arfiviricetes;Cirlivirales;Circoviridae;Circovirus;Circovirus raven</t>
  </si>
  <si>
    <t>Monodnaviria;Shotokuvirae;Cressdnaviricota;Arfiviricetes;Cirlivirales;Circoviridae;Circovirus;Raven circovirus</t>
  </si>
  <si>
    <t>Monodnaviria;Shotokuvirae;Cressdnaviricota;Arfiviricetes;Cirlivirales;Circoviridae;Circovirus;Circovirus ratpenat</t>
  </si>
  <si>
    <t>Monodnaviria;Shotokuvirae;Cressdnaviricota;Arfiviricetes;Cirlivirales;Circoviridae;Circovirus;Bat associated circovirus 6</t>
  </si>
  <si>
    <t>Monodnaviria;Shotokuvirae;Cressdnaviricota;Arfiviricetes;Cirlivirales;Circoviridae;Circovirus;Circovirus porcine4</t>
  </si>
  <si>
    <t>Monodnaviria;Shotokuvirae;Cressdnaviricota;Arfiviricetes;Cirlivirales;Circoviridae;Circovirus;Porcine circovirus 4</t>
  </si>
  <si>
    <t>Monodnaviria;Shotokuvirae;Cressdnaviricota;Arfiviricetes;Cirlivirales;Circoviridae;Circovirus;Circovirus porcine3</t>
  </si>
  <si>
    <t>Monodnaviria;Shotokuvirae;Cressdnaviricota;Arfiviricetes;Cirlivirales;Circoviridae;Circovirus;Porcine circovirus 3</t>
  </si>
  <si>
    <t>Monodnaviria;Shotokuvirae;Cressdnaviricota;Arfiviricetes;Cirlivirales;Circoviridae;Circovirus;Circovirus porcine2</t>
  </si>
  <si>
    <t>Monodnaviria;Shotokuvirae;Cressdnaviricota;Arfiviricetes;Cirlivirales;Circoviridae;Circovirus;Porcine circovirus 2</t>
  </si>
  <si>
    <t>Monodnaviria;Shotokuvirae;Cressdnaviricota;Arfiviricetes;Cirlivirales;Circoviridae;Circovirus;Circovirus porcine1</t>
  </si>
  <si>
    <t>Monodnaviria;Shotokuvirae;Cressdnaviricota;Arfiviricetes;Cirlivirales;Circoviridae;Circovirus;Porcine circovirus 1</t>
  </si>
  <si>
    <t>Monodnaviria;Shotokuvirae;Cressdnaviricota;Arfiviricetes;Cirlivirales;Circoviridae;Circovirus;Circovirus pipistrello</t>
  </si>
  <si>
    <t>Monodnaviria;Shotokuvirae;Cressdnaviricota;Arfiviricetes;Cirlivirales;Circoviridae;Circovirus;Bat associated circovirus 13</t>
  </si>
  <si>
    <t>Monodnaviria;Shotokuvirae;Cressdnaviricota;Arfiviricetes;Cirlivirales;Circoviridae;Circovirus;Circovirus pigeon</t>
  </si>
  <si>
    <t>Monodnaviria;Shotokuvirae;Cressdnaviricota;Arfiviricetes;Cirlivirales;Circoviridae;Circovirus;Pigeon circovirus</t>
  </si>
  <si>
    <t>Monodnaviria;Shotokuvirae;Cressdnaviricota;Arfiviricetes;Cirlivirales;Circoviridae;Circovirus;Circovirus pichong</t>
  </si>
  <si>
    <t>Monodnaviria;Shotokuvirae;Cressdnaviricota;Arfiviricetes;Cirlivirales;Circoviridae;Circovirus;Tick associated circovirus 2</t>
  </si>
  <si>
    <t>Monodnaviria;Shotokuvirae;Cressdnaviricota;Arfiviricetes;Cirlivirales;Circoviridae;Circovirus;Circovirus penguin</t>
  </si>
  <si>
    <t>Monodnaviria;Shotokuvirae;Cressdnaviricota;Arfiviricetes;Cirlivirales;Circoviridae;Circovirus;Penguin circovirus</t>
  </si>
  <si>
    <t>Monodnaviria;Shotokuvirae;Cressdnaviricota;Arfiviricetes;Cirlivirales;Circoviridae;Circovirus;Circovirus parrot</t>
  </si>
  <si>
    <t>Monodnaviria;Shotokuvirae;Cressdnaviricota;Arfiviricetes;Cirlivirales;Circoviridae;Circovirus;Beak and feather disease virus</t>
  </si>
  <si>
    <t>Monodnaviria;Shotokuvirae;Cressdnaviricota;Arfiviricetes;Cirlivirales;Circoviridae;Circovirus;Circovirus mossi</t>
  </si>
  <si>
    <t>Monodnaviria;Shotokuvirae;Cressdnaviricota;Arfiviricetes;Cirlivirales;Circoviridae;Circovirus;Mosquito associated circovirus 1</t>
  </si>
  <si>
    <t>Monodnaviria;Shotokuvirae;Cressdnaviricota;Arfiviricetes;Cirlivirales;Circoviridae;Circovirus;Circovirus morcego</t>
  </si>
  <si>
    <t>Monodnaviria;Shotokuvirae;Cressdnaviricota;Arfiviricetes;Cirlivirales;Circoviridae;Circovirus;Bat associated circovirus 8</t>
  </si>
  <si>
    <t>Monodnaviria;Shotokuvirae;Cressdnaviricota;Arfiviricetes;Cirlivirales;Circoviridae;Circovirus;Circovirus mink</t>
  </si>
  <si>
    <t>Monodnaviria;Shotokuvirae;Cressdnaviricota;Arfiviricetes;Cirlivirales;Circoviridae;Circovirus;Mink circovirus</t>
  </si>
  <si>
    <t>Monodnaviria;Shotokuvirae;Cressdnaviricota;Arfiviricetes;Cirlivirales;Circoviridae;Circovirus;Circovirus lepakko</t>
  </si>
  <si>
    <t>Monodnaviria;Shotokuvirae;Cressdnaviricota;Arfiviricetes;Cirlivirales;Circoviridae;Circovirus;Bat associated circovirus 7</t>
  </si>
  <si>
    <t>Monodnaviria;Shotokuvirae;Cressdnaviricota;Arfiviricetes;Cirlivirales;Circoviridae;Circovirus;Circovirus kiore</t>
  </si>
  <si>
    <t>Monodnaviria;Shotokuvirae;Cressdnaviricota;Arfiviricetes;Cirlivirales;Circoviridae;Circovirus;Rodent associated circovirus 2</t>
  </si>
  <si>
    <t>Monodnaviria;Shotokuvirae;Cressdnaviricota;Arfiviricetes;Cirlivirales;Circoviridae;Circovirus;Circovirus kelawar</t>
  </si>
  <si>
    <t>Monodnaviria;Shotokuvirae;Cressdnaviricota;Arfiviricetes;Cirlivirales;Circoviridae;Circovirus;Bat associated circovirus 9</t>
  </si>
  <si>
    <t>Monodnaviria;Shotokuvirae;Cressdnaviricota;Arfiviricetes;Cirlivirales;Circoviridae;Circovirus;Circovirus impundu</t>
  </si>
  <si>
    <t>Monodnaviria;Shotokuvirae;Cressdnaviricota;Arfiviricetes;Cirlivirales;Circoviridae;Circovirus;Chimpanzee associated circovirus 1</t>
  </si>
  <si>
    <t>Monodnaviria;Shotokuvirae;Cressdnaviricota;Arfiviricetes;Cirlivirales;Circoviridae;Circovirus;Circovirus ialtag</t>
  </si>
  <si>
    <t>Monodnaviria;Shotokuvirae;Cressdnaviricota;Arfiviricetes;Cirlivirales;Circoviridae;Circovirus;Bat associated circovirus 10</t>
  </si>
  <si>
    <t>Monodnaviria;Shotokuvirae;Cressdnaviricota;Arfiviricetes;Cirlivirales;Circoviridae;Circovirus;Circovirus gull</t>
  </si>
  <si>
    <t>Monodnaviria;Shotokuvirae;Cressdnaviricota;Arfiviricetes;Cirlivirales;Circoviridae;Circovirus;Gull circovirus</t>
  </si>
  <si>
    <t>Monodnaviria;Shotokuvirae;Cressdnaviricota;Arfiviricetes;Cirlivirales;Circoviridae;Circovirus;Circovirus gryzon</t>
  </si>
  <si>
    <t>Monodnaviria;Shotokuvirae;Cressdnaviricota;Arfiviricetes;Cirlivirales;Circoviridae;Circovirus;Rodent associated circovirus 7</t>
  </si>
  <si>
    <t>Monodnaviria;Shotokuvirae;Cressdnaviricota;Arfiviricetes;Cirlivirales;Circoviridae;Circovirus;Circovirus goose</t>
  </si>
  <si>
    <t>Monodnaviria;Shotokuvirae;Cressdnaviricota;Arfiviricetes;Cirlivirales;Circoviridae;Circovirus;Goose circovirus</t>
  </si>
  <si>
    <t>Monodnaviria;Shotokuvirae;Cressdnaviricota;Arfiviricetes;Cirlivirales;Circoviridae;Circovirus;Circovirus gnaver</t>
  </si>
  <si>
    <t>Monodnaviria;Shotokuvirae;Cressdnaviricota;Arfiviricetes;Cirlivirales;Circoviridae;Circovirus;Rodent associated circovirus 5</t>
  </si>
  <si>
    <t>Monodnaviria;Shotokuvirae;Cressdnaviricota;Arfiviricetes;Cirlivirales;Circoviridae;Circovirus;Circovirus finch</t>
  </si>
  <si>
    <t>Monodnaviria;Shotokuvirae;Cressdnaviricota;Arfiviricetes;Cirlivirales;Circoviridae;Circovirus;Finch circovirus</t>
  </si>
  <si>
    <t>Monodnaviria;Shotokuvirae;Cressdnaviricota;Arfiviricetes;Cirlivirales;Circoviridae;Circovirus;Circovirus eniyan</t>
  </si>
  <si>
    <t>Monodnaviria;Shotokuvirae;Cressdnaviricota;Arfiviricetes;Cirlivirales;Circoviridae;Circovirus;Human associated circovirus 1</t>
  </si>
  <si>
    <t>Monodnaviria;Shotokuvirae;Cressdnaviricota;Arfiviricetes;Cirlivirales;Circoviridae;Circovirus;Circovirus elk</t>
  </si>
  <si>
    <t>Monodnaviria;Shotokuvirae;Cressdnaviricota;Arfiviricetes;Cirlivirales;Circoviridae;Circovirus;Elk circovirus</t>
  </si>
  <si>
    <t>Monodnaviria;Shotokuvirae;Cressdnaviricota;Arfiviricetes;Cirlivirales;Circoviridae;Circovirus;Circovirus duck</t>
  </si>
  <si>
    <t>Monodnaviria;Shotokuvirae;Cressdnaviricota;Arfiviricetes;Cirlivirales;Circoviridae;Circovirus;Duck circovirus</t>
  </si>
  <si>
    <t>Monodnaviria;Shotokuvirae;Cressdnaviricota;Arfiviricetes;Cirlivirales;Circoviridae;Circovirus;Circovirus daga</t>
  </si>
  <si>
    <t>Monodnaviria;Shotokuvirae;Cressdnaviricota;Arfiviricetes;Cirlivirales;Circoviridae;Circovirus;Rodent associated circovirus 6</t>
  </si>
  <si>
    <t>Monodnaviria;Shotokuvirae;Cressdnaviricota;Arfiviricetes;Cirlivirales;Circoviridae;Circovirus;Circovirus civet</t>
  </si>
  <si>
    <t>Monodnaviria;Shotokuvirae;Cressdnaviricota;Arfiviricetes;Cirlivirales;Circoviridae;Circovirus;Civet circovirus</t>
  </si>
  <si>
    <t>Monodnaviria;Shotokuvirae;Cressdnaviricota;Arfiviricetes;Cirlivirales;Circoviridae;Circovirus;Circovirus cia</t>
  </si>
  <si>
    <t>Monodnaviria;Shotokuvirae;Cressdnaviricota;Arfiviricetes;Cirlivirales;Circoviridae;Circovirus;Bat associated circovirus 12</t>
  </si>
  <si>
    <t>Monodnaviria;Shotokuvirae;Cressdnaviricota;Arfiviricetes;Cirlivirales;Circoviridae;Circovirus;Circovirus chauvesouris</t>
  </si>
  <si>
    <t>Monodnaviria;Shotokuvirae;Cressdnaviricota;Arfiviricetes;Cirlivirales;Circoviridae;Circovirus;Bat associated circovirus 1</t>
  </si>
  <si>
    <t>Monodnaviria;Shotokuvirae;Cressdnaviricota;Arfiviricetes;Cirlivirales;Circoviridae;Circovirus;Circovirus catfish</t>
  </si>
  <si>
    <t>Monodnaviria;Shotokuvirae;Cressdnaviricota;Arfiviricetes;Cirlivirales;Circoviridae;Circovirus;European catfish circovirus</t>
  </si>
  <si>
    <t>Monodnaviria;Shotokuvirae;Cressdnaviricota;Arfiviricetes;Cirlivirales;Circoviridae;Circovirus;Circovirus canine</t>
  </si>
  <si>
    <t>Monodnaviria;Shotokuvirae;Cressdnaviricota;Arfiviricetes;Cirlivirales;Circoviridae;Circovirus;Canine circovirus</t>
  </si>
  <si>
    <t>Monodnaviria;Shotokuvirae;Cressdnaviricota;Arfiviricetes;Cirlivirales;Circoviridae;Circovirus;Circovirus canary</t>
  </si>
  <si>
    <t>Monodnaviria;Shotokuvirae;Cressdnaviricota;Arfiviricetes;Cirlivirales;Circoviridae;Circovirus;Canary circovirus</t>
  </si>
  <si>
    <t>Monodnaviria;Shotokuvirae;Cressdnaviricota;Arfiviricetes;Cirlivirales;Circoviridae;Circovirus;Circovirus bianfu</t>
  </si>
  <si>
    <t>Monodnaviria;Shotokuvirae;Cressdnaviricota;Arfiviricetes;Cirlivirales;Circoviridae;Circovirus;Bat associated circovirus 3</t>
  </si>
  <si>
    <t>Monodnaviria;Shotokuvirae;Cressdnaviricota;Arfiviricetes;Cirlivirales;Circoviridae;Circovirus;Circovirus bear</t>
  </si>
  <si>
    <t>Monodnaviria;Shotokuvirae;Cressdnaviricota;Arfiviricetes;Cirlivirales;Circoviridae;Circovirus;Bear circovirus</t>
  </si>
  <si>
    <t>Monodnaviria;Shotokuvirae;Cressdnaviricota;Arfiviricetes;Cirlivirales;Circoviridae;Circovirus;Circovirus bastao</t>
  </si>
  <si>
    <t>Monodnaviria;Shotokuvirae;Cressdnaviricota;Arfiviricetes;Cirlivirales;Circoviridae;Circovirus;Bat associated circovirus 4</t>
  </si>
  <si>
    <t>Monodnaviria;Shotokuvirae;Cressdnaviricota;Arfiviricetes;Cirlivirales;Circoviridae;Circovirus;Circovirus barbel</t>
  </si>
  <si>
    <t>Monodnaviria;Shotokuvirae;Cressdnaviricota;Arfiviricetes;Cirlivirales;Circoviridae;Circovirus;Barbel circovirus</t>
  </si>
  <si>
    <t>Monodnaviria;Shotokuvirae;Cressdnaviricota;Arfiviricetes;Baphyvirales;Bacilladnaviridae;Seawadnavirus;Seawadnavirus kuhtahan</t>
  </si>
  <si>
    <t>Monodnaviria;Shotokuvirae;Cressdnaviricota;Arfiviricetes;Baphyvirales;Bacilladnaviridae;Protobacilladnavirus;Marine protobacilladnavirus 1</t>
  </si>
  <si>
    <t>Monodnaviria;Shotokuvirae;Cressdnaviricota;Arfiviricetes;Baphyvirales;Bacilladnaviridae;Protobacilladnavirus;Protobacilladnavirus tenuis</t>
  </si>
  <si>
    <t>Monodnaviria;Shotokuvirae;Cressdnaviricota;Arfiviricetes;Baphyvirales;Bacilladnaviridae;Protobacilladnavirus;Chaetoceros protobacilladnavirus 4</t>
  </si>
  <si>
    <t>Monodnaviria;Shotokuvirae;Cressdnaviricota;Arfiviricetes;Baphyvirales;Bacilladnaviridae;Protobacilladnavirus;Protobacilladnavirus mudflat</t>
  </si>
  <si>
    <t>Monodnaviria;Shotokuvirae;Cressdnaviricota;Arfiviricetes;Baphyvirales;Bacilladnaviridae;Protobacilladnavirus;Snail associated protobacilladnavirus 1</t>
  </si>
  <si>
    <t>Monodnaviria;Shotokuvirae;Cressdnaviricota;Arfiviricetes;Baphyvirales;Bacilladnaviridae;Protobacilladnavirus;Protobacilladnavirus hasleos</t>
  </si>
  <si>
    <t>Monodnaviria;Shotokuvirae;Cressdnaviricota;Arfiviricetes;Baphyvirales;Bacilladnaviridae;Protobacilladnavirus;Snail associated protobacilladnavirus 2</t>
  </si>
  <si>
    <t>Monodnaviria;Shotokuvirae;Cressdnaviricota;Arfiviricetes;Baphyvirales;Bacilladnaviridae;Protobacilladnavirus;Protobacilladnavirus chasesal</t>
  </si>
  <si>
    <t>Monodnaviria;Shotokuvirae;Cressdnaviricota;Arfiviricetes;Baphyvirales;Bacilladnaviridae;Protobacilladnavirus;Chaetoceros protobacilladnavirus 1</t>
  </si>
  <si>
    <t>Monodnaviria;Shotokuvirae;Cressdnaviricota;Arfiviricetes;Baphyvirales;Bacilladnaviridae;Protobacilladnavirus;Protobacilladnavirus chaetoc</t>
  </si>
  <si>
    <t>Monodnaviria;Shotokuvirae;Cressdnaviricota;Arfiviricetes;Baphyvirales;Bacilladnaviridae;Protobacilladnavirus;Chaetoceros protobacilladnavirus 2</t>
  </si>
  <si>
    <t>Monodnaviria;Shotokuvirae;Cressdnaviricota;Arfiviricetes;Baphyvirales;Bacilladnaviridae;Protobacilladnavirus;Protobacilladnavirus chaelor</t>
  </si>
  <si>
    <t>Monodnaviria;Shotokuvirae;Cressdnaviricota;Arfiviricetes;Baphyvirales;Bacilladnaviridae;Protobacilladnavirus;Chaetoceros protobacilladnavirus 3</t>
  </si>
  <si>
    <t>Monodnaviria;Shotokuvirae;Cressdnaviricota;Arfiviricetes;Baphyvirales;Bacilladnaviridae;Kieseladnavirus;Kieseladnavirus ampcren</t>
  </si>
  <si>
    <t>Monodnaviria;Shotokuvirae;Cressdnaviricota;Arfiviricetes;Baphyvirales;Bacilladnaviridae;Kieseladnavirus;Avon-Heathcote Estuary associated kieseladnavirus</t>
  </si>
  <si>
    <t>Monodnaviria;Shotokuvirae;Cressdnaviricota;Arfiviricetes;Baphyvirales;Bacilladnaviridae;Diatodnavirus;Diatodnavirus chaese</t>
  </si>
  <si>
    <t>Monodnaviria;Shotokuvirae;Cressdnaviricota;Arfiviricetes;Baphyvirales;Bacilladnaviridae;Diatodnavirus;Chaetoceros diatodnavirus 1</t>
  </si>
  <si>
    <t>Monodnaviria;Shotokuvirae;Cossaviricota;Quintoviricetes;Piccovirales;Parvoviridae;Parvovirinae;Tetraparvovirus;Tetraparvovirus ungulate4</t>
  </si>
  <si>
    <t>Monodnaviria;Shotokuvirae;Cossaviricota;Quintoviricetes;Piccovirales;Parvoviridae;Parvovirinae;Tetraparvovirus;Ungulate tetraparvovirus 4</t>
  </si>
  <si>
    <t>Monodnaviria;Shotokuvirae;Cossaviricota;Quintoviricetes;Piccovirales;Parvoviridae;Parvovirinae;Tetraparvovirus;Tetraparvovirus ungulate3</t>
  </si>
  <si>
    <t>Monodnaviria;Shotokuvirae;Cossaviricota;Quintoviricetes;Piccovirales;Parvoviridae;Parvovirinae;Tetraparvovirus;Ungulate tetraparvovirus 3</t>
  </si>
  <si>
    <t>Monodnaviria;Shotokuvirae;Cossaviricota;Quintoviricetes;Piccovirales;Parvoviridae;Parvovirinae;Tetraparvovirus;Tetraparvovirus ungulate2</t>
  </si>
  <si>
    <t>Monodnaviria;Shotokuvirae;Cossaviricota;Quintoviricetes;Piccovirales;Parvoviridae;Parvovirinae;Tetraparvovirus;Ungulate tetraparvovirus 2</t>
  </si>
  <si>
    <t>Monodnaviria;Shotokuvirae;Cossaviricota;Quintoviricetes;Piccovirales;Parvoviridae;Parvovirinae;Tetraparvovirus;Tetraparvovirus ungulate1</t>
  </si>
  <si>
    <t>Monodnaviria;Shotokuvirae;Cossaviricota;Quintoviricetes;Piccovirales;Parvoviridae;Parvovirinae;Tetraparvovirus;Ungulate tetraparvovirus 1</t>
  </si>
  <si>
    <t>Monodnaviria;Shotokuvirae;Cossaviricota;Quintoviricetes;Piccovirales;Parvoviridae;Parvovirinae;Tetraparvovirus;Tetraparvovirus primate1</t>
  </si>
  <si>
    <t>Monodnaviria;Shotokuvirae;Cossaviricota;Quintoviricetes;Piccovirales;Parvoviridae;Parvovirinae;Tetraparvovirus;Primate tetraparvovirus 1</t>
  </si>
  <si>
    <t>Monodnaviria;Shotokuvirae;Cossaviricota;Quintoviricetes;Piccovirales;Parvoviridae;Parvovirinae;Tetraparvovirus;Tetraparvovirus chiropteran1</t>
  </si>
  <si>
    <t>Monodnaviria;Shotokuvirae;Cossaviricota;Quintoviricetes;Piccovirales;Parvoviridae;Parvovirinae;Tetraparvovirus;Chiropteran tetraparvovirus 1</t>
  </si>
  <si>
    <t>Monodnaviria;Shotokuvirae;Cossaviricota;Quintoviricetes;Piccovirales;Parvoviridae;Parvovirinae;Protoparvovirus;Protoparvovirus ungulate2</t>
  </si>
  <si>
    <t>Monodnaviria;Shotokuvirae;Cossaviricota;Quintoviricetes;Piccovirales;Parvoviridae;Parvovirinae;Protoparvovirus;Ungulate protoparvovirus 2</t>
  </si>
  <si>
    <t>Monodnaviria;Shotokuvirae;Cossaviricota;Quintoviricetes;Piccovirales;Parvoviridae;Parvovirinae;Protoparvovirus;Protoparvovirus ungulate1</t>
  </si>
  <si>
    <t>Monodnaviria;Shotokuvirae;Cossaviricota;Quintoviricetes;Piccovirales;Parvoviridae;Parvovirinae;Protoparvovirus;Ungulate protoparvovirus 1</t>
  </si>
  <si>
    <t>Monodnaviria;Shotokuvirae;Cossaviricota;Quintoviricetes;Piccovirales;Parvoviridae;Parvovirinae;Protoparvovirus;Protoparvovirus rodent3</t>
  </si>
  <si>
    <t>Monodnaviria;Shotokuvirae;Cossaviricota;Quintoviricetes;Piccovirales;Parvoviridae;Parvovirinae;Protoparvovirus;Rodent protoparvovirus 3</t>
  </si>
  <si>
    <t>Monodnaviria;Shotokuvirae;Cossaviricota;Quintoviricetes;Piccovirales;Parvoviridae;Parvovirinae;Protoparvovirus;Protoparvovirus rodent2</t>
  </si>
  <si>
    <t>Monodnaviria;Shotokuvirae;Cossaviricota;Quintoviricetes;Piccovirales;Parvoviridae;Parvovirinae;Protoparvovirus;Rodent protoparvovirus 2</t>
  </si>
  <si>
    <t>Monodnaviria;Shotokuvirae;Cossaviricota;Quintoviricetes;Piccovirales;Parvoviridae;Parvovirinae;Protoparvovirus;Protoparvovirus rodent1</t>
  </si>
  <si>
    <t>Monodnaviria;Shotokuvirae;Cossaviricota;Quintoviricetes;Piccovirales;Parvoviridae;Parvovirinae;Protoparvovirus;Rodent protoparvovirus 1</t>
  </si>
  <si>
    <t>Monodnaviria;Shotokuvirae;Cossaviricota;Quintoviricetes;Piccovirales;Parvoviridae;Parvovirinae;Protoparvovirus;Protoparvovirus primate3</t>
  </si>
  <si>
    <t>Monodnaviria;Shotokuvirae;Cossaviricota;Quintoviricetes;Piccovirales;Parvoviridae;Parvovirinae;Protoparvovirus;Primate protoparvovirus 3</t>
  </si>
  <si>
    <t>Monodnaviria;Shotokuvirae;Cossaviricota;Quintoviricetes;Piccovirales;Parvoviridae;Parvovirinae;Protoparvovirus;Protoparvovirus primate2</t>
  </si>
  <si>
    <t>Monodnaviria;Shotokuvirae;Cossaviricota;Quintoviricetes;Piccovirales;Parvoviridae;Parvovirinae;Protoparvovirus;Primate protoparvovirus 2</t>
  </si>
  <si>
    <t>Monodnaviria;Shotokuvirae;Cossaviricota;Quintoviricetes;Piccovirales;Parvoviridae;Parvovirinae;Protoparvovirus;Protoparvovirus primate1</t>
  </si>
  <si>
    <t>Monodnaviria;Shotokuvirae;Cossaviricota;Quintoviricetes;Piccovirales;Parvoviridae;Parvovirinae;Protoparvovirus;Primate protoparvovirus 1</t>
  </si>
  <si>
    <t>Monodnaviria;Shotokuvirae;Cossaviricota;Quintoviricetes;Piccovirales;Parvoviridae;Parvovirinae;Protoparvovirus;Protoparvovirus incertum1</t>
  </si>
  <si>
    <t>Monodnaviria;Shotokuvirae;Cossaviricota;Quintoviricetes;Piccovirales;Parvoviridae;Parvovirinae;Protoparvovirus;Primate protoparvovirus 4</t>
  </si>
  <si>
    <t>Monodnaviria;Shotokuvirae;Cossaviricota;Quintoviricetes;Piccovirales;Parvoviridae;Parvovirinae;Protoparvovirus;Protoparvovirus eulipotyphla1</t>
  </si>
  <si>
    <t>Monodnaviria;Shotokuvirae;Cossaviricota;Quintoviricetes;Piccovirales;Parvoviridae;Parvovirinae;Protoparvovirus;Eulipotyphla protoparvovirus 1</t>
  </si>
  <si>
    <t>Monodnaviria;Shotokuvirae;Cossaviricota;Quintoviricetes;Piccovirales;Parvoviridae;Parvovirinae;Protoparvovirus;Protoparvovirus chiropteran1</t>
  </si>
  <si>
    <t>Monodnaviria;Shotokuvirae;Cossaviricota;Quintoviricetes;Piccovirales;Parvoviridae;Parvovirinae;Protoparvovirus;Chiropteran protoparvovirus 1</t>
  </si>
  <si>
    <t>Monodnaviria;Shotokuvirae;Cossaviricota;Quintoviricetes;Piccovirales;Parvoviridae;Parvovirinae;Protoparvovirus;Protoparvovirus carnivoran4</t>
  </si>
  <si>
    <t>Monodnaviria;Shotokuvirae;Cossaviricota;Quintoviricetes;Piccovirales;Parvoviridae;Parvovirinae;Protoparvovirus;Carnivore protoparvovirus 4</t>
  </si>
  <si>
    <t>Monodnaviria;Shotokuvirae;Cossaviricota;Quintoviricetes;Piccovirales;Parvoviridae;Parvovirinae;Protoparvovirus;Protoparvovirus carnivoran3</t>
  </si>
  <si>
    <t>Monodnaviria;Shotokuvirae;Cossaviricota;Quintoviricetes;Piccovirales;Parvoviridae;Parvovirinae;Protoparvovirus;Carnivore protoparvovirus 3</t>
  </si>
  <si>
    <t>Monodnaviria;Shotokuvirae;Cossaviricota;Quintoviricetes;Piccovirales;Parvoviridae;Parvovirinae;Protoparvovirus;Protoparvovirus carnivoran2</t>
  </si>
  <si>
    <t>Monodnaviria;Shotokuvirae;Cossaviricota;Quintoviricetes;Piccovirales;Parvoviridae;Parvovirinae;Protoparvovirus;Carnivore protoparvovirus 2</t>
  </si>
  <si>
    <t>Monodnaviria;Shotokuvirae;Cossaviricota;Quintoviricetes;Piccovirales;Parvoviridae;Parvovirinae;Protoparvovirus;Protoparvovirus carnivoran1</t>
  </si>
  <si>
    <t>Monodnaviria;Shotokuvirae;Cossaviricota;Quintoviricetes;Piccovirales;Parvoviridae;Parvovirinae;Protoparvovirus;Carnivore protoparvovirus 1</t>
  </si>
  <si>
    <t>Monodnaviria;Shotokuvirae;Cossaviricota;Quintoviricetes;Piccovirales;Parvoviridae;Parvovirinae;Loriparvovirus;Loriparvovirus primate1</t>
  </si>
  <si>
    <t>Monodnaviria;Shotokuvirae;Cossaviricota;Quintoviricetes;Piccovirales;Parvoviridae;Parvovirinae;Loriparvovirus;Primate loriparvovirus 1</t>
  </si>
  <si>
    <t>Monodnaviria;Shotokuvirae;Cossaviricota;Quintoviricetes;Piccovirales;Parvoviridae;Parvovirinae;Erythroparvovirus;Erythroparvovirus ungulate1</t>
  </si>
  <si>
    <t>Monodnaviria;Shotokuvirae;Cossaviricota;Quintoviricetes;Piccovirales;Parvoviridae;Parvovirinae;Erythroparvovirus;Ungulate erythroparvovirus 1</t>
  </si>
  <si>
    <t>Monodnaviria;Shotokuvirae;Cossaviricota;Quintoviricetes;Piccovirales;Parvoviridae;Parvovirinae;Erythroparvovirus;Erythroparvovirus rodent1</t>
  </si>
  <si>
    <t>Monodnaviria;Shotokuvirae;Cossaviricota;Quintoviricetes;Piccovirales;Parvoviridae;Parvovirinae;Erythroparvovirus;Rodent erythroparvovirus 1</t>
  </si>
  <si>
    <t>Monodnaviria;Shotokuvirae;Cossaviricota;Quintoviricetes;Piccovirales;Parvoviridae;Parvovirinae;Erythroparvovirus;Erythroparvovirus primate4</t>
  </si>
  <si>
    <t>Monodnaviria;Shotokuvirae;Cossaviricota;Quintoviricetes;Piccovirales;Parvoviridae;Parvovirinae;Erythroparvovirus;Primate erythroparvovirus 4</t>
  </si>
  <si>
    <t>Monodnaviria;Shotokuvirae;Cossaviricota;Quintoviricetes;Piccovirales;Parvoviridae;Parvovirinae;Erythroparvovirus;Erythroparvovirus primate3</t>
  </si>
  <si>
    <t>Monodnaviria;Shotokuvirae;Cossaviricota;Quintoviricetes;Piccovirales;Parvoviridae;Parvovirinae;Erythroparvovirus;Primate erythroparvovirus 3</t>
  </si>
  <si>
    <t>Monodnaviria;Shotokuvirae;Cossaviricota;Quintoviricetes;Piccovirales;Parvoviridae;Parvovirinae;Erythroparvovirus;Erythroparvovirus primate2</t>
  </si>
  <si>
    <t>Monodnaviria;Shotokuvirae;Cossaviricota;Quintoviricetes;Piccovirales;Parvoviridae;Parvovirinae;Erythroparvovirus;Primate erythroparvovirus 2</t>
  </si>
  <si>
    <t>Monodnaviria;Shotokuvirae;Cossaviricota;Quintoviricetes;Piccovirales;Parvoviridae;Parvovirinae;Erythroparvovirus;Erythroparvovirus primate1</t>
  </si>
  <si>
    <t>Monodnaviria;Shotokuvirae;Cossaviricota;Quintoviricetes;Piccovirales;Parvoviridae;Parvovirinae;Erythroparvovirus;Primate erythroparvovirus 1</t>
  </si>
  <si>
    <t>Monodnaviria;Shotokuvirae;Cossaviricota;Quintoviricetes;Piccovirales;Parvoviridae;Parvovirinae;Erythroparvovirus;Erythroparvovirus pinniped1</t>
  </si>
  <si>
    <t>Monodnaviria;Shotokuvirae;Cossaviricota;Quintoviricetes;Piccovirales;Parvoviridae;Parvovirinae;Erythroparvovirus;Pinniped erythroparvovirus 1</t>
  </si>
  <si>
    <t>Monodnaviria;Shotokuvirae;Cossaviricota;Quintoviricetes;Piccovirales;Parvoviridae;Parvovirinae;Dependoparvovirus;Dependoparvovirus squamate2</t>
  </si>
  <si>
    <t>Monodnaviria;Shotokuvirae;Cossaviricota;Quintoviricetes;Piccovirales;Parvoviridae;Parvovirinae;Dependoparvovirus;Squamate dependoparvovirus 2</t>
  </si>
  <si>
    <t>Monodnaviria;Shotokuvirae;Cossaviricota;Quintoviricetes;Piccovirales;Parvoviridae;Parvovirinae;Dependoparvovirus;Dependoparvovirus squamate1</t>
  </si>
  <si>
    <t>Monodnaviria;Shotokuvirae;Cossaviricota;Quintoviricetes;Piccovirales;Parvoviridae;Parvovirinae;Dependoparvovirus;Squamate dependoparvovirus 1</t>
  </si>
  <si>
    <t>Monodnaviria;Shotokuvirae;Cossaviricota;Quintoviricetes;Piccovirales;Parvoviridae;Parvovirinae;Dependoparvovirus;Dependoparvovirus rodent2</t>
  </si>
  <si>
    <t>Monodnaviria;Shotokuvirae;Cossaviricota;Quintoviricetes;Piccovirales;Parvoviridae;Parvovirinae;Dependoparvovirus;Rodent dependoparvovirus 2</t>
  </si>
  <si>
    <t>Monodnaviria;Shotokuvirae;Cossaviricota;Quintoviricetes;Piccovirales;Parvoviridae;Parvovirinae;Dependoparvovirus;Dependoparvovirus rodent1</t>
  </si>
  <si>
    <t>Monodnaviria;Shotokuvirae;Cossaviricota;Quintoviricetes;Piccovirales;Parvoviridae;Parvovirinae;Dependoparvovirus;Rodent dependoparvovirus 1</t>
  </si>
  <si>
    <t>Monodnaviria;Shotokuvirae;Cossaviricota;Quintoviricetes;Piccovirales;Parvoviridae;Parvovirinae;Dependoparvovirus;Dependoparvovirus primate1</t>
  </si>
  <si>
    <t>Monodnaviria;Shotokuvirae;Cossaviricota;Quintoviricetes;Piccovirales;Parvoviridae;Parvovirinae;Dependoparvovirus;Adeno-associated dependoparvovirus A</t>
  </si>
  <si>
    <t>Monodnaviria;Shotokuvirae;Cossaviricota;Quintoviricetes;Piccovirales;Parvoviridae;Parvovirinae;Dependoparvovirus;Dependoparvovirus pinniped1</t>
  </si>
  <si>
    <t>Monodnaviria;Shotokuvirae;Cossaviricota;Quintoviricetes;Piccovirales;Parvoviridae;Parvovirinae;Dependoparvovirus;Pinniped dependoparvovirus 1</t>
  </si>
  <si>
    <t>Monodnaviria;Shotokuvirae;Cossaviricota;Quintoviricetes;Piccovirales;Parvoviridae;Parvovirinae;Dependoparvovirus;Dependoparvovirus mammalian1</t>
  </si>
  <si>
    <t>Monodnaviria;Shotokuvirae;Cossaviricota;Quintoviricetes;Piccovirales;Parvoviridae;Parvovirinae;Dependoparvovirus;Adeno-associated dependoparvovirus B</t>
  </si>
  <si>
    <t>Monodnaviria;Shotokuvirae;Cossaviricota;Quintoviricetes;Piccovirales;Parvoviridae;Parvovirinae;Dependoparvovirus;Dependoparvovirus chiropteran1</t>
  </si>
  <si>
    <t>Monodnaviria;Shotokuvirae;Cossaviricota;Quintoviricetes;Piccovirales;Parvoviridae;Parvovirinae;Dependoparvovirus;Chiropteran dependoparvovirus 1</t>
  </si>
  <si>
    <t>Monodnaviria;Shotokuvirae;Cossaviricota;Quintoviricetes;Piccovirales;Parvoviridae;Parvovirinae;Dependoparvovirus;Dependoparvovirus carnivoran1</t>
  </si>
  <si>
    <t>Monodnaviria;Shotokuvirae;Cossaviricota;Quintoviricetes;Piccovirales;Parvoviridae;Parvovirinae;Dependoparvovirus;Carnivore dependoparvovirus 1</t>
  </si>
  <si>
    <t>Monodnaviria;Shotokuvirae;Cossaviricota;Quintoviricetes;Piccovirales;Parvoviridae;Parvovirinae;Dependoparvovirus;Dependoparvovirus avian1</t>
  </si>
  <si>
    <t>Monodnaviria;Shotokuvirae;Cossaviricota;Quintoviricetes;Piccovirales;Parvoviridae;Parvovirinae;Dependoparvovirus;Avian dependoparvovirus 1</t>
  </si>
  <si>
    <t>Monodnaviria;Shotokuvirae;Cossaviricota;Quintoviricetes;Piccovirales;Parvoviridae;Parvovirinae;Dependoparvovirus;Dependoparvovirus anseriform1</t>
  </si>
  <si>
    <t>Monodnaviria;Shotokuvirae;Cossaviricota;Quintoviricetes;Piccovirales;Parvoviridae;Parvovirinae;Dependoparvovirus;Anseriform dependoparvovirus 1</t>
  </si>
  <si>
    <t>Monodnaviria;Shotokuvirae;Cossaviricota;Quintoviricetes;Piccovirales;Parvoviridae;Parvovirinae;Copiparvovirus;Copiparvovirus ungulate6</t>
  </si>
  <si>
    <t>Monodnaviria;Shotokuvirae;Cossaviricota;Quintoviricetes;Piccovirales;Parvoviridae;Parvovirinae;Copiparvovirus;Ungulate copiparvovirus 6</t>
  </si>
  <si>
    <t>Monodnaviria;Shotokuvirae;Cossaviricota;Quintoviricetes;Piccovirales;Parvoviridae;Parvovirinae;Copiparvovirus;Copiparvovirus ungulate5</t>
  </si>
  <si>
    <t>Monodnaviria;Shotokuvirae;Cossaviricota;Quintoviricetes;Piccovirales;Parvoviridae;Parvovirinae;Copiparvovirus;Ungulate copiparvovirus 5</t>
  </si>
  <si>
    <t>Monodnaviria;Shotokuvirae;Cossaviricota;Quintoviricetes;Piccovirales;Parvoviridae;Parvovirinae;Copiparvovirus;Copiparvovirus ungulate4</t>
  </si>
  <si>
    <t>Monodnaviria;Shotokuvirae;Cossaviricota;Quintoviricetes;Piccovirales;Parvoviridae;Parvovirinae;Copiparvovirus;Ungulate copiparvovirus 4</t>
  </si>
  <si>
    <t>Monodnaviria;Shotokuvirae;Cossaviricota;Quintoviricetes;Piccovirales;Parvoviridae;Parvovirinae;Copiparvovirus;Copiparvovirus ungulate3</t>
  </si>
  <si>
    <t>Monodnaviria;Shotokuvirae;Cossaviricota;Quintoviricetes;Piccovirales;Parvoviridae;Parvovirinae;Copiparvovirus;Ungulate copiparvovirus 3</t>
  </si>
  <si>
    <t>Monodnaviria;Shotokuvirae;Cossaviricota;Quintoviricetes;Piccovirales;Parvoviridae;Parvovirinae;Copiparvovirus;Copiparvovirus ungulate2</t>
  </si>
  <si>
    <t>Monodnaviria;Shotokuvirae;Cossaviricota;Quintoviricetes;Piccovirales;Parvoviridae;Parvovirinae;Copiparvovirus;Ungulate copiparvovirus 2</t>
  </si>
  <si>
    <t>Monodnaviria;Shotokuvirae;Cossaviricota;Quintoviricetes;Piccovirales;Parvoviridae;Parvovirinae;Copiparvovirus;Copiparvovirus ungulate1</t>
  </si>
  <si>
    <t>Monodnaviria;Shotokuvirae;Cossaviricota;Quintoviricetes;Piccovirales;Parvoviridae;Parvovirinae;Copiparvovirus;Ungulate copiparvovirus 1</t>
  </si>
  <si>
    <t>Monodnaviria;Shotokuvirae;Cossaviricota;Quintoviricetes;Piccovirales;Parvoviridae;Parvovirinae;Copiparvovirus;Copiparvovirus pinniped1</t>
  </si>
  <si>
    <t>Monodnaviria;Shotokuvirae;Cossaviricota;Quintoviricetes;Piccovirales;Parvoviridae;Parvovirinae;Copiparvovirus;Pinniped copiparvovirus 1</t>
  </si>
  <si>
    <t>Monodnaviria;Shotokuvirae;Cossaviricota;Quintoviricetes;Piccovirales;Parvoviridae;Parvovirinae;Bocaparvovirus;Bocaparvovirus ungulate9</t>
  </si>
  <si>
    <t>Monodnaviria;Shotokuvirae;Cossaviricota;Quintoviricetes;Piccovirales;Parvoviridae;Parvovirinae;Bocaparvovirus;Ungulate bocaparvovirus 9</t>
  </si>
  <si>
    <t>Monodnaviria;Shotokuvirae;Cossaviricota;Quintoviricetes;Piccovirales;Parvoviridae;Parvovirinae;Bocaparvovirus;Bocaparvovirus ungulate8</t>
  </si>
  <si>
    <t>Monodnaviria;Shotokuvirae;Cossaviricota;Quintoviricetes;Piccovirales;Parvoviridae;Parvovirinae;Bocaparvovirus;Ungulate bocaparvovirus 8</t>
  </si>
  <si>
    <t>Monodnaviria;Shotokuvirae;Cossaviricota;Quintoviricetes;Piccovirales;Parvoviridae;Parvovirinae;Bocaparvovirus;Bocaparvovirus ungulate7</t>
  </si>
  <si>
    <t>Monodnaviria;Shotokuvirae;Cossaviricota;Quintoviricetes;Piccovirales;Parvoviridae;Parvovirinae;Bocaparvovirus;Ungulate bocaparvovirus 7</t>
  </si>
  <si>
    <t>Monodnaviria;Shotokuvirae;Cossaviricota;Quintoviricetes;Piccovirales;Parvoviridae;Parvovirinae;Bocaparvovirus;Bocaparvovirus ungulate6</t>
  </si>
  <si>
    <t>Monodnaviria;Shotokuvirae;Cossaviricota;Quintoviricetes;Piccovirales;Parvoviridae;Parvovirinae;Bocaparvovirus;Ungulate bocaparvovirus 6</t>
  </si>
  <si>
    <t>Monodnaviria;Shotokuvirae;Cossaviricota;Quintoviricetes;Piccovirales;Parvoviridae;Parvovirinae;Bocaparvovirus;Bocaparvovirus ungulate5</t>
  </si>
  <si>
    <t>Monodnaviria;Shotokuvirae;Cossaviricota;Quintoviricetes;Piccovirales;Parvoviridae;Parvovirinae;Bocaparvovirus;Ungulate bocaparvovirus 5</t>
  </si>
  <si>
    <t>Monodnaviria;Shotokuvirae;Cossaviricota;Quintoviricetes;Piccovirales;Parvoviridae;Parvovirinae;Bocaparvovirus;Bocaparvovirus ungulate4</t>
  </si>
  <si>
    <t>Monodnaviria;Shotokuvirae;Cossaviricota;Quintoviricetes;Piccovirales;Parvoviridae;Parvovirinae;Bocaparvovirus;Ungulate bocaparvovirus 4</t>
  </si>
  <si>
    <t>Monodnaviria;Shotokuvirae;Cossaviricota;Quintoviricetes;Piccovirales;Parvoviridae;Parvovirinae;Bocaparvovirus;Bocaparvovirus ungulate3</t>
  </si>
  <si>
    <t>Monodnaviria;Shotokuvirae;Cossaviricota;Quintoviricetes;Piccovirales;Parvoviridae;Parvovirinae;Bocaparvovirus;Ungulate bocaparvovirus 3</t>
  </si>
  <si>
    <t>Monodnaviria;Shotokuvirae;Cossaviricota;Quintoviricetes;Piccovirales;Parvoviridae;Parvovirinae;Bocaparvovirus;Bocaparvovirus ungulate2</t>
  </si>
  <si>
    <t>Monodnaviria;Shotokuvirae;Cossaviricota;Quintoviricetes;Piccovirales;Parvoviridae;Parvovirinae;Bocaparvovirus;Ungulate bocaparvovirus 2</t>
  </si>
  <si>
    <t>Monodnaviria;Shotokuvirae;Cossaviricota;Quintoviricetes;Piccovirales;Parvoviridae;Parvovirinae;Bocaparvovirus;Bocaparvovirus ungulate1</t>
  </si>
  <si>
    <t>Monodnaviria;Shotokuvirae;Cossaviricota;Quintoviricetes;Piccovirales;Parvoviridae;Parvovirinae;Bocaparvovirus;Ungulate bocaparvovirus 1</t>
  </si>
  <si>
    <t>Monodnaviria;Shotokuvirae;Cossaviricota;Quintoviricetes;Piccovirales;Parvoviridae;Parvovirinae;Bocaparvovirus;Bocaparvovirus rodent2</t>
  </si>
  <si>
    <t>Monodnaviria;Shotokuvirae;Cossaviricota;Quintoviricetes;Piccovirales;Parvoviridae;Parvovirinae;Bocaparvovirus;Rodent bocaparvovirus 2</t>
  </si>
  <si>
    <t>Monodnaviria;Shotokuvirae;Cossaviricota;Quintoviricetes;Piccovirales;Parvoviridae;Parvovirinae;Bocaparvovirus;Bocaparvovirus rodent1</t>
  </si>
  <si>
    <t>Monodnaviria;Shotokuvirae;Cossaviricota;Quintoviricetes;Piccovirales;Parvoviridae;Parvovirinae;Bocaparvovirus;Rodent bocaparvovirus 1</t>
  </si>
  <si>
    <t>Monodnaviria;Shotokuvirae;Cossaviricota;Quintoviricetes;Piccovirales;Parvoviridae;Parvovirinae;Bocaparvovirus;Bocaparvovirus primate3</t>
  </si>
  <si>
    <t>Monodnaviria;Shotokuvirae;Cossaviricota;Quintoviricetes;Piccovirales;Parvoviridae;Parvovirinae;Bocaparvovirus;Primate bocaparvovirus 3</t>
  </si>
  <si>
    <t>Monodnaviria;Shotokuvirae;Cossaviricota;Quintoviricetes;Piccovirales;Parvoviridae;Parvovirinae;Bocaparvovirus;Bocaparvovirus primate2</t>
  </si>
  <si>
    <t>Monodnaviria;Shotokuvirae;Cossaviricota;Quintoviricetes;Piccovirales;Parvoviridae;Parvovirinae;Bocaparvovirus;Primate bocaparvovirus 2</t>
  </si>
  <si>
    <t>Monodnaviria;Shotokuvirae;Cossaviricota;Quintoviricetes;Piccovirales;Parvoviridae;Parvovirinae;Bocaparvovirus;Bocaparvovirus primate1</t>
  </si>
  <si>
    <t>Monodnaviria;Shotokuvirae;Cossaviricota;Quintoviricetes;Piccovirales;Parvoviridae;Parvovirinae;Bocaparvovirus;Primate bocaparvovirus 1</t>
  </si>
  <si>
    <t>Monodnaviria;Shotokuvirae;Cossaviricota;Quintoviricetes;Piccovirales;Parvoviridae;Parvovirinae;Bocaparvovirus;Bocaparvovirus pinniped2</t>
  </si>
  <si>
    <t>Monodnaviria;Shotokuvirae;Cossaviricota;Quintoviricetes;Piccovirales;Parvoviridae;Parvovirinae;Bocaparvovirus;Pinniped bocaparvovirus 2</t>
  </si>
  <si>
    <t>Monodnaviria;Shotokuvirae;Cossaviricota;Quintoviricetes;Piccovirales;Parvoviridae;Parvovirinae;Bocaparvovirus;Bocaparvovirus pinniped1</t>
  </si>
  <si>
    <t>Monodnaviria;Shotokuvirae;Cossaviricota;Quintoviricetes;Piccovirales;Parvoviridae;Parvovirinae;Bocaparvovirus;Pinniped bocaparvovirus 1</t>
  </si>
  <si>
    <t>Monodnaviria;Shotokuvirae;Cossaviricota;Quintoviricetes;Piccovirales;Parvoviridae;Parvovirinae;Bocaparvovirus;Bocaparvovirus lagomorph1</t>
  </si>
  <si>
    <t>Monodnaviria;Shotokuvirae;Cossaviricota;Quintoviricetes;Piccovirales;Parvoviridae;Parvovirinae;Bocaparvovirus;Lagomorph bocaparvovirus 1</t>
  </si>
  <si>
    <t>Monodnaviria;Shotokuvirae;Cossaviricota;Quintoviricetes;Piccovirales;Parvoviridae;Parvovirinae;Bocaparvovirus;Bocaparvovirus chiropteran5</t>
  </si>
  <si>
    <t>Monodnaviria;Shotokuvirae;Cossaviricota;Quintoviricetes;Piccovirales;Parvoviridae;Parvovirinae;Bocaparvovirus;Chiropteran bocaparvovirus 5</t>
  </si>
  <si>
    <t>Monodnaviria;Shotokuvirae;Cossaviricota;Quintoviricetes;Piccovirales;Parvoviridae;Parvovirinae;Bocaparvovirus;Bocaparvovirus chiropteran4</t>
  </si>
  <si>
    <t>Monodnaviria;Shotokuvirae;Cossaviricota;Quintoviricetes;Piccovirales;Parvoviridae;Parvovirinae;Bocaparvovirus;Chiropteran bocaparvovirus 4</t>
  </si>
  <si>
    <t>Monodnaviria;Shotokuvirae;Cossaviricota;Quintoviricetes;Piccovirales;Parvoviridae;Parvovirinae;Bocaparvovirus;Bocaparvovirus chiropteran3</t>
  </si>
  <si>
    <t>Monodnaviria;Shotokuvirae;Cossaviricota;Quintoviricetes;Piccovirales;Parvoviridae;Parvovirinae;Bocaparvovirus;Chiropteran bocaparvovirus 3</t>
  </si>
  <si>
    <t>Monodnaviria;Shotokuvirae;Cossaviricota;Quintoviricetes;Piccovirales;Parvoviridae;Parvovirinae;Bocaparvovirus;Bocaparvovirus chiropteran2</t>
  </si>
  <si>
    <t>Monodnaviria;Shotokuvirae;Cossaviricota;Quintoviricetes;Piccovirales;Parvoviridae;Parvovirinae;Bocaparvovirus;Chiropteran bocaparvovirus 2</t>
  </si>
  <si>
    <t>Monodnaviria;Shotokuvirae;Cossaviricota;Quintoviricetes;Piccovirales;Parvoviridae;Parvovirinae;Bocaparvovirus;Bocaparvovirus chiropteran1</t>
  </si>
  <si>
    <t>Monodnaviria;Shotokuvirae;Cossaviricota;Quintoviricetes;Piccovirales;Parvoviridae;Parvovirinae;Bocaparvovirus;Chiropteran bocaparvovirus 1</t>
  </si>
  <si>
    <t>Monodnaviria;Shotokuvirae;Cossaviricota;Quintoviricetes;Piccovirales;Parvoviridae;Parvovirinae;Bocaparvovirus;Bocaparvovirus carnivoran6</t>
  </si>
  <si>
    <t>Monodnaviria;Shotokuvirae;Cossaviricota;Quintoviricetes;Piccovirales;Parvoviridae;Parvovirinae;Bocaparvovirus;Carnivore bocaparvovirus 6</t>
  </si>
  <si>
    <t>Monodnaviria;Shotokuvirae;Cossaviricota;Quintoviricetes;Piccovirales;Parvoviridae;Parvovirinae;Bocaparvovirus;Bocaparvovirus carnivoran5</t>
  </si>
  <si>
    <t>Monodnaviria;Shotokuvirae;Cossaviricota;Quintoviricetes;Piccovirales;Parvoviridae;Parvovirinae;Bocaparvovirus;Carnivore bocaparvovirus 5</t>
  </si>
  <si>
    <t>Monodnaviria;Shotokuvirae;Cossaviricota;Quintoviricetes;Piccovirales;Parvoviridae;Parvovirinae;Bocaparvovirus;Bocaparvovirus carnivoran4</t>
  </si>
  <si>
    <t>Monodnaviria;Shotokuvirae;Cossaviricota;Quintoviricetes;Piccovirales;Parvoviridae;Parvovirinae;Bocaparvovirus;Carnivore bocaparvovirus 4</t>
  </si>
  <si>
    <t>Monodnaviria;Shotokuvirae;Cossaviricota;Quintoviricetes;Piccovirales;Parvoviridae;Parvovirinae;Bocaparvovirus;Bocaparvovirus carnivoran3</t>
  </si>
  <si>
    <t>Monodnaviria;Shotokuvirae;Cossaviricota;Quintoviricetes;Piccovirales;Parvoviridae;Parvovirinae;Bocaparvovirus;Carnivore bocaparvovirus 3</t>
  </si>
  <si>
    <t>Monodnaviria;Shotokuvirae;Cossaviricota;Quintoviricetes;Piccovirales;Parvoviridae;Parvovirinae;Bocaparvovirus;Bocaparvovirus carnivoran2</t>
  </si>
  <si>
    <t>Monodnaviria;Shotokuvirae;Cossaviricota;Quintoviricetes;Piccovirales;Parvoviridae;Parvovirinae;Bocaparvovirus;Carnivore bocaparvovirus 2</t>
  </si>
  <si>
    <t>Monodnaviria;Shotokuvirae;Cossaviricota;Quintoviricetes;Piccovirales;Parvoviridae;Parvovirinae;Bocaparvovirus;Bocaparvovirus carnivoran1</t>
  </si>
  <si>
    <t>Monodnaviria;Shotokuvirae;Cossaviricota;Quintoviricetes;Piccovirales;Parvoviridae;Parvovirinae;Bocaparvovirus;Carnivore bocaparvovirus 1</t>
  </si>
  <si>
    <t>Monodnaviria;Shotokuvirae;Cossaviricota;Quintoviricetes;Piccovirales;Parvoviridae;Parvovirinae;Aveparvovirus;Aveparvovirus gruiform1</t>
  </si>
  <si>
    <t>Monodnaviria;Shotokuvirae;Cossaviricota;Quintoviricetes;Piccovirales;Parvoviridae;Parvovirinae;Aveparvovirus;Gruiform aveparvovirus 1</t>
  </si>
  <si>
    <t>Monodnaviria;Shotokuvirae;Cossaviricota;Quintoviricetes;Piccovirales;Parvoviridae;Parvovirinae;Aveparvovirus;Aveparvovirus galliform1</t>
  </si>
  <si>
    <t>Monodnaviria;Shotokuvirae;Cossaviricota;Quintoviricetes;Piccovirales;Parvoviridae;Parvovirinae;Aveparvovirus;Galliform aveparvovirus 1</t>
  </si>
  <si>
    <t>Monodnaviria;Shotokuvirae;Cossaviricota;Quintoviricetes;Piccovirales;Parvoviridae;Parvovirinae;Aveparvovirus;Aveparvovirus columbid1</t>
  </si>
  <si>
    <t>Monodnaviria;Shotokuvirae;Cossaviricota;Quintoviricetes;Piccovirales;Parvoviridae;Parvovirinae;Aveparvovirus;Columbid aveparvovirus 1</t>
  </si>
  <si>
    <t>Monodnaviria;Shotokuvirae;Cossaviricota;Quintoviricetes;Piccovirales;Parvoviridae;Parvovirinae;Artiparvovirus;Artiparvovirus chiropteran1</t>
  </si>
  <si>
    <t>Monodnaviria;Shotokuvirae;Cossaviricota;Quintoviricetes;Piccovirales;Parvoviridae;Parvovirinae;Artiparvovirus;Chiropteran artiparvovirus 1</t>
  </si>
  <si>
    <t>Monodnaviria;Shotokuvirae;Cossaviricota;Quintoviricetes;Piccovirales;Parvoviridae;Parvovirinae;Amdoparvovirus;Amdoparvovirus carnivoran5</t>
  </si>
  <si>
    <t>Monodnaviria;Shotokuvirae;Cossaviricota;Quintoviricetes;Piccovirales;Parvoviridae;Parvovirinae;Amdoparvovirus;Carnivore amdoparvovirus 5</t>
  </si>
  <si>
    <t>Monodnaviria;Shotokuvirae;Cossaviricota;Quintoviricetes;Piccovirales;Parvoviridae;Parvovirinae;Amdoparvovirus;Amdoparvovirus carnivoran4</t>
  </si>
  <si>
    <t>Monodnaviria;Shotokuvirae;Cossaviricota;Quintoviricetes;Piccovirales;Parvoviridae;Parvovirinae;Amdoparvovirus;Carnivore amdoparvovirus 4</t>
  </si>
  <si>
    <t>Monodnaviria;Shotokuvirae;Cossaviricota;Quintoviricetes;Piccovirales;Parvoviridae;Parvovirinae;Amdoparvovirus;Amdoparvovirus carnivoran3</t>
  </si>
  <si>
    <t>Monodnaviria;Shotokuvirae;Cossaviricota;Quintoviricetes;Piccovirales;Parvoviridae;Parvovirinae;Amdoparvovirus;Carnivore amdoparvovirus 3</t>
  </si>
  <si>
    <t>Monodnaviria;Shotokuvirae;Cossaviricota;Quintoviricetes;Piccovirales;Parvoviridae;Parvovirinae;Amdoparvovirus;Amdoparvovirus carnivoran2</t>
  </si>
  <si>
    <t>Monodnaviria;Shotokuvirae;Cossaviricota;Quintoviricetes;Piccovirales;Parvoviridae;Parvovirinae;Amdoparvovirus;Carnivore amdoparvovirus 2</t>
  </si>
  <si>
    <t>Monodnaviria;Shotokuvirae;Cossaviricota;Quintoviricetes;Piccovirales;Parvoviridae;Parvovirinae;Amdoparvovirus;Amdoparvovirus carnivoran1</t>
  </si>
  <si>
    <t>Monodnaviria;Shotokuvirae;Cossaviricota;Quintoviricetes;Piccovirales;Parvoviridae;Parvovirinae;Amdoparvovirus;Carnivore amdoparvovirus 1</t>
  </si>
  <si>
    <t>Monodnaviria;Shotokuvirae;Cossaviricota;Quintoviricetes;Piccovirales;Parvoviridae;Hamaparvovirinae;Penstylhamaparvovirus;Penstylhamaparvovirus decapod1</t>
  </si>
  <si>
    <t>Monodnaviria;Shotokuvirae;Cossaviricota;Quintoviricetes;Piccovirales;Parvoviridae;Hamaparvovirinae;Penstylhamaparvovirus;Decapod penstylhamaparvovirus 1</t>
  </si>
  <si>
    <t>Monodnaviria;Shotokuvirae;Cossaviricota;Quintoviricetes;Piccovirales;Parvoviridae;Hamaparvovirinae;Ichtchaphamaparvovirus;Ichtchaphamaparvovirus syngnathid1</t>
  </si>
  <si>
    <t>Monodnaviria;Shotokuvirae;Cossaviricota;Quintoviricetes;Piccovirales;Parvoviridae;Hamaparvovirinae;Ichthamaparvovirus;Syngnathid ichthamaparvovirus 1</t>
  </si>
  <si>
    <t>Monodnaviria;Shotokuvirae;Cossaviricota;Quintoviricetes;Piccovirales;Parvoviridae;Hamaparvovirinae;Hepanhamaparvovirus;Hepanhamaparvovirus decapod1</t>
  </si>
  <si>
    <t>Monodnaviria;Shotokuvirae;Cossaviricota;Quintoviricetes;Piccovirales;Parvoviridae;Hamaparvovirinae;Hepanhamaparvovirus;Decapod hepanhamaparvovirus 1</t>
  </si>
  <si>
    <t>Monodnaviria;Shotokuvirae;Cossaviricota;Quintoviricetes;Piccovirales;Parvoviridae;Hamaparvovirinae;Chaphamaparvovirus;Chaphamaparvovirus ungulate1</t>
  </si>
  <si>
    <t>Monodnaviria;Shotokuvirae;Cossaviricota;Quintoviricetes;Piccovirales;Parvoviridae;Hamaparvovirinae;Chaphamaparvovirus;Ungulate chaphamaparvovirus 1</t>
  </si>
  <si>
    <t>Monodnaviria;Shotokuvirae;Cossaviricota;Quintoviricetes;Piccovirales;Parvoviridae;Hamaparvovirinae;Chaphamaparvovirus;Chaphamaparvovirus rodent2</t>
  </si>
  <si>
    <t>Monodnaviria;Shotokuvirae;Cossaviricota;Quintoviricetes;Piccovirales;Parvoviridae;Hamaparvovirinae;Chaphamaparvovirus;Rodent chaphamaparvovirus 2</t>
  </si>
  <si>
    <t>Monodnaviria;Shotokuvirae;Cossaviricota;Quintoviricetes;Piccovirales;Parvoviridae;Hamaparvovirinae;Chaphamaparvovirus;Chaphamaparvovirus rodent1</t>
  </si>
  <si>
    <t>Monodnaviria;Shotokuvirae;Cossaviricota;Quintoviricetes;Piccovirales;Parvoviridae;Hamaparvovirinae;Chaphamaparvovirus;Rodent chaphamaparvovirus 1</t>
  </si>
  <si>
    <t>Monodnaviria;Shotokuvirae;Cossaviricota;Quintoviricetes;Piccovirales;Parvoviridae;Hamaparvovirinae;Chaphamaparvovirus;Chaphamaparvovirus psittacine1</t>
  </si>
  <si>
    <t>Monodnaviria;Shotokuvirae;Cossaviricota;Quintoviricetes;Piccovirales;Parvoviridae;Hamaparvovirinae;Chaphamaparvovirus;Psittacine chaphamaparvovirus 1</t>
  </si>
  <si>
    <t>Monodnaviria;Shotokuvirae;Cossaviricota;Quintoviricetes;Piccovirales;Parvoviridae;Hamaparvovirinae;Chaphamaparvovirus;Chaphamaparvovirus primate1</t>
  </si>
  <si>
    <t>Monodnaviria;Shotokuvirae;Cossaviricota;Quintoviricetes;Piccovirales;Parvoviridae;Hamaparvovirinae;Chaphamaparvovirus;Primate chaphamaparvovirus 1</t>
  </si>
  <si>
    <t>Monodnaviria;Shotokuvirae;Cossaviricota;Quintoviricetes;Piccovirales;Parvoviridae;Hamaparvovirinae;Chaphamaparvovirus;Chaphamaparvovirus galliform5</t>
  </si>
  <si>
    <t>Monodnaviria;Shotokuvirae;Cossaviricota;Quintoviricetes;Piccovirales;Parvoviridae;Hamaparvovirinae;Chaphamaparvovirus;Galliform chaphamaparvovirus 5</t>
  </si>
  <si>
    <t>Monodnaviria;Shotokuvirae;Cossaviricota;Quintoviricetes;Piccovirales;Parvoviridae;Hamaparvovirinae;Chaphamaparvovirus;Chaphamaparvovirus galliform4</t>
  </si>
  <si>
    <t>Monodnaviria;Shotokuvirae;Cossaviricota;Quintoviricetes;Piccovirales;Parvoviridae;Hamaparvovirinae;Chaphamaparvovirus;Galliform chaphamaparvovirus 4</t>
  </si>
  <si>
    <t>Monodnaviria;Shotokuvirae;Cossaviricota;Quintoviricetes;Piccovirales;Parvoviridae;Hamaparvovirinae;Chaphamaparvovirus;Chaphamaparvovirus galliform3</t>
  </si>
  <si>
    <t>Monodnaviria;Shotokuvirae;Cossaviricota;Quintoviricetes;Piccovirales;Parvoviridae;Hamaparvovirinae;Chaphamaparvovirus;Galliform chaphamaparvovirus 3</t>
  </si>
  <si>
    <t>Monodnaviria;Shotokuvirae;Cossaviricota;Quintoviricetes;Piccovirales;Parvoviridae;Hamaparvovirinae;Chaphamaparvovirus;Chaphamaparvovirus galliform2</t>
  </si>
  <si>
    <t>Monodnaviria;Shotokuvirae;Cossaviricota;Quintoviricetes;Piccovirales;Parvoviridae;Hamaparvovirinae;Chaphamaparvovirus;Galliform chaphamaparvovirus 2</t>
  </si>
  <si>
    <t>Monodnaviria;Shotokuvirae;Cossaviricota;Quintoviricetes;Piccovirales;Parvoviridae;Hamaparvovirinae;Chaphamaparvovirus;Chaphamaparvovirus galliform1</t>
  </si>
  <si>
    <t>Monodnaviria;Shotokuvirae;Cossaviricota;Quintoviricetes;Piccovirales;Parvoviridae;Hamaparvovirinae;Chaphamaparvovirus;Galliform chaphamaparvovirus 1</t>
  </si>
  <si>
    <t>Monodnaviria;Shotokuvirae;Cossaviricota;Quintoviricetes;Piccovirales;Parvoviridae;Hamaparvovirinae;Chaphamaparvovirus;Chaphamaparvovirus dasyurid3</t>
  </si>
  <si>
    <t>Monodnaviria;Shotokuvirae;Cossaviricota;Quintoviricetes;Piccovirales;Parvoviridae;Hamaparvovirinae;Chaphamaparvovirus;Dasyurid chaphamaparvovirus 3</t>
  </si>
  <si>
    <t>Monodnaviria;Shotokuvirae;Cossaviricota;Quintoviricetes;Piccovirales;Parvoviridae;Hamaparvovirinae;Chaphamaparvovirus;Chaphamaparvovirus dasyurid2</t>
  </si>
  <si>
    <t>Monodnaviria;Shotokuvirae;Cossaviricota;Quintoviricetes;Piccovirales;Parvoviridae;Hamaparvovirinae;Chaphamaparvovirus;Dasyurid chaphamaparvovirus 2</t>
  </si>
  <si>
    <t>Monodnaviria;Shotokuvirae;Cossaviricota;Quintoviricetes;Piccovirales;Parvoviridae;Hamaparvovirinae;Chaphamaparvovirus;Chaphamaparvovirus dasyurid1</t>
  </si>
  <si>
    <t>Monodnaviria;Shotokuvirae;Cossaviricota;Quintoviricetes;Piccovirales;Parvoviridae;Hamaparvovirinae;Chaphamaparvovirus;Dasyurid chaphamaparvovirus 1</t>
  </si>
  <si>
    <t>Monodnaviria;Shotokuvirae;Cossaviricota;Quintoviricetes;Piccovirales;Parvoviridae;Hamaparvovirinae;Chaphamaparvovirus;Chaphamaparvovirus chiropteran1</t>
  </si>
  <si>
    <t>Monodnaviria;Shotokuvirae;Cossaviricota;Quintoviricetes;Piccovirales;Parvoviridae;Hamaparvovirinae;Chaphamaparvovirus;Chiropteran chaphamaparvovirus 1</t>
  </si>
  <si>
    <t>Monodnaviria;Shotokuvirae;Cossaviricota;Quintoviricetes;Piccovirales;Parvoviridae;Hamaparvovirinae;Chaphamaparvovirus;Chaphamaparvovirus carnivoran2</t>
  </si>
  <si>
    <t>Monodnaviria;Shotokuvirae;Cossaviricota;Quintoviricetes;Piccovirales;Parvoviridae;Hamaparvovirinae;Chaphamaparvovirus;Carnivore chaphamaparvovirus 2</t>
  </si>
  <si>
    <t>Monodnaviria;Shotokuvirae;Cossaviricota;Quintoviricetes;Piccovirales;Parvoviridae;Hamaparvovirinae;Chaphamaparvovirus;Chaphamaparvovirus carnivoran1</t>
  </si>
  <si>
    <t>Monodnaviria;Shotokuvirae;Cossaviricota;Quintoviricetes;Piccovirales;Parvoviridae;Hamaparvovirinae;Chaphamaparvovirus;Carnivore chaphamaparvovirus 1</t>
  </si>
  <si>
    <t>Monodnaviria;Shotokuvirae;Cossaviricota;Quintoviricetes;Piccovirales;Parvoviridae;Hamaparvovirinae;Brevihamaparvovirus;Brevihamaparvovirus dipteran2</t>
  </si>
  <si>
    <t>Monodnaviria;Shotokuvirae;Cossaviricota;Quintoviricetes;Piccovirales;Parvoviridae;Hamaparvovirinae;Brevihamaparvovirus;Dipteran brevihamaparvovirus 2</t>
  </si>
  <si>
    <t>Monodnaviria;Shotokuvirae;Cossaviricota;Quintoviricetes;Piccovirales;Parvoviridae;Hamaparvovirinae;Brevihamaparvovirus;Brevihamaparvovirus dipteran1</t>
  </si>
  <si>
    <t>Monodnaviria;Shotokuvirae;Cossaviricota;Quintoviricetes;Piccovirales;Parvoviridae;Hamaparvovirinae;Brevihamaparvovirus;Dipteran brevihamaparvovirus 1</t>
  </si>
  <si>
    <t>Monodnaviria;Shotokuvirae;Cossaviricota;Quintoviricetes;Piccovirales;Parvoviridae;Densovirinae;Tetuambidensovirus;Tetuambidensovirus trombidiform1</t>
  </si>
  <si>
    <t>Monodnaviria;Shotokuvirae;Cossaviricota;Quintoviricetes;Piccovirales;Parvoviridae;Densovirinae;Tetuambidensovirus;Trombiditiform tetuambidensovirus 1</t>
  </si>
  <si>
    <t>Monodnaviria;Shotokuvirae;Cossaviricota;Quintoviricetes;Piccovirales;Parvoviridae;Densovirinae;Scindoambidensovirus;Scindoambidensovirus orthopteran1</t>
  </si>
  <si>
    <t>Monodnaviria;Shotokuvirae;Cossaviricota;Quintoviricetes;Piccovirales;Parvoviridae;Densovirinae;Scindoambidensovirus;Orthopteran scindoambidensovirus 1</t>
  </si>
  <si>
    <t>Monodnaviria;Shotokuvirae;Cossaviricota;Quintoviricetes;Piccovirales;Parvoviridae;Densovirinae;Scindoambidensovirus;Scindoambidensovirus hymenopteran1</t>
  </si>
  <si>
    <t>Monodnaviria;Shotokuvirae;Cossaviricota;Quintoviricetes;Piccovirales;Parvoviridae;Densovirinae;Scindoambidensovirus;Hymenopteran scindoambidensovirus 1</t>
  </si>
  <si>
    <t>Monodnaviria;Shotokuvirae;Cossaviricota;Quintoviricetes;Piccovirales;Parvoviridae;Densovirinae;Scindoambidensovirus;Scindoambidensovirus hemipteran1</t>
  </si>
  <si>
    <t>Monodnaviria;Shotokuvirae;Cossaviricota;Quintoviricetes;Piccovirales;Parvoviridae;Densovirinae;Scindoambidensovirus;Hemipteran scindoambidensovirus 1</t>
  </si>
  <si>
    <t>Monodnaviria;Shotokuvirae;Cossaviricota;Quintoviricetes;Piccovirales;Parvoviridae;Densovirinae;Protoambidensovirus;Protoambidensovirus lepidopteran1</t>
  </si>
  <si>
    <t>Monodnaviria;Shotokuvirae;Cossaviricota;Quintoviricetes;Piccovirales;Parvoviridae;Densovirinae;Protoambidensovirus;Lepidopteran protoambidensovirus 1</t>
  </si>
  <si>
    <t>Monodnaviria;Shotokuvirae;Cossaviricota;Quintoviricetes;Piccovirales;Parvoviridae;Densovirinae;Protoambidensovirus;Protoambidensovirus dipteran1</t>
  </si>
  <si>
    <t>Monodnaviria;Shotokuvirae;Cossaviricota;Quintoviricetes;Piccovirales;Parvoviridae;Densovirinae;Protoambidensovirus;Dipteran protoambidensovirus 1</t>
  </si>
  <si>
    <t>Monodnaviria;Shotokuvirae;Cossaviricota;Quintoviricetes;Piccovirales;Parvoviridae;Densovirinae;Pefuambidensovirus;Pefuambidensovirus blattodean1</t>
  </si>
  <si>
    <t>Monodnaviria;Shotokuvirae;Cossaviricota;Quintoviricetes;Piccovirales;Parvoviridae;Densovirinae;Pefuambidensovirus;Blattodean pefuambidensovirus 1</t>
  </si>
  <si>
    <t>Monodnaviria;Shotokuvirae;Cossaviricota;Quintoviricetes;Piccovirales;Parvoviridae;Densovirinae;Muscodensovirus;Muscodensovirus dipteran1</t>
  </si>
  <si>
    <t>Monodnaviria;Shotokuvirae;Cossaviricota;Quintoviricetes;Piccovirales;Parvoviridae;Densovirinae;Muscodensovirus;Dipteran muscodensovirus 1</t>
  </si>
  <si>
    <t>Monodnaviria;Shotokuvirae;Cossaviricota;Quintoviricetes;Piccovirales;Parvoviridae;Densovirinae;Iteradensovirus;Iteradensovirus lepidopteran5</t>
  </si>
  <si>
    <t>Monodnaviria;Shotokuvirae;Cossaviricota;Quintoviricetes;Piccovirales;Parvoviridae;Densovirinae;Iteradensovirus;Lepidopteran iteradensovirus 5</t>
  </si>
  <si>
    <t>Monodnaviria;Shotokuvirae;Cossaviricota;Quintoviricetes;Piccovirales;Parvoviridae;Densovirinae;Iteradensovirus;Iteradensovirus lepidopteran4</t>
  </si>
  <si>
    <t>Monodnaviria;Shotokuvirae;Cossaviricota;Quintoviricetes;Piccovirales;Parvoviridae;Densovirinae;Iteradensovirus;Lepidopteran iteradensovirus 4</t>
  </si>
  <si>
    <t>Monodnaviria;Shotokuvirae;Cossaviricota;Quintoviricetes;Piccovirales;Parvoviridae;Densovirinae;Iteradensovirus;Iteradensovirus lepidopteran3</t>
  </si>
  <si>
    <t>Monodnaviria;Shotokuvirae;Cossaviricota;Quintoviricetes;Piccovirales;Parvoviridae;Densovirinae;Iteradensovirus;Lepidopteran iteradensovirus 3</t>
  </si>
  <si>
    <t>Monodnaviria;Shotokuvirae;Cossaviricota;Quintoviricetes;Piccovirales;Parvoviridae;Densovirinae;Iteradensovirus;Iteradensovirus lepidopteran2</t>
  </si>
  <si>
    <t>Monodnaviria;Shotokuvirae;Cossaviricota;Quintoviricetes;Piccovirales;Parvoviridae;Densovirinae;Iteradensovirus;Lepidopteran iteradensovirus 2</t>
  </si>
  <si>
    <t>Monodnaviria;Shotokuvirae;Cossaviricota;Quintoviricetes;Piccovirales;Parvoviridae;Densovirinae;Iteradensovirus;Iteradensovirus lepidopteran1</t>
  </si>
  <si>
    <t>Monodnaviria;Shotokuvirae;Cossaviricota;Quintoviricetes;Piccovirales;Parvoviridae;Densovirinae;Iteradensovirus;Lepidopteran iteradensovirus 1</t>
  </si>
  <si>
    <t>Monodnaviria;Shotokuvirae;Cossaviricota;Quintoviricetes;Piccovirales;Parvoviridae;Densovirinae;Hemiambidensovirus;Hemiambidensovirus hemipteran2</t>
  </si>
  <si>
    <t>Monodnaviria;Shotokuvirae;Cossaviricota;Quintoviricetes;Piccovirales;Parvoviridae;Densovirinae;Hemiambidensovirus;Hemipteran hemiambidensovirus 2</t>
  </si>
  <si>
    <t>Monodnaviria;Shotokuvirae;Cossaviricota;Quintoviricetes;Piccovirales;Parvoviridae;Densovirinae;Hemiambidensovirus;Hemiambidensovirus hemipteran1</t>
  </si>
  <si>
    <t>Monodnaviria;Shotokuvirae;Cossaviricota;Quintoviricetes;Piccovirales;Parvoviridae;Densovirinae;Hemiambidensovirus;Hemipteran hemiambidensovirus 1</t>
  </si>
  <si>
    <t>Monodnaviria;Shotokuvirae;Cossaviricota;Quintoviricetes;Piccovirales;Parvoviridae;Densovirinae;Diciambidensovirus;Diciambidensovirus hemipteran1</t>
  </si>
  <si>
    <t>Monodnaviria;Shotokuvirae;Cossaviricota;Quintoviricetes;Piccovirales;Parvoviridae;Densovirinae;Diciambidensovirus;Hemipteran diciambidensovirus 1</t>
  </si>
  <si>
    <t>Monodnaviria;Shotokuvirae;Cossaviricota;Quintoviricetes;Piccovirales;Parvoviridae;Densovirinae;Blattambidensovirus;Blattambidensovirus blattodean1</t>
  </si>
  <si>
    <t>Monodnaviria;Shotokuvirae;Cossaviricota;Quintoviricetes;Piccovirales;Parvoviridae;Densovirinae;Blattambidensovirus;Blattodean blattambidensovirus 1</t>
  </si>
  <si>
    <t>Monodnaviria;Shotokuvirae;Cossaviricota;Quintoviricetes;Piccovirales;Parvoviridae;Densovirinae;Aquambidensovirus;Aquambidensovirus ostreid1</t>
  </si>
  <si>
    <t>Monodnaviria;Shotokuvirae;Cossaviricota;Quintoviricetes;Piccovirales;Parvoviridae;Densovirinae;Aquambidensovirus;Ostreid aquambidensovirus 1</t>
  </si>
  <si>
    <t>Monodnaviria;Shotokuvirae;Cossaviricota;Quintoviricetes;Piccovirales;Parvoviridae;Densovirinae;Aquambidensovirus;Aquambidensovirus decapod1</t>
  </si>
  <si>
    <t>Monodnaviria;Shotokuvirae;Cossaviricota;Quintoviricetes;Piccovirales;Parvoviridae;Densovirinae;Aquambidensovirus;Decapod aquambidensovirus 1</t>
  </si>
  <si>
    <t>Monodnaviria;Shotokuvirae;Cossaviricota;Quintoviricetes;Piccovirales;Parvoviridae;Densovirinae;Aquambidensovirus;Aquambidensovirus asteroid1</t>
  </si>
  <si>
    <t>Monodnaviria;Shotokuvirae;Cossaviricota;Quintoviricetes;Piccovirales;Parvoviridae;Densovirinae;Aquambidensovirus;Asteroid aquambidensovirus 1</t>
  </si>
  <si>
    <t>Duplodnaviria;Heunggongvirae;Uroviricota;Caudoviricetes;Straboviridae;Tevenvirinae;Tequatrovirus;Tequatrovirus SHBML501</t>
  </si>
  <si>
    <t>Duplodnaviria;Heunggongvirae;Uroviricota;Caudoviricetes;Straboviridae;Tevenvirinae;Tequatrovirus;Shigella virus SHBML501</t>
  </si>
  <si>
    <t>Duplodnaviria;Heunggongvirae;Uroviricota;Caudoviricetes;Pootjesviridae;Heverleevirus;Heverleevirus OLIVR5</t>
  </si>
  <si>
    <t>Duplodnaviria;Heunggongvirae;Uroviricota;Caudoviricetes;Oliverocinquevirus;Oliverocinquevirus OLIVR5</t>
  </si>
  <si>
    <t>Duplodnaviria;Heunggongvirae;Uroviricota;Caudoviricetes;Incheonvirus;Incheonvirus P12002S</t>
  </si>
  <si>
    <t>Duplodnaviria;Heunggongvirae;Uroviricota;Caudoviricetes;Incheonvrus;Incheonvrus P12002S</t>
  </si>
  <si>
    <t>Duplodnaviria;Heunggongvirae;Uroviricota;Caudoviricetes;Incheonvirus;Incheonvirus P12002L</t>
  </si>
  <si>
    <t>Duplodnaviria;Heunggongvirae;Uroviricota;Caudoviricetes;Incheonvrus;Incheonvrus P12002L</t>
  </si>
  <si>
    <t>Duplodnaviria;Heunggongvirae;Uroviricota;Caudoviricetes;Gordonclarkvirinae;Suseptimavirus;Suseptimavirus ECBP2</t>
  </si>
  <si>
    <t>Duplodnaviria;Heunggongvirae;Uroviricota;Caudoviricetes;Kuravirus;Kuravirus ECB2</t>
  </si>
  <si>
    <t>Duplodnaviria;Heunggongvirae;Uroviricota;Caudoviricetes;Gordonclarkvirinae;Nieuwekanaalvirus;Nieuwekanaalvirus KBNP1711</t>
  </si>
  <si>
    <t>Duplodnaviria;Heunggongvirae;Uroviricota;Caudoviricetes;Kuravirus;Kuravirus septima11</t>
  </si>
  <si>
    <t>Duplodnaviria;Heunggongvirae;Uroviricota;Caudoviricetes;Demerecviridae;Markadamsvirinae;Epseptimavirus;Epseptimavirus R201</t>
  </si>
  <si>
    <t>Duplodnaviria;Heunggongvirae;Uroviricota;Caudoviricetes;Demerecviridae;Markadamsvirinae;Haartmanvirus;Haartmanvirus R201</t>
  </si>
  <si>
    <t>Duplodnaviria;Heunggongvirae;Uroviricota;Caudoviricetes;Autographiviridae;Krylovirinae;Tunggulvirus;Tunggulvirus f2</t>
  </si>
  <si>
    <t>Duplodnaviria;Heunggongvirae;Uroviricota;Caudoviricetes;Autographiviridae;Krylovirinae;Tunggulviirus;Tunggulviirus f2</t>
  </si>
  <si>
    <t>Duplodnaviria;Heunggongvirae;Peploviricota;Herviviricetes;Herpesvirales;Orthoherpesviridae;Gammaherpesvirinae;Rhadinovirus;Rhadinovirus saimiriinegamma2</t>
  </si>
  <si>
    <t>Duplodnaviria;Heunggongvirae;Peploviricota;Herviviricetes;Herpesvirales;Herpesviridae;Gammaherpesvirinae;Rhadinovirus;Saimiriine gammaherpesvirus 2</t>
  </si>
  <si>
    <t>Duplodnaviria;Heunggongvirae;Peploviricota;Herviviricetes;Herpesvirales;Orthoherpesviridae;Gammaherpesvirinae;Rhadinovirus;Rhadinovirus muridgamma7</t>
  </si>
  <si>
    <t>Duplodnaviria;Heunggongvirae;Peploviricota;Herviviricetes;Herpesvirales;Herpesviridae;Gammaherpesvirinae;Rhadinovirus;Murid gammaherpesvirus 7</t>
  </si>
  <si>
    <t>Duplodnaviria;Heunggongvirae;Peploviricota;Herviviricetes;Herpesvirales;Orthoherpesviridae;Gammaherpesvirinae;Rhadinovirus;Rhadinovirus muridgamma4</t>
  </si>
  <si>
    <t>Duplodnaviria;Heunggongvirae;Peploviricota;Herviviricetes;Herpesvirales;Herpesviridae;Gammaherpesvirinae;Rhadinovirus;Murid gammaherpesvirus 4</t>
  </si>
  <si>
    <t>Duplodnaviria;Heunggongvirae;Peploviricota;Herviviricetes;Herpesvirales;Orthoherpesviridae;Gammaherpesvirinae;Rhadinovirus;Rhadinovirus macacinegamma8</t>
  </si>
  <si>
    <t>Duplodnaviria;Heunggongvirae;Peploviricota;Herviviricetes;Herpesvirales;Herpesviridae;Gammaherpesvirinae;Rhadinovirus;Macacine gammaherpesvirus 8</t>
  </si>
  <si>
    <t>Duplodnaviria;Heunggongvirae;Peploviricota;Herviviricetes;Herpesvirales;Orthoherpesviridae;Gammaherpesvirinae;Rhadinovirus;Rhadinovirus macacinegamma5</t>
  </si>
  <si>
    <t>Duplodnaviria;Heunggongvirae;Peploviricota;Herviviricetes;Herpesvirales;Herpesviridae;Gammaherpesvirinae;Rhadinovirus;Macacine gammaherpesvirus 5</t>
  </si>
  <si>
    <t>Duplodnaviria;Heunggongvirae;Peploviricota;Herviviricetes;Herpesvirales;Orthoherpesviridae;Gammaherpesvirinae;Rhadinovirus;Rhadinovirus macacinegamma12</t>
  </si>
  <si>
    <t>Duplodnaviria;Heunggongvirae;Peploviricota;Herviviricetes;Herpesvirales;Herpesviridae;Gammaherpesvirinae;Rhadinovirus;Macacine gammaherpesvirus 12</t>
  </si>
  <si>
    <t>Duplodnaviria;Heunggongvirae;Peploviricota;Herviviricetes;Herpesvirales;Orthoherpesviridae;Gammaherpesvirinae;Rhadinovirus;Rhadinovirus macacinegamma11</t>
  </si>
  <si>
    <t>Duplodnaviria;Heunggongvirae;Peploviricota;Herviviricetes;Herpesvirales;Herpesviridae;Gammaherpesvirinae;Rhadinovirus;Macacine gammaherpesvirus 11</t>
  </si>
  <si>
    <t>Duplodnaviria;Heunggongvirae;Peploviricota;Herviviricetes;Herpesvirales;Orthoherpesviridae;Gammaherpesvirinae;Rhadinovirus;Rhadinovirus humangamma8</t>
  </si>
  <si>
    <t>Duplodnaviria;Heunggongvirae;Peploviricota;Herviviricetes;Herpesvirales;Herpesviridae;Gammaherpesvirinae;Rhadinovirus;Human gammaherpesvirus 8</t>
  </si>
  <si>
    <t>Duplodnaviria;Heunggongvirae;Peploviricota;Herviviricetes;Herpesvirales;Orthoherpesviridae;Gammaherpesvirinae;Rhadinovirus;Rhadinovirus cricetidgamma2</t>
  </si>
  <si>
    <t>Duplodnaviria;Heunggongvirae;Peploviricota;Herviviricetes;Herpesvirales;Herpesviridae;Gammaherpesvirinae;Rhadinovirus;Cricetid gammaherpesvirus 2</t>
  </si>
  <si>
    <t>Duplodnaviria;Heunggongvirae;Peploviricota;Herviviricetes;Herpesvirales;Orthoherpesviridae;Gammaherpesvirinae;Rhadinovirus;Rhadinovirus bovinegamma4</t>
  </si>
  <si>
    <t>Duplodnaviria;Heunggongvirae;Peploviricota;Herviviricetes;Herpesvirales;Herpesviridae;Gammaherpesvirinae;Rhadinovirus;Bovine gammaherpesvirus 4</t>
  </si>
  <si>
    <t>Duplodnaviria;Heunggongvirae;Peploviricota;Herviviricetes;Herpesvirales;Orthoherpesviridae;Gammaherpesvirinae;Rhadinovirus;Rhadinovirus atelinegamma3</t>
  </si>
  <si>
    <t>Duplodnaviria;Heunggongvirae;Peploviricota;Herviviricetes;Herpesvirales;Herpesviridae;Gammaherpesvirinae;Rhadinovirus;Ateline gammaherpesvirus 3</t>
  </si>
  <si>
    <t>Duplodnaviria;Heunggongvirae;Peploviricota;Herviviricetes;Herpesvirales;Orthoherpesviridae;Gammaherpesvirinae;Rhadinovirus;Rhadinovirus atelinegamma2</t>
  </si>
  <si>
    <t>Duplodnaviria;Heunggongvirae;Peploviricota;Herviviricetes;Herpesvirales;Herpesviridae;Gammaherpesvirinae;Rhadinovirus;Ateline gammaherpesvirus 2</t>
  </si>
  <si>
    <t>Duplodnaviria;Heunggongvirae;Peploviricota;Herviviricetes;Herpesvirales;Orthoherpesviridae;Gammaherpesvirinae;Percavirus;Percavirus vespertilionidgamma1</t>
  </si>
  <si>
    <t>Duplodnaviria;Heunggongvirae;Peploviricota;Herviviricetes;Herpesvirales;Herpesviridae;Gammaherpesvirinae;Percavirus;Vespertilionid gammaherpesvirus 1</t>
  </si>
  <si>
    <t>Duplodnaviria;Heunggongvirae;Peploviricota;Herviviricetes;Herpesvirales;Orthoherpesviridae;Gammaherpesvirinae;Percavirus;Percavirus phocidgamma3</t>
  </si>
  <si>
    <t>Duplodnaviria;Heunggongvirae;Peploviricota;Herviviricetes;Herpesvirales;Herpesviridae;Gammaherpesvirinae;Percavirus;Phocid gammaherpesvirus 3</t>
  </si>
  <si>
    <t>Duplodnaviria;Heunggongvirae;Peploviricota;Herviviricetes;Herpesvirales;Orthoherpesviridae;Gammaherpesvirinae;Percavirus;Percavirus mustelidgamma1</t>
  </si>
  <si>
    <t>Duplodnaviria;Heunggongvirae;Peploviricota;Herviviricetes;Herpesvirales;Herpesviridae;Gammaherpesvirinae;Percavirus;Mustelid gammaherpesvirus 1</t>
  </si>
  <si>
    <t>Duplodnaviria;Heunggongvirae;Peploviricota;Herviviricetes;Herpesvirales;Orthoherpesviridae;Gammaherpesvirinae;Percavirus;Percavirus felidgamma1</t>
  </si>
  <si>
    <t>Duplodnaviria;Heunggongvirae;Peploviricota;Herviviricetes;Herpesvirales;Herpesviridae;Gammaherpesvirinae;Percavirus;Felid gammaherpesvirus 1</t>
  </si>
  <si>
    <t>Duplodnaviria;Heunggongvirae;Peploviricota;Herviviricetes;Herpesvirales;Orthoherpesviridae;Gammaherpesvirinae;Percavirus;Percavirus equidgamma5</t>
  </si>
  <si>
    <t>Duplodnaviria;Heunggongvirae;Peploviricota;Herviviricetes;Herpesvirales;Herpesviridae;Gammaherpesvirinae;Percavirus;Equid gammaherpesvirus 5</t>
  </si>
  <si>
    <t>Duplodnaviria;Heunggongvirae;Peploviricota;Herviviricetes;Herpesvirales;Orthoherpesviridae;Gammaherpesvirinae;Percavirus;Percavirus equidgamma2</t>
  </si>
  <si>
    <t>Duplodnaviria;Heunggongvirae;Peploviricota;Herviviricetes;Herpesvirales;Herpesviridae;Gammaherpesvirinae;Percavirus;Equid gammaherpesvirus 2</t>
  </si>
  <si>
    <t>Duplodnaviria;Heunggongvirae;Peploviricota;Herviviricetes;Herpesvirales;Orthoherpesviridae;Gammaherpesvirinae;Patagivirus;Patagivirus vespertilionidgamma3</t>
  </si>
  <si>
    <t>Duplodnaviria;Heunggongvirae;Peploviricota;Herviviricetes;Herpesvirales;Herpesviridae;Gammaherpesvirinae;Patagivirus;Vespertilionid gammaherpesvirus 3</t>
  </si>
  <si>
    <t>Duplodnaviria;Heunggongvirae;Peploviricota;Herviviricetes;Herpesvirales;Orthoherpesviridae;Gammaherpesvirinae;Manticavirus;Manticavirus vombatidgamma1</t>
  </si>
  <si>
    <t>Duplodnaviria;Heunggongvirae;Peploviricota;Herviviricetes;Herpesvirales;Herpesviridae;Gammaherpesvirinae;Manticavirus;Vombatid gammaherpesvirus 1</t>
  </si>
  <si>
    <t>Duplodnaviria;Heunggongvirae;Peploviricota;Herviviricetes;Herpesvirales;Orthoherpesviridae;Gammaherpesvirinae;Manticavirus;Manticavirus phascolarctidgamma1</t>
  </si>
  <si>
    <t>Duplodnaviria;Heunggongvirae;Peploviricota;Herviviricetes;Herpesvirales;Herpesviridae;Gammaherpesvirinae;Manticavirus;Phascolarctid gammaherpesvirus 1</t>
  </si>
  <si>
    <t>Duplodnaviria;Heunggongvirae;Peploviricota;Herviviricetes;Herpesvirales;Orthoherpesviridae;Gammaherpesvirinae;Macavirus;Macavirus suidgamma5</t>
  </si>
  <si>
    <t>Duplodnaviria;Heunggongvirae;Peploviricota;Herviviricetes;Herpesvirales;Herpesviridae;Gammaherpesvirinae;Macavirus;Suid gammaherpesvirus 5</t>
  </si>
  <si>
    <t>Duplodnaviria;Heunggongvirae;Peploviricota;Herviviricetes;Herpesvirales;Orthoherpesviridae;Gammaherpesvirinae;Macavirus;Macavirus suidgamma4</t>
  </si>
  <si>
    <t>Duplodnaviria;Heunggongvirae;Peploviricota;Herviviricetes;Herpesvirales;Herpesviridae;Gammaherpesvirinae;Macavirus;Suid gammaherpesvirus 4</t>
  </si>
  <si>
    <t>Duplodnaviria;Heunggongvirae;Peploviricota;Herviviricetes;Herpesvirales;Orthoherpesviridae;Gammaherpesvirinae;Macavirus;Macavirus suidgamma3</t>
  </si>
  <si>
    <t>Duplodnaviria;Heunggongvirae;Peploviricota;Herviviricetes;Herpesvirales;Herpesviridae;Gammaherpesvirinae;Macavirus;Suid gammaherpesvirus 3</t>
  </si>
  <si>
    <t>Duplodnaviria;Heunggongvirae;Peploviricota;Herviviricetes;Herpesvirales;Orthoherpesviridae;Gammaherpesvirinae;Macavirus;Macavirus ovinegamma2</t>
  </si>
  <si>
    <t>Duplodnaviria;Heunggongvirae;Peploviricota;Herviviricetes;Herpesvirales;Herpesviridae;Gammaherpesvirinae;Macavirus;Ovine gammaherpesvirus 2</t>
  </si>
  <si>
    <t>Duplodnaviria;Heunggongvirae;Peploviricota;Herviviricetes;Herpesvirales;Orthoherpesviridae;Gammaherpesvirinae;Macavirus;Macavirus hippotraginegamma1</t>
  </si>
  <si>
    <t>Duplodnaviria;Heunggongvirae;Peploviricota;Herviviricetes;Herpesvirales;Herpesviridae;Gammaherpesvirinae;Macavirus;Hippotragine gammaherpesvirus 1</t>
  </si>
  <si>
    <t>Duplodnaviria;Heunggongvirae;Peploviricota;Herviviricetes;Herpesvirales;Orthoherpesviridae;Gammaherpesvirinae;Macavirus;Macavirus caprinegamma2</t>
  </si>
  <si>
    <t>Duplodnaviria;Heunggongvirae;Peploviricota;Herviviricetes;Herpesvirales;Herpesviridae;Gammaherpesvirinae;Macavirus;Caprine gammaherpesvirus 2</t>
  </si>
  <si>
    <t>Duplodnaviria;Heunggongvirae;Peploviricota;Herviviricetes;Herpesvirales;Orthoherpesviridae;Gammaherpesvirinae;Macavirus;Macavirus bovinegamma6</t>
  </si>
  <si>
    <t>Duplodnaviria;Heunggongvirae;Peploviricota;Herviviricetes;Herpesvirales;Herpesviridae;Gammaherpesvirinae;Macavirus;Bovine gammaherpesvirus 6</t>
  </si>
  <si>
    <t>Duplodnaviria;Heunggongvirae;Peploviricota;Herviviricetes;Herpesvirales;Orthoherpesviridae;Gammaherpesvirinae;Macavirus;Macavirus alcelaphinegamma2</t>
  </si>
  <si>
    <t>Duplodnaviria;Heunggongvirae;Peploviricota;Herviviricetes;Herpesvirales;Herpesviridae;Gammaherpesvirinae;Macavirus;Alcelaphine gammaherpesvirus 2</t>
  </si>
  <si>
    <t>Duplodnaviria;Heunggongvirae;Peploviricota;Herviviricetes;Herpesvirales;Orthoherpesviridae;Gammaherpesvirinae;Macavirus;Macavirus alcelaphinegamma1</t>
  </si>
  <si>
    <t>Duplodnaviria;Heunggongvirae;Peploviricota;Herviviricetes;Herpesvirales;Herpesviridae;Gammaherpesvirinae;Macavirus;Alcelaphine gammaherpesvirus 1</t>
  </si>
  <si>
    <t>Duplodnaviria;Heunggongvirae;Peploviricota;Herviviricetes;Herpesvirales;Orthoherpesviridae;Gammaherpesvirinae;Lymphocryptovirus;Lymphocryptovirus ponginegamma2</t>
  </si>
  <si>
    <t>Duplodnaviria;Heunggongvirae;Peploviricota;Herviviricetes;Herpesvirales;Herpesviridae;Gammaherpesvirinae;Lymphocryptovirus;Pongine gammaherpesvirus 2</t>
  </si>
  <si>
    <t>Duplodnaviria;Heunggongvirae;Peploviricota;Herviviricetes;Herpesvirales;Orthoherpesviridae;Gammaherpesvirinae;Lymphocryptovirus;Lymphocryptovirus papiinegamma1</t>
  </si>
  <si>
    <t>Duplodnaviria;Heunggongvirae;Peploviricota;Herviviricetes;Herpesvirales;Herpesviridae;Gammaherpesvirinae;Lymphocryptovirus;Papiine gammaherpesvirus 1</t>
  </si>
  <si>
    <t>Duplodnaviria;Heunggongvirae;Peploviricota;Herviviricetes;Herpesvirales;Orthoherpesviridae;Gammaherpesvirinae;Lymphocryptovirus;Lymphocryptovirus paninegamma1</t>
  </si>
  <si>
    <t>Duplodnaviria;Heunggongvirae;Peploviricota;Herviviricetes;Herpesvirales;Herpesviridae;Gammaherpesvirinae;Lymphocryptovirus;Panine gammaherpesvirus 1</t>
  </si>
  <si>
    <t>Duplodnaviria;Heunggongvirae;Peploviricota;Herviviricetes;Herpesvirales;Orthoherpesviridae;Gammaherpesvirinae;Lymphocryptovirus;Lymphocryptovirus macacinegamma4</t>
  </si>
  <si>
    <t>Duplodnaviria;Heunggongvirae;Peploviricota;Herviviricetes;Herpesvirales;Herpesviridae;Gammaherpesvirinae;Lymphocryptovirus;Macacine gammaherpesvirus 4</t>
  </si>
  <si>
    <t>Duplodnaviria;Heunggongvirae;Peploviricota;Herviviricetes;Herpesvirales;Orthoherpesviridae;Gammaherpesvirinae;Lymphocryptovirus;Lymphocryptovirus macacinegamma10</t>
  </si>
  <si>
    <t>Duplodnaviria;Heunggongvirae;Peploviricota;Herviviricetes;Herpesvirales;Herpesviridae;Gammaherpesvirinae;Lymphocryptovirus;Macacine gammaherpesvirus 10</t>
  </si>
  <si>
    <t>Duplodnaviria;Heunggongvirae;Peploviricota;Herviviricetes;Herpesvirales;Orthoherpesviridae;Gammaherpesvirinae;Lymphocryptovirus;Lymphocryptovirus humangamma4</t>
  </si>
  <si>
    <t>Duplodnaviria;Heunggongvirae;Peploviricota;Herviviricetes;Herpesvirales;Herpesviridae;Gammaherpesvirinae;Lymphocryptovirus;Human gammaherpesvirus 4</t>
  </si>
  <si>
    <t>Duplodnaviria;Heunggongvirae;Peploviricota;Herviviricetes;Herpesvirales;Orthoherpesviridae;Gammaherpesvirinae;Lymphocryptovirus;Lymphocryptovirus gorillinegamma1</t>
  </si>
  <si>
    <t>Duplodnaviria;Heunggongvirae;Peploviricota;Herviviricetes;Herpesvirales;Herpesviridae;Gammaherpesvirinae;Lymphocryptovirus;Gorilline gammaherpesvirus 1</t>
  </si>
  <si>
    <t>Duplodnaviria;Heunggongvirae;Peploviricota;Herviviricetes;Herpesvirales;Orthoherpesviridae;Gammaherpesvirinae;Lymphocryptovirus;Lymphocryptovirus callitrichinegamma3</t>
  </si>
  <si>
    <t>Duplodnaviria;Heunggongvirae;Peploviricota;Herviviricetes;Herpesvirales;Herpesviridae;Gammaherpesvirinae;Lymphocryptovirus;Callitrichine gammaherpesvirus 3</t>
  </si>
  <si>
    <t>Duplodnaviria;Heunggongvirae;Peploviricota;Herviviricetes;Herpesvirales;Orthoherpesviridae;Gammaherpesvirinae;Bossavirus;Bossavirus delphinidgamma1</t>
  </si>
  <si>
    <t>Duplodnaviria;Heunggongvirae;Peploviricota;Herviviricetes;Herpesvirales;Herpesviridae;Gammaherpesvirinae;Bossavirus;Delphinid gammaherpesvirus 1</t>
  </si>
  <si>
    <t>Duplodnaviria;Heunggongvirae;Peploviricota;Herviviricetes;Herpesvirales;Orthoherpesviridae;Betaherpesvirinae;Roseolovirus;Roseolovirus suidbeta2</t>
  </si>
  <si>
    <t>Duplodnaviria;Heunggongvirae;Peploviricota;Herviviricetes;Herpesvirales;Herpesviridae;Betaherpesvirinae;Roseolovirus;Suid betaherpesvirus 2</t>
  </si>
  <si>
    <t>Duplodnaviria;Heunggongvirae;Peploviricota;Herviviricetes;Herpesvirales;Orthoherpesviridae;Betaherpesvirinae;Roseolovirus;Roseolovirus muridbeta3</t>
  </si>
  <si>
    <t>Duplodnaviria;Heunggongvirae;Peploviricota;Herviviricetes;Herpesvirales;Herpesviridae;Betaherpesvirinae;Roseolovirus;Murid betaherpesvirus 3</t>
  </si>
  <si>
    <t>Duplodnaviria;Heunggongvirae;Peploviricota;Herviviricetes;Herpesvirales;Orthoherpesviridae;Betaherpesvirinae;Roseolovirus;Roseolovirus macacinebeta9</t>
  </si>
  <si>
    <t>Duplodnaviria;Heunggongvirae;Peploviricota;Herviviricetes;Herpesvirales;Herpesviridae;Betaherpesvirinae;Roseolovirus;Macacine betaherpesvirus 9</t>
  </si>
  <si>
    <t>Duplodnaviria;Heunggongvirae;Peploviricota;Herviviricetes;Herpesvirales;Orthoherpesviridae;Betaherpesvirinae;Roseolovirus;Roseolovirus humanbeta7</t>
  </si>
  <si>
    <t>Duplodnaviria;Heunggongvirae;Peploviricota;Herviviricetes;Herpesvirales;Herpesviridae;Betaherpesvirinae;Roseolovirus;Human betaherpesvirus 7</t>
  </si>
  <si>
    <t>Duplodnaviria;Heunggongvirae;Peploviricota;Herviviricetes;Herpesvirales;Orthoherpesviridae;Betaherpesvirinae;Roseolovirus;Roseolovirus humanbeta6b</t>
  </si>
  <si>
    <t>Duplodnaviria;Heunggongvirae;Peploviricota;Herviviricetes;Herpesvirales;Herpesviridae;Betaherpesvirinae;Roseolovirus;Human betaherpesvirus 6B</t>
  </si>
  <si>
    <t>Duplodnaviria;Heunggongvirae;Peploviricota;Herviviricetes;Herpesvirales;Orthoherpesviridae;Betaherpesvirinae;Roseolovirus;Roseolovirus humanbeta6a</t>
  </si>
  <si>
    <t>Duplodnaviria;Heunggongvirae;Peploviricota;Herviviricetes;Herpesvirales;Herpesviridae;Betaherpesvirinae;Roseolovirus;Human betaherpesvirus 6A</t>
  </si>
  <si>
    <t>Duplodnaviria;Heunggongvirae;Peploviricota;Herviviricetes;Herpesvirales;Orthoherpesviridae;Betaherpesvirinae;Quwivirus;Quwivirus tupaiidbeta1</t>
  </si>
  <si>
    <t>Duplodnaviria;Heunggongvirae;Peploviricota;Herviviricetes;Herpesvirales;Herpesviridae;Betaherpesvirinae;Quwivirus;Tupaiid betaherpesvirus 1</t>
  </si>
  <si>
    <t>Duplodnaviria;Heunggongvirae;Peploviricota;Herviviricetes;Herpesvirales;Orthoherpesviridae;Betaherpesvirinae;Quwivirus;Quwivirus miniopteridbeta1</t>
  </si>
  <si>
    <t>Duplodnaviria;Heunggongvirae;Peploviricota;Herviviricetes;Herpesvirales;Herpesviridae;Betaherpesvirinae;Quwivirus;Miniopterid betaherpesvirus 1</t>
  </si>
  <si>
    <t>Duplodnaviria;Heunggongvirae;Peploviricota;Herviviricetes;Herpesvirales;Orthoherpesviridae;Betaherpesvirinae;Quwivirus;Quwivirus caviidbeta2</t>
  </si>
  <si>
    <t>Duplodnaviria;Heunggongvirae;Peploviricota;Herviviricetes;Herpesvirales;Herpesviridae;Betaherpesvirinae;Quwivirus;Caviid betaherpesvirus 2</t>
  </si>
  <si>
    <t>Duplodnaviria;Heunggongvirae;Peploviricota;Herviviricetes;Herpesvirales;Orthoherpesviridae;Betaherpesvirinae;Proboscivirus;Proboscivirus elephantidbeta5</t>
  </si>
  <si>
    <t>Duplodnaviria;Heunggongvirae;Peploviricota;Herviviricetes;Herpesvirales;Herpesviridae;Betaherpesvirinae;Proboscivirus;Elephantid betaherpesvirus 5</t>
  </si>
  <si>
    <t>Duplodnaviria;Heunggongvirae;Peploviricota;Herviviricetes;Herpesvirales;Orthoherpesviridae;Betaherpesvirinae;Proboscivirus;Proboscivirus elephantidbeta4</t>
  </si>
  <si>
    <t>Duplodnaviria;Heunggongvirae;Peploviricota;Herviviricetes;Herpesvirales;Herpesviridae;Betaherpesvirinae;Proboscivirus;Elephantid betaherpesvirus 4</t>
  </si>
  <si>
    <t>Duplodnaviria;Heunggongvirae;Peploviricota;Herviviricetes;Herpesvirales;Orthoherpesviridae;Betaherpesvirinae;Proboscivirus;Proboscivirus elephantidbeta1</t>
  </si>
  <si>
    <t>Duplodnaviria;Heunggongvirae;Peploviricota;Herviviricetes;Herpesvirales;Herpesviridae;Betaherpesvirinae;Proboscivirus;Elephantid betaherpesvirus 1</t>
  </si>
  <si>
    <t>Duplodnaviria;Heunggongvirae;Peploviricota;Herviviricetes;Herpesvirales;Orthoherpesviridae;Betaherpesvirinae;Muromegalovirus;Muromegalovirus muridbeta8</t>
  </si>
  <si>
    <t>Duplodnaviria;Heunggongvirae;Peploviricota;Herviviricetes;Herpesvirales;Herpesviridae;Betaherpesvirinae;Muromegalovirus;Murid betaherpesvirus 8</t>
  </si>
  <si>
    <t>Duplodnaviria;Heunggongvirae;Peploviricota;Herviviricetes;Herpesvirales;Orthoherpesviridae;Betaherpesvirinae;Muromegalovirus;Muromegalovirus muridbeta2</t>
  </si>
  <si>
    <t>Duplodnaviria;Heunggongvirae;Peploviricota;Herviviricetes;Herpesvirales;Herpesviridae;Betaherpesvirinae;Muromegalovirus;Murid betaherpesvirus 2</t>
  </si>
  <si>
    <t>Duplodnaviria;Heunggongvirae;Peploviricota;Herviviricetes;Herpesvirales;Orthoherpesviridae;Betaherpesvirinae;Muromegalovirus;Muromegalovirus muridbeta1</t>
  </si>
  <si>
    <t>Duplodnaviria;Heunggongvirae;Peploviricota;Herviviricetes;Herpesvirales;Herpesviridae;Betaherpesvirinae;Muromegalovirus;Murid betaherpesvirus 1</t>
  </si>
  <si>
    <t>Duplodnaviria;Heunggongvirae;Peploviricota;Herviviricetes;Herpesvirales;Orthoherpesviridae;Betaherpesvirinae;Cytomegalovirus;Cytomegalovirus saimiriinebeta4</t>
  </si>
  <si>
    <t>Duplodnaviria;Heunggongvirae;Peploviricota;Herviviricetes;Herpesvirales;Herpesviridae;Betaherpesvirinae;Cytomegalovirus;Saimiriine betaherpesvirus 4</t>
  </si>
  <si>
    <t>Duplodnaviria;Heunggongvirae;Peploviricota;Herviviricetes;Herpesvirales;Orthoherpesviridae;Betaherpesvirinae;Cytomegalovirus;Cytomegalovirus papiinebeta4</t>
  </si>
  <si>
    <t>Duplodnaviria;Heunggongvirae;Peploviricota;Herviviricetes;Herpesvirales;Herpesviridae;Betaherpesvirinae;Cytomegalovirus;Papiine betaherpesvirus 4</t>
  </si>
  <si>
    <t>Duplodnaviria;Heunggongvirae;Peploviricota;Herviviricetes;Herpesvirales;Orthoherpesviridae;Betaherpesvirinae;Cytomegalovirus;Cytomegalovirus papiinebeta3</t>
  </si>
  <si>
    <t>Duplodnaviria;Heunggongvirae;Peploviricota;Herviviricetes;Herpesvirales;Herpesviridae;Betaherpesvirinae;Cytomegalovirus;Papiine betaherpesvirus 3</t>
  </si>
  <si>
    <t>Duplodnaviria;Heunggongvirae;Peploviricota;Herviviricetes;Herpesvirales;Orthoherpesviridae;Betaherpesvirinae;Cytomegalovirus;Cytomegalovirus paninebeta2</t>
  </si>
  <si>
    <t>Duplodnaviria;Heunggongvirae;Peploviricota;Herviviricetes;Herpesvirales;Herpesviridae;Betaherpesvirinae;Cytomegalovirus;Panine betaherpesvirus 2</t>
  </si>
  <si>
    <t>Duplodnaviria;Heunggongvirae;Peploviricota;Herviviricetes;Herpesvirales;Orthoherpesviridae;Betaherpesvirinae;Cytomegalovirus;Cytomegalovirus mandrillinebeta1</t>
  </si>
  <si>
    <t>Duplodnaviria;Heunggongvirae;Peploviricota;Herviviricetes;Herpesvirales;Herpesviridae;Betaherpesvirinae;Cytomegalovirus;Mandrilline betaherpesvirus 1</t>
  </si>
  <si>
    <t>Duplodnaviria;Heunggongvirae;Peploviricota;Herviviricetes;Herpesvirales;Orthoherpesviridae;Betaherpesvirinae;Cytomegalovirus;Cytomegalovirus macacinebeta8</t>
  </si>
  <si>
    <t>Duplodnaviria;Heunggongvirae;Peploviricota;Herviviricetes;Herpesvirales;Herpesviridae;Betaherpesvirinae;Cytomegalovirus;Macacine betaherpesvirus 8</t>
  </si>
  <si>
    <t>Duplodnaviria;Heunggongvirae;Peploviricota;Herviviricetes;Herpesvirales;Orthoherpesviridae;Betaherpesvirinae;Cytomegalovirus;Cytomegalovirus macacinebeta3</t>
  </si>
  <si>
    <t>Duplodnaviria;Heunggongvirae;Peploviricota;Herviviricetes;Herpesvirales;Herpesviridae;Betaherpesvirinae;Cytomegalovirus;Macacine betaherpesvirus 3</t>
  </si>
  <si>
    <t>Duplodnaviria;Heunggongvirae;Peploviricota;Herviviricetes;Herpesvirales;Orthoherpesviridae;Betaherpesvirinae;Cytomegalovirus;Cytomegalovirus humanbeta5</t>
  </si>
  <si>
    <t>Duplodnaviria;Heunggongvirae;Peploviricota;Herviviricetes;Herpesvirales;Herpesviridae;Betaherpesvirinae;Cytomegalovirus;Human betaherpesvirus 5</t>
  </si>
  <si>
    <t>Duplodnaviria;Heunggongvirae;Peploviricota;Herviviricetes;Herpesvirales;Orthoherpesviridae;Betaherpesvirinae;Cytomegalovirus;Cytomegalovirus cercopithecinebeta5</t>
  </si>
  <si>
    <t>Duplodnaviria;Heunggongvirae;Peploviricota;Herviviricetes;Herpesvirales;Herpesviridae;Betaherpesvirinae;Cytomegalovirus;Cercopithecine betaherpesvirus 5</t>
  </si>
  <si>
    <t>Duplodnaviria;Heunggongvirae;Peploviricota;Herviviricetes;Herpesvirales;Orthoherpesviridae;Betaherpesvirinae;Cytomegalovirus;Cytomegalovirus cebinebeta1</t>
  </si>
  <si>
    <t>Duplodnaviria;Heunggongvirae;Peploviricota;Herviviricetes;Herpesvirales;Herpesviridae;Betaherpesvirinae;Cytomegalovirus;Cebine betaherpesvirus 1</t>
  </si>
  <si>
    <t>Duplodnaviria;Heunggongvirae;Peploviricota;Herviviricetes;Herpesvirales;Orthoherpesviridae;Betaherpesvirinae;Cytomegalovirus;Cytomegalovirus aotinebeta1</t>
  </si>
  <si>
    <t>Duplodnaviria;Heunggongvirae;Peploviricota;Herviviricetes;Herpesvirales;Herpesviridae;Betaherpesvirinae;Cytomegalovirus;Aotine betaherpesvirus 1</t>
  </si>
  <si>
    <t>Duplodnaviria;Heunggongvirae;Peploviricota;Herviviricetes;Herpesvirales;Orthoherpesviridae;Alphaherpesvirinae;Varicellovirus;Varicellovirus suidalpha1</t>
  </si>
  <si>
    <t>Duplodnaviria;Heunggongvirae;Peploviricota;Herviviricetes;Herpesvirales;Herpesviridae;Alphaherpesvirinae;Varicellovirus;Suid alphaherpesvirus 1</t>
  </si>
  <si>
    <t>Duplodnaviria;Heunggongvirae;Peploviricota;Herviviricetes;Herpesvirales;Orthoherpesviridae;Alphaherpesvirinae;Varicellovirus;Varicellovirus phocidalpha1</t>
  </si>
  <si>
    <t>Duplodnaviria;Heunggongvirae;Peploviricota;Herviviricetes;Herpesvirales;Herpesviridae;Alphaherpesvirinae;Varicellovirus;Phocid alphaherpesvirus 1</t>
  </si>
  <si>
    <t>Duplodnaviria;Heunggongvirae;Peploviricota;Herviviricetes;Herpesvirales;Orthoherpesviridae;Alphaherpesvirinae;Varicellovirus;Varicellovirus monodontidalpha1</t>
  </si>
  <si>
    <t>Duplodnaviria;Heunggongvirae;Peploviricota;Herviviricetes;Herpesvirales;Herpesviridae;Alphaherpesvirinae;Varicellovirus;Monodontid alphaherpesvirus 1</t>
  </si>
  <si>
    <t>Duplodnaviria;Heunggongvirae;Peploviricota;Herviviricetes;Herpesvirales;Orthoherpesviridae;Alphaherpesvirinae;Varicellovirus;Varicellovirus humanalpha3</t>
  </si>
  <si>
    <t>Duplodnaviria;Heunggongvirae;Peploviricota;Herviviricetes;Herpesvirales;Herpesviridae;Alphaherpesvirinae;Varicellovirus;Human alphaherpesvirus 3</t>
  </si>
  <si>
    <t>Duplodnaviria;Heunggongvirae;Peploviricota;Herviviricetes;Herpesvirales;Orthoherpesviridae;Alphaherpesvirinae;Varicellovirus;Varicellovirus felidalpha1</t>
  </si>
  <si>
    <t>Duplodnaviria;Heunggongvirae;Peploviricota;Herviviricetes;Herpesvirales;Herpesviridae;Alphaherpesvirinae;Varicellovirus;Felid alphaherpesvirus 1</t>
  </si>
  <si>
    <t>Duplodnaviria;Heunggongvirae;Peploviricota;Herviviricetes;Herpesvirales;Orthoherpesviridae;Alphaherpesvirinae;Varicellovirus;Varicellovirus equidalpha9</t>
  </si>
  <si>
    <t>Duplodnaviria;Heunggongvirae;Peploviricota;Herviviricetes;Herpesvirales;Herpesviridae;Alphaherpesvirinae;Varicellovirus;Equid alphaherpesvirus 9</t>
  </si>
  <si>
    <t>Duplodnaviria;Heunggongvirae;Peploviricota;Herviviricetes;Herpesvirales;Orthoherpesviridae;Alphaherpesvirinae;Varicellovirus;Varicellovirus equidalpha8</t>
  </si>
  <si>
    <t>Duplodnaviria;Heunggongvirae;Peploviricota;Herviviricetes;Herpesvirales;Herpesviridae;Alphaherpesvirinae;Varicellovirus;Equid alphaherpesvirus 8</t>
  </si>
  <si>
    <t>Duplodnaviria;Heunggongvirae;Peploviricota;Herviviricetes;Herpesvirales;Orthoherpesviridae;Alphaherpesvirinae;Varicellovirus;Varicellovirus equidalpha4</t>
  </si>
  <si>
    <t>Duplodnaviria;Heunggongvirae;Peploviricota;Herviviricetes;Herpesvirales;Herpesviridae;Alphaherpesvirinae;Varicellovirus;Equid alphaherpesvirus 4</t>
  </si>
  <si>
    <t>Duplodnaviria;Heunggongvirae;Peploviricota;Herviviricetes;Herpesvirales;Orthoherpesviridae;Alphaherpesvirinae;Varicellovirus;Varicellovirus equidalpha3</t>
  </si>
  <si>
    <t>Duplodnaviria;Heunggongvirae;Peploviricota;Herviviricetes;Herpesvirales;Herpesviridae;Alphaherpesvirinae;Varicellovirus;Equid alphaherpesvirus 3</t>
  </si>
  <si>
    <t>Duplodnaviria;Heunggongvirae;Peploviricota;Herviviricetes;Herpesvirales;Orthoherpesviridae;Alphaherpesvirinae;Varicellovirus;Varicellovirus equidalpha1</t>
  </si>
  <si>
    <t>Duplodnaviria;Heunggongvirae;Peploviricota;Herviviricetes;Herpesvirales;Herpesviridae;Alphaherpesvirinae;Varicellovirus;Equid alphaherpesvirus 1</t>
  </si>
  <si>
    <t>Duplodnaviria;Heunggongvirae;Peploviricota;Herviviricetes;Herpesvirales;Orthoherpesviridae;Alphaherpesvirinae;Varicellovirus;Varicellovirus cervidalpha3</t>
  </si>
  <si>
    <t>Duplodnaviria;Heunggongvirae;Peploviricota;Herviviricetes;Herpesvirales;Herpesviridae;Alphaherpesvirinae;Varicellovirus;Cervid alphaherpesvirus 3</t>
  </si>
  <si>
    <t>Duplodnaviria;Heunggongvirae;Peploviricota;Herviviricetes;Herpesvirales;Orthoherpesviridae;Alphaherpesvirinae;Varicellovirus;Varicellovirus cervidalpha2</t>
  </si>
  <si>
    <t>Duplodnaviria;Heunggongvirae;Peploviricota;Herviviricetes;Herpesvirales;Herpesviridae;Alphaherpesvirinae;Varicellovirus;Cervid alphaherpesvirus 2</t>
  </si>
  <si>
    <t>Duplodnaviria;Heunggongvirae;Peploviricota;Herviviricetes;Herpesvirales;Orthoherpesviridae;Alphaherpesvirinae;Varicellovirus;Varicellovirus cervidalpha1</t>
  </si>
  <si>
    <t>Duplodnaviria;Heunggongvirae;Peploviricota;Herviviricetes;Herpesvirales;Herpesviridae;Alphaherpesvirinae;Varicellovirus;Cervid alphaherpesvirus 1</t>
  </si>
  <si>
    <t>Duplodnaviria;Heunggongvirae;Peploviricota;Herviviricetes;Herpesvirales;Orthoherpesviridae;Alphaherpesvirinae;Varicellovirus;Varicellovirus cercopithecinealpha9</t>
  </si>
  <si>
    <t>Duplodnaviria;Heunggongvirae;Peploviricota;Herviviricetes;Herpesvirales;Herpesviridae;Alphaherpesvirinae;Varicellovirus;Cercopithecine alphaherpesvirus 9</t>
  </si>
  <si>
    <t>Duplodnaviria;Heunggongvirae;Peploviricota;Herviviricetes;Herpesvirales;Orthoherpesviridae;Alphaherpesvirinae;Varicellovirus;Varicellovirus caprinealpha1</t>
  </si>
  <si>
    <t>Duplodnaviria;Heunggongvirae;Peploviricota;Herviviricetes;Herpesvirales;Herpesviridae;Alphaherpesvirinae;Varicellovirus;Caprine alphaherpesvirus 1</t>
  </si>
  <si>
    <t>Duplodnaviria;Heunggongvirae;Peploviricota;Herviviricetes;Herpesvirales;Orthoherpesviridae;Alphaherpesvirinae;Varicellovirus;Varicellovirus canidalpha1</t>
  </si>
  <si>
    <t>Duplodnaviria;Heunggongvirae;Peploviricota;Herviviricetes;Herpesvirales;Herpesviridae;Alphaherpesvirinae;Varicellovirus;Canid alphaherpesvirus 1</t>
  </si>
  <si>
    <t>Duplodnaviria;Heunggongvirae;Peploviricota;Herviviricetes;Herpesvirales;Orthoherpesviridae;Alphaherpesvirinae;Varicellovirus;Varicellovirus bubalinealpha1</t>
  </si>
  <si>
    <t>Duplodnaviria;Heunggongvirae;Peploviricota;Herviviricetes;Herpesvirales;Herpesviridae;Alphaherpesvirinae;Varicellovirus;Bubaline alphaherpesvirus 1</t>
  </si>
  <si>
    <t>Duplodnaviria;Heunggongvirae;Peploviricota;Herviviricetes;Herpesvirales;Orthoherpesviridae;Alphaherpesvirinae;Varicellovirus;Varicellovirus bovinealpha5</t>
  </si>
  <si>
    <t>Duplodnaviria;Heunggongvirae;Peploviricota;Herviviricetes;Herpesvirales;Herpesviridae;Alphaherpesvirinae;Varicellovirus;Bovine alphaherpesvirus 5</t>
  </si>
  <si>
    <t>Duplodnaviria;Heunggongvirae;Peploviricota;Herviviricetes;Herpesvirales;Orthoherpesviridae;Alphaherpesvirinae;Varicellovirus;Varicellovirus bovinealpha1</t>
  </si>
  <si>
    <t>Duplodnaviria;Heunggongvirae;Peploviricota;Herviviricetes;Herpesvirales;Herpesviridae;Alphaherpesvirinae;Varicellovirus;Bovine alphaherpesvirus 1</t>
  </si>
  <si>
    <t>Duplodnaviria;Heunggongvirae;Peploviricota;Herviviricetes;Herpesvirales;Orthoherpesviridae;Alphaherpesvirinae;Simplexvirus;Simplexvirus saimiriinealpha1</t>
  </si>
  <si>
    <t>Duplodnaviria;Heunggongvirae;Peploviricota;Herviviricetes;Herpesvirales;Herpesviridae;Alphaherpesvirinae;Simplexvirus;Saimiriine alphaherpesvirus 1</t>
  </si>
  <si>
    <t>Duplodnaviria;Heunggongvirae;Peploviricota;Herviviricetes;Herpesvirales;Orthoherpesviridae;Alphaherpesvirinae;Simplexvirus;Simplexvirus pteropodidalpha1</t>
  </si>
  <si>
    <t>Duplodnaviria;Heunggongvirae;Peploviricota;Herviviricetes;Herpesvirales;Herpesviridae;Alphaherpesvirinae;Simplexvirus;Pteropodid alphaherpesvirus 1</t>
  </si>
  <si>
    <t>Duplodnaviria;Heunggongvirae;Peploviricota;Herviviricetes;Herpesvirales;Orthoherpesviridae;Alphaherpesvirinae;Simplexvirus;Simplexvirus papiinealpha2</t>
  </si>
  <si>
    <t>Duplodnaviria;Heunggongvirae;Peploviricota;Herviviricetes;Herpesvirales;Herpesviridae;Alphaherpesvirinae;Simplexvirus;Papiine alphaherpesvirus 2</t>
  </si>
  <si>
    <t>Duplodnaviria;Heunggongvirae;Peploviricota;Herviviricetes;Herpesvirales;Orthoherpesviridae;Alphaherpesvirinae;Simplexvirus;Simplexvirus paninealpha3</t>
  </si>
  <si>
    <t>Duplodnaviria;Heunggongvirae;Peploviricota;Herviviricetes;Herpesvirales;Herpesviridae;Alphaherpesvirinae;Simplexvirus;Panine alphaherpesvirus 3</t>
  </si>
  <si>
    <t>Duplodnaviria;Heunggongvirae;Peploviricota;Herviviricetes;Herpesvirales;Orthoherpesviridae;Alphaherpesvirinae;Simplexvirus;Simplexvirus macropodidalpha2</t>
  </si>
  <si>
    <t>Duplodnaviria;Heunggongvirae;Peploviricota;Herviviricetes;Herpesvirales;Herpesviridae;Alphaherpesvirinae;Simplexvirus;Macropodid alphaherpesvirus 2</t>
  </si>
  <si>
    <t>Duplodnaviria;Heunggongvirae;Peploviricota;Herviviricetes;Herpesvirales;Orthoherpesviridae;Alphaherpesvirinae;Simplexvirus;Simplexvirus macropodidalpha1</t>
  </si>
  <si>
    <t>Duplodnaviria;Heunggongvirae;Peploviricota;Herviviricetes;Herpesvirales;Herpesviridae;Alphaherpesvirinae;Simplexvirus;Macropodid alphaherpesvirus 1</t>
  </si>
  <si>
    <t>Duplodnaviria;Heunggongvirae;Peploviricota;Herviviricetes;Herpesvirales;Orthoherpesviridae;Alphaherpesvirinae;Simplexvirus;Simplexvirus macacinealpha3</t>
  </si>
  <si>
    <t>Duplodnaviria;Heunggongvirae;Peploviricota;Herviviricetes;Herpesvirales;Herpesviridae;Alphaherpesvirinae;Simplexvirus;Macacine alphaherpesvirus 3</t>
  </si>
  <si>
    <t>Duplodnaviria;Heunggongvirae;Peploviricota;Herviviricetes;Herpesvirales;Orthoherpesviridae;Alphaherpesvirinae;Simplexvirus;Simplexvirus macacinealpha2</t>
  </si>
  <si>
    <t>Duplodnaviria;Heunggongvirae;Peploviricota;Herviviricetes;Herpesvirales;Herpesviridae;Alphaherpesvirinae;Simplexvirus;Macacine alphaherpesvirus 2</t>
  </si>
  <si>
    <t>Duplodnaviria;Heunggongvirae;Peploviricota;Herviviricetes;Herpesvirales;Orthoherpesviridae;Alphaherpesvirinae;Simplexvirus;Simplexvirus macacinealpha1</t>
  </si>
  <si>
    <t>Duplodnaviria;Heunggongvirae;Peploviricota;Herviviricetes;Herpesvirales;Herpesviridae;Alphaherpesvirinae;Simplexvirus;Macacine alphaherpesvirus 1</t>
  </si>
  <si>
    <t>Duplodnaviria;Heunggongvirae;Peploviricota;Herviviricetes;Herpesvirales;Orthoherpesviridae;Alphaherpesvirinae;Simplexvirus;Simplexvirus leporidalpha4</t>
  </si>
  <si>
    <t>Duplodnaviria;Heunggongvirae;Peploviricota;Herviviricetes;Herpesvirales;Herpesviridae;Alphaherpesvirinae;Simplexvirus;Leporid alphaherpesvirus 4</t>
  </si>
  <si>
    <t>Duplodnaviria;Heunggongvirae;Peploviricota;Herviviricetes;Herpesvirales;Orthoherpesviridae;Alphaherpesvirinae;Simplexvirus;Simplexvirus humanalpha2</t>
  </si>
  <si>
    <t>Duplodnaviria;Heunggongvirae;Peploviricota;Herviviricetes;Herpesvirales;Herpesviridae;Alphaherpesvirinae;Simplexvirus;Human alphaherpesvirus 2</t>
  </si>
  <si>
    <t>Duplodnaviria;Heunggongvirae;Peploviricota;Herviviricetes;Herpesvirales;Orthoherpesviridae;Alphaherpesvirinae;Simplexvirus;Simplexvirus humanalpha1</t>
  </si>
  <si>
    <t>Duplodnaviria;Heunggongvirae;Peploviricota;Herviviricetes;Herpesvirales;Herpesviridae;Alphaherpesvirinae;Simplexvirus;Human alphaherpesvirus 1</t>
  </si>
  <si>
    <t>Duplodnaviria;Heunggongvirae;Peploviricota;Herviviricetes;Herpesvirales;Orthoherpesviridae;Alphaherpesvirinae;Simplexvirus;Simplexvirus cercopithecinealpha2</t>
  </si>
  <si>
    <t>Duplodnaviria;Heunggongvirae;Peploviricota;Herviviricetes;Herpesvirales;Herpesviridae;Alphaherpesvirinae;Simplexvirus;Cercopithecine alphaherpesvirus 2</t>
  </si>
  <si>
    <t>Duplodnaviria;Heunggongvirae;Peploviricota;Herviviricetes;Herpesvirales;Orthoherpesviridae;Alphaherpesvirinae;Simplexvirus;Simplexvirus bovinealpha2</t>
  </si>
  <si>
    <t>Duplodnaviria;Heunggongvirae;Peploviricota;Herviviricetes;Herpesvirales;Herpesviridae;Alphaherpesvirinae;Simplexvirus;Bovine alphaherpesvirus 2</t>
  </si>
  <si>
    <t>Duplodnaviria;Heunggongvirae;Peploviricota;Herviviricetes;Herpesvirales;Orthoherpesviridae;Alphaherpesvirinae;Simplexvirus;Simplexvirus atelinealpha1</t>
  </si>
  <si>
    <t>Duplodnaviria;Heunggongvirae;Peploviricota;Herviviricetes;Herpesvirales;Herpesviridae;Alphaherpesvirinae;Simplexvirus;Ateline alphaherpesvirus 1</t>
  </si>
  <si>
    <t>Duplodnaviria;Heunggongvirae;Peploviricota;Herviviricetes;Herpesvirales;Orthoherpesviridae;Alphaherpesvirinae;Scutavirus;Scutavirus testudinidalpha3</t>
  </si>
  <si>
    <t>Duplodnaviria;Heunggongvirae;Peploviricota;Herviviricetes;Herpesvirales;Herpesviridae;Alphaherpesvirinae;Scutavirus;Testudinid alphaherpesvirus 3</t>
  </si>
  <si>
    <t>Duplodnaviria;Heunggongvirae;Peploviricota;Herviviricetes;Herpesvirales;Orthoherpesviridae;Alphaherpesvirinae;Scutavirus;Scutavirus chelonidalpha5</t>
  </si>
  <si>
    <t>Duplodnaviria;Heunggongvirae;Peploviricota;Herviviricetes;Herpesvirales;Herpesviridae;Alphaherpesvirinae;Scutavirus;Chelonid alphaherpesvirus 5</t>
  </si>
  <si>
    <t>Duplodnaviria;Heunggongvirae;Peploviricota;Herviviricetes;Herpesvirales;Orthoherpesviridae;Alphaherpesvirinae;Mardivirus;Mardivirus spheniscidalpha1</t>
  </si>
  <si>
    <t>Duplodnaviria;Heunggongvirae;Peploviricota;Herviviricetes;Herpesvirales;Herpesviridae;Alphaherpesvirinae;Mardivirus;Spheniscid alphaherpesvirus 1</t>
  </si>
  <si>
    <t>Duplodnaviria;Heunggongvirae;Peploviricota;Herviviricetes;Herpesvirales;Orthoherpesviridae;Alphaherpesvirinae;Mardivirus;Mardivirus meleagridalpha1</t>
  </si>
  <si>
    <t>Duplodnaviria;Heunggongvirae;Peploviricota;Herviviricetes;Herpesvirales;Herpesviridae;Alphaherpesvirinae;Mardivirus;Meleagrid alphaherpesvirus 1</t>
  </si>
  <si>
    <t>Duplodnaviria;Heunggongvirae;Peploviricota;Herviviricetes;Herpesvirales;Orthoherpesviridae;Alphaherpesvirinae;Mardivirus;Mardivirus gallidalpha3</t>
  </si>
  <si>
    <t>Duplodnaviria;Heunggongvirae;Peploviricota;Herviviricetes;Herpesvirales;Herpesviridae;Alphaherpesvirinae;Mardivirus;Gallid alphaherpesvirus 3</t>
  </si>
  <si>
    <t>Duplodnaviria;Heunggongvirae;Peploviricota;Herviviricetes;Herpesvirales;Orthoherpesviridae;Alphaherpesvirinae;Mardivirus;Mardivirus gallidalpha2</t>
  </si>
  <si>
    <t>Duplodnaviria;Heunggongvirae;Peploviricota;Herviviricetes;Herpesvirales;Herpesviridae;Alphaherpesvirinae;Mardivirus;Gallid alphaherpesvirus 2</t>
  </si>
  <si>
    <t>Duplodnaviria;Heunggongvirae;Peploviricota;Herviviricetes;Herpesvirales;Orthoherpesviridae;Alphaherpesvirinae;Mardivirus;Mardivirus columbidalpha1</t>
  </si>
  <si>
    <t>Duplodnaviria;Heunggongvirae;Peploviricota;Herviviricetes;Herpesvirales;Herpesviridae;Alphaherpesvirinae;Mardivirus;Columbid alphaherpesvirus 1</t>
  </si>
  <si>
    <t>Duplodnaviria;Heunggongvirae;Peploviricota;Herviviricetes;Herpesvirales;Orthoherpesviridae;Alphaherpesvirinae;Mardivirus;Mardivirus anatidalpha1</t>
  </si>
  <si>
    <t>Duplodnaviria;Heunggongvirae;Peploviricota;Herviviricetes;Herpesvirales;Herpesviridae;Alphaherpesvirinae;Mardivirus;Anatid alphaherpesvirus 1</t>
  </si>
  <si>
    <t>Duplodnaviria;Heunggongvirae;Peploviricota;Herviviricetes;Herpesvirales;Orthoherpesviridae;Alphaherpesvirinae;Iltovirus;Iltovirus psittacidalpha1</t>
  </si>
  <si>
    <t>Duplodnaviria;Heunggongvirae;Peploviricota;Herviviricetes;Herpesvirales;Herpesviridae;Alphaherpesvirinae;Iltovirus;Psittacid alphaherpesvirus 1</t>
  </si>
  <si>
    <t>Duplodnaviria;Heunggongvirae;Peploviricota;Herviviricetes;Herpesvirales;Orthoherpesviridae;Alphaherpesvirinae;Iltovirus;Iltovirus gallidalpha1</t>
  </si>
  <si>
    <t>Duplodnaviria;Heunggongvirae;Peploviricota;Herviviricetes;Herpesvirales;Herpesviridae;Alphaherpesvirinae;Iltovirus;Gallid alphaherpesvirus 1</t>
  </si>
  <si>
    <t>Duplodnaviria;Heunggongvirae;Peploviricota;Herviviricetes;Herpesvirales;Malacoherpesviridae;Ostreavirus;Ostreavirus ostreidmalaco1</t>
  </si>
  <si>
    <t>Duplodnaviria;Heunggongvirae;Peploviricota;Herviviricetes;Herpesvirales;Malacoherpesviridae;Ostreavirus;Ostreid herpesvirus 1</t>
  </si>
  <si>
    <t>Duplodnaviria;Heunggongvirae;Peploviricota;Herviviricetes;Herpesvirales;Malacoherpesviridae;Aurivirus;Aurivirus haliotidmalaco1</t>
  </si>
  <si>
    <t>Duplodnaviria;Heunggongvirae;Peploviricota;Herviviricetes;Herpesvirales;Malacoherpesviridae;Aurivirus;Haliotid herpesvirus 1</t>
  </si>
  <si>
    <t>Duplodnaviria;Heunggongvirae;Peploviricota;Herviviricetes;Herpesvirales;Alloherpesviridae;Salmovirus;Salmovirus salmonidallo3</t>
  </si>
  <si>
    <t>Duplodnaviria;Heunggongvirae;Peploviricota;Herviviricetes;Herpesvirales;Alloherpesviridae;Salmonivirus;Salmonid herpesvirus 3</t>
  </si>
  <si>
    <t>Duplodnaviria;Heunggongvirae;Peploviricota;Herviviricetes;Herpesvirales;Alloherpesviridae;Salmovirus;Salmovirus salmonidallo2</t>
  </si>
  <si>
    <t>Duplodnaviria;Heunggongvirae;Peploviricota;Herviviricetes;Herpesvirales;Alloherpesviridae;Salmonivirus;Salmonid herpesvirus 2</t>
  </si>
  <si>
    <t>Duplodnaviria;Heunggongvirae;Peploviricota;Herviviricetes;Herpesvirales;Alloherpesviridae;Salmovirus;Salmovirus salmonidallo1</t>
  </si>
  <si>
    <t>Duplodnaviria;Heunggongvirae;Peploviricota;Herviviricetes;Herpesvirales;Alloherpesviridae;Salmonivirus;Salmonid herpesvirus 1</t>
  </si>
  <si>
    <t>Duplodnaviria;Heunggongvirae;Peploviricota;Herviviricetes;Herpesvirales;Alloherpesviridae;Ictavirus;Ictavirus ictaluridallo2</t>
  </si>
  <si>
    <t>Duplodnaviria;Heunggongvirae;Peploviricota;Herviviricetes;Herpesvirales;Alloherpesviridae;Ictalurivirus;Ictalurid herpesvirus 2</t>
  </si>
  <si>
    <t>Duplodnaviria;Heunggongvirae;Peploviricota;Herviviricetes;Herpesvirales;Alloherpesviridae;Ictavirus;Ictavirus ictaluridallo1</t>
  </si>
  <si>
    <t>Duplodnaviria;Heunggongvirae;Peploviricota;Herviviricetes;Herpesvirales;Alloherpesviridae;Ictalurivirus;Ictalurid herpesvirus 1</t>
  </si>
  <si>
    <t>Duplodnaviria;Heunggongvirae;Peploviricota;Herviviricetes;Herpesvirales;Alloherpesviridae;Ictavirus;Ictavirus acipenseridallo2</t>
  </si>
  <si>
    <t>Duplodnaviria;Heunggongvirae;Peploviricota;Herviviricetes;Herpesvirales;Alloherpesviridae;Ictalurivirus;Acipenserid herpesvirus 2</t>
  </si>
  <si>
    <t>Duplodnaviria;Heunggongvirae;Peploviricota;Herviviricetes;Herpesvirales;Alloherpesviridae;Cyvirus;Cyvirus cyprinidallo3</t>
  </si>
  <si>
    <t>Duplodnaviria;Heunggongvirae;Peploviricota;Herviviricetes;Herpesvirales;Alloherpesviridae;Cyprinivirus;Cyprinid herpesvirus 3</t>
  </si>
  <si>
    <t>Duplodnaviria;Heunggongvirae;Peploviricota;Herviviricetes;Herpesvirales;Alloherpesviridae;Cyvirus;Cyvirus cyprinidallo2</t>
  </si>
  <si>
    <t>Duplodnaviria;Heunggongvirae;Peploviricota;Herviviricetes;Herpesvirales;Alloherpesviridae;Cyprinivirus;Cyprinid herpesvirus 2</t>
  </si>
  <si>
    <t>Duplodnaviria;Heunggongvirae;Peploviricota;Herviviricetes;Herpesvirales;Alloherpesviridae;Cyvirus;Cyvirus cyprinidallo1</t>
  </si>
  <si>
    <t>Duplodnaviria;Heunggongvirae;Peploviricota;Herviviricetes;Herpesvirales;Alloherpesviridae;Cyprinivirus;Cyprinid herpesvirus 1</t>
  </si>
  <si>
    <t>Duplodnaviria;Heunggongvirae;Peploviricota;Herviviricetes;Herpesvirales;Alloherpesviridae;Cyvirus;Cyvirus anguillidallo1</t>
  </si>
  <si>
    <t>Duplodnaviria;Heunggongvirae;Peploviricota;Herviviricetes;Herpesvirales;Alloherpesviridae;Cyprinivirus;Anguillid herpesvirus 1</t>
  </si>
  <si>
    <t>Duplodnaviria;Heunggongvirae;Peploviricota;Herviviricetes;Herpesvirales;Alloherpesviridae;Batravirus;Batravirus ranidallo3</t>
  </si>
  <si>
    <t>Duplodnaviria;Heunggongvirae;Peploviricota;Herviviricetes;Herpesvirales;Alloherpesviridae;Batrachovirus;Ranid herpesvirus 3</t>
  </si>
  <si>
    <t>Duplodnaviria;Heunggongvirae;Peploviricota;Herviviricetes;Herpesvirales;Alloherpesviridae;Batravirus;Batravirus ranidallo2</t>
  </si>
  <si>
    <t>Duplodnaviria;Heunggongvirae;Peploviricota;Herviviricetes;Herpesvirales;Alloherpesviridae;Batrachovirus;Ranid herpesvirus 2</t>
  </si>
  <si>
    <t>Duplodnaviria;Heunggongvirae;Peploviricota;Herviviricetes;Herpesvirales;Alloherpesviridae;Batravirus;Batravirus ranidallo1</t>
  </si>
  <si>
    <t>Duplodnaviria;Heunggongvirae;Peploviricota;Herviviricetes;Herpesvirales;Alloherpesviridae;Batrachovirus;Ranid herpesvirus 1</t>
  </si>
  <si>
    <t>Anelloviridae;Zetatorquevirus;Zetatorquevirus aotid1</t>
  </si>
  <si>
    <t>Anelloviridae;Zetatorquevirus;Torque teno douroucouli virus</t>
  </si>
  <si>
    <t>Anelloviridae;Zayintorquevirus;Zayintorquevirus viver5</t>
  </si>
  <si>
    <t>Anelloviridae;Zayintorquevirus;Torque teno viverrid virus 5</t>
  </si>
  <si>
    <t>Anelloviridae;Zayintorquevirus;Zayintorquevirus viver1</t>
  </si>
  <si>
    <t>Anelloviridae;Zayintorquevirus;Torque teno viverrid virus 1</t>
  </si>
  <si>
    <t>Anelloviridae;Xitorquevirus;Xitorquevirus molos1</t>
  </si>
  <si>
    <t>Anelloviridae;Xitorquevirus;Torque teno chiroptera virus 1</t>
  </si>
  <si>
    <t>Anelloviridae;Xitorquevirus;Xitorquevirus didel1</t>
  </si>
  <si>
    <t>Anelloviridae;Xitorquevirus;Torque teno didelphi virus 1</t>
  </si>
  <si>
    <t>Anelloviridae;Wawtorquevirus;Wawtorquevirus murid3</t>
  </si>
  <si>
    <t>Anelloviridae;Wawtorquevirus;Torque teno rodent virus 5</t>
  </si>
  <si>
    <t>Anelloviridae;Wawtorquevirus;Wawtorquevirus murid2</t>
  </si>
  <si>
    <t>Anelloviridae;Wawtorquevirus;Torque teno rodent virus 4</t>
  </si>
  <si>
    <t>Anelloviridae;Wawtorquevirus;Wawtorquevirus culic2</t>
  </si>
  <si>
    <t>Anelloviridae;Wawtorquevirus;Torque teno arthrovec virus 2</t>
  </si>
  <si>
    <t>Anelloviridae;Wawtorquevirus;Wawtorquevirus crice3</t>
  </si>
  <si>
    <t>Anelloviridae;Wawtorquevirus;Torque teno rodent virus 3</t>
  </si>
  <si>
    <t>Anelloviridae;Wawtorquevirus;Wawtorquevirus crice2</t>
  </si>
  <si>
    <t>Anelloviridae;Wawtorquevirus;Torque teno rodent virus 2</t>
  </si>
  <si>
    <t>Anelloviridae;Wawtorquevirus;Wawtorquevirus crice1</t>
  </si>
  <si>
    <t>Anelloviridae;Wawtorquevirus;Torque teno rodent virus 6</t>
  </si>
  <si>
    <t>Anelloviridae;Upsilontorquevirus;Upsilontorquevirus viver2</t>
  </si>
  <si>
    <t>Anelloviridae;Upsilontorquevirus;Torque teno viverrid virus 2</t>
  </si>
  <si>
    <t>Anelloviridae;Upsilontorquevirus;Upsilontorquevirus procy9</t>
  </si>
  <si>
    <t>Anelloviridae;Upsilontorquevirus;Torque teno procyo virus 9</t>
  </si>
  <si>
    <t>Anelloviridae;Upsilontorquevirus;Upsilontorquevirus procy8</t>
  </si>
  <si>
    <t>Anelloviridae;Upsilontorquevirus;Torque teno procyo virus 8</t>
  </si>
  <si>
    <t>Anelloviridae;Upsilontorquevirus;Upsilontorquevirus procy7</t>
  </si>
  <si>
    <t>Anelloviridae;Upsilontorquevirus;Torque teno procyo virus 7</t>
  </si>
  <si>
    <t>Anelloviridae;Upsilontorquevirus;Upsilontorquevirus procy3</t>
  </si>
  <si>
    <t>Anelloviridae;Upsilontorquevirus;Torque teno procyo virus 3</t>
  </si>
  <si>
    <t>Anelloviridae;Upsilontorquevirus;Upsilontorquevirus procy2</t>
  </si>
  <si>
    <t>Anelloviridae;Upsilontorquevirus;Torque teno procyo virus 2</t>
  </si>
  <si>
    <t>Anelloviridae;Upsilontorquevirus;Upsilontorquevirus procy1</t>
  </si>
  <si>
    <t>Anelloviridae;Upsilontorquevirus;Torque teno procyo virus 1</t>
  </si>
  <si>
    <t>Anelloviridae;Thetatorquevirus;Thetatorquevirus viver4</t>
  </si>
  <si>
    <t>Anelloviridae;Thetatorquevirus;Torque teno viverrid virus 4</t>
  </si>
  <si>
    <t>Anelloviridae;Thetatorquevirus;Thetatorquevirus ursid4</t>
  </si>
  <si>
    <t>Anelloviridae;Thetatorquevirus;Torque teno ursid virus 4</t>
  </si>
  <si>
    <t>Anelloviridae;Thetatorquevirus;Thetatorquevirus ursid3</t>
  </si>
  <si>
    <t>Anelloviridae;Thetatorquevirus;Torque teno ursid virus 3</t>
  </si>
  <si>
    <t>Anelloviridae;Thetatorquevirus;Thetatorquevirus ursid2</t>
  </si>
  <si>
    <t>Anelloviridae;Thetatorquevirus;Torque teno ursid virus 2</t>
  </si>
  <si>
    <t>Anelloviridae;Thetatorquevirus;Thetatorquevirus ursid1</t>
  </si>
  <si>
    <t>Anelloviridae;Thetatorquevirus;Torque teno ursid virus 1</t>
  </si>
  <si>
    <t>Anelloviridae;Thetatorquevirus;Thetatorquevirus procy6</t>
  </si>
  <si>
    <t>Anelloviridae;Thetatorquevirus;Torque teno procyo virus 6</t>
  </si>
  <si>
    <t>Anelloviridae;Thetatorquevirus;Thetatorquevirus procy5</t>
  </si>
  <si>
    <t>Anelloviridae;Thetatorquevirus;Torque teno procyo virus 5</t>
  </si>
  <si>
    <t>Anelloviridae;Thetatorquevirus;Thetatorquevirus muste1</t>
  </si>
  <si>
    <t>Anelloviridae;Thetatorquevirus;Torque teno mustilid virus 1</t>
  </si>
  <si>
    <t>Anelloviridae;Thetatorquevirus;Thetatorquevirus ixodi1</t>
  </si>
  <si>
    <t>Anelloviridae;Thetatorquevirus;Torque teno arthrovec virus 3</t>
  </si>
  <si>
    <t>Anelloviridae;Thetatorquevirus;Thetatorquevirus canid1</t>
  </si>
  <si>
    <t>Anelloviridae;Thetatorquevirus;Torque teno canid virus 1</t>
  </si>
  <si>
    <t>Anelloviridae;Tettorquevirus;Tettorquevirus felid6</t>
  </si>
  <si>
    <t>Anelloviridae;Tettorquevirus;Torque teno felid virus 6</t>
  </si>
  <si>
    <t>Anelloviridae;Sigmatorquevirus;Sigmatorquevirus otari3</t>
  </si>
  <si>
    <t>Anelloviridae;Sigmatorquevirus;Torque teno pinniped virus 7</t>
  </si>
  <si>
    <t>Anelloviridae;Sigmatorquevirus;Sigmatorquevirus otari2</t>
  </si>
  <si>
    <t>Anelloviridae;Sigmatorquevirus;Torque teno pinniped virus 6</t>
  </si>
  <si>
    <t>Anelloviridae;Sigmatorquevirus;Sigmatorquevirus otari1</t>
  </si>
  <si>
    <t>Anelloviridae;Sigmatorquevirus;Torque teno pinniped virus 5</t>
  </si>
  <si>
    <t>Anelloviridae;Rhotorquevirus;Rhotorquevirus murid1</t>
  </si>
  <si>
    <t>Anelloviridae;Rhotorquevirus;Torque teno rodent virus 1</t>
  </si>
  <si>
    <t>Anelloviridae;Psitorquevirus;Psitorquevirus procy4</t>
  </si>
  <si>
    <t>Anelloviridae;Psitorquevirus;Torque teno procyo virus 4</t>
  </si>
  <si>
    <t>Anelloviridae;Pitorquevirus;Pitorquevirus ursid9</t>
  </si>
  <si>
    <t>Anelloviridae;Pitorquevirus;Torque teno ursid virus 9</t>
  </si>
  <si>
    <t>Anelloviridae;Pitorquevirus;Pitorquevirus ursid8</t>
  </si>
  <si>
    <t>Anelloviridae;Pitorquevirus;Torque teno ursid virus 8</t>
  </si>
  <si>
    <t>Anelloviridae;Pitorquevirus;Pitorquevirus ursid7</t>
  </si>
  <si>
    <t>Anelloviridae;Pitorquevirus;Torque teno ursid virus 7</t>
  </si>
  <si>
    <t>Anelloviridae;Pitorquevirus;Pitorquevirus ursid12</t>
  </si>
  <si>
    <t>Anelloviridae;Pitorquevirus;Torque teno ursid virus 12</t>
  </si>
  <si>
    <t>Anelloviridae;Pitorquevirus;Pitorquevirus ursid11</t>
  </si>
  <si>
    <t>Anelloviridae;Pitorquevirus;Torque teno ursid virus 11</t>
  </si>
  <si>
    <t>Anelloviridae;Pitorquevirus;Pitorquevirus ursid10</t>
  </si>
  <si>
    <t>Anelloviridae;Pitorquevirus;Torque teno ursid virus 10</t>
  </si>
  <si>
    <t>Anelloviridae;Omicrontorquevirus;Omicrontorquevirus ursid5</t>
  </si>
  <si>
    <t>Anelloviridae;Omicrontorquevirus;Torque teno ursid virus 5</t>
  </si>
  <si>
    <t>Anelloviridae;Omegatorquevirus;Omegatorquevirus hominid1</t>
  </si>
  <si>
    <t>Anelloviridae;Omegatorquevirus;Torque teno hominid virus 1</t>
  </si>
  <si>
    <t>Anelloviridae;Nutorquevirus;Nutorquevirus phoci4</t>
  </si>
  <si>
    <t>Anelloviridae;Nutorquevirus;Torque teno pinniped virus 4</t>
  </si>
  <si>
    <t>Anelloviridae;Mutorquevirus;Mutorquevirus equid1</t>
  </si>
  <si>
    <t>Anelloviridae;Mutorquevirus;Torque teno equid virus 1</t>
  </si>
  <si>
    <t>Anelloviridae;Lambdatorquevirus;Lambdatorquevirus phoci6</t>
  </si>
  <si>
    <t>Anelloviridae;Lambdatorquevirus;Torque teno pinniped virus 9</t>
  </si>
  <si>
    <t>Anelloviridae;Lambdatorquevirus;Lambdatorquevirus phoci5</t>
  </si>
  <si>
    <t>Anelloviridae;Lambdatorquevirus;Torque teno pinniped virus 8</t>
  </si>
  <si>
    <t>Anelloviridae;Lambdatorquevirus;Lambdatorquevirus phoci3</t>
  </si>
  <si>
    <t>Anelloviridae;Lambdatorquevirus;Torque teno pinniped virus 3</t>
  </si>
  <si>
    <t>Anelloviridae;Lambdatorquevirus;Lambdatorquevirus phoci2</t>
  </si>
  <si>
    <t>Anelloviridae;Lambdatorquevirus;Torque teno pinniped virus 2</t>
  </si>
  <si>
    <t>Anelloviridae;Lambdatorquevirus;Lambdatorquevirus phoci1</t>
  </si>
  <si>
    <t>Anelloviridae;Lambdatorquevirus;Torque teno pinniped virus 1</t>
  </si>
  <si>
    <t>Anelloviridae;Kappatorquevirus;Kappatorquevirus suidak2b</t>
  </si>
  <si>
    <t>Anelloviridae;Kappatorquevirus;Torque teno sus virus k2b</t>
  </si>
  <si>
    <t>Anelloviridae;Kappatorquevirus;Kappatorquevirus suidak2a</t>
  </si>
  <si>
    <t>Anelloviridae;Kappatorquevirus;Torque teno sus virus k2a</t>
  </si>
  <si>
    <t>Anelloviridae;Iotatorquevirus;Iotatorquevirus suida1a</t>
  </si>
  <si>
    <t>Anelloviridae;Iotatorquevirus;Torque teno sus virus 1a</t>
  </si>
  <si>
    <t>Anelloviridae;Hetorquevirus;Hetorquevirus hominid2</t>
  </si>
  <si>
    <t>Anelloviridae;Hetorquevirus;Torque teno hominid virus 2</t>
  </si>
  <si>
    <t>Anelloviridae;Gyrovirus;Gyrovirus chickenanemia</t>
  </si>
  <si>
    <t>Anelloviridae;Gyrovirus;Chicken anemia virus</t>
  </si>
  <si>
    <t>Anelloviridae;Gimeltorquevirus;Gimeltorquevirus ursid13</t>
  </si>
  <si>
    <t>Anelloviridae;Gimeltorquevirus;Torque teno virus 30</t>
  </si>
  <si>
    <t>Anelloviridae;Gammatorquevirus;Gammatorquevirus homidi9</t>
  </si>
  <si>
    <t>Anelloviridae;Gammatorquevirus;Torque teno midi virus 9</t>
  </si>
  <si>
    <t>Anelloviridae;Gammatorquevirus;Gammatorquevirus homidi8</t>
  </si>
  <si>
    <t>Anelloviridae;Gammatorquevirus;Torque teno midi virus 8</t>
  </si>
  <si>
    <t>Anelloviridae;Gammatorquevirus;Gammatorquevirus homidi7</t>
  </si>
  <si>
    <t>Anelloviridae;Gammatorquevirus;Torque teno midi virus 7</t>
  </si>
  <si>
    <t>Anelloviridae;Gammatorquevirus;Gammatorquevirus homidi6</t>
  </si>
  <si>
    <t>Anelloviridae;Gammatorquevirus;Torque teno midi virus 6</t>
  </si>
  <si>
    <t>Anelloviridae;Gammatorquevirus;Gammatorquevirus homidi5</t>
  </si>
  <si>
    <t>Anelloviridae;Gammatorquevirus;Torque teno midi virus 5</t>
  </si>
  <si>
    <t>Anelloviridae;Gammatorquevirus;Gammatorquevirus homidi4</t>
  </si>
  <si>
    <t>Anelloviridae;Gammatorquevirus;Torque teno midi virus 4</t>
  </si>
  <si>
    <t>Anelloviridae;Gammatorquevirus;Gammatorquevirus homidi3</t>
  </si>
  <si>
    <t>Anelloviridae;Gammatorquevirus;Torque teno midi virus 3</t>
  </si>
  <si>
    <t>Anelloviridae;Gammatorquevirus;Gammatorquevirus homidi2</t>
  </si>
  <si>
    <t>Anelloviridae;Gammatorquevirus;Torque teno midi virus 2</t>
  </si>
  <si>
    <t>Anelloviridae;Gammatorquevirus;Gammatorquevirus homidi15</t>
  </si>
  <si>
    <t>Anelloviridae;Gammatorquevirus;Torque teno midi virus 15</t>
  </si>
  <si>
    <t>Anelloviridae;Gammatorquevirus;Gammatorquevirus homidi14</t>
  </si>
  <si>
    <t>Anelloviridae;Gammatorquevirus;Torque teno midi virus 14</t>
  </si>
  <si>
    <t>Anelloviridae;Gammatorquevirus;Gammatorquevirus homidi13</t>
  </si>
  <si>
    <t>Anelloviridae;Gammatorquevirus;Torque teno midi virus 13</t>
  </si>
  <si>
    <t>Anelloviridae;Gammatorquevirus;Gammatorquevirus homidi12</t>
  </si>
  <si>
    <t>Anelloviridae;Gammatorquevirus;Torque teno midi virus 12</t>
  </si>
  <si>
    <t>Anelloviridae;Gammatorquevirus;Gammatorquevirus homidi11</t>
  </si>
  <si>
    <t>Anelloviridae;Gammatorquevirus;Torque teno midi virus 11</t>
  </si>
  <si>
    <t>Anelloviridae;Gammatorquevirus;Gammatorquevirus homidi10</t>
  </si>
  <si>
    <t>Anelloviridae;Gammatorquevirus;Torque teno midi virus 10</t>
  </si>
  <si>
    <t>Anelloviridae;Gammatorquevirus;Gammatorquevirus homidi1</t>
  </si>
  <si>
    <t>Anelloviridae;Gammatorquevirus;Torque teno midi virus 1</t>
  </si>
  <si>
    <t>Anelloviridae;Etatorquevirus;Etatorquevirus viver3</t>
  </si>
  <si>
    <t>Anelloviridae;Etatorquevirus;Torque teno viverrid virus 3</t>
  </si>
  <si>
    <t>Anelloviridae;Etatorquevirus;Etatorquevirus felid5</t>
  </si>
  <si>
    <t>Anelloviridae;Etatorquevirus;Torque teno felid virus 5</t>
  </si>
  <si>
    <t>Anelloviridae;Etatorquevirus;Etatorquevirus felid4</t>
  </si>
  <si>
    <t>Anelloviridae;Etatorquevirus;Torque teno felid virus 4</t>
  </si>
  <si>
    <t>Anelloviridae;Etatorquevirus;Etatorquevirus felid3</t>
  </si>
  <si>
    <t>Anelloviridae;Etatorquevirus;Torque teno felid virus 3</t>
  </si>
  <si>
    <t>Anelloviridae;Etatorquevirus;Etatorquevirus felid2</t>
  </si>
  <si>
    <t>Anelloviridae;Etatorquevirus;Torque teno felid virus 2</t>
  </si>
  <si>
    <t>Anelloviridae;Etatorquevirus;Etatorquevirus felid1</t>
  </si>
  <si>
    <t>Anelloviridae;Etatorquevirus;Torque teno felid virus 1</t>
  </si>
  <si>
    <t>Anelloviridae;Epsilontorquevirus;Epsilontorquevirus calli1</t>
  </si>
  <si>
    <t>Anelloviridae;Epsilontorquevirus;Torque teno tamarin virus</t>
  </si>
  <si>
    <t>Anelloviridae;Deltatorquevirus;Deltatorquevirus tupai1</t>
  </si>
  <si>
    <t>Anelloviridae;Deltatorquevirus;Torque teno tupaia virus</t>
  </si>
  <si>
    <t>Anelloviridae;Dalettorquevirus;Dalettorquevirus ursid6</t>
  </si>
  <si>
    <t>Anelloviridae;Dalettorquevirus;Torque teno ursid virus 6</t>
  </si>
  <si>
    <t>Anelloviridae;Chitorquevirus;Chitorquevirus indri1</t>
  </si>
  <si>
    <t>Anelloviridae;Chitorquevirus;Torque teno indriid virus 1</t>
  </si>
  <si>
    <t>Anelloviridae;Betatorquevirus;Betatorquevirus homini9</t>
  </si>
  <si>
    <t>Anelloviridae;Betatorquevirus;Torque teno mini virus 9</t>
  </si>
  <si>
    <t>Anelloviridae;Betatorquevirus;Betatorquevirus homini8</t>
  </si>
  <si>
    <t>Anelloviridae;Betatorquevirus;Torque teno mini virus 8</t>
  </si>
  <si>
    <t>Anelloviridae;Betatorquevirus;Betatorquevirus homini7</t>
  </si>
  <si>
    <t>Anelloviridae;Betatorquevirus;Torque teno mini virus 7</t>
  </si>
  <si>
    <t>Anelloviridae;Betatorquevirus;Betatorquevirus homini6</t>
  </si>
  <si>
    <t>Anelloviridae;Betatorquevirus;Torque teno mini virus 6</t>
  </si>
  <si>
    <t>Anelloviridae;Betatorquevirus;Betatorquevirus homini5</t>
  </si>
  <si>
    <t>Anelloviridae;Betatorquevirus;Torque teno mini virus 5</t>
  </si>
  <si>
    <t>Anelloviridae;Betatorquevirus;Betatorquevirus homini4</t>
  </si>
  <si>
    <t>Anelloviridae;Betatorquevirus;Torque teno mini virus 4</t>
  </si>
  <si>
    <t>Anelloviridae;Betatorquevirus;Betatorquevirus homini38</t>
  </si>
  <si>
    <t>Anelloviridae;Betatorquevirus;Torque teno mini virus 38</t>
  </si>
  <si>
    <t>Anelloviridae;Betatorquevirus;Betatorquevirus homini37</t>
  </si>
  <si>
    <t>Anelloviridae;Betatorquevirus;Torque teno mini virus 37</t>
  </si>
  <si>
    <t>Anelloviridae;Betatorquevirus;Betatorquevirus homini36</t>
  </si>
  <si>
    <t>Anelloviridae;Betatorquevirus;Torque teno mini virus 36</t>
  </si>
  <si>
    <t>Anelloviridae;Betatorquevirus;Betatorquevirus homini35</t>
  </si>
  <si>
    <t>Anelloviridae;Betatorquevirus;Torque teno mini virus 35</t>
  </si>
  <si>
    <t>Anelloviridae;Betatorquevirus;Betatorquevirus homini34</t>
  </si>
  <si>
    <t>Anelloviridae;Betatorquevirus;Torque teno mini virus 34</t>
  </si>
  <si>
    <t>Anelloviridae;Betatorquevirus;Betatorquevirus homini33</t>
  </si>
  <si>
    <t>Anelloviridae;Betatorquevirus;Torque teno mini virus 33</t>
  </si>
  <si>
    <t>Anelloviridae;Betatorquevirus;Betatorquevirus homini32</t>
  </si>
  <si>
    <t>Anelloviridae;Betatorquevirus;Torque teno mini virus 32</t>
  </si>
  <si>
    <t>Anelloviridae;Betatorquevirus;Betatorquevirus homini31</t>
  </si>
  <si>
    <t>Anelloviridae;Betatorquevirus;Torque teno mini virus 31</t>
  </si>
  <si>
    <t>Anelloviridae;Betatorquevirus;Betatorquevirus homini30</t>
  </si>
  <si>
    <t>Anelloviridae;Betatorquevirus;Torque teno mini virus 30</t>
  </si>
  <si>
    <t>Anelloviridae;Betatorquevirus;Betatorquevirus homini3</t>
  </si>
  <si>
    <t>Anelloviridae;Betatorquevirus;Torque teno mini virus 3</t>
  </si>
  <si>
    <t>Anelloviridae;Betatorquevirus;Betatorquevirus homini29</t>
  </si>
  <si>
    <t>Anelloviridae;Betatorquevirus;Torque teno mini virus 29</t>
  </si>
  <si>
    <t>Anelloviridae;Betatorquevirus;Betatorquevirus homini28</t>
  </si>
  <si>
    <t>Anelloviridae;Betatorquevirus;Torque teno mini virus 28</t>
  </si>
  <si>
    <t>Anelloviridae;Betatorquevirus;Betatorquevirus homini27</t>
  </si>
  <si>
    <t>Anelloviridae;Betatorquevirus;Torque teno mini virus 27</t>
  </si>
  <si>
    <t>Anelloviridae;Betatorquevirus;Betatorquevirus homini26</t>
  </si>
  <si>
    <t>Anelloviridae;Betatorquevirus;Torque teno mini virus 26</t>
  </si>
  <si>
    <t>Anelloviridae;Betatorquevirus;Betatorquevirus homini25</t>
  </si>
  <si>
    <t>Anelloviridae;Betatorquevirus;Torque teno mini virus 25</t>
  </si>
  <si>
    <t>Anelloviridae;Betatorquevirus;Betatorquevirus homini24</t>
  </si>
  <si>
    <t>Anelloviridae;Betatorquevirus;Torque teno mini virus 24</t>
  </si>
  <si>
    <t>Anelloviridae;Betatorquevirus;Betatorquevirus homini23</t>
  </si>
  <si>
    <t>Anelloviridae;Betatorquevirus;Torque teno mini virus 23</t>
  </si>
  <si>
    <t>Anelloviridae;Betatorquevirus;Betatorquevirus homini22</t>
  </si>
  <si>
    <t>Anelloviridae;Betatorquevirus;Torque teno mini virus 22</t>
  </si>
  <si>
    <t>Anelloviridae;Betatorquevirus;Betatorquevirus homini21</t>
  </si>
  <si>
    <t>Anelloviridae;Betatorquevirus;Torque teno mini virus 21</t>
  </si>
  <si>
    <t>Anelloviridae;Betatorquevirus;Betatorquevirus homini20</t>
  </si>
  <si>
    <t>Anelloviridae;Betatorquevirus;Torque teno mini virus 20</t>
  </si>
  <si>
    <t>Anelloviridae;Betatorquevirus;Betatorquevirus homini2</t>
  </si>
  <si>
    <t>Anelloviridae;Betatorquevirus;Torque teno mini virus 2</t>
  </si>
  <si>
    <t>Anelloviridae;Betatorquevirus;Betatorquevirus homini19</t>
  </si>
  <si>
    <t>Anelloviridae;Betatorquevirus;Torque teno mini virus 19</t>
  </si>
  <si>
    <t>Anelloviridae;Betatorquevirus;Betatorquevirus homini18</t>
  </si>
  <si>
    <t>Anelloviridae;Betatorquevirus;Torque teno mini virus 18</t>
  </si>
  <si>
    <t>Anelloviridae;Betatorquevirus;Betatorquevirus homini17</t>
  </si>
  <si>
    <t>Anelloviridae;Betatorquevirus;Torque teno mini virus 17</t>
  </si>
  <si>
    <t>Anelloviridae;Betatorquevirus;Betatorquevirus homini16</t>
  </si>
  <si>
    <t>Anelloviridae;Betatorquevirus;Torque teno mini virus 16</t>
  </si>
  <si>
    <t>Anelloviridae;Betatorquevirus;Betatorquevirus homini15</t>
  </si>
  <si>
    <t>Anelloviridae;Betatorquevirus;Torque teno mini virus 15</t>
  </si>
  <si>
    <t>Anelloviridae;Betatorquevirus;Betatorquevirus homini14</t>
  </si>
  <si>
    <t>Anelloviridae;Betatorquevirus;Torque teno mini virus 14</t>
  </si>
  <si>
    <t>Anelloviridae;Betatorquevirus;Betatorquevirus homini13</t>
  </si>
  <si>
    <t>Anelloviridae;Betatorquevirus;Torque teno mini virus 13</t>
  </si>
  <si>
    <t>Anelloviridae;Betatorquevirus;Betatorquevirus homini12</t>
  </si>
  <si>
    <t>Anelloviridae;Betatorquevirus;Torque teno mini virus 12</t>
  </si>
  <si>
    <t>Anelloviridae;Betatorquevirus;Betatorquevirus homini11</t>
  </si>
  <si>
    <t>Anelloviridae;Betatorquevirus;Torque teno mini virus 11</t>
  </si>
  <si>
    <t>Anelloviridae;Betatorquevirus;Betatorquevirus homini10</t>
  </si>
  <si>
    <t>Anelloviridae;Betatorquevirus;Torque teno mini virus 10</t>
  </si>
  <si>
    <t>Anelloviridae;Betatorquevirus;Betatorquevirus homini1</t>
  </si>
  <si>
    <t>Anelloviridae;Betatorquevirus;Torque teno mini virus 1</t>
  </si>
  <si>
    <t>Anelloviridae;Alphatorquevirus;Alphatorquevirus homin9</t>
  </si>
  <si>
    <t>Anelloviridae;Alphatorquevirus;Torque teno virus 9</t>
  </si>
  <si>
    <t>Anelloviridae;Alphatorquevirus;Alphatorquevirus homin7</t>
  </si>
  <si>
    <t>Anelloviridae;Alphatorquevirus;Torque teno virus 7</t>
  </si>
  <si>
    <t>Anelloviridae;Alphatorquevirus;Alphatorquevirus homin6</t>
  </si>
  <si>
    <t>Anelloviridae;Alphatorquevirus;Torque teno virus 6</t>
  </si>
  <si>
    <t>Anelloviridae;Alphatorquevirus;Alphatorquevirus homin5</t>
  </si>
  <si>
    <t>Anelloviridae;Alphatorquevirus;Torque teno virus 5</t>
  </si>
  <si>
    <t>Anelloviridae;Alphatorquevirus;Alphatorquevirus homin4</t>
  </si>
  <si>
    <t>Anelloviridae;Alphatorquevirus;Torque teno virus 4</t>
  </si>
  <si>
    <t>Anelloviridae;Alphatorquevirus;Alphatorquevirus homin31</t>
  </si>
  <si>
    <t>Anelloviridae;Alphatorquevirus;Torque teno virus 31</t>
  </si>
  <si>
    <t>Anelloviridae;Alphatorquevirus;Alphatorquevirus homin3</t>
  </si>
  <si>
    <t>Anelloviridae;Alphatorquevirus;Torque teno virus 3</t>
  </si>
  <si>
    <t>Anelloviridae;Alphatorquevirus;Alphatorquevirus homin29</t>
  </si>
  <si>
    <t>Anelloviridae;Alphatorquevirus;Torque teno virus 29</t>
  </si>
  <si>
    <t>Anelloviridae;Alphatorquevirus;Alphatorquevirus homin24</t>
  </si>
  <si>
    <t>Anelloviridae;Alphatorquevirus;Torque teno virus 24</t>
  </si>
  <si>
    <t>Anelloviridae;Alphatorquevirus;Alphatorquevirus homin21</t>
  </si>
  <si>
    <t>Anelloviridae;Alphatorquevirus;Torque teno virus 21</t>
  </si>
  <si>
    <t>Anelloviridae;Alphatorquevirus;Alphatorquevirus homin20</t>
  </si>
  <si>
    <t>Anelloviridae;Alphatorquevirus;Torque teno virus 20</t>
  </si>
  <si>
    <t>Anelloviridae;Alphatorquevirus;Alphatorquevirus homin2</t>
  </si>
  <si>
    <t>Anelloviridae;Alphatorquevirus;Torque teno virus 2</t>
  </si>
  <si>
    <t>Anelloviridae;Alphatorquevirus;Alphatorquevirus homin19</t>
  </si>
  <si>
    <t>Anelloviridae;Alphatorquevirus;Torque teno virus 19</t>
  </si>
  <si>
    <t>Anelloviridae;Alphatorquevirus;Alphatorquevirus homin18</t>
  </si>
  <si>
    <t>Anelloviridae;Alphatorquevirus;Torque teno virus 18</t>
  </si>
  <si>
    <t>Anelloviridae;Alphatorquevirus;Alphatorquevirus homin17</t>
  </si>
  <si>
    <t>Anelloviridae;Alphatorquevirus;Torque teno virus 17</t>
  </si>
  <si>
    <t>Anelloviridae;Alphatorquevirus;Alphatorquevirus homin15</t>
  </si>
  <si>
    <t>Anelloviridae;Alphatorquevirus;Torque teno virus 15</t>
  </si>
  <si>
    <t>Anelloviridae;Alphatorquevirus;Alphatorquevirus homin14</t>
  </si>
  <si>
    <t>Anelloviridae;Alphatorquevirus;Torque teno virus 14</t>
  </si>
  <si>
    <t>Anelloviridae;Alphatorquevirus;Alphatorquevirus homin13</t>
  </si>
  <si>
    <t>Anelloviridae;Alphatorquevirus;Torque teno virus 13</t>
  </si>
  <si>
    <t>Anelloviridae;Alphatorquevirus;Alphatorquevirus homin10</t>
  </si>
  <si>
    <t>Anelloviridae;Alphatorquevirus;Torque teno virus 10</t>
  </si>
  <si>
    <t>Anelloviridae;Alphatorquevirus;Alphatorquevirus homin1</t>
  </si>
  <si>
    <t>Anelloviridae;Alphatorquevirus;Torque teno virus 1</t>
  </si>
  <si>
    <t>Anelloviridae;Alphatorquevirus;Alphatorquevirus cerco7</t>
  </si>
  <si>
    <t>Anelloviridae;Alphatorquevirus;Torque teno virus 25</t>
  </si>
  <si>
    <t>Anelloviridae;Alphatorquevirus;Alphatorquevirus cerco6</t>
  </si>
  <si>
    <t>Anelloviridae;Alphatorquevirus;Torque teno virus 26</t>
  </si>
  <si>
    <t>Anelloviridae;Alphatorquevirus;Alphatorquevirus cerco5</t>
  </si>
  <si>
    <t>Anelloviridae;Alphatorquevirus;Torque teno chlorocebus virus 5</t>
  </si>
  <si>
    <t>Anelloviridae;Alphatorquevirus;Alphatorquevirus cerco3</t>
  </si>
  <si>
    <t>Anelloviridae;Alphatorquevirus;Torque teno chlorocebus virus 3</t>
  </si>
  <si>
    <t>Anelloviridae;Alphatorquevirus;Alphatorquevirus cerco2</t>
  </si>
  <si>
    <t>Anelloviridae;Alphatorquevirus;Torque teno chlorocebus virus 2</t>
  </si>
  <si>
    <t>Anelloviridae;Alphatorquevirus;Alphatorquevirus cerco1</t>
  </si>
  <si>
    <t>Anelloviridae;Alphatorquevirus;Torque teno chlorocebus virus 1</t>
  </si>
  <si>
    <t>Anelloviridae;Aleptorquevirus;Aleptorquevirus lepor1</t>
  </si>
  <si>
    <t>Anelloviridae;Aleptorquevirus;Torque teno leprid virus 1</t>
  </si>
  <si>
    <t>Anelloviridae;Aleptorquevirus;Aleptorquevirus culic1</t>
  </si>
  <si>
    <t>Anelloviridae;Aleptorquevirus;Torque teno arthrovec virus 1</t>
  </si>
  <si>
    <t>Riboviria;Orthornavirae;Negarnaviricota;Haploviricotina;Monjiviricetes;Mononegavirales;Filoviridae;Orthomarburgvirus</t>
  </si>
  <si>
    <t>Riboviria;Orthornavirae;Negarnaviricota;Haploviricotina;Monjiviricetes;Mononegavirales;Filoviridae;Marburgvirus</t>
  </si>
  <si>
    <t>Riboviria;Orthornavirae;Negarnaviricota;Haploviricotina;Monjiviricetes;Mononegavirales;Filoviridae;Orthoebolavirus</t>
  </si>
  <si>
    <t>Riboviria;Orthornavirae;Negarnaviricota;Haploviricotina;Monjiviricetes;Mononegavirales;Filoviridae;Ebolavirus</t>
  </si>
  <si>
    <t>Riboviria;Orthornavirae;Kitrinoviricota;Flasuviricetes;Amarillovirales;Flaviviridae;Orthoflavivirus</t>
  </si>
  <si>
    <t>Riboviria;Orthornavirae;Kitrinoviricota;Flasuviricetes;Amarillovirales;Flaviviridae;Flavivirus</t>
  </si>
  <si>
    <t>Monodnaviria;Shotokuvirae;Cossaviricota;Quintoviricetes;Piccovirales;Parvoviridae;Hamaparvovirinae;Ichtchaphamaparvovirus</t>
  </si>
  <si>
    <t>Monodnaviria;Shotokuvirae;Cossaviricota;Quintoviricetes;Piccovirales;Parvoviridae;Hamaparvovirinae;Ichthamaparvovirus</t>
  </si>
  <si>
    <t>Duplodnaviria;Heunggongvirae;Uroviricota;Caudoviricetes;Pootjesviridae;Heverleevirus</t>
  </si>
  <si>
    <t>Duplodnaviria;Heunggongvirae;Uroviricota;Caudoviricetes;Oliverocinquevirus</t>
  </si>
  <si>
    <t>Duplodnaviria;Heunggongvirae;Uroviricota;Caudoviricetes;Nymbaxtervirinae;Baxterfoxvirus</t>
  </si>
  <si>
    <t>Duplodnaviria;Heunggongvirae;Uroviricota;Caudoviricetes;Nymbaxtervirinae;Baxtervirus</t>
  </si>
  <si>
    <t>Duplodnaviria;Heunggongvirae;Uroviricota;Caudoviricetes;Incheonvirus</t>
  </si>
  <si>
    <t>Duplodnaviria;Heunggongvirae;Uroviricota;Caudoviricetes;Incheonvrus</t>
  </si>
  <si>
    <t>Duplodnaviria;Heunggongvirae;Uroviricota;Caudoviricetes;Autographiviridae;Krylovirinae;Tunggulvirus</t>
  </si>
  <si>
    <t>Duplodnaviria;Heunggongvirae;Uroviricota;Caudoviricetes;Autographiviridae;Krylovirinae;Tunggulviirus</t>
  </si>
  <si>
    <t>Duplodnaviria;Heunggongvirae;Peploviricota;Herviviricetes;Herpesvirales;Alloherpesviridae;Salmovirus</t>
  </si>
  <si>
    <t>Duplodnaviria;Heunggongvirae;Peploviricota;Herviviricetes;Herpesvirales;Alloherpesviridae;Salmonivirus</t>
  </si>
  <si>
    <t>Duplodnaviria;Heunggongvirae;Peploviricota;Herviviricetes;Herpesvirales;Alloherpesviridae;Ictavirus</t>
  </si>
  <si>
    <t>Duplodnaviria;Heunggongvirae;Peploviricota;Herviviricetes;Herpesvirales;Alloherpesviridae;Ictalurivirus</t>
  </si>
  <si>
    <t>Duplodnaviria;Heunggongvirae;Peploviricota;Herviviricetes;Herpesvirales;Alloherpesviridae;Cyvirus</t>
  </si>
  <si>
    <t>Duplodnaviria;Heunggongvirae;Peploviricota;Herviviricetes;Herpesvirales;Alloherpesviridae;Cyprinivirus</t>
  </si>
  <si>
    <t>Duplodnaviria;Heunggongvirae;Peploviricota;Herviviricetes;Herpesvirales;Alloherpesviridae;Batravirus</t>
  </si>
  <si>
    <t>Duplodnaviria;Heunggongvirae;Peploviricota;Herviviricetes;Herpesvirales;Alloherpesviridae;Batrachovirus</t>
  </si>
  <si>
    <t>Duplodnaviria;Heunggongvirae;Peploviricota;Herviviricetes;Herpesvirales;Orthoherpesviridae</t>
  </si>
  <si>
    <t>Duplodnaviria;Heunggongvirae;Peploviricota;Herviviricetes;Herpesvirales;Herpesviridae</t>
  </si>
  <si>
    <t>Rank</t>
  </si>
  <si>
    <t>New</t>
  </si>
  <si>
    <t>Abolished</t>
  </si>
  <si>
    <t>Moved</t>
  </si>
  <si>
    <t>Renamed</t>
  </si>
  <si>
    <t>Bartonegtaviriform andersoni</t>
  </si>
  <si>
    <t>Brachyspigtaviriform stantoni</t>
  </si>
  <si>
    <t>Demiitzamnavirus mexicoense</t>
  </si>
  <si>
    <t>Dinogtaviriform tomaschi</t>
  </si>
  <si>
    <t>Pletoitzamnavirus pescaderoense</t>
  </si>
  <si>
    <t>Rhodobactegtaviriform marrsi</t>
  </si>
  <si>
    <t>Rhodovulugtaviriform kikuchii</t>
  </si>
  <si>
    <t>Ruegerigtaviriform cheni</t>
  </si>
  <si>
    <t>Bartogtaviriformidae</t>
  </si>
  <si>
    <t>Bartonegtaviriform</t>
  </si>
  <si>
    <t>Brachygtaviriformidae</t>
  </si>
  <si>
    <t>Brachyspigtaviriform</t>
  </si>
  <si>
    <t>Itzamnaviridae</t>
  </si>
  <si>
    <t>Demiitzamnavirus</t>
  </si>
  <si>
    <t>Pletoitzamnavirus</t>
  </si>
  <si>
    <t>Rhodogtaviriformidae</t>
  </si>
  <si>
    <t>Dinogtaviriform</t>
  </si>
  <si>
    <t>Rhodobactegtaviriform</t>
  </si>
  <si>
    <t>Rhodovulugtaviriform</t>
  </si>
  <si>
    <t>Ruegerigtaviriform</t>
  </si>
  <si>
    <t>The file name of the taxonomic proposal that details the justification for the last change. Proposals can be retrieved by appending the file nameand '.pdf' to the end of the following url: https://ictv.global/ictv/proposals/&lt;replace with file name.pdf&gt;</t>
  </si>
  <si>
    <t>The release number of the Master Species List (MSL) where the Last Change occurred.
See https://ictv.global/msl for a list of MSLs and their year of release.</t>
  </si>
  <si>
    <t>MSL37 Total</t>
  </si>
  <si>
    <t>MSL.38 Total</t>
  </si>
  <si>
    <r>
      <t xml:space="preserve">A Species is the lowest taxonomic rank in the hierarchy approved by the ICTV. While subspecies levels of classification may exist for some viruses (e.g. </t>
    </r>
    <r>
      <rPr>
        <i/>
        <sz val="12"/>
        <color indexed="8"/>
        <rFont val="Arial"/>
        <family val="2"/>
      </rPr>
      <t>Hepacivirus hominis</t>
    </r>
    <r>
      <rPr>
        <sz val="12"/>
        <color rgb="FF000000"/>
        <rFont val="Arial"/>
        <family val="2"/>
      </rPr>
      <t xml:space="preserve"> - hepatitis C virus)</t>
    </r>
    <r>
      <rPr>
        <sz val="12"/>
        <color indexed="8"/>
        <rFont val="Arial"/>
        <family val="2"/>
      </rPr>
      <t>, the ICTV does not classify viruses below the species level.</t>
    </r>
  </si>
  <si>
    <t>Old Name (MSL37, 2021)</t>
  </si>
  <si>
    <t>New Name (MSL38, 2022)</t>
  </si>
  <si>
    <t>Proposal (Available from https://ictv.global/files/proposals/approved)</t>
  </si>
  <si>
    <t>Alphabaculovirus aucalifornicae</t>
  </si>
  <si>
    <t>Error correction release</t>
  </si>
  <si>
    <t>Correction of three errors present in the MSL38 release</t>
  </si>
  <si>
    <r>
      <t>1. Change species name '</t>
    </r>
    <r>
      <rPr>
        <i/>
        <sz val="12"/>
        <rFont val="Arial"/>
        <family val="2"/>
      </rPr>
      <t>Alphabaculovirus aucalifonicae</t>
    </r>
    <r>
      <rPr>
        <sz val="12"/>
        <rFont val="Arial"/>
        <family val="2"/>
      </rPr>
      <t>' to '</t>
    </r>
    <r>
      <rPr>
        <i/>
        <sz val="12"/>
        <rFont val="Arial"/>
        <family val="2"/>
      </rPr>
      <t>Alphabaculovirus aucalifornicae</t>
    </r>
    <r>
      <rPr>
        <sz val="12"/>
        <rFont val="Arial"/>
        <family val="2"/>
      </rPr>
      <t>'</t>
    </r>
  </si>
  <si>
    <r>
      <t>2. Move/rename '</t>
    </r>
    <r>
      <rPr>
        <i/>
        <sz val="12"/>
        <rFont val="Arial"/>
        <family val="2"/>
      </rPr>
      <t>Puahadnavirus gataifale</t>
    </r>
    <r>
      <rPr>
        <sz val="12"/>
        <rFont val="Arial"/>
        <family val="2"/>
      </rPr>
      <t>' to '</t>
    </r>
    <r>
      <rPr>
        <i/>
        <sz val="12"/>
        <rFont val="Arial"/>
        <family val="2"/>
      </rPr>
      <t>Seawadnavirus gataifale'</t>
    </r>
  </si>
  <si>
    <r>
      <t>3. Move/rename '</t>
    </r>
    <r>
      <rPr>
        <i/>
        <sz val="12"/>
        <rFont val="Arial"/>
        <family val="2"/>
      </rPr>
      <t>Seawadnavirus katao</t>
    </r>
    <r>
      <rPr>
        <sz val="12"/>
        <rFont val="Arial"/>
        <family val="2"/>
      </rPr>
      <t>' to '</t>
    </r>
    <r>
      <rPr>
        <i/>
        <sz val="12"/>
        <rFont val="Arial"/>
        <family val="2"/>
      </rPr>
      <t>Kieseladnavirus katao</t>
    </r>
    <r>
      <rPr>
        <sz val="12"/>
        <rFont val="Arial"/>
        <family val="2"/>
      </rPr>
      <t>'</t>
    </r>
  </si>
  <si>
    <t>Seawadnavirus gataifale</t>
  </si>
  <si>
    <t>Kieseladnavirus katao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</si>
</sst>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mmmm\ d\,\ yyyy;@"/>
  </numFmts>
  <fonts count="23">
    <font>
      <sz val="10"/>
      <name val="Arial"/>
    </font>
    <font>
      <sz val="12"/>
      <color theme="1"/>
      <name val="Calibri"/>
      <family val="2"/>
      <scheme val="minor"/>
    </font>
    <font>
      <sz val="12"/>
      <color theme="1"/>
      <name val="Calibri"/>
      <family val="2"/>
      <scheme val="minor"/>
    </font>
    <font>
      <sz val="12"/>
      <color theme="1"/>
      <name val="Calibri"/>
      <family val="2"/>
      <scheme val="minor"/>
    </font>
    <font>
      <sz val="8"/>
      <name val="Verdana"/>
      <family val="2"/>
    </font>
    <font>
      <sz val="14"/>
      <name val="Arial"/>
      <family val="2"/>
    </font>
    <font>
      <b/>
      <sz val="12"/>
      <name val="Arial"/>
      <family val="2"/>
    </font>
    <font>
      <sz val="12"/>
      <name val="Arial"/>
      <family val="2"/>
    </font>
    <font>
      <b/>
      <sz val="14"/>
      <color theme="1"/>
      <name val="Arial"/>
      <family val="2"/>
    </font>
    <font>
      <sz val="10"/>
      <color theme="1"/>
      <name val="Arial"/>
      <family val="2"/>
    </font>
    <font>
      <sz val="12"/>
      <color theme="1"/>
      <name val="Calibri"/>
      <family val="2"/>
      <scheme val="minor"/>
    </font>
    <font>
      <sz val="14"/>
      <color theme="1"/>
      <name val="Arial"/>
      <family val="2"/>
    </font>
    <font>
      <b/>
      <sz val="12"/>
      <color theme="1"/>
      <name val="Arial"/>
      <family val="2"/>
    </font>
    <font>
      <sz val="12"/>
      <color theme="1"/>
      <name val="Arial"/>
      <family val="2"/>
    </font>
    <font>
      <i/>
      <sz val="12"/>
      <color indexed="8"/>
      <name val="Arial"/>
      <family val="2"/>
    </font>
    <font>
      <sz val="12"/>
      <color indexed="8"/>
      <name val="Arial"/>
      <family val="2"/>
    </font>
    <font>
      <u/>
      <sz val="10"/>
      <color theme="10"/>
      <name val="Arial"/>
      <family val="2"/>
    </font>
    <font>
      <b/>
      <sz val="10"/>
      <color theme="1"/>
      <name val="Verdana Bold"/>
    </font>
    <font>
      <b/>
      <sz val="12"/>
      <color theme="1"/>
      <name val="Calibri"/>
      <family val="2"/>
      <scheme val="minor"/>
    </font>
    <font>
      <i/>
      <sz val="10"/>
      <name val="Arial"/>
      <family val="2"/>
    </font>
    <font>
      <i/>
      <sz val="12"/>
      <color theme="1"/>
      <name val="Calibri"/>
      <family val="2"/>
      <scheme val="minor"/>
    </font>
    <font>
      <sz val="12"/>
      <color rgb="FF000000"/>
      <name val="Arial"/>
      <family val="2"/>
    </font>
    <font>
      <i/>
      <sz val="12"/>
      <name val="Arial"/>
      <family val="2"/>
    </font>
  </fonts>
  <fills count="4">
    <fill>
      <patternFill patternType="none"/>
    </fill>
    <fill>
      <patternFill patternType="gray125"/>
    </fill>
    <fill>
      <patternFill patternType="solid">
        <fgColor theme="0" tint="-0.14999847407452621"/>
        <bgColor indexed="64"/>
      </patternFill>
    </fill>
    <fill>
      <patternFill patternType="solid">
        <fgColor theme="3" tint="0.79998168889431442"/>
        <bgColor indexed="64"/>
      </patternFill>
    </fill>
  </fills>
  <borders count="16">
    <border>
      <left/>
      <right/>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s>
  <cellStyleXfs count="5">
    <xf numFmtId="0" fontId="0" fillId="0" borderId="0"/>
    <xf numFmtId="0" fontId="10" fillId="0" borderId="0"/>
    <xf numFmtId="0" fontId="16" fillId="0" borderId="0" applyNumberFormat="0" applyFill="0" applyBorder="0" applyAlignment="0" applyProtection="0"/>
    <xf numFmtId="0" fontId="3" fillId="0" borderId="0"/>
    <xf numFmtId="0" fontId="2" fillId="0" borderId="0"/>
  </cellStyleXfs>
  <cellXfs count="48">
    <xf numFmtId="0" fontId="0" fillId="0" borderId="0" xfId="0"/>
    <xf numFmtId="0" fontId="0" fillId="0" borderId="0" xfId="0" applyAlignment="1">
      <alignment horizontal="left"/>
    </xf>
    <xf numFmtId="0" fontId="5" fillId="0" borderId="0" xfId="0" applyFont="1"/>
    <xf numFmtId="0" fontId="7" fillId="0" borderId="0" xfId="0" applyFont="1"/>
    <xf numFmtId="15" fontId="7" fillId="0" borderId="0" xfId="0" applyNumberFormat="1" applyFont="1"/>
    <xf numFmtId="15" fontId="7" fillId="0" borderId="0" xfId="0" applyNumberFormat="1" applyFont="1" applyAlignment="1">
      <alignment horizontal="right"/>
    </xf>
    <xf numFmtId="0" fontId="6" fillId="0" borderId="1" xfId="0" applyFont="1" applyBorder="1" applyAlignment="1">
      <alignment horizontal="right"/>
    </xf>
    <xf numFmtId="0" fontId="6" fillId="0" borderId="2" xfId="0" applyFont="1" applyBorder="1" applyAlignment="1">
      <alignment horizontal="right"/>
    </xf>
    <xf numFmtId="15" fontId="7" fillId="0" borderId="3" xfId="0" applyNumberFormat="1" applyFont="1" applyBorder="1" applyAlignment="1">
      <alignment horizontal="right"/>
    </xf>
    <xf numFmtId="0" fontId="6" fillId="2" borderId="4" xfId="0" applyFont="1" applyFill="1" applyBorder="1" applyAlignment="1">
      <alignment horizontal="right"/>
    </xf>
    <xf numFmtId="0" fontId="7" fillId="2" borderId="5" xfId="0" applyFont="1" applyFill="1" applyBorder="1"/>
    <xf numFmtId="0" fontId="0" fillId="0" borderId="0" xfId="0" applyAlignment="1">
      <alignment horizontal="left" vertical="center"/>
    </xf>
    <xf numFmtId="49" fontId="6" fillId="0" borderId="9" xfId="0" applyNumberFormat="1" applyFont="1" applyBorder="1" applyAlignment="1">
      <alignment horizontal="left" vertical="center"/>
    </xf>
    <xf numFmtId="0" fontId="7" fillId="0" borderId="0" xfId="0" applyFont="1" applyAlignment="1">
      <alignment horizontal="left" vertical="center"/>
    </xf>
    <xf numFmtId="0" fontId="7" fillId="2" borderId="9" xfId="0" applyFont="1" applyFill="1" applyBorder="1" applyAlignment="1">
      <alignment horizontal="left" vertical="center"/>
    </xf>
    <xf numFmtId="0" fontId="7" fillId="0" borderId="11" xfId="0" applyFont="1" applyBorder="1" applyAlignment="1">
      <alignment horizontal="left" vertical="center"/>
    </xf>
    <xf numFmtId="164" fontId="7" fillId="0" borderId="8" xfId="0" applyNumberFormat="1" applyFont="1" applyBorder="1" applyAlignment="1">
      <alignment horizontal="right"/>
    </xf>
    <xf numFmtId="0" fontId="16" fillId="0" borderId="10" xfId="2" applyFill="1" applyBorder="1" applyAlignment="1">
      <alignment horizontal="left" vertical="center"/>
    </xf>
    <xf numFmtId="49" fontId="13" fillId="0" borderId="13" xfId="3" applyNumberFormat="1" applyFont="1" applyBorder="1" applyAlignment="1">
      <alignment vertical="top" wrapText="1"/>
    </xf>
    <xf numFmtId="49" fontId="11" fillId="0" borderId="0" xfId="3" applyNumberFormat="1" applyFont="1" applyAlignment="1">
      <alignment vertical="top" wrapText="1"/>
    </xf>
    <xf numFmtId="49" fontId="13" fillId="0" borderId="0" xfId="3" applyNumberFormat="1" applyFont="1" applyAlignment="1">
      <alignment vertical="top" wrapText="1"/>
    </xf>
    <xf numFmtId="49" fontId="12" fillId="0" borderId="13" xfId="3" applyNumberFormat="1" applyFont="1" applyBorder="1" applyAlignment="1">
      <alignment horizontal="right" vertical="top" wrapText="1"/>
    </xf>
    <xf numFmtId="49" fontId="13" fillId="0" borderId="13" xfId="3" quotePrefix="1" applyNumberFormat="1" applyFont="1" applyBorder="1" applyAlignment="1">
      <alignment vertical="top" wrapText="1"/>
    </xf>
    <xf numFmtId="0" fontId="6" fillId="0" borderId="0" xfId="0" applyFont="1" applyAlignment="1">
      <alignment horizontal="right"/>
    </xf>
    <xf numFmtId="0" fontId="2" fillId="0" borderId="0" xfId="4"/>
    <xf numFmtId="0" fontId="18" fillId="0" borderId="0" xfId="4" applyFont="1"/>
    <xf numFmtId="0" fontId="2" fillId="0" borderId="0" xfId="4" applyAlignment="1">
      <alignment horizontal="left"/>
    </xf>
    <xf numFmtId="0" fontId="1" fillId="0" borderId="13" xfId="4" applyFont="1" applyBorder="1"/>
    <xf numFmtId="0" fontId="1" fillId="0" borderId="15" xfId="4" applyFont="1" applyBorder="1"/>
    <xf numFmtId="0" fontId="19" fillId="0" borderId="0" xfId="0" applyFont="1"/>
    <xf numFmtId="0" fontId="17" fillId="2" borderId="12" xfId="0" applyFont="1" applyFill="1" applyBorder="1"/>
    <xf numFmtId="0" fontId="9" fillId="2" borderId="7" xfId="0" applyFont="1" applyFill="1" applyBorder="1" applyAlignment="1">
      <alignment horizontal="left" vertical="center"/>
    </xf>
    <xf numFmtId="0" fontId="8" fillId="2" borderId="6" xfId="0" applyFont="1" applyFill="1" applyBorder="1" applyAlignment="1">
      <alignment horizontal="left" vertical="center"/>
    </xf>
    <xf numFmtId="0" fontId="18" fillId="2" borderId="0" xfId="4" applyFont="1" applyFill="1"/>
    <xf numFmtId="49" fontId="8" fillId="2" borderId="13" xfId="3" applyNumberFormat="1" applyFont="1" applyFill="1" applyBorder="1" applyAlignment="1">
      <alignment vertical="top" wrapText="1"/>
    </xf>
    <xf numFmtId="0" fontId="18" fillId="2" borderId="4" xfId="4" applyFont="1" applyFill="1" applyBorder="1" applyAlignment="1">
      <alignment horizontal="left"/>
    </xf>
    <xf numFmtId="0" fontId="18" fillId="2" borderId="14" xfId="4" applyFont="1" applyFill="1" applyBorder="1" applyAlignment="1">
      <alignment horizontal="left"/>
    </xf>
    <xf numFmtId="0" fontId="18" fillId="2" borderId="5" xfId="4" applyFont="1" applyFill="1" applyBorder="1" applyAlignment="1">
      <alignment horizontal="left"/>
    </xf>
    <xf numFmtId="0" fontId="18" fillId="3" borderId="8" xfId="4" applyFont="1" applyFill="1" applyBorder="1"/>
    <xf numFmtId="0" fontId="18" fillId="3" borderId="3" xfId="4" applyFont="1" applyFill="1" applyBorder="1"/>
    <xf numFmtId="0" fontId="18" fillId="0" borderId="1" xfId="4" applyFont="1" applyBorder="1"/>
    <xf numFmtId="0" fontId="18" fillId="0" borderId="2" xfId="4" applyFont="1" applyBorder="1"/>
    <xf numFmtId="0" fontId="20" fillId="0" borderId="0" xfId="4" applyFont="1"/>
    <xf numFmtId="0" fontId="16" fillId="0" borderId="0" xfId="2"/>
    <xf numFmtId="0" fontId="7" fillId="0" borderId="10" xfId="0" applyFont="1" applyBorder="1" applyAlignment="1">
      <alignment horizontal="left" vertical="center"/>
    </xf>
    <xf numFmtId="0" fontId="0" fillId="0" borderId="0" xfId="0" applyFill="1"/>
    <xf numFmtId="0" fontId="19" fillId="0" borderId="0" xfId="0" applyFont="1" applyFill="1"/>
    <xf numFmtId="0" fontId="16" fillId="0" borderId="0" xfId="2" applyFill="1"/>
  </cellXfs>
  <cellStyles count="5">
    <cellStyle name="Hyperlink" xfId="2" builtinId="8"/>
    <cellStyle name="Normal" xfId="0" builtinId="0"/>
    <cellStyle name="Normal 2" xfId="1" xr:uid="{00000000-0005-0000-0000-000002000000}"/>
    <cellStyle name="Normal 2 2" xfId="3" xr:uid="{29149BD6-EBA4-8843-95E8-399FDD77D80B}"/>
    <cellStyle name="Normal 3" xfId="4" xr:uid="{CC5835AF-95EF-0A41-B331-D0D471E962F0}"/>
  </cellStyles>
  <dxfs count="4">
    <dxf>
      <font>
        <b val="0"/>
        <i val="0"/>
      </font>
    </dxf>
    <dxf>
      <font>
        <b val="0"/>
        <i val="0"/>
      </font>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xr9:uid="{00000000-0011-0000-FFFF-FFFF00000000}">
      <tableStyleElement type="wholeTable" dxfId="3"/>
      <tableStyleElement type="headerRow" dxfId="2"/>
    </tableStyle>
  </tableStyles>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18"/>
  <sheetViews>
    <sheetView showGridLines="0" tabSelected="1" zoomScaleNormal="100" workbookViewId="0"/>
  </sheetViews>
  <sheetFormatPr baseColWidth="10" defaultColWidth="11.5" defaultRowHeight="13"/>
  <cols>
    <col min="1" max="1" width="3.33203125" customWidth="1"/>
    <col min="2" max="2" width="11.83203125" customWidth="1"/>
    <col min="3" max="3" width="23.5" customWidth="1"/>
    <col min="4" max="4" width="4.6640625" customWidth="1"/>
    <col min="5" max="5" width="105" style="11" bestFit="1" customWidth="1"/>
    <col min="6" max="6" width="54.6640625" customWidth="1"/>
    <col min="7" max="7" width="10.83203125" customWidth="1"/>
  </cols>
  <sheetData>
    <row r="1" spans="1:6" ht="14" thickBot="1"/>
    <row r="2" spans="1:6" s="2" customFormat="1" ht="19" thickBot="1">
      <c r="B2" s="32" t="s">
        <v>6908</v>
      </c>
      <c r="C2" s="31"/>
      <c r="D2" s="31"/>
      <c r="E2" s="31"/>
      <c r="F2" s="1"/>
    </row>
    <row r="3" spans="1:6" ht="17" thickBot="1">
      <c r="B3" s="3"/>
      <c r="C3" s="3"/>
      <c r="D3" s="3"/>
      <c r="E3" s="13"/>
    </row>
    <row r="4" spans="1:6" ht="18">
      <c r="A4" s="2"/>
      <c r="B4" s="9" t="s">
        <v>331</v>
      </c>
      <c r="C4" s="10">
        <v>1</v>
      </c>
      <c r="D4" s="3"/>
      <c r="E4" s="14" t="str">
        <f>CONCATENATE("Version ",C4)</f>
        <v>Version 1</v>
      </c>
    </row>
    <row r="5" spans="1:6" ht="15" customHeight="1">
      <c r="A5" s="3"/>
      <c r="B5" s="6" t="s">
        <v>965</v>
      </c>
      <c r="C5" s="16">
        <v>45024</v>
      </c>
      <c r="D5" s="4"/>
      <c r="E5" s="12" t="s">
        <v>6909</v>
      </c>
    </row>
    <row r="6" spans="1:6" ht="17" thickBot="1">
      <c r="A6" s="3"/>
      <c r="B6" s="7" t="s">
        <v>966</v>
      </c>
      <c r="C6" s="8" t="s">
        <v>963</v>
      </c>
      <c r="D6" s="5"/>
      <c r="E6" s="15" t="s">
        <v>14823</v>
      </c>
    </row>
    <row r="7" spans="1:6" ht="16">
      <c r="A7" s="3"/>
      <c r="B7" s="23"/>
      <c r="C7" s="5"/>
      <c r="D7" s="5"/>
      <c r="E7" s="15" t="s">
        <v>14828</v>
      </c>
    </row>
    <row r="8" spans="1:6" ht="16">
      <c r="A8" s="3"/>
      <c r="B8" s="3"/>
      <c r="C8" s="3"/>
      <c r="D8" s="3"/>
      <c r="E8" s="17" t="str">
        <f>HYPERLINK("https://ictv.global/","For more information see: https://ictv.global/")</f>
        <v>For more information see: https://ictv.global/</v>
      </c>
    </row>
    <row r="9" spans="1:6" ht="17" thickBot="1">
      <c r="B9" s="3"/>
      <c r="C9" s="3"/>
      <c r="D9" s="3"/>
      <c r="E9" s="13"/>
    </row>
    <row r="10" spans="1:6" ht="16">
      <c r="B10" s="9" t="s">
        <v>331</v>
      </c>
      <c r="C10" s="10">
        <v>2</v>
      </c>
      <c r="D10" s="3"/>
      <c r="E10" s="14" t="str">
        <f>CONCATENATE("Version ",C10)</f>
        <v>Version 2</v>
      </c>
    </row>
    <row r="11" spans="1:6" ht="16">
      <c r="B11" s="6" t="s">
        <v>965</v>
      </c>
      <c r="C11" s="16">
        <v>45084</v>
      </c>
      <c r="D11" s="3"/>
      <c r="E11" s="12" t="s">
        <v>18176</v>
      </c>
    </row>
    <row r="12" spans="1:6" ht="17" thickBot="1">
      <c r="B12" s="7" t="s">
        <v>966</v>
      </c>
      <c r="C12" s="8" t="s">
        <v>18175</v>
      </c>
      <c r="D12" s="3"/>
      <c r="E12" s="15" t="s">
        <v>18177</v>
      </c>
    </row>
    <row r="13" spans="1:6" ht="16">
      <c r="B13" s="3"/>
      <c r="C13" s="3"/>
      <c r="D13" s="3"/>
      <c r="E13" s="15" t="s">
        <v>18178</v>
      </c>
    </row>
    <row r="14" spans="1:6" ht="16">
      <c r="B14" s="3"/>
      <c r="C14" s="3"/>
      <c r="D14" s="3"/>
      <c r="E14" s="44" t="s">
        <v>18179</v>
      </c>
    </row>
    <row r="15" spans="1:6" ht="16">
      <c r="B15" s="3"/>
      <c r="C15" s="3"/>
      <c r="D15" s="3"/>
      <c r="E15" s="13"/>
    </row>
    <row r="16" spans="1:6" ht="16">
      <c r="B16" s="3"/>
      <c r="C16" s="3"/>
      <c r="D16" s="3"/>
      <c r="E16" s="13"/>
    </row>
    <row r="17" spans="2:5" ht="16">
      <c r="B17" s="3"/>
      <c r="C17" s="3"/>
      <c r="D17" s="3"/>
      <c r="E17" s="13"/>
    </row>
    <row r="18" spans="2:5" ht="16">
      <c r="B18" s="3"/>
      <c r="C18" s="3"/>
      <c r="D18" s="3"/>
      <c r="E18" s="13"/>
    </row>
  </sheetData>
  <phoneticPr fontId="4" type="noConversion"/>
  <pageMargins left="0.75" right="0.75" top="1" bottom="1" header="0.5" footer="0.5"/>
  <pageSetup orientation="portrait" horizontalDpi="4294967292" verticalDpi="4294967292"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B1EB1-CFF9-A342-B208-8133A34B5F91}">
  <dimension ref="A1:V11274"/>
  <sheetViews>
    <sheetView zoomScaleNormal="100" workbookViewId="0">
      <pane ySplit="1" topLeftCell="A2" activePane="bottomLeft" state="frozen"/>
      <selection activeCell="N1" sqref="N1"/>
      <selection pane="bottomLeft" activeCell="A2" sqref="A2"/>
    </sheetView>
  </sheetViews>
  <sheetFormatPr baseColWidth="10" defaultRowHeight="13"/>
  <cols>
    <col min="1" max="1" width="6.1640625" bestFit="1" customWidth="1"/>
    <col min="2" max="2" width="12" bestFit="1" customWidth="1"/>
    <col min="3" max="3" width="10.1640625" bestFit="1" customWidth="1"/>
    <col min="4" max="4" width="14.33203125" bestFit="1" customWidth="1"/>
    <col min="5" max="5" width="12.83203125" bestFit="1" customWidth="1"/>
    <col min="6" max="6" width="15.33203125" bestFit="1" customWidth="1"/>
    <col min="7" max="7" width="13.83203125" bestFit="1" customWidth="1"/>
    <col min="8" max="8" width="15.83203125" bestFit="1" customWidth="1"/>
    <col min="9" max="9" width="9.33203125" bestFit="1" customWidth="1"/>
    <col min="10" max="10" width="15.83203125" bestFit="1" customWidth="1"/>
    <col min="11" max="11" width="14" bestFit="1" customWidth="1"/>
    <col min="12" max="12" width="18.1640625" bestFit="1" customWidth="1"/>
    <col min="13" max="13" width="20.6640625" bestFit="1" customWidth="1"/>
    <col min="14" max="14" width="22" bestFit="1" customWidth="1"/>
    <col min="15" max="15" width="13.6640625" bestFit="1" customWidth="1"/>
    <col min="16" max="16" width="46.1640625" bestFit="1" customWidth="1"/>
    <col min="17" max="17" width="21.5" bestFit="1" customWidth="1"/>
    <col min="18" max="18" width="36.6640625" bestFit="1" customWidth="1"/>
    <col min="19" max="19" width="19.33203125" bestFit="1" customWidth="1"/>
    <col min="20" max="20" width="87.1640625" bestFit="1" customWidth="1"/>
    <col min="21" max="21" width="19.83203125" bestFit="1" customWidth="1"/>
  </cols>
  <sheetData>
    <row r="1" spans="1:21" ht="14" thickBot="1">
      <c r="A1" s="30" t="s">
        <v>3681</v>
      </c>
      <c r="B1" s="30" t="s">
        <v>2988</v>
      </c>
      <c r="C1" s="30" t="s">
        <v>2989</v>
      </c>
      <c r="D1" s="30" t="s">
        <v>2990</v>
      </c>
      <c r="E1" s="30" t="s">
        <v>2991</v>
      </c>
      <c r="F1" s="30" t="s">
        <v>2992</v>
      </c>
      <c r="G1" s="30" t="s">
        <v>2993</v>
      </c>
      <c r="H1" s="30" t="s">
        <v>2994</v>
      </c>
      <c r="I1" s="30" t="s">
        <v>2995</v>
      </c>
      <c r="J1" s="30" t="s">
        <v>780</v>
      </c>
      <c r="K1" s="30" t="s">
        <v>2996</v>
      </c>
      <c r="L1" s="30" t="s">
        <v>1345</v>
      </c>
      <c r="M1" s="30" t="s">
        <v>1346</v>
      </c>
      <c r="N1" s="30" t="s">
        <v>1347</v>
      </c>
      <c r="O1" s="30" t="s">
        <v>2997</v>
      </c>
      <c r="P1" s="30" t="s">
        <v>1348</v>
      </c>
      <c r="Q1" s="30" t="s">
        <v>2045</v>
      </c>
      <c r="R1" s="30" t="s">
        <v>2047</v>
      </c>
      <c r="S1" s="30" t="s">
        <v>2361</v>
      </c>
      <c r="T1" s="30" t="s">
        <v>2667</v>
      </c>
      <c r="U1" s="30" t="s">
        <v>2046</v>
      </c>
    </row>
    <row r="2" spans="1:21">
      <c r="A2">
        <v>1</v>
      </c>
      <c r="B2" s="29" t="s">
        <v>4457</v>
      </c>
      <c r="C2" s="29"/>
      <c r="D2" s="29" t="s">
        <v>4458</v>
      </c>
      <c r="E2" s="29"/>
      <c r="F2" s="29" t="s">
        <v>4459</v>
      </c>
      <c r="G2" s="29"/>
      <c r="H2" s="29" t="s">
        <v>4460</v>
      </c>
      <c r="I2" s="29"/>
      <c r="J2" s="29" t="s">
        <v>1602</v>
      </c>
      <c r="K2" s="29"/>
      <c r="L2" s="29" t="s">
        <v>1218</v>
      </c>
      <c r="M2" s="29"/>
      <c r="N2" s="29" t="s">
        <v>4432</v>
      </c>
      <c r="O2" s="29"/>
      <c r="P2" s="29" t="s">
        <v>4433</v>
      </c>
      <c r="Q2" t="s">
        <v>2038</v>
      </c>
      <c r="R2" t="s">
        <v>2634</v>
      </c>
      <c r="S2">
        <v>36</v>
      </c>
      <c r="T2" s="43" t="str">
        <f>HYPERLINK("https://ictv.global/ictv/proposals/2020.186B.R.Adnaviria.zip","2020.186B.R.Adnaviria.zip")</f>
        <v>2020.186B.R.Adnaviria.zip</v>
      </c>
      <c r="U2" s="43" t="str">
        <f>HYPERLINK("https://ictv.global/taxonomy/taxondetails?taxnode_id=202208644","ictv.global=202208644")</f>
        <v>ictv.global=202208644</v>
      </c>
    </row>
    <row r="3" spans="1:21">
      <c r="A3">
        <v>2</v>
      </c>
      <c r="B3" s="29" t="s">
        <v>4457</v>
      </c>
      <c r="C3" s="29"/>
      <c r="D3" s="29" t="s">
        <v>4458</v>
      </c>
      <c r="E3" s="29"/>
      <c r="F3" s="29" t="s">
        <v>4459</v>
      </c>
      <c r="G3" s="29"/>
      <c r="H3" s="29" t="s">
        <v>4460</v>
      </c>
      <c r="I3" s="29"/>
      <c r="J3" s="29" t="s">
        <v>1602</v>
      </c>
      <c r="K3" s="29"/>
      <c r="L3" s="29" t="s">
        <v>1218</v>
      </c>
      <c r="M3" s="29"/>
      <c r="N3" s="29" t="s">
        <v>4432</v>
      </c>
      <c r="O3" s="29"/>
      <c r="P3" s="29" t="s">
        <v>4434</v>
      </c>
      <c r="Q3" t="s">
        <v>2038</v>
      </c>
      <c r="R3" t="s">
        <v>6899</v>
      </c>
      <c r="S3">
        <v>36</v>
      </c>
      <c r="T3" s="43" t="str">
        <f>HYPERLINK("https://ictv.global/ictv/proposals/2020.001G.R.Abolish_type_species.pdf","2020.001G.R.Abolish_type_species.pdf")</f>
        <v>2020.001G.R.Abolish_type_species.pdf</v>
      </c>
      <c r="U3" s="43" t="str">
        <f>HYPERLINK("https://ictv.global/taxonomy/taxondetails?taxnode_id=202208643","ictv.global=202208643")</f>
        <v>ictv.global=202208643</v>
      </c>
    </row>
    <row r="4" spans="1:21">
      <c r="A4">
        <v>3</v>
      </c>
      <c r="B4" s="29" t="s">
        <v>4457</v>
      </c>
      <c r="C4" s="29"/>
      <c r="D4" s="29" t="s">
        <v>4458</v>
      </c>
      <c r="E4" s="29"/>
      <c r="F4" s="29" t="s">
        <v>4459</v>
      </c>
      <c r="G4" s="29"/>
      <c r="H4" s="29" t="s">
        <v>4460</v>
      </c>
      <c r="I4" s="29"/>
      <c r="J4" s="29" t="s">
        <v>1602</v>
      </c>
      <c r="K4" s="29"/>
      <c r="L4" s="29" t="s">
        <v>1218</v>
      </c>
      <c r="M4" s="29"/>
      <c r="N4" s="29" t="s">
        <v>1219</v>
      </c>
      <c r="O4" s="29"/>
      <c r="P4" s="29" t="s">
        <v>526</v>
      </c>
      <c r="Q4" t="s">
        <v>2038</v>
      </c>
      <c r="R4" t="s">
        <v>2634</v>
      </c>
      <c r="S4">
        <v>36</v>
      </c>
      <c r="T4" s="43" t="str">
        <f>HYPERLINK("https://ictv.global/ictv/proposals/2020.186B.R.Adnaviria.zip","2020.186B.R.Adnaviria.zip")</f>
        <v>2020.186B.R.Adnaviria.zip</v>
      </c>
      <c r="U4" s="43" t="str">
        <f>HYPERLINK("https://ictv.global/taxonomy/taxondetails?taxnode_id=202201532","ictv.global=202201532")</f>
        <v>ictv.global=202201532</v>
      </c>
    </row>
    <row r="5" spans="1:21">
      <c r="A5">
        <v>4</v>
      </c>
      <c r="B5" s="29" t="s">
        <v>4457</v>
      </c>
      <c r="C5" s="29"/>
      <c r="D5" s="29" t="s">
        <v>4458</v>
      </c>
      <c r="E5" s="29"/>
      <c r="F5" s="29" t="s">
        <v>4459</v>
      </c>
      <c r="G5" s="29"/>
      <c r="H5" s="29" t="s">
        <v>4460</v>
      </c>
      <c r="I5" s="29"/>
      <c r="J5" s="29" t="s">
        <v>1602</v>
      </c>
      <c r="K5" s="29"/>
      <c r="L5" s="29" t="s">
        <v>1218</v>
      </c>
      <c r="M5" s="29"/>
      <c r="N5" s="29" t="s">
        <v>1219</v>
      </c>
      <c r="O5" s="29"/>
      <c r="P5" s="29" t="s">
        <v>525</v>
      </c>
      <c r="Q5" t="s">
        <v>2038</v>
      </c>
      <c r="R5" t="s">
        <v>2634</v>
      </c>
      <c r="S5">
        <v>36</v>
      </c>
      <c r="T5" s="43" t="str">
        <f>HYPERLINK("https://ictv.global/ictv/proposals/2020.186B.R.Adnaviria.zip","2020.186B.R.Adnaviria.zip")</f>
        <v>2020.186B.R.Adnaviria.zip</v>
      </c>
      <c r="U5" s="43" t="str">
        <f>HYPERLINK("https://ictv.global/taxonomy/taxondetails?taxnode_id=202201533","ictv.global=202201533")</f>
        <v>ictv.global=202201533</v>
      </c>
    </row>
    <row r="6" spans="1:21">
      <c r="A6">
        <v>5</v>
      </c>
      <c r="B6" s="29" t="s">
        <v>4457</v>
      </c>
      <c r="C6" s="29"/>
      <c r="D6" s="29" t="s">
        <v>4458</v>
      </c>
      <c r="E6" s="29"/>
      <c r="F6" s="29" t="s">
        <v>4459</v>
      </c>
      <c r="G6" s="29"/>
      <c r="H6" s="29" t="s">
        <v>4460</v>
      </c>
      <c r="I6" s="29"/>
      <c r="J6" s="29" t="s">
        <v>1602</v>
      </c>
      <c r="K6" s="29"/>
      <c r="L6" s="29" t="s">
        <v>1218</v>
      </c>
      <c r="M6" s="29"/>
      <c r="N6" s="29" t="s">
        <v>1219</v>
      </c>
      <c r="O6" s="29"/>
      <c r="P6" s="29" t="s">
        <v>524</v>
      </c>
      <c r="Q6" t="s">
        <v>2038</v>
      </c>
      <c r="R6" t="s">
        <v>2634</v>
      </c>
      <c r="S6">
        <v>36</v>
      </c>
      <c r="T6" s="43" t="str">
        <f>HYPERLINK("https://ictv.global/ictv/proposals/2020.186B.R.Adnaviria.zip","2020.186B.R.Adnaviria.zip")</f>
        <v>2020.186B.R.Adnaviria.zip</v>
      </c>
      <c r="U6" s="43" t="str">
        <f>HYPERLINK("https://ictv.global/taxonomy/taxondetails?taxnode_id=202201534","ictv.global=202201534")</f>
        <v>ictv.global=202201534</v>
      </c>
    </row>
    <row r="7" spans="1:21">
      <c r="A7">
        <v>6</v>
      </c>
      <c r="B7" s="29" t="s">
        <v>4457</v>
      </c>
      <c r="C7" s="29"/>
      <c r="D7" s="29" t="s">
        <v>4458</v>
      </c>
      <c r="E7" s="29"/>
      <c r="F7" s="29" t="s">
        <v>4459</v>
      </c>
      <c r="G7" s="29"/>
      <c r="H7" s="29" t="s">
        <v>4460</v>
      </c>
      <c r="I7" s="29"/>
      <c r="J7" s="29" t="s">
        <v>1602</v>
      </c>
      <c r="K7" s="29"/>
      <c r="L7" s="29" t="s">
        <v>1218</v>
      </c>
      <c r="M7" s="29"/>
      <c r="N7" s="29" t="s">
        <v>1219</v>
      </c>
      <c r="O7" s="29"/>
      <c r="P7" s="29" t="s">
        <v>1307</v>
      </c>
      <c r="Q7" t="s">
        <v>2038</v>
      </c>
      <c r="R7" t="s">
        <v>2634</v>
      </c>
      <c r="S7">
        <v>36</v>
      </c>
      <c r="T7" s="43" t="str">
        <f>HYPERLINK("https://ictv.global/ictv/proposals/2020.186B.R.Adnaviria.zip","2020.186B.R.Adnaviria.zip")</f>
        <v>2020.186B.R.Adnaviria.zip</v>
      </c>
      <c r="U7" s="43" t="str">
        <f>HYPERLINK("https://ictv.global/taxonomy/taxondetails?taxnode_id=202201535","ictv.global=202201535")</f>
        <v>ictv.global=202201535</v>
      </c>
    </row>
    <row r="8" spans="1:21">
      <c r="A8">
        <v>7</v>
      </c>
      <c r="B8" s="29" t="s">
        <v>4457</v>
      </c>
      <c r="C8" s="29"/>
      <c r="D8" s="29" t="s">
        <v>4458</v>
      </c>
      <c r="E8" s="29"/>
      <c r="F8" s="29" t="s">
        <v>4459</v>
      </c>
      <c r="G8" s="29"/>
      <c r="H8" s="29" t="s">
        <v>4460</v>
      </c>
      <c r="I8" s="29"/>
      <c r="J8" s="29" t="s">
        <v>1602</v>
      </c>
      <c r="K8" s="29"/>
      <c r="L8" s="29" t="s">
        <v>1218</v>
      </c>
      <c r="M8" s="29"/>
      <c r="N8" s="29" t="s">
        <v>1219</v>
      </c>
      <c r="O8" s="29"/>
      <c r="P8" s="29" t="s">
        <v>1306</v>
      </c>
      <c r="Q8" t="s">
        <v>2038</v>
      </c>
      <c r="R8" t="s">
        <v>2634</v>
      </c>
      <c r="S8">
        <v>36</v>
      </c>
      <c r="T8" s="43" t="str">
        <f>HYPERLINK("https://ictv.global/ictv/proposals/2020.186B.R.Adnaviria.zip","2020.186B.R.Adnaviria.zip")</f>
        <v>2020.186B.R.Adnaviria.zip</v>
      </c>
      <c r="U8" s="43" t="str">
        <f>HYPERLINK("https://ictv.global/taxonomy/taxondetails?taxnode_id=202201536","ictv.global=202201536")</f>
        <v>ictv.global=202201536</v>
      </c>
    </row>
    <row r="9" spans="1:21">
      <c r="A9">
        <v>8</v>
      </c>
      <c r="B9" s="29" t="s">
        <v>4457</v>
      </c>
      <c r="C9" s="29"/>
      <c r="D9" s="29" t="s">
        <v>4458</v>
      </c>
      <c r="E9" s="29"/>
      <c r="F9" s="29" t="s">
        <v>4459</v>
      </c>
      <c r="G9" s="29"/>
      <c r="H9" s="29" t="s">
        <v>4460</v>
      </c>
      <c r="I9" s="29"/>
      <c r="J9" s="29" t="s">
        <v>1602</v>
      </c>
      <c r="K9" s="29"/>
      <c r="L9" s="29" t="s">
        <v>1218</v>
      </c>
      <c r="M9" s="29"/>
      <c r="N9" s="29" t="s">
        <v>1219</v>
      </c>
      <c r="O9" s="29"/>
      <c r="P9" s="29" t="s">
        <v>1220</v>
      </c>
      <c r="Q9" t="s">
        <v>2038</v>
      </c>
      <c r="R9" t="s">
        <v>6899</v>
      </c>
      <c r="S9">
        <v>36</v>
      </c>
      <c r="T9" s="43" t="str">
        <f>HYPERLINK("https://ictv.global/ictv/proposals/2020.001G.R.Abolish_type_species.pdf","2020.001G.R.Abolish_type_species.pdf")</f>
        <v>2020.001G.R.Abolish_type_species.pdf</v>
      </c>
      <c r="U9" s="43" t="str">
        <f>HYPERLINK("https://ictv.global/taxonomy/taxondetails?taxnode_id=202201537","ictv.global=202201537")</f>
        <v>ictv.global=202201537</v>
      </c>
    </row>
    <row r="10" spans="1:21">
      <c r="A10">
        <v>9</v>
      </c>
      <c r="B10" s="29" t="s">
        <v>4457</v>
      </c>
      <c r="C10" s="29"/>
      <c r="D10" s="29" t="s">
        <v>4458</v>
      </c>
      <c r="E10" s="29"/>
      <c r="F10" s="29" t="s">
        <v>4459</v>
      </c>
      <c r="G10" s="29"/>
      <c r="H10" s="29" t="s">
        <v>4460</v>
      </c>
      <c r="I10" s="29"/>
      <c r="J10" s="29" t="s">
        <v>1602</v>
      </c>
      <c r="K10" s="29"/>
      <c r="L10" s="29" t="s">
        <v>1218</v>
      </c>
      <c r="M10" s="29"/>
      <c r="N10" s="29" t="s">
        <v>842</v>
      </c>
      <c r="O10" s="29"/>
      <c r="P10" s="29" t="s">
        <v>1440</v>
      </c>
      <c r="Q10" t="s">
        <v>2038</v>
      </c>
      <c r="R10" t="s">
        <v>6899</v>
      </c>
      <c r="S10">
        <v>36</v>
      </c>
      <c r="T10" s="43" t="str">
        <f>HYPERLINK("https://ictv.global/ictv/proposals/2020.001G.R.Abolish_type_species.pdf","2020.001G.R.Abolish_type_species.pdf")</f>
        <v>2020.001G.R.Abolish_type_species.pdf</v>
      </c>
      <c r="U10" s="43" t="str">
        <f>HYPERLINK("https://ictv.global/taxonomy/taxondetails?taxnode_id=202201539","ictv.global=202201539")</f>
        <v>ictv.global=202201539</v>
      </c>
    </row>
    <row r="11" spans="1:21">
      <c r="A11">
        <v>10</v>
      </c>
      <c r="B11" s="29" t="s">
        <v>4457</v>
      </c>
      <c r="C11" s="29"/>
      <c r="D11" s="29" t="s">
        <v>4458</v>
      </c>
      <c r="E11" s="29"/>
      <c r="F11" s="29" t="s">
        <v>4459</v>
      </c>
      <c r="G11" s="29"/>
      <c r="H11" s="29" t="s">
        <v>4460</v>
      </c>
      <c r="I11" s="29"/>
      <c r="J11" s="29" t="s">
        <v>1602</v>
      </c>
      <c r="K11" s="29"/>
      <c r="L11" s="29" t="s">
        <v>1218</v>
      </c>
      <c r="M11" s="29"/>
      <c r="N11" s="29" t="s">
        <v>842</v>
      </c>
      <c r="O11" s="29"/>
      <c r="P11" s="29" t="s">
        <v>4435</v>
      </c>
      <c r="Q11" t="s">
        <v>2038</v>
      </c>
      <c r="R11" t="s">
        <v>2634</v>
      </c>
      <c r="S11">
        <v>36</v>
      </c>
      <c r="T11" s="43" t="str">
        <f>HYPERLINK("https://ictv.global/ictv/proposals/2020.186B.R.Adnaviria.zip","2020.186B.R.Adnaviria.zip")</f>
        <v>2020.186B.R.Adnaviria.zip</v>
      </c>
      <c r="U11" s="43" t="str">
        <f>HYPERLINK("https://ictv.global/taxonomy/taxondetails?taxnode_id=202208645","ictv.global=202208645")</f>
        <v>ictv.global=202208645</v>
      </c>
    </row>
    <row r="12" spans="1:21">
      <c r="A12">
        <v>11</v>
      </c>
      <c r="B12" s="29" t="s">
        <v>4457</v>
      </c>
      <c r="C12" s="29"/>
      <c r="D12" s="29" t="s">
        <v>4458</v>
      </c>
      <c r="E12" s="29"/>
      <c r="F12" s="29" t="s">
        <v>4459</v>
      </c>
      <c r="G12" s="29"/>
      <c r="H12" s="29" t="s">
        <v>4460</v>
      </c>
      <c r="I12" s="29"/>
      <c r="J12" s="29" t="s">
        <v>1602</v>
      </c>
      <c r="K12" s="29"/>
      <c r="L12" s="29" t="s">
        <v>962</v>
      </c>
      <c r="M12" s="29"/>
      <c r="N12" s="29" t="s">
        <v>4461</v>
      </c>
      <c r="O12" s="29"/>
      <c r="P12" s="29" t="s">
        <v>4462</v>
      </c>
      <c r="Q12" t="s">
        <v>2038</v>
      </c>
      <c r="R12" t="s">
        <v>2632</v>
      </c>
      <c r="S12">
        <v>36</v>
      </c>
      <c r="T12" s="43" t="str">
        <f t="shared" ref="T12:T17" si="0">HYPERLINK("https://ictv.global/ictv/proposals/2020.141B.R.Rudiviridae.zip","2020.141B.R.Rudiviridae.zip")</f>
        <v>2020.141B.R.Rudiviridae.zip</v>
      </c>
      <c r="U12" s="43" t="str">
        <f>HYPERLINK("https://ictv.global/taxonomy/taxondetails?taxnode_id=202211720","ictv.global=202211720")</f>
        <v>ictv.global=202211720</v>
      </c>
    </row>
    <row r="13" spans="1:21">
      <c r="A13">
        <v>12</v>
      </c>
      <c r="B13" s="29" t="s">
        <v>4457</v>
      </c>
      <c r="C13" s="29"/>
      <c r="D13" s="29" t="s">
        <v>4458</v>
      </c>
      <c r="E13" s="29"/>
      <c r="F13" s="29" t="s">
        <v>4459</v>
      </c>
      <c r="G13" s="29"/>
      <c r="H13" s="29" t="s">
        <v>4460</v>
      </c>
      <c r="I13" s="29"/>
      <c r="J13" s="29" t="s">
        <v>1602</v>
      </c>
      <c r="K13" s="29"/>
      <c r="L13" s="29" t="s">
        <v>962</v>
      </c>
      <c r="M13" s="29"/>
      <c r="N13" s="29" t="s">
        <v>4463</v>
      </c>
      <c r="O13" s="29"/>
      <c r="P13" s="29" t="s">
        <v>4464</v>
      </c>
      <c r="Q13" t="s">
        <v>2038</v>
      </c>
      <c r="R13" t="s">
        <v>2632</v>
      </c>
      <c r="S13">
        <v>36</v>
      </c>
      <c r="T13" s="43" t="str">
        <f t="shared" si="0"/>
        <v>2020.141B.R.Rudiviridae.zip</v>
      </c>
      <c r="U13" s="43" t="str">
        <f>HYPERLINK("https://ictv.global/taxonomy/taxondetails?taxnode_id=202211716","ictv.global=202211716")</f>
        <v>ictv.global=202211716</v>
      </c>
    </row>
    <row r="14" spans="1:21">
      <c r="A14">
        <v>13</v>
      </c>
      <c r="B14" s="29" t="s">
        <v>4457</v>
      </c>
      <c r="C14" s="29"/>
      <c r="D14" s="29" t="s">
        <v>4458</v>
      </c>
      <c r="E14" s="29"/>
      <c r="F14" s="29" t="s">
        <v>4459</v>
      </c>
      <c r="G14" s="29"/>
      <c r="H14" s="29" t="s">
        <v>4460</v>
      </c>
      <c r="I14" s="29"/>
      <c r="J14" s="29" t="s">
        <v>1602</v>
      </c>
      <c r="K14" s="29"/>
      <c r="L14" s="29" t="s">
        <v>962</v>
      </c>
      <c r="M14" s="29"/>
      <c r="N14" s="29" t="s">
        <v>4463</v>
      </c>
      <c r="O14" s="29"/>
      <c r="P14" s="29" t="s">
        <v>4465</v>
      </c>
      <c r="Q14" t="s">
        <v>2038</v>
      </c>
      <c r="R14" t="s">
        <v>2632</v>
      </c>
      <c r="S14">
        <v>36</v>
      </c>
      <c r="T14" s="43" t="str">
        <f t="shared" si="0"/>
        <v>2020.141B.R.Rudiviridae.zip</v>
      </c>
      <c r="U14" s="43" t="str">
        <f>HYPERLINK("https://ictv.global/taxonomy/taxondetails?taxnode_id=202211717","ictv.global=202211717")</f>
        <v>ictv.global=202211717</v>
      </c>
    </row>
    <row r="15" spans="1:21">
      <c r="A15">
        <v>14</v>
      </c>
      <c r="B15" s="29" t="s">
        <v>4457</v>
      </c>
      <c r="C15" s="29"/>
      <c r="D15" s="29" t="s">
        <v>4458</v>
      </c>
      <c r="E15" s="29"/>
      <c r="F15" s="29" t="s">
        <v>4459</v>
      </c>
      <c r="G15" s="29"/>
      <c r="H15" s="29" t="s">
        <v>4460</v>
      </c>
      <c r="I15" s="29"/>
      <c r="J15" s="29" t="s">
        <v>1602</v>
      </c>
      <c r="K15" s="29"/>
      <c r="L15" s="29" t="s">
        <v>962</v>
      </c>
      <c r="M15" s="29"/>
      <c r="N15" s="29" t="s">
        <v>4463</v>
      </c>
      <c r="O15" s="29"/>
      <c r="P15" s="29" t="s">
        <v>4466</v>
      </c>
      <c r="Q15" t="s">
        <v>2038</v>
      </c>
      <c r="R15" t="s">
        <v>2632</v>
      </c>
      <c r="S15">
        <v>36</v>
      </c>
      <c r="T15" s="43" t="str">
        <f t="shared" si="0"/>
        <v>2020.141B.R.Rudiviridae.zip</v>
      </c>
      <c r="U15" s="43" t="str">
        <f>HYPERLINK("https://ictv.global/taxonomy/taxondetails?taxnode_id=202211718","ictv.global=202211718")</f>
        <v>ictv.global=202211718</v>
      </c>
    </row>
    <row r="16" spans="1:21">
      <c r="A16">
        <v>15</v>
      </c>
      <c r="B16" s="29" t="s">
        <v>4457</v>
      </c>
      <c r="C16" s="29"/>
      <c r="D16" s="29" t="s">
        <v>4458</v>
      </c>
      <c r="E16" s="29"/>
      <c r="F16" s="29" t="s">
        <v>4459</v>
      </c>
      <c r="G16" s="29"/>
      <c r="H16" s="29" t="s">
        <v>4460</v>
      </c>
      <c r="I16" s="29"/>
      <c r="J16" s="29" t="s">
        <v>1602</v>
      </c>
      <c r="K16" s="29"/>
      <c r="L16" s="29" t="s">
        <v>962</v>
      </c>
      <c r="M16" s="29"/>
      <c r="N16" s="29" t="s">
        <v>4463</v>
      </c>
      <c r="O16" s="29"/>
      <c r="P16" s="29" t="s">
        <v>4467</v>
      </c>
      <c r="Q16" t="s">
        <v>2038</v>
      </c>
      <c r="R16" t="s">
        <v>2632</v>
      </c>
      <c r="S16">
        <v>36</v>
      </c>
      <c r="T16" s="43" t="str">
        <f t="shared" si="0"/>
        <v>2020.141B.R.Rudiviridae.zip</v>
      </c>
      <c r="U16" s="43" t="str">
        <f>HYPERLINK("https://ictv.global/taxonomy/taxondetails?taxnode_id=202211719","ictv.global=202211719")</f>
        <v>ictv.global=202211719</v>
      </c>
    </row>
    <row r="17" spans="1:22">
      <c r="A17">
        <v>16</v>
      </c>
      <c r="B17" s="29" t="s">
        <v>4457</v>
      </c>
      <c r="C17" s="29"/>
      <c r="D17" s="29" t="s">
        <v>4458</v>
      </c>
      <c r="E17" s="29"/>
      <c r="F17" s="29" t="s">
        <v>4459</v>
      </c>
      <c r="G17" s="29"/>
      <c r="H17" s="29" t="s">
        <v>4460</v>
      </c>
      <c r="I17" s="29"/>
      <c r="J17" s="29" t="s">
        <v>1602</v>
      </c>
      <c r="K17" s="29"/>
      <c r="L17" s="29" t="s">
        <v>962</v>
      </c>
      <c r="M17" s="29"/>
      <c r="N17" s="29" t="s">
        <v>4468</v>
      </c>
      <c r="O17" s="29"/>
      <c r="P17" s="29" t="s">
        <v>4469</v>
      </c>
      <c r="Q17" t="s">
        <v>2038</v>
      </c>
      <c r="R17" t="s">
        <v>2633</v>
      </c>
      <c r="S17">
        <v>36</v>
      </c>
      <c r="T17" s="43" t="str">
        <f t="shared" si="0"/>
        <v>2020.141B.R.Rudiviridae.zip</v>
      </c>
      <c r="U17" s="43" t="str">
        <f>HYPERLINK("https://ictv.global/taxonomy/taxondetails?taxnode_id=202201546","ictv.global=202201546")</f>
        <v>ictv.global=202201546</v>
      </c>
    </row>
    <row r="18" spans="1:22">
      <c r="A18">
        <v>17</v>
      </c>
      <c r="B18" s="29" t="s">
        <v>4457</v>
      </c>
      <c r="C18" s="29"/>
      <c r="D18" s="29" t="s">
        <v>4458</v>
      </c>
      <c r="E18" s="29"/>
      <c r="F18" s="29" t="s">
        <v>4459</v>
      </c>
      <c r="G18" s="29"/>
      <c r="H18" s="29" t="s">
        <v>4460</v>
      </c>
      <c r="I18" s="29"/>
      <c r="J18" s="29" t="s">
        <v>1602</v>
      </c>
      <c r="K18" s="29"/>
      <c r="L18" s="29" t="s">
        <v>962</v>
      </c>
      <c r="M18" s="29"/>
      <c r="N18" s="29" t="s">
        <v>4468</v>
      </c>
      <c r="O18" s="29"/>
      <c r="P18" s="29" t="s">
        <v>4470</v>
      </c>
      <c r="Q18" t="s">
        <v>2038</v>
      </c>
      <c r="R18" t="s">
        <v>6900</v>
      </c>
      <c r="S18">
        <v>36</v>
      </c>
      <c r="T18" s="43" t="str">
        <f>HYPERLINK("https://ictv.global/ictv/proposals/2020.141B.R.Rudiviridae.zip","2020.141B.R.Rudiviridae.zip;2020.001G.R.Abolish_type_species.pdf")</f>
        <v>2020.141B.R.Rudiviridae.zip;2020.001G.R.Abolish_type_species.pdf</v>
      </c>
      <c r="U18" s="43" t="str">
        <f>HYPERLINK("https://ictv.global/taxonomy/taxondetails?taxnode_id=202201547","ictv.global=202201547")</f>
        <v>ictv.global=202201547</v>
      </c>
      <c r="V18" s="43"/>
    </row>
    <row r="19" spans="1:22">
      <c r="A19">
        <v>18</v>
      </c>
      <c r="B19" s="29" t="s">
        <v>4457</v>
      </c>
      <c r="C19" s="29"/>
      <c r="D19" s="29" t="s">
        <v>4458</v>
      </c>
      <c r="E19" s="29"/>
      <c r="F19" s="29" t="s">
        <v>4459</v>
      </c>
      <c r="G19" s="29"/>
      <c r="H19" s="29" t="s">
        <v>4460</v>
      </c>
      <c r="I19" s="29"/>
      <c r="J19" s="29" t="s">
        <v>1602</v>
      </c>
      <c r="K19" s="29"/>
      <c r="L19" s="29" t="s">
        <v>962</v>
      </c>
      <c r="M19" s="29"/>
      <c r="N19" s="29" t="s">
        <v>4468</v>
      </c>
      <c r="O19" s="29"/>
      <c r="P19" s="29" t="s">
        <v>4471</v>
      </c>
      <c r="Q19" t="s">
        <v>2038</v>
      </c>
      <c r="R19" t="s">
        <v>2632</v>
      </c>
      <c r="S19">
        <v>36</v>
      </c>
      <c r="T19" s="43" t="str">
        <f t="shared" ref="T19:T28" si="1">HYPERLINK("https://ictv.global/ictv/proposals/2020.141B.R.Rudiviridae.zip","2020.141B.R.Rudiviridae.zip")</f>
        <v>2020.141B.R.Rudiviridae.zip</v>
      </c>
      <c r="U19" s="43" t="str">
        <f>HYPERLINK("https://ictv.global/taxonomy/taxondetails?taxnode_id=202211709","ictv.global=202211709")</f>
        <v>ictv.global=202211709</v>
      </c>
    </row>
    <row r="20" spans="1:22">
      <c r="A20">
        <v>19</v>
      </c>
      <c r="B20" s="29" t="s">
        <v>4457</v>
      </c>
      <c r="C20" s="29"/>
      <c r="D20" s="29" t="s">
        <v>4458</v>
      </c>
      <c r="E20" s="29"/>
      <c r="F20" s="29" t="s">
        <v>4459</v>
      </c>
      <c r="G20" s="29"/>
      <c r="H20" s="29" t="s">
        <v>4460</v>
      </c>
      <c r="I20" s="29"/>
      <c r="J20" s="29" t="s">
        <v>1602</v>
      </c>
      <c r="K20" s="29"/>
      <c r="L20" s="29" t="s">
        <v>962</v>
      </c>
      <c r="M20" s="29"/>
      <c r="N20" s="29" t="s">
        <v>4472</v>
      </c>
      <c r="O20" s="29"/>
      <c r="P20" s="29" t="s">
        <v>4473</v>
      </c>
      <c r="Q20" t="s">
        <v>2038</v>
      </c>
      <c r="R20" t="s">
        <v>2633</v>
      </c>
      <c r="S20">
        <v>36</v>
      </c>
      <c r="T20" s="43" t="str">
        <f t="shared" si="1"/>
        <v>2020.141B.R.Rudiviridae.zip</v>
      </c>
      <c r="U20" s="43" t="str">
        <f>HYPERLINK("https://ictv.global/taxonomy/taxondetails?taxnode_id=202201545","ictv.global=202201545")</f>
        <v>ictv.global=202201545</v>
      </c>
    </row>
    <row r="21" spans="1:22">
      <c r="A21">
        <v>20</v>
      </c>
      <c r="B21" s="29" t="s">
        <v>4457</v>
      </c>
      <c r="C21" s="29"/>
      <c r="D21" s="29" t="s">
        <v>4458</v>
      </c>
      <c r="E21" s="29"/>
      <c r="F21" s="29" t="s">
        <v>4459</v>
      </c>
      <c r="G21" s="29"/>
      <c r="H21" s="29" t="s">
        <v>4460</v>
      </c>
      <c r="I21" s="29"/>
      <c r="J21" s="29" t="s">
        <v>1602</v>
      </c>
      <c r="K21" s="29"/>
      <c r="L21" s="29" t="s">
        <v>962</v>
      </c>
      <c r="M21" s="29"/>
      <c r="N21" s="29" t="s">
        <v>4474</v>
      </c>
      <c r="O21" s="29"/>
      <c r="P21" s="29" t="s">
        <v>4475</v>
      </c>
      <c r="Q21" t="s">
        <v>2038</v>
      </c>
      <c r="R21" t="s">
        <v>2632</v>
      </c>
      <c r="S21">
        <v>36</v>
      </c>
      <c r="T21" s="43" t="str">
        <f t="shared" si="1"/>
        <v>2020.141B.R.Rudiviridae.zip</v>
      </c>
      <c r="U21" s="43" t="str">
        <f>HYPERLINK("https://ictv.global/taxonomy/taxondetails?taxnode_id=202211721","ictv.global=202211721")</f>
        <v>ictv.global=202211721</v>
      </c>
    </row>
    <row r="22" spans="1:22">
      <c r="A22">
        <v>21</v>
      </c>
      <c r="B22" s="29" t="s">
        <v>4457</v>
      </c>
      <c r="C22" s="29"/>
      <c r="D22" s="29" t="s">
        <v>4458</v>
      </c>
      <c r="E22" s="29"/>
      <c r="F22" s="29" t="s">
        <v>4459</v>
      </c>
      <c r="G22" s="29"/>
      <c r="H22" s="29" t="s">
        <v>4460</v>
      </c>
      <c r="I22" s="29"/>
      <c r="J22" s="29" t="s">
        <v>1602</v>
      </c>
      <c r="K22" s="29"/>
      <c r="L22" s="29" t="s">
        <v>962</v>
      </c>
      <c r="M22" s="29"/>
      <c r="N22" s="29" t="s">
        <v>4476</v>
      </c>
      <c r="O22" s="29"/>
      <c r="P22" s="29" t="s">
        <v>4477</v>
      </c>
      <c r="Q22" t="s">
        <v>2038</v>
      </c>
      <c r="R22" t="s">
        <v>2632</v>
      </c>
      <c r="S22">
        <v>36</v>
      </c>
      <c r="T22" s="43" t="str">
        <f t="shared" si="1"/>
        <v>2020.141B.R.Rudiviridae.zip</v>
      </c>
      <c r="U22" s="43" t="str">
        <f>HYPERLINK("https://ictv.global/taxonomy/taxondetails?taxnode_id=202211722","ictv.global=202211722")</f>
        <v>ictv.global=202211722</v>
      </c>
    </row>
    <row r="23" spans="1:22">
      <c r="A23">
        <v>22</v>
      </c>
      <c r="B23" s="29" t="s">
        <v>4457</v>
      </c>
      <c r="C23" s="29"/>
      <c r="D23" s="29" t="s">
        <v>4458</v>
      </c>
      <c r="E23" s="29"/>
      <c r="F23" s="29" t="s">
        <v>4459</v>
      </c>
      <c r="G23" s="29"/>
      <c r="H23" s="29" t="s">
        <v>4460</v>
      </c>
      <c r="I23" s="29"/>
      <c r="J23" s="29" t="s">
        <v>1602</v>
      </c>
      <c r="K23" s="29"/>
      <c r="L23" s="29" t="s">
        <v>962</v>
      </c>
      <c r="M23" s="29"/>
      <c r="N23" s="29" t="s">
        <v>4478</v>
      </c>
      <c r="O23" s="29"/>
      <c r="P23" s="29" t="s">
        <v>4479</v>
      </c>
      <c r="Q23" t="s">
        <v>2038</v>
      </c>
      <c r="R23" t="s">
        <v>2632</v>
      </c>
      <c r="S23">
        <v>36</v>
      </c>
      <c r="T23" s="43" t="str">
        <f t="shared" si="1"/>
        <v>2020.141B.R.Rudiviridae.zip</v>
      </c>
      <c r="U23" s="43" t="str">
        <f>HYPERLINK("https://ictv.global/taxonomy/taxondetails?taxnode_id=202211710","ictv.global=202211710")</f>
        <v>ictv.global=202211710</v>
      </c>
    </row>
    <row r="24" spans="1:22">
      <c r="A24">
        <v>23</v>
      </c>
      <c r="B24" s="29" t="s">
        <v>4457</v>
      </c>
      <c r="C24" s="29"/>
      <c r="D24" s="29" t="s">
        <v>4458</v>
      </c>
      <c r="E24" s="29"/>
      <c r="F24" s="29" t="s">
        <v>4459</v>
      </c>
      <c r="G24" s="29"/>
      <c r="H24" s="29" t="s">
        <v>4460</v>
      </c>
      <c r="I24" s="29"/>
      <c r="J24" s="29" t="s">
        <v>1602</v>
      </c>
      <c r="K24" s="29"/>
      <c r="L24" s="29" t="s">
        <v>962</v>
      </c>
      <c r="M24" s="29"/>
      <c r="N24" s="29" t="s">
        <v>4478</v>
      </c>
      <c r="O24" s="29"/>
      <c r="P24" s="29" t="s">
        <v>4480</v>
      </c>
      <c r="Q24" t="s">
        <v>2038</v>
      </c>
      <c r="R24" t="s">
        <v>2632</v>
      </c>
      <c r="S24">
        <v>36</v>
      </c>
      <c r="T24" s="43" t="str">
        <f t="shared" si="1"/>
        <v>2020.141B.R.Rudiviridae.zip</v>
      </c>
      <c r="U24" s="43" t="str">
        <f>HYPERLINK("https://ictv.global/taxonomy/taxondetails?taxnode_id=202211711","ictv.global=202211711")</f>
        <v>ictv.global=202211711</v>
      </c>
    </row>
    <row r="25" spans="1:22">
      <c r="A25">
        <v>24</v>
      </c>
      <c r="B25" s="29" t="s">
        <v>4457</v>
      </c>
      <c r="C25" s="29"/>
      <c r="D25" s="29" t="s">
        <v>4458</v>
      </c>
      <c r="E25" s="29"/>
      <c r="F25" s="29" t="s">
        <v>4459</v>
      </c>
      <c r="G25" s="29"/>
      <c r="H25" s="29" t="s">
        <v>4460</v>
      </c>
      <c r="I25" s="29"/>
      <c r="J25" s="29" t="s">
        <v>1602</v>
      </c>
      <c r="K25" s="29"/>
      <c r="L25" s="29" t="s">
        <v>962</v>
      </c>
      <c r="M25" s="29"/>
      <c r="N25" s="29" t="s">
        <v>4478</v>
      </c>
      <c r="O25" s="29"/>
      <c r="P25" s="29" t="s">
        <v>4481</v>
      </c>
      <c r="Q25" t="s">
        <v>2038</v>
      </c>
      <c r="R25" t="s">
        <v>2632</v>
      </c>
      <c r="S25">
        <v>36</v>
      </c>
      <c r="T25" s="43" t="str">
        <f t="shared" si="1"/>
        <v>2020.141B.R.Rudiviridae.zip</v>
      </c>
      <c r="U25" s="43" t="str">
        <f>HYPERLINK("https://ictv.global/taxonomy/taxondetails?taxnode_id=202211712","ictv.global=202211712")</f>
        <v>ictv.global=202211712</v>
      </c>
    </row>
    <row r="26" spans="1:22">
      <c r="A26">
        <v>25</v>
      </c>
      <c r="B26" s="29" t="s">
        <v>4457</v>
      </c>
      <c r="C26" s="29"/>
      <c r="D26" s="29" t="s">
        <v>4458</v>
      </c>
      <c r="E26" s="29"/>
      <c r="F26" s="29" t="s">
        <v>4459</v>
      </c>
      <c r="G26" s="29"/>
      <c r="H26" s="29" t="s">
        <v>4460</v>
      </c>
      <c r="I26" s="29"/>
      <c r="J26" s="29" t="s">
        <v>1602</v>
      </c>
      <c r="K26" s="29"/>
      <c r="L26" s="29" t="s">
        <v>962</v>
      </c>
      <c r="M26" s="29"/>
      <c r="N26" s="29" t="s">
        <v>4478</v>
      </c>
      <c r="O26" s="29"/>
      <c r="P26" s="29" t="s">
        <v>4482</v>
      </c>
      <c r="Q26" t="s">
        <v>2038</v>
      </c>
      <c r="R26" t="s">
        <v>2632</v>
      </c>
      <c r="S26">
        <v>36</v>
      </c>
      <c r="T26" s="43" t="str">
        <f t="shared" si="1"/>
        <v>2020.141B.R.Rudiviridae.zip</v>
      </c>
      <c r="U26" s="43" t="str">
        <f>HYPERLINK("https://ictv.global/taxonomy/taxondetails?taxnode_id=202211713","ictv.global=202211713")</f>
        <v>ictv.global=202211713</v>
      </c>
    </row>
    <row r="27" spans="1:22">
      <c r="A27">
        <v>26</v>
      </c>
      <c r="B27" s="29" t="s">
        <v>4457</v>
      </c>
      <c r="C27" s="29"/>
      <c r="D27" s="29" t="s">
        <v>4458</v>
      </c>
      <c r="E27" s="29"/>
      <c r="F27" s="29" t="s">
        <v>4459</v>
      </c>
      <c r="G27" s="29"/>
      <c r="H27" s="29" t="s">
        <v>4460</v>
      </c>
      <c r="I27" s="29"/>
      <c r="J27" s="29" t="s">
        <v>1602</v>
      </c>
      <c r="K27" s="29"/>
      <c r="L27" s="29" t="s">
        <v>962</v>
      </c>
      <c r="M27" s="29"/>
      <c r="N27" s="29" t="s">
        <v>4478</v>
      </c>
      <c r="O27" s="29"/>
      <c r="P27" s="29" t="s">
        <v>4483</v>
      </c>
      <c r="Q27" t="s">
        <v>2038</v>
      </c>
      <c r="R27" t="s">
        <v>2632</v>
      </c>
      <c r="S27">
        <v>36</v>
      </c>
      <c r="T27" s="43" t="str">
        <f t="shared" si="1"/>
        <v>2020.141B.R.Rudiviridae.zip</v>
      </c>
      <c r="U27" s="43" t="str">
        <f>HYPERLINK("https://ictv.global/taxonomy/taxondetails?taxnode_id=202211714","ictv.global=202211714")</f>
        <v>ictv.global=202211714</v>
      </c>
    </row>
    <row r="28" spans="1:22">
      <c r="A28">
        <v>27</v>
      </c>
      <c r="B28" s="29" t="s">
        <v>4457</v>
      </c>
      <c r="C28" s="29"/>
      <c r="D28" s="29" t="s">
        <v>4458</v>
      </c>
      <c r="E28" s="29"/>
      <c r="F28" s="29" t="s">
        <v>4459</v>
      </c>
      <c r="G28" s="29"/>
      <c r="H28" s="29" t="s">
        <v>4460</v>
      </c>
      <c r="I28" s="29"/>
      <c r="J28" s="29" t="s">
        <v>1602</v>
      </c>
      <c r="K28" s="29"/>
      <c r="L28" s="29" t="s">
        <v>962</v>
      </c>
      <c r="M28" s="29"/>
      <c r="N28" s="29" t="s">
        <v>4478</v>
      </c>
      <c r="O28" s="29"/>
      <c r="P28" s="29" t="s">
        <v>4484</v>
      </c>
      <c r="Q28" t="s">
        <v>2038</v>
      </c>
      <c r="R28" t="s">
        <v>2632</v>
      </c>
      <c r="S28">
        <v>36</v>
      </c>
      <c r="T28" s="43" t="str">
        <f t="shared" si="1"/>
        <v>2020.141B.R.Rudiviridae.zip</v>
      </c>
      <c r="U28" s="43" t="str">
        <f>HYPERLINK("https://ictv.global/taxonomy/taxondetails?taxnode_id=202211715","ictv.global=202211715")</f>
        <v>ictv.global=202211715</v>
      </c>
    </row>
    <row r="29" spans="1:22">
      <c r="A29">
        <v>28</v>
      </c>
      <c r="B29" s="29" t="s">
        <v>4457</v>
      </c>
      <c r="C29" s="29"/>
      <c r="D29" s="29" t="s">
        <v>4458</v>
      </c>
      <c r="E29" s="29"/>
      <c r="F29" s="29" t="s">
        <v>4459</v>
      </c>
      <c r="G29" s="29"/>
      <c r="H29" s="29" t="s">
        <v>4460</v>
      </c>
      <c r="I29" s="29"/>
      <c r="J29" s="29" t="s">
        <v>1602</v>
      </c>
      <c r="K29" s="29"/>
      <c r="L29" s="29" t="s">
        <v>6910</v>
      </c>
      <c r="M29" s="29"/>
      <c r="N29" s="29" t="s">
        <v>6911</v>
      </c>
      <c r="O29" s="29"/>
      <c r="P29" s="29" t="s">
        <v>6912</v>
      </c>
      <c r="Q29" t="s">
        <v>2038</v>
      </c>
      <c r="R29" t="s">
        <v>2633</v>
      </c>
      <c r="S29">
        <v>37</v>
      </c>
      <c r="T29" s="43" t="str">
        <f>HYPERLINK("https://ictv.global/ictv/proposals/2021.003A.R.Ungulaviridae.zip","2021.003A.R.Ungulaviridae.zip")</f>
        <v>2021.003A.R.Ungulaviridae.zip</v>
      </c>
      <c r="U29" s="43" t="str">
        <f>HYPERLINK("https://ictv.global/taxonomy/taxondetails?taxnode_id=202201541","ictv.global=202201541")</f>
        <v>ictv.global=202201541</v>
      </c>
    </row>
    <row r="30" spans="1:22">
      <c r="A30">
        <v>29</v>
      </c>
      <c r="B30" s="29" t="s">
        <v>4457</v>
      </c>
      <c r="C30" s="29"/>
      <c r="D30" s="29" t="s">
        <v>4458</v>
      </c>
      <c r="E30" s="29"/>
      <c r="F30" s="29" t="s">
        <v>4459</v>
      </c>
      <c r="G30" s="29"/>
      <c r="H30" s="29" t="s">
        <v>4460</v>
      </c>
      <c r="I30" s="29"/>
      <c r="J30" s="29" t="s">
        <v>6913</v>
      </c>
      <c r="K30" s="29"/>
      <c r="L30" s="29" t="s">
        <v>6914</v>
      </c>
      <c r="M30" s="29"/>
      <c r="N30" s="29" t="s">
        <v>6915</v>
      </c>
      <c r="O30" s="29"/>
      <c r="P30" s="29" t="s">
        <v>6916</v>
      </c>
      <c r="Q30" t="s">
        <v>2038</v>
      </c>
      <c r="R30" t="s">
        <v>2632</v>
      </c>
      <c r="S30">
        <v>38</v>
      </c>
      <c r="T30" s="43" t="str">
        <f>HYPERLINK("https://ictv.global/ictv/proposals/2022.001A.Nakonvirales_Maximonvirales_Coyopavirales_3no.zip","2022.001A.Nakonvirales_Maximonvirales_Coyopavirales_3no.zip")</f>
        <v>2022.001A.Nakonvirales_Maximonvirales_Coyopavirales_3no.zip</v>
      </c>
      <c r="U30" s="43" t="str">
        <f>HYPERLINK("https://ictv.global/taxonomy/taxondetails?taxnode_id=202214297","ictv.global=202214297")</f>
        <v>ictv.global=202214297</v>
      </c>
    </row>
    <row r="31" spans="1:22">
      <c r="A31">
        <v>30</v>
      </c>
      <c r="B31" s="29" t="s">
        <v>4457</v>
      </c>
      <c r="C31" s="29"/>
      <c r="D31" s="29" t="s">
        <v>4458</v>
      </c>
      <c r="E31" s="29"/>
      <c r="F31" s="29" t="s">
        <v>4459</v>
      </c>
      <c r="G31" s="29"/>
      <c r="H31" s="29" t="s">
        <v>4460</v>
      </c>
      <c r="I31" s="29"/>
      <c r="J31" s="29" t="s">
        <v>4485</v>
      </c>
      <c r="K31" s="29"/>
      <c r="L31" s="29" t="s">
        <v>2403</v>
      </c>
      <c r="M31" s="29"/>
      <c r="N31" s="29" t="s">
        <v>2404</v>
      </c>
      <c r="O31" s="29"/>
      <c r="P31" s="29" t="s">
        <v>4486</v>
      </c>
      <c r="Q31" t="s">
        <v>2038</v>
      </c>
      <c r="R31" t="s">
        <v>6900</v>
      </c>
      <c r="S31">
        <v>36</v>
      </c>
      <c r="T31" s="43" t="str">
        <f>HYPERLINK("https://ictv.global/ictv/proposals/2020.168B.R.Tristromaviridae.zip","2020.168B.R.Tristromaviridae.zip;2020.001G.R.Abolish_type_species.pdf")</f>
        <v>2020.168B.R.Tristromaviridae.zip;2020.001G.R.Abolish_type_species.pdf</v>
      </c>
      <c r="U31" s="43" t="str">
        <f>HYPERLINK("https://ictv.global/taxonomy/taxondetails?taxnode_id=202205323","ictv.global=202205323")</f>
        <v>ictv.global=202205323</v>
      </c>
    </row>
    <row r="32" spans="1:22">
      <c r="A32">
        <v>31</v>
      </c>
      <c r="B32" s="29" t="s">
        <v>4457</v>
      </c>
      <c r="C32" s="29"/>
      <c r="D32" s="29" t="s">
        <v>4458</v>
      </c>
      <c r="E32" s="29"/>
      <c r="F32" s="29" t="s">
        <v>4459</v>
      </c>
      <c r="G32" s="29"/>
      <c r="H32" s="29" t="s">
        <v>4460</v>
      </c>
      <c r="I32" s="29"/>
      <c r="J32" s="29" t="s">
        <v>4485</v>
      </c>
      <c r="K32" s="29"/>
      <c r="L32" s="29" t="s">
        <v>2403</v>
      </c>
      <c r="M32" s="29"/>
      <c r="N32" s="29" t="s">
        <v>2404</v>
      </c>
      <c r="O32" s="29"/>
      <c r="P32" s="29" t="s">
        <v>4487</v>
      </c>
      <c r="Q32" t="s">
        <v>2038</v>
      </c>
      <c r="R32" t="s">
        <v>2632</v>
      </c>
      <c r="S32">
        <v>36</v>
      </c>
      <c r="T32" s="43" t="str">
        <f>HYPERLINK("https://ictv.global/ictv/proposals/2020.168B.R.Tristromaviridae.zip","2020.168B.R.Tristromaviridae.zip")</f>
        <v>2020.168B.R.Tristromaviridae.zip</v>
      </c>
      <c r="U32" s="43" t="str">
        <f>HYPERLINK("https://ictv.global/taxonomy/taxondetails?taxnode_id=202212054","ictv.global=202212054")</f>
        <v>ictv.global=202212054</v>
      </c>
    </row>
    <row r="33" spans="1:21">
      <c r="A33">
        <v>32</v>
      </c>
      <c r="B33" s="29" t="s">
        <v>4457</v>
      </c>
      <c r="C33" s="29"/>
      <c r="D33" s="29" t="s">
        <v>4458</v>
      </c>
      <c r="E33" s="29"/>
      <c r="F33" s="29" t="s">
        <v>4459</v>
      </c>
      <c r="G33" s="29"/>
      <c r="H33" s="29" t="s">
        <v>4460</v>
      </c>
      <c r="I33" s="29"/>
      <c r="J33" s="29" t="s">
        <v>4485</v>
      </c>
      <c r="K33" s="29"/>
      <c r="L33" s="29" t="s">
        <v>2403</v>
      </c>
      <c r="M33" s="29"/>
      <c r="N33" s="29" t="s">
        <v>4488</v>
      </c>
      <c r="O33" s="29"/>
      <c r="P33" s="29" t="s">
        <v>4489</v>
      </c>
      <c r="Q33" t="s">
        <v>2038</v>
      </c>
      <c r="R33" t="s">
        <v>2633</v>
      </c>
      <c r="S33">
        <v>36</v>
      </c>
      <c r="T33" s="43" t="str">
        <f>HYPERLINK("https://ictv.global/ictv/proposals/2020.168B.R.Tristromaviridae.zip","2020.168B.R.Tristromaviridae.zip")</f>
        <v>2020.168B.R.Tristromaviridae.zip</v>
      </c>
      <c r="U33" s="43" t="str">
        <f>HYPERLINK("https://ictv.global/taxonomy/taxondetails?taxnode_id=202205324","ictv.global=202205324")</f>
        <v>ictv.global=202205324</v>
      </c>
    </row>
    <row r="34" spans="1:21">
      <c r="A34">
        <v>33</v>
      </c>
      <c r="B34" s="29" t="s">
        <v>3682</v>
      </c>
      <c r="C34" s="29"/>
      <c r="D34" s="29" t="s">
        <v>3683</v>
      </c>
      <c r="E34" s="29"/>
      <c r="F34" s="29" t="s">
        <v>3684</v>
      </c>
      <c r="G34" s="29"/>
      <c r="H34" s="29" t="s">
        <v>3685</v>
      </c>
      <c r="I34" s="29"/>
      <c r="J34" s="29" t="s">
        <v>694</v>
      </c>
      <c r="K34" s="29"/>
      <c r="L34" s="29" t="s">
        <v>695</v>
      </c>
      <c r="M34" s="29"/>
      <c r="N34" s="29" t="s">
        <v>6917</v>
      </c>
      <c r="O34" s="29"/>
      <c r="P34" s="29" t="s">
        <v>6918</v>
      </c>
      <c r="Q34" t="s">
        <v>2038</v>
      </c>
      <c r="R34" t="s">
        <v>2635</v>
      </c>
      <c r="S34">
        <v>38</v>
      </c>
      <c r="T34" s="43" t="str">
        <f t="shared" ref="T34:T48" si="2">HYPERLINK("https://ictv.global/ictv/proposals/2022.001D.Herpesvirales_1renfam_4rengen_124rensp_6absp.zip","2022.001D.Herpesvirales_1renfam_4rengen_124rensp_6absp.zip")</f>
        <v>2022.001D.Herpesvirales_1renfam_4rengen_124rensp_6absp.zip</v>
      </c>
      <c r="U34" s="43" t="str">
        <f>HYPERLINK("https://ictv.global/taxonomy/taxondetails?taxnode_id=202201396","ictv.global=202201396")</f>
        <v>ictv.global=202201396</v>
      </c>
    </row>
    <row r="35" spans="1:21">
      <c r="A35">
        <v>34</v>
      </c>
      <c r="B35" s="29" t="s">
        <v>3682</v>
      </c>
      <c r="C35" s="29"/>
      <c r="D35" s="29" t="s">
        <v>3683</v>
      </c>
      <c r="E35" s="29"/>
      <c r="F35" s="29" t="s">
        <v>3684</v>
      </c>
      <c r="G35" s="29"/>
      <c r="H35" s="29" t="s">
        <v>3685</v>
      </c>
      <c r="I35" s="29"/>
      <c r="J35" s="29" t="s">
        <v>694</v>
      </c>
      <c r="K35" s="29"/>
      <c r="L35" s="29" t="s">
        <v>695</v>
      </c>
      <c r="M35" s="29"/>
      <c r="N35" s="29" t="s">
        <v>6917</v>
      </c>
      <c r="O35" s="29"/>
      <c r="P35" s="29" t="s">
        <v>6919</v>
      </c>
      <c r="Q35" t="s">
        <v>2038</v>
      </c>
      <c r="R35" t="s">
        <v>2635</v>
      </c>
      <c r="S35">
        <v>38</v>
      </c>
      <c r="T35" s="43" t="str">
        <f t="shared" si="2"/>
        <v>2022.001D.Herpesvirales_1renfam_4rengen_124rensp_6absp.zip</v>
      </c>
      <c r="U35" s="43" t="str">
        <f>HYPERLINK("https://ictv.global/taxonomy/taxondetails?taxnode_id=202201397","ictv.global=202201397")</f>
        <v>ictv.global=202201397</v>
      </c>
    </row>
    <row r="36" spans="1:21">
      <c r="A36">
        <v>35</v>
      </c>
      <c r="B36" s="29" t="s">
        <v>3682</v>
      </c>
      <c r="C36" s="29"/>
      <c r="D36" s="29" t="s">
        <v>3683</v>
      </c>
      <c r="E36" s="29"/>
      <c r="F36" s="29" t="s">
        <v>3684</v>
      </c>
      <c r="G36" s="29"/>
      <c r="H36" s="29" t="s">
        <v>3685</v>
      </c>
      <c r="I36" s="29"/>
      <c r="J36" s="29" t="s">
        <v>694</v>
      </c>
      <c r="K36" s="29"/>
      <c r="L36" s="29" t="s">
        <v>695</v>
      </c>
      <c r="M36" s="29"/>
      <c r="N36" s="29" t="s">
        <v>6917</v>
      </c>
      <c r="O36" s="29"/>
      <c r="P36" s="29" t="s">
        <v>6920</v>
      </c>
      <c r="Q36" t="s">
        <v>2038</v>
      </c>
      <c r="R36" t="s">
        <v>2635</v>
      </c>
      <c r="S36">
        <v>38</v>
      </c>
      <c r="T36" s="43" t="str">
        <f t="shared" si="2"/>
        <v>2022.001D.Herpesvirales_1renfam_4rengen_124rensp_6absp.zip</v>
      </c>
      <c r="U36" s="43" t="str">
        <f>HYPERLINK("https://ictv.global/taxonomy/taxondetails?taxnode_id=202205570","ictv.global=202205570")</f>
        <v>ictv.global=202205570</v>
      </c>
    </row>
    <row r="37" spans="1:21">
      <c r="A37">
        <v>36</v>
      </c>
      <c r="B37" s="29" t="s">
        <v>3682</v>
      </c>
      <c r="C37" s="29"/>
      <c r="D37" s="29" t="s">
        <v>3683</v>
      </c>
      <c r="E37" s="29"/>
      <c r="F37" s="29" t="s">
        <v>3684</v>
      </c>
      <c r="G37" s="29"/>
      <c r="H37" s="29" t="s">
        <v>3685</v>
      </c>
      <c r="I37" s="29"/>
      <c r="J37" s="29" t="s">
        <v>694</v>
      </c>
      <c r="K37" s="29"/>
      <c r="L37" s="29" t="s">
        <v>695</v>
      </c>
      <c r="M37" s="29"/>
      <c r="N37" s="29" t="s">
        <v>6921</v>
      </c>
      <c r="O37" s="29"/>
      <c r="P37" s="29" t="s">
        <v>6922</v>
      </c>
      <c r="Q37" t="s">
        <v>2038</v>
      </c>
      <c r="R37" t="s">
        <v>2635</v>
      </c>
      <c r="S37">
        <v>38</v>
      </c>
      <c r="T37" s="43" t="str">
        <f t="shared" si="2"/>
        <v>2022.001D.Herpesvirales_1renfam_4rengen_124rensp_6absp.zip</v>
      </c>
      <c r="U37" s="43" t="str">
        <f>HYPERLINK("https://ictv.global/taxonomy/taxondetails?taxnode_id=202201399","ictv.global=202201399")</f>
        <v>ictv.global=202201399</v>
      </c>
    </row>
    <row r="38" spans="1:21">
      <c r="A38">
        <v>37</v>
      </c>
      <c r="B38" s="29" t="s">
        <v>3682</v>
      </c>
      <c r="C38" s="29"/>
      <c r="D38" s="29" t="s">
        <v>3683</v>
      </c>
      <c r="E38" s="29"/>
      <c r="F38" s="29" t="s">
        <v>3684</v>
      </c>
      <c r="G38" s="29"/>
      <c r="H38" s="29" t="s">
        <v>3685</v>
      </c>
      <c r="I38" s="29"/>
      <c r="J38" s="29" t="s">
        <v>694</v>
      </c>
      <c r="K38" s="29"/>
      <c r="L38" s="29" t="s">
        <v>695</v>
      </c>
      <c r="M38" s="29"/>
      <c r="N38" s="29" t="s">
        <v>6921</v>
      </c>
      <c r="O38" s="29"/>
      <c r="P38" s="29" t="s">
        <v>6923</v>
      </c>
      <c r="Q38" t="s">
        <v>2038</v>
      </c>
      <c r="R38" t="s">
        <v>2635</v>
      </c>
      <c r="S38">
        <v>38</v>
      </c>
      <c r="T38" s="43" t="str">
        <f t="shared" si="2"/>
        <v>2022.001D.Herpesvirales_1renfam_4rengen_124rensp_6absp.zip</v>
      </c>
      <c r="U38" s="43" t="str">
        <f>HYPERLINK("https://ictv.global/taxonomy/taxondetails?taxnode_id=202201400","ictv.global=202201400")</f>
        <v>ictv.global=202201400</v>
      </c>
    </row>
    <row r="39" spans="1:21">
      <c r="A39">
        <v>38</v>
      </c>
      <c r="B39" s="29" t="s">
        <v>3682</v>
      </c>
      <c r="C39" s="29"/>
      <c r="D39" s="29" t="s">
        <v>3683</v>
      </c>
      <c r="E39" s="29"/>
      <c r="F39" s="29" t="s">
        <v>3684</v>
      </c>
      <c r="G39" s="29"/>
      <c r="H39" s="29" t="s">
        <v>3685</v>
      </c>
      <c r="I39" s="29"/>
      <c r="J39" s="29" t="s">
        <v>694</v>
      </c>
      <c r="K39" s="29"/>
      <c r="L39" s="29" t="s">
        <v>695</v>
      </c>
      <c r="M39" s="29"/>
      <c r="N39" s="29" t="s">
        <v>6921</v>
      </c>
      <c r="O39" s="29"/>
      <c r="P39" s="29" t="s">
        <v>6924</v>
      </c>
      <c r="Q39" t="s">
        <v>2038</v>
      </c>
      <c r="R39" t="s">
        <v>2635</v>
      </c>
      <c r="S39">
        <v>38</v>
      </c>
      <c r="T39" s="43" t="str">
        <f t="shared" si="2"/>
        <v>2022.001D.Herpesvirales_1renfam_4rengen_124rensp_6absp.zip</v>
      </c>
      <c r="U39" s="43" t="str">
        <f>HYPERLINK("https://ictv.global/taxonomy/taxondetails?taxnode_id=202201401","ictv.global=202201401")</f>
        <v>ictv.global=202201401</v>
      </c>
    </row>
    <row r="40" spans="1:21">
      <c r="A40">
        <v>39</v>
      </c>
      <c r="B40" s="29" t="s">
        <v>3682</v>
      </c>
      <c r="C40" s="29"/>
      <c r="D40" s="29" t="s">
        <v>3683</v>
      </c>
      <c r="E40" s="29"/>
      <c r="F40" s="29" t="s">
        <v>3684</v>
      </c>
      <c r="G40" s="29"/>
      <c r="H40" s="29" t="s">
        <v>3685</v>
      </c>
      <c r="I40" s="29"/>
      <c r="J40" s="29" t="s">
        <v>694</v>
      </c>
      <c r="K40" s="29"/>
      <c r="L40" s="29" t="s">
        <v>695</v>
      </c>
      <c r="M40" s="29"/>
      <c r="N40" s="29" t="s">
        <v>6921</v>
      </c>
      <c r="O40" s="29"/>
      <c r="P40" s="29" t="s">
        <v>6925</v>
      </c>
      <c r="Q40" t="s">
        <v>2038</v>
      </c>
      <c r="R40" t="s">
        <v>2635</v>
      </c>
      <c r="S40">
        <v>38</v>
      </c>
      <c r="T40" s="43" t="str">
        <f t="shared" si="2"/>
        <v>2022.001D.Herpesvirales_1renfam_4rengen_124rensp_6absp.zip</v>
      </c>
      <c r="U40" s="43" t="str">
        <f>HYPERLINK("https://ictv.global/taxonomy/taxondetails?taxnode_id=202201402","ictv.global=202201402")</f>
        <v>ictv.global=202201402</v>
      </c>
    </row>
    <row r="41" spans="1:21">
      <c r="A41">
        <v>40</v>
      </c>
      <c r="B41" s="29" t="s">
        <v>3682</v>
      </c>
      <c r="C41" s="29"/>
      <c r="D41" s="29" t="s">
        <v>3683</v>
      </c>
      <c r="E41" s="29"/>
      <c r="F41" s="29" t="s">
        <v>3684</v>
      </c>
      <c r="G41" s="29"/>
      <c r="H41" s="29" t="s">
        <v>3685</v>
      </c>
      <c r="I41" s="29"/>
      <c r="J41" s="29" t="s">
        <v>694</v>
      </c>
      <c r="K41" s="29"/>
      <c r="L41" s="29" t="s">
        <v>695</v>
      </c>
      <c r="M41" s="29"/>
      <c r="N41" s="29" t="s">
        <v>6926</v>
      </c>
      <c r="O41" s="29"/>
      <c r="P41" s="29" t="s">
        <v>6927</v>
      </c>
      <c r="Q41" t="s">
        <v>2038</v>
      </c>
      <c r="R41" t="s">
        <v>2635</v>
      </c>
      <c r="S41">
        <v>38</v>
      </c>
      <c r="T41" s="43" t="str">
        <f t="shared" si="2"/>
        <v>2022.001D.Herpesvirales_1renfam_4rengen_124rensp_6absp.zip</v>
      </c>
      <c r="U41" s="43" t="str">
        <f>HYPERLINK("https://ictv.global/taxonomy/taxondetails?taxnode_id=202201404","ictv.global=202201404")</f>
        <v>ictv.global=202201404</v>
      </c>
    </row>
    <row r="42" spans="1:21">
      <c r="A42">
        <v>41</v>
      </c>
      <c r="B42" s="29" t="s">
        <v>3682</v>
      </c>
      <c r="C42" s="29"/>
      <c r="D42" s="29" t="s">
        <v>3683</v>
      </c>
      <c r="E42" s="29"/>
      <c r="F42" s="29" t="s">
        <v>3684</v>
      </c>
      <c r="G42" s="29"/>
      <c r="H42" s="29" t="s">
        <v>3685</v>
      </c>
      <c r="I42" s="29"/>
      <c r="J42" s="29" t="s">
        <v>694</v>
      </c>
      <c r="K42" s="29"/>
      <c r="L42" s="29" t="s">
        <v>695</v>
      </c>
      <c r="M42" s="29"/>
      <c r="N42" s="29" t="s">
        <v>6926</v>
      </c>
      <c r="O42" s="29"/>
      <c r="P42" s="29" t="s">
        <v>6928</v>
      </c>
      <c r="Q42" t="s">
        <v>2038</v>
      </c>
      <c r="R42" t="s">
        <v>2635</v>
      </c>
      <c r="S42">
        <v>38</v>
      </c>
      <c r="T42" s="43" t="str">
        <f t="shared" si="2"/>
        <v>2022.001D.Herpesvirales_1renfam_4rengen_124rensp_6absp.zip</v>
      </c>
      <c r="U42" s="43" t="str">
        <f>HYPERLINK("https://ictv.global/taxonomy/taxondetails?taxnode_id=202201405","ictv.global=202201405")</f>
        <v>ictv.global=202201405</v>
      </c>
    </row>
    <row r="43" spans="1:21">
      <c r="A43">
        <v>42</v>
      </c>
      <c r="B43" s="29" t="s">
        <v>3682</v>
      </c>
      <c r="C43" s="29"/>
      <c r="D43" s="29" t="s">
        <v>3683</v>
      </c>
      <c r="E43" s="29"/>
      <c r="F43" s="29" t="s">
        <v>3684</v>
      </c>
      <c r="G43" s="29"/>
      <c r="H43" s="29" t="s">
        <v>3685</v>
      </c>
      <c r="I43" s="29"/>
      <c r="J43" s="29" t="s">
        <v>694</v>
      </c>
      <c r="K43" s="29"/>
      <c r="L43" s="29" t="s">
        <v>695</v>
      </c>
      <c r="M43" s="29"/>
      <c r="N43" s="29" t="s">
        <v>6926</v>
      </c>
      <c r="O43" s="29"/>
      <c r="P43" s="29" t="s">
        <v>6929</v>
      </c>
      <c r="Q43" t="s">
        <v>2038</v>
      </c>
      <c r="R43" t="s">
        <v>2635</v>
      </c>
      <c r="S43">
        <v>38</v>
      </c>
      <c r="T43" s="43" t="str">
        <f t="shared" si="2"/>
        <v>2022.001D.Herpesvirales_1renfam_4rengen_124rensp_6absp.zip</v>
      </c>
      <c r="U43" s="43" t="str">
        <f>HYPERLINK("https://ictv.global/taxonomy/taxondetails?taxnode_id=202201406","ictv.global=202201406")</f>
        <v>ictv.global=202201406</v>
      </c>
    </row>
    <row r="44" spans="1:21">
      <c r="A44">
        <v>43</v>
      </c>
      <c r="B44" s="29" t="s">
        <v>3682</v>
      </c>
      <c r="C44" s="29"/>
      <c r="D44" s="29" t="s">
        <v>3683</v>
      </c>
      <c r="E44" s="29"/>
      <c r="F44" s="29" t="s">
        <v>3684</v>
      </c>
      <c r="G44" s="29"/>
      <c r="H44" s="29" t="s">
        <v>3685</v>
      </c>
      <c r="I44" s="29"/>
      <c r="J44" s="29" t="s">
        <v>694</v>
      </c>
      <c r="K44" s="29"/>
      <c r="L44" s="29" t="s">
        <v>695</v>
      </c>
      <c r="M44" s="29"/>
      <c r="N44" s="29" t="s">
        <v>6930</v>
      </c>
      <c r="O44" s="29"/>
      <c r="P44" s="29" t="s">
        <v>6931</v>
      </c>
      <c r="Q44" t="s">
        <v>2038</v>
      </c>
      <c r="R44" t="s">
        <v>2635</v>
      </c>
      <c r="S44">
        <v>38</v>
      </c>
      <c r="T44" s="43" t="str">
        <f t="shared" si="2"/>
        <v>2022.001D.Herpesvirales_1renfam_4rengen_124rensp_6absp.zip</v>
      </c>
      <c r="U44" s="43" t="str">
        <f>HYPERLINK("https://ictv.global/taxonomy/taxondetails?taxnode_id=202201408","ictv.global=202201408")</f>
        <v>ictv.global=202201408</v>
      </c>
    </row>
    <row r="45" spans="1:21">
      <c r="A45">
        <v>44</v>
      </c>
      <c r="B45" s="29" t="s">
        <v>3682</v>
      </c>
      <c r="C45" s="29"/>
      <c r="D45" s="29" t="s">
        <v>3683</v>
      </c>
      <c r="E45" s="29"/>
      <c r="F45" s="29" t="s">
        <v>3684</v>
      </c>
      <c r="G45" s="29"/>
      <c r="H45" s="29" t="s">
        <v>3685</v>
      </c>
      <c r="I45" s="29"/>
      <c r="J45" s="29" t="s">
        <v>694</v>
      </c>
      <c r="K45" s="29"/>
      <c r="L45" s="29" t="s">
        <v>695</v>
      </c>
      <c r="M45" s="29"/>
      <c r="N45" s="29" t="s">
        <v>6930</v>
      </c>
      <c r="O45" s="29"/>
      <c r="P45" s="29" t="s">
        <v>6932</v>
      </c>
      <c r="Q45" t="s">
        <v>2038</v>
      </c>
      <c r="R45" t="s">
        <v>2635</v>
      </c>
      <c r="S45">
        <v>38</v>
      </c>
      <c r="T45" s="43" t="str">
        <f t="shared" si="2"/>
        <v>2022.001D.Herpesvirales_1renfam_4rengen_124rensp_6absp.zip</v>
      </c>
      <c r="U45" s="43" t="str">
        <f>HYPERLINK("https://ictv.global/taxonomy/taxondetails?taxnode_id=202201409","ictv.global=202201409")</f>
        <v>ictv.global=202201409</v>
      </c>
    </row>
    <row r="46" spans="1:21">
      <c r="A46">
        <v>45</v>
      </c>
      <c r="B46" s="29" t="s">
        <v>3682</v>
      </c>
      <c r="C46" s="29"/>
      <c r="D46" s="29" t="s">
        <v>3683</v>
      </c>
      <c r="E46" s="29"/>
      <c r="F46" s="29" t="s">
        <v>3684</v>
      </c>
      <c r="G46" s="29"/>
      <c r="H46" s="29" t="s">
        <v>3685</v>
      </c>
      <c r="I46" s="29"/>
      <c r="J46" s="29" t="s">
        <v>694</v>
      </c>
      <c r="K46" s="29"/>
      <c r="L46" s="29" t="s">
        <v>695</v>
      </c>
      <c r="M46" s="29"/>
      <c r="N46" s="29" t="s">
        <v>6930</v>
      </c>
      <c r="O46" s="29"/>
      <c r="P46" s="29" t="s">
        <v>6933</v>
      </c>
      <c r="Q46" t="s">
        <v>2038</v>
      </c>
      <c r="R46" t="s">
        <v>2635</v>
      </c>
      <c r="S46">
        <v>38</v>
      </c>
      <c r="T46" s="43" t="str">
        <f t="shared" si="2"/>
        <v>2022.001D.Herpesvirales_1renfam_4rengen_124rensp_6absp.zip</v>
      </c>
      <c r="U46" s="43" t="str">
        <f>HYPERLINK("https://ictv.global/taxonomy/taxondetails?taxnode_id=202201410","ictv.global=202201410")</f>
        <v>ictv.global=202201410</v>
      </c>
    </row>
    <row r="47" spans="1:21">
      <c r="A47">
        <v>46</v>
      </c>
      <c r="B47" s="29" t="s">
        <v>3682</v>
      </c>
      <c r="C47" s="29"/>
      <c r="D47" s="29" t="s">
        <v>3683</v>
      </c>
      <c r="E47" s="29"/>
      <c r="F47" s="29" t="s">
        <v>3684</v>
      </c>
      <c r="G47" s="29"/>
      <c r="H47" s="29" t="s">
        <v>3685</v>
      </c>
      <c r="I47" s="29"/>
      <c r="J47" s="29" t="s">
        <v>694</v>
      </c>
      <c r="K47" s="29"/>
      <c r="L47" s="29" t="s">
        <v>808</v>
      </c>
      <c r="M47" s="29"/>
      <c r="N47" s="29" t="s">
        <v>1601</v>
      </c>
      <c r="O47" s="29"/>
      <c r="P47" s="29" t="s">
        <v>6934</v>
      </c>
      <c r="Q47" t="s">
        <v>2038</v>
      </c>
      <c r="R47" t="s">
        <v>2635</v>
      </c>
      <c r="S47">
        <v>38</v>
      </c>
      <c r="T47" s="43" t="str">
        <f t="shared" si="2"/>
        <v>2022.001D.Herpesvirales_1renfam_4rengen_124rensp_6absp.zip</v>
      </c>
      <c r="U47" s="43" t="str">
        <f>HYPERLINK("https://ictv.global/taxonomy/taxondetails?taxnode_id=202201525","ictv.global=202201525")</f>
        <v>ictv.global=202201525</v>
      </c>
    </row>
    <row r="48" spans="1:21">
      <c r="A48">
        <v>47</v>
      </c>
      <c r="B48" s="29" t="s">
        <v>3682</v>
      </c>
      <c r="C48" s="29"/>
      <c r="D48" s="29" t="s">
        <v>3683</v>
      </c>
      <c r="E48" s="29"/>
      <c r="F48" s="29" t="s">
        <v>3684</v>
      </c>
      <c r="G48" s="29"/>
      <c r="H48" s="29" t="s">
        <v>3685</v>
      </c>
      <c r="I48" s="29"/>
      <c r="J48" s="29" t="s">
        <v>694</v>
      </c>
      <c r="K48" s="29"/>
      <c r="L48" s="29" t="s">
        <v>808</v>
      </c>
      <c r="M48" s="29"/>
      <c r="N48" s="29" t="s">
        <v>756</v>
      </c>
      <c r="O48" s="29"/>
      <c r="P48" s="29" t="s">
        <v>6935</v>
      </c>
      <c r="Q48" t="s">
        <v>2038</v>
      </c>
      <c r="R48" t="s">
        <v>2635</v>
      </c>
      <c r="S48">
        <v>38</v>
      </c>
      <c r="T48" s="43" t="str">
        <f t="shared" si="2"/>
        <v>2022.001D.Herpesvirales_1renfam_4rengen_124rensp_6absp.zip</v>
      </c>
      <c r="U48" s="43" t="str">
        <f>HYPERLINK("https://ictv.global/taxonomy/taxondetails?taxnode_id=202201527","ictv.global=202201527")</f>
        <v>ictv.global=202201527</v>
      </c>
    </row>
    <row r="49" spans="1:21">
      <c r="A49">
        <v>48</v>
      </c>
      <c r="B49" s="29" t="s">
        <v>3682</v>
      </c>
      <c r="C49" s="29"/>
      <c r="D49" s="29" t="s">
        <v>3683</v>
      </c>
      <c r="E49" s="29"/>
      <c r="F49" s="29" t="s">
        <v>3684</v>
      </c>
      <c r="G49" s="29"/>
      <c r="H49" s="29" t="s">
        <v>3685</v>
      </c>
      <c r="I49" s="29"/>
      <c r="J49" s="29" t="s">
        <v>694</v>
      </c>
      <c r="K49" s="29"/>
      <c r="L49" s="29" t="s">
        <v>6936</v>
      </c>
      <c r="M49" s="29" t="s">
        <v>696</v>
      </c>
      <c r="N49" s="29" t="s">
        <v>697</v>
      </c>
      <c r="O49" s="29"/>
      <c r="P49" s="29" t="s">
        <v>6937</v>
      </c>
      <c r="Q49" t="s">
        <v>2038</v>
      </c>
      <c r="R49" t="s">
        <v>2632</v>
      </c>
      <c r="S49">
        <v>38</v>
      </c>
      <c r="T49" s="43" t="str">
        <f>HYPERLINK("https://ictv.global/ictv/proposals/2022.002D.Herpesvirales_9nsp.zip","2022.002D.Herpesvirales_9nsp.zip")</f>
        <v>2022.002D.Herpesvirales_9nsp.zip</v>
      </c>
      <c r="U49" s="43" t="str">
        <f>HYPERLINK("https://ictv.global/taxonomy/taxondetails?taxnode_id=202214013","ictv.global=202214013")</f>
        <v>ictv.global=202214013</v>
      </c>
    </row>
    <row r="50" spans="1:21">
      <c r="A50">
        <v>49</v>
      </c>
      <c r="B50" s="29" t="s">
        <v>3682</v>
      </c>
      <c r="C50" s="29"/>
      <c r="D50" s="29" t="s">
        <v>3683</v>
      </c>
      <c r="E50" s="29"/>
      <c r="F50" s="29" t="s">
        <v>3684</v>
      </c>
      <c r="G50" s="29"/>
      <c r="H50" s="29" t="s">
        <v>3685</v>
      </c>
      <c r="I50" s="29"/>
      <c r="J50" s="29" t="s">
        <v>694</v>
      </c>
      <c r="K50" s="29"/>
      <c r="L50" s="29" t="s">
        <v>6936</v>
      </c>
      <c r="M50" s="29" t="s">
        <v>696</v>
      </c>
      <c r="N50" s="29" t="s">
        <v>697</v>
      </c>
      <c r="O50" s="29"/>
      <c r="P50" s="29" t="s">
        <v>6938</v>
      </c>
      <c r="Q50" t="s">
        <v>2038</v>
      </c>
      <c r="R50" t="s">
        <v>2635</v>
      </c>
      <c r="S50">
        <v>38</v>
      </c>
      <c r="T50" s="43" t="str">
        <f>HYPERLINK("https://ictv.global/ictv/proposals/2022.001D.Herpesvirales_1renfam_4rengen_124rensp_6absp.zip","2022.001D.Herpesvirales_1renfam_4rengen_124rensp_6absp.zip")</f>
        <v>2022.001D.Herpesvirales_1renfam_4rengen_124rensp_6absp.zip</v>
      </c>
      <c r="U50" s="43" t="str">
        <f>HYPERLINK("https://ictv.global/taxonomy/taxondetails?taxnode_id=202201414","ictv.global=202201414")</f>
        <v>ictv.global=202201414</v>
      </c>
    </row>
    <row r="51" spans="1:21">
      <c r="A51">
        <v>50</v>
      </c>
      <c r="B51" s="29" t="s">
        <v>3682</v>
      </c>
      <c r="C51" s="29"/>
      <c r="D51" s="29" t="s">
        <v>3683</v>
      </c>
      <c r="E51" s="29"/>
      <c r="F51" s="29" t="s">
        <v>3684</v>
      </c>
      <c r="G51" s="29"/>
      <c r="H51" s="29" t="s">
        <v>3685</v>
      </c>
      <c r="I51" s="29"/>
      <c r="J51" s="29" t="s">
        <v>694</v>
      </c>
      <c r="K51" s="29"/>
      <c r="L51" s="29" t="s">
        <v>6936</v>
      </c>
      <c r="M51" s="29" t="s">
        <v>696</v>
      </c>
      <c r="N51" s="29" t="s">
        <v>697</v>
      </c>
      <c r="O51" s="29"/>
      <c r="P51" s="29" t="s">
        <v>6939</v>
      </c>
      <c r="Q51" t="s">
        <v>2038</v>
      </c>
      <c r="R51" t="s">
        <v>2635</v>
      </c>
      <c r="S51">
        <v>38</v>
      </c>
      <c r="T51" s="43" t="str">
        <f>HYPERLINK("https://ictv.global/ictv/proposals/2022.001D.Herpesvirales_1renfam_4rengen_124rensp_6absp.zip","2022.001D.Herpesvirales_1renfam_4rengen_124rensp_6absp.zip")</f>
        <v>2022.001D.Herpesvirales_1renfam_4rengen_124rensp_6absp.zip</v>
      </c>
      <c r="U51" s="43" t="str">
        <f>HYPERLINK("https://ictv.global/taxonomy/taxondetails?taxnode_id=202201415","ictv.global=202201415")</f>
        <v>ictv.global=202201415</v>
      </c>
    </row>
    <row r="52" spans="1:21">
      <c r="A52">
        <v>51</v>
      </c>
      <c r="B52" s="29" t="s">
        <v>3682</v>
      </c>
      <c r="C52" s="29"/>
      <c r="D52" s="29" t="s">
        <v>3683</v>
      </c>
      <c r="E52" s="29"/>
      <c r="F52" s="29" t="s">
        <v>3684</v>
      </c>
      <c r="G52" s="29"/>
      <c r="H52" s="29" t="s">
        <v>3685</v>
      </c>
      <c r="I52" s="29"/>
      <c r="J52" s="29" t="s">
        <v>694</v>
      </c>
      <c r="K52" s="29"/>
      <c r="L52" s="29" t="s">
        <v>6936</v>
      </c>
      <c r="M52" s="29" t="s">
        <v>696</v>
      </c>
      <c r="N52" s="29" t="s">
        <v>697</v>
      </c>
      <c r="O52" s="29"/>
      <c r="P52" s="29" t="s">
        <v>6940</v>
      </c>
      <c r="Q52" t="s">
        <v>2038</v>
      </c>
      <c r="R52" t="s">
        <v>2632</v>
      </c>
      <c r="S52">
        <v>38</v>
      </c>
      <c r="T52" s="43" t="str">
        <f>HYPERLINK("https://ictv.global/ictv/proposals/2022.002D.Herpesvirales_9nsp.zip","2022.002D.Herpesvirales_9nsp.zip")</f>
        <v>2022.002D.Herpesvirales_9nsp.zip</v>
      </c>
      <c r="U52" s="43" t="str">
        <f>HYPERLINK("https://ictv.global/taxonomy/taxondetails?taxnode_id=202214014","ictv.global=202214014")</f>
        <v>ictv.global=202214014</v>
      </c>
    </row>
    <row r="53" spans="1:21">
      <c r="A53">
        <v>52</v>
      </c>
      <c r="B53" s="29" t="s">
        <v>3682</v>
      </c>
      <c r="C53" s="29"/>
      <c r="D53" s="29" t="s">
        <v>3683</v>
      </c>
      <c r="E53" s="29"/>
      <c r="F53" s="29" t="s">
        <v>3684</v>
      </c>
      <c r="G53" s="29"/>
      <c r="H53" s="29" t="s">
        <v>3685</v>
      </c>
      <c r="I53" s="29"/>
      <c r="J53" s="29" t="s">
        <v>694</v>
      </c>
      <c r="K53" s="29"/>
      <c r="L53" s="29" t="s">
        <v>6936</v>
      </c>
      <c r="M53" s="29" t="s">
        <v>696</v>
      </c>
      <c r="N53" s="29" t="s">
        <v>1028</v>
      </c>
      <c r="O53" s="29"/>
      <c r="P53" s="29" t="s">
        <v>6941</v>
      </c>
      <c r="Q53" t="s">
        <v>2038</v>
      </c>
      <c r="R53" t="s">
        <v>2635</v>
      </c>
      <c r="S53">
        <v>38</v>
      </c>
      <c r="T53" s="43" t="str">
        <f t="shared" ref="T53:T71" si="3">HYPERLINK("https://ictv.global/ictv/proposals/2022.001D.Herpesvirales_1renfam_4rengen_124rensp_6absp.zip","2022.001D.Herpesvirales_1renfam_4rengen_124rensp_6absp.zip")</f>
        <v>2022.001D.Herpesvirales_1renfam_4rengen_124rensp_6absp.zip</v>
      </c>
      <c r="U53" s="43" t="str">
        <f>HYPERLINK("https://ictv.global/taxonomy/taxondetails?taxnode_id=202201417","ictv.global=202201417")</f>
        <v>ictv.global=202201417</v>
      </c>
    </row>
    <row r="54" spans="1:21">
      <c r="A54">
        <v>53</v>
      </c>
      <c r="B54" s="29" t="s">
        <v>3682</v>
      </c>
      <c r="C54" s="29"/>
      <c r="D54" s="29" t="s">
        <v>3683</v>
      </c>
      <c r="E54" s="29"/>
      <c r="F54" s="29" t="s">
        <v>3684</v>
      </c>
      <c r="G54" s="29"/>
      <c r="H54" s="29" t="s">
        <v>3685</v>
      </c>
      <c r="I54" s="29"/>
      <c r="J54" s="29" t="s">
        <v>694</v>
      </c>
      <c r="K54" s="29"/>
      <c r="L54" s="29" t="s">
        <v>6936</v>
      </c>
      <c r="M54" s="29" t="s">
        <v>696</v>
      </c>
      <c r="N54" s="29" t="s">
        <v>1028</v>
      </c>
      <c r="O54" s="29"/>
      <c r="P54" s="29" t="s">
        <v>6942</v>
      </c>
      <c r="Q54" t="s">
        <v>2038</v>
      </c>
      <c r="R54" t="s">
        <v>2635</v>
      </c>
      <c r="S54">
        <v>38</v>
      </c>
      <c r="T54" s="43" t="str">
        <f t="shared" si="3"/>
        <v>2022.001D.Herpesvirales_1renfam_4rengen_124rensp_6absp.zip</v>
      </c>
      <c r="U54" s="43" t="str">
        <f>HYPERLINK("https://ictv.global/taxonomy/taxondetails?taxnode_id=202201418","ictv.global=202201418")</f>
        <v>ictv.global=202201418</v>
      </c>
    </row>
    <row r="55" spans="1:21">
      <c r="A55">
        <v>54</v>
      </c>
      <c r="B55" s="29" t="s">
        <v>3682</v>
      </c>
      <c r="C55" s="29"/>
      <c r="D55" s="29" t="s">
        <v>3683</v>
      </c>
      <c r="E55" s="29"/>
      <c r="F55" s="29" t="s">
        <v>3684</v>
      </c>
      <c r="G55" s="29"/>
      <c r="H55" s="29" t="s">
        <v>3685</v>
      </c>
      <c r="I55" s="29"/>
      <c r="J55" s="29" t="s">
        <v>694</v>
      </c>
      <c r="K55" s="29"/>
      <c r="L55" s="29" t="s">
        <v>6936</v>
      </c>
      <c r="M55" s="29" t="s">
        <v>696</v>
      </c>
      <c r="N55" s="29" t="s">
        <v>1028</v>
      </c>
      <c r="O55" s="29"/>
      <c r="P55" s="29" t="s">
        <v>6943</v>
      </c>
      <c r="Q55" t="s">
        <v>2038</v>
      </c>
      <c r="R55" t="s">
        <v>2635</v>
      </c>
      <c r="S55">
        <v>38</v>
      </c>
      <c r="T55" s="43" t="str">
        <f t="shared" si="3"/>
        <v>2022.001D.Herpesvirales_1renfam_4rengen_124rensp_6absp.zip</v>
      </c>
      <c r="U55" s="43" t="str">
        <f>HYPERLINK("https://ictv.global/taxonomy/taxondetails?taxnode_id=202201419","ictv.global=202201419")</f>
        <v>ictv.global=202201419</v>
      </c>
    </row>
    <row r="56" spans="1:21">
      <c r="A56">
        <v>55</v>
      </c>
      <c r="B56" s="29" t="s">
        <v>3682</v>
      </c>
      <c r="C56" s="29"/>
      <c r="D56" s="29" t="s">
        <v>3683</v>
      </c>
      <c r="E56" s="29"/>
      <c r="F56" s="29" t="s">
        <v>3684</v>
      </c>
      <c r="G56" s="29"/>
      <c r="H56" s="29" t="s">
        <v>3685</v>
      </c>
      <c r="I56" s="29"/>
      <c r="J56" s="29" t="s">
        <v>694</v>
      </c>
      <c r="K56" s="29"/>
      <c r="L56" s="29" t="s">
        <v>6936</v>
      </c>
      <c r="M56" s="29" t="s">
        <v>696</v>
      </c>
      <c r="N56" s="29" t="s">
        <v>1028</v>
      </c>
      <c r="O56" s="29"/>
      <c r="P56" s="29" t="s">
        <v>6944</v>
      </c>
      <c r="Q56" t="s">
        <v>2038</v>
      </c>
      <c r="R56" t="s">
        <v>2635</v>
      </c>
      <c r="S56">
        <v>38</v>
      </c>
      <c r="T56" s="43" t="str">
        <f t="shared" si="3"/>
        <v>2022.001D.Herpesvirales_1renfam_4rengen_124rensp_6absp.zip</v>
      </c>
      <c r="U56" s="43" t="str">
        <f>HYPERLINK("https://ictv.global/taxonomy/taxondetails?taxnode_id=202201420","ictv.global=202201420")</f>
        <v>ictv.global=202201420</v>
      </c>
    </row>
    <row r="57" spans="1:21">
      <c r="A57">
        <v>56</v>
      </c>
      <c r="B57" s="29" t="s">
        <v>3682</v>
      </c>
      <c r="C57" s="29"/>
      <c r="D57" s="29" t="s">
        <v>3683</v>
      </c>
      <c r="E57" s="29"/>
      <c r="F57" s="29" t="s">
        <v>3684</v>
      </c>
      <c r="G57" s="29"/>
      <c r="H57" s="29" t="s">
        <v>3685</v>
      </c>
      <c r="I57" s="29"/>
      <c r="J57" s="29" t="s">
        <v>694</v>
      </c>
      <c r="K57" s="29"/>
      <c r="L57" s="29" t="s">
        <v>6936</v>
      </c>
      <c r="M57" s="29" t="s">
        <v>696</v>
      </c>
      <c r="N57" s="29" t="s">
        <v>1028</v>
      </c>
      <c r="O57" s="29"/>
      <c r="P57" s="29" t="s">
        <v>6945</v>
      </c>
      <c r="Q57" t="s">
        <v>2038</v>
      </c>
      <c r="R57" t="s">
        <v>2635</v>
      </c>
      <c r="S57">
        <v>38</v>
      </c>
      <c r="T57" s="43" t="str">
        <f t="shared" si="3"/>
        <v>2022.001D.Herpesvirales_1renfam_4rengen_124rensp_6absp.zip</v>
      </c>
      <c r="U57" s="43" t="str">
        <f>HYPERLINK("https://ictv.global/taxonomy/taxondetails?taxnode_id=202201421","ictv.global=202201421")</f>
        <v>ictv.global=202201421</v>
      </c>
    </row>
    <row r="58" spans="1:21">
      <c r="A58">
        <v>57</v>
      </c>
      <c r="B58" s="29" t="s">
        <v>3682</v>
      </c>
      <c r="C58" s="29"/>
      <c r="D58" s="29" t="s">
        <v>3683</v>
      </c>
      <c r="E58" s="29"/>
      <c r="F58" s="29" t="s">
        <v>3684</v>
      </c>
      <c r="G58" s="29"/>
      <c r="H58" s="29" t="s">
        <v>3685</v>
      </c>
      <c r="I58" s="29"/>
      <c r="J58" s="29" t="s">
        <v>694</v>
      </c>
      <c r="K58" s="29"/>
      <c r="L58" s="29" t="s">
        <v>6936</v>
      </c>
      <c r="M58" s="29" t="s">
        <v>696</v>
      </c>
      <c r="N58" s="29" t="s">
        <v>1028</v>
      </c>
      <c r="O58" s="29"/>
      <c r="P58" s="29" t="s">
        <v>6946</v>
      </c>
      <c r="Q58" t="s">
        <v>2038</v>
      </c>
      <c r="R58" t="s">
        <v>2635</v>
      </c>
      <c r="S58">
        <v>38</v>
      </c>
      <c r="T58" s="43" t="str">
        <f t="shared" si="3"/>
        <v>2022.001D.Herpesvirales_1renfam_4rengen_124rensp_6absp.zip</v>
      </c>
      <c r="U58" s="43" t="str">
        <f>HYPERLINK("https://ictv.global/taxonomy/taxondetails?taxnode_id=202206397","ictv.global=202206397")</f>
        <v>ictv.global=202206397</v>
      </c>
    </row>
    <row r="59" spans="1:21">
      <c r="A59">
        <v>58</v>
      </c>
      <c r="B59" s="29" t="s">
        <v>3682</v>
      </c>
      <c r="C59" s="29"/>
      <c r="D59" s="29" t="s">
        <v>3683</v>
      </c>
      <c r="E59" s="29"/>
      <c r="F59" s="29" t="s">
        <v>3684</v>
      </c>
      <c r="G59" s="29"/>
      <c r="H59" s="29" t="s">
        <v>3685</v>
      </c>
      <c r="I59" s="29"/>
      <c r="J59" s="29" t="s">
        <v>694</v>
      </c>
      <c r="K59" s="29"/>
      <c r="L59" s="29" t="s">
        <v>6936</v>
      </c>
      <c r="M59" s="29" t="s">
        <v>696</v>
      </c>
      <c r="N59" s="29" t="s">
        <v>1000</v>
      </c>
      <c r="O59" s="29"/>
      <c r="P59" s="29" t="s">
        <v>6947</v>
      </c>
      <c r="Q59" t="s">
        <v>2038</v>
      </c>
      <c r="R59" t="s">
        <v>2635</v>
      </c>
      <c r="S59">
        <v>38</v>
      </c>
      <c r="T59" s="43" t="str">
        <f t="shared" si="3"/>
        <v>2022.001D.Herpesvirales_1renfam_4rengen_124rensp_6absp.zip</v>
      </c>
      <c r="U59" s="43" t="str">
        <f>HYPERLINK("https://ictv.global/taxonomy/taxondetails?taxnode_id=202201423","ictv.global=202201423")</f>
        <v>ictv.global=202201423</v>
      </c>
    </row>
    <row r="60" spans="1:21">
      <c r="A60">
        <v>59</v>
      </c>
      <c r="B60" s="29" t="s">
        <v>3682</v>
      </c>
      <c r="C60" s="29"/>
      <c r="D60" s="29" t="s">
        <v>3683</v>
      </c>
      <c r="E60" s="29"/>
      <c r="F60" s="29" t="s">
        <v>3684</v>
      </c>
      <c r="G60" s="29"/>
      <c r="H60" s="29" t="s">
        <v>3685</v>
      </c>
      <c r="I60" s="29"/>
      <c r="J60" s="29" t="s">
        <v>694</v>
      </c>
      <c r="K60" s="29"/>
      <c r="L60" s="29" t="s">
        <v>6936</v>
      </c>
      <c r="M60" s="29" t="s">
        <v>696</v>
      </c>
      <c r="N60" s="29" t="s">
        <v>1000</v>
      </c>
      <c r="O60" s="29"/>
      <c r="P60" s="29" t="s">
        <v>6948</v>
      </c>
      <c r="Q60" t="s">
        <v>2038</v>
      </c>
      <c r="R60" t="s">
        <v>2635</v>
      </c>
      <c r="S60">
        <v>38</v>
      </c>
      <c r="T60" s="43" t="str">
        <f t="shared" si="3"/>
        <v>2022.001D.Herpesvirales_1renfam_4rengen_124rensp_6absp.zip</v>
      </c>
      <c r="U60" s="43" t="str">
        <f>HYPERLINK("https://ictv.global/taxonomy/taxondetails?taxnode_id=202206398","ictv.global=202206398")</f>
        <v>ictv.global=202206398</v>
      </c>
    </row>
    <row r="61" spans="1:21">
      <c r="A61">
        <v>60</v>
      </c>
      <c r="B61" s="29" t="s">
        <v>3682</v>
      </c>
      <c r="C61" s="29"/>
      <c r="D61" s="29" t="s">
        <v>3683</v>
      </c>
      <c r="E61" s="29"/>
      <c r="F61" s="29" t="s">
        <v>3684</v>
      </c>
      <c r="G61" s="29"/>
      <c r="H61" s="29" t="s">
        <v>3685</v>
      </c>
      <c r="I61" s="29"/>
      <c r="J61" s="29" t="s">
        <v>694</v>
      </c>
      <c r="K61" s="29"/>
      <c r="L61" s="29" t="s">
        <v>6936</v>
      </c>
      <c r="M61" s="29" t="s">
        <v>696</v>
      </c>
      <c r="N61" s="29" t="s">
        <v>960</v>
      </c>
      <c r="O61" s="29"/>
      <c r="P61" s="29" t="s">
        <v>6949</v>
      </c>
      <c r="Q61" t="s">
        <v>2038</v>
      </c>
      <c r="R61" t="s">
        <v>2635</v>
      </c>
      <c r="S61">
        <v>38</v>
      </c>
      <c r="T61" s="43" t="str">
        <f t="shared" si="3"/>
        <v>2022.001D.Herpesvirales_1renfam_4rengen_124rensp_6absp.zip</v>
      </c>
      <c r="U61" s="43" t="str">
        <f>HYPERLINK("https://ictv.global/taxonomy/taxondetails?taxnode_id=202201425","ictv.global=202201425")</f>
        <v>ictv.global=202201425</v>
      </c>
    </row>
    <row r="62" spans="1:21">
      <c r="A62">
        <v>61</v>
      </c>
      <c r="B62" s="29" t="s">
        <v>3682</v>
      </c>
      <c r="C62" s="29"/>
      <c r="D62" s="29" t="s">
        <v>3683</v>
      </c>
      <c r="E62" s="29"/>
      <c r="F62" s="29" t="s">
        <v>3684</v>
      </c>
      <c r="G62" s="29"/>
      <c r="H62" s="29" t="s">
        <v>3685</v>
      </c>
      <c r="I62" s="29"/>
      <c r="J62" s="29" t="s">
        <v>694</v>
      </c>
      <c r="K62" s="29"/>
      <c r="L62" s="29" t="s">
        <v>6936</v>
      </c>
      <c r="M62" s="29" t="s">
        <v>696</v>
      </c>
      <c r="N62" s="29" t="s">
        <v>960</v>
      </c>
      <c r="O62" s="29"/>
      <c r="P62" s="29" t="s">
        <v>6950</v>
      </c>
      <c r="Q62" t="s">
        <v>2038</v>
      </c>
      <c r="R62" t="s">
        <v>2635</v>
      </c>
      <c r="S62">
        <v>38</v>
      </c>
      <c r="T62" s="43" t="str">
        <f t="shared" si="3"/>
        <v>2022.001D.Herpesvirales_1renfam_4rengen_124rensp_6absp.zip</v>
      </c>
      <c r="U62" s="43" t="str">
        <f>HYPERLINK("https://ictv.global/taxonomy/taxondetails?taxnode_id=202201426","ictv.global=202201426")</f>
        <v>ictv.global=202201426</v>
      </c>
    </row>
    <row r="63" spans="1:21">
      <c r="A63">
        <v>62</v>
      </c>
      <c r="B63" s="29" t="s">
        <v>3682</v>
      </c>
      <c r="C63" s="29"/>
      <c r="D63" s="29" t="s">
        <v>3683</v>
      </c>
      <c r="E63" s="29"/>
      <c r="F63" s="29" t="s">
        <v>3684</v>
      </c>
      <c r="G63" s="29"/>
      <c r="H63" s="29" t="s">
        <v>3685</v>
      </c>
      <c r="I63" s="29"/>
      <c r="J63" s="29" t="s">
        <v>694</v>
      </c>
      <c r="K63" s="29"/>
      <c r="L63" s="29" t="s">
        <v>6936</v>
      </c>
      <c r="M63" s="29" t="s">
        <v>696</v>
      </c>
      <c r="N63" s="29" t="s">
        <v>960</v>
      </c>
      <c r="O63" s="29"/>
      <c r="P63" s="29" t="s">
        <v>6951</v>
      </c>
      <c r="Q63" t="s">
        <v>2038</v>
      </c>
      <c r="R63" t="s">
        <v>2635</v>
      </c>
      <c r="S63">
        <v>38</v>
      </c>
      <c r="T63" s="43" t="str">
        <f t="shared" si="3"/>
        <v>2022.001D.Herpesvirales_1renfam_4rengen_124rensp_6absp.zip</v>
      </c>
      <c r="U63" s="43" t="str">
        <f>HYPERLINK("https://ictv.global/taxonomy/taxondetails?taxnode_id=202201427","ictv.global=202201427")</f>
        <v>ictv.global=202201427</v>
      </c>
    </row>
    <row r="64" spans="1:21">
      <c r="A64">
        <v>63</v>
      </c>
      <c r="B64" s="29" t="s">
        <v>3682</v>
      </c>
      <c r="C64" s="29"/>
      <c r="D64" s="29" t="s">
        <v>3683</v>
      </c>
      <c r="E64" s="29"/>
      <c r="F64" s="29" t="s">
        <v>3684</v>
      </c>
      <c r="G64" s="29"/>
      <c r="H64" s="29" t="s">
        <v>3685</v>
      </c>
      <c r="I64" s="29"/>
      <c r="J64" s="29" t="s">
        <v>694</v>
      </c>
      <c r="K64" s="29"/>
      <c r="L64" s="29" t="s">
        <v>6936</v>
      </c>
      <c r="M64" s="29" t="s">
        <v>696</v>
      </c>
      <c r="N64" s="29" t="s">
        <v>960</v>
      </c>
      <c r="O64" s="29"/>
      <c r="P64" s="29" t="s">
        <v>6952</v>
      </c>
      <c r="Q64" t="s">
        <v>2038</v>
      </c>
      <c r="R64" t="s">
        <v>2635</v>
      </c>
      <c r="S64">
        <v>38</v>
      </c>
      <c r="T64" s="43" t="str">
        <f t="shared" si="3"/>
        <v>2022.001D.Herpesvirales_1renfam_4rengen_124rensp_6absp.zip</v>
      </c>
      <c r="U64" s="43" t="str">
        <f>HYPERLINK("https://ictv.global/taxonomy/taxondetails?taxnode_id=202201428","ictv.global=202201428")</f>
        <v>ictv.global=202201428</v>
      </c>
    </row>
    <row r="65" spans="1:21">
      <c r="A65">
        <v>64</v>
      </c>
      <c r="B65" s="29" t="s">
        <v>3682</v>
      </c>
      <c r="C65" s="29"/>
      <c r="D65" s="29" t="s">
        <v>3683</v>
      </c>
      <c r="E65" s="29"/>
      <c r="F65" s="29" t="s">
        <v>3684</v>
      </c>
      <c r="G65" s="29"/>
      <c r="H65" s="29" t="s">
        <v>3685</v>
      </c>
      <c r="I65" s="29"/>
      <c r="J65" s="29" t="s">
        <v>694</v>
      </c>
      <c r="K65" s="29"/>
      <c r="L65" s="29" t="s">
        <v>6936</v>
      </c>
      <c r="M65" s="29" t="s">
        <v>696</v>
      </c>
      <c r="N65" s="29" t="s">
        <v>960</v>
      </c>
      <c r="O65" s="29"/>
      <c r="P65" s="29" t="s">
        <v>6953</v>
      </c>
      <c r="Q65" t="s">
        <v>2038</v>
      </c>
      <c r="R65" t="s">
        <v>2635</v>
      </c>
      <c r="S65">
        <v>38</v>
      </c>
      <c r="T65" s="43" t="str">
        <f t="shared" si="3"/>
        <v>2022.001D.Herpesvirales_1renfam_4rengen_124rensp_6absp.zip</v>
      </c>
      <c r="U65" s="43" t="str">
        <f>HYPERLINK("https://ictv.global/taxonomy/taxondetails?taxnode_id=202201429","ictv.global=202201429")</f>
        <v>ictv.global=202201429</v>
      </c>
    </row>
    <row r="66" spans="1:21">
      <c r="A66">
        <v>65</v>
      </c>
      <c r="B66" s="29" t="s">
        <v>3682</v>
      </c>
      <c r="C66" s="29"/>
      <c r="D66" s="29" t="s">
        <v>3683</v>
      </c>
      <c r="E66" s="29"/>
      <c r="F66" s="29" t="s">
        <v>3684</v>
      </c>
      <c r="G66" s="29"/>
      <c r="H66" s="29" t="s">
        <v>3685</v>
      </c>
      <c r="I66" s="29"/>
      <c r="J66" s="29" t="s">
        <v>694</v>
      </c>
      <c r="K66" s="29"/>
      <c r="L66" s="29" t="s">
        <v>6936</v>
      </c>
      <c r="M66" s="29" t="s">
        <v>696</v>
      </c>
      <c r="N66" s="29" t="s">
        <v>960</v>
      </c>
      <c r="O66" s="29"/>
      <c r="P66" s="29" t="s">
        <v>6954</v>
      </c>
      <c r="Q66" t="s">
        <v>2038</v>
      </c>
      <c r="R66" t="s">
        <v>2635</v>
      </c>
      <c r="S66">
        <v>38</v>
      </c>
      <c r="T66" s="43" t="str">
        <f t="shared" si="3"/>
        <v>2022.001D.Herpesvirales_1renfam_4rengen_124rensp_6absp.zip</v>
      </c>
      <c r="U66" s="43" t="str">
        <f>HYPERLINK("https://ictv.global/taxonomy/taxondetails?taxnode_id=202201430","ictv.global=202201430")</f>
        <v>ictv.global=202201430</v>
      </c>
    </row>
    <row r="67" spans="1:21">
      <c r="A67">
        <v>66</v>
      </c>
      <c r="B67" s="29" t="s">
        <v>3682</v>
      </c>
      <c r="C67" s="29"/>
      <c r="D67" s="29" t="s">
        <v>3683</v>
      </c>
      <c r="E67" s="29"/>
      <c r="F67" s="29" t="s">
        <v>3684</v>
      </c>
      <c r="G67" s="29"/>
      <c r="H67" s="29" t="s">
        <v>3685</v>
      </c>
      <c r="I67" s="29"/>
      <c r="J67" s="29" t="s">
        <v>694</v>
      </c>
      <c r="K67" s="29"/>
      <c r="L67" s="29" t="s">
        <v>6936</v>
      </c>
      <c r="M67" s="29" t="s">
        <v>696</v>
      </c>
      <c r="N67" s="29" t="s">
        <v>960</v>
      </c>
      <c r="O67" s="29"/>
      <c r="P67" s="29" t="s">
        <v>6955</v>
      </c>
      <c r="Q67" t="s">
        <v>2038</v>
      </c>
      <c r="R67" t="s">
        <v>2635</v>
      </c>
      <c r="S67">
        <v>38</v>
      </c>
      <c r="T67" s="43" t="str">
        <f t="shared" si="3"/>
        <v>2022.001D.Herpesvirales_1renfam_4rengen_124rensp_6absp.zip</v>
      </c>
      <c r="U67" s="43" t="str">
        <f>HYPERLINK("https://ictv.global/taxonomy/taxondetails?taxnode_id=202201431","ictv.global=202201431")</f>
        <v>ictv.global=202201431</v>
      </c>
    </row>
    <row r="68" spans="1:21">
      <c r="A68">
        <v>67</v>
      </c>
      <c r="B68" s="29" t="s">
        <v>3682</v>
      </c>
      <c r="C68" s="29"/>
      <c r="D68" s="29" t="s">
        <v>3683</v>
      </c>
      <c r="E68" s="29"/>
      <c r="F68" s="29" t="s">
        <v>3684</v>
      </c>
      <c r="G68" s="29"/>
      <c r="H68" s="29" t="s">
        <v>3685</v>
      </c>
      <c r="I68" s="29"/>
      <c r="J68" s="29" t="s">
        <v>694</v>
      </c>
      <c r="K68" s="29"/>
      <c r="L68" s="29" t="s">
        <v>6936</v>
      </c>
      <c r="M68" s="29" t="s">
        <v>696</v>
      </c>
      <c r="N68" s="29" t="s">
        <v>960</v>
      </c>
      <c r="O68" s="29"/>
      <c r="P68" s="29" t="s">
        <v>6956</v>
      </c>
      <c r="Q68" t="s">
        <v>2038</v>
      </c>
      <c r="R68" t="s">
        <v>2635</v>
      </c>
      <c r="S68">
        <v>38</v>
      </c>
      <c r="T68" s="43" t="str">
        <f t="shared" si="3"/>
        <v>2022.001D.Herpesvirales_1renfam_4rengen_124rensp_6absp.zip</v>
      </c>
      <c r="U68" s="43" t="str">
        <f>HYPERLINK("https://ictv.global/taxonomy/taxondetails?taxnode_id=202208779","ictv.global=202208779")</f>
        <v>ictv.global=202208779</v>
      </c>
    </row>
    <row r="69" spans="1:21">
      <c r="A69">
        <v>68</v>
      </c>
      <c r="B69" s="29" t="s">
        <v>3682</v>
      </c>
      <c r="C69" s="29"/>
      <c r="D69" s="29" t="s">
        <v>3683</v>
      </c>
      <c r="E69" s="29"/>
      <c r="F69" s="29" t="s">
        <v>3684</v>
      </c>
      <c r="G69" s="29"/>
      <c r="H69" s="29" t="s">
        <v>3685</v>
      </c>
      <c r="I69" s="29"/>
      <c r="J69" s="29" t="s">
        <v>694</v>
      </c>
      <c r="K69" s="29"/>
      <c r="L69" s="29" t="s">
        <v>6936</v>
      </c>
      <c r="M69" s="29" t="s">
        <v>696</v>
      </c>
      <c r="N69" s="29" t="s">
        <v>960</v>
      </c>
      <c r="O69" s="29"/>
      <c r="P69" s="29" t="s">
        <v>6957</v>
      </c>
      <c r="Q69" t="s">
        <v>2038</v>
      </c>
      <c r="R69" t="s">
        <v>2635</v>
      </c>
      <c r="S69">
        <v>38</v>
      </c>
      <c r="T69" s="43" t="str">
        <f t="shared" si="3"/>
        <v>2022.001D.Herpesvirales_1renfam_4rengen_124rensp_6absp.zip</v>
      </c>
      <c r="U69" s="43" t="str">
        <f>HYPERLINK("https://ictv.global/taxonomy/taxondetails?taxnode_id=202208780","ictv.global=202208780")</f>
        <v>ictv.global=202208780</v>
      </c>
    </row>
    <row r="70" spans="1:21">
      <c r="A70">
        <v>69</v>
      </c>
      <c r="B70" s="29" t="s">
        <v>3682</v>
      </c>
      <c r="C70" s="29"/>
      <c r="D70" s="29" t="s">
        <v>3683</v>
      </c>
      <c r="E70" s="29"/>
      <c r="F70" s="29" t="s">
        <v>3684</v>
      </c>
      <c r="G70" s="29"/>
      <c r="H70" s="29" t="s">
        <v>3685</v>
      </c>
      <c r="I70" s="29"/>
      <c r="J70" s="29" t="s">
        <v>694</v>
      </c>
      <c r="K70" s="29"/>
      <c r="L70" s="29" t="s">
        <v>6936</v>
      </c>
      <c r="M70" s="29" t="s">
        <v>696</v>
      </c>
      <c r="N70" s="29" t="s">
        <v>960</v>
      </c>
      <c r="O70" s="29"/>
      <c r="P70" s="29" t="s">
        <v>6958</v>
      </c>
      <c r="Q70" t="s">
        <v>2038</v>
      </c>
      <c r="R70" t="s">
        <v>2635</v>
      </c>
      <c r="S70">
        <v>38</v>
      </c>
      <c r="T70" s="43" t="str">
        <f t="shared" si="3"/>
        <v>2022.001D.Herpesvirales_1renfam_4rengen_124rensp_6absp.zip</v>
      </c>
      <c r="U70" s="43" t="str">
        <f>HYPERLINK("https://ictv.global/taxonomy/taxondetails?taxnode_id=202201432","ictv.global=202201432")</f>
        <v>ictv.global=202201432</v>
      </c>
    </row>
    <row r="71" spans="1:21">
      <c r="A71">
        <v>70</v>
      </c>
      <c r="B71" s="29" t="s">
        <v>3682</v>
      </c>
      <c r="C71" s="29"/>
      <c r="D71" s="29" t="s">
        <v>3683</v>
      </c>
      <c r="E71" s="29"/>
      <c r="F71" s="29" t="s">
        <v>3684</v>
      </c>
      <c r="G71" s="29"/>
      <c r="H71" s="29" t="s">
        <v>3685</v>
      </c>
      <c r="I71" s="29"/>
      <c r="J71" s="29" t="s">
        <v>694</v>
      </c>
      <c r="K71" s="29"/>
      <c r="L71" s="29" t="s">
        <v>6936</v>
      </c>
      <c r="M71" s="29" t="s">
        <v>696</v>
      </c>
      <c r="N71" s="29" t="s">
        <v>960</v>
      </c>
      <c r="O71" s="29"/>
      <c r="P71" s="29" t="s">
        <v>6959</v>
      </c>
      <c r="Q71" t="s">
        <v>2038</v>
      </c>
      <c r="R71" t="s">
        <v>2635</v>
      </c>
      <c r="S71">
        <v>38</v>
      </c>
      <c r="T71" s="43" t="str">
        <f t="shared" si="3"/>
        <v>2022.001D.Herpesvirales_1renfam_4rengen_124rensp_6absp.zip</v>
      </c>
      <c r="U71" s="43" t="str">
        <f>HYPERLINK("https://ictv.global/taxonomy/taxondetails?taxnode_id=202201433","ictv.global=202201433")</f>
        <v>ictv.global=202201433</v>
      </c>
    </row>
    <row r="72" spans="1:21">
      <c r="A72">
        <v>71</v>
      </c>
      <c r="B72" s="29" t="s">
        <v>3682</v>
      </c>
      <c r="C72" s="29"/>
      <c r="D72" s="29" t="s">
        <v>3683</v>
      </c>
      <c r="E72" s="29"/>
      <c r="F72" s="29" t="s">
        <v>3684</v>
      </c>
      <c r="G72" s="29"/>
      <c r="H72" s="29" t="s">
        <v>3685</v>
      </c>
      <c r="I72" s="29"/>
      <c r="J72" s="29" t="s">
        <v>694</v>
      </c>
      <c r="K72" s="29"/>
      <c r="L72" s="29" t="s">
        <v>6936</v>
      </c>
      <c r="M72" s="29" t="s">
        <v>696</v>
      </c>
      <c r="N72" s="29" t="s">
        <v>960</v>
      </c>
      <c r="O72" s="29"/>
      <c r="P72" s="29" t="s">
        <v>6960</v>
      </c>
      <c r="Q72" t="s">
        <v>2038</v>
      </c>
      <c r="R72" t="s">
        <v>2632</v>
      </c>
      <c r="S72">
        <v>38</v>
      </c>
      <c r="T72" s="43" t="str">
        <f>HYPERLINK("https://ictv.global/ictv/proposals/2022.002D.Herpesvirales_9nsp.zip","2022.002D.Herpesvirales_9nsp.zip")</f>
        <v>2022.002D.Herpesvirales_9nsp.zip</v>
      </c>
      <c r="U72" s="43" t="str">
        <f>HYPERLINK("https://ictv.global/taxonomy/taxondetails?taxnode_id=202214015","ictv.global=202214015")</f>
        <v>ictv.global=202214015</v>
      </c>
    </row>
    <row r="73" spans="1:21">
      <c r="A73">
        <v>72</v>
      </c>
      <c r="B73" s="29" t="s">
        <v>3682</v>
      </c>
      <c r="C73" s="29"/>
      <c r="D73" s="29" t="s">
        <v>3683</v>
      </c>
      <c r="E73" s="29"/>
      <c r="F73" s="29" t="s">
        <v>3684</v>
      </c>
      <c r="G73" s="29"/>
      <c r="H73" s="29" t="s">
        <v>3685</v>
      </c>
      <c r="I73" s="29"/>
      <c r="J73" s="29" t="s">
        <v>694</v>
      </c>
      <c r="K73" s="29"/>
      <c r="L73" s="29" t="s">
        <v>6936</v>
      </c>
      <c r="M73" s="29" t="s">
        <v>696</v>
      </c>
      <c r="N73" s="29" t="s">
        <v>960</v>
      </c>
      <c r="O73" s="29"/>
      <c r="P73" s="29" t="s">
        <v>6961</v>
      </c>
      <c r="Q73" t="s">
        <v>2038</v>
      </c>
      <c r="R73" t="s">
        <v>2635</v>
      </c>
      <c r="S73">
        <v>38</v>
      </c>
      <c r="T73" s="43" t="str">
        <f>HYPERLINK("https://ictv.global/ictv/proposals/2022.001D.Herpesvirales_1renfam_4rengen_124rensp_6absp.zip","2022.001D.Herpesvirales_1renfam_4rengen_124rensp_6absp.zip")</f>
        <v>2022.001D.Herpesvirales_1renfam_4rengen_124rensp_6absp.zip</v>
      </c>
      <c r="U73" s="43" t="str">
        <f>HYPERLINK("https://ictv.global/taxonomy/taxondetails?taxnode_id=202201434","ictv.global=202201434")</f>
        <v>ictv.global=202201434</v>
      </c>
    </row>
    <row r="74" spans="1:21">
      <c r="A74">
        <v>73</v>
      </c>
      <c r="B74" s="29" t="s">
        <v>3682</v>
      </c>
      <c r="C74" s="29"/>
      <c r="D74" s="29" t="s">
        <v>3683</v>
      </c>
      <c r="E74" s="29"/>
      <c r="F74" s="29" t="s">
        <v>3684</v>
      </c>
      <c r="G74" s="29"/>
      <c r="H74" s="29" t="s">
        <v>3685</v>
      </c>
      <c r="I74" s="29"/>
      <c r="J74" s="29" t="s">
        <v>694</v>
      </c>
      <c r="K74" s="29"/>
      <c r="L74" s="29" t="s">
        <v>6936</v>
      </c>
      <c r="M74" s="29" t="s">
        <v>696</v>
      </c>
      <c r="N74" s="29" t="s">
        <v>960</v>
      </c>
      <c r="O74" s="29"/>
      <c r="P74" s="29" t="s">
        <v>6962</v>
      </c>
      <c r="Q74" t="s">
        <v>2038</v>
      </c>
      <c r="R74" t="s">
        <v>2635</v>
      </c>
      <c r="S74">
        <v>38</v>
      </c>
      <c r="T74" s="43" t="str">
        <f>HYPERLINK("https://ictv.global/ictv/proposals/2022.001D.Herpesvirales_1renfam_4rengen_124rensp_6absp.zip","2022.001D.Herpesvirales_1renfam_4rengen_124rensp_6absp.zip")</f>
        <v>2022.001D.Herpesvirales_1renfam_4rengen_124rensp_6absp.zip</v>
      </c>
      <c r="U74" s="43" t="str">
        <f>HYPERLINK("https://ictv.global/taxonomy/taxondetails?taxnode_id=202201435","ictv.global=202201435")</f>
        <v>ictv.global=202201435</v>
      </c>
    </row>
    <row r="75" spans="1:21">
      <c r="A75">
        <v>74</v>
      </c>
      <c r="B75" s="29" t="s">
        <v>3682</v>
      </c>
      <c r="C75" s="29"/>
      <c r="D75" s="29" t="s">
        <v>3683</v>
      </c>
      <c r="E75" s="29"/>
      <c r="F75" s="29" t="s">
        <v>3684</v>
      </c>
      <c r="G75" s="29"/>
      <c r="H75" s="29" t="s">
        <v>3685</v>
      </c>
      <c r="I75" s="29"/>
      <c r="J75" s="29" t="s">
        <v>694</v>
      </c>
      <c r="K75" s="29"/>
      <c r="L75" s="29" t="s">
        <v>6936</v>
      </c>
      <c r="M75" s="29" t="s">
        <v>696</v>
      </c>
      <c r="N75" s="29" t="s">
        <v>960</v>
      </c>
      <c r="O75" s="29"/>
      <c r="P75" s="29" t="s">
        <v>6963</v>
      </c>
      <c r="Q75" t="s">
        <v>2038</v>
      </c>
      <c r="R75" t="s">
        <v>2635</v>
      </c>
      <c r="S75">
        <v>38</v>
      </c>
      <c r="T75" s="43" t="str">
        <f>HYPERLINK("https://ictv.global/ictv/proposals/2022.001D.Herpesvirales_1renfam_4rengen_124rensp_6absp.zip","2022.001D.Herpesvirales_1renfam_4rengen_124rensp_6absp.zip")</f>
        <v>2022.001D.Herpesvirales_1renfam_4rengen_124rensp_6absp.zip</v>
      </c>
      <c r="U75" s="43" t="str">
        <f>HYPERLINK("https://ictv.global/taxonomy/taxondetails?taxnode_id=202206395","ictv.global=202206395")</f>
        <v>ictv.global=202206395</v>
      </c>
    </row>
    <row r="76" spans="1:21">
      <c r="A76">
        <v>75</v>
      </c>
      <c r="B76" s="29" t="s">
        <v>3682</v>
      </c>
      <c r="C76" s="29"/>
      <c r="D76" s="29" t="s">
        <v>3683</v>
      </c>
      <c r="E76" s="29"/>
      <c r="F76" s="29" t="s">
        <v>3684</v>
      </c>
      <c r="G76" s="29"/>
      <c r="H76" s="29" t="s">
        <v>3685</v>
      </c>
      <c r="I76" s="29"/>
      <c r="J76" s="29" t="s">
        <v>694</v>
      </c>
      <c r="K76" s="29"/>
      <c r="L76" s="29" t="s">
        <v>6936</v>
      </c>
      <c r="M76" s="29" t="s">
        <v>696</v>
      </c>
      <c r="N76" s="29" t="s">
        <v>960</v>
      </c>
      <c r="O76" s="29"/>
      <c r="P76" s="29" t="s">
        <v>6964</v>
      </c>
      <c r="Q76" t="s">
        <v>2038</v>
      </c>
      <c r="R76" t="s">
        <v>2632</v>
      </c>
      <c r="S76">
        <v>38</v>
      </c>
      <c r="T76" s="43" t="str">
        <f>HYPERLINK("https://ictv.global/ictv/proposals/2022.002D.Herpesvirales_9nsp.zip","2022.002D.Herpesvirales_9nsp.zip")</f>
        <v>2022.002D.Herpesvirales_9nsp.zip</v>
      </c>
      <c r="U76" s="43" t="str">
        <f>HYPERLINK("https://ictv.global/taxonomy/taxondetails?taxnode_id=202214016","ictv.global=202214016")</f>
        <v>ictv.global=202214016</v>
      </c>
    </row>
    <row r="77" spans="1:21">
      <c r="A77">
        <v>76</v>
      </c>
      <c r="B77" s="29" t="s">
        <v>3682</v>
      </c>
      <c r="C77" s="29"/>
      <c r="D77" s="29" t="s">
        <v>3683</v>
      </c>
      <c r="E77" s="29"/>
      <c r="F77" s="29" t="s">
        <v>3684</v>
      </c>
      <c r="G77" s="29"/>
      <c r="H77" s="29" t="s">
        <v>3685</v>
      </c>
      <c r="I77" s="29"/>
      <c r="J77" s="29" t="s">
        <v>694</v>
      </c>
      <c r="K77" s="29"/>
      <c r="L77" s="29" t="s">
        <v>6936</v>
      </c>
      <c r="M77" s="29" t="s">
        <v>696</v>
      </c>
      <c r="N77" s="29" t="s">
        <v>960</v>
      </c>
      <c r="O77" s="29"/>
      <c r="P77" s="29" t="s">
        <v>6965</v>
      </c>
      <c r="Q77" t="s">
        <v>2038</v>
      </c>
      <c r="R77" t="s">
        <v>2635</v>
      </c>
      <c r="S77">
        <v>38</v>
      </c>
      <c r="T77" s="43" t="str">
        <f t="shared" ref="T77:T89" si="4">HYPERLINK("https://ictv.global/ictv/proposals/2022.001D.Herpesvirales_1renfam_4rengen_124rensp_6absp.zip","2022.001D.Herpesvirales_1renfam_4rengen_124rensp_6absp.zip")</f>
        <v>2022.001D.Herpesvirales_1renfam_4rengen_124rensp_6absp.zip</v>
      </c>
      <c r="U77" s="43" t="str">
        <f>HYPERLINK("https://ictv.global/taxonomy/taxondetails?taxnode_id=202201436","ictv.global=202201436")</f>
        <v>ictv.global=202201436</v>
      </c>
    </row>
    <row r="78" spans="1:21">
      <c r="A78">
        <v>77</v>
      </c>
      <c r="B78" s="29" t="s">
        <v>3682</v>
      </c>
      <c r="C78" s="29"/>
      <c r="D78" s="29" t="s">
        <v>3683</v>
      </c>
      <c r="E78" s="29"/>
      <c r="F78" s="29" t="s">
        <v>3684</v>
      </c>
      <c r="G78" s="29"/>
      <c r="H78" s="29" t="s">
        <v>3685</v>
      </c>
      <c r="I78" s="29"/>
      <c r="J78" s="29" t="s">
        <v>694</v>
      </c>
      <c r="K78" s="29"/>
      <c r="L78" s="29" t="s">
        <v>6936</v>
      </c>
      <c r="M78" s="29" t="s">
        <v>696</v>
      </c>
      <c r="N78" s="29" t="s">
        <v>961</v>
      </c>
      <c r="O78" s="29"/>
      <c r="P78" s="29" t="s">
        <v>6966</v>
      </c>
      <c r="Q78" t="s">
        <v>2038</v>
      </c>
      <c r="R78" t="s">
        <v>2635</v>
      </c>
      <c r="S78">
        <v>38</v>
      </c>
      <c r="T78" s="43" t="str">
        <f t="shared" si="4"/>
        <v>2022.001D.Herpesvirales_1renfam_4rengen_124rensp_6absp.zip</v>
      </c>
      <c r="U78" s="43" t="str">
        <f>HYPERLINK("https://ictv.global/taxonomy/taxondetails?taxnode_id=202201440","ictv.global=202201440")</f>
        <v>ictv.global=202201440</v>
      </c>
    </row>
    <row r="79" spans="1:21">
      <c r="A79">
        <v>78</v>
      </c>
      <c r="B79" s="29" t="s">
        <v>3682</v>
      </c>
      <c r="C79" s="29"/>
      <c r="D79" s="29" t="s">
        <v>3683</v>
      </c>
      <c r="E79" s="29"/>
      <c r="F79" s="29" t="s">
        <v>3684</v>
      </c>
      <c r="G79" s="29"/>
      <c r="H79" s="29" t="s">
        <v>3685</v>
      </c>
      <c r="I79" s="29"/>
      <c r="J79" s="29" t="s">
        <v>694</v>
      </c>
      <c r="K79" s="29"/>
      <c r="L79" s="29" t="s">
        <v>6936</v>
      </c>
      <c r="M79" s="29" t="s">
        <v>696</v>
      </c>
      <c r="N79" s="29" t="s">
        <v>961</v>
      </c>
      <c r="O79" s="29"/>
      <c r="P79" s="29" t="s">
        <v>6967</v>
      </c>
      <c r="Q79" t="s">
        <v>2038</v>
      </c>
      <c r="R79" t="s">
        <v>2635</v>
      </c>
      <c r="S79">
        <v>38</v>
      </c>
      <c r="T79" s="43" t="str">
        <f t="shared" si="4"/>
        <v>2022.001D.Herpesvirales_1renfam_4rengen_124rensp_6absp.zip</v>
      </c>
      <c r="U79" s="43" t="str">
        <f>HYPERLINK("https://ictv.global/taxonomy/taxondetails?taxnode_id=202201441","ictv.global=202201441")</f>
        <v>ictv.global=202201441</v>
      </c>
    </row>
    <row r="80" spans="1:21">
      <c r="A80">
        <v>79</v>
      </c>
      <c r="B80" s="29" t="s">
        <v>3682</v>
      </c>
      <c r="C80" s="29"/>
      <c r="D80" s="29" t="s">
        <v>3683</v>
      </c>
      <c r="E80" s="29"/>
      <c r="F80" s="29" t="s">
        <v>3684</v>
      </c>
      <c r="G80" s="29"/>
      <c r="H80" s="29" t="s">
        <v>3685</v>
      </c>
      <c r="I80" s="29"/>
      <c r="J80" s="29" t="s">
        <v>694</v>
      </c>
      <c r="K80" s="29"/>
      <c r="L80" s="29" t="s">
        <v>6936</v>
      </c>
      <c r="M80" s="29" t="s">
        <v>696</v>
      </c>
      <c r="N80" s="29" t="s">
        <v>961</v>
      </c>
      <c r="O80" s="29"/>
      <c r="P80" s="29" t="s">
        <v>6968</v>
      </c>
      <c r="Q80" t="s">
        <v>2038</v>
      </c>
      <c r="R80" t="s">
        <v>2635</v>
      </c>
      <c r="S80">
        <v>38</v>
      </c>
      <c r="T80" s="43" t="str">
        <f t="shared" si="4"/>
        <v>2022.001D.Herpesvirales_1renfam_4rengen_124rensp_6absp.zip</v>
      </c>
      <c r="U80" s="43" t="str">
        <f>HYPERLINK("https://ictv.global/taxonomy/taxondetails?taxnode_id=202201442","ictv.global=202201442")</f>
        <v>ictv.global=202201442</v>
      </c>
    </row>
    <row r="81" spans="1:21">
      <c r="A81">
        <v>80</v>
      </c>
      <c r="B81" s="29" t="s">
        <v>3682</v>
      </c>
      <c r="C81" s="29"/>
      <c r="D81" s="29" t="s">
        <v>3683</v>
      </c>
      <c r="E81" s="29"/>
      <c r="F81" s="29" t="s">
        <v>3684</v>
      </c>
      <c r="G81" s="29"/>
      <c r="H81" s="29" t="s">
        <v>3685</v>
      </c>
      <c r="I81" s="29"/>
      <c r="J81" s="29" t="s">
        <v>694</v>
      </c>
      <c r="K81" s="29"/>
      <c r="L81" s="29" t="s">
        <v>6936</v>
      </c>
      <c r="M81" s="29" t="s">
        <v>696</v>
      </c>
      <c r="N81" s="29" t="s">
        <v>961</v>
      </c>
      <c r="O81" s="29"/>
      <c r="P81" s="29" t="s">
        <v>6969</v>
      </c>
      <c r="Q81" t="s">
        <v>2038</v>
      </c>
      <c r="R81" t="s">
        <v>2635</v>
      </c>
      <c r="S81">
        <v>38</v>
      </c>
      <c r="T81" s="43" t="str">
        <f t="shared" si="4"/>
        <v>2022.001D.Herpesvirales_1renfam_4rengen_124rensp_6absp.zip</v>
      </c>
      <c r="U81" s="43" t="str">
        <f>HYPERLINK("https://ictv.global/taxonomy/taxondetails?taxnode_id=202201443","ictv.global=202201443")</f>
        <v>ictv.global=202201443</v>
      </c>
    </row>
    <row r="82" spans="1:21">
      <c r="A82">
        <v>81</v>
      </c>
      <c r="B82" s="29" t="s">
        <v>3682</v>
      </c>
      <c r="C82" s="29"/>
      <c r="D82" s="29" t="s">
        <v>3683</v>
      </c>
      <c r="E82" s="29"/>
      <c r="F82" s="29" t="s">
        <v>3684</v>
      </c>
      <c r="G82" s="29"/>
      <c r="H82" s="29" t="s">
        <v>3685</v>
      </c>
      <c r="I82" s="29"/>
      <c r="J82" s="29" t="s">
        <v>694</v>
      </c>
      <c r="K82" s="29"/>
      <c r="L82" s="29" t="s">
        <v>6936</v>
      </c>
      <c r="M82" s="29" t="s">
        <v>696</v>
      </c>
      <c r="N82" s="29" t="s">
        <v>961</v>
      </c>
      <c r="O82" s="29"/>
      <c r="P82" s="29" t="s">
        <v>6970</v>
      </c>
      <c r="Q82" t="s">
        <v>2038</v>
      </c>
      <c r="R82" t="s">
        <v>2635</v>
      </c>
      <c r="S82">
        <v>38</v>
      </c>
      <c r="T82" s="43" t="str">
        <f t="shared" si="4"/>
        <v>2022.001D.Herpesvirales_1renfam_4rengen_124rensp_6absp.zip</v>
      </c>
      <c r="U82" s="43" t="str">
        <f>HYPERLINK("https://ictv.global/taxonomy/taxondetails?taxnode_id=202201444","ictv.global=202201444")</f>
        <v>ictv.global=202201444</v>
      </c>
    </row>
    <row r="83" spans="1:21">
      <c r="A83">
        <v>82</v>
      </c>
      <c r="B83" s="29" t="s">
        <v>3682</v>
      </c>
      <c r="C83" s="29"/>
      <c r="D83" s="29" t="s">
        <v>3683</v>
      </c>
      <c r="E83" s="29"/>
      <c r="F83" s="29" t="s">
        <v>3684</v>
      </c>
      <c r="G83" s="29"/>
      <c r="H83" s="29" t="s">
        <v>3685</v>
      </c>
      <c r="I83" s="29"/>
      <c r="J83" s="29" t="s">
        <v>694</v>
      </c>
      <c r="K83" s="29"/>
      <c r="L83" s="29" t="s">
        <v>6936</v>
      </c>
      <c r="M83" s="29" t="s">
        <v>696</v>
      </c>
      <c r="N83" s="29" t="s">
        <v>961</v>
      </c>
      <c r="O83" s="29"/>
      <c r="P83" s="29" t="s">
        <v>6971</v>
      </c>
      <c r="Q83" t="s">
        <v>2038</v>
      </c>
      <c r="R83" t="s">
        <v>2635</v>
      </c>
      <c r="S83">
        <v>38</v>
      </c>
      <c r="T83" s="43" t="str">
        <f t="shared" si="4"/>
        <v>2022.001D.Herpesvirales_1renfam_4rengen_124rensp_6absp.zip</v>
      </c>
      <c r="U83" s="43" t="str">
        <f>HYPERLINK("https://ictv.global/taxonomy/taxondetails?taxnode_id=202201445","ictv.global=202201445")</f>
        <v>ictv.global=202201445</v>
      </c>
    </row>
    <row r="84" spans="1:21">
      <c r="A84">
        <v>83</v>
      </c>
      <c r="B84" s="29" t="s">
        <v>3682</v>
      </c>
      <c r="C84" s="29"/>
      <c r="D84" s="29" t="s">
        <v>3683</v>
      </c>
      <c r="E84" s="29"/>
      <c r="F84" s="29" t="s">
        <v>3684</v>
      </c>
      <c r="G84" s="29"/>
      <c r="H84" s="29" t="s">
        <v>3685</v>
      </c>
      <c r="I84" s="29"/>
      <c r="J84" s="29" t="s">
        <v>694</v>
      </c>
      <c r="K84" s="29"/>
      <c r="L84" s="29" t="s">
        <v>6936</v>
      </c>
      <c r="M84" s="29" t="s">
        <v>696</v>
      </c>
      <c r="N84" s="29" t="s">
        <v>961</v>
      </c>
      <c r="O84" s="29"/>
      <c r="P84" s="29" t="s">
        <v>6972</v>
      </c>
      <c r="Q84" t="s">
        <v>2038</v>
      </c>
      <c r="R84" t="s">
        <v>2635</v>
      </c>
      <c r="S84">
        <v>38</v>
      </c>
      <c r="T84" s="43" t="str">
        <f t="shared" si="4"/>
        <v>2022.001D.Herpesvirales_1renfam_4rengen_124rensp_6absp.zip</v>
      </c>
      <c r="U84" s="43" t="str">
        <f>HYPERLINK("https://ictv.global/taxonomy/taxondetails?taxnode_id=202201446","ictv.global=202201446")</f>
        <v>ictv.global=202201446</v>
      </c>
    </row>
    <row r="85" spans="1:21">
      <c r="A85">
        <v>84</v>
      </c>
      <c r="B85" s="29" t="s">
        <v>3682</v>
      </c>
      <c r="C85" s="29"/>
      <c r="D85" s="29" t="s">
        <v>3683</v>
      </c>
      <c r="E85" s="29"/>
      <c r="F85" s="29" t="s">
        <v>3684</v>
      </c>
      <c r="G85" s="29"/>
      <c r="H85" s="29" t="s">
        <v>3685</v>
      </c>
      <c r="I85" s="29"/>
      <c r="J85" s="29" t="s">
        <v>694</v>
      </c>
      <c r="K85" s="29"/>
      <c r="L85" s="29" t="s">
        <v>6936</v>
      </c>
      <c r="M85" s="29" t="s">
        <v>696</v>
      </c>
      <c r="N85" s="29" t="s">
        <v>961</v>
      </c>
      <c r="O85" s="29"/>
      <c r="P85" s="29" t="s">
        <v>6973</v>
      </c>
      <c r="Q85" t="s">
        <v>2038</v>
      </c>
      <c r="R85" t="s">
        <v>2635</v>
      </c>
      <c r="S85">
        <v>38</v>
      </c>
      <c r="T85" s="43" t="str">
        <f t="shared" si="4"/>
        <v>2022.001D.Herpesvirales_1renfam_4rengen_124rensp_6absp.zip</v>
      </c>
      <c r="U85" s="43" t="str">
        <f>HYPERLINK("https://ictv.global/taxonomy/taxondetails?taxnode_id=202201447","ictv.global=202201447")</f>
        <v>ictv.global=202201447</v>
      </c>
    </row>
    <row r="86" spans="1:21">
      <c r="A86">
        <v>85</v>
      </c>
      <c r="B86" s="29" t="s">
        <v>3682</v>
      </c>
      <c r="C86" s="29"/>
      <c r="D86" s="29" t="s">
        <v>3683</v>
      </c>
      <c r="E86" s="29"/>
      <c r="F86" s="29" t="s">
        <v>3684</v>
      </c>
      <c r="G86" s="29"/>
      <c r="H86" s="29" t="s">
        <v>3685</v>
      </c>
      <c r="I86" s="29"/>
      <c r="J86" s="29" t="s">
        <v>694</v>
      </c>
      <c r="K86" s="29"/>
      <c r="L86" s="29" t="s">
        <v>6936</v>
      </c>
      <c r="M86" s="29" t="s">
        <v>696</v>
      </c>
      <c r="N86" s="29" t="s">
        <v>961</v>
      </c>
      <c r="O86" s="29"/>
      <c r="P86" s="29" t="s">
        <v>6974</v>
      </c>
      <c r="Q86" t="s">
        <v>2038</v>
      </c>
      <c r="R86" t="s">
        <v>2635</v>
      </c>
      <c r="S86">
        <v>38</v>
      </c>
      <c r="T86" s="43" t="str">
        <f t="shared" si="4"/>
        <v>2022.001D.Herpesvirales_1renfam_4rengen_124rensp_6absp.zip</v>
      </c>
      <c r="U86" s="43" t="str">
        <f>HYPERLINK("https://ictv.global/taxonomy/taxondetails?taxnode_id=202209143","ictv.global=202209143")</f>
        <v>ictv.global=202209143</v>
      </c>
    </row>
    <row r="87" spans="1:21">
      <c r="A87">
        <v>86</v>
      </c>
      <c r="B87" s="29" t="s">
        <v>3682</v>
      </c>
      <c r="C87" s="29"/>
      <c r="D87" s="29" t="s">
        <v>3683</v>
      </c>
      <c r="E87" s="29"/>
      <c r="F87" s="29" t="s">
        <v>3684</v>
      </c>
      <c r="G87" s="29"/>
      <c r="H87" s="29" t="s">
        <v>3685</v>
      </c>
      <c r="I87" s="29"/>
      <c r="J87" s="29" t="s">
        <v>694</v>
      </c>
      <c r="K87" s="29"/>
      <c r="L87" s="29" t="s">
        <v>6936</v>
      </c>
      <c r="M87" s="29" t="s">
        <v>696</v>
      </c>
      <c r="N87" s="29" t="s">
        <v>961</v>
      </c>
      <c r="O87" s="29"/>
      <c r="P87" s="29" t="s">
        <v>6975</v>
      </c>
      <c r="Q87" t="s">
        <v>2038</v>
      </c>
      <c r="R87" t="s">
        <v>2635</v>
      </c>
      <c r="S87">
        <v>38</v>
      </c>
      <c r="T87" s="43" t="str">
        <f t="shared" si="4"/>
        <v>2022.001D.Herpesvirales_1renfam_4rengen_124rensp_6absp.zip</v>
      </c>
      <c r="U87" s="43" t="str">
        <f>HYPERLINK("https://ictv.global/taxonomy/taxondetails?taxnode_id=202201448","ictv.global=202201448")</f>
        <v>ictv.global=202201448</v>
      </c>
    </row>
    <row r="88" spans="1:21">
      <c r="A88">
        <v>87</v>
      </c>
      <c r="B88" s="29" t="s">
        <v>3682</v>
      </c>
      <c r="C88" s="29"/>
      <c r="D88" s="29" t="s">
        <v>3683</v>
      </c>
      <c r="E88" s="29"/>
      <c r="F88" s="29" t="s">
        <v>3684</v>
      </c>
      <c r="G88" s="29"/>
      <c r="H88" s="29" t="s">
        <v>3685</v>
      </c>
      <c r="I88" s="29"/>
      <c r="J88" s="29" t="s">
        <v>694</v>
      </c>
      <c r="K88" s="29"/>
      <c r="L88" s="29" t="s">
        <v>6936</v>
      </c>
      <c r="M88" s="29" t="s">
        <v>696</v>
      </c>
      <c r="N88" s="29" t="s">
        <v>961</v>
      </c>
      <c r="O88" s="29"/>
      <c r="P88" s="29" t="s">
        <v>6976</v>
      </c>
      <c r="Q88" t="s">
        <v>2038</v>
      </c>
      <c r="R88" t="s">
        <v>2635</v>
      </c>
      <c r="S88">
        <v>38</v>
      </c>
      <c r="T88" s="43" t="str">
        <f t="shared" si="4"/>
        <v>2022.001D.Herpesvirales_1renfam_4rengen_124rensp_6absp.zip</v>
      </c>
      <c r="U88" s="43" t="str">
        <f>HYPERLINK("https://ictv.global/taxonomy/taxondetails?taxnode_id=202201449","ictv.global=202201449")</f>
        <v>ictv.global=202201449</v>
      </c>
    </row>
    <row r="89" spans="1:21">
      <c r="A89">
        <v>88</v>
      </c>
      <c r="B89" s="29" t="s">
        <v>3682</v>
      </c>
      <c r="C89" s="29"/>
      <c r="D89" s="29" t="s">
        <v>3683</v>
      </c>
      <c r="E89" s="29"/>
      <c r="F89" s="29" t="s">
        <v>3684</v>
      </c>
      <c r="G89" s="29"/>
      <c r="H89" s="29" t="s">
        <v>3685</v>
      </c>
      <c r="I89" s="29"/>
      <c r="J89" s="29" t="s">
        <v>694</v>
      </c>
      <c r="K89" s="29"/>
      <c r="L89" s="29" t="s">
        <v>6936</v>
      </c>
      <c r="M89" s="29" t="s">
        <v>696</v>
      </c>
      <c r="N89" s="29" t="s">
        <v>961</v>
      </c>
      <c r="O89" s="29"/>
      <c r="P89" s="29" t="s">
        <v>6977</v>
      </c>
      <c r="Q89" t="s">
        <v>2038</v>
      </c>
      <c r="R89" t="s">
        <v>2635</v>
      </c>
      <c r="S89">
        <v>38</v>
      </c>
      <c r="T89" s="43" t="str">
        <f t="shared" si="4"/>
        <v>2022.001D.Herpesvirales_1renfam_4rengen_124rensp_6absp.zip</v>
      </c>
      <c r="U89" s="43" t="str">
        <f>HYPERLINK("https://ictv.global/taxonomy/taxondetails?taxnode_id=202201450","ictv.global=202201450")</f>
        <v>ictv.global=202201450</v>
      </c>
    </row>
    <row r="90" spans="1:21">
      <c r="A90">
        <v>89</v>
      </c>
      <c r="B90" s="29" t="s">
        <v>3682</v>
      </c>
      <c r="C90" s="29"/>
      <c r="D90" s="29" t="s">
        <v>3683</v>
      </c>
      <c r="E90" s="29"/>
      <c r="F90" s="29" t="s">
        <v>3684</v>
      </c>
      <c r="G90" s="29"/>
      <c r="H90" s="29" t="s">
        <v>3685</v>
      </c>
      <c r="I90" s="29"/>
      <c r="J90" s="29" t="s">
        <v>694</v>
      </c>
      <c r="K90" s="29"/>
      <c r="L90" s="29" t="s">
        <v>6936</v>
      </c>
      <c r="M90" s="29" t="s">
        <v>696</v>
      </c>
      <c r="N90" s="29" t="s">
        <v>961</v>
      </c>
      <c r="O90" s="29"/>
      <c r="P90" s="29" t="s">
        <v>6978</v>
      </c>
      <c r="Q90" t="s">
        <v>2038</v>
      </c>
      <c r="R90" t="s">
        <v>2632</v>
      </c>
      <c r="S90">
        <v>38</v>
      </c>
      <c r="T90" s="43" t="str">
        <f>HYPERLINK("https://ictv.global/ictv/proposals/2022.002D.Herpesvirales_9nsp.zip","2022.002D.Herpesvirales_9nsp.zip")</f>
        <v>2022.002D.Herpesvirales_9nsp.zip</v>
      </c>
      <c r="U90" s="43" t="str">
        <f>HYPERLINK("https://ictv.global/taxonomy/taxondetails?taxnode_id=202214017","ictv.global=202214017")</f>
        <v>ictv.global=202214017</v>
      </c>
    </row>
    <row r="91" spans="1:21">
      <c r="A91">
        <v>90</v>
      </c>
      <c r="B91" s="29" t="s">
        <v>3682</v>
      </c>
      <c r="C91" s="29"/>
      <c r="D91" s="29" t="s">
        <v>3683</v>
      </c>
      <c r="E91" s="29"/>
      <c r="F91" s="29" t="s">
        <v>3684</v>
      </c>
      <c r="G91" s="29"/>
      <c r="H91" s="29" t="s">
        <v>3685</v>
      </c>
      <c r="I91" s="29"/>
      <c r="J91" s="29" t="s">
        <v>694</v>
      </c>
      <c r="K91" s="29"/>
      <c r="L91" s="29" t="s">
        <v>6936</v>
      </c>
      <c r="M91" s="29" t="s">
        <v>696</v>
      </c>
      <c r="N91" s="29" t="s">
        <v>961</v>
      </c>
      <c r="O91" s="29"/>
      <c r="P91" s="29" t="s">
        <v>6979</v>
      </c>
      <c r="Q91" t="s">
        <v>2038</v>
      </c>
      <c r="R91" t="s">
        <v>2635</v>
      </c>
      <c r="S91">
        <v>38</v>
      </c>
      <c r="T91" s="43" t="str">
        <f t="shared" ref="T91:T112" si="5">HYPERLINK("https://ictv.global/ictv/proposals/2022.001D.Herpesvirales_1renfam_4rengen_124rensp_6absp.zip","2022.001D.Herpesvirales_1renfam_4rengen_124rensp_6absp.zip")</f>
        <v>2022.001D.Herpesvirales_1renfam_4rengen_124rensp_6absp.zip</v>
      </c>
      <c r="U91" s="43" t="str">
        <f>HYPERLINK("https://ictv.global/taxonomy/taxondetails?taxnode_id=202201451","ictv.global=202201451")</f>
        <v>ictv.global=202201451</v>
      </c>
    </row>
    <row r="92" spans="1:21">
      <c r="A92">
        <v>91</v>
      </c>
      <c r="B92" s="29" t="s">
        <v>3682</v>
      </c>
      <c r="C92" s="29"/>
      <c r="D92" s="29" t="s">
        <v>3683</v>
      </c>
      <c r="E92" s="29"/>
      <c r="F92" s="29" t="s">
        <v>3684</v>
      </c>
      <c r="G92" s="29"/>
      <c r="H92" s="29" t="s">
        <v>3685</v>
      </c>
      <c r="I92" s="29"/>
      <c r="J92" s="29" t="s">
        <v>694</v>
      </c>
      <c r="K92" s="29"/>
      <c r="L92" s="29" t="s">
        <v>6936</v>
      </c>
      <c r="M92" s="29" t="s">
        <v>696</v>
      </c>
      <c r="N92" s="29" t="s">
        <v>961</v>
      </c>
      <c r="O92" s="29"/>
      <c r="P92" s="29" t="s">
        <v>6980</v>
      </c>
      <c r="Q92" t="s">
        <v>2038</v>
      </c>
      <c r="R92" t="s">
        <v>2635</v>
      </c>
      <c r="S92">
        <v>38</v>
      </c>
      <c r="T92" s="43" t="str">
        <f t="shared" si="5"/>
        <v>2022.001D.Herpesvirales_1renfam_4rengen_124rensp_6absp.zip</v>
      </c>
      <c r="U92" s="43" t="str">
        <f>HYPERLINK("https://ictv.global/taxonomy/taxondetails?taxnode_id=202201452","ictv.global=202201452")</f>
        <v>ictv.global=202201452</v>
      </c>
    </row>
    <row r="93" spans="1:21">
      <c r="A93">
        <v>92</v>
      </c>
      <c r="B93" s="29" t="s">
        <v>3682</v>
      </c>
      <c r="C93" s="29"/>
      <c r="D93" s="29" t="s">
        <v>3683</v>
      </c>
      <c r="E93" s="29"/>
      <c r="F93" s="29" t="s">
        <v>3684</v>
      </c>
      <c r="G93" s="29"/>
      <c r="H93" s="29" t="s">
        <v>3685</v>
      </c>
      <c r="I93" s="29"/>
      <c r="J93" s="29" t="s">
        <v>694</v>
      </c>
      <c r="K93" s="29"/>
      <c r="L93" s="29" t="s">
        <v>6936</v>
      </c>
      <c r="M93" s="29" t="s">
        <v>696</v>
      </c>
      <c r="N93" s="29" t="s">
        <v>961</v>
      </c>
      <c r="O93" s="29"/>
      <c r="P93" s="29" t="s">
        <v>6981</v>
      </c>
      <c r="Q93" t="s">
        <v>2038</v>
      </c>
      <c r="R93" t="s">
        <v>2635</v>
      </c>
      <c r="S93">
        <v>38</v>
      </c>
      <c r="T93" s="43" t="str">
        <f t="shared" si="5"/>
        <v>2022.001D.Herpesvirales_1renfam_4rengen_124rensp_6absp.zip</v>
      </c>
      <c r="U93" s="43" t="str">
        <f>HYPERLINK("https://ictv.global/taxonomy/taxondetails?taxnode_id=202201453","ictv.global=202201453")</f>
        <v>ictv.global=202201453</v>
      </c>
    </row>
    <row r="94" spans="1:21">
      <c r="A94">
        <v>93</v>
      </c>
      <c r="B94" s="29" t="s">
        <v>3682</v>
      </c>
      <c r="C94" s="29"/>
      <c r="D94" s="29" t="s">
        <v>3683</v>
      </c>
      <c r="E94" s="29"/>
      <c r="F94" s="29" t="s">
        <v>3684</v>
      </c>
      <c r="G94" s="29"/>
      <c r="H94" s="29" t="s">
        <v>3685</v>
      </c>
      <c r="I94" s="29"/>
      <c r="J94" s="29" t="s">
        <v>694</v>
      </c>
      <c r="K94" s="29"/>
      <c r="L94" s="29" t="s">
        <v>6936</v>
      </c>
      <c r="M94" s="29" t="s">
        <v>696</v>
      </c>
      <c r="N94" s="29" t="s">
        <v>961</v>
      </c>
      <c r="O94" s="29"/>
      <c r="P94" s="29" t="s">
        <v>6982</v>
      </c>
      <c r="Q94" t="s">
        <v>2038</v>
      </c>
      <c r="R94" t="s">
        <v>2635</v>
      </c>
      <c r="S94">
        <v>38</v>
      </c>
      <c r="T94" s="43" t="str">
        <f t="shared" si="5"/>
        <v>2022.001D.Herpesvirales_1renfam_4rengen_124rensp_6absp.zip</v>
      </c>
      <c r="U94" s="43" t="str">
        <f>HYPERLINK("https://ictv.global/taxonomy/taxondetails?taxnode_id=202201454","ictv.global=202201454")</f>
        <v>ictv.global=202201454</v>
      </c>
    </row>
    <row r="95" spans="1:21">
      <c r="A95">
        <v>94</v>
      </c>
      <c r="B95" s="29" t="s">
        <v>3682</v>
      </c>
      <c r="C95" s="29"/>
      <c r="D95" s="29" t="s">
        <v>3683</v>
      </c>
      <c r="E95" s="29"/>
      <c r="F95" s="29" t="s">
        <v>3684</v>
      </c>
      <c r="G95" s="29"/>
      <c r="H95" s="29" t="s">
        <v>3685</v>
      </c>
      <c r="I95" s="29"/>
      <c r="J95" s="29" t="s">
        <v>694</v>
      </c>
      <c r="K95" s="29"/>
      <c r="L95" s="29" t="s">
        <v>6936</v>
      </c>
      <c r="M95" s="29" t="s">
        <v>696</v>
      </c>
      <c r="N95" s="29" t="s">
        <v>961</v>
      </c>
      <c r="O95" s="29"/>
      <c r="P95" s="29" t="s">
        <v>6983</v>
      </c>
      <c r="Q95" t="s">
        <v>2038</v>
      </c>
      <c r="R95" t="s">
        <v>2635</v>
      </c>
      <c r="S95">
        <v>38</v>
      </c>
      <c r="T95" s="43" t="str">
        <f t="shared" si="5"/>
        <v>2022.001D.Herpesvirales_1renfam_4rengen_124rensp_6absp.zip</v>
      </c>
      <c r="U95" s="43" t="str">
        <f>HYPERLINK("https://ictv.global/taxonomy/taxondetails?taxnode_id=202206396","ictv.global=202206396")</f>
        <v>ictv.global=202206396</v>
      </c>
    </row>
    <row r="96" spans="1:21">
      <c r="A96">
        <v>95</v>
      </c>
      <c r="B96" s="29" t="s">
        <v>3682</v>
      </c>
      <c r="C96" s="29"/>
      <c r="D96" s="29" t="s">
        <v>3683</v>
      </c>
      <c r="E96" s="29"/>
      <c r="F96" s="29" t="s">
        <v>3684</v>
      </c>
      <c r="G96" s="29"/>
      <c r="H96" s="29" t="s">
        <v>3685</v>
      </c>
      <c r="I96" s="29"/>
      <c r="J96" s="29" t="s">
        <v>694</v>
      </c>
      <c r="K96" s="29"/>
      <c r="L96" s="29" t="s">
        <v>6936</v>
      </c>
      <c r="M96" s="29" t="s">
        <v>696</v>
      </c>
      <c r="N96" s="29" t="s">
        <v>961</v>
      </c>
      <c r="O96" s="29"/>
      <c r="P96" s="29" t="s">
        <v>6984</v>
      </c>
      <c r="Q96" t="s">
        <v>2038</v>
      </c>
      <c r="R96" t="s">
        <v>2635</v>
      </c>
      <c r="S96">
        <v>38</v>
      </c>
      <c r="T96" s="43" t="str">
        <f t="shared" si="5"/>
        <v>2022.001D.Herpesvirales_1renfam_4rengen_124rensp_6absp.zip</v>
      </c>
      <c r="U96" s="43" t="str">
        <f>HYPERLINK("https://ictv.global/taxonomy/taxondetails?taxnode_id=202201455","ictv.global=202201455")</f>
        <v>ictv.global=202201455</v>
      </c>
    </row>
    <row r="97" spans="1:21">
      <c r="A97">
        <v>96</v>
      </c>
      <c r="B97" s="29" t="s">
        <v>3682</v>
      </c>
      <c r="C97" s="29"/>
      <c r="D97" s="29" t="s">
        <v>3683</v>
      </c>
      <c r="E97" s="29"/>
      <c r="F97" s="29" t="s">
        <v>3684</v>
      </c>
      <c r="G97" s="29"/>
      <c r="H97" s="29" t="s">
        <v>3685</v>
      </c>
      <c r="I97" s="29"/>
      <c r="J97" s="29" t="s">
        <v>694</v>
      </c>
      <c r="K97" s="29"/>
      <c r="L97" s="29" t="s">
        <v>6936</v>
      </c>
      <c r="M97" s="29" t="s">
        <v>696</v>
      </c>
      <c r="N97" s="29" t="s">
        <v>961</v>
      </c>
      <c r="O97" s="29"/>
      <c r="P97" s="29" t="s">
        <v>6985</v>
      </c>
      <c r="Q97" t="s">
        <v>2038</v>
      </c>
      <c r="R97" t="s">
        <v>2635</v>
      </c>
      <c r="S97">
        <v>38</v>
      </c>
      <c r="T97" s="43" t="str">
        <f t="shared" si="5"/>
        <v>2022.001D.Herpesvirales_1renfam_4rengen_124rensp_6absp.zip</v>
      </c>
      <c r="U97" s="43" t="str">
        <f>HYPERLINK("https://ictv.global/taxonomy/taxondetails?taxnode_id=202201456","ictv.global=202201456")</f>
        <v>ictv.global=202201456</v>
      </c>
    </row>
    <row r="98" spans="1:21">
      <c r="A98">
        <v>97</v>
      </c>
      <c r="B98" s="29" t="s">
        <v>3682</v>
      </c>
      <c r="C98" s="29"/>
      <c r="D98" s="29" t="s">
        <v>3683</v>
      </c>
      <c r="E98" s="29"/>
      <c r="F98" s="29" t="s">
        <v>3684</v>
      </c>
      <c r="G98" s="29"/>
      <c r="H98" s="29" t="s">
        <v>3685</v>
      </c>
      <c r="I98" s="29"/>
      <c r="J98" s="29" t="s">
        <v>694</v>
      </c>
      <c r="K98" s="29"/>
      <c r="L98" s="29" t="s">
        <v>6936</v>
      </c>
      <c r="M98" s="29" t="s">
        <v>1039</v>
      </c>
      <c r="N98" s="29" t="s">
        <v>546</v>
      </c>
      <c r="O98" s="29"/>
      <c r="P98" s="29" t="s">
        <v>6986</v>
      </c>
      <c r="Q98" t="s">
        <v>2038</v>
      </c>
      <c r="R98" t="s">
        <v>2635</v>
      </c>
      <c r="S98">
        <v>38</v>
      </c>
      <c r="T98" s="43" t="str">
        <f t="shared" si="5"/>
        <v>2022.001D.Herpesvirales_1renfam_4rengen_124rensp_6absp.zip</v>
      </c>
      <c r="U98" s="43" t="str">
        <f>HYPERLINK("https://ictv.global/taxonomy/taxondetails?taxnode_id=202201459","ictv.global=202201459")</f>
        <v>ictv.global=202201459</v>
      </c>
    </row>
    <row r="99" spans="1:21">
      <c r="A99">
        <v>98</v>
      </c>
      <c r="B99" s="29" t="s">
        <v>3682</v>
      </c>
      <c r="C99" s="29"/>
      <c r="D99" s="29" t="s">
        <v>3683</v>
      </c>
      <c r="E99" s="29"/>
      <c r="F99" s="29" t="s">
        <v>3684</v>
      </c>
      <c r="G99" s="29"/>
      <c r="H99" s="29" t="s">
        <v>3685</v>
      </c>
      <c r="I99" s="29"/>
      <c r="J99" s="29" t="s">
        <v>694</v>
      </c>
      <c r="K99" s="29"/>
      <c r="L99" s="29" t="s">
        <v>6936</v>
      </c>
      <c r="M99" s="29" t="s">
        <v>1039</v>
      </c>
      <c r="N99" s="29" t="s">
        <v>546</v>
      </c>
      <c r="O99" s="29"/>
      <c r="P99" s="29" t="s">
        <v>6987</v>
      </c>
      <c r="Q99" t="s">
        <v>2038</v>
      </c>
      <c r="R99" t="s">
        <v>2635</v>
      </c>
      <c r="S99">
        <v>38</v>
      </c>
      <c r="T99" s="43" t="str">
        <f t="shared" si="5"/>
        <v>2022.001D.Herpesvirales_1renfam_4rengen_124rensp_6absp.zip</v>
      </c>
      <c r="U99" s="43" t="str">
        <f>HYPERLINK("https://ictv.global/taxonomy/taxondetails?taxnode_id=202201460","ictv.global=202201460")</f>
        <v>ictv.global=202201460</v>
      </c>
    </row>
    <row r="100" spans="1:21">
      <c r="A100">
        <v>99</v>
      </c>
      <c r="B100" s="29" t="s">
        <v>3682</v>
      </c>
      <c r="C100" s="29"/>
      <c r="D100" s="29" t="s">
        <v>3683</v>
      </c>
      <c r="E100" s="29"/>
      <c r="F100" s="29" t="s">
        <v>3684</v>
      </c>
      <c r="G100" s="29"/>
      <c r="H100" s="29" t="s">
        <v>3685</v>
      </c>
      <c r="I100" s="29"/>
      <c r="J100" s="29" t="s">
        <v>694</v>
      </c>
      <c r="K100" s="29"/>
      <c r="L100" s="29" t="s">
        <v>6936</v>
      </c>
      <c r="M100" s="29" t="s">
        <v>1039</v>
      </c>
      <c r="N100" s="29" t="s">
        <v>546</v>
      </c>
      <c r="O100" s="29"/>
      <c r="P100" s="29" t="s">
        <v>6988</v>
      </c>
      <c r="Q100" t="s">
        <v>2038</v>
      </c>
      <c r="R100" t="s">
        <v>2635</v>
      </c>
      <c r="S100">
        <v>38</v>
      </c>
      <c r="T100" s="43" t="str">
        <f t="shared" si="5"/>
        <v>2022.001D.Herpesvirales_1renfam_4rengen_124rensp_6absp.zip</v>
      </c>
      <c r="U100" s="43" t="str">
        <f>HYPERLINK("https://ictv.global/taxonomy/taxondetails?taxnode_id=202201461","ictv.global=202201461")</f>
        <v>ictv.global=202201461</v>
      </c>
    </row>
    <row r="101" spans="1:21">
      <c r="A101">
        <v>100</v>
      </c>
      <c r="B101" s="29" t="s">
        <v>3682</v>
      </c>
      <c r="C101" s="29"/>
      <c r="D101" s="29" t="s">
        <v>3683</v>
      </c>
      <c r="E101" s="29"/>
      <c r="F101" s="29" t="s">
        <v>3684</v>
      </c>
      <c r="G101" s="29"/>
      <c r="H101" s="29" t="s">
        <v>3685</v>
      </c>
      <c r="I101" s="29"/>
      <c r="J101" s="29" t="s">
        <v>694</v>
      </c>
      <c r="K101" s="29"/>
      <c r="L101" s="29" t="s">
        <v>6936</v>
      </c>
      <c r="M101" s="29" t="s">
        <v>1039</v>
      </c>
      <c r="N101" s="29" t="s">
        <v>546</v>
      </c>
      <c r="O101" s="29"/>
      <c r="P101" s="29" t="s">
        <v>6989</v>
      </c>
      <c r="Q101" t="s">
        <v>2038</v>
      </c>
      <c r="R101" t="s">
        <v>2635</v>
      </c>
      <c r="S101">
        <v>38</v>
      </c>
      <c r="T101" s="43" t="str">
        <f t="shared" si="5"/>
        <v>2022.001D.Herpesvirales_1renfam_4rengen_124rensp_6absp.zip</v>
      </c>
      <c r="U101" s="43" t="str">
        <f>HYPERLINK("https://ictv.global/taxonomy/taxondetails?taxnode_id=202201462","ictv.global=202201462")</f>
        <v>ictv.global=202201462</v>
      </c>
    </row>
    <row r="102" spans="1:21">
      <c r="A102">
        <v>101</v>
      </c>
      <c r="B102" s="29" t="s">
        <v>3682</v>
      </c>
      <c r="C102" s="29"/>
      <c r="D102" s="29" t="s">
        <v>3683</v>
      </c>
      <c r="E102" s="29"/>
      <c r="F102" s="29" t="s">
        <v>3684</v>
      </c>
      <c r="G102" s="29"/>
      <c r="H102" s="29" t="s">
        <v>3685</v>
      </c>
      <c r="I102" s="29"/>
      <c r="J102" s="29" t="s">
        <v>694</v>
      </c>
      <c r="K102" s="29"/>
      <c r="L102" s="29" t="s">
        <v>6936</v>
      </c>
      <c r="M102" s="29" t="s">
        <v>1039</v>
      </c>
      <c r="N102" s="29" t="s">
        <v>546</v>
      </c>
      <c r="O102" s="29"/>
      <c r="P102" s="29" t="s">
        <v>6990</v>
      </c>
      <c r="Q102" t="s">
        <v>2038</v>
      </c>
      <c r="R102" t="s">
        <v>2635</v>
      </c>
      <c r="S102">
        <v>38</v>
      </c>
      <c r="T102" s="43" t="str">
        <f t="shared" si="5"/>
        <v>2022.001D.Herpesvirales_1renfam_4rengen_124rensp_6absp.zip</v>
      </c>
      <c r="U102" s="43" t="str">
        <f>HYPERLINK("https://ictv.global/taxonomy/taxondetails?taxnode_id=202201463","ictv.global=202201463")</f>
        <v>ictv.global=202201463</v>
      </c>
    </row>
    <row r="103" spans="1:21">
      <c r="A103">
        <v>102</v>
      </c>
      <c r="B103" s="29" t="s">
        <v>3682</v>
      </c>
      <c r="C103" s="29"/>
      <c r="D103" s="29" t="s">
        <v>3683</v>
      </c>
      <c r="E103" s="29"/>
      <c r="F103" s="29" t="s">
        <v>3684</v>
      </c>
      <c r="G103" s="29"/>
      <c r="H103" s="29" t="s">
        <v>3685</v>
      </c>
      <c r="I103" s="29"/>
      <c r="J103" s="29" t="s">
        <v>694</v>
      </c>
      <c r="K103" s="29"/>
      <c r="L103" s="29" t="s">
        <v>6936</v>
      </c>
      <c r="M103" s="29" t="s">
        <v>1039</v>
      </c>
      <c r="N103" s="29" t="s">
        <v>546</v>
      </c>
      <c r="O103" s="29"/>
      <c r="P103" s="29" t="s">
        <v>6991</v>
      </c>
      <c r="Q103" t="s">
        <v>2038</v>
      </c>
      <c r="R103" t="s">
        <v>2635</v>
      </c>
      <c r="S103">
        <v>38</v>
      </c>
      <c r="T103" s="43" t="str">
        <f t="shared" si="5"/>
        <v>2022.001D.Herpesvirales_1renfam_4rengen_124rensp_6absp.zip</v>
      </c>
      <c r="U103" s="43" t="str">
        <f>HYPERLINK("https://ictv.global/taxonomy/taxondetails?taxnode_id=202206399","ictv.global=202206399")</f>
        <v>ictv.global=202206399</v>
      </c>
    </row>
    <row r="104" spans="1:21">
      <c r="A104">
        <v>103</v>
      </c>
      <c r="B104" s="29" t="s">
        <v>3682</v>
      </c>
      <c r="C104" s="29"/>
      <c r="D104" s="29" t="s">
        <v>3683</v>
      </c>
      <c r="E104" s="29"/>
      <c r="F104" s="29" t="s">
        <v>3684</v>
      </c>
      <c r="G104" s="29"/>
      <c r="H104" s="29" t="s">
        <v>3685</v>
      </c>
      <c r="I104" s="29"/>
      <c r="J104" s="29" t="s">
        <v>694</v>
      </c>
      <c r="K104" s="29"/>
      <c r="L104" s="29" t="s">
        <v>6936</v>
      </c>
      <c r="M104" s="29" t="s">
        <v>1039</v>
      </c>
      <c r="N104" s="29" t="s">
        <v>546</v>
      </c>
      <c r="O104" s="29"/>
      <c r="P104" s="29" t="s">
        <v>6992</v>
      </c>
      <c r="Q104" t="s">
        <v>2038</v>
      </c>
      <c r="R104" t="s">
        <v>2635</v>
      </c>
      <c r="S104">
        <v>38</v>
      </c>
      <c r="T104" s="43" t="str">
        <f t="shared" si="5"/>
        <v>2022.001D.Herpesvirales_1renfam_4rengen_124rensp_6absp.zip</v>
      </c>
      <c r="U104" s="43" t="str">
        <f>HYPERLINK("https://ictv.global/taxonomy/taxondetails?taxnode_id=202206400","ictv.global=202206400")</f>
        <v>ictv.global=202206400</v>
      </c>
    </row>
    <row r="105" spans="1:21">
      <c r="A105">
        <v>104</v>
      </c>
      <c r="B105" s="29" t="s">
        <v>3682</v>
      </c>
      <c r="C105" s="29"/>
      <c r="D105" s="29" t="s">
        <v>3683</v>
      </c>
      <c r="E105" s="29"/>
      <c r="F105" s="29" t="s">
        <v>3684</v>
      </c>
      <c r="G105" s="29"/>
      <c r="H105" s="29" t="s">
        <v>3685</v>
      </c>
      <c r="I105" s="29"/>
      <c r="J105" s="29" t="s">
        <v>694</v>
      </c>
      <c r="K105" s="29"/>
      <c r="L105" s="29" t="s">
        <v>6936</v>
      </c>
      <c r="M105" s="29" t="s">
        <v>1039</v>
      </c>
      <c r="N105" s="29" t="s">
        <v>546</v>
      </c>
      <c r="O105" s="29"/>
      <c r="P105" s="29" t="s">
        <v>6993</v>
      </c>
      <c r="Q105" t="s">
        <v>2038</v>
      </c>
      <c r="R105" t="s">
        <v>2635</v>
      </c>
      <c r="S105">
        <v>38</v>
      </c>
      <c r="T105" s="43" t="str">
        <f t="shared" si="5"/>
        <v>2022.001D.Herpesvirales_1renfam_4rengen_124rensp_6absp.zip</v>
      </c>
      <c r="U105" s="43" t="str">
        <f>HYPERLINK("https://ictv.global/taxonomy/taxondetails?taxnode_id=202201464","ictv.global=202201464")</f>
        <v>ictv.global=202201464</v>
      </c>
    </row>
    <row r="106" spans="1:21">
      <c r="A106">
        <v>105</v>
      </c>
      <c r="B106" s="29" t="s">
        <v>3682</v>
      </c>
      <c r="C106" s="29"/>
      <c r="D106" s="29" t="s">
        <v>3683</v>
      </c>
      <c r="E106" s="29"/>
      <c r="F106" s="29" t="s">
        <v>3684</v>
      </c>
      <c r="G106" s="29"/>
      <c r="H106" s="29" t="s">
        <v>3685</v>
      </c>
      <c r="I106" s="29"/>
      <c r="J106" s="29" t="s">
        <v>694</v>
      </c>
      <c r="K106" s="29"/>
      <c r="L106" s="29" t="s">
        <v>6936</v>
      </c>
      <c r="M106" s="29" t="s">
        <v>1039</v>
      </c>
      <c r="N106" s="29" t="s">
        <v>546</v>
      </c>
      <c r="O106" s="29"/>
      <c r="P106" s="29" t="s">
        <v>6994</v>
      </c>
      <c r="Q106" t="s">
        <v>2038</v>
      </c>
      <c r="R106" t="s">
        <v>2635</v>
      </c>
      <c r="S106">
        <v>38</v>
      </c>
      <c r="T106" s="43" t="str">
        <f t="shared" si="5"/>
        <v>2022.001D.Herpesvirales_1renfam_4rengen_124rensp_6absp.zip</v>
      </c>
      <c r="U106" s="43" t="str">
        <f>HYPERLINK("https://ictv.global/taxonomy/taxondetails?taxnode_id=202201465","ictv.global=202201465")</f>
        <v>ictv.global=202201465</v>
      </c>
    </row>
    <row r="107" spans="1:21">
      <c r="A107">
        <v>106</v>
      </c>
      <c r="B107" s="29" t="s">
        <v>3682</v>
      </c>
      <c r="C107" s="29"/>
      <c r="D107" s="29" t="s">
        <v>3683</v>
      </c>
      <c r="E107" s="29"/>
      <c r="F107" s="29" t="s">
        <v>3684</v>
      </c>
      <c r="G107" s="29"/>
      <c r="H107" s="29" t="s">
        <v>3685</v>
      </c>
      <c r="I107" s="29"/>
      <c r="J107" s="29" t="s">
        <v>694</v>
      </c>
      <c r="K107" s="29"/>
      <c r="L107" s="29" t="s">
        <v>6936</v>
      </c>
      <c r="M107" s="29" t="s">
        <v>1039</v>
      </c>
      <c r="N107" s="29" t="s">
        <v>546</v>
      </c>
      <c r="O107" s="29"/>
      <c r="P107" s="29" t="s">
        <v>6995</v>
      </c>
      <c r="Q107" t="s">
        <v>2038</v>
      </c>
      <c r="R107" t="s">
        <v>2635</v>
      </c>
      <c r="S107">
        <v>38</v>
      </c>
      <c r="T107" s="43" t="str">
        <f t="shared" si="5"/>
        <v>2022.001D.Herpesvirales_1renfam_4rengen_124rensp_6absp.zip</v>
      </c>
      <c r="U107" s="43" t="str">
        <f>HYPERLINK("https://ictv.global/taxonomy/taxondetails?taxnode_id=202206401","ictv.global=202206401")</f>
        <v>ictv.global=202206401</v>
      </c>
    </row>
    <row r="108" spans="1:21">
      <c r="A108">
        <v>107</v>
      </c>
      <c r="B108" s="29" t="s">
        <v>3682</v>
      </c>
      <c r="C108" s="29"/>
      <c r="D108" s="29" t="s">
        <v>3683</v>
      </c>
      <c r="E108" s="29"/>
      <c r="F108" s="29" t="s">
        <v>3684</v>
      </c>
      <c r="G108" s="29"/>
      <c r="H108" s="29" t="s">
        <v>3685</v>
      </c>
      <c r="I108" s="29"/>
      <c r="J108" s="29" t="s">
        <v>694</v>
      </c>
      <c r="K108" s="29"/>
      <c r="L108" s="29" t="s">
        <v>6936</v>
      </c>
      <c r="M108" s="29" t="s">
        <v>1039</v>
      </c>
      <c r="N108" s="29" t="s">
        <v>546</v>
      </c>
      <c r="O108" s="29"/>
      <c r="P108" s="29" t="s">
        <v>6996</v>
      </c>
      <c r="Q108" t="s">
        <v>2038</v>
      </c>
      <c r="R108" t="s">
        <v>2635</v>
      </c>
      <c r="S108">
        <v>38</v>
      </c>
      <c r="T108" s="43" t="str">
        <f t="shared" si="5"/>
        <v>2022.001D.Herpesvirales_1renfam_4rengen_124rensp_6absp.zip</v>
      </c>
      <c r="U108" s="43" t="str">
        <f>HYPERLINK("https://ictv.global/taxonomy/taxondetails?taxnode_id=202201466","ictv.global=202201466")</f>
        <v>ictv.global=202201466</v>
      </c>
    </row>
    <row r="109" spans="1:21">
      <c r="A109">
        <v>108</v>
      </c>
      <c r="B109" s="29" t="s">
        <v>3682</v>
      </c>
      <c r="C109" s="29"/>
      <c r="D109" s="29" t="s">
        <v>3683</v>
      </c>
      <c r="E109" s="29"/>
      <c r="F109" s="29" t="s">
        <v>3684</v>
      </c>
      <c r="G109" s="29"/>
      <c r="H109" s="29" t="s">
        <v>3685</v>
      </c>
      <c r="I109" s="29"/>
      <c r="J109" s="29" t="s">
        <v>694</v>
      </c>
      <c r="K109" s="29"/>
      <c r="L109" s="29" t="s">
        <v>6936</v>
      </c>
      <c r="M109" s="29" t="s">
        <v>1039</v>
      </c>
      <c r="N109" s="29" t="s">
        <v>547</v>
      </c>
      <c r="O109" s="29"/>
      <c r="P109" s="29" t="s">
        <v>6997</v>
      </c>
      <c r="Q109" t="s">
        <v>2038</v>
      </c>
      <c r="R109" t="s">
        <v>2635</v>
      </c>
      <c r="S109">
        <v>38</v>
      </c>
      <c r="T109" s="43" t="str">
        <f t="shared" si="5"/>
        <v>2022.001D.Herpesvirales_1renfam_4rengen_124rensp_6absp.zip</v>
      </c>
      <c r="U109" s="43" t="str">
        <f>HYPERLINK("https://ictv.global/taxonomy/taxondetails?taxnode_id=202201468","ictv.global=202201468")</f>
        <v>ictv.global=202201468</v>
      </c>
    </row>
    <row r="110" spans="1:21">
      <c r="A110">
        <v>109</v>
      </c>
      <c r="B110" s="29" t="s">
        <v>3682</v>
      </c>
      <c r="C110" s="29"/>
      <c r="D110" s="29" t="s">
        <v>3683</v>
      </c>
      <c r="E110" s="29"/>
      <c r="F110" s="29" t="s">
        <v>3684</v>
      </c>
      <c r="G110" s="29"/>
      <c r="H110" s="29" t="s">
        <v>3685</v>
      </c>
      <c r="I110" s="29"/>
      <c r="J110" s="29" t="s">
        <v>694</v>
      </c>
      <c r="K110" s="29"/>
      <c r="L110" s="29" t="s">
        <v>6936</v>
      </c>
      <c r="M110" s="29" t="s">
        <v>1039</v>
      </c>
      <c r="N110" s="29" t="s">
        <v>547</v>
      </c>
      <c r="O110" s="29"/>
      <c r="P110" s="29" t="s">
        <v>6998</v>
      </c>
      <c r="Q110" t="s">
        <v>2038</v>
      </c>
      <c r="R110" t="s">
        <v>2635</v>
      </c>
      <c r="S110">
        <v>38</v>
      </c>
      <c r="T110" s="43" t="str">
        <f t="shared" si="5"/>
        <v>2022.001D.Herpesvirales_1renfam_4rengen_124rensp_6absp.zip</v>
      </c>
      <c r="U110" s="43" t="str">
        <f>HYPERLINK("https://ictv.global/taxonomy/taxondetails?taxnode_id=202201469","ictv.global=202201469")</f>
        <v>ictv.global=202201469</v>
      </c>
    </row>
    <row r="111" spans="1:21">
      <c r="A111">
        <v>110</v>
      </c>
      <c r="B111" s="29" t="s">
        <v>3682</v>
      </c>
      <c r="C111" s="29"/>
      <c r="D111" s="29" t="s">
        <v>3683</v>
      </c>
      <c r="E111" s="29"/>
      <c r="F111" s="29" t="s">
        <v>3684</v>
      </c>
      <c r="G111" s="29"/>
      <c r="H111" s="29" t="s">
        <v>3685</v>
      </c>
      <c r="I111" s="29"/>
      <c r="J111" s="29" t="s">
        <v>694</v>
      </c>
      <c r="K111" s="29"/>
      <c r="L111" s="29" t="s">
        <v>6936</v>
      </c>
      <c r="M111" s="29" t="s">
        <v>1039</v>
      </c>
      <c r="N111" s="29" t="s">
        <v>547</v>
      </c>
      <c r="O111" s="29"/>
      <c r="P111" s="29" t="s">
        <v>6999</v>
      </c>
      <c r="Q111" t="s">
        <v>2038</v>
      </c>
      <c r="R111" t="s">
        <v>2635</v>
      </c>
      <c r="S111">
        <v>38</v>
      </c>
      <c r="T111" s="43" t="str">
        <f t="shared" si="5"/>
        <v>2022.001D.Herpesvirales_1renfam_4rengen_124rensp_6absp.zip</v>
      </c>
      <c r="U111" s="43" t="str">
        <f>HYPERLINK("https://ictv.global/taxonomy/taxondetails?taxnode_id=202201470","ictv.global=202201470")</f>
        <v>ictv.global=202201470</v>
      </c>
    </row>
    <row r="112" spans="1:21">
      <c r="A112">
        <v>111</v>
      </c>
      <c r="B112" s="29" t="s">
        <v>3682</v>
      </c>
      <c r="C112" s="29"/>
      <c r="D112" s="29" t="s">
        <v>3683</v>
      </c>
      <c r="E112" s="29"/>
      <c r="F112" s="29" t="s">
        <v>3684</v>
      </c>
      <c r="G112" s="29"/>
      <c r="H112" s="29" t="s">
        <v>3685</v>
      </c>
      <c r="I112" s="29"/>
      <c r="J112" s="29" t="s">
        <v>694</v>
      </c>
      <c r="K112" s="29"/>
      <c r="L112" s="29" t="s">
        <v>6936</v>
      </c>
      <c r="M112" s="29" t="s">
        <v>1039</v>
      </c>
      <c r="N112" s="29" t="s">
        <v>1041</v>
      </c>
      <c r="O112" s="29"/>
      <c r="P112" s="29" t="s">
        <v>7000</v>
      </c>
      <c r="Q112" t="s">
        <v>2038</v>
      </c>
      <c r="R112" t="s">
        <v>2635</v>
      </c>
      <c r="S112">
        <v>38</v>
      </c>
      <c r="T112" s="43" t="str">
        <f t="shared" si="5"/>
        <v>2022.001D.Herpesvirales_1renfam_4rengen_124rensp_6absp.zip</v>
      </c>
      <c r="U112" s="43" t="str">
        <f>HYPERLINK("https://ictv.global/taxonomy/taxondetails?taxnode_id=202201472","ictv.global=202201472")</f>
        <v>ictv.global=202201472</v>
      </c>
    </row>
    <row r="113" spans="1:21">
      <c r="A113">
        <v>112</v>
      </c>
      <c r="B113" s="29" t="s">
        <v>3682</v>
      </c>
      <c r="C113" s="29"/>
      <c r="D113" s="29" t="s">
        <v>3683</v>
      </c>
      <c r="E113" s="29"/>
      <c r="F113" s="29" t="s">
        <v>3684</v>
      </c>
      <c r="G113" s="29"/>
      <c r="H113" s="29" t="s">
        <v>3685</v>
      </c>
      <c r="I113" s="29"/>
      <c r="J113" s="29" t="s">
        <v>694</v>
      </c>
      <c r="K113" s="29"/>
      <c r="L113" s="29" t="s">
        <v>6936</v>
      </c>
      <c r="M113" s="29" t="s">
        <v>1039</v>
      </c>
      <c r="N113" s="29" t="s">
        <v>1041</v>
      </c>
      <c r="O113" s="29"/>
      <c r="P113" s="29" t="s">
        <v>7001</v>
      </c>
      <c r="Q113" t="s">
        <v>2038</v>
      </c>
      <c r="R113" t="s">
        <v>2632</v>
      </c>
      <c r="S113">
        <v>38</v>
      </c>
      <c r="T113" s="43" t="str">
        <f>HYPERLINK("https://ictv.global/ictv/proposals/2022.002D.Herpesvirales_9nsp.zip","2022.002D.Herpesvirales_9nsp.zip")</f>
        <v>2022.002D.Herpesvirales_9nsp.zip</v>
      </c>
      <c r="U113" s="43" t="str">
        <f>HYPERLINK("https://ictv.global/taxonomy/taxondetails?taxnode_id=202214018","ictv.global=202214018")</f>
        <v>ictv.global=202214018</v>
      </c>
    </row>
    <row r="114" spans="1:21">
      <c r="A114">
        <v>113</v>
      </c>
      <c r="B114" s="29" t="s">
        <v>3682</v>
      </c>
      <c r="C114" s="29"/>
      <c r="D114" s="29" t="s">
        <v>3683</v>
      </c>
      <c r="E114" s="29"/>
      <c r="F114" s="29" t="s">
        <v>3684</v>
      </c>
      <c r="G114" s="29"/>
      <c r="H114" s="29" t="s">
        <v>3685</v>
      </c>
      <c r="I114" s="29"/>
      <c r="J114" s="29" t="s">
        <v>694</v>
      </c>
      <c r="K114" s="29"/>
      <c r="L114" s="29" t="s">
        <v>6936</v>
      </c>
      <c r="M114" s="29" t="s">
        <v>1039</v>
      </c>
      <c r="N114" s="29" t="s">
        <v>1041</v>
      </c>
      <c r="O114" s="29"/>
      <c r="P114" s="29" t="s">
        <v>7002</v>
      </c>
      <c r="Q114" t="s">
        <v>2038</v>
      </c>
      <c r="R114" t="s">
        <v>2635</v>
      </c>
      <c r="S114">
        <v>38</v>
      </c>
      <c r="T114" s="43" t="str">
        <f t="shared" ref="T114:T130" si="6">HYPERLINK("https://ictv.global/ictv/proposals/2022.001D.Herpesvirales_1renfam_4rengen_124rensp_6absp.zip","2022.001D.Herpesvirales_1renfam_4rengen_124rensp_6absp.zip")</f>
        <v>2022.001D.Herpesvirales_1renfam_4rengen_124rensp_6absp.zip</v>
      </c>
      <c r="U114" s="43" t="str">
        <f>HYPERLINK("https://ictv.global/taxonomy/taxondetails?taxnode_id=202206404","ictv.global=202206404")</f>
        <v>ictv.global=202206404</v>
      </c>
    </row>
    <row r="115" spans="1:21">
      <c r="A115">
        <v>114</v>
      </c>
      <c r="B115" s="29" t="s">
        <v>3682</v>
      </c>
      <c r="C115" s="29"/>
      <c r="D115" s="29" t="s">
        <v>3683</v>
      </c>
      <c r="E115" s="29"/>
      <c r="F115" s="29" t="s">
        <v>3684</v>
      </c>
      <c r="G115" s="29"/>
      <c r="H115" s="29" t="s">
        <v>3685</v>
      </c>
      <c r="I115" s="29"/>
      <c r="J115" s="29" t="s">
        <v>694</v>
      </c>
      <c r="K115" s="29"/>
      <c r="L115" s="29" t="s">
        <v>6936</v>
      </c>
      <c r="M115" s="29" t="s">
        <v>1039</v>
      </c>
      <c r="N115" s="29" t="s">
        <v>1041</v>
      </c>
      <c r="O115" s="29"/>
      <c r="P115" s="29" t="s">
        <v>7003</v>
      </c>
      <c r="Q115" t="s">
        <v>2038</v>
      </c>
      <c r="R115" t="s">
        <v>2635</v>
      </c>
      <c r="S115">
        <v>38</v>
      </c>
      <c r="T115" s="43" t="str">
        <f t="shared" si="6"/>
        <v>2022.001D.Herpesvirales_1renfam_4rengen_124rensp_6absp.zip</v>
      </c>
      <c r="U115" s="43" t="str">
        <f>HYPERLINK("https://ictv.global/taxonomy/taxondetails?taxnode_id=202206405","ictv.global=202206405")</f>
        <v>ictv.global=202206405</v>
      </c>
    </row>
    <row r="116" spans="1:21">
      <c r="A116">
        <v>115</v>
      </c>
      <c r="B116" s="29" t="s">
        <v>3682</v>
      </c>
      <c r="C116" s="29"/>
      <c r="D116" s="29" t="s">
        <v>3683</v>
      </c>
      <c r="E116" s="29"/>
      <c r="F116" s="29" t="s">
        <v>3684</v>
      </c>
      <c r="G116" s="29"/>
      <c r="H116" s="29" t="s">
        <v>3685</v>
      </c>
      <c r="I116" s="29"/>
      <c r="J116" s="29" t="s">
        <v>694</v>
      </c>
      <c r="K116" s="29"/>
      <c r="L116" s="29" t="s">
        <v>6936</v>
      </c>
      <c r="M116" s="29" t="s">
        <v>1039</v>
      </c>
      <c r="N116" s="29" t="s">
        <v>4490</v>
      </c>
      <c r="O116" s="29"/>
      <c r="P116" s="29" t="s">
        <v>7004</v>
      </c>
      <c r="Q116" t="s">
        <v>2038</v>
      </c>
      <c r="R116" t="s">
        <v>2635</v>
      </c>
      <c r="S116">
        <v>38</v>
      </c>
      <c r="T116" s="43" t="str">
        <f t="shared" si="6"/>
        <v>2022.001D.Herpesvirales_1renfam_4rengen_124rensp_6absp.zip</v>
      </c>
      <c r="U116" s="43" t="str">
        <f>HYPERLINK("https://ictv.global/taxonomy/taxondetails?taxnode_id=202201478","ictv.global=202201478")</f>
        <v>ictv.global=202201478</v>
      </c>
    </row>
    <row r="117" spans="1:21">
      <c r="A117">
        <v>116</v>
      </c>
      <c r="B117" s="29" t="s">
        <v>3682</v>
      </c>
      <c r="C117" s="29"/>
      <c r="D117" s="29" t="s">
        <v>3683</v>
      </c>
      <c r="E117" s="29"/>
      <c r="F117" s="29" t="s">
        <v>3684</v>
      </c>
      <c r="G117" s="29"/>
      <c r="H117" s="29" t="s">
        <v>3685</v>
      </c>
      <c r="I117" s="29"/>
      <c r="J117" s="29" t="s">
        <v>694</v>
      </c>
      <c r="K117" s="29"/>
      <c r="L117" s="29" t="s">
        <v>6936</v>
      </c>
      <c r="M117" s="29" t="s">
        <v>1039</v>
      </c>
      <c r="N117" s="29" t="s">
        <v>4490</v>
      </c>
      <c r="O117" s="29"/>
      <c r="P117" s="29" t="s">
        <v>7005</v>
      </c>
      <c r="Q117" t="s">
        <v>2038</v>
      </c>
      <c r="R117" t="s">
        <v>2635</v>
      </c>
      <c r="S117">
        <v>38</v>
      </c>
      <c r="T117" s="43" t="str">
        <f t="shared" si="6"/>
        <v>2022.001D.Herpesvirales_1renfam_4rengen_124rensp_6absp.zip</v>
      </c>
      <c r="U117" s="43" t="str">
        <f>HYPERLINK("https://ictv.global/taxonomy/taxondetails?taxnode_id=202209145","ictv.global=202209145")</f>
        <v>ictv.global=202209145</v>
      </c>
    </row>
    <row r="118" spans="1:21">
      <c r="A118">
        <v>117</v>
      </c>
      <c r="B118" s="29" t="s">
        <v>3682</v>
      </c>
      <c r="C118" s="29"/>
      <c r="D118" s="29" t="s">
        <v>3683</v>
      </c>
      <c r="E118" s="29"/>
      <c r="F118" s="29" t="s">
        <v>3684</v>
      </c>
      <c r="G118" s="29"/>
      <c r="H118" s="29" t="s">
        <v>3685</v>
      </c>
      <c r="I118" s="29"/>
      <c r="J118" s="29" t="s">
        <v>694</v>
      </c>
      <c r="K118" s="29"/>
      <c r="L118" s="29" t="s">
        <v>6936</v>
      </c>
      <c r="M118" s="29" t="s">
        <v>1039</v>
      </c>
      <c r="N118" s="29" t="s">
        <v>4490</v>
      </c>
      <c r="O118" s="29"/>
      <c r="P118" s="29" t="s">
        <v>7006</v>
      </c>
      <c r="Q118" t="s">
        <v>2038</v>
      </c>
      <c r="R118" t="s">
        <v>2635</v>
      </c>
      <c r="S118">
        <v>38</v>
      </c>
      <c r="T118" s="43" t="str">
        <f t="shared" si="6"/>
        <v>2022.001D.Herpesvirales_1renfam_4rengen_124rensp_6absp.zip</v>
      </c>
      <c r="U118" s="43" t="str">
        <f>HYPERLINK("https://ictv.global/taxonomy/taxondetails?taxnode_id=202201480","ictv.global=202201480")</f>
        <v>ictv.global=202201480</v>
      </c>
    </row>
    <row r="119" spans="1:21">
      <c r="A119">
        <v>118</v>
      </c>
      <c r="B119" s="29" t="s">
        <v>3682</v>
      </c>
      <c r="C119" s="29"/>
      <c r="D119" s="29" t="s">
        <v>3683</v>
      </c>
      <c r="E119" s="29"/>
      <c r="F119" s="29" t="s">
        <v>3684</v>
      </c>
      <c r="G119" s="29"/>
      <c r="H119" s="29" t="s">
        <v>3685</v>
      </c>
      <c r="I119" s="29"/>
      <c r="J119" s="29" t="s">
        <v>694</v>
      </c>
      <c r="K119" s="29"/>
      <c r="L119" s="29" t="s">
        <v>6936</v>
      </c>
      <c r="M119" s="29" t="s">
        <v>1039</v>
      </c>
      <c r="N119" s="29" t="s">
        <v>1042</v>
      </c>
      <c r="O119" s="29"/>
      <c r="P119" s="29" t="s">
        <v>7007</v>
      </c>
      <c r="Q119" t="s">
        <v>2038</v>
      </c>
      <c r="R119" t="s">
        <v>2635</v>
      </c>
      <c r="S119">
        <v>38</v>
      </c>
      <c r="T119" s="43" t="str">
        <f t="shared" si="6"/>
        <v>2022.001D.Herpesvirales_1renfam_4rengen_124rensp_6absp.zip</v>
      </c>
      <c r="U119" s="43" t="str">
        <f>HYPERLINK("https://ictv.global/taxonomy/taxondetails?taxnode_id=202201474","ictv.global=202201474")</f>
        <v>ictv.global=202201474</v>
      </c>
    </row>
    <row r="120" spans="1:21">
      <c r="A120">
        <v>119</v>
      </c>
      <c r="B120" s="29" t="s">
        <v>3682</v>
      </c>
      <c r="C120" s="29"/>
      <c r="D120" s="29" t="s">
        <v>3683</v>
      </c>
      <c r="E120" s="29"/>
      <c r="F120" s="29" t="s">
        <v>3684</v>
      </c>
      <c r="G120" s="29"/>
      <c r="H120" s="29" t="s">
        <v>3685</v>
      </c>
      <c r="I120" s="29"/>
      <c r="J120" s="29" t="s">
        <v>694</v>
      </c>
      <c r="K120" s="29"/>
      <c r="L120" s="29" t="s">
        <v>6936</v>
      </c>
      <c r="M120" s="29" t="s">
        <v>1039</v>
      </c>
      <c r="N120" s="29" t="s">
        <v>1042</v>
      </c>
      <c r="O120" s="29"/>
      <c r="P120" s="29" t="s">
        <v>7008</v>
      </c>
      <c r="Q120" t="s">
        <v>2038</v>
      </c>
      <c r="R120" t="s">
        <v>2635</v>
      </c>
      <c r="S120">
        <v>38</v>
      </c>
      <c r="T120" s="43" t="str">
        <f t="shared" si="6"/>
        <v>2022.001D.Herpesvirales_1renfam_4rengen_124rensp_6absp.zip</v>
      </c>
      <c r="U120" s="43" t="str">
        <f>HYPERLINK("https://ictv.global/taxonomy/taxondetails?taxnode_id=202201475","ictv.global=202201475")</f>
        <v>ictv.global=202201475</v>
      </c>
    </row>
    <row r="121" spans="1:21">
      <c r="A121">
        <v>120</v>
      </c>
      <c r="B121" s="29" t="s">
        <v>3682</v>
      </c>
      <c r="C121" s="29"/>
      <c r="D121" s="29" t="s">
        <v>3683</v>
      </c>
      <c r="E121" s="29"/>
      <c r="F121" s="29" t="s">
        <v>3684</v>
      </c>
      <c r="G121" s="29"/>
      <c r="H121" s="29" t="s">
        <v>3685</v>
      </c>
      <c r="I121" s="29"/>
      <c r="J121" s="29" t="s">
        <v>694</v>
      </c>
      <c r="K121" s="29"/>
      <c r="L121" s="29" t="s">
        <v>6936</v>
      </c>
      <c r="M121" s="29" t="s">
        <v>1039</v>
      </c>
      <c r="N121" s="29" t="s">
        <v>1042</v>
      </c>
      <c r="O121" s="29"/>
      <c r="P121" s="29" t="s">
        <v>7009</v>
      </c>
      <c r="Q121" t="s">
        <v>2038</v>
      </c>
      <c r="R121" t="s">
        <v>2635</v>
      </c>
      <c r="S121">
        <v>38</v>
      </c>
      <c r="T121" s="43" t="str">
        <f t="shared" si="6"/>
        <v>2022.001D.Herpesvirales_1renfam_4rengen_124rensp_6absp.zip</v>
      </c>
      <c r="U121" s="43" t="str">
        <f>HYPERLINK("https://ictv.global/taxonomy/taxondetails?taxnode_id=202201476","ictv.global=202201476")</f>
        <v>ictv.global=202201476</v>
      </c>
    </row>
    <row r="122" spans="1:21">
      <c r="A122">
        <v>121</v>
      </c>
      <c r="B122" s="29" t="s">
        <v>3682</v>
      </c>
      <c r="C122" s="29"/>
      <c r="D122" s="29" t="s">
        <v>3683</v>
      </c>
      <c r="E122" s="29"/>
      <c r="F122" s="29" t="s">
        <v>3684</v>
      </c>
      <c r="G122" s="29"/>
      <c r="H122" s="29" t="s">
        <v>3685</v>
      </c>
      <c r="I122" s="29"/>
      <c r="J122" s="29" t="s">
        <v>694</v>
      </c>
      <c r="K122" s="29"/>
      <c r="L122" s="29" t="s">
        <v>6936</v>
      </c>
      <c r="M122" s="29" t="s">
        <v>1039</v>
      </c>
      <c r="N122" s="29" t="s">
        <v>1042</v>
      </c>
      <c r="O122" s="29"/>
      <c r="P122" s="29" t="s">
        <v>7010</v>
      </c>
      <c r="Q122" t="s">
        <v>2038</v>
      </c>
      <c r="R122" t="s">
        <v>2635</v>
      </c>
      <c r="S122">
        <v>38</v>
      </c>
      <c r="T122" s="43" t="str">
        <f t="shared" si="6"/>
        <v>2022.001D.Herpesvirales_1renfam_4rengen_124rensp_6absp.zip</v>
      </c>
      <c r="U122" s="43" t="str">
        <f>HYPERLINK("https://ictv.global/taxonomy/taxondetails?taxnode_id=202206402","ictv.global=202206402")</f>
        <v>ictv.global=202206402</v>
      </c>
    </row>
    <row r="123" spans="1:21">
      <c r="A123">
        <v>122</v>
      </c>
      <c r="B123" s="29" t="s">
        <v>3682</v>
      </c>
      <c r="C123" s="29"/>
      <c r="D123" s="29" t="s">
        <v>3683</v>
      </c>
      <c r="E123" s="29"/>
      <c r="F123" s="29" t="s">
        <v>3684</v>
      </c>
      <c r="G123" s="29"/>
      <c r="H123" s="29" t="s">
        <v>3685</v>
      </c>
      <c r="I123" s="29"/>
      <c r="J123" s="29" t="s">
        <v>694</v>
      </c>
      <c r="K123" s="29"/>
      <c r="L123" s="29" t="s">
        <v>6936</v>
      </c>
      <c r="M123" s="29" t="s">
        <v>1039</v>
      </c>
      <c r="N123" s="29" t="s">
        <v>1042</v>
      </c>
      <c r="O123" s="29"/>
      <c r="P123" s="29" t="s">
        <v>7011</v>
      </c>
      <c r="Q123" t="s">
        <v>2038</v>
      </c>
      <c r="R123" t="s">
        <v>2635</v>
      </c>
      <c r="S123">
        <v>38</v>
      </c>
      <c r="T123" s="43" t="str">
        <f t="shared" si="6"/>
        <v>2022.001D.Herpesvirales_1renfam_4rengen_124rensp_6absp.zip</v>
      </c>
      <c r="U123" s="43" t="str">
        <f>HYPERLINK("https://ictv.global/taxonomy/taxondetails?taxnode_id=202206403","ictv.global=202206403")</f>
        <v>ictv.global=202206403</v>
      </c>
    </row>
    <row r="124" spans="1:21">
      <c r="A124">
        <v>123</v>
      </c>
      <c r="B124" s="29" t="s">
        <v>3682</v>
      </c>
      <c r="C124" s="29"/>
      <c r="D124" s="29" t="s">
        <v>3683</v>
      </c>
      <c r="E124" s="29"/>
      <c r="F124" s="29" t="s">
        <v>3684</v>
      </c>
      <c r="G124" s="29"/>
      <c r="H124" s="29" t="s">
        <v>3685</v>
      </c>
      <c r="I124" s="29"/>
      <c r="J124" s="29" t="s">
        <v>694</v>
      </c>
      <c r="K124" s="29"/>
      <c r="L124" s="29" t="s">
        <v>6936</v>
      </c>
      <c r="M124" s="29" t="s">
        <v>1039</v>
      </c>
      <c r="N124" s="29" t="s">
        <v>1042</v>
      </c>
      <c r="O124" s="29"/>
      <c r="P124" s="29" t="s">
        <v>7012</v>
      </c>
      <c r="Q124" t="s">
        <v>2038</v>
      </c>
      <c r="R124" t="s">
        <v>2635</v>
      </c>
      <c r="S124">
        <v>38</v>
      </c>
      <c r="T124" s="43" t="str">
        <f t="shared" si="6"/>
        <v>2022.001D.Herpesvirales_1renfam_4rengen_124rensp_6absp.zip</v>
      </c>
      <c r="U124" s="43" t="str">
        <f>HYPERLINK("https://ictv.global/taxonomy/taxondetails?taxnode_id=202201479","ictv.global=202201479")</f>
        <v>ictv.global=202201479</v>
      </c>
    </row>
    <row r="125" spans="1:21">
      <c r="A125">
        <v>124</v>
      </c>
      <c r="B125" s="29" t="s">
        <v>3682</v>
      </c>
      <c r="C125" s="29"/>
      <c r="D125" s="29" t="s">
        <v>3683</v>
      </c>
      <c r="E125" s="29"/>
      <c r="F125" s="29" t="s">
        <v>3684</v>
      </c>
      <c r="G125" s="29"/>
      <c r="H125" s="29" t="s">
        <v>3685</v>
      </c>
      <c r="I125" s="29"/>
      <c r="J125" s="29" t="s">
        <v>694</v>
      </c>
      <c r="K125" s="29"/>
      <c r="L125" s="29" t="s">
        <v>6936</v>
      </c>
      <c r="M125" s="29" t="s">
        <v>1046</v>
      </c>
      <c r="N125" s="29" t="s">
        <v>4491</v>
      </c>
      <c r="O125" s="29"/>
      <c r="P125" s="29" t="s">
        <v>7013</v>
      </c>
      <c r="Q125" t="s">
        <v>2038</v>
      </c>
      <c r="R125" t="s">
        <v>2635</v>
      </c>
      <c r="S125">
        <v>38</v>
      </c>
      <c r="T125" s="43" t="str">
        <f t="shared" si="6"/>
        <v>2022.001D.Herpesvirales_1renfam_4rengen_124rensp_6absp.zip</v>
      </c>
      <c r="U125" s="43" t="str">
        <f>HYPERLINK("https://ictv.global/taxonomy/taxondetails?taxnode_id=202209147","ictv.global=202209147")</f>
        <v>ictv.global=202209147</v>
      </c>
    </row>
    <row r="126" spans="1:21">
      <c r="A126">
        <v>125</v>
      </c>
      <c r="B126" s="29" t="s">
        <v>3682</v>
      </c>
      <c r="C126" s="29"/>
      <c r="D126" s="29" t="s">
        <v>3683</v>
      </c>
      <c r="E126" s="29"/>
      <c r="F126" s="29" t="s">
        <v>3684</v>
      </c>
      <c r="G126" s="29"/>
      <c r="H126" s="29" t="s">
        <v>3685</v>
      </c>
      <c r="I126" s="29"/>
      <c r="J126" s="29" t="s">
        <v>694</v>
      </c>
      <c r="K126" s="29"/>
      <c r="L126" s="29" t="s">
        <v>6936</v>
      </c>
      <c r="M126" s="29" t="s">
        <v>1046</v>
      </c>
      <c r="N126" s="29" t="s">
        <v>964</v>
      </c>
      <c r="O126" s="29"/>
      <c r="P126" s="29" t="s">
        <v>7014</v>
      </c>
      <c r="Q126" t="s">
        <v>2038</v>
      </c>
      <c r="R126" t="s">
        <v>2635</v>
      </c>
      <c r="S126">
        <v>38</v>
      </c>
      <c r="T126" s="43" t="str">
        <f t="shared" si="6"/>
        <v>2022.001D.Herpesvirales_1renfam_4rengen_124rensp_6absp.zip</v>
      </c>
      <c r="U126" s="43" t="str">
        <f>HYPERLINK("https://ictv.global/taxonomy/taxondetails?taxnode_id=202201483","ictv.global=202201483")</f>
        <v>ictv.global=202201483</v>
      </c>
    </row>
    <row r="127" spans="1:21">
      <c r="A127">
        <v>126</v>
      </c>
      <c r="B127" s="29" t="s">
        <v>3682</v>
      </c>
      <c r="C127" s="29"/>
      <c r="D127" s="29" t="s">
        <v>3683</v>
      </c>
      <c r="E127" s="29"/>
      <c r="F127" s="29" t="s">
        <v>3684</v>
      </c>
      <c r="G127" s="29"/>
      <c r="H127" s="29" t="s">
        <v>3685</v>
      </c>
      <c r="I127" s="29"/>
      <c r="J127" s="29" t="s">
        <v>694</v>
      </c>
      <c r="K127" s="29"/>
      <c r="L127" s="29" t="s">
        <v>6936</v>
      </c>
      <c r="M127" s="29" t="s">
        <v>1046</v>
      </c>
      <c r="N127" s="29" t="s">
        <v>964</v>
      </c>
      <c r="O127" s="29"/>
      <c r="P127" s="29" t="s">
        <v>7015</v>
      </c>
      <c r="Q127" t="s">
        <v>2038</v>
      </c>
      <c r="R127" t="s">
        <v>2635</v>
      </c>
      <c r="S127">
        <v>38</v>
      </c>
      <c r="T127" s="43" t="str">
        <f t="shared" si="6"/>
        <v>2022.001D.Herpesvirales_1renfam_4rengen_124rensp_6absp.zip</v>
      </c>
      <c r="U127" s="43" t="str">
        <f>HYPERLINK("https://ictv.global/taxonomy/taxondetails?taxnode_id=202201485","ictv.global=202201485")</f>
        <v>ictv.global=202201485</v>
      </c>
    </row>
    <row r="128" spans="1:21">
      <c r="A128">
        <v>127</v>
      </c>
      <c r="B128" s="29" t="s">
        <v>3682</v>
      </c>
      <c r="C128" s="29"/>
      <c r="D128" s="29" t="s">
        <v>3683</v>
      </c>
      <c r="E128" s="29"/>
      <c r="F128" s="29" t="s">
        <v>3684</v>
      </c>
      <c r="G128" s="29"/>
      <c r="H128" s="29" t="s">
        <v>3685</v>
      </c>
      <c r="I128" s="29"/>
      <c r="J128" s="29" t="s">
        <v>694</v>
      </c>
      <c r="K128" s="29"/>
      <c r="L128" s="29" t="s">
        <v>6936</v>
      </c>
      <c r="M128" s="29" t="s">
        <v>1046</v>
      </c>
      <c r="N128" s="29" t="s">
        <v>964</v>
      </c>
      <c r="O128" s="29"/>
      <c r="P128" s="29" t="s">
        <v>7016</v>
      </c>
      <c r="Q128" t="s">
        <v>2038</v>
      </c>
      <c r="R128" t="s">
        <v>2635</v>
      </c>
      <c r="S128">
        <v>38</v>
      </c>
      <c r="T128" s="43" t="str">
        <f t="shared" si="6"/>
        <v>2022.001D.Herpesvirales_1renfam_4rengen_124rensp_6absp.zip</v>
      </c>
      <c r="U128" s="43" t="str">
        <f>HYPERLINK("https://ictv.global/taxonomy/taxondetails?taxnode_id=202201486","ictv.global=202201486")</f>
        <v>ictv.global=202201486</v>
      </c>
    </row>
    <row r="129" spans="1:21">
      <c r="A129">
        <v>128</v>
      </c>
      <c r="B129" s="29" t="s">
        <v>3682</v>
      </c>
      <c r="C129" s="29"/>
      <c r="D129" s="29" t="s">
        <v>3683</v>
      </c>
      <c r="E129" s="29"/>
      <c r="F129" s="29" t="s">
        <v>3684</v>
      </c>
      <c r="G129" s="29"/>
      <c r="H129" s="29" t="s">
        <v>3685</v>
      </c>
      <c r="I129" s="29"/>
      <c r="J129" s="29" t="s">
        <v>694</v>
      </c>
      <c r="K129" s="29"/>
      <c r="L129" s="29" t="s">
        <v>6936</v>
      </c>
      <c r="M129" s="29" t="s">
        <v>1046</v>
      </c>
      <c r="N129" s="29" t="s">
        <v>964</v>
      </c>
      <c r="O129" s="29"/>
      <c r="P129" s="29" t="s">
        <v>7017</v>
      </c>
      <c r="Q129" t="s">
        <v>2038</v>
      </c>
      <c r="R129" t="s">
        <v>2635</v>
      </c>
      <c r="S129">
        <v>38</v>
      </c>
      <c r="T129" s="43" t="str">
        <f t="shared" si="6"/>
        <v>2022.001D.Herpesvirales_1renfam_4rengen_124rensp_6absp.zip</v>
      </c>
      <c r="U129" s="43" t="str">
        <f>HYPERLINK("https://ictv.global/taxonomy/taxondetails?taxnode_id=202201487","ictv.global=202201487")</f>
        <v>ictv.global=202201487</v>
      </c>
    </row>
    <row r="130" spans="1:21">
      <c r="A130">
        <v>129</v>
      </c>
      <c r="B130" s="29" t="s">
        <v>3682</v>
      </c>
      <c r="C130" s="29"/>
      <c r="D130" s="29" t="s">
        <v>3683</v>
      </c>
      <c r="E130" s="29"/>
      <c r="F130" s="29" t="s">
        <v>3684</v>
      </c>
      <c r="G130" s="29"/>
      <c r="H130" s="29" t="s">
        <v>3685</v>
      </c>
      <c r="I130" s="29"/>
      <c r="J130" s="29" t="s">
        <v>694</v>
      </c>
      <c r="K130" s="29"/>
      <c r="L130" s="29" t="s">
        <v>6936</v>
      </c>
      <c r="M130" s="29" t="s">
        <v>1046</v>
      </c>
      <c r="N130" s="29" t="s">
        <v>964</v>
      </c>
      <c r="O130" s="29"/>
      <c r="P130" s="29" t="s">
        <v>7018</v>
      </c>
      <c r="Q130" t="s">
        <v>2038</v>
      </c>
      <c r="R130" t="s">
        <v>2635</v>
      </c>
      <c r="S130">
        <v>38</v>
      </c>
      <c r="T130" s="43" t="str">
        <f t="shared" si="6"/>
        <v>2022.001D.Herpesvirales_1renfam_4rengen_124rensp_6absp.zip</v>
      </c>
      <c r="U130" s="43" t="str">
        <f>HYPERLINK("https://ictv.global/taxonomy/taxondetails?taxnode_id=202206406","ictv.global=202206406")</f>
        <v>ictv.global=202206406</v>
      </c>
    </row>
    <row r="131" spans="1:21">
      <c r="A131">
        <v>130</v>
      </c>
      <c r="B131" s="29" t="s">
        <v>3682</v>
      </c>
      <c r="C131" s="29"/>
      <c r="D131" s="29" t="s">
        <v>3683</v>
      </c>
      <c r="E131" s="29"/>
      <c r="F131" s="29" t="s">
        <v>3684</v>
      </c>
      <c r="G131" s="29"/>
      <c r="H131" s="29" t="s">
        <v>3685</v>
      </c>
      <c r="I131" s="29"/>
      <c r="J131" s="29" t="s">
        <v>694</v>
      </c>
      <c r="K131" s="29"/>
      <c r="L131" s="29" t="s">
        <v>6936</v>
      </c>
      <c r="M131" s="29" t="s">
        <v>1046</v>
      </c>
      <c r="N131" s="29" t="s">
        <v>964</v>
      </c>
      <c r="O131" s="29"/>
      <c r="P131" s="29" t="s">
        <v>7019</v>
      </c>
      <c r="Q131" t="s">
        <v>2038</v>
      </c>
      <c r="R131" t="s">
        <v>2632</v>
      </c>
      <c r="S131">
        <v>38</v>
      </c>
      <c r="T131" s="43" t="str">
        <f>HYPERLINK("https://ictv.global/ictv/proposals/2022.002D.Herpesvirales_9nsp.zip","2022.002D.Herpesvirales_9nsp.zip")</f>
        <v>2022.002D.Herpesvirales_9nsp.zip</v>
      </c>
      <c r="U131" s="43" t="str">
        <f>HYPERLINK("https://ictv.global/taxonomy/taxondetails?taxnode_id=202214019","ictv.global=202214019")</f>
        <v>ictv.global=202214019</v>
      </c>
    </row>
    <row r="132" spans="1:21">
      <c r="A132">
        <v>131</v>
      </c>
      <c r="B132" s="29" t="s">
        <v>3682</v>
      </c>
      <c r="C132" s="29"/>
      <c r="D132" s="29" t="s">
        <v>3683</v>
      </c>
      <c r="E132" s="29"/>
      <c r="F132" s="29" t="s">
        <v>3684</v>
      </c>
      <c r="G132" s="29"/>
      <c r="H132" s="29" t="s">
        <v>3685</v>
      </c>
      <c r="I132" s="29"/>
      <c r="J132" s="29" t="s">
        <v>694</v>
      </c>
      <c r="K132" s="29"/>
      <c r="L132" s="29" t="s">
        <v>6936</v>
      </c>
      <c r="M132" s="29" t="s">
        <v>1046</v>
      </c>
      <c r="N132" s="29" t="s">
        <v>964</v>
      </c>
      <c r="O132" s="29"/>
      <c r="P132" s="29" t="s">
        <v>7020</v>
      </c>
      <c r="Q132" t="s">
        <v>2038</v>
      </c>
      <c r="R132" t="s">
        <v>2635</v>
      </c>
      <c r="S132">
        <v>38</v>
      </c>
      <c r="T132" s="43" t="str">
        <f t="shared" ref="T132:T151" si="7">HYPERLINK("https://ictv.global/ictv/proposals/2022.001D.Herpesvirales_1renfam_4rengen_124rensp_6absp.zip","2022.001D.Herpesvirales_1renfam_4rengen_124rensp_6absp.zip")</f>
        <v>2022.001D.Herpesvirales_1renfam_4rengen_124rensp_6absp.zip</v>
      </c>
      <c r="U132" s="43" t="str">
        <f>HYPERLINK("https://ictv.global/taxonomy/taxondetails?taxnode_id=202201488","ictv.global=202201488")</f>
        <v>ictv.global=202201488</v>
      </c>
    </row>
    <row r="133" spans="1:21">
      <c r="A133">
        <v>132</v>
      </c>
      <c r="B133" s="29" t="s">
        <v>3682</v>
      </c>
      <c r="C133" s="29"/>
      <c r="D133" s="29" t="s">
        <v>3683</v>
      </c>
      <c r="E133" s="29"/>
      <c r="F133" s="29" t="s">
        <v>3684</v>
      </c>
      <c r="G133" s="29"/>
      <c r="H133" s="29" t="s">
        <v>3685</v>
      </c>
      <c r="I133" s="29"/>
      <c r="J133" s="29" t="s">
        <v>694</v>
      </c>
      <c r="K133" s="29"/>
      <c r="L133" s="29" t="s">
        <v>6936</v>
      </c>
      <c r="M133" s="29" t="s">
        <v>1046</v>
      </c>
      <c r="N133" s="29" t="s">
        <v>964</v>
      </c>
      <c r="O133" s="29"/>
      <c r="P133" s="29" t="s">
        <v>7021</v>
      </c>
      <c r="Q133" t="s">
        <v>2038</v>
      </c>
      <c r="R133" t="s">
        <v>2635</v>
      </c>
      <c r="S133">
        <v>38</v>
      </c>
      <c r="T133" s="43" t="str">
        <f t="shared" si="7"/>
        <v>2022.001D.Herpesvirales_1renfam_4rengen_124rensp_6absp.zip</v>
      </c>
      <c r="U133" s="43" t="str">
        <f>HYPERLINK("https://ictv.global/taxonomy/taxondetails?taxnode_id=202201489","ictv.global=202201489")</f>
        <v>ictv.global=202201489</v>
      </c>
    </row>
    <row r="134" spans="1:21">
      <c r="A134">
        <v>133</v>
      </c>
      <c r="B134" s="29" t="s">
        <v>3682</v>
      </c>
      <c r="C134" s="29"/>
      <c r="D134" s="29" t="s">
        <v>3683</v>
      </c>
      <c r="E134" s="29"/>
      <c r="F134" s="29" t="s">
        <v>3684</v>
      </c>
      <c r="G134" s="29"/>
      <c r="H134" s="29" t="s">
        <v>3685</v>
      </c>
      <c r="I134" s="29"/>
      <c r="J134" s="29" t="s">
        <v>694</v>
      </c>
      <c r="K134" s="29"/>
      <c r="L134" s="29" t="s">
        <v>6936</v>
      </c>
      <c r="M134" s="29" t="s">
        <v>1046</v>
      </c>
      <c r="N134" s="29" t="s">
        <v>964</v>
      </c>
      <c r="O134" s="29"/>
      <c r="P134" s="29" t="s">
        <v>7022</v>
      </c>
      <c r="Q134" t="s">
        <v>2038</v>
      </c>
      <c r="R134" t="s">
        <v>2635</v>
      </c>
      <c r="S134">
        <v>38</v>
      </c>
      <c r="T134" s="43" t="str">
        <f t="shared" si="7"/>
        <v>2022.001D.Herpesvirales_1renfam_4rengen_124rensp_6absp.zip</v>
      </c>
      <c r="U134" s="43" t="str">
        <f>HYPERLINK("https://ictv.global/taxonomy/taxondetails?taxnode_id=202201490","ictv.global=202201490")</f>
        <v>ictv.global=202201490</v>
      </c>
    </row>
    <row r="135" spans="1:21">
      <c r="A135">
        <v>134</v>
      </c>
      <c r="B135" s="29" t="s">
        <v>3682</v>
      </c>
      <c r="C135" s="29"/>
      <c r="D135" s="29" t="s">
        <v>3683</v>
      </c>
      <c r="E135" s="29"/>
      <c r="F135" s="29" t="s">
        <v>3684</v>
      </c>
      <c r="G135" s="29"/>
      <c r="H135" s="29" t="s">
        <v>3685</v>
      </c>
      <c r="I135" s="29"/>
      <c r="J135" s="29" t="s">
        <v>694</v>
      </c>
      <c r="K135" s="29"/>
      <c r="L135" s="29" t="s">
        <v>6936</v>
      </c>
      <c r="M135" s="29" t="s">
        <v>1046</v>
      </c>
      <c r="N135" s="29" t="s">
        <v>988</v>
      </c>
      <c r="O135" s="29"/>
      <c r="P135" s="29" t="s">
        <v>7023</v>
      </c>
      <c r="Q135" t="s">
        <v>2038</v>
      </c>
      <c r="R135" t="s">
        <v>2635</v>
      </c>
      <c r="S135">
        <v>38</v>
      </c>
      <c r="T135" s="43" t="str">
        <f t="shared" si="7"/>
        <v>2022.001D.Herpesvirales_1renfam_4rengen_124rensp_6absp.zip</v>
      </c>
      <c r="U135" s="43" t="str">
        <f>HYPERLINK("https://ictv.global/taxonomy/taxondetails?taxnode_id=202201492","ictv.global=202201492")</f>
        <v>ictv.global=202201492</v>
      </c>
    </row>
    <row r="136" spans="1:21">
      <c r="A136">
        <v>135</v>
      </c>
      <c r="B136" s="29" t="s">
        <v>3682</v>
      </c>
      <c r="C136" s="29"/>
      <c r="D136" s="29" t="s">
        <v>3683</v>
      </c>
      <c r="E136" s="29"/>
      <c r="F136" s="29" t="s">
        <v>3684</v>
      </c>
      <c r="G136" s="29"/>
      <c r="H136" s="29" t="s">
        <v>3685</v>
      </c>
      <c r="I136" s="29"/>
      <c r="J136" s="29" t="s">
        <v>694</v>
      </c>
      <c r="K136" s="29"/>
      <c r="L136" s="29" t="s">
        <v>6936</v>
      </c>
      <c r="M136" s="29" t="s">
        <v>1046</v>
      </c>
      <c r="N136" s="29" t="s">
        <v>988</v>
      </c>
      <c r="O136" s="29"/>
      <c r="P136" s="29" t="s">
        <v>7024</v>
      </c>
      <c r="Q136" t="s">
        <v>2038</v>
      </c>
      <c r="R136" t="s">
        <v>2635</v>
      </c>
      <c r="S136">
        <v>38</v>
      </c>
      <c r="T136" s="43" t="str">
        <f t="shared" si="7"/>
        <v>2022.001D.Herpesvirales_1renfam_4rengen_124rensp_6absp.zip</v>
      </c>
      <c r="U136" s="43" t="str">
        <f>HYPERLINK("https://ictv.global/taxonomy/taxondetails?taxnode_id=202201493","ictv.global=202201493")</f>
        <v>ictv.global=202201493</v>
      </c>
    </row>
    <row r="137" spans="1:21">
      <c r="A137">
        <v>136</v>
      </c>
      <c r="B137" s="29" t="s">
        <v>3682</v>
      </c>
      <c r="C137" s="29"/>
      <c r="D137" s="29" t="s">
        <v>3683</v>
      </c>
      <c r="E137" s="29"/>
      <c r="F137" s="29" t="s">
        <v>3684</v>
      </c>
      <c r="G137" s="29"/>
      <c r="H137" s="29" t="s">
        <v>3685</v>
      </c>
      <c r="I137" s="29"/>
      <c r="J137" s="29" t="s">
        <v>694</v>
      </c>
      <c r="K137" s="29"/>
      <c r="L137" s="29" t="s">
        <v>6936</v>
      </c>
      <c r="M137" s="29" t="s">
        <v>1046</v>
      </c>
      <c r="N137" s="29" t="s">
        <v>988</v>
      </c>
      <c r="O137" s="29"/>
      <c r="P137" s="29" t="s">
        <v>7025</v>
      </c>
      <c r="Q137" t="s">
        <v>2038</v>
      </c>
      <c r="R137" t="s">
        <v>2635</v>
      </c>
      <c r="S137">
        <v>38</v>
      </c>
      <c r="T137" s="43" t="str">
        <f t="shared" si="7"/>
        <v>2022.001D.Herpesvirales_1renfam_4rengen_124rensp_6absp.zip</v>
      </c>
      <c r="U137" s="43" t="str">
        <f>HYPERLINK("https://ictv.global/taxonomy/taxondetails?taxnode_id=202201494","ictv.global=202201494")</f>
        <v>ictv.global=202201494</v>
      </c>
    </row>
    <row r="138" spans="1:21">
      <c r="A138">
        <v>137</v>
      </c>
      <c r="B138" s="29" t="s">
        <v>3682</v>
      </c>
      <c r="C138" s="29"/>
      <c r="D138" s="29" t="s">
        <v>3683</v>
      </c>
      <c r="E138" s="29"/>
      <c r="F138" s="29" t="s">
        <v>3684</v>
      </c>
      <c r="G138" s="29"/>
      <c r="H138" s="29" t="s">
        <v>3685</v>
      </c>
      <c r="I138" s="29"/>
      <c r="J138" s="29" t="s">
        <v>694</v>
      </c>
      <c r="K138" s="29"/>
      <c r="L138" s="29" t="s">
        <v>6936</v>
      </c>
      <c r="M138" s="29" t="s">
        <v>1046</v>
      </c>
      <c r="N138" s="29" t="s">
        <v>988</v>
      </c>
      <c r="O138" s="29"/>
      <c r="P138" s="29" t="s">
        <v>7026</v>
      </c>
      <c r="Q138" t="s">
        <v>2038</v>
      </c>
      <c r="R138" t="s">
        <v>2635</v>
      </c>
      <c r="S138">
        <v>38</v>
      </c>
      <c r="T138" s="43" t="str">
        <f t="shared" si="7"/>
        <v>2022.001D.Herpesvirales_1renfam_4rengen_124rensp_6absp.zip</v>
      </c>
      <c r="U138" s="43" t="str">
        <f>HYPERLINK("https://ictv.global/taxonomy/taxondetails?taxnode_id=202201495","ictv.global=202201495")</f>
        <v>ictv.global=202201495</v>
      </c>
    </row>
    <row r="139" spans="1:21">
      <c r="A139">
        <v>138</v>
      </c>
      <c r="B139" s="29" t="s">
        <v>3682</v>
      </c>
      <c r="C139" s="29"/>
      <c r="D139" s="29" t="s">
        <v>3683</v>
      </c>
      <c r="E139" s="29"/>
      <c r="F139" s="29" t="s">
        <v>3684</v>
      </c>
      <c r="G139" s="29"/>
      <c r="H139" s="29" t="s">
        <v>3685</v>
      </c>
      <c r="I139" s="29"/>
      <c r="J139" s="29" t="s">
        <v>694</v>
      </c>
      <c r="K139" s="29"/>
      <c r="L139" s="29" t="s">
        <v>6936</v>
      </c>
      <c r="M139" s="29" t="s">
        <v>1046</v>
      </c>
      <c r="N139" s="29" t="s">
        <v>988</v>
      </c>
      <c r="O139" s="29"/>
      <c r="P139" s="29" t="s">
        <v>7027</v>
      </c>
      <c r="Q139" t="s">
        <v>2038</v>
      </c>
      <c r="R139" t="s">
        <v>2635</v>
      </c>
      <c r="S139">
        <v>38</v>
      </c>
      <c r="T139" s="43" t="str">
        <f t="shared" si="7"/>
        <v>2022.001D.Herpesvirales_1renfam_4rengen_124rensp_6absp.zip</v>
      </c>
      <c r="U139" s="43" t="str">
        <f>HYPERLINK("https://ictv.global/taxonomy/taxondetails?taxnode_id=202201496","ictv.global=202201496")</f>
        <v>ictv.global=202201496</v>
      </c>
    </row>
    <row r="140" spans="1:21">
      <c r="A140">
        <v>139</v>
      </c>
      <c r="B140" s="29" t="s">
        <v>3682</v>
      </c>
      <c r="C140" s="29"/>
      <c r="D140" s="29" t="s">
        <v>3683</v>
      </c>
      <c r="E140" s="29"/>
      <c r="F140" s="29" t="s">
        <v>3684</v>
      </c>
      <c r="G140" s="29"/>
      <c r="H140" s="29" t="s">
        <v>3685</v>
      </c>
      <c r="I140" s="29"/>
      <c r="J140" s="29" t="s">
        <v>694</v>
      </c>
      <c r="K140" s="29"/>
      <c r="L140" s="29" t="s">
        <v>6936</v>
      </c>
      <c r="M140" s="29" t="s">
        <v>1046</v>
      </c>
      <c r="N140" s="29" t="s">
        <v>988</v>
      </c>
      <c r="O140" s="29"/>
      <c r="P140" s="29" t="s">
        <v>7028</v>
      </c>
      <c r="Q140" t="s">
        <v>2038</v>
      </c>
      <c r="R140" t="s">
        <v>2635</v>
      </c>
      <c r="S140">
        <v>38</v>
      </c>
      <c r="T140" s="43" t="str">
        <f t="shared" si="7"/>
        <v>2022.001D.Herpesvirales_1renfam_4rengen_124rensp_6absp.zip</v>
      </c>
      <c r="U140" s="43" t="str">
        <f>HYPERLINK("https://ictv.global/taxonomy/taxondetails?taxnode_id=202201497","ictv.global=202201497")</f>
        <v>ictv.global=202201497</v>
      </c>
    </row>
    <row r="141" spans="1:21">
      <c r="A141">
        <v>140</v>
      </c>
      <c r="B141" s="29" t="s">
        <v>3682</v>
      </c>
      <c r="C141" s="29"/>
      <c r="D141" s="29" t="s">
        <v>3683</v>
      </c>
      <c r="E141" s="29"/>
      <c r="F141" s="29" t="s">
        <v>3684</v>
      </c>
      <c r="G141" s="29"/>
      <c r="H141" s="29" t="s">
        <v>3685</v>
      </c>
      <c r="I141" s="29"/>
      <c r="J141" s="29" t="s">
        <v>694</v>
      </c>
      <c r="K141" s="29"/>
      <c r="L141" s="29" t="s">
        <v>6936</v>
      </c>
      <c r="M141" s="29" t="s">
        <v>1046</v>
      </c>
      <c r="N141" s="29" t="s">
        <v>988</v>
      </c>
      <c r="O141" s="29"/>
      <c r="P141" s="29" t="s">
        <v>7029</v>
      </c>
      <c r="Q141" t="s">
        <v>2038</v>
      </c>
      <c r="R141" t="s">
        <v>2635</v>
      </c>
      <c r="S141">
        <v>38</v>
      </c>
      <c r="T141" s="43" t="str">
        <f t="shared" si="7"/>
        <v>2022.001D.Herpesvirales_1renfam_4rengen_124rensp_6absp.zip</v>
      </c>
      <c r="U141" s="43" t="str">
        <f>HYPERLINK("https://ictv.global/taxonomy/taxondetails?taxnode_id=202201498","ictv.global=202201498")</f>
        <v>ictv.global=202201498</v>
      </c>
    </row>
    <row r="142" spans="1:21">
      <c r="A142">
        <v>141</v>
      </c>
      <c r="B142" s="29" t="s">
        <v>3682</v>
      </c>
      <c r="C142" s="29"/>
      <c r="D142" s="29" t="s">
        <v>3683</v>
      </c>
      <c r="E142" s="29"/>
      <c r="F142" s="29" t="s">
        <v>3684</v>
      </c>
      <c r="G142" s="29"/>
      <c r="H142" s="29" t="s">
        <v>3685</v>
      </c>
      <c r="I142" s="29"/>
      <c r="J142" s="29" t="s">
        <v>694</v>
      </c>
      <c r="K142" s="29"/>
      <c r="L142" s="29" t="s">
        <v>6936</v>
      </c>
      <c r="M142" s="29" t="s">
        <v>1046</v>
      </c>
      <c r="N142" s="29" t="s">
        <v>988</v>
      </c>
      <c r="O142" s="29"/>
      <c r="P142" s="29" t="s">
        <v>7030</v>
      </c>
      <c r="Q142" t="s">
        <v>2038</v>
      </c>
      <c r="R142" t="s">
        <v>2635</v>
      </c>
      <c r="S142">
        <v>38</v>
      </c>
      <c r="T142" s="43" t="str">
        <f t="shared" si="7"/>
        <v>2022.001D.Herpesvirales_1renfam_4rengen_124rensp_6absp.zip</v>
      </c>
      <c r="U142" s="43" t="str">
        <f>HYPERLINK("https://ictv.global/taxonomy/taxondetails?taxnode_id=202201499","ictv.global=202201499")</f>
        <v>ictv.global=202201499</v>
      </c>
    </row>
    <row r="143" spans="1:21">
      <c r="A143">
        <v>142</v>
      </c>
      <c r="B143" s="29" t="s">
        <v>3682</v>
      </c>
      <c r="C143" s="29"/>
      <c r="D143" s="29" t="s">
        <v>3683</v>
      </c>
      <c r="E143" s="29"/>
      <c r="F143" s="29" t="s">
        <v>3684</v>
      </c>
      <c r="G143" s="29"/>
      <c r="H143" s="29" t="s">
        <v>3685</v>
      </c>
      <c r="I143" s="29"/>
      <c r="J143" s="29" t="s">
        <v>694</v>
      </c>
      <c r="K143" s="29"/>
      <c r="L143" s="29" t="s">
        <v>6936</v>
      </c>
      <c r="M143" s="29" t="s">
        <v>1046</v>
      </c>
      <c r="N143" s="29" t="s">
        <v>988</v>
      </c>
      <c r="O143" s="29"/>
      <c r="P143" s="29" t="s">
        <v>7031</v>
      </c>
      <c r="Q143" t="s">
        <v>2038</v>
      </c>
      <c r="R143" t="s">
        <v>2635</v>
      </c>
      <c r="S143">
        <v>38</v>
      </c>
      <c r="T143" s="43" t="str">
        <f t="shared" si="7"/>
        <v>2022.001D.Herpesvirales_1renfam_4rengen_124rensp_6absp.zip</v>
      </c>
      <c r="U143" s="43" t="str">
        <f>HYPERLINK("https://ictv.global/taxonomy/taxondetails?taxnode_id=202201500","ictv.global=202201500")</f>
        <v>ictv.global=202201500</v>
      </c>
    </row>
    <row r="144" spans="1:21">
      <c r="A144">
        <v>143</v>
      </c>
      <c r="B144" s="29" t="s">
        <v>3682</v>
      </c>
      <c r="C144" s="29"/>
      <c r="D144" s="29" t="s">
        <v>3683</v>
      </c>
      <c r="E144" s="29"/>
      <c r="F144" s="29" t="s">
        <v>3684</v>
      </c>
      <c r="G144" s="29"/>
      <c r="H144" s="29" t="s">
        <v>3685</v>
      </c>
      <c r="I144" s="29"/>
      <c r="J144" s="29" t="s">
        <v>694</v>
      </c>
      <c r="K144" s="29"/>
      <c r="L144" s="29" t="s">
        <v>6936</v>
      </c>
      <c r="M144" s="29" t="s">
        <v>1046</v>
      </c>
      <c r="N144" s="29" t="s">
        <v>4492</v>
      </c>
      <c r="O144" s="29"/>
      <c r="P144" s="29" t="s">
        <v>7032</v>
      </c>
      <c r="Q144" t="s">
        <v>2038</v>
      </c>
      <c r="R144" t="s">
        <v>2635</v>
      </c>
      <c r="S144">
        <v>38</v>
      </c>
      <c r="T144" s="43" t="str">
        <f t="shared" si="7"/>
        <v>2022.001D.Herpesvirales_1renfam_4rengen_124rensp_6absp.zip</v>
      </c>
      <c r="U144" s="43" t="str">
        <f>HYPERLINK("https://ictv.global/taxonomy/taxondetails?taxnode_id=202209151","ictv.global=202209151")</f>
        <v>ictv.global=202209151</v>
      </c>
    </row>
    <row r="145" spans="1:21">
      <c r="A145">
        <v>144</v>
      </c>
      <c r="B145" s="29" t="s">
        <v>3682</v>
      </c>
      <c r="C145" s="29"/>
      <c r="D145" s="29" t="s">
        <v>3683</v>
      </c>
      <c r="E145" s="29"/>
      <c r="F145" s="29" t="s">
        <v>3684</v>
      </c>
      <c r="G145" s="29"/>
      <c r="H145" s="29" t="s">
        <v>3685</v>
      </c>
      <c r="I145" s="29"/>
      <c r="J145" s="29" t="s">
        <v>694</v>
      </c>
      <c r="K145" s="29"/>
      <c r="L145" s="29" t="s">
        <v>6936</v>
      </c>
      <c r="M145" s="29" t="s">
        <v>1046</v>
      </c>
      <c r="N145" s="29" t="s">
        <v>4492</v>
      </c>
      <c r="O145" s="29"/>
      <c r="P145" s="29" t="s">
        <v>7033</v>
      </c>
      <c r="Q145" t="s">
        <v>2038</v>
      </c>
      <c r="R145" t="s">
        <v>2635</v>
      </c>
      <c r="S145">
        <v>38</v>
      </c>
      <c r="T145" s="43" t="str">
        <f t="shared" si="7"/>
        <v>2022.001D.Herpesvirales_1renfam_4rengen_124rensp_6absp.zip</v>
      </c>
      <c r="U145" s="43" t="str">
        <f>HYPERLINK("https://ictv.global/taxonomy/taxondetails?taxnode_id=202209152","ictv.global=202209152")</f>
        <v>ictv.global=202209152</v>
      </c>
    </row>
    <row r="146" spans="1:21">
      <c r="A146">
        <v>145</v>
      </c>
      <c r="B146" s="29" t="s">
        <v>3682</v>
      </c>
      <c r="C146" s="29"/>
      <c r="D146" s="29" t="s">
        <v>3683</v>
      </c>
      <c r="E146" s="29"/>
      <c r="F146" s="29" t="s">
        <v>3684</v>
      </c>
      <c r="G146" s="29"/>
      <c r="H146" s="29" t="s">
        <v>3685</v>
      </c>
      <c r="I146" s="29"/>
      <c r="J146" s="29" t="s">
        <v>694</v>
      </c>
      <c r="K146" s="29"/>
      <c r="L146" s="29" t="s">
        <v>6936</v>
      </c>
      <c r="M146" s="29" t="s">
        <v>1046</v>
      </c>
      <c r="N146" s="29" t="s">
        <v>4493</v>
      </c>
      <c r="O146" s="29"/>
      <c r="P146" s="29" t="s">
        <v>7034</v>
      </c>
      <c r="Q146" t="s">
        <v>2038</v>
      </c>
      <c r="R146" t="s">
        <v>2635</v>
      </c>
      <c r="S146">
        <v>38</v>
      </c>
      <c r="T146" s="43" t="str">
        <f t="shared" si="7"/>
        <v>2022.001D.Herpesvirales_1renfam_4rengen_124rensp_6absp.zip</v>
      </c>
      <c r="U146" s="43" t="str">
        <f>HYPERLINK("https://ictv.global/taxonomy/taxondetails?taxnode_id=202209149","ictv.global=202209149")</f>
        <v>ictv.global=202209149</v>
      </c>
    </row>
    <row r="147" spans="1:21">
      <c r="A147">
        <v>146</v>
      </c>
      <c r="B147" s="29" t="s">
        <v>3682</v>
      </c>
      <c r="C147" s="29"/>
      <c r="D147" s="29" t="s">
        <v>3683</v>
      </c>
      <c r="E147" s="29"/>
      <c r="F147" s="29" t="s">
        <v>3684</v>
      </c>
      <c r="G147" s="29"/>
      <c r="H147" s="29" t="s">
        <v>3685</v>
      </c>
      <c r="I147" s="29"/>
      <c r="J147" s="29" t="s">
        <v>694</v>
      </c>
      <c r="K147" s="29"/>
      <c r="L147" s="29" t="s">
        <v>6936</v>
      </c>
      <c r="M147" s="29" t="s">
        <v>1046</v>
      </c>
      <c r="N147" s="29" t="s">
        <v>958</v>
      </c>
      <c r="O147" s="29"/>
      <c r="P147" s="29" t="s">
        <v>7035</v>
      </c>
      <c r="Q147" t="s">
        <v>2038</v>
      </c>
      <c r="R147" t="s">
        <v>2635</v>
      </c>
      <c r="S147">
        <v>38</v>
      </c>
      <c r="T147" s="43" t="str">
        <f t="shared" si="7"/>
        <v>2022.001D.Herpesvirales_1renfam_4rengen_124rensp_6absp.zip</v>
      </c>
      <c r="U147" s="43" t="str">
        <f>HYPERLINK("https://ictv.global/taxonomy/taxondetails?taxnode_id=202201502","ictv.global=202201502")</f>
        <v>ictv.global=202201502</v>
      </c>
    </row>
    <row r="148" spans="1:21">
      <c r="A148">
        <v>147</v>
      </c>
      <c r="B148" s="29" t="s">
        <v>3682</v>
      </c>
      <c r="C148" s="29"/>
      <c r="D148" s="29" t="s">
        <v>3683</v>
      </c>
      <c r="E148" s="29"/>
      <c r="F148" s="29" t="s">
        <v>3684</v>
      </c>
      <c r="G148" s="29"/>
      <c r="H148" s="29" t="s">
        <v>3685</v>
      </c>
      <c r="I148" s="29"/>
      <c r="J148" s="29" t="s">
        <v>694</v>
      </c>
      <c r="K148" s="29"/>
      <c r="L148" s="29" t="s">
        <v>6936</v>
      </c>
      <c r="M148" s="29" t="s">
        <v>1046</v>
      </c>
      <c r="N148" s="29" t="s">
        <v>958</v>
      </c>
      <c r="O148" s="29"/>
      <c r="P148" s="29" t="s">
        <v>7036</v>
      </c>
      <c r="Q148" t="s">
        <v>2038</v>
      </c>
      <c r="R148" t="s">
        <v>2635</v>
      </c>
      <c r="S148">
        <v>38</v>
      </c>
      <c r="T148" s="43" t="str">
        <f t="shared" si="7"/>
        <v>2022.001D.Herpesvirales_1renfam_4rengen_124rensp_6absp.zip</v>
      </c>
      <c r="U148" s="43" t="str">
        <f>HYPERLINK("https://ictv.global/taxonomy/taxondetails?taxnode_id=202201503","ictv.global=202201503")</f>
        <v>ictv.global=202201503</v>
      </c>
    </row>
    <row r="149" spans="1:21">
      <c r="A149">
        <v>148</v>
      </c>
      <c r="B149" s="29" t="s">
        <v>3682</v>
      </c>
      <c r="C149" s="29"/>
      <c r="D149" s="29" t="s">
        <v>3683</v>
      </c>
      <c r="E149" s="29"/>
      <c r="F149" s="29" t="s">
        <v>3684</v>
      </c>
      <c r="G149" s="29"/>
      <c r="H149" s="29" t="s">
        <v>3685</v>
      </c>
      <c r="I149" s="29"/>
      <c r="J149" s="29" t="s">
        <v>694</v>
      </c>
      <c r="K149" s="29"/>
      <c r="L149" s="29" t="s">
        <v>6936</v>
      </c>
      <c r="M149" s="29" t="s">
        <v>1046</v>
      </c>
      <c r="N149" s="29" t="s">
        <v>958</v>
      </c>
      <c r="O149" s="29"/>
      <c r="P149" s="29" t="s">
        <v>7037</v>
      </c>
      <c r="Q149" t="s">
        <v>2038</v>
      </c>
      <c r="R149" t="s">
        <v>2635</v>
      </c>
      <c r="S149">
        <v>38</v>
      </c>
      <c r="T149" s="43" t="str">
        <f t="shared" si="7"/>
        <v>2022.001D.Herpesvirales_1renfam_4rengen_124rensp_6absp.zip</v>
      </c>
      <c r="U149" s="43" t="str">
        <f>HYPERLINK("https://ictv.global/taxonomy/taxondetails?taxnode_id=202206410","ictv.global=202206410")</f>
        <v>ictv.global=202206410</v>
      </c>
    </row>
    <row r="150" spans="1:21">
      <c r="A150">
        <v>149</v>
      </c>
      <c r="B150" s="29" t="s">
        <v>3682</v>
      </c>
      <c r="C150" s="29"/>
      <c r="D150" s="29" t="s">
        <v>3683</v>
      </c>
      <c r="E150" s="29"/>
      <c r="F150" s="29" t="s">
        <v>3684</v>
      </c>
      <c r="G150" s="29"/>
      <c r="H150" s="29" t="s">
        <v>3685</v>
      </c>
      <c r="I150" s="29"/>
      <c r="J150" s="29" t="s">
        <v>694</v>
      </c>
      <c r="K150" s="29"/>
      <c r="L150" s="29" t="s">
        <v>6936</v>
      </c>
      <c r="M150" s="29" t="s">
        <v>1046</v>
      </c>
      <c r="N150" s="29" t="s">
        <v>958</v>
      </c>
      <c r="O150" s="29"/>
      <c r="P150" s="29" t="s">
        <v>7038</v>
      </c>
      <c r="Q150" t="s">
        <v>2038</v>
      </c>
      <c r="R150" t="s">
        <v>2635</v>
      </c>
      <c r="S150">
        <v>38</v>
      </c>
      <c r="T150" s="43" t="str">
        <f t="shared" si="7"/>
        <v>2022.001D.Herpesvirales_1renfam_4rengen_124rensp_6absp.zip</v>
      </c>
      <c r="U150" s="43" t="str">
        <f>HYPERLINK("https://ictv.global/taxonomy/taxondetails?taxnode_id=202201504","ictv.global=202201504")</f>
        <v>ictv.global=202201504</v>
      </c>
    </row>
    <row r="151" spans="1:21">
      <c r="A151">
        <v>150</v>
      </c>
      <c r="B151" s="29" t="s">
        <v>3682</v>
      </c>
      <c r="C151" s="29"/>
      <c r="D151" s="29" t="s">
        <v>3683</v>
      </c>
      <c r="E151" s="29"/>
      <c r="F151" s="29" t="s">
        <v>3684</v>
      </c>
      <c r="G151" s="29"/>
      <c r="H151" s="29" t="s">
        <v>3685</v>
      </c>
      <c r="I151" s="29"/>
      <c r="J151" s="29" t="s">
        <v>694</v>
      </c>
      <c r="K151" s="29"/>
      <c r="L151" s="29" t="s">
        <v>6936</v>
      </c>
      <c r="M151" s="29" t="s">
        <v>1046</v>
      </c>
      <c r="N151" s="29" t="s">
        <v>958</v>
      </c>
      <c r="O151" s="29"/>
      <c r="P151" s="29" t="s">
        <v>7039</v>
      </c>
      <c r="Q151" t="s">
        <v>2038</v>
      </c>
      <c r="R151" t="s">
        <v>2635</v>
      </c>
      <c r="S151">
        <v>38</v>
      </c>
      <c r="T151" s="43" t="str">
        <f t="shared" si="7"/>
        <v>2022.001D.Herpesvirales_1renfam_4rengen_124rensp_6absp.zip</v>
      </c>
      <c r="U151" s="43" t="str">
        <f>HYPERLINK("https://ictv.global/taxonomy/taxondetails?taxnode_id=202206411","ictv.global=202206411")</f>
        <v>ictv.global=202206411</v>
      </c>
    </row>
    <row r="152" spans="1:21">
      <c r="A152">
        <v>151</v>
      </c>
      <c r="B152" s="29" t="s">
        <v>3682</v>
      </c>
      <c r="C152" s="29"/>
      <c r="D152" s="29" t="s">
        <v>3683</v>
      </c>
      <c r="E152" s="29"/>
      <c r="F152" s="29" t="s">
        <v>3684</v>
      </c>
      <c r="G152" s="29"/>
      <c r="H152" s="29" t="s">
        <v>3685</v>
      </c>
      <c r="I152" s="29"/>
      <c r="J152" s="29" t="s">
        <v>694</v>
      </c>
      <c r="K152" s="29"/>
      <c r="L152" s="29" t="s">
        <v>6936</v>
      </c>
      <c r="M152" s="29" t="s">
        <v>1046</v>
      </c>
      <c r="N152" s="29" t="s">
        <v>958</v>
      </c>
      <c r="O152" s="29"/>
      <c r="P152" s="29" t="s">
        <v>7040</v>
      </c>
      <c r="Q152" t="s">
        <v>2038</v>
      </c>
      <c r="R152" t="s">
        <v>2632</v>
      </c>
      <c r="S152">
        <v>38</v>
      </c>
      <c r="T152" s="43" t="str">
        <f>HYPERLINK("https://ictv.global/ictv/proposals/2022.002D.Herpesvirales_9nsp.zip","2022.002D.Herpesvirales_9nsp.zip")</f>
        <v>2022.002D.Herpesvirales_9nsp.zip</v>
      </c>
      <c r="U152" s="43" t="str">
        <f>HYPERLINK("https://ictv.global/taxonomy/taxondetails?taxnode_id=202214020","ictv.global=202214020")</f>
        <v>ictv.global=202214020</v>
      </c>
    </row>
    <row r="153" spans="1:21">
      <c r="A153">
        <v>152</v>
      </c>
      <c r="B153" s="29" t="s">
        <v>3682</v>
      </c>
      <c r="C153" s="29"/>
      <c r="D153" s="29" t="s">
        <v>3683</v>
      </c>
      <c r="E153" s="29"/>
      <c r="F153" s="29" t="s">
        <v>3684</v>
      </c>
      <c r="G153" s="29"/>
      <c r="H153" s="29" t="s">
        <v>3685</v>
      </c>
      <c r="I153" s="29"/>
      <c r="J153" s="29" t="s">
        <v>694</v>
      </c>
      <c r="K153" s="29"/>
      <c r="L153" s="29" t="s">
        <v>6936</v>
      </c>
      <c r="M153" s="29" t="s">
        <v>1046</v>
      </c>
      <c r="N153" s="29" t="s">
        <v>958</v>
      </c>
      <c r="O153" s="29"/>
      <c r="P153" s="29" t="s">
        <v>7041</v>
      </c>
      <c r="Q153" t="s">
        <v>2038</v>
      </c>
      <c r="R153" t="s">
        <v>2635</v>
      </c>
      <c r="S153">
        <v>38</v>
      </c>
      <c r="T153" s="43" t="str">
        <f>HYPERLINK("https://ictv.global/ictv/proposals/2022.001D.Herpesvirales_1renfam_4rengen_124rensp_6absp.zip","2022.001D.Herpesvirales_1renfam_4rengen_124rensp_6absp.zip")</f>
        <v>2022.001D.Herpesvirales_1renfam_4rengen_124rensp_6absp.zip</v>
      </c>
      <c r="U153" s="43" t="str">
        <f>HYPERLINK("https://ictv.global/taxonomy/taxondetails?taxnode_id=202206412","ictv.global=202206412")</f>
        <v>ictv.global=202206412</v>
      </c>
    </row>
    <row r="154" spans="1:21">
      <c r="A154">
        <v>153</v>
      </c>
      <c r="B154" s="29" t="s">
        <v>3682</v>
      </c>
      <c r="C154" s="29"/>
      <c r="D154" s="29" t="s">
        <v>3683</v>
      </c>
      <c r="E154" s="29"/>
      <c r="F154" s="29" t="s">
        <v>3684</v>
      </c>
      <c r="G154" s="29"/>
      <c r="H154" s="29" t="s">
        <v>3685</v>
      </c>
      <c r="I154" s="29"/>
      <c r="J154" s="29" t="s">
        <v>694</v>
      </c>
      <c r="K154" s="29"/>
      <c r="L154" s="29" t="s">
        <v>6936</v>
      </c>
      <c r="M154" s="29" t="s">
        <v>1046</v>
      </c>
      <c r="N154" s="29" t="s">
        <v>959</v>
      </c>
      <c r="O154" s="29"/>
      <c r="P154" s="29" t="s">
        <v>7042</v>
      </c>
      <c r="Q154" t="s">
        <v>2038</v>
      </c>
      <c r="R154" t="s">
        <v>2635</v>
      </c>
      <c r="S154">
        <v>38</v>
      </c>
      <c r="T154" s="43" t="str">
        <f>HYPERLINK("https://ictv.global/ictv/proposals/2022.001D.Herpesvirales_1renfam_4rengen_124rensp_6absp.zip","2022.001D.Herpesvirales_1renfam_4rengen_124rensp_6absp.zip")</f>
        <v>2022.001D.Herpesvirales_1renfam_4rengen_124rensp_6absp.zip</v>
      </c>
      <c r="U154" s="43" t="str">
        <f>HYPERLINK("https://ictv.global/taxonomy/taxondetails?taxnode_id=202201506","ictv.global=202201506")</f>
        <v>ictv.global=202201506</v>
      </c>
    </row>
    <row r="155" spans="1:21">
      <c r="A155">
        <v>154</v>
      </c>
      <c r="B155" s="29" t="s">
        <v>3682</v>
      </c>
      <c r="C155" s="29"/>
      <c r="D155" s="29" t="s">
        <v>3683</v>
      </c>
      <c r="E155" s="29"/>
      <c r="F155" s="29" t="s">
        <v>3684</v>
      </c>
      <c r="G155" s="29"/>
      <c r="H155" s="29" t="s">
        <v>3685</v>
      </c>
      <c r="I155" s="29"/>
      <c r="J155" s="29" t="s">
        <v>694</v>
      </c>
      <c r="K155" s="29"/>
      <c r="L155" s="29" t="s">
        <v>6936</v>
      </c>
      <c r="M155" s="29" t="s">
        <v>1046</v>
      </c>
      <c r="N155" s="29" t="s">
        <v>959</v>
      </c>
      <c r="O155" s="29"/>
      <c r="P155" s="29" t="s">
        <v>7043</v>
      </c>
      <c r="Q155" t="s">
        <v>2038</v>
      </c>
      <c r="R155" t="s">
        <v>2635</v>
      </c>
      <c r="S155">
        <v>38</v>
      </c>
      <c r="T155" s="43" t="str">
        <f>HYPERLINK("https://ictv.global/ictv/proposals/2022.001D.Herpesvirales_1renfam_4rengen_124rensp_6absp.zip","2022.001D.Herpesvirales_1renfam_4rengen_124rensp_6absp.zip")</f>
        <v>2022.001D.Herpesvirales_1renfam_4rengen_124rensp_6absp.zip</v>
      </c>
      <c r="U155" s="43" t="str">
        <f>HYPERLINK("https://ictv.global/taxonomy/taxondetails?taxnode_id=202201507","ictv.global=202201507")</f>
        <v>ictv.global=202201507</v>
      </c>
    </row>
    <row r="156" spans="1:21">
      <c r="A156">
        <v>155</v>
      </c>
      <c r="B156" s="29" t="s">
        <v>3682</v>
      </c>
      <c r="C156" s="29"/>
      <c r="D156" s="29" t="s">
        <v>3683</v>
      </c>
      <c r="E156" s="29"/>
      <c r="F156" s="29" t="s">
        <v>3684</v>
      </c>
      <c r="G156" s="29"/>
      <c r="H156" s="29" t="s">
        <v>3685</v>
      </c>
      <c r="I156" s="29"/>
      <c r="J156" s="29" t="s">
        <v>694</v>
      </c>
      <c r="K156" s="29"/>
      <c r="L156" s="29" t="s">
        <v>6936</v>
      </c>
      <c r="M156" s="29" t="s">
        <v>1046</v>
      </c>
      <c r="N156" s="29" t="s">
        <v>959</v>
      </c>
      <c r="O156" s="29"/>
      <c r="P156" s="29" t="s">
        <v>7044</v>
      </c>
      <c r="Q156" t="s">
        <v>2038</v>
      </c>
      <c r="R156" t="s">
        <v>2635</v>
      </c>
      <c r="S156">
        <v>38</v>
      </c>
      <c r="T156" s="43" t="str">
        <f>HYPERLINK("https://ictv.global/ictv/proposals/2022.001D.Herpesvirales_1renfam_4rengen_124rensp_6absp.zip","2022.001D.Herpesvirales_1renfam_4rengen_124rensp_6absp.zip")</f>
        <v>2022.001D.Herpesvirales_1renfam_4rengen_124rensp_6absp.zip</v>
      </c>
      <c r="U156" s="43" t="str">
        <f>HYPERLINK("https://ictv.global/taxonomy/taxondetails?taxnode_id=202201508","ictv.global=202201508")</f>
        <v>ictv.global=202201508</v>
      </c>
    </row>
    <row r="157" spans="1:21">
      <c r="A157">
        <v>156</v>
      </c>
      <c r="B157" s="29" t="s">
        <v>3682</v>
      </c>
      <c r="C157" s="29"/>
      <c r="D157" s="29" t="s">
        <v>3683</v>
      </c>
      <c r="E157" s="29"/>
      <c r="F157" s="29" t="s">
        <v>3684</v>
      </c>
      <c r="G157" s="29"/>
      <c r="H157" s="29" t="s">
        <v>3685</v>
      </c>
      <c r="I157" s="29"/>
      <c r="J157" s="29" t="s">
        <v>694</v>
      </c>
      <c r="K157" s="29"/>
      <c r="L157" s="29" t="s">
        <v>6936</v>
      </c>
      <c r="M157" s="29" t="s">
        <v>1046</v>
      </c>
      <c r="N157" s="29" t="s">
        <v>959</v>
      </c>
      <c r="O157" s="29"/>
      <c r="P157" s="29" t="s">
        <v>7045</v>
      </c>
      <c r="Q157" t="s">
        <v>2038</v>
      </c>
      <c r="R157" t="s">
        <v>2632</v>
      </c>
      <c r="S157">
        <v>38</v>
      </c>
      <c r="T157" s="43" t="str">
        <f>HYPERLINK("https://ictv.global/ictv/proposals/2022.002D.Herpesvirales_9nsp.zip","2022.002D.Herpesvirales_9nsp.zip")</f>
        <v>2022.002D.Herpesvirales_9nsp.zip</v>
      </c>
      <c r="U157" s="43" t="str">
        <f>HYPERLINK("https://ictv.global/taxonomy/taxondetails?taxnode_id=202214021","ictv.global=202214021")</f>
        <v>ictv.global=202214021</v>
      </c>
    </row>
    <row r="158" spans="1:21">
      <c r="A158">
        <v>157</v>
      </c>
      <c r="B158" s="29" t="s">
        <v>3682</v>
      </c>
      <c r="C158" s="29"/>
      <c r="D158" s="29" t="s">
        <v>3683</v>
      </c>
      <c r="E158" s="29"/>
      <c r="F158" s="29" t="s">
        <v>3684</v>
      </c>
      <c r="G158" s="29"/>
      <c r="H158" s="29" t="s">
        <v>3685</v>
      </c>
      <c r="I158" s="29"/>
      <c r="J158" s="29" t="s">
        <v>694</v>
      </c>
      <c r="K158" s="29"/>
      <c r="L158" s="29" t="s">
        <v>6936</v>
      </c>
      <c r="M158" s="29" t="s">
        <v>1046</v>
      </c>
      <c r="N158" s="29" t="s">
        <v>959</v>
      </c>
      <c r="O158" s="29"/>
      <c r="P158" s="29" t="s">
        <v>7046</v>
      </c>
      <c r="Q158" t="s">
        <v>2038</v>
      </c>
      <c r="R158" t="s">
        <v>2635</v>
      </c>
      <c r="S158">
        <v>38</v>
      </c>
      <c r="T158" s="43" t="str">
        <f t="shared" ref="T158:T166" si="8">HYPERLINK("https://ictv.global/ictv/proposals/2022.001D.Herpesvirales_1renfam_4rengen_124rensp_6absp.zip","2022.001D.Herpesvirales_1renfam_4rengen_124rensp_6absp.zip")</f>
        <v>2022.001D.Herpesvirales_1renfam_4rengen_124rensp_6absp.zip</v>
      </c>
      <c r="U158" s="43" t="str">
        <f>HYPERLINK("https://ictv.global/taxonomy/taxondetails?taxnode_id=202201509","ictv.global=202201509")</f>
        <v>ictv.global=202201509</v>
      </c>
    </row>
    <row r="159" spans="1:21">
      <c r="A159">
        <v>158</v>
      </c>
      <c r="B159" s="29" t="s">
        <v>3682</v>
      </c>
      <c r="C159" s="29"/>
      <c r="D159" s="29" t="s">
        <v>3683</v>
      </c>
      <c r="E159" s="29"/>
      <c r="F159" s="29" t="s">
        <v>3684</v>
      </c>
      <c r="G159" s="29"/>
      <c r="H159" s="29" t="s">
        <v>3685</v>
      </c>
      <c r="I159" s="29"/>
      <c r="J159" s="29" t="s">
        <v>694</v>
      </c>
      <c r="K159" s="29"/>
      <c r="L159" s="29" t="s">
        <v>6936</v>
      </c>
      <c r="M159" s="29" t="s">
        <v>1046</v>
      </c>
      <c r="N159" s="29" t="s">
        <v>959</v>
      </c>
      <c r="O159" s="29"/>
      <c r="P159" s="29" t="s">
        <v>7047</v>
      </c>
      <c r="Q159" t="s">
        <v>2038</v>
      </c>
      <c r="R159" t="s">
        <v>2635</v>
      </c>
      <c r="S159">
        <v>38</v>
      </c>
      <c r="T159" s="43" t="str">
        <f t="shared" si="8"/>
        <v>2022.001D.Herpesvirales_1renfam_4rengen_124rensp_6absp.zip</v>
      </c>
      <c r="U159" s="43" t="str">
        <f>HYPERLINK("https://ictv.global/taxonomy/taxondetails?taxnode_id=202201510","ictv.global=202201510")</f>
        <v>ictv.global=202201510</v>
      </c>
    </row>
    <row r="160" spans="1:21">
      <c r="A160">
        <v>159</v>
      </c>
      <c r="B160" s="29" t="s">
        <v>3682</v>
      </c>
      <c r="C160" s="29"/>
      <c r="D160" s="29" t="s">
        <v>3683</v>
      </c>
      <c r="E160" s="29"/>
      <c r="F160" s="29" t="s">
        <v>3684</v>
      </c>
      <c r="G160" s="29"/>
      <c r="H160" s="29" t="s">
        <v>3685</v>
      </c>
      <c r="I160" s="29"/>
      <c r="J160" s="29" t="s">
        <v>694</v>
      </c>
      <c r="K160" s="29"/>
      <c r="L160" s="29" t="s">
        <v>6936</v>
      </c>
      <c r="M160" s="29" t="s">
        <v>1046</v>
      </c>
      <c r="N160" s="29" t="s">
        <v>959</v>
      </c>
      <c r="O160" s="29"/>
      <c r="P160" s="29" t="s">
        <v>7048</v>
      </c>
      <c r="Q160" t="s">
        <v>2038</v>
      </c>
      <c r="R160" t="s">
        <v>2635</v>
      </c>
      <c r="S160">
        <v>38</v>
      </c>
      <c r="T160" s="43" t="str">
        <f t="shared" si="8"/>
        <v>2022.001D.Herpesvirales_1renfam_4rengen_124rensp_6absp.zip</v>
      </c>
      <c r="U160" s="43" t="str">
        <f>HYPERLINK("https://ictv.global/taxonomy/taxondetails?taxnode_id=202201511","ictv.global=202201511")</f>
        <v>ictv.global=202201511</v>
      </c>
    </row>
    <row r="161" spans="1:21">
      <c r="A161">
        <v>160</v>
      </c>
      <c r="B161" s="29" t="s">
        <v>3682</v>
      </c>
      <c r="C161" s="29"/>
      <c r="D161" s="29" t="s">
        <v>3683</v>
      </c>
      <c r="E161" s="29"/>
      <c r="F161" s="29" t="s">
        <v>3684</v>
      </c>
      <c r="G161" s="29"/>
      <c r="H161" s="29" t="s">
        <v>3685</v>
      </c>
      <c r="I161" s="29"/>
      <c r="J161" s="29" t="s">
        <v>694</v>
      </c>
      <c r="K161" s="29"/>
      <c r="L161" s="29" t="s">
        <v>6936</v>
      </c>
      <c r="M161" s="29" t="s">
        <v>1046</v>
      </c>
      <c r="N161" s="29" t="s">
        <v>959</v>
      </c>
      <c r="O161" s="29"/>
      <c r="P161" s="29" t="s">
        <v>7049</v>
      </c>
      <c r="Q161" t="s">
        <v>2038</v>
      </c>
      <c r="R161" t="s">
        <v>2635</v>
      </c>
      <c r="S161">
        <v>38</v>
      </c>
      <c r="T161" s="43" t="str">
        <f t="shared" si="8"/>
        <v>2022.001D.Herpesvirales_1renfam_4rengen_124rensp_6absp.zip</v>
      </c>
      <c r="U161" s="43" t="str">
        <f>HYPERLINK("https://ictv.global/taxonomy/taxondetails?taxnode_id=202206407","ictv.global=202206407")</f>
        <v>ictv.global=202206407</v>
      </c>
    </row>
    <row r="162" spans="1:21">
      <c r="A162">
        <v>161</v>
      </c>
      <c r="B162" s="29" t="s">
        <v>3682</v>
      </c>
      <c r="C162" s="29"/>
      <c r="D162" s="29" t="s">
        <v>3683</v>
      </c>
      <c r="E162" s="29"/>
      <c r="F162" s="29" t="s">
        <v>3684</v>
      </c>
      <c r="G162" s="29"/>
      <c r="H162" s="29" t="s">
        <v>3685</v>
      </c>
      <c r="I162" s="29"/>
      <c r="J162" s="29" t="s">
        <v>694</v>
      </c>
      <c r="K162" s="29"/>
      <c r="L162" s="29" t="s">
        <v>6936</v>
      </c>
      <c r="M162" s="29" t="s">
        <v>1046</v>
      </c>
      <c r="N162" s="29" t="s">
        <v>959</v>
      </c>
      <c r="O162" s="29"/>
      <c r="P162" s="29" t="s">
        <v>7050</v>
      </c>
      <c r="Q162" t="s">
        <v>2038</v>
      </c>
      <c r="R162" t="s">
        <v>2635</v>
      </c>
      <c r="S162">
        <v>38</v>
      </c>
      <c r="T162" s="43" t="str">
        <f t="shared" si="8"/>
        <v>2022.001D.Herpesvirales_1renfam_4rengen_124rensp_6absp.zip</v>
      </c>
      <c r="U162" s="43" t="str">
        <f>HYPERLINK("https://ictv.global/taxonomy/taxondetails?taxnode_id=202206408","ictv.global=202206408")</f>
        <v>ictv.global=202206408</v>
      </c>
    </row>
    <row r="163" spans="1:21">
      <c r="A163">
        <v>162</v>
      </c>
      <c r="B163" s="29" t="s">
        <v>3682</v>
      </c>
      <c r="C163" s="29"/>
      <c r="D163" s="29" t="s">
        <v>3683</v>
      </c>
      <c r="E163" s="29"/>
      <c r="F163" s="29" t="s">
        <v>3684</v>
      </c>
      <c r="G163" s="29"/>
      <c r="H163" s="29" t="s">
        <v>3685</v>
      </c>
      <c r="I163" s="29"/>
      <c r="J163" s="29" t="s">
        <v>694</v>
      </c>
      <c r="K163" s="29"/>
      <c r="L163" s="29" t="s">
        <v>6936</v>
      </c>
      <c r="M163" s="29" t="s">
        <v>1046</v>
      </c>
      <c r="N163" s="29" t="s">
        <v>959</v>
      </c>
      <c r="O163" s="29"/>
      <c r="P163" s="29" t="s">
        <v>7051</v>
      </c>
      <c r="Q163" t="s">
        <v>2038</v>
      </c>
      <c r="R163" t="s">
        <v>2635</v>
      </c>
      <c r="S163">
        <v>38</v>
      </c>
      <c r="T163" s="43" t="str">
        <f t="shared" si="8"/>
        <v>2022.001D.Herpesvirales_1renfam_4rengen_124rensp_6absp.zip</v>
      </c>
      <c r="U163" s="43" t="str">
        <f>HYPERLINK("https://ictv.global/taxonomy/taxondetails?taxnode_id=202206409","ictv.global=202206409")</f>
        <v>ictv.global=202206409</v>
      </c>
    </row>
    <row r="164" spans="1:21">
      <c r="A164">
        <v>163</v>
      </c>
      <c r="B164" s="29" t="s">
        <v>3682</v>
      </c>
      <c r="C164" s="29"/>
      <c r="D164" s="29" t="s">
        <v>3683</v>
      </c>
      <c r="E164" s="29"/>
      <c r="F164" s="29" t="s">
        <v>3684</v>
      </c>
      <c r="G164" s="29"/>
      <c r="H164" s="29" t="s">
        <v>3685</v>
      </c>
      <c r="I164" s="29"/>
      <c r="J164" s="29" t="s">
        <v>694</v>
      </c>
      <c r="K164" s="29"/>
      <c r="L164" s="29" t="s">
        <v>6936</v>
      </c>
      <c r="M164" s="29" t="s">
        <v>1046</v>
      </c>
      <c r="N164" s="29" t="s">
        <v>959</v>
      </c>
      <c r="O164" s="29"/>
      <c r="P164" s="29" t="s">
        <v>7052</v>
      </c>
      <c r="Q164" t="s">
        <v>2038</v>
      </c>
      <c r="R164" t="s">
        <v>2635</v>
      </c>
      <c r="S164">
        <v>38</v>
      </c>
      <c r="T164" s="43" t="str">
        <f t="shared" si="8"/>
        <v>2022.001D.Herpesvirales_1renfam_4rengen_124rensp_6absp.zip</v>
      </c>
      <c r="U164" s="43" t="str">
        <f>HYPERLINK("https://ictv.global/taxonomy/taxondetails?taxnode_id=202201512","ictv.global=202201512")</f>
        <v>ictv.global=202201512</v>
      </c>
    </row>
    <row r="165" spans="1:21">
      <c r="A165">
        <v>164</v>
      </c>
      <c r="B165" s="29" t="s">
        <v>3682</v>
      </c>
      <c r="C165" s="29"/>
      <c r="D165" s="29" t="s">
        <v>3683</v>
      </c>
      <c r="E165" s="29"/>
      <c r="F165" s="29" t="s">
        <v>3684</v>
      </c>
      <c r="G165" s="29"/>
      <c r="H165" s="29" t="s">
        <v>3685</v>
      </c>
      <c r="I165" s="29"/>
      <c r="J165" s="29" t="s">
        <v>694</v>
      </c>
      <c r="K165" s="29"/>
      <c r="L165" s="29" t="s">
        <v>6936</v>
      </c>
      <c r="M165" s="29" t="s">
        <v>1046</v>
      </c>
      <c r="N165" s="29" t="s">
        <v>959</v>
      </c>
      <c r="O165" s="29"/>
      <c r="P165" s="29" t="s">
        <v>7053</v>
      </c>
      <c r="Q165" t="s">
        <v>2038</v>
      </c>
      <c r="R165" t="s">
        <v>2635</v>
      </c>
      <c r="S165">
        <v>38</v>
      </c>
      <c r="T165" s="43" t="str">
        <f t="shared" si="8"/>
        <v>2022.001D.Herpesvirales_1renfam_4rengen_124rensp_6absp.zip</v>
      </c>
      <c r="U165" s="43" t="str">
        <f>HYPERLINK("https://ictv.global/taxonomy/taxondetails?taxnode_id=202201513","ictv.global=202201513")</f>
        <v>ictv.global=202201513</v>
      </c>
    </row>
    <row r="166" spans="1:21">
      <c r="A166">
        <v>165</v>
      </c>
      <c r="B166" s="29" t="s">
        <v>3682</v>
      </c>
      <c r="C166" s="29"/>
      <c r="D166" s="29" t="s">
        <v>3683</v>
      </c>
      <c r="E166" s="29"/>
      <c r="F166" s="29" t="s">
        <v>3684</v>
      </c>
      <c r="G166" s="29"/>
      <c r="H166" s="29" t="s">
        <v>3685</v>
      </c>
      <c r="I166" s="29"/>
      <c r="J166" s="29" t="s">
        <v>694</v>
      </c>
      <c r="K166" s="29"/>
      <c r="L166" s="29" t="s">
        <v>6936</v>
      </c>
      <c r="M166" s="29" t="s">
        <v>1046</v>
      </c>
      <c r="N166" s="29" t="s">
        <v>959</v>
      </c>
      <c r="O166" s="29"/>
      <c r="P166" s="29" t="s">
        <v>7054</v>
      </c>
      <c r="Q166" t="s">
        <v>2038</v>
      </c>
      <c r="R166" t="s">
        <v>2635</v>
      </c>
      <c r="S166">
        <v>38</v>
      </c>
      <c r="T166" s="43" t="str">
        <f t="shared" si="8"/>
        <v>2022.001D.Herpesvirales_1renfam_4rengen_124rensp_6absp.zip</v>
      </c>
      <c r="U166" s="43" t="str">
        <f>HYPERLINK("https://ictv.global/taxonomy/taxondetails?taxnode_id=202201514","ictv.global=202201514")</f>
        <v>ictv.global=202201514</v>
      </c>
    </row>
    <row r="167" spans="1:21">
      <c r="A167">
        <v>166</v>
      </c>
      <c r="B167" s="29" t="s">
        <v>3682</v>
      </c>
      <c r="C167" s="29"/>
      <c r="D167" s="29" t="s">
        <v>3683</v>
      </c>
      <c r="E167" s="29"/>
      <c r="F167" s="29" t="s">
        <v>3686</v>
      </c>
      <c r="G167" s="29"/>
      <c r="H167" s="29" t="s">
        <v>3687</v>
      </c>
      <c r="I167" s="29"/>
      <c r="J167" s="29" t="s">
        <v>7055</v>
      </c>
      <c r="K167" s="29"/>
      <c r="L167" s="29" t="s">
        <v>7056</v>
      </c>
      <c r="M167" s="29" t="s">
        <v>7057</v>
      </c>
      <c r="N167" s="29" t="s">
        <v>7058</v>
      </c>
      <c r="O167" s="29"/>
      <c r="P167" s="29" t="s">
        <v>7059</v>
      </c>
      <c r="Q167" t="s">
        <v>2038</v>
      </c>
      <c r="R167" t="s">
        <v>2632</v>
      </c>
      <c r="S167">
        <v>37</v>
      </c>
      <c r="T167" s="43" t="str">
        <f t="shared" ref="T167:T198" si="9">HYPERLINK("https://ictv.global/ictv/proposals/2021.022B.R.Crassvirales.zip","2021.022B.R.Crassvirales.zip")</f>
        <v>2021.022B.R.Crassvirales.zip</v>
      </c>
      <c r="U167" s="43" t="str">
        <f>HYPERLINK("https://ictv.global/taxonomy/taxondetails?taxnode_id=202213484","ictv.global=202213484")</f>
        <v>ictv.global=202213484</v>
      </c>
    </row>
    <row r="168" spans="1:21">
      <c r="A168">
        <v>167</v>
      </c>
      <c r="B168" s="29" t="s">
        <v>3682</v>
      </c>
      <c r="C168" s="29"/>
      <c r="D168" s="29" t="s">
        <v>3683</v>
      </c>
      <c r="E168" s="29"/>
      <c r="F168" s="29" t="s">
        <v>3686</v>
      </c>
      <c r="G168" s="29"/>
      <c r="H168" s="29" t="s">
        <v>3687</v>
      </c>
      <c r="I168" s="29"/>
      <c r="J168" s="29" t="s">
        <v>7055</v>
      </c>
      <c r="K168" s="29"/>
      <c r="L168" s="29" t="s">
        <v>7056</v>
      </c>
      <c r="M168" s="29" t="s">
        <v>7057</v>
      </c>
      <c r="N168" s="29" t="s">
        <v>7058</v>
      </c>
      <c r="O168" s="29"/>
      <c r="P168" s="29" t="s">
        <v>7060</v>
      </c>
      <c r="Q168" t="s">
        <v>2038</v>
      </c>
      <c r="R168" t="s">
        <v>2632</v>
      </c>
      <c r="S168">
        <v>37</v>
      </c>
      <c r="T168" s="43" t="str">
        <f t="shared" si="9"/>
        <v>2021.022B.R.Crassvirales.zip</v>
      </c>
      <c r="U168" s="43" t="str">
        <f>HYPERLINK("https://ictv.global/taxonomy/taxondetails?taxnode_id=202213483","ictv.global=202213483")</f>
        <v>ictv.global=202213483</v>
      </c>
    </row>
    <row r="169" spans="1:21">
      <c r="A169">
        <v>168</v>
      </c>
      <c r="B169" s="29" t="s">
        <v>3682</v>
      </c>
      <c r="C169" s="29"/>
      <c r="D169" s="29" t="s">
        <v>3683</v>
      </c>
      <c r="E169" s="29"/>
      <c r="F169" s="29" t="s">
        <v>3686</v>
      </c>
      <c r="G169" s="29"/>
      <c r="H169" s="29" t="s">
        <v>3687</v>
      </c>
      <c r="I169" s="29"/>
      <c r="J169" s="29" t="s">
        <v>7055</v>
      </c>
      <c r="K169" s="29"/>
      <c r="L169" s="29" t="s">
        <v>7056</v>
      </c>
      <c r="M169" s="29" t="s">
        <v>7061</v>
      </c>
      <c r="N169" s="29" t="s">
        <v>7062</v>
      </c>
      <c r="O169" s="29"/>
      <c r="P169" s="29" t="s">
        <v>7063</v>
      </c>
      <c r="Q169" t="s">
        <v>2038</v>
      </c>
      <c r="R169" t="s">
        <v>2632</v>
      </c>
      <c r="S169">
        <v>37</v>
      </c>
      <c r="T169" s="43" t="str">
        <f t="shared" si="9"/>
        <v>2021.022B.R.Crassvirales.zip</v>
      </c>
      <c r="U169" s="43" t="str">
        <f>HYPERLINK("https://ictv.global/taxonomy/taxondetails?taxnode_id=202213487","ictv.global=202213487")</f>
        <v>ictv.global=202213487</v>
      </c>
    </row>
    <row r="170" spans="1:21">
      <c r="A170">
        <v>169</v>
      </c>
      <c r="B170" s="29" t="s">
        <v>3682</v>
      </c>
      <c r="C170" s="29"/>
      <c r="D170" s="29" t="s">
        <v>3683</v>
      </c>
      <c r="E170" s="29"/>
      <c r="F170" s="29" t="s">
        <v>3686</v>
      </c>
      <c r="G170" s="29"/>
      <c r="H170" s="29" t="s">
        <v>3687</v>
      </c>
      <c r="I170" s="29"/>
      <c r="J170" s="29" t="s">
        <v>7055</v>
      </c>
      <c r="K170" s="29"/>
      <c r="L170" s="29" t="s">
        <v>7056</v>
      </c>
      <c r="M170" s="29" t="s">
        <v>7061</v>
      </c>
      <c r="N170" s="29" t="s">
        <v>7064</v>
      </c>
      <c r="O170" s="29"/>
      <c r="P170" s="29" t="s">
        <v>7065</v>
      </c>
      <c r="Q170" t="s">
        <v>2038</v>
      </c>
      <c r="R170" t="s">
        <v>2632</v>
      </c>
      <c r="S170">
        <v>37</v>
      </c>
      <c r="T170" s="43" t="str">
        <f t="shared" si="9"/>
        <v>2021.022B.R.Crassvirales.zip</v>
      </c>
      <c r="U170" s="43" t="str">
        <f>HYPERLINK("https://ictv.global/taxonomy/taxondetails?taxnode_id=202213490","ictv.global=202213490")</f>
        <v>ictv.global=202213490</v>
      </c>
    </row>
    <row r="171" spans="1:21">
      <c r="A171">
        <v>170</v>
      </c>
      <c r="B171" s="29" t="s">
        <v>3682</v>
      </c>
      <c r="C171" s="29"/>
      <c r="D171" s="29" t="s">
        <v>3683</v>
      </c>
      <c r="E171" s="29"/>
      <c r="F171" s="29" t="s">
        <v>3686</v>
      </c>
      <c r="G171" s="29"/>
      <c r="H171" s="29" t="s">
        <v>3687</v>
      </c>
      <c r="I171" s="29"/>
      <c r="J171" s="29" t="s">
        <v>7055</v>
      </c>
      <c r="K171" s="29"/>
      <c r="L171" s="29" t="s">
        <v>7066</v>
      </c>
      <c r="M171" s="29" t="s">
        <v>7067</v>
      </c>
      <c r="N171" s="29" t="s">
        <v>7068</v>
      </c>
      <c r="O171" s="29"/>
      <c r="P171" s="29" t="s">
        <v>7069</v>
      </c>
      <c r="Q171" t="s">
        <v>2038</v>
      </c>
      <c r="R171" t="s">
        <v>2632</v>
      </c>
      <c r="S171">
        <v>37</v>
      </c>
      <c r="T171" s="43" t="str">
        <f t="shared" si="9"/>
        <v>2021.022B.R.Crassvirales.zip</v>
      </c>
      <c r="U171" s="43" t="str">
        <f>HYPERLINK("https://ictv.global/taxonomy/taxondetails?taxnode_id=202213480","ictv.global=202213480")</f>
        <v>ictv.global=202213480</v>
      </c>
    </row>
    <row r="172" spans="1:21">
      <c r="A172">
        <v>171</v>
      </c>
      <c r="B172" s="29" t="s">
        <v>3682</v>
      </c>
      <c r="C172" s="29"/>
      <c r="D172" s="29" t="s">
        <v>3683</v>
      </c>
      <c r="E172" s="29"/>
      <c r="F172" s="29" t="s">
        <v>3686</v>
      </c>
      <c r="G172" s="29"/>
      <c r="H172" s="29" t="s">
        <v>3687</v>
      </c>
      <c r="I172" s="29"/>
      <c r="J172" s="29" t="s">
        <v>7055</v>
      </c>
      <c r="K172" s="29"/>
      <c r="L172" s="29" t="s">
        <v>7066</v>
      </c>
      <c r="M172" s="29" t="s">
        <v>7067</v>
      </c>
      <c r="N172" s="29" t="s">
        <v>7068</v>
      </c>
      <c r="O172" s="29"/>
      <c r="P172" s="29" t="s">
        <v>7070</v>
      </c>
      <c r="Q172" t="s">
        <v>2038</v>
      </c>
      <c r="R172" t="s">
        <v>2632</v>
      </c>
      <c r="S172">
        <v>37</v>
      </c>
      <c r="T172" s="43" t="str">
        <f t="shared" si="9"/>
        <v>2021.022B.R.Crassvirales.zip</v>
      </c>
      <c r="U172" s="43" t="str">
        <f>HYPERLINK("https://ictv.global/taxonomy/taxondetails?taxnode_id=202213479","ictv.global=202213479")</f>
        <v>ictv.global=202213479</v>
      </c>
    </row>
    <row r="173" spans="1:21">
      <c r="A173">
        <v>172</v>
      </c>
      <c r="B173" s="29" t="s">
        <v>3682</v>
      </c>
      <c r="C173" s="29"/>
      <c r="D173" s="29" t="s">
        <v>3683</v>
      </c>
      <c r="E173" s="29"/>
      <c r="F173" s="29" t="s">
        <v>3686</v>
      </c>
      <c r="G173" s="29"/>
      <c r="H173" s="29" t="s">
        <v>3687</v>
      </c>
      <c r="I173" s="29"/>
      <c r="J173" s="29" t="s">
        <v>7055</v>
      </c>
      <c r="K173" s="29"/>
      <c r="L173" s="29" t="s">
        <v>7066</v>
      </c>
      <c r="M173" s="29" t="s">
        <v>7067</v>
      </c>
      <c r="N173" s="29" t="s">
        <v>7068</v>
      </c>
      <c r="O173" s="29"/>
      <c r="P173" s="29" t="s">
        <v>7071</v>
      </c>
      <c r="Q173" t="s">
        <v>2038</v>
      </c>
      <c r="R173" t="s">
        <v>2632</v>
      </c>
      <c r="S173">
        <v>37</v>
      </c>
      <c r="T173" s="43" t="str">
        <f t="shared" si="9"/>
        <v>2021.022B.R.Crassvirales.zip</v>
      </c>
      <c r="U173" s="43" t="str">
        <f>HYPERLINK("https://ictv.global/taxonomy/taxondetails?taxnode_id=202213481","ictv.global=202213481")</f>
        <v>ictv.global=202213481</v>
      </c>
    </row>
    <row r="174" spans="1:21">
      <c r="A174">
        <v>173</v>
      </c>
      <c r="B174" s="29" t="s">
        <v>3682</v>
      </c>
      <c r="C174" s="29"/>
      <c r="D174" s="29" t="s">
        <v>3683</v>
      </c>
      <c r="E174" s="29"/>
      <c r="F174" s="29" t="s">
        <v>3686</v>
      </c>
      <c r="G174" s="29"/>
      <c r="H174" s="29" t="s">
        <v>3687</v>
      </c>
      <c r="I174" s="29"/>
      <c r="J174" s="29" t="s">
        <v>7055</v>
      </c>
      <c r="K174" s="29"/>
      <c r="L174" s="29" t="s">
        <v>7066</v>
      </c>
      <c r="M174" s="29" t="s">
        <v>7067</v>
      </c>
      <c r="N174" s="29" t="s">
        <v>7068</v>
      </c>
      <c r="O174" s="29"/>
      <c r="P174" s="29" t="s">
        <v>7072</v>
      </c>
      <c r="Q174" t="s">
        <v>2038</v>
      </c>
      <c r="R174" t="s">
        <v>2632</v>
      </c>
      <c r="S174">
        <v>37</v>
      </c>
      <c r="T174" s="43" t="str">
        <f t="shared" si="9"/>
        <v>2021.022B.R.Crassvirales.zip</v>
      </c>
      <c r="U174" s="43" t="str">
        <f>HYPERLINK("https://ictv.global/taxonomy/taxondetails?taxnode_id=202213482","ictv.global=202213482")</f>
        <v>ictv.global=202213482</v>
      </c>
    </row>
    <row r="175" spans="1:21">
      <c r="A175">
        <v>174</v>
      </c>
      <c r="B175" s="29" t="s">
        <v>3682</v>
      </c>
      <c r="C175" s="29"/>
      <c r="D175" s="29" t="s">
        <v>3683</v>
      </c>
      <c r="E175" s="29"/>
      <c r="F175" s="29" t="s">
        <v>3686</v>
      </c>
      <c r="G175" s="29"/>
      <c r="H175" s="29" t="s">
        <v>3687</v>
      </c>
      <c r="I175" s="29"/>
      <c r="J175" s="29" t="s">
        <v>7055</v>
      </c>
      <c r="K175" s="29"/>
      <c r="L175" s="29" t="s">
        <v>7066</v>
      </c>
      <c r="M175" s="29" t="s">
        <v>7073</v>
      </c>
      <c r="N175" s="29" t="s">
        <v>7074</v>
      </c>
      <c r="O175" s="29"/>
      <c r="P175" s="29" t="s">
        <v>7075</v>
      </c>
      <c r="Q175" t="s">
        <v>2038</v>
      </c>
      <c r="R175" t="s">
        <v>2632</v>
      </c>
      <c r="S175">
        <v>37</v>
      </c>
      <c r="T175" s="43" t="str">
        <f t="shared" si="9"/>
        <v>2021.022B.R.Crassvirales.zip</v>
      </c>
      <c r="U175" s="43" t="str">
        <f>HYPERLINK("https://ictv.global/taxonomy/taxondetails?taxnode_id=202213461","ictv.global=202213461")</f>
        <v>ictv.global=202213461</v>
      </c>
    </row>
    <row r="176" spans="1:21">
      <c r="A176">
        <v>175</v>
      </c>
      <c r="B176" s="29" t="s">
        <v>3682</v>
      </c>
      <c r="C176" s="29"/>
      <c r="D176" s="29" t="s">
        <v>3683</v>
      </c>
      <c r="E176" s="29"/>
      <c r="F176" s="29" t="s">
        <v>3686</v>
      </c>
      <c r="G176" s="29"/>
      <c r="H176" s="29" t="s">
        <v>3687</v>
      </c>
      <c r="I176" s="29"/>
      <c r="J176" s="29" t="s">
        <v>7055</v>
      </c>
      <c r="K176" s="29"/>
      <c r="L176" s="29" t="s">
        <v>7066</v>
      </c>
      <c r="M176" s="29" t="s">
        <v>7073</v>
      </c>
      <c r="N176" s="29" t="s">
        <v>7074</v>
      </c>
      <c r="O176" s="29"/>
      <c r="P176" s="29" t="s">
        <v>7076</v>
      </c>
      <c r="Q176" t="s">
        <v>2038</v>
      </c>
      <c r="R176" t="s">
        <v>2632</v>
      </c>
      <c r="S176">
        <v>37</v>
      </c>
      <c r="T176" s="43" t="str">
        <f t="shared" si="9"/>
        <v>2021.022B.R.Crassvirales.zip</v>
      </c>
      <c r="U176" s="43" t="str">
        <f>HYPERLINK("https://ictv.global/taxonomy/taxondetails?taxnode_id=202213460","ictv.global=202213460")</f>
        <v>ictv.global=202213460</v>
      </c>
    </row>
    <row r="177" spans="1:21">
      <c r="A177">
        <v>176</v>
      </c>
      <c r="B177" s="29" t="s">
        <v>3682</v>
      </c>
      <c r="C177" s="29"/>
      <c r="D177" s="29" t="s">
        <v>3683</v>
      </c>
      <c r="E177" s="29"/>
      <c r="F177" s="29" t="s">
        <v>3686</v>
      </c>
      <c r="G177" s="29"/>
      <c r="H177" s="29" t="s">
        <v>3687</v>
      </c>
      <c r="I177" s="29"/>
      <c r="J177" s="29" t="s">
        <v>7055</v>
      </c>
      <c r="K177" s="29"/>
      <c r="L177" s="29" t="s">
        <v>7066</v>
      </c>
      <c r="M177" s="29" t="s">
        <v>7073</v>
      </c>
      <c r="N177" s="29" t="s">
        <v>7077</v>
      </c>
      <c r="O177" s="29"/>
      <c r="P177" s="29" t="s">
        <v>7078</v>
      </c>
      <c r="Q177" t="s">
        <v>2038</v>
      </c>
      <c r="R177" t="s">
        <v>2632</v>
      </c>
      <c r="S177">
        <v>37</v>
      </c>
      <c r="T177" s="43" t="str">
        <f t="shared" si="9"/>
        <v>2021.022B.R.Crassvirales.zip</v>
      </c>
      <c r="U177" s="43" t="str">
        <f>HYPERLINK("https://ictv.global/taxonomy/taxondetails?taxnode_id=202213468","ictv.global=202213468")</f>
        <v>ictv.global=202213468</v>
      </c>
    </row>
    <row r="178" spans="1:21">
      <c r="A178">
        <v>177</v>
      </c>
      <c r="B178" s="29" t="s">
        <v>3682</v>
      </c>
      <c r="C178" s="29"/>
      <c r="D178" s="29" t="s">
        <v>3683</v>
      </c>
      <c r="E178" s="29"/>
      <c r="F178" s="29" t="s">
        <v>3686</v>
      </c>
      <c r="G178" s="29"/>
      <c r="H178" s="29" t="s">
        <v>3687</v>
      </c>
      <c r="I178" s="29"/>
      <c r="J178" s="29" t="s">
        <v>7055</v>
      </c>
      <c r="K178" s="29"/>
      <c r="L178" s="29" t="s">
        <v>7066</v>
      </c>
      <c r="M178" s="29" t="s">
        <v>7073</v>
      </c>
      <c r="N178" s="29" t="s">
        <v>7079</v>
      </c>
      <c r="O178" s="29"/>
      <c r="P178" s="29" t="s">
        <v>7080</v>
      </c>
      <c r="Q178" t="s">
        <v>2038</v>
      </c>
      <c r="R178" t="s">
        <v>2632</v>
      </c>
      <c r="S178">
        <v>37</v>
      </c>
      <c r="T178" s="43" t="str">
        <f t="shared" si="9"/>
        <v>2021.022B.R.Crassvirales.zip</v>
      </c>
      <c r="U178" s="43" t="str">
        <f>HYPERLINK("https://ictv.global/taxonomy/taxondetails?taxnode_id=202213470","ictv.global=202213470")</f>
        <v>ictv.global=202213470</v>
      </c>
    </row>
    <row r="179" spans="1:21">
      <c r="A179">
        <v>178</v>
      </c>
      <c r="B179" s="29" t="s">
        <v>3682</v>
      </c>
      <c r="C179" s="29"/>
      <c r="D179" s="29" t="s">
        <v>3683</v>
      </c>
      <c r="E179" s="29"/>
      <c r="F179" s="29" t="s">
        <v>3686</v>
      </c>
      <c r="G179" s="29"/>
      <c r="H179" s="29" t="s">
        <v>3687</v>
      </c>
      <c r="I179" s="29"/>
      <c r="J179" s="29" t="s">
        <v>7055</v>
      </c>
      <c r="K179" s="29"/>
      <c r="L179" s="29" t="s">
        <v>7066</v>
      </c>
      <c r="M179" s="29" t="s">
        <v>7073</v>
      </c>
      <c r="N179" s="29" t="s">
        <v>7079</v>
      </c>
      <c r="O179" s="29"/>
      <c r="P179" s="29" t="s">
        <v>7081</v>
      </c>
      <c r="Q179" t="s">
        <v>2038</v>
      </c>
      <c r="R179" t="s">
        <v>2632</v>
      </c>
      <c r="S179">
        <v>37</v>
      </c>
      <c r="T179" s="43" t="str">
        <f t="shared" si="9"/>
        <v>2021.022B.R.Crassvirales.zip</v>
      </c>
      <c r="U179" s="43" t="str">
        <f>HYPERLINK("https://ictv.global/taxonomy/taxondetails?taxnode_id=202213471","ictv.global=202213471")</f>
        <v>ictv.global=202213471</v>
      </c>
    </row>
    <row r="180" spans="1:21">
      <c r="A180">
        <v>179</v>
      </c>
      <c r="B180" s="29" t="s">
        <v>3682</v>
      </c>
      <c r="C180" s="29"/>
      <c r="D180" s="29" t="s">
        <v>3683</v>
      </c>
      <c r="E180" s="29"/>
      <c r="F180" s="29" t="s">
        <v>3686</v>
      </c>
      <c r="G180" s="29"/>
      <c r="H180" s="29" t="s">
        <v>3687</v>
      </c>
      <c r="I180" s="29"/>
      <c r="J180" s="29" t="s">
        <v>7055</v>
      </c>
      <c r="K180" s="29"/>
      <c r="L180" s="29" t="s">
        <v>7066</v>
      </c>
      <c r="M180" s="29" t="s">
        <v>7073</v>
      </c>
      <c r="N180" s="29" t="s">
        <v>7079</v>
      </c>
      <c r="O180" s="29"/>
      <c r="P180" s="29" t="s">
        <v>7082</v>
      </c>
      <c r="Q180" t="s">
        <v>2038</v>
      </c>
      <c r="R180" t="s">
        <v>2632</v>
      </c>
      <c r="S180">
        <v>37</v>
      </c>
      <c r="T180" s="43" t="str">
        <f t="shared" si="9"/>
        <v>2021.022B.R.Crassvirales.zip</v>
      </c>
      <c r="U180" s="43" t="str">
        <f>HYPERLINK("https://ictv.global/taxonomy/taxondetails?taxnode_id=202213472","ictv.global=202213472")</f>
        <v>ictv.global=202213472</v>
      </c>
    </row>
    <row r="181" spans="1:21">
      <c r="A181">
        <v>180</v>
      </c>
      <c r="B181" s="29" t="s">
        <v>3682</v>
      </c>
      <c r="C181" s="29"/>
      <c r="D181" s="29" t="s">
        <v>3683</v>
      </c>
      <c r="E181" s="29"/>
      <c r="F181" s="29" t="s">
        <v>3686</v>
      </c>
      <c r="G181" s="29"/>
      <c r="H181" s="29" t="s">
        <v>3687</v>
      </c>
      <c r="I181" s="29"/>
      <c r="J181" s="29" t="s">
        <v>7055</v>
      </c>
      <c r="K181" s="29"/>
      <c r="L181" s="29" t="s">
        <v>7066</v>
      </c>
      <c r="M181" s="29" t="s">
        <v>7073</v>
      </c>
      <c r="N181" s="29" t="s">
        <v>7083</v>
      </c>
      <c r="O181" s="29"/>
      <c r="P181" s="29" t="s">
        <v>7084</v>
      </c>
      <c r="Q181" t="s">
        <v>2038</v>
      </c>
      <c r="R181" t="s">
        <v>2632</v>
      </c>
      <c r="S181">
        <v>37</v>
      </c>
      <c r="T181" s="43" t="str">
        <f t="shared" si="9"/>
        <v>2021.022B.R.Crassvirales.zip</v>
      </c>
      <c r="U181" s="43" t="str">
        <f>HYPERLINK("https://ictv.global/taxonomy/taxondetails?taxnode_id=202213473","ictv.global=202213473")</f>
        <v>ictv.global=202213473</v>
      </c>
    </row>
    <row r="182" spans="1:21">
      <c r="A182">
        <v>181</v>
      </c>
      <c r="B182" s="29" t="s">
        <v>3682</v>
      </c>
      <c r="C182" s="29"/>
      <c r="D182" s="29" t="s">
        <v>3683</v>
      </c>
      <c r="E182" s="29"/>
      <c r="F182" s="29" t="s">
        <v>3686</v>
      </c>
      <c r="G182" s="29"/>
      <c r="H182" s="29" t="s">
        <v>3687</v>
      </c>
      <c r="I182" s="29"/>
      <c r="J182" s="29" t="s">
        <v>7055</v>
      </c>
      <c r="K182" s="29"/>
      <c r="L182" s="29" t="s">
        <v>7066</v>
      </c>
      <c r="M182" s="29" t="s">
        <v>7073</v>
      </c>
      <c r="N182" s="29" t="s">
        <v>7083</v>
      </c>
      <c r="O182" s="29"/>
      <c r="P182" s="29" t="s">
        <v>7085</v>
      </c>
      <c r="Q182" t="s">
        <v>2038</v>
      </c>
      <c r="R182" t="s">
        <v>2632</v>
      </c>
      <c r="S182">
        <v>37</v>
      </c>
      <c r="T182" s="43" t="str">
        <f t="shared" si="9"/>
        <v>2021.022B.R.Crassvirales.zip</v>
      </c>
      <c r="U182" s="43" t="str">
        <f>HYPERLINK("https://ictv.global/taxonomy/taxondetails?taxnode_id=202213474","ictv.global=202213474")</f>
        <v>ictv.global=202213474</v>
      </c>
    </row>
    <row r="183" spans="1:21">
      <c r="A183">
        <v>182</v>
      </c>
      <c r="B183" s="29" t="s">
        <v>3682</v>
      </c>
      <c r="C183" s="29"/>
      <c r="D183" s="29" t="s">
        <v>3683</v>
      </c>
      <c r="E183" s="29"/>
      <c r="F183" s="29" t="s">
        <v>3686</v>
      </c>
      <c r="G183" s="29"/>
      <c r="H183" s="29" t="s">
        <v>3687</v>
      </c>
      <c r="I183" s="29"/>
      <c r="J183" s="29" t="s">
        <v>7055</v>
      </c>
      <c r="K183" s="29"/>
      <c r="L183" s="29" t="s">
        <v>7066</v>
      </c>
      <c r="M183" s="29" t="s">
        <v>7073</v>
      </c>
      <c r="N183" s="29" t="s">
        <v>7086</v>
      </c>
      <c r="O183" s="29"/>
      <c r="P183" s="29" t="s">
        <v>7087</v>
      </c>
      <c r="Q183" t="s">
        <v>2038</v>
      </c>
      <c r="R183" t="s">
        <v>2632</v>
      </c>
      <c r="S183">
        <v>37</v>
      </c>
      <c r="T183" s="43" t="str">
        <f t="shared" si="9"/>
        <v>2021.022B.R.Crassvirales.zip</v>
      </c>
      <c r="U183" s="43" t="str">
        <f>HYPERLINK("https://ictv.global/taxonomy/taxondetails?taxnode_id=202213475","ictv.global=202213475")</f>
        <v>ictv.global=202213475</v>
      </c>
    </row>
    <row r="184" spans="1:21">
      <c r="A184">
        <v>183</v>
      </c>
      <c r="B184" s="29" t="s">
        <v>3682</v>
      </c>
      <c r="C184" s="29"/>
      <c r="D184" s="29" t="s">
        <v>3683</v>
      </c>
      <c r="E184" s="29"/>
      <c r="F184" s="29" t="s">
        <v>3686</v>
      </c>
      <c r="G184" s="29"/>
      <c r="H184" s="29" t="s">
        <v>3687</v>
      </c>
      <c r="I184" s="29"/>
      <c r="J184" s="29" t="s">
        <v>7055</v>
      </c>
      <c r="K184" s="29"/>
      <c r="L184" s="29" t="s">
        <v>7066</v>
      </c>
      <c r="M184" s="29" t="s">
        <v>7073</v>
      </c>
      <c r="N184" s="29" t="s">
        <v>7088</v>
      </c>
      <c r="O184" s="29"/>
      <c r="P184" s="29" t="s">
        <v>7089</v>
      </c>
      <c r="Q184" t="s">
        <v>2038</v>
      </c>
      <c r="R184" t="s">
        <v>2632</v>
      </c>
      <c r="S184">
        <v>37</v>
      </c>
      <c r="T184" s="43" t="str">
        <f t="shared" si="9"/>
        <v>2021.022B.R.Crassvirales.zip</v>
      </c>
      <c r="U184" s="43" t="str">
        <f>HYPERLINK("https://ictv.global/taxonomy/taxondetails?taxnode_id=202213476","ictv.global=202213476")</f>
        <v>ictv.global=202213476</v>
      </c>
    </row>
    <row r="185" spans="1:21">
      <c r="A185">
        <v>184</v>
      </c>
      <c r="B185" s="29" t="s">
        <v>3682</v>
      </c>
      <c r="C185" s="29"/>
      <c r="D185" s="29" t="s">
        <v>3683</v>
      </c>
      <c r="E185" s="29"/>
      <c r="F185" s="29" t="s">
        <v>3686</v>
      </c>
      <c r="G185" s="29"/>
      <c r="H185" s="29" t="s">
        <v>3687</v>
      </c>
      <c r="I185" s="29"/>
      <c r="J185" s="29" t="s">
        <v>7055</v>
      </c>
      <c r="K185" s="29"/>
      <c r="L185" s="29" t="s">
        <v>7066</v>
      </c>
      <c r="M185" s="29" t="s">
        <v>7073</v>
      </c>
      <c r="N185" s="29" t="s">
        <v>7090</v>
      </c>
      <c r="O185" s="29"/>
      <c r="P185" s="29" t="s">
        <v>7091</v>
      </c>
      <c r="Q185" t="s">
        <v>2038</v>
      </c>
      <c r="R185" t="s">
        <v>2632</v>
      </c>
      <c r="S185">
        <v>37</v>
      </c>
      <c r="T185" s="43" t="str">
        <f t="shared" si="9"/>
        <v>2021.022B.R.Crassvirales.zip</v>
      </c>
      <c r="U185" s="43" t="str">
        <f>HYPERLINK("https://ictv.global/taxonomy/taxondetails?taxnode_id=202213500","ictv.global=202213500")</f>
        <v>ictv.global=202213500</v>
      </c>
    </row>
    <row r="186" spans="1:21">
      <c r="A186">
        <v>185</v>
      </c>
      <c r="B186" s="29" t="s">
        <v>3682</v>
      </c>
      <c r="C186" s="29"/>
      <c r="D186" s="29" t="s">
        <v>3683</v>
      </c>
      <c r="E186" s="29"/>
      <c r="F186" s="29" t="s">
        <v>3686</v>
      </c>
      <c r="G186" s="29"/>
      <c r="H186" s="29" t="s">
        <v>3687</v>
      </c>
      <c r="I186" s="29"/>
      <c r="J186" s="29" t="s">
        <v>7055</v>
      </c>
      <c r="K186" s="29"/>
      <c r="L186" s="29" t="s">
        <v>7066</v>
      </c>
      <c r="M186" s="29" t="s">
        <v>7092</v>
      </c>
      <c r="N186" s="29" t="s">
        <v>7093</v>
      </c>
      <c r="O186" s="29"/>
      <c r="P186" s="29" t="s">
        <v>7094</v>
      </c>
      <c r="Q186" t="s">
        <v>2038</v>
      </c>
      <c r="R186" t="s">
        <v>2632</v>
      </c>
      <c r="S186">
        <v>37</v>
      </c>
      <c r="T186" s="43" t="str">
        <f t="shared" si="9"/>
        <v>2021.022B.R.Crassvirales.zip</v>
      </c>
      <c r="U186" s="43" t="str">
        <f>HYPERLINK("https://ictv.global/taxonomy/taxondetails?taxnode_id=202213477","ictv.global=202213477")</f>
        <v>ictv.global=202213477</v>
      </c>
    </row>
    <row r="187" spans="1:21">
      <c r="A187">
        <v>186</v>
      </c>
      <c r="B187" s="29" t="s">
        <v>3682</v>
      </c>
      <c r="C187" s="29"/>
      <c r="D187" s="29" t="s">
        <v>3683</v>
      </c>
      <c r="E187" s="29"/>
      <c r="F187" s="29" t="s">
        <v>3686</v>
      </c>
      <c r="G187" s="29"/>
      <c r="H187" s="29" t="s">
        <v>3687</v>
      </c>
      <c r="I187" s="29"/>
      <c r="J187" s="29" t="s">
        <v>7055</v>
      </c>
      <c r="K187" s="29"/>
      <c r="L187" s="29" t="s">
        <v>7066</v>
      </c>
      <c r="M187" s="29" t="s">
        <v>7092</v>
      </c>
      <c r="N187" s="29" t="s">
        <v>7095</v>
      </c>
      <c r="O187" s="29"/>
      <c r="P187" s="29" t="s">
        <v>7096</v>
      </c>
      <c r="Q187" t="s">
        <v>2038</v>
      </c>
      <c r="R187" t="s">
        <v>2632</v>
      </c>
      <c r="S187">
        <v>37</v>
      </c>
      <c r="T187" s="43" t="str">
        <f t="shared" si="9"/>
        <v>2021.022B.R.Crassvirales.zip</v>
      </c>
      <c r="U187" s="43" t="str">
        <f>HYPERLINK("https://ictv.global/taxonomy/taxondetails?taxnode_id=202213478","ictv.global=202213478")</f>
        <v>ictv.global=202213478</v>
      </c>
    </row>
    <row r="188" spans="1:21">
      <c r="A188">
        <v>187</v>
      </c>
      <c r="B188" s="29" t="s">
        <v>3682</v>
      </c>
      <c r="C188" s="29"/>
      <c r="D188" s="29" t="s">
        <v>3683</v>
      </c>
      <c r="E188" s="29"/>
      <c r="F188" s="29" t="s">
        <v>3686</v>
      </c>
      <c r="G188" s="29"/>
      <c r="H188" s="29" t="s">
        <v>3687</v>
      </c>
      <c r="I188" s="29"/>
      <c r="J188" s="29" t="s">
        <v>7055</v>
      </c>
      <c r="K188" s="29"/>
      <c r="L188" s="29" t="s">
        <v>7066</v>
      </c>
      <c r="M188" s="29" t="s">
        <v>7092</v>
      </c>
      <c r="N188" s="29" t="s">
        <v>7097</v>
      </c>
      <c r="O188" s="29"/>
      <c r="P188" s="29" t="s">
        <v>7098</v>
      </c>
      <c r="Q188" t="s">
        <v>2038</v>
      </c>
      <c r="R188" t="s">
        <v>2632</v>
      </c>
      <c r="S188">
        <v>37</v>
      </c>
      <c r="T188" s="43" t="str">
        <f t="shared" si="9"/>
        <v>2021.022B.R.Crassvirales.zip</v>
      </c>
      <c r="U188" s="43" t="str">
        <f>HYPERLINK("https://ictv.global/taxonomy/taxondetails?taxnode_id=202213501","ictv.global=202213501")</f>
        <v>ictv.global=202213501</v>
      </c>
    </row>
    <row r="189" spans="1:21">
      <c r="A189">
        <v>188</v>
      </c>
      <c r="B189" s="29" t="s">
        <v>3682</v>
      </c>
      <c r="C189" s="29"/>
      <c r="D189" s="29" t="s">
        <v>3683</v>
      </c>
      <c r="E189" s="29"/>
      <c r="F189" s="29" t="s">
        <v>3686</v>
      </c>
      <c r="G189" s="29"/>
      <c r="H189" s="29" t="s">
        <v>3687</v>
      </c>
      <c r="I189" s="29"/>
      <c r="J189" s="29" t="s">
        <v>7055</v>
      </c>
      <c r="K189" s="29"/>
      <c r="L189" s="29" t="s">
        <v>7099</v>
      </c>
      <c r="M189" s="29" t="s">
        <v>7100</v>
      </c>
      <c r="N189" s="29" t="s">
        <v>7101</v>
      </c>
      <c r="O189" s="29"/>
      <c r="P189" s="29" t="s">
        <v>7102</v>
      </c>
      <c r="Q189" t="s">
        <v>2038</v>
      </c>
      <c r="R189" t="s">
        <v>2632</v>
      </c>
      <c r="S189">
        <v>37</v>
      </c>
      <c r="T189" s="43" t="str">
        <f t="shared" si="9"/>
        <v>2021.022B.R.Crassvirales.zip</v>
      </c>
      <c r="U189" s="43" t="str">
        <f>HYPERLINK("https://ictv.global/taxonomy/taxondetails?taxnode_id=202213433","ictv.global=202213433")</f>
        <v>ictv.global=202213433</v>
      </c>
    </row>
    <row r="190" spans="1:21">
      <c r="A190">
        <v>189</v>
      </c>
      <c r="B190" s="29" t="s">
        <v>3682</v>
      </c>
      <c r="C190" s="29"/>
      <c r="D190" s="29" t="s">
        <v>3683</v>
      </c>
      <c r="E190" s="29"/>
      <c r="F190" s="29" t="s">
        <v>3686</v>
      </c>
      <c r="G190" s="29"/>
      <c r="H190" s="29" t="s">
        <v>3687</v>
      </c>
      <c r="I190" s="29"/>
      <c r="J190" s="29" t="s">
        <v>7055</v>
      </c>
      <c r="K190" s="29"/>
      <c r="L190" s="29" t="s">
        <v>7099</v>
      </c>
      <c r="M190" s="29" t="s">
        <v>7100</v>
      </c>
      <c r="N190" s="29" t="s">
        <v>7103</v>
      </c>
      <c r="O190" s="29"/>
      <c r="P190" s="29" t="s">
        <v>7104</v>
      </c>
      <c r="Q190" t="s">
        <v>2038</v>
      </c>
      <c r="R190" t="s">
        <v>2632</v>
      </c>
      <c r="S190">
        <v>37</v>
      </c>
      <c r="T190" s="43" t="str">
        <f t="shared" si="9"/>
        <v>2021.022B.R.Crassvirales.zip</v>
      </c>
      <c r="U190" s="43" t="str">
        <f>HYPERLINK("https://ictv.global/taxonomy/taxondetails?taxnode_id=202213485","ictv.global=202213485")</f>
        <v>ictv.global=202213485</v>
      </c>
    </row>
    <row r="191" spans="1:21">
      <c r="A191">
        <v>190</v>
      </c>
      <c r="B191" s="29" t="s">
        <v>3682</v>
      </c>
      <c r="C191" s="29"/>
      <c r="D191" s="29" t="s">
        <v>3683</v>
      </c>
      <c r="E191" s="29"/>
      <c r="F191" s="29" t="s">
        <v>3686</v>
      </c>
      <c r="G191" s="29"/>
      <c r="H191" s="29" t="s">
        <v>3687</v>
      </c>
      <c r="I191" s="29"/>
      <c r="J191" s="29" t="s">
        <v>7055</v>
      </c>
      <c r="K191" s="29"/>
      <c r="L191" s="29" t="s">
        <v>7099</v>
      </c>
      <c r="M191" s="29" t="s">
        <v>7100</v>
      </c>
      <c r="N191" s="29" t="s">
        <v>7103</v>
      </c>
      <c r="O191" s="29"/>
      <c r="P191" s="29" t="s">
        <v>7105</v>
      </c>
      <c r="Q191" t="s">
        <v>2038</v>
      </c>
      <c r="R191" t="s">
        <v>2632</v>
      </c>
      <c r="S191">
        <v>37</v>
      </c>
      <c r="T191" s="43" t="str">
        <f t="shared" si="9"/>
        <v>2021.022B.R.Crassvirales.zip</v>
      </c>
      <c r="U191" s="43" t="str">
        <f>HYPERLINK("https://ictv.global/taxonomy/taxondetails?taxnode_id=202213486","ictv.global=202213486")</f>
        <v>ictv.global=202213486</v>
      </c>
    </row>
    <row r="192" spans="1:21">
      <c r="A192">
        <v>191</v>
      </c>
      <c r="B192" s="29" t="s">
        <v>3682</v>
      </c>
      <c r="C192" s="29"/>
      <c r="D192" s="29" t="s">
        <v>3683</v>
      </c>
      <c r="E192" s="29"/>
      <c r="F192" s="29" t="s">
        <v>3686</v>
      </c>
      <c r="G192" s="29"/>
      <c r="H192" s="29" t="s">
        <v>3687</v>
      </c>
      <c r="I192" s="29"/>
      <c r="J192" s="29" t="s">
        <v>7055</v>
      </c>
      <c r="K192" s="29"/>
      <c r="L192" s="29" t="s">
        <v>7099</v>
      </c>
      <c r="M192" s="29" t="s">
        <v>7100</v>
      </c>
      <c r="N192" s="29" t="s">
        <v>7106</v>
      </c>
      <c r="O192" s="29"/>
      <c r="P192" s="29" t="s">
        <v>7107</v>
      </c>
      <c r="Q192" t="s">
        <v>2038</v>
      </c>
      <c r="R192" t="s">
        <v>2632</v>
      </c>
      <c r="S192">
        <v>37</v>
      </c>
      <c r="T192" s="43" t="str">
        <f t="shared" si="9"/>
        <v>2021.022B.R.Crassvirales.zip</v>
      </c>
      <c r="U192" s="43" t="str">
        <f>HYPERLINK("https://ictv.global/taxonomy/taxondetails?taxnode_id=202213489","ictv.global=202213489")</f>
        <v>ictv.global=202213489</v>
      </c>
    </row>
    <row r="193" spans="1:21">
      <c r="A193">
        <v>192</v>
      </c>
      <c r="B193" s="29" t="s">
        <v>3682</v>
      </c>
      <c r="C193" s="29"/>
      <c r="D193" s="29" t="s">
        <v>3683</v>
      </c>
      <c r="E193" s="29"/>
      <c r="F193" s="29" t="s">
        <v>3686</v>
      </c>
      <c r="G193" s="29"/>
      <c r="H193" s="29" t="s">
        <v>3687</v>
      </c>
      <c r="I193" s="29"/>
      <c r="J193" s="29" t="s">
        <v>7055</v>
      </c>
      <c r="K193" s="29"/>
      <c r="L193" s="29" t="s">
        <v>7099</v>
      </c>
      <c r="M193" s="29" t="s">
        <v>7100</v>
      </c>
      <c r="N193" s="29" t="s">
        <v>7106</v>
      </c>
      <c r="O193" s="29"/>
      <c r="P193" s="29" t="s">
        <v>7108</v>
      </c>
      <c r="Q193" t="s">
        <v>2038</v>
      </c>
      <c r="R193" t="s">
        <v>2632</v>
      </c>
      <c r="S193">
        <v>37</v>
      </c>
      <c r="T193" s="43" t="str">
        <f t="shared" si="9"/>
        <v>2021.022B.R.Crassvirales.zip</v>
      </c>
      <c r="U193" s="43" t="str">
        <f>HYPERLINK("https://ictv.global/taxonomy/taxondetails?taxnode_id=202213488","ictv.global=202213488")</f>
        <v>ictv.global=202213488</v>
      </c>
    </row>
    <row r="194" spans="1:21">
      <c r="A194">
        <v>193</v>
      </c>
      <c r="B194" s="29" t="s">
        <v>3682</v>
      </c>
      <c r="C194" s="29"/>
      <c r="D194" s="29" t="s">
        <v>3683</v>
      </c>
      <c r="E194" s="29"/>
      <c r="F194" s="29" t="s">
        <v>3686</v>
      </c>
      <c r="G194" s="29"/>
      <c r="H194" s="29" t="s">
        <v>3687</v>
      </c>
      <c r="I194" s="29"/>
      <c r="J194" s="29" t="s">
        <v>7055</v>
      </c>
      <c r="K194" s="29"/>
      <c r="L194" s="29" t="s">
        <v>7099</v>
      </c>
      <c r="M194" s="29" t="s">
        <v>7100</v>
      </c>
      <c r="N194" s="29" t="s">
        <v>7109</v>
      </c>
      <c r="O194" s="29"/>
      <c r="P194" s="29" t="s">
        <v>7110</v>
      </c>
      <c r="Q194" t="s">
        <v>2038</v>
      </c>
      <c r="R194" t="s">
        <v>2632</v>
      </c>
      <c r="S194">
        <v>37</v>
      </c>
      <c r="T194" s="43" t="str">
        <f t="shared" si="9"/>
        <v>2021.022B.R.Crassvirales.zip</v>
      </c>
      <c r="U194" s="43" t="str">
        <f>HYPERLINK("https://ictv.global/taxonomy/taxondetails?taxnode_id=202213491","ictv.global=202213491")</f>
        <v>ictv.global=202213491</v>
      </c>
    </row>
    <row r="195" spans="1:21">
      <c r="A195">
        <v>194</v>
      </c>
      <c r="B195" s="29" t="s">
        <v>3682</v>
      </c>
      <c r="C195" s="29"/>
      <c r="D195" s="29" t="s">
        <v>3683</v>
      </c>
      <c r="E195" s="29"/>
      <c r="F195" s="29" t="s">
        <v>3686</v>
      </c>
      <c r="G195" s="29"/>
      <c r="H195" s="29" t="s">
        <v>3687</v>
      </c>
      <c r="I195" s="29"/>
      <c r="J195" s="29" t="s">
        <v>7055</v>
      </c>
      <c r="K195" s="29"/>
      <c r="L195" s="29" t="s">
        <v>7099</v>
      </c>
      <c r="M195" s="29" t="s">
        <v>7100</v>
      </c>
      <c r="N195" s="29" t="s">
        <v>7109</v>
      </c>
      <c r="O195" s="29"/>
      <c r="P195" s="29" t="s">
        <v>7111</v>
      </c>
      <c r="Q195" t="s">
        <v>2038</v>
      </c>
      <c r="R195" t="s">
        <v>2632</v>
      </c>
      <c r="S195">
        <v>37</v>
      </c>
      <c r="T195" s="43" t="str">
        <f t="shared" si="9"/>
        <v>2021.022B.R.Crassvirales.zip</v>
      </c>
      <c r="U195" s="43" t="str">
        <f>HYPERLINK("https://ictv.global/taxonomy/taxondetails?taxnode_id=202213492","ictv.global=202213492")</f>
        <v>ictv.global=202213492</v>
      </c>
    </row>
    <row r="196" spans="1:21">
      <c r="A196">
        <v>195</v>
      </c>
      <c r="B196" s="29" t="s">
        <v>3682</v>
      </c>
      <c r="C196" s="29"/>
      <c r="D196" s="29" t="s">
        <v>3683</v>
      </c>
      <c r="E196" s="29"/>
      <c r="F196" s="29" t="s">
        <v>3686</v>
      </c>
      <c r="G196" s="29"/>
      <c r="H196" s="29" t="s">
        <v>3687</v>
      </c>
      <c r="I196" s="29"/>
      <c r="J196" s="29" t="s">
        <v>7055</v>
      </c>
      <c r="K196" s="29"/>
      <c r="L196" s="29" t="s">
        <v>7099</v>
      </c>
      <c r="M196" s="29" t="s">
        <v>7100</v>
      </c>
      <c r="N196" s="29" t="s">
        <v>7112</v>
      </c>
      <c r="O196" s="29"/>
      <c r="P196" s="29" t="s">
        <v>7113</v>
      </c>
      <c r="Q196" t="s">
        <v>2038</v>
      </c>
      <c r="R196" t="s">
        <v>2632</v>
      </c>
      <c r="S196">
        <v>37</v>
      </c>
      <c r="T196" s="43" t="str">
        <f t="shared" si="9"/>
        <v>2021.022B.R.Crassvirales.zip</v>
      </c>
      <c r="U196" s="43" t="str">
        <f>HYPERLINK("https://ictv.global/taxonomy/taxondetails?taxnode_id=202213493","ictv.global=202213493")</f>
        <v>ictv.global=202213493</v>
      </c>
    </row>
    <row r="197" spans="1:21">
      <c r="A197">
        <v>196</v>
      </c>
      <c r="B197" s="29" t="s">
        <v>3682</v>
      </c>
      <c r="C197" s="29"/>
      <c r="D197" s="29" t="s">
        <v>3683</v>
      </c>
      <c r="E197" s="29"/>
      <c r="F197" s="29" t="s">
        <v>3686</v>
      </c>
      <c r="G197" s="29"/>
      <c r="H197" s="29" t="s">
        <v>3687</v>
      </c>
      <c r="I197" s="29"/>
      <c r="J197" s="29" t="s">
        <v>7055</v>
      </c>
      <c r="K197" s="29"/>
      <c r="L197" s="29" t="s">
        <v>7099</v>
      </c>
      <c r="M197" s="29" t="s">
        <v>7100</v>
      </c>
      <c r="N197" s="29" t="s">
        <v>7114</v>
      </c>
      <c r="O197" s="29"/>
      <c r="P197" s="29" t="s">
        <v>7115</v>
      </c>
      <c r="Q197" t="s">
        <v>2038</v>
      </c>
      <c r="R197" t="s">
        <v>2632</v>
      </c>
      <c r="S197">
        <v>37</v>
      </c>
      <c r="T197" s="43" t="str">
        <f t="shared" si="9"/>
        <v>2021.022B.R.Crassvirales.zip</v>
      </c>
      <c r="U197" s="43" t="str">
        <f>HYPERLINK("https://ictv.global/taxonomy/taxondetails?taxnode_id=202213494","ictv.global=202213494")</f>
        <v>ictv.global=202213494</v>
      </c>
    </row>
    <row r="198" spans="1:21">
      <c r="A198">
        <v>197</v>
      </c>
      <c r="B198" s="29" t="s">
        <v>3682</v>
      </c>
      <c r="C198" s="29"/>
      <c r="D198" s="29" t="s">
        <v>3683</v>
      </c>
      <c r="E198" s="29"/>
      <c r="F198" s="29" t="s">
        <v>3686</v>
      </c>
      <c r="G198" s="29"/>
      <c r="H198" s="29" t="s">
        <v>3687</v>
      </c>
      <c r="I198" s="29"/>
      <c r="J198" s="29" t="s">
        <v>7055</v>
      </c>
      <c r="K198" s="29"/>
      <c r="L198" s="29" t="s">
        <v>7099</v>
      </c>
      <c r="M198" s="29" t="s">
        <v>7100</v>
      </c>
      <c r="N198" s="29" t="s">
        <v>7116</v>
      </c>
      <c r="O198" s="29"/>
      <c r="P198" s="29" t="s">
        <v>7117</v>
      </c>
      <c r="Q198" t="s">
        <v>2038</v>
      </c>
      <c r="R198" t="s">
        <v>2632</v>
      </c>
      <c r="S198">
        <v>37</v>
      </c>
      <c r="T198" s="43" t="str">
        <f t="shared" si="9"/>
        <v>2021.022B.R.Crassvirales.zip</v>
      </c>
      <c r="U198" s="43" t="str">
        <f>HYPERLINK("https://ictv.global/taxonomy/taxondetails?taxnode_id=202213495","ictv.global=202213495")</f>
        <v>ictv.global=202213495</v>
      </c>
    </row>
    <row r="199" spans="1:21">
      <c r="A199">
        <v>198</v>
      </c>
      <c r="B199" s="29" t="s">
        <v>3682</v>
      </c>
      <c r="C199" s="29"/>
      <c r="D199" s="29" t="s">
        <v>3683</v>
      </c>
      <c r="E199" s="29"/>
      <c r="F199" s="29" t="s">
        <v>3686</v>
      </c>
      <c r="G199" s="29"/>
      <c r="H199" s="29" t="s">
        <v>3687</v>
      </c>
      <c r="I199" s="29"/>
      <c r="J199" s="29" t="s">
        <v>7055</v>
      </c>
      <c r="K199" s="29"/>
      <c r="L199" s="29" t="s">
        <v>7099</v>
      </c>
      <c r="M199" s="29" t="s">
        <v>7100</v>
      </c>
      <c r="N199" s="29" t="s">
        <v>7118</v>
      </c>
      <c r="O199" s="29"/>
      <c r="P199" s="29" t="s">
        <v>7119</v>
      </c>
      <c r="Q199" t="s">
        <v>2038</v>
      </c>
      <c r="R199" t="s">
        <v>2632</v>
      </c>
      <c r="S199">
        <v>37</v>
      </c>
      <c r="T199" s="43" t="str">
        <f t="shared" ref="T199:T230" si="10">HYPERLINK("https://ictv.global/ictv/proposals/2021.022B.R.Crassvirales.zip","2021.022B.R.Crassvirales.zip")</f>
        <v>2021.022B.R.Crassvirales.zip</v>
      </c>
      <c r="U199" s="43" t="str">
        <f>HYPERLINK("https://ictv.global/taxonomy/taxondetails?taxnode_id=202213496","ictv.global=202213496")</f>
        <v>ictv.global=202213496</v>
      </c>
    </row>
    <row r="200" spans="1:21">
      <c r="A200">
        <v>199</v>
      </c>
      <c r="B200" s="29" t="s">
        <v>3682</v>
      </c>
      <c r="C200" s="29"/>
      <c r="D200" s="29" t="s">
        <v>3683</v>
      </c>
      <c r="E200" s="29"/>
      <c r="F200" s="29" t="s">
        <v>3686</v>
      </c>
      <c r="G200" s="29"/>
      <c r="H200" s="29" t="s">
        <v>3687</v>
      </c>
      <c r="I200" s="29"/>
      <c r="J200" s="29" t="s">
        <v>7055</v>
      </c>
      <c r="K200" s="29"/>
      <c r="L200" s="29" t="s">
        <v>7099</v>
      </c>
      <c r="M200" s="29" t="s">
        <v>7100</v>
      </c>
      <c r="N200" s="29" t="s">
        <v>7120</v>
      </c>
      <c r="O200" s="29"/>
      <c r="P200" s="29" t="s">
        <v>7121</v>
      </c>
      <c r="Q200" t="s">
        <v>2038</v>
      </c>
      <c r="R200" t="s">
        <v>2632</v>
      </c>
      <c r="S200">
        <v>37</v>
      </c>
      <c r="T200" s="43" t="str">
        <f t="shared" si="10"/>
        <v>2021.022B.R.Crassvirales.zip</v>
      </c>
      <c r="U200" s="43" t="str">
        <f>HYPERLINK("https://ictv.global/taxonomy/taxondetails?taxnode_id=202213497","ictv.global=202213497")</f>
        <v>ictv.global=202213497</v>
      </c>
    </row>
    <row r="201" spans="1:21">
      <c r="A201">
        <v>200</v>
      </c>
      <c r="B201" s="29" t="s">
        <v>3682</v>
      </c>
      <c r="C201" s="29"/>
      <c r="D201" s="29" t="s">
        <v>3683</v>
      </c>
      <c r="E201" s="29"/>
      <c r="F201" s="29" t="s">
        <v>3686</v>
      </c>
      <c r="G201" s="29"/>
      <c r="H201" s="29" t="s">
        <v>3687</v>
      </c>
      <c r="I201" s="29"/>
      <c r="J201" s="29" t="s">
        <v>7055</v>
      </c>
      <c r="K201" s="29"/>
      <c r="L201" s="29" t="s">
        <v>7099</v>
      </c>
      <c r="M201" s="29" t="s">
        <v>7100</v>
      </c>
      <c r="N201" s="29" t="s">
        <v>7122</v>
      </c>
      <c r="O201" s="29"/>
      <c r="P201" s="29" t="s">
        <v>7123</v>
      </c>
      <c r="Q201" t="s">
        <v>2038</v>
      </c>
      <c r="R201" t="s">
        <v>2632</v>
      </c>
      <c r="S201">
        <v>37</v>
      </c>
      <c r="T201" s="43" t="str">
        <f t="shared" si="10"/>
        <v>2021.022B.R.Crassvirales.zip</v>
      </c>
      <c r="U201" s="43" t="str">
        <f>HYPERLINK("https://ictv.global/taxonomy/taxondetails?taxnode_id=202213498","ictv.global=202213498")</f>
        <v>ictv.global=202213498</v>
      </c>
    </row>
    <row r="202" spans="1:21">
      <c r="A202">
        <v>201</v>
      </c>
      <c r="B202" s="29" t="s">
        <v>3682</v>
      </c>
      <c r="C202" s="29"/>
      <c r="D202" s="29" t="s">
        <v>3683</v>
      </c>
      <c r="E202" s="29"/>
      <c r="F202" s="29" t="s">
        <v>3686</v>
      </c>
      <c r="G202" s="29"/>
      <c r="H202" s="29" t="s">
        <v>3687</v>
      </c>
      <c r="I202" s="29"/>
      <c r="J202" s="29" t="s">
        <v>7055</v>
      </c>
      <c r="K202" s="29"/>
      <c r="L202" s="29" t="s">
        <v>7099</v>
      </c>
      <c r="M202" s="29" t="s">
        <v>7100</v>
      </c>
      <c r="N202" s="29" t="s">
        <v>7124</v>
      </c>
      <c r="O202" s="29"/>
      <c r="P202" s="29" t="s">
        <v>7125</v>
      </c>
      <c r="Q202" t="s">
        <v>2038</v>
      </c>
      <c r="R202" t="s">
        <v>2632</v>
      </c>
      <c r="S202">
        <v>37</v>
      </c>
      <c r="T202" s="43" t="str">
        <f t="shared" si="10"/>
        <v>2021.022B.R.Crassvirales.zip</v>
      </c>
      <c r="U202" s="43" t="str">
        <f>HYPERLINK("https://ictv.global/taxonomy/taxondetails?taxnode_id=202213499","ictv.global=202213499")</f>
        <v>ictv.global=202213499</v>
      </c>
    </row>
    <row r="203" spans="1:21">
      <c r="A203">
        <v>202</v>
      </c>
      <c r="B203" s="29" t="s">
        <v>3682</v>
      </c>
      <c r="C203" s="29"/>
      <c r="D203" s="29" t="s">
        <v>3683</v>
      </c>
      <c r="E203" s="29"/>
      <c r="F203" s="29" t="s">
        <v>3686</v>
      </c>
      <c r="G203" s="29"/>
      <c r="H203" s="29" t="s">
        <v>3687</v>
      </c>
      <c r="I203" s="29"/>
      <c r="J203" s="29" t="s">
        <v>7055</v>
      </c>
      <c r="K203" s="29"/>
      <c r="L203" s="29" t="s">
        <v>7099</v>
      </c>
      <c r="M203" s="29" t="s">
        <v>7100</v>
      </c>
      <c r="N203" s="29" t="s">
        <v>7126</v>
      </c>
      <c r="O203" s="29"/>
      <c r="P203" s="29" t="s">
        <v>7127</v>
      </c>
      <c r="Q203" t="s">
        <v>2038</v>
      </c>
      <c r="R203" t="s">
        <v>2632</v>
      </c>
      <c r="S203">
        <v>37</v>
      </c>
      <c r="T203" s="43" t="str">
        <f t="shared" si="10"/>
        <v>2021.022B.R.Crassvirales.zip</v>
      </c>
      <c r="U203" s="43" t="str">
        <f>HYPERLINK("https://ictv.global/taxonomy/taxondetails?taxnode_id=202213502","ictv.global=202213502")</f>
        <v>ictv.global=202213502</v>
      </c>
    </row>
    <row r="204" spans="1:21">
      <c r="A204">
        <v>203</v>
      </c>
      <c r="B204" s="29" t="s">
        <v>3682</v>
      </c>
      <c r="C204" s="29"/>
      <c r="D204" s="29" t="s">
        <v>3683</v>
      </c>
      <c r="E204" s="29"/>
      <c r="F204" s="29" t="s">
        <v>3686</v>
      </c>
      <c r="G204" s="29"/>
      <c r="H204" s="29" t="s">
        <v>3687</v>
      </c>
      <c r="I204" s="29"/>
      <c r="J204" s="29" t="s">
        <v>7055</v>
      </c>
      <c r="K204" s="29"/>
      <c r="L204" s="29" t="s">
        <v>7128</v>
      </c>
      <c r="M204" s="29" t="s">
        <v>7129</v>
      </c>
      <c r="N204" s="29" t="s">
        <v>7130</v>
      </c>
      <c r="O204" s="29"/>
      <c r="P204" s="29" t="s">
        <v>7131</v>
      </c>
      <c r="Q204" t="s">
        <v>2038</v>
      </c>
      <c r="R204" t="s">
        <v>2632</v>
      </c>
      <c r="S204">
        <v>37</v>
      </c>
      <c r="T204" s="43" t="str">
        <f t="shared" si="10"/>
        <v>2021.022B.R.Crassvirales.zip</v>
      </c>
      <c r="U204" s="43" t="str">
        <f>HYPERLINK("https://ictv.global/taxonomy/taxondetails?taxnode_id=202213115","ictv.global=202213115")</f>
        <v>ictv.global=202213115</v>
      </c>
    </row>
    <row r="205" spans="1:21">
      <c r="A205">
        <v>204</v>
      </c>
      <c r="B205" s="29" t="s">
        <v>3682</v>
      </c>
      <c r="C205" s="29"/>
      <c r="D205" s="29" t="s">
        <v>3683</v>
      </c>
      <c r="E205" s="29"/>
      <c r="F205" s="29" t="s">
        <v>3686</v>
      </c>
      <c r="G205" s="29"/>
      <c r="H205" s="29" t="s">
        <v>3687</v>
      </c>
      <c r="I205" s="29"/>
      <c r="J205" s="29" t="s">
        <v>7055</v>
      </c>
      <c r="K205" s="29"/>
      <c r="L205" s="29" t="s">
        <v>7128</v>
      </c>
      <c r="M205" s="29" t="s">
        <v>7129</v>
      </c>
      <c r="N205" s="29" t="s">
        <v>7130</v>
      </c>
      <c r="O205" s="29"/>
      <c r="P205" s="29" t="s">
        <v>7132</v>
      </c>
      <c r="Q205" t="s">
        <v>2038</v>
      </c>
      <c r="R205" t="s">
        <v>2632</v>
      </c>
      <c r="S205">
        <v>37</v>
      </c>
      <c r="T205" s="43" t="str">
        <f t="shared" si="10"/>
        <v>2021.022B.R.Crassvirales.zip</v>
      </c>
      <c r="U205" s="43" t="str">
        <f>HYPERLINK("https://ictv.global/taxonomy/taxondetails?taxnode_id=202213116","ictv.global=202213116")</f>
        <v>ictv.global=202213116</v>
      </c>
    </row>
    <row r="206" spans="1:21">
      <c r="A206">
        <v>205</v>
      </c>
      <c r="B206" s="29" t="s">
        <v>3682</v>
      </c>
      <c r="C206" s="29"/>
      <c r="D206" s="29" t="s">
        <v>3683</v>
      </c>
      <c r="E206" s="29"/>
      <c r="F206" s="29" t="s">
        <v>3686</v>
      </c>
      <c r="G206" s="29"/>
      <c r="H206" s="29" t="s">
        <v>3687</v>
      </c>
      <c r="I206" s="29"/>
      <c r="J206" s="29" t="s">
        <v>7055</v>
      </c>
      <c r="K206" s="29"/>
      <c r="L206" s="29" t="s">
        <v>7128</v>
      </c>
      <c r="M206" s="29" t="s">
        <v>7129</v>
      </c>
      <c r="N206" s="29" t="s">
        <v>7130</v>
      </c>
      <c r="O206" s="29"/>
      <c r="P206" s="29" t="s">
        <v>7133</v>
      </c>
      <c r="Q206" t="s">
        <v>2038</v>
      </c>
      <c r="R206" t="s">
        <v>2632</v>
      </c>
      <c r="S206">
        <v>37</v>
      </c>
      <c r="T206" s="43" t="str">
        <f t="shared" si="10"/>
        <v>2021.022B.R.Crassvirales.zip</v>
      </c>
      <c r="U206" s="43" t="str">
        <f>HYPERLINK("https://ictv.global/taxonomy/taxondetails?taxnode_id=202213114","ictv.global=202213114")</f>
        <v>ictv.global=202213114</v>
      </c>
    </row>
    <row r="207" spans="1:21">
      <c r="A207">
        <v>206</v>
      </c>
      <c r="B207" s="29" t="s">
        <v>3682</v>
      </c>
      <c r="C207" s="29"/>
      <c r="D207" s="29" t="s">
        <v>3683</v>
      </c>
      <c r="E207" s="29"/>
      <c r="F207" s="29" t="s">
        <v>3686</v>
      </c>
      <c r="G207" s="29"/>
      <c r="H207" s="29" t="s">
        <v>3687</v>
      </c>
      <c r="I207" s="29"/>
      <c r="J207" s="29" t="s">
        <v>7055</v>
      </c>
      <c r="K207" s="29"/>
      <c r="L207" s="29" t="s">
        <v>7128</v>
      </c>
      <c r="M207" s="29" t="s">
        <v>7134</v>
      </c>
      <c r="N207" s="29" t="s">
        <v>7135</v>
      </c>
      <c r="O207" s="29"/>
      <c r="P207" s="29" t="s">
        <v>7136</v>
      </c>
      <c r="Q207" t="s">
        <v>2038</v>
      </c>
      <c r="R207" t="s">
        <v>2632</v>
      </c>
      <c r="S207">
        <v>37</v>
      </c>
      <c r="T207" s="43" t="str">
        <f t="shared" si="10"/>
        <v>2021.022B.R.Crassvirales.zip</v>
      </c>
      <c r="U207" s="43" t="str">
        <f>HYPERLINK("https://ictv.global/taxonomy/taxondetails?taxnode_id=202213458","ictv.global=202213458")</f>
        <v>ictv.global=202213458</v>
      </c>
    </row>
    <row r="208" spans="1:21">
      <c r="A208">
        <v>207</v>
      </c>
      <c r="B208" s="29" t="s">
        <v>3682</v>
      </c>
      <c r="C208" s="29"/>
      <c r="D208" s="29" t="s">
        <v>3683</v>
      </c>
      <c r="E208" s="29"/>
      <c r="F208" s="29" t="s">
        <v>3686</v>
      </c>
      <c r="G208" s="29"/>
      <c r="H208" s="29" t="s">
        <v>3687</v>
      </c>
      <c r="I208" s="29"/>
      <c r="J208" s="29" t="s">
        <v>7055</v>
      </c>
      <c r="K208" s="29"/>
      <c r="L208" s="29" t="s">
        <v>7128</v>
      </c>
      <c r="M208" s="29" t="s">
        <v>7134</v>
      </c>
      <c r="N208" s="29" t="s">
        <v>7135</v>
      </c>
      <c r="O208" s="29"/>
      <c r="P208" s="29" t="s">
        <v>7137</v>
      </c>
      <c r="Q208" t="s">
        <v>2038</v>
      </c>
      <c r="R208" t="s">
        <v>2632</v>
      </c>
      <c r="S208">
        <v>37</v>
      </c>
      <c r="T208" s="43" t="str">
        <f t="shared" si="10"/>
        <v>2021.022B.R.Crassvirales.zip</v>
      </c>
      <c r="U208" s="43" t="str">
        <f>HYPERLINK("https://ictv.global/taxonomy/taxondetails?taxnode_id=202213459","ictv.global=202213459")</f>
        <v>ictv.global=202213459</v>
      </c>
    </row>
    <row r="209" spans="1:21">
      <c r="A209">
        <v>208</v>
      </c>
      <c r="B209" s="29" t="s">
        <v>3682</v>
      </c>
      <c r="C209" s="29"/>
      <c r="D209" s="29" t="s">
        <v>3683</v>
      </c>
      <c r="E209" s="29"/>
      <c r="F209" s="29" t="s">
        <v>3686</v>
      </c>
      <c r="G209" s="29"/>
      <c r="H209" s="29" t="s">
        <v>3687</v>
      </c>
      <c r="I209" s="29"/>
      <c r="J209" s="29" t="s">
        <v>7055</v>
      </c>
      <c r="K209" s="29"/>
      <c r="L209" s="29" t="s">
        <v>7128</v>
      </c>
      <c r="M209" s="29" t="s">
        <v>7134</v>
      </c>
      <c r="N209" s="29" t="s">
        <v>7138</v>
      </c>
      <c r="O209" s="29"/>
      <c r="P209" s="29" t="s">
        <v>7139</v>
      </c>
      <c r="Q209" t="s">
        <v>2038</v>
      </c>
      <c r="R209" t="s">
        <v>2632</v>
      </c>
      <c r="S209">
        <v>37</v>
      </c>
      <c r="T209" s="43" t="str">
        <f t="shared" si="10"/>
        <v>2021.022B.R.Crassvirales.zip</v>
      </c>
      <c r="U209" s="43" t="str">
        <f>HYPERLINK("https://ictv.global/taxonomy/taxondetails?taxnode_id=202213464","ictv.global=202213464")</f>
        <v>ictv.global=202213464</v>
      </c>
    </row>
    <row r="210" spans="1:21">
      <c r="A210">
        <v>209</v>
      </c>
      <c r="B210" s="29" t="s">
        <v>3682</v>
      </c>
      <c r="C210" s="29"/>
      <c r="D210" s="29" t="s">
        <v>3683</v>
      </c>
      <c r="E210" s="29"/>
      <c r="F210" s="29" t="s">
        <v>3686</v>
      </c>
      <c r="G210" s="29"/>
      <c r="H210" s="29" t="s">
        <v>3687</v>
      </c>
      <c r="I210" s="29"/>
      <c r="J210" s="29" t="s">
        <v>7055</v>
      </c>
      <c r="K210" s="29"/>
      <c r="L210" s="29" t="s">
        <v>7128</v>
      </c>
      <c r="M210" s="29" t="s">
        <v>7134</v>
      </c>
      <c r="N210" s="29" t="s">
        <v>7138</v>
      </c>
      <c r="O210" s="29"/>
      <c r="P210" s="29" t="s">
        <v>7140</v>
      </c>
      <c r="Q210" t="s">
        <v>2038</v>
      </c>
      <c r="R210" t="s">
        <v>2632</v>
      </c>
      <c r="S210">
        <v>37</v>
      </c>
      <c r="T210" s="43" t="str">
        <f t="shared" si="10"/>
        <v>2021.022B.R.Crassvirales.zip</v>
      </c>
      <c r="U210" s="43" t="str">
        <f>HYPERLINK("https://ictv.global/taxonomy/taxondetails?taxnode_id=202213463","ictv.global=202213463")</f>
        <v>ictv.global=202213463</v>
      </c>
    </row>
    <row r="211" spans="1:21">
      <c r="A211">
        <v>210</v>
      </c>
      <c r="B211" s="29" t="s">
        <v>3682</v>
      </c>
      <c r="C211" s="29"/>
      <c r="D211" s="29" t="s">
        <v>3683</v>
      </c>
      <c r="E211" s="29"/>
      <c r="F211" s="29" t="s">
        <v>3686</v>
      </c>
      <c r="G211" s="29"/>
      <c r="H211" s="29" t="s">
        <v>3687</v>
      </c>
      <c r="I211" s="29"/>
      <c r="J211" s="29" t="s">
        <v>7055</v>
      </c>
      <c r="K211" s="29"/>
      <c r="L211" s="29" t="s">
        <v>7128</v>
      </c>
      <c r="M211" s="29" t="s">
        <v>7134</v>
      </c>
      <c r="N211" s="29" t="s">
        <v>7141</v>
      </c>
      <c r="O211" s="29"/>
      <c r="P211" s="29" t="s">
        <v>7142</v>
      </c>
      <c r="Q211" t="s">
        <v>2038</v>
      </c>
      <c r="R211" t="s">
        <v>2632</v>
      </c>
      <c r="S211">
        <v>37</v>
      </c>
      <c r="T211" s="43" t="str">
        <f t="shared" si="10"/>
        <v>2021.022B.R.Crassvirales.zip</v>
      </c>
      <c r="U211" s="43" t="str">
        <f>HYPERLINK("https://ictv.global/taxonomy/taxondetails?taxnode_id=202213466","ictv.global=202213466")</f>
        <v>ictv.global=202213466</v>
      </c>
    </row>
    <row r="212" spans="1:21">
      <c r="A212">
        <v>211</v>
      </c>
      <c r="B212" s="29" t="s">
        <v>3682</v>
      </c>
      <c r="C212" s="29"/>
      <c r="D212" s="29" t="s">
        <v>3683</v>
      </c>
      <c r="E212" s="29"/>
      <c r="F212" s="29" t="s">
        <v>3686</v>
      </c>
      <c r="G212" s="29"/>
      <c r="H212" s="29" t="s">
        <v>3687</v>
      </c>
      <c r="I212" s="29"/>
      <c r="J212" s="29" t="s">
        <v>7055</v>
      </c>
      <c r="K212" s="29"/>
      <c r="L212" s="29" t="s">
        <v>7128</v>
      </c>
      <c r="M212" s="29" t="s">
        <v>7134</v>
      </c>
      <c r="N212" s="29" t="s">
        <v>7141</v>
      </c>
      <c r="O212" s="29"/>
      <c r="P212" s="29" t="s">
        <v>7143</v>
      </c>
      <c r="Q212" t="s">
        <v>2038</v>
      </c>
      <c r="R212" t="s">
        <v>2632</v>
      </c>
      <c r="S212">
        <v>37</v>
      </c>
      <c r="T212" s="43" t="str">
        <f t="shared" si="10"/>
        <v>2021.022B.R.Crassvirales.zip</v>
      </c>
      <c r="U212" s="43" t="str">
        <f>HYPERLINK("https://ictv.global/taxonomy/taxondetails?taxnode_id=202213465","ictv.global=202213465")</f>
        <v>ictv.global=202213465</v>
      </c>
    </row>
    <row r="213" spans="1:21">
      <c r="A213">
        <v>212</v>
      </c>
      <c r="B213" s="29" t="s">
        <v>3682</v>
      </c>
      <c r="C213" s="29"/>
      <c r="D213" s="29" t="s">
        <v>3683</v>
      </c>
      <c r="E213" s="29"/>
      <c r="F213" s="29" t="s">
        <v>3686</v>
      </c>
      <c r="G213" s="29"/>
      <c r="H213" s="29" t="s">
        <v>3687</v>
      </c>
      <c r="I213" s="29"/>
      <c r="J213" s="29" t="s">
        <v>7055</v>
      </c>
      <c r="K213" s="29"/>
      <c r="L213" s="29" t="s">
        <v>7128</v>
      </c>
      <c r="M213" s="29" t="s">
        <v>7134</v>
      </c>
      <c r="N213" s="29" t="s">
        <v>7141</v>
      </c>
      <c r="O213" s="29"/>
      <c r="P213" s="29" t="s">
        <v>7144</v>
      </c>
      <c r="Q213" t="s">
        <v>2038</v>
      </c>
      <c r="R213" t="s">
        <v>2632</v>
      </c>
      <c r="S213">
        <v>37</v>
      </c>
      <c r="T213" s="43" t="str">
        <f t="shared" si="10"/>
        <v>2021.022B.R.Crassvirales.zip</v>
      </c>
      <c r="U213" s="43" t="str">
        <f>HYPERLINK("https://ictv.global/taxonomy/taxondetails?taxnode_id=202213467","ictv.global=202213467")</f>
        <v>ictv.global=202213467</v>
      </c>
    </row>
    <row r="214" spans="1:21">
      <c r="A214">
        <v>213</v>
      </c>
      <c r="B214" s="29" t="s">
        <v>3682</v>
      </c>
      <c r="C214" s="29"/>
      <c r="D214" s="29" t="s">
        <v>3683</v>
      </c>
      <c r="E214" s="29"/>
      <c r="F214" s="29" t="s">
        <v>3686</v>
      </c>
      <c r="G214" s="29"/>
      <c r="H214" s="29" t="s">
        <v>3687</v>
      </c>
      <c r="I214" s="29"/>
      <c r="J214" s="29" t="s">
        <v>7055</v>
      </c>
      <c r="K214" s="29"/>
      <c r="L214" s="29" t="s">
        <v>7128</v>
      </c>
      <c r="M214" s="29" t="s">
        <v>7145</v>
      </c>
      <c r="N214" s="29" t="s">
        <v>7146</v>
      </c>
      <c r="O214" s="29"/>
      <c r="P214" s="29" t="s">
        <v>7147</v>
      </c>
      <c r="Q214" t="s">
        <v>2038</v>
      </c>
      <c r="R214" t="s">
        <v>2632</v>
      </c>
      <c r="S214">
        <v>37</v>
      </c>
      <c r="T214" s="43" t="str">
        <f t="shared" si="10"/>
        <v>2021.022B.R.Crassvirales.zip</v>
      </c>
      <c r="U214" s="43" t="str">
        <f>HYPERLINK("https://ictv.global/taxonomy/taxondetails?taxnode_id=202213441","ictv.global=202213441")</f>
        <v>ictv.global=202213441</v>
      </c>
    </row>
    <row r="215" spans="1:21">
      <c r="A215">
        <v>214</v>
      </c>
      <c r="B215" s="29" t="s">
        <v>3682</v>
      </c>
      <c r="C215" s="29"/>
      <c r="D215" s="29" t="s">
        <v>3683</v>
      </c>
      <c r="E215" s="29"/>
      <c r="F215" s="29" t="s">
        <v>3686</v>
      </c>
      <c r="G215" s="29"/>
      <c r="H215" s="29" t="s">
        <v>3687</v>
      </c>
      <c r="I215" s="29"/>
      <c r="J215" s="29" t="s">
        <v>7055</v>
      </c>
      <c r="K215" s="29"/>
      <c r="L215" s="29" t="s">
        <v>7128</v>
      </c>
      <c r="M215" s="29" t="s">
        <v>7145</v>
      </c>
      <c r="N215" s="29" t="s">
        <v>7146</v>
      </c>
      <c r="O215" s="29"/>
      <c r="P215" s="29" t="s">
        <v>7148</v>
      </c>
      <c r="Q215" t="s">
        <v>2038</v>
      </c>
      <c r="R215" t="s">
        <v>2632</v>
      </c>
      <c r="S215">
        <v>37</v>
      </c>
      <c r="T215" s="43" t="str">
        <f t="shared" si="10"/>
        <v>2021.022B.R.Crassvirales.zip</v>
      </c>
      <c r="U215" s="43" t="str">
        <f>HYPERLINK("https://ictv.global/taxonomy/taxondetails?taxnode_id=202213440","ictv.global=202213440")</f>
        <v>ictv.global=202213440</v>
      </c>
    </row>
    <row r="216" spans="1:21">
      <c r="A216">
        <v>215</v>
      </c>
      <c r="B216" s="29" t="s">
        <v>3682</v>
      </c>
      <c r="C216" s="29"/>
      <c r="D216" s="29" t="s">
        <v>3683</v>
      </c>
      <c r="E216" s="29"/>
      <c r="F216" s="29" t="s">
        <v>3686</v>
      </c>
      <c r="G216" s="29"/>
      <c r="H216" s="29" t="s">
        <v>3687</v>
      </c>
      <c r="I216" s="29"/>
      <c r="J216" s="29" t="s">
        <v>7055</v>
      </c>
      <c r="K216" s="29"/>
      <c r="L216" s="29" t="s">
        <v>7128</v>
      </c>
      <c r="M216" s="29" t="s">
        <v>7145</v>
      </c>
      <c r="N216" s="29" t="s">
        <v>7149</v>
      </c>
      <c r="O216" s="29"/>
      <c r="P216" s="29" t="s">
        <v>7150</v>
      </c>
      <c r="Q216" t="s">
        <v>2038</v>
      </c>
      <c r="R216" t="s">
        <v>2632</v>
      </c>
      <c r="S216">
        <v>37</v>
      </c>
      <c r="T216" s="43" t="str">
        <f t="shared" si="10"/>
        <v>2021.022B.R.Crassvirales.zip</v>
      </c>
      <c r="U216" s="43" t="str">
        <f>HYPERLINK("https://ictv.global/taxonomy/taxondetails?taxnode_id=202213446","ictv.global=202213446")</f>
        <v>ictv.global=202213446</v>
      </c>
    </row>
    <row r="217" spans="1:21">
      <c r="A217">
        <v>216</v>
      </c>
      <c r="B217" s="29" t="s">
        <v>3682</v>
      </c>
      <c r="C217" s="29"/>
      <c r="D217" s="29" t="s">
        <v>3683</v>
      </c>
      <c r="E217" s="29"/>
      <c r="F217" s="29" t="s">
        <v>3686</v>
      </c>
      <c r="G217" s="29"/>
      <c r="H217" s="29" t="s">
        <v>3687</v>
      </c>
      <c r="I217" s="29"/>
      <c r="J217" s="29" t="s">
        <v>7055</v>
      </c>
      <c r="K217" s="29"/>
      <c r="L217" s="29" t="s">
        <v>7128</v>
      </c>
      <c r="M217" s="29" t="s">
        <v>7145</v>
      </c>
      <c r="N217" s="29" t="s">
        <v>7149</v>
      </c>
      <c r="O217" s="29"/>
      <c r="P217" s="29" t="s">
        <v>7151</v>
      </c>
      <c r="Q217" t="s">
        <v>2038</v>
      </c>
      <c r="R217" t="s">
        <v>2632</v>
      </c>
      <c r="S217">
        <v>37</v>
      </c>
      <c r="T217" s="43" t="str">
        <f t="shared" si="10"/>
        <v>2021.022B.R.Crassvirales.zip</v>
      </c>
      <c r="U217" s="43" t="str">
        <f>HYPERLINK("https://ictv.global/taxonomy/taxondetails?taxnode_id=202213450","ictv.global=202213450")</f>
        <v>ictv.global=202213450</v>
      </c>
    </row>
    <row r="218" spans="1:21">
      <c r="A218">
        <v>217</v>
      </c>
      <c r="B218" s="29" t="s">
        <v>3682</v>
      </c>
      <c r="C218" s="29"/>
      <c r="D218" s="29" t="s">
        <v>3683</v>
      </c>
      <c r="E218" s="29"/>
      <c r="F218" s="29" t="s">
        <v>3686</v>
      </c>
      <c r="G218" s="29"/>
      <c r="H218" s="29" t="s">
        <v>3687</v>
      </c>
      <c r="I218" s="29"/>
      <c r="J218" s="29" t="s">
        <v>7055</v>
      </c>
      <c r="K218" s="29"/>
      <c r="L218" s="29" t="s">
        <v>7128</v>
      </c>
      <c r="M218" s="29" t="s">
        <v>7145</v>
      </c>
      <c r="N218" s="29" t="s">
        <v>7149</v>
      </c>
      <c r="O218" s="29"/>
      <c r="P218" s="29" t="s">
        <v>7152</v>
      </c>
      <c r="Q218" t="s">
        <v>2038</v>
      </c>
      <c r="R218" t="s">
        <v>2632</v>
      </c>
      <c r="S218">
        <v>37</v>
      </c>
      <c r="T218" s="43" t="str">
        <f t="shared" si="10"/>
        <v>2021.022B.R.Crassvirales.zip</v>
      </c>
      <c r="U218" s="43" t="str">
        <f>HYPERLINK("https://ictv.global/taxonomy/taxondetails?taxnode_id=202213449","ictv.global=202213449")</f>
        <v>ictv.global=202213449</v>
      </c>
    </row>
    <row r="219" spans="1:21">
      <c r="A219">
        <v>218</v>
      </c>
      <c r="B219" s="29" t="s">
        <v>3682</v>
      </c>
      <c r="C219" s="29"/>
      <c r="D219" s="29" t="s">
        <v>3683</v>
      </c>
      <c r="E219" s="29"/>
      <c r="F219" s="29" t="s">
        <v>3686</v>
      </c>
      <c r="G219" s="29"/>
      <c r="H219" s="29" t="s">
        <v>3687</v>
      </c>
      <c r="I219" s="29"/>
      <c r="J219" s="29" t="s">
        <v>7055</v>
      </c>
      <c r="K219" s="29"/>
      <c r="L219" s="29" t="s">
        <v>7128</v>
      </c>
      <c r="M219" s="29" t="s">
        <v>7145</v>
      </c>
      <c r="N219" s="29" t="s">
        <v>7149</v>
      </c>
      <c r="O219" s="29"/>
      <c r="P219" s="29" t="s">
        <v>7153</v>
      </c>
      <c r="Q219" t="s">
        <v>2038</v>
      </c>
      <c r="R219" t="s">
        <v>2632</v>
      </c>
      <c r="S219">
        <v>37</v>
      </c>
      <c r="T219" s="43" t="str">
        <f t="shared" si="10"/>
        <v>2021.022B.R.Crassvirales.zip</v>
      </c>
      <c r="U219" s="43" t="str">
        <f>HYPERLINK("https://ictv.global/taxonomy/taxondetails?taxnode_id=202213444","ictv.global=202213444")</f>
        <v>ictv.global=202213444</v>
      </c>
    </row>
    <row r="220" spans="1:21">
      <c r="A220">
        <v>219</v>
      </c>
      <c r="B220" s="29" t="s">
        <v>3682</v>
      </c>
      <c r="C220" s="29"/>
      <c r="D220" s="29" t="s">
        <v>3683</v>
      </c>
      <c r="E220" s="29"/>
      <c r="F220" s="29" t="s">
        <v>3686</v>
      </c>
      <c r="G220" s="29"/>
      <c r="H220" s="29" t="s">
        <v>3687</v>
      </c>
      <c r="I220" s="29"/>
      <c r="J220" s="29" t="s">
        <v>7055</v>
      </c>
      <c r="K220" s="29"/>
      <c r="L220" s="29" t="s">
        <v>7128</v>
      </c>
      <c r="M220" s="29" t="s">
        <v>7145</v>
      </c>
      <c r="N220" s="29" t="s">
        <v>7149</v>
      </c>
      <c r="O220" s="29"/>
      <c r="P220" s="29" t="s">
        <v>7154</v>
      </c>
      <c r="Q220" t="s">
        <v>2038</v>
      </c>
      <c r="R220" t="s">
        <v>2632</v>
      </c>
      <c r="S220">
        <v>37</v>
      </c>
      <c r="T220" s="43" t="str">
        <f t="shared" si="10"/>
        <v>2021.022B.R.Crassvirales.zip</v>
      </c>
      <c r="U220" s="43" t="str">
        <f>HYPERLINK("https://ictv.global/taxonomy/taxondetails?taxnode_id=202213448","ictv.global=202213448")</f>
        <v>ictv.global=202213448</v>
      </c>
    </row>
    <row r="221" spans="1:21">
      <c r="A221">
        <v>220</v>
      </c>
      <c r="B221" s="29" t="s">
        <v>3682</v>
      </c>
      <c r="C221" s="29"/>
      <c r="D221" s="29" t="s">
        <v>3683</v>
      </c>
      <c r="E221" s="29"/>
      <c r="F221" s="29" t="s">
        <v>3686</v>
      </c>
      <c r="G221" s="29"/>
      <c r="H221" s="29" t="s">
        <v>3687</v>
      </c>
      <c r="I221" s="29"/>
      <c r="J221" s="29" t="s">
        <v>7055</v>
      </c>
      <c r="K221" s="29"/>
      <c r="L221" s="29" t="s">
        <v>7128</v>
      </c>
      <c r="M221" s="29" t="s">
        <v>7145</v>
      </c>
      <c r="N221" s="29" t="s">
        <v>7149</v>
      </c>
      <c r="O221" s="29"/>
      <c r="P221" s="29" t="s">
        <v>7155</v>
      </c>
      <c r="Q221" t="s">
        <v>2038</v>
      </c>
      <c r="R221" t="s">
        <v>2632</v>
      </c>
      <c r="S221">
        <v>37</v>
      </c>
      <c r="T221" s="43" t="str">
        <f t="shared" si="10"/>
        <v>2021.022B.R.Crassvirales.zip</v>
      </c>
      <c r="U221" s="43" t="str">
        <f>HYPERLINK("https://ictv.global/taxonomy/taxondetails?taxnode_id=202213443","ictv.global=202213443")</f>
        <v>ictv.global=202213443</v>
      </c>
    </row>
    <row r="222" spans="1:21">
      <c r="A222">
        <v>221</v>
      </c>
      <c r="B222" s="29" t="s">
        <v>3682</v>
      </c>
      <c r="C222" s="29"/>
      <c r="D222" s="29" t="s">
        <v>3683</v>
      </c>
      <c r="E222" s="29"/>
      <c r="F222" s="29" t="s">
        <v>3686</v>
      </c>
      <c r="G222" s="29"/>
      <c r="H222" s="29" t="s">
        <v>3687</v>
      </c>
      <c r="I222" s="29"/>
      <c r="J222" s="29" t="s">
        <v>7055</v>
      </c>
      <c r="K222" s="29"/>
      <c r="L222" s="29" t="s">
        <v>7128</v>
      </c>
      <c r="M222" s="29" t="s">
        <v>7145</v>
      </c>
      <c r="N222" s="29" t="s">
        <v>7149</v>
      </c>
      <c r="O222" s="29"/>
      <c r="P222" s="29" t="s">
        <v>7156</v>
      </c>
      <c r="Q222" t="s">
        <v>2038</v>
      </c>
      <c r="R222" t="s">
        <v>2632</v>
      </c>
      <c r="S222">
        <v>37</v>
      </c>
      <c r="T222" s="43" t="str">
        <f t="shared" si="10"/>
        <v>2021.022B.R.Crassvirales.zip</v>
      </c>
      <c r="U222" s="43" t="str">
        <f>HYPERLINK("https://ictv.global/taxonomy/taxondetails?taxnode_id=202213445","ictv.global=202213445")</f>
        <v>ictv.global=202213445</v>
      </c>
    </row>
    <row r="223" spans="1:21">
      <c r="A223">
        <v>222</v>
      </c>
      <c r="B223" s="29" t="s">
        <v>3682</v>
      </c>
      <c r="C223" s="29"/>
      <c r="D223" s="29" t="s">
        <v>3683</v>
      </c>
      <c r="E223" s="29"/>
      <c r="F223" s="29" t="s">
        <v>3686</v>
      </c>
      <c r="G223" s="29"/>
      <c r="H223" s="29" t="s">
        <v>3687</v>
      </c>
      <c r="I223" s="29"/>
      <c r="J223" s="29" t="s">
        <v>7055</v>
      </c>
      <c r="K223" s="29"/>
      <c r="L223" s="29" t="s">
        <v>7128</v>
      </c>
      <c r="M223" s="29" t="s">
        <v>7145</v>
      </c>
      <c r="N223" s="29" t="s">
        <v>7149</v>
      </c>
      <c r="O223" s="29"/>
      <c r="P223" s="29" t="s">
        <v>7157</v>
      </c>
      <c r="Q223" t="s">
        <v>2038</v>
      </c>
      <c r="R223" t="s">
        <v>2632</v>
      </c>
      <c r="S223">
        <v>37</v>
      </c>
      <c r="T223" s="43" t="str">
        <f t="shared" si="10"/>
        <v>2021.022B.R.Crassvirales.zip</v>
      </c>
      <c r="U223" s="43" t="str">
        <f>HYPERLINK("https://ictv.global/taxonomy/taxondetails?taxnode_id=202213447","ictv.global=202213447")</f>
        <v>ictv.global=202213447</v>
      </c>
    </row>
    <row r="224" spans="1:21">
      <c r="A224">
        <v>223</v>
      </c>
      <c r="B224" s="29" t="s">
        <v>3682</v>
      </c>
      <c r="C224" s="29"/>
      <c r="D224" s="29" t="s">
        <v>3683</v>
      </c>
      <c r="E224" s="29"/>
      <c r="F224" s="29" t="s">
        <v>3686</v>
      </c>
      <c r="G224" s="29"/>
      <c r="H224" s="29" t="s">
        <v>3687</v>
      </c>
      <c r="I224" s="29"/>
      <c r="J224" s="29" t="s">
        <v>7055</v>
      </c>
      <c r="K224" s="29"/>
      <c r="L224" s="29" t="s">
        <v>7128</v>
      </c>
      <c r="M224" s="29" t="s">
        <v>7145</v>
      </c>
      <c r="N224" s="29" t="s">
        <v>7158</v>
      </c>
      <c r="O224" s="29"/>
      <c r="P224" s="29" t="s">
        <v>7159</v>
      </c>
      <c r="Q224" t="s">
        <v>2038</v>
      </c>
      <c r="R224" t="s">
        <v>2632</v>
      </c>
      <c r="S224">
        <v>37</v>
      </c>
      <c r="T224" s="43" t="str">
        <f t="shared" si="10"/>
        <v>2021.022B.R.Crassvirales.zip</v>
      </c>
      <c r="U224" s="43" t="str">
        <f>HYPERLINK("https://ictv.global/taxonomy/taxondetails?taxnode_id=202213453","ictv.global=202213453")</f>
        <v>ictv.global=202213453</v>
      </c>
    </row>
    <row r="225" spans="1:21">
      <c r="A225">
        <v>224</v>
      </c>
      <c r="B225" s="29" t="s">
        <v>3682</v>
      </c>
      <c r="C225" s="29"/>
      <c r="D225" s="29" t="s">
        <v>3683</v>
      </c>
      <c r="E225" s="29"/>
      <c r="F225" s="29" t="s">
        <v>3686</v>
      </c>
      <c r="G225" s="29"/>
      <c r="H225" s="29" t="s">
        <v>3687</v>
      </c>
      <c r="I225" s="29"/>
      <c r="J225" s="29" t="s">
        <v>7055</v>
      </c>
      <c r="K225" s="29"/>
      <c r="L225" s="29" t="s">
        <v>7128</v>
      </c>
      <c r="M225" s="29" t="s">
        <v>7160</v>
      </c>
      <c r="N225" s="29" t="s">
        <v>7161</v>
      </c>
      <c r="O225" s="29"/>
      <c r="P225" s="29" t="s">
        <v>7162</v>
      </c>
      <c r="Q225" t="s">
        <v>2038</v>
      </c>
      <c r="R225" t="s">
        <v>2632</v>
      </c>
      <c r="S225">
        <v>37</v>
      </c>
      <c r="T225" s="43" t="str">
        <f t="shared" si="10"/>
        <v>2021.022B.R.Crassvirales.zip</v>
      </c>
      <c r="U225" s="43" t="str">
        <f>HYPERLINK("https://ictv.global/taxonomy/taxondetails?taxnode_id=202213442","ictv.global=202213442")</f>
        <v>ictv.global=202213442</v>
      </c>
    </row>
    <row r="226" spans="1:21">
      <c r="A226">
        <v>225</v>
      </c>
      <c r="B226" s="29" t="s">
        <v>3682</v>
      </c>
      <c r="C226" s="29"/>
      <c r="D226" s="29" t="s">
        <v>3683</v>
      </c>
      <c r="E226" s="29"/>
      <c r="F226" s="29" t="s">
        <v>3686</v>
      </c>
      <c r="G226" s="29"/>
      <c r="H226" s="29" t="s">
        <v>3687</v>
      </c>
      <c r="I226" s="29"/>
      <c r="J226" s="29" t="s">
        <v>7055</v>
      </c>
      <c r="K226" s="29"/>
      <c r="L226" s="29" t="s">
        <v>7128</v>
      </c>
      <c r="M226" s="29" t="s">
        <v>7160</v>
      </c>
      <c r="N226" s="29" t="s">
        <v>7163</v>
      </c>
      <c r="O226" s="29"/>
      <c r="P226" s="29" t="s">
        <v>7164</v>
      </c>
      <c r="Q226" t="s">
        <v>2038</v>
      </c>
      <c r="R226" t="s">
        <v>2632</v>
      </c>
      <c r="S226">
        <v>37</v>
      </c>
      <c r="T226" s="43" t="str">
        <f t="shared" si="10"/>
        <v>2021.022B.R.Crassvirales.zip</v>
      </c>
      <c r="U226" s="43" t="str">
        <f>HYPERLINK("https://ictv.global/taxonomy/taxondetails?taxnode_id=202213451","ictv.global=202213451")</f>
        <v>ictv.global=202213451</v>
      </c>
    </row>
    <row r="227" spans="1:21">
      <c r="A227">
        <v>226</v>
      </c>
      <c r="B227" s="29" t="s">
        <v>3682</v>
      </c>
      <c r="C227" s="29"/>
      <c r="D227" s="29" t="s">
        <v>3683</v>
      </c>
      <c r="E227" s="29"/>
      <c r="F227" s="29" t="s">
        <v>3686</v>
      </c>
      <c r="G227" s="29"/>
      <c r="H227" s="29" t="s">
        <v>3687</v>
      </c>
      <c r="I227" s="29"/>
      <c r="J227" s="29" t="s">
        <v>7055</v>
      </c>
      <c r="K227" s="29"/>
      <c r="L227" s="29" t="s">
        <v>7128</v>
      </c>
      <c r="M227" s="29" t="s">
        <v>7160</v>
      </c>
      <c r="N227" s="29" t="s">
        <v>7163</v>
      </c>
      <c r="O227" s="29"/>
      <c r="P227" s="29" t="s">
        <v>7165</v>
      </c>
      <c r="Q227" t="s">
        <v>2038</v>
      </c>
      <c r="R227" t="s">
        <v>2632</v>
      </c>
      <c r="S227">
        <v>37</v>
      </c>
      <c r="T227" s="43" t="str">
        <f t="shared" si="10"/>
        <v>2021.022B.R.Crassvirales.zip</v>
      </c>
      <c r="U227" s="43" t="str">
        <f>HYPERLINK("https://ictv.global/taxonomy/taxondetails?taxnode_id=202213452","ictv.global=202213452")</f>
        <v>ictv.global=202213452</v>
      </c>
    </row>
    <row r="228" spans="1:21">
      <c r="A228">
        <v>227</v>
      </c>
      <c r="B228" s="29" t="s">
        <v>3682</v>
      </c>
      <c r="C228" s="29"/>
      <c r="D228" s="29" t="s">
        <v>3683</v>
      </c>
      <c r="E228" s="29"/>
      <c r="F228" s="29" t="s">
        <v>3686</v>
      </c>
      <c r="G228" s="29"/>
      <c r="H228" s="29" t="s">
        <v>3687</v>
      </c>
      <c r="I228" s="29"/>
      <c r="J228" s="29" t="s">
        <v>7055</v>
      </c>
      <c r="K228" s="29"/>
      <c r="L228" s="29" t="s">
        <v>7128</v>
      </c>
      <c r="M228" s="29" t="s">
        <v>7160</v>
      </c>
      <c r="N228" s="29" t="s">
        <v>7166</v>
      </c>
      <c r="O228" s="29"/>
      <c r="P228" s="29" t="s">
        <v>7167</v>
      </c>
      <c r="Q228" t="s">
        <v>2038</v>
      </c>
      <c r="R228" t="s">
        <v>2632</v>
      </c>
      <c r="S228">
        <v>37</v>
      </c>
      <c r="T228" s="43" t="str">
        <f t="shared" si="10"/>
        <v>2021.022B.R.Crassvirales.zip</v>
      </c>
      <c r="U228" s="43" t="str">
        <f>HYPERLINK("https://ictv.global/taxonomy/taxondetails?taxnode_id=202213456","ictv.global=202213456")</f>
        <v>ictv.global=202213456</v>
      </c>
    </row>
    <row r="229" spans="1:21">
      <c r="A229">
        <v>228</v>
      </c>
      <c r="B229" s="29" t="s">
        <v>3682</v>
      </c>
      <c r="C229" s="29"/>
      <c r="D229" s="29" t="s">
        <v>3683</v>
      </c>
      <c r="E229" s="29"/>
      <c r="F229" s="29" t="s">
        <v>3686</v>
      </c>
      <c r="G229" s="29"/>
      <c r="H229" s="29" t="s">
        <v>3687</v>
      </c>
      <c r="I229" s="29"/>
      <c r="J229" s="29" t="s">
        <v>7055</v>
      </c>
      <c r="K229" s="29"/>
      <c r="L229" s="29" t="s">
        <v>7128</v>
      </c>
      <c r="M229" s="29" t="s">
        <v>7160</v>
      </c>
      <c r="N229" s="29" t="s">
        <v>7166</v>
      </c>
      <c r="O229" s="29"/>
      <c r="P229" s="29" t="s">
        <v>7168</v>
      </c>
      <c r="Q229" t="s">
        <v>2038</v>
      </c>
      <c r="R229" t="s">
        <v>2632</v>
      </c>
      <c r="S229">
        <v>37</v>
      </c>
      <c r="T229" s="43" t="str">
        <f t="shared" si="10"/>
        <v>2021.022B.R.Crassvirales.zip</v>
      </c>
      <c r="U229" s="43" t="str">
        <f>HYPERLINK("https://ictv.global/taxonomy/taxondetails?taxnode_id=202213455","ictv.global=202213455")</f>
        <v>ictv.global=202213455</v>
      </c>
    </row>
    <row r="230" spans="1:21">
      <c r="A230">
        <v>229</v>
      </c>
      <c r="B230" s="29" t="s">
        <v>3682</v>
      </c>
      <c r="C230" s="29"/>
      <c r="D230" s="29" t="s">
        <v>3683</v>
      </c>
      <c r="E230" s="29"/>
      <c r="F230" s="29" t="s">
        <v>3686</v>
      </c>
      <c r="G230" s="29"/>
      <c r="H230" s="29" t="s">
        <v>3687</v>
      </c>
      <c r="I230" s="29"/>
      <c r="J230" s="29" t="s">
        <v>7055</v>
      </c>
      <c r="K230" s="29"/>
      <c r="L230" s="29" t="s">
        <v>7128</v>
      </c>
      <c r="M230" s="29" t="s">
        <v>7160</v>
      </c>
      <c r="N230" s="29" t="s">
        <v>7166</v>
      </c>
      <c r="O230" s="29"/>
      <c r="P230" s="29" t="s">
        <v>7169</v>
      </c>
      <c r="Q230" t="s">
        <v>2038</v>
      </c>
      <c r="R230" t="s">
        <v>2632</v>
      </c>
      <c r="S230">
        <v>37</v>
      </c>
      <c r="T230" s="43" t="str">
        <f t="shared" si="10"/>
        <v>2021.022B.R.Crassvirales.zip</v>
      </c>
      <c r="U230" s="43" t="str">
        <f>HYPERLINK("https://ictv.global/taxonomy/taxondetails?taxnode_id=202213454","ictv.global=202213454")</f>
        <v>ictv.global=202213454</v>
      </c>
    </row>
    <row r="231" spans="1:21">
      <c r="A231">
        <v>230</v>
      </c>
      <c r="B231" s="29" t="s">
        <v>3682</v>
      </c>
      <c r="C231" s="29"/>
      <c r="D231" s="29" t="s">
        <v>3683</v>
      </c>
      <c r="E231" s="29"/>
      <c r="F231" s="29" t="s">
        <v>3686</v>
      </c>
      <c r="G231" s="29"/>
      <c r="H231" s="29" t="s">
        <v>3687</v>
      </c>
      <c r="I231" s="29"/>
      <c r="J231" s="29" t="s">
        <v>7055</v>
      </c>
      <c r="K231" s="29"/>
      <c r="L231" s="29" t="s">
        <v>7128</v>
      </c>
      <c r="M231" s="29" t="s">
        <v>7160</v>
      </c>
      <c r="N231" s="29" t="s">
        <v>7170</v>
      </c>
      <c r="O231" s="29"/>
      <c r="P231" s="29" t="s">
        <v>7171</v>
      </c>
      <c r="Q231" t="s">
        <v>2038</v>
      </c>
      <c r="R231" t="s">
        <v>2632</v>
      </c>
      <c r="S231">
        <v>37</v>
      </c>
      <c r="T231" s="43" t="str">
        <f t="shared" ref="T231:T239" si="11">HYPERLINK("https://ictv.global/ictv/proposals/2021.022B.R.Crassvirales.zip","2021.022B.R.Crassvirales.zip")</f>
        <v>2021.022B.R.Crassvirales.zip</v>
      </c>
      <c r="U231" s="43" t="str">
        <f>HYPERLINK("https://ictv.global/taxonomy/taxondetails?taxnode_id=202213457","ictv.global=202213457")</f>
        <v>ictv.global=202213457</v>
      </c>
    </row>
    <row r="232" spans="1:21">
      <c r="A232">
        <v>231</v>
      </c>
      <c r="B232" s="29" t="s">
        <v>3682</v>
      </c>
      <c r="C232" s="29"/>
      <c r="D232" s="29" t="s">
        <v>3683</v>
      </c>
      <c r="E232" s="29"/>
      <c r="F232" s="29" t="s">
        <v>3686</v>
      </c>
      <c r="G232" s="29"/>
      <c r="H232" s="29" t="s">
        <v>3687</v>
      </c>
      <c r="I232" s="29"/>
      <c r="J232" s="29" t="s">
        <v>7055</v>
      </c>
      <c r="K232" s="29"/>
      <c r="L232" s="29" t="s">
        <v>7128</v>
      </c>
      <c r="M232" s="29" t="s">
        <v>7160</v>
      </c>
      <c r="N232" s="29" t="s">
        <v>7172</v>
      </c>
      <c r="O232" s="29"/>
      <c r="P232" s="29" t="s">
        <v>7173</v>
      </c>
      <c r="Q232" t="s">
        <v>2038</v>
      </c>
      <c r="R232" t="s">
        <v>2632</v>
      </c>
      <c r="S232">
        <v>37</v>
      </c>
      <c r="T232" s="43" t="str">
        <f t="shared" si="11"/>
        <v>2021.022B.R.Crassvirales.zip</v>
      </c>
      <c r="U232" s="43" t="str">
        <f>HYPERLINK("https://ictv.global/taxonomy/taxondetails?taxnode_id=202213462","ictv.global=202213462")</f>
        <v>ictv.global=202213462</v>
      </c>
    </row>
    <row r="233" spans="1:21">
      <c r="A233">
        <v>232</v>
      </c>
      <c r="B233" s="29" t="s">
        <v>3682</v>
      </c>
      <c r="C233" s="29"/>
      <c r="D233" s="29" t="s">
        <v>3683</v>
      </c>
      <c r="E233" s="29"/>
      <c r="F233" s="29" t="s">
        <v>3686</v>
      </c>
      <c r="G233" s="29"/>
      <c r="H233" s="29" t="s">
        <v>3687</v>
      </c>
      <c r="I233" s="29"/>
      <c r="J233" s="29" t="s">
        <v>7055</v>
      </c>
      <c r="K233" s="29"/>
      <c r="L233" s="29" t="s">
        <v>7128</v>
      </c>
      <c r="M233" s="29" t="s">
        <v>7174</v>
      </c>
      <c r="N233" s="29" t="s">
        <v>7175</v>
      </c>
      <c r="O233" s="29"/>
      <c r="P233" s="29" t="s">
        <v>7176</v>
      </c>
      <c r="Q233" t="s">
        <v>2038</v>
      </c>
      <c r="R233" t="s">
        <v>2632</v>
      </c>
      <c r="S233">
        <v>37</v>
      </c>
      <c r="T233" s="43" t="str">
        <f t="shared" si="11"/>
        <v>2021.022B.R.Crassvirales.zip</v>
      </c>
      <c r="U233" s="43" t="str">
        <f>HYPERLINK("https://ictv.global/taxonomy/taxondetails?taxnode_id=202213434","ictv.global=202213434")</f>
        <v>ictv.global=202213434</v>
      </c>
    </row>
    <row r="234" spans="1:21">
      <c r="A234">
        <v>233</v>
      </c>
      <c r="B234" s="29" t="s">
        <v>3682</v>
      </c>
      <c r="C234" s="29"/>
      <c r="D234" s="29" t="s">
        <v>3683</v>
      </c>
      <c r="E234" s="29"/>
      <c r="F234" s="29" t="s">
        <v>3686</v>
      </c>
      <c r="G234" s="29"/>
      <c r="H234" s="29" t="s">
        <v>3687</v>
      </c>
      <c r="I234" s="29"/>
      <c r="J234" s="29" t="s">
        <v>7055</v>
      </c>
      <c r="K234" s="29"/>
      <c r="L234" s="29" t="s">
        <v>7128</v>
      </c>
      <c r="M234" s="29" t="s">
        <v>7174</v>
      </c>
      <c r="N234" s="29" t="s">
        <v>7175</v>
      </c>
      <c r="O234" s="29"/>
      <c r="P234" s="29" t="s">
        <v>7177</v>
      </c>
      <c r="Q234" t="s">
        <v>2038</v>
      </c>
      <c r="R234" t="s">
        <v>2632</v>
      </c>
      <c r="S234">
        <v>37</v>
      </c>
      <c r="T234" s="43" t="str">
        <f t="shared" si="11"/>
        <v>2021.022B.R.Crassvirales.zip</v>
      </c>
      <c r="U234" s="43" t="str">
        <f>HYPERLINK("https://ictv.global/taxonomy/taxondetails?taxnode_id=202213436","ictv.global=202213436")</f>
        <v>ictv.global=202213436</v>
      </c>
    </row>
    <row r="235" spans="1:21">
      <c r="A235">
        <v>234</v>
      </c>
      <c r="B235" s="29" t="s">
        <v>3682</v>
      </c>
      <c r="C235" s="29"/>
      <c r="D235" s="29" t="s">
        <v>3683</v>
      </c>
      <c r="E235" s="29"/>
      <c r="F235" s="29" t="s">
        <v>3686</v>
      </c>
      <c r="G235" s="29"/>
      <c r="H235" s="29" t="s">
        <v>3687</v>
      </c>
      <c r="I235" s="29"/>
      <c r="J235" s="29" t="s">
        <v>7055</v>
      </c>
      <c r="K235" s="29"/>
      <c r="L235" s="29" t="s">
        <v>7128</v>
      </c>
      <c r="M235" s="29" t="s">
        <v>7174</v>
      </c>
      <c r="N235" s="29" t="s">
        <v>7175</v>
      </c>
      <c r="O235" s="29"/>
      <c r="P235" s="29" t="s">
        <v>7178</v>
      </c>
      <c r="Q235" t="s">
        <v>2038</v>
      </c>
      <c r="R235" t="s">
        <v>2632</v>
      </c>
      <c r="S235">
        <v>37</v>
      </c>
      <c r="T235" s="43" t="str">
        <f t="shared" si="11"/>
        <v>2021.022B.R.Crassvirales.zip</v>
      </c>
      <c r="U235" s="43" t="str">
        <f>HYPERLINK("https://ictv.global/taxonomy/taxondetails?taxnode_id=202213435","ictv.global=202213435")</f>
        <v>ictv.global=202213435</v>
      </c>
    </row>
    <row r="236" spans="1:21">
      <c r="A236">
        <v>235</v>
      </c>
      <c r="B236" s="29" t="s">
        <v>3682</v>
      </c>
      <c r="C236" s="29"/>
      <c r="D236" s="29" t="s">
        <v>3683</v>
      </c>
      <c r="E236" s="29"/>
      <c r="F236" s="29" t="s">
        <v>3686</v>
      </c>
      <c r="G236" s="29"/>
      <c r="H236" s="29" t="s">
        <v>3687</v>
      </c>
      <c r="I236" s="29"/>
      <c r="J236" s="29" t="s">
        <v>7055</v>
      </c>
      <c r="K236" s="29"/>
      <c r="L236" s="29" t="s">
        <v>7128</v>
      </c>
      <c r="M236" s="29" t="s">
        <v>7174</v>
      </c>
      <c r="N236" s="29" t="s">
        <v>7179</v>
      </c>
      <c r="O236" s="29"/>
      <c r="P236" s="29" t="s">
        <v>7180</v>
      </c>
      <c r="Q236" t="s">
        <v>2038</v>
      </c>
      <c r="R236" t="s">
        <v>2632</v>
      </c>
      <c r="S236">
        <v>37</v>
      </c>
      <c r="T236" s="43" t="str">
        <f t="shared" si="11"/>
        <v>2021.022B.R.Crassvirales.zip</v>
      </c>
      <c r="U236" s="43" t="str">
        <f>HYPERLINK("https://ictv.global/taxonomy/taxondetails?taxnode_id=202213437","ictv.global=202213437")</f>
        <v>ictv.global=202213437</v>
      </c>
    </row>
    <row r="237" spans="1:21">
      <c r="A237">
        <v>236</v>
      </c>
      <c r="B237" s="29" t="s">
        <v>3682</v>
      </c>
      <c r="C237" s="29"/>
      <c r="D237" s="29" t="s">
        <v>3683</v>
      </c>
      <c r="E237" s="29"/>
      <c r="F237" s="29" t="s">
        <v>3686</v>
      </c>
      <c r="G237" s="29"/>
      <c r="H237" s="29" t="s">
        <v>3687</v>
      </c>
      <c r="I237" s="29"/>
      <c r="J237" s="29" t="s">
        <v>7055</v>
      </c>
      <c r="K237" s="29"/>
      <c r="L237" s="29" t="s">
        <v>7128</v>
      </c>
      <c r="M237" s="29" t="s">
        <v>7174</v>
      </c>
      <c r="N237" s="29" t="s">
        <v>7181</v>
      </c>
      <c r="O237" s="29"/>
      <c r="P237" s="29" t="s">
        <v>7182</v>
      </c>
      <c r="Q237" t="s">
        <v>2038</v>
      </c>
      <c r="R237" t="s">
        <v>2632</v>
      </c>
      <c r="S237">
        <v>37</v>
      </c>
      <c r="T237" s="43" t="str">
        <f t="shared" si="11"/>
        <v>2021.022B.R.Crassvirales.zip</v>
      </c>
      <c r="U237" s="43" t="str">
        <f>HYPERLINK("https://ictv.global/taxonomy/taxondetails?taxnode_id=202213439","ictv.global=202213439")</f>
        <v>ictv.global=202213439</v>
      </c>
    </row>
    <row r="238" spans="1:21">
      <c r="A238">
        <v>237</v>
      </c>
      <c r="B238" s="29" t="s">
        <v>3682</v>
      </c>
      <c r="C238" s="29"/>
      <c r="D238" s="29" t="s">
        <v>3683</v>
      </c>
      <c r="E238" s="29"/>
      <c r="F238" s="29" t="s">
        <v>3686</v>
      </c>
      <c r="G238" s="29"/>
      <c r="H238" s="29" t="s">
        <v>3687</v>
      </c>
      <c r="I238" s="29"/>
      <c r="J238" s="29" t="s">
        <v>7055</v>
      </c>
      <c r="K238" s="29"/>
      <c r="L238" s="29" t="s">
        <v>7128</v>
      </c>
      <c r="M238" s="29" t="s">
        <v>7174</v>
      </c>
      <c r="N238" s="29" t="s">
        <v>7181</v>
      </c>
      <c r="O238" s="29"/>
      <c r="P238" s="29" t="s">
        <v>7183</v>
      </c>
      <c r="Q238" t="s">
        <v>2038</v>
      </c>
      <c r="R238" t="s">
        <v>2632</v>
      </c>
      <c r="S238">
        <v>37</v>
      </c>
      <c r="T238" s="43" t="str">
        <f t="shared" si="11"/>
        <v>2021.022B.R.Crassvirales.zip</v>
      </c>
      <c r="U238" s="43" t="str">
        <f>HYPERLINK("https://ictv.global/taxonomy/taxondetails?taxnode_id=202213438","ictv.global=202213438")</f>
        <v>ictv.global=202213438</v>
      </c>
    </row>
    <row r="239" spans="1:21">
      <c r="A239">
        <v>238</v>
      </c>
      <c r="B239" s="29" t="s">
        <v>3682</v>
      </c>
      <c r="C239" s="29"/>
      <c r="D239" s="29" t="s">
        <v>3683</v>
      </c>
      <c r="E239" s="29"/>
      <c r="F239" s="29" t="s">
        <v>3686</v>
      </c>
      <c r="G239" s="29"/>
      <c r="H239" s="29" t="s">
        <v>3687</v>
      </c>
      <c r="I239" s="29"/>
      <c r="J239" s="29" t="s">
        <v>7055</v>
      </c>
      <c r="K239" s="29"/>
      <c r="L239" s="29" t="s">
        <v>7128</v>
      </c>
      <c r="M239" s="29"/>
      <c r="N239" s="29" t="s">
        <v>7184</v>
      </c>
      <c r="O239" s="29"/>
      <c r="P239" s="29" t="s">
        <v>7185</v>
      </c>
      <c r="Q239" t="s">
        <v>2038</v>
      </c>
      <c r="R239" t="s">
        <v>2632</v>
      </c>
      <c r="S239">
        <v>37</v>
      </c>
      <c r="T239" s="43" t="str">
        <f t="shared" si="11"/>
        <v>2021.022B.R.Crassvirales.zip</v>
      </c>
      <c r="U239" s="43" t="str">
        <f>HYPERLINK("https://ictv.global/taxonomy/taxondetails?taxnode_id=202213469","ictv.global=202213469")</f>
        <v>ictv.global=202213469</v>
      </c>
    </row>
    <row r="240" spans="1:21">
      <c r="A240">
        <v>239</v>
      </c>
      <c r="B240" s="29" t="s">
        <v>3682</v>
      </c>
      <c r="C240" s="29"/>
      <c r="D240" s="29" t="s">
        <v>3683</v>
      </c>
      <c r="E240" s="29"/>
      <c r="F240" s="29" t="s">
        <v>3686</v>
      </c>
      <c r="G240" s="29"/>
      <c r="H240" s="29" t="s">
        <v>3687</v>
      </c>
      <c r="I240" s="29"/>
      <c r="J240" s="29" t="s">
        <v>7186</v>
      </c>
      <c r="K240" s="29"/>
      <c r="L240" s="29" t="s">
        <v>7187</v>
      </c>
      <c r="M240" s="29"/>
      <c r="N240" s="29" t="s">
        <v>7188</v>
      </c>
      <c r="O240" s="29"/>
      <c r="P240" s="29" t="s">
        <v>7189</v>
      </c>
      <c r="Q240" t="s">
        <v>2038</v>
      </c>
      <c r="R240" t="s">
        <v>2632</v>
      </c>
      <c r="S240">
        <v>38</v>
      </c>
      <c r="T240" s="43" t="str">
        <f>HYPERLINK("https://ictv.global/ictv/proposals/2022.003A.Caudoviricetes_2no_3nf.zip","2022.003A.Caudoviricetes_2no_3nf.zip")</f>
        <v>2022.003A.Caudoviricetes_2no_3nf.zip</v>
      </c>
      <c r="U240" s="43" t="str">
        <f>HYPERLINK("https://ictv.global/taxonomy/taxondetails?taxnode_id=202214325","ictv.global=202214325")</f>
        <v>ictv.global=202214325</v>
      </c>
    </row>
    <row r="241" spans="1:21">
      <c r="A241">
        <v>240</v>
      </c>
      <c r="B241" s="29" t="s">
        <v>3682</v>
      </c>
      <c r="C241" s="29"/>
      <c r="D241" s="29" t="s">
        <v>3683</v>
      </c>
      <c r="E241" s="29"/>
      <c r="F241" s="29" t="s">
        <v>3686</v>
      </c>
      <c r="G241" s="29"/>
      <c r="H241" s="29" t="s">
        <v>3687</v>
      </c>
      <c r="I241" s="29"/>
      <c r="J241" s="29" t="s">
        <v>7186</v>
      </c>
      <c r="K241" s="29"/>
      <c r="L241" s="29" t="s">
        <v>7187</v>
      </c>
      <c r="M241" s="29"/>
      <c r="N241" s="29" t="s">
        <v>7190</v>
      </c>
      <c r="O241" s="29"/>
      <c r="P241" s="29" t="s">
        <v>7191</v>
      </c>
      <c r="Q241" t="s">
        <v>2038</v>
      </c>
      <c r="R241" t="s">
        <v>2632</v>
      </c>
      <c r="S241">
        <v>38</v>
      </c>
      <c r="T241" s="43" t="str">
        <f>HYPERLINK("https://ictv.global/ictv/proposals/2022.003A.Caudoviricetes_2no_3nf.zip","2022.003A.Caudoviricetes_2no_3nf.zip")</f>
        <v>2022.003A.Caudoviricetes_2no_3nf.zip</v>
      </c>
      <c r="U241" s="43" t="str">
        <f>HYPERLINK("https://ictv.global/taxonomy/taxondetails?taxnode_id=202214323","ictv.global=202214323")</f>
        <v>ictv.global=202214323</v>
      </c>
    </row>
    <row r="242" spans="1:21">
      <c r="A242">
        <v>241</v>
      </c>
      <c r="B242" s="29" t="s">
        <v>3682</v>
      </c>
      <c r="C242" s="29"/>
      <c r="D242" s="29" t="s">
        <v>3683</v>
      </c>
      <c r="E242" s="29"/>
      <c r="F242" s="29" t="s">
        <v>3686</v>
      </c>
      <c r="G242" s="29"/>
      <c r="H242" s="29" t="s">
        <v>3687</v>
      </c>
      <c r="I242" s="29"/>
      <c r="J242" s="29" t="s">
        <v>7186</v>
      </c>
      <c r="K242" s="29"/>
      <c r="L242" s="29" t="s">
        <v>7187</v>
      </c>
      <c r="M242" s="29"/>
      <c r="N242" s="29" t="s">
        <v>7192</v>
      </c>
      <c r="O242" s="29"/>
      <c r="P242" s="29" t="s">
        <v>7193</v>
      </c>
      <c r="Q242" t="s">
        <v>2038</v>
      </c>
      <c r="R242" t="s">
        <v>2632</v>
      </c>
      <c r="S242">
        <v>38</v>
      </c>
      <c r="T242" s="43" t="str">
        <f>HYPERLINK("https://ictv.global/ictv/proposals/2022.003A.Caudoviricetes_2no_3nf.zip","2022.003A.Caudoviricetes_2no_3nf.zip")</f>
        <v>2022.003A.Caudoviricetes_2no_3nf.zip</v>
      </c>
      <c r="U242" s="43" t="str">
        <f>HYPERLINK("https://ictv.global/taxonomy/taxondetails?taxnode_id=202214324","ictv.global=202214324")</f>
        <v>ictv.global=202214324</v>
      </c>
    </row>
    <row r="243" spans="1:21">
      <c r="A243">
        <v>242</v>
      </c>
      <c r="B243" s="29" t="s">
        <v>3682</v>
      </c>
      <c r="C243" s="29"/>
      <c r="D243" s="29" t="s">
        <v>3683</v>
      </c>
      <c r="E243" s="29"/>
      <c r="F243" s="29" t="s">
        <v>3686</v>
      </c>
      <c r="G243" s="29"/>
      <c r="H243" s="29" t="s">
        <v>3687</v>
      </c>
      <c r="I243" s="29"/>
      <c r="J243" s="29" t="s">
        <v>7186</v>
      </c>
      <c r="K243" s="29"/>
      <c r="L243" s="29" t="s">
        <v>7194</v>
      </c>
      <c r="M243" s="29"/>
      <c r="N243" s="29" t="s">
        <v>7195</v>
      </c>
      <c r="O243" s="29"/>
      <c r="P243" s="29" t="s">
        <v>7196</v>
      </c>
      <c r="Q243" t="s">
        <v>2038</v>
      </c>
      <c r="R243" t="s">
        <v>2632</v>
      </c>
      <c r="S243">
        <v>38</v>
      </c>
      <c r="T243" s="43" t="str">
        <f>HYPERLINK("https://ictv.global/ictv/proposals/2022.003A.Caudoviricetes_2no_3nf.zip","2022.003A.Caudoviricetes_2no_3nf.zip")</f>
        <v>2022.003A.Caudoviricetes_2no_3nf.zip</v>
      </c>
      <c r="U243" s="43" t="str">
        <f>HYPERLINK("https://ictv.global/taxonomy/taxondetails?taxnode_id=202214322","ictv.global=202214322")</f>
        <v>ictv.global=202214322</v>
      </c>
    </row>
    <row r="244" spans="1:21">
      <c r="A244">
        <v>243</v>
      </c>
      <c r="B244" s="29" t="s">
        <v>3682</v>
      </c>
      <c r="C244" s="29"/>
      <c r="D244" s="29" t="s">
        <v>3683</v>
      </c>
      <c r="E244" s="29"/>
      <c r="F244" s="29" t="s">
        <v>3686</v>
      </c>
      <c r="G244" s="29"/>
      <c r="H244" s="29" t="s">
        <v>3687</v>
      </c>
      <c r="I244" s="29"/>
      <c r="J244" s="29" t="s">
        <v>7197</v>
      </c>
      <c r="K244" s="29"/>
      <c r="L244" s="29" t="s">
        <v>7198</v>
      </c>
      <c r="M244" s="29"/>
      <c r="N244" s="29" t="s">
        <v>7199</v>
      </c>
      <c r="O244" s="29"/>
      <c r="P244" s="29" t="s">
        <v>7200</v>
      </c>
      <c r="Q244" t="s">
        <v>2038</v>
      </c>
      <c r="R244" t="s">
        <v>2632</v>
      </c>
      <c r="S244">
        <v>37</v>
      </c>
      <c r="T244" s="43" t="str">
        <f t="shared" ref="T244:T250" si="12">HYPERLINK("https://ictv.global/ictv/proposals/2021.001A.R.Archaeal_Caudoviricetes.zip","2021.001A.R.Archaeal_Caudoviricetes.zip")</f>
        <v>2021.001A.R.Archaeal_Caudoviricetes.zip</v>
      </c>
      <c r="U244" s="43" t="str">
        <f>HYPERLINK("https://ictv.global/taxonomy/taxondetails?taxnode_id=202212209","ictv.global=202212209")</f>
        <v>ictv.global=202212209</v>
      </c>
    </row>
    <row r="245" spans="1:21">
      <c r="A245">
        <v>244</v>
      </c>
      <c r="B245" s="29" t="s">
        <v>3682</v>
      </c>
      <c r="C245" s="29"/>
      <c r="D245" s="29" t="s">
        <v>3683</v>
      </c>
      <c r="E245" s="29"/>
      <c r="F245" s="29" t="s">
        <v>3686</v>
      </c>
      <c r="G245" s="29"/>
      <c r="H245" s="29" t="s">
        <v>3687</v>
      </c>
      <c r="I245" s="29"/>
      <c r="J245" s="29" t="s">
        <v>7197</v>
      </c>
      <c r="K245" s="29"/>
      <c r="L245" s="29" t="s">
        <v>7198</v>
      </c>
      <c r="M245" s="29"/>
      <c r="N245" s="29" t="s">
        <v>7201</v>
      </c>
      <c r="O245" s="29"/>
      <c r="P245" s="29" t="s">
        <v>7202</v>
      </c>
      <c r="Q245" t="s">
        <v>2038</v>
      </c>
      <c r="R245" t="s">
        <v>2632</v>
      </c>
      <c r="S245">
        <v>37</v>
      </c>
      <c r="T245" s="43" t="str">
        <f t="shared" si="12"/>
        <v>2021.001A.R.Archaeal_Caudoviricetes.zip</v>
      </c>
      <c r="U245" s="43" t="str">
        <f>HYPERLINK("https://ictv.global/taxonomy/taxondetails?taxnode_id=202212211","ictv.global=202212211")</f>
        <v>ictv.global=202212211</v>
      </c>
    </row>
    <row r="246" spans="1:21">
      <c r="A246">
        <v>245</v>
      </c>
      <c r="B246" s="29" t="s">
        <v>3682</v>
      </c>
      <c r="C246" s="29"/>
      <c r="D246" s="29" t="s">
        <v>3683</v>
      </c>
      <c r="E246" s="29"/>
      <c r="F246" s="29" t="s">
        <v>3686</v>
      </c>
      <c r="G246" s="29"/>
      <c r="H246" s="29" t="s">
        <v>3687</v>
      </c>
      <c r="I246" s="29"/>
      <c r="J246" s="29" t="s">
        <v>7197</v>
      </c>
      <c r="K246" s="29"/>
      <c r="L246" s="29" t="s">
        <v>7203</v>
      </c>
      <c r="M246" s="29"/>
      <c r="N246" s="29" t="s">
        <v>7204</v>
      </c>
      <c r="O246" s="29"/>
      <c r="P246" s="29" t="s">
        <v>7205</v>
      </c>
      <c r="Q246" t="s">
        <v>2038</v>
      </c>
      <c r="R246" t="s">
        <v>2632</v>
      </c>
      <c r="S246">
        <v>37</v>
      </c>
      <c r="T246" s="43" t="str">
        <f t="shared" si="12"/>
        <v>2021.001A.R.Archaeal_Caudoviricetes.zip</v>
      </c>
      <c r="U246" s="43" t="str">
        <f>HYPERLINK("https://ictv.global/taxonomy/taxondetails?taxnode_id=202212201","ictv.global=202212201")</f>
        <v>ictv.global=202212201</v>
      </c>
    </row>
    <row r="247" spans="1:21">
      <c r="A247">
        <v>246</v>
      </c>
      <c r="B247" s="29" t="s">
        <v>3682</v>
      </c>
      <c r="C247" s="29"/>
      <c r="D247" s="29" t="s">
        <v>3683</v>
      </c>
      <c r="E247" s="29"/>
      <c r="F247" s="29" t="s">
        <v>3686</v>
      </c>
      <c r="G247" s="29"/>
      <c r="H247" s="29" t="s">
        <v>3687</v>
      </c>
      <c r="I247" s="29"/>
      <c r="J247" s="29" t="s">
        <v>7197</v>
      </c>
      <c r="K247" s="29"/>
      <c r="L247" s="29" t="s">
        <v>7203</v>
      </c>
      <c r="M247" s="29"/>
      <c r="N247" s="29" t="s">
        <v>7206</v>
      </c>
      <c r="O247" s="29"/>
      <c r="P247" s="29" t="s">
        <v>7207</v>
      </c>
      <c r="Q247" t="s">
        <v>2038</v>
      </c>
      <c r="R247" t="s">
        <v>2632</v>
      </c>
      <c r="S247">
        <v>37</v>
      </c>
      <c r="T247" s="43" t="str">
        <f t="shared" si="12"/>
        <v>2021.001A.R.Archaeal_Caudoviricetes.zip</v>
      </c>
      <c r="U247" s="43" t="str">
        <f>HYPERLINK("https://ictv.global/taxonomy/taxondetails?taxnode_id=202212199","ictv.global=202212199")</f>
        <v>ictv.global=202212199</v>
      </c>
    </row>
    <row r="248" spans="1:21">
      <c r="A248">
        <v>247</v>
      </c>
      <c r="B248" s="29" t="s">
        <v>3682</v>
      </c>
      <c r="C248" s="29"/>
      <c r="D248" s="29" t="s">
        <v>3683</v>
      </c>
      <c r="E248" s="29"/>
      <c r="F248" s="29" t="s">
        <v>3686</v>
      </c>
      <c r="G248" s="29"/>
      <c r="H248" s="29" t="s">
        <v>3687</v>
      </c>
      <c r="I248" s="29"/>
      <c r="J248" s="29" t="s">
        <v>7197</v>
      </c>
      <c r="K248" s="29"/>
      <c r="L248" s="29" t="s">
        <v>7203</v>
      </c>
      <c r="M248" s="29"/>
      <c r="N248" s="29" t="s">
        <v>7208</v>
      </c>
      <c r="O248" s="29"/>
      <c r="P248" s="29" t="s">
        <v>7209</v>
      </c>
      <c r="Q248" t="s">
        <v>2038</v>
      </c>
      <c r="R248" t="s">
        <v>2632</v>
      </c>
      <c r="S248">
        <v>37</v>
      </c>
      <c r="T248" s="43" t="str">
        <f t="shared" si="12"/>
        <v>2021.001A.R.Archaeal_Caudoviricetes.zip</v>
      </c>
      <c r="U248" s="43" t="str">
        <f>HYPERLINK("https://ictv.global/taxonomy/taxondetails?taxnode_id=202212203","ictv.global=202212203")</f>
        <v>ictv.global=202212203</v>
      </c>
    </row>
    <row r="249" spans="1:21">
      <c r="A249">
        <v>248</v>
      </c>
      <c r="B249" s="29" t="s">
        <v>3682</v>
      </c>
      <c r="C249" s="29"/>
      <c r="D249" s="29" t="s">
        <v>3683</v>
      </c>
      <c r="E249" s="29"/>
      <c r="F249" s="29" t="s">
        <v>3686</v>
      </c>
      <c r="G249" s="29"/>
      <c r="H249" s="29" t="s">
        <v>3687</v>
      </c>
      <c r="I249" s="29"/>
      <c r="J249" s="29" t="s">
        <v>7197</v>
      </c>
      <c r="K249" s="29"/>
      <c r="L249" s="29" t="s">
        <v>7210</v>
      </c>
      <c r="M249" s="29"/>
      <c r="N249" s="29" t="s">
        <v>7211</v>
      </c>
      <c r="O249" s="29"/>
      <c r="P249" s="29" t="s">
        <v>7212</v>
      </c>
      <c r="Q249" t="s">
        <v>2038</v>
      </c>
      <c r="R249" t="s">
        <v>2632</v>
      </c>
      <c r="S249">
        <v>37</v>
      </c>
      <c r="T249" s="43" t="str">
        <f t="shared" si="12"/>
        <v>2021.001A.R.Archaeal_Caudoviricetes.zip</v>
      </c>
      <c r="U249" s="43" t="str">
        <f>HYPERLINK("https://ictv.global/taxonomy/taxondetails?taxnode_id=202212205","ictv.global=202212205")</f>
        <v>ictv.global=202212205</v>
      </c>
    </row>
    <row r="250" spans="1:21">
      <c r="A250">
        <v>249</v>
      </c>
      <c r="B250" s="29" t="s">
        <v>3682</v>
      </c>
      <c r="C250" s="29"/>
      <c r="D250" s="29" t="s">
        <v>3683</v>
      </c>
      <c r="E250" s="29"/>
      <c r="F250" s="29" t="s">
        <v>3686</v>
      </c>
      <c r="G250" s="29"/>
      <c r="H250" s="29" t="s">
        <v>3687</v>
      </c>
      <c r="I250" s="29"/>
      <c r="J250" s="29" t="s">
        <v>7197</v>
      </c>
      <c r="K250" s="29"/>
      <c r="L250" s="29" t="s">
        <v>7213</v>
      </c>
      <c r="M250" s="29"/>
      <c r="N250" s="29" t="s">
        <v>7214</v>
      </c>
      <c r="O250" s="29"/>
      <c r="P250" s="29" t="s">
        <v>7215</v>
      </c>
      <c r="Q250" t="s">
        <v>2038</v>
      </c>
      <c r="R250" t="s">
        <v>2632</v>
      </c>
      <c r="S250">
        <v>37</v>
      </c>
      <c r="T250" s="43" t="str">
        <f t="shared" si="12"/>
        <v>2021.001A.R.Archaeal_Caudoviricetes.zip</v>
      </c>
      <c r="U250" s="43" t="str">
        <f>HYPERLINK("https://ictv.global/taxonomy/taxondetails?taxnode_id=202212207","ictv.global=202212207")</f>
        <v>ictv.global=202212207</v>
      </c>
    </row>
    <row r="251" spans="1:21">
      <c r="A251">
        <v>250</v>
      </c>
      <c r="B251" s="29" t="s">
        <v>3682</v>
      </c>
      <c r="C251" s="29"/>
      <c r="D251" s="29" t="s">
        <v>3683</v>
      </c>
      <c r="E251" s="29"/>
      <c r="F251" s="29" t="s">
        <v>3686</v>
      </c>
      <c r="G251" s="29"/>
      <c r="H251" s="29" t="s">
        <v>3687</v>
      </c>
      <c r="I251" s="29"/>
      <c r="J251" s="29" t="s">
        <v>7216</v>
      </c>
      <c r="K251" s="29"/>
      <c r="L251" s="29" t="s">
        <v>7217</v>
      </c>
      <c r="M251" s="29"/>
      <c r="N251" s="29" t="s">
        <v>7218</v>
      </c>
      <c r="O251" s="29"/>
      <c r="P251" s="29" t="s">
        <v>7219</v>
      </c>
      <c r="Q251" t="s">
        <v>2038</v>
      </c>
      <c r="R251" t="s">
        <v>2632</v>
      </c>
      <c r="S251">
        <v>38</v>
      </c>
      <c r="T251" s="43" t="str">
        <f>HYPERLINK("https://ictv.global/ictv/proposals/2022.003A.Caudoviricetes_2no_3nf.zip","2022.003A.Caudoviricetes_2no_3nf.zip")</f>
        <v>2022.003A.Caudoviricetes_2no_3nf.zip</v>
      </c>
      <c r="U251" s="43" t="str">
        <f>HYPERLINK("https://ictv.global/taxonomy/taxondetails?taxnode_id=202214326","ictv.global=202214326")</f>
        <v>ictv.global=202214326</v>
      </c>
    </row>
    <row r="252" spans="1:21">
      <c r="A252">
        <v>251</v>
      </c>
      <c r="B252" s="29" t="s">
        <v>3682</v>
      </c>
      <c r="C252" s="29"/>
      <c r="D252" s="29" t="s">
        <v>3683</v>
      </c>
      <c r="E252" s="29"/>
      <c r="F252" s="29" t="s">
        <v>3686</v>
      </c>
      <c r="G252" s="29"/>
      <c r="H252" s="29" t="s">
        <v>3687</v>
      </c>
      <c r="I252" s="29"/>
      <c r="J252" s="29" t="s">
        <v>7220</v>
      </c>
      <c r="K252" s="29"/>
      <c r="L252" s="29" t="s">
        <v>7221</v>
      </c>
      <c r="M252" s="29"/>
      <c r="N252" s="29" t="s">
        <v>7222</v>
      </c>
      <c r="O252" s="29"/>
      <c r="P252" s="29" t="s">
        <v>7223</v>
      </c>
      <c r="Q252" t="s">
        <v>2038</v>
      </c>
      <c r="R252" t="s">
        <v>2632</v>
      </c>
      <c r="S252">
        <v>37</v>
      </c>
      <c r="T252" s="43" t="str">
        <f>HYPERLINK("https://ictv.global/ictv/proposals/2021.001A.R.Archaeal_Caudoviricetes.zip","2021.001A.R.Archaeal_Caudoviricetes.zip")</f>
        <v>2021.001A.R.Archaeal_Caudoviricetes.zip</v>
      </c>
      <c r="U252" s="43" t="str">
        <f>HYPERLINK("https://ictv.global/taxonomy/taxondetails?taxnode_id=202212213","ictv.global=202212213")</f>
        <v>ictv.global=202212213</v>
      </c>
    </row>
    <row r="253" spans="1:21">
      <c r="A253">
        <v>252</v>
      </c>
      <c r="B253" s="29" t="s">
        <v>3682</v>
      </c>
      <c r="C253" s="29"/>
      <c r="D253" s="29" t="s">
        <v>3683</v>
      </c>
      <c r="E253" s="29"/>
      <c r="F253" s="29" t="s">
        <v>3686</v>
      </c>
      <c r="G253" s="29"/>
      <c r="H253" s="29" t="s">
        <v>3687</v>
      </c>
      <c r="I253" s="29"/>
      <c r="J253" s="29" t="s">
        <v>7220</v>
      </c>
      <c r="K253" s="29"/>
      <c r="L253" s="29" t="s">
        <v>7224</v>
      </c>
      <c r="M253" s="29"/>
      <c r="N253" s="29" t="s">
        <v>2119</v>
      </c>
      <c r="O253" s="29"/>
      <c r="P253" s="29" t="s">
        <v>4026</v>
      </c>
      <c r="Q253" t="s">
        <v>2038</v>
      </c>
      <c r="R253" t="s">
        <v>2634</v>
      </c>
      <c r="S253">
        <v>37</v>
      </c>
      <c r="T253" s="43" t="str">
        <f>HYPERLINK("https://ictv.global/ictv/proposals/2021.001A.R.Archaeal_Caudoviricetes.zip","2021.001A.R.Archaeal_Caudoviricetes.zip")</f>
        <v>2021.001A.R.Archaeal_Caudoviricetes.zip</v>
      </c>
      <c r="U253" s="43" t="str">
        <f>HYPERLINK("https://ictv.global/taxonomy/taxondetails?taxnode_id=202207999","ictv.global=202207999")</f>
        <v>ictv.global=202207999</v>
      </c>
    </row>
    <row r="254" spans="1:21">
      <c r="A254">
        <v>253</v>
      </c>
      <c r="B254" s="29" t="s">
        <v>3682</v>
      </c>
      <c r="C254" s="29"/>
      <c r="D254" s="29" t="s">
        <v>3683</v>
      </c>
      <c r="E254" s="29"/>
      <c r="F254" s="29" t="s">
        <v>3686</v>
      </c>
      <c r="G254" s="29"/>
      <c r="H254" s="29" t="s">
        <v>3687</v>
      </c>
      <c r="I254" s="29"/>
      <c r="J254" s="29" t="s">
        <v>7225</v>
      </c>
      <c r="K254" s="29"/>
      <c r="L254" s="29" t="s">
        <v>7226</v>
      </c>
      <c r="M254" s="29"/>
      <c r="N254" s="29" t="s">
        <v>7227</v>
      </c>
      <c r="O254" s="29"/>
      <c r="P254" s="29" t="s">
        <v>7228</v>
      </c>
      <c r="Q254" t="s">
        <v>2038</v>
      </c>
      <c r="R254" t="s">
        <v>2632</v>
      </c>
      <c r="S254">
        <v>38</v>
      </c>
      <c r="T254" s="43" t="str">
        <f>HYPERLINK("https://ictv.global/ictv/proposals/2022.001A.Nakonvirales_Maximonvirales_Coyopavirales_3no.zip","2022.001A.Nakonvirales_Maximonvirales_Coyopavirales_3no.zip")</f>
        <v>2022.001A.Nakonvirales_Maximonvirales_Coyopavirales_3no.zip</v>
      </c>
      <c r="U254" s="43" t="str">
        <f>HYPERLINK("https://ictv.global/taxonomy/taxondetails?taxnode_id=202214292","ictv.global=202214292")</f>
        <v>ictv.global=202214292</v>
      </c>
    </row>
    <row r="255" spans="1:21">
      <c r="A255">
        <v>254</v>
      </c>
      <c r="B255" s="29" t="s">
        <v>3682</v>
      </c>
      <c r="C255" s="29"/>
      <c r="D255" s="29" t="s">
        <v>3683</v>
      </c>
      <c r="E255" s="29"/>
      <c r="F255" s="29" t="s">
        <v>3686</v>
      </c>
      <c r="G255" s="29"/>
      <c r="H255" s="29" t="s">
        <v>3687</v>
      </c>
      <c r="I255" s="29"/>
      <c r="J255" s="29" t="s">
        <v>7225</v>
      </c>
      <c r="K255" s="29"/>
      <c r="L255" s="29" t="s">
        <v>7229</v>
      </c>
      <c r="M255" s="29"/>
      <c r="N255" s="29" t="s">
        <v>7230</v>
      </c>
      <c r="O255" s="29"/>
      <c r="P255" s="29" t="s">
        <v>7231</v>
      </c>
      <c r="Q255" t="s">
        <v>2038</v>
      </c>
      <c r="R255" t="s">
        <v>2632</v>
      </c>
      <c r="S255">
        <v>38</v>
      </c>
      <c r="T255" s="43" t="str">
        <f>HYPERLINK("https://ictv.global/ictv/proposals/2022.001A.Nakonvirales_Maximonvirales_Coyopavirales_3no.zip","2022.001A.Nakonvirales_Maximonvirales_Coyopavirales_3no.zip")</f>
        <v>2022.001A.Nakonvirales_Maximonvirales_Coyopavirales_3no.zip</v>
      </c>
      <c r="U255" s="43" t="str">
        <f>HYPERLINK("https://ictv.global/taxonomy/taxondetails?taxnode_id=202214293","ictv.global=202214293")</f>
        <v>ictv.global=202214293</v>
      </c>
    </row>
    <row r="256" spans="1:21">
      <c r="A256">
        <v>255</v>
      </c>
      <c r="B256" s="29" t="s">
        <v>3682</v>
      </c>
      <c r="C256" s="29"/>
      <c r="D256" s="29" t="s">
        <v>3683</v>
      </c>
      <c r="E256" s="29"/>
      <c r="F256" s="29" t="s">
        <v>3686</v>
      </c>
      <c r="G256" s="29"/>
      <c r="H256" s="29" t="s">
        <v>3687</v>
      </c>
      <c r="I256" s="29"/>
      <c r="J256" s="29" t="s">
        <v>7225</v>
      </c>
      <c r="K256" s="29"/>
      <c r="L256" s="29" t="s">
        <v>7229</v>
      </c>
      <c r="M256" s="29"/>
      <c r="N256" s="29" t="s">
        <v>7230</v>
      </c>
      <c r="O256" s="29"/>
      <c r="P256" s="29" t="s">
        <v>7232</v>
      </c>
      <c r="Q256" t="s">
        <v>2038</v>
      </c>
      <c r="R256" t="s">
        <v>2632</v>
      </c>
      <c r="S256">
        <v>38</v>
      </c>
      <c r="T256" s="43" t="str">
        <f>HYPERLINK("https://ictv.global/ictv/proposals/2022.001A.Nakonvirales_Maximonvirales_Coyopavirales_3no.zip","2022.001A.Nakonvirales_Maximonvirales_Coyopavirales_3no.zip")</f>
        <v>2022.001A.Nakonvirales_Maximonvirales_Coyopavirales_3no.zip</v>
      </c>
      <c r="U256" s="43" t="str">
        <f>HYPERLINK("https://ictv.global/taxonomy/taxondetails?taxnode_id=202214294","ictv.global=202214294")</f>
        <v>ictv.global=202214294</v>
      </c>
    </row>
    <row r="257" spans="1:21">
      <c r="A257">
        <v>256</v>
      </c>
      <c r="B257" s="29" t="s">
        <v>3682</v>
      </c>
      <c r="C257" s="29"/>
      <c r="D257" s="29" t="s">
        <v>3683</v>
      </c>
      <c r="E257" s="29"/>
      <c r="F257" s="29" t="s">
        <v>3686</v>
      </c>
      <c r="G257" s="29"/>
      <c r="H257" s="29" t="s">
        <v>3687</v>
      </c>
      <c r="I257" s="29"/>
      <c r="J257" s="29" t="s">
        <v>7233</v>
      </c>
      <c r="K257" s="29"/>
      <c r="L257" s="29" t="s">
        <v>7234</v>
      </c>
      <c r="M257" s="29"/>
      <c r="N257" s="29" t="s">
        <v>7235</v>
      </c>
      <c r="O257" s="29"/>
      <c r="P257" s="29" t="s">
        <v>7236</v>
      </c>
      <c r="Q257" t="s">
        <v>2038</v>
      </c>
      <c r="R257" t="s">
        <v>2632</v>
      </c>
      <c r="S257">
        <v>37</v>
      </c>
      <c r="T257" s="43" t="str">
        <f t="shared" ref="T257:T270" si="13">HYPERLINK("https://ictv.global/ictv/proposals/2021.001A.R.Archaeal_Caudoviricetes.zip","2021.001A.R.Archaeal_Caudoviricetes.zip")</f>
        <v>2021.001A.R.Archaeal_Caudoviricetes.zip</v>
      </c>
      <c r="U257" s="43" t="str">
        <f>HYPERLINK("https://ictv.global/taxonomy/taxondetails?taxnode_id=202212193","ictv.global=202212193")</f>
        <v>ictv.global=202212193</v>
      </c>
    </row>
    <row r="258" spans="1:21">
      <c r="A258">
        <v>257</v>
      </c>
      <c r="B258" s="29" t="s">
        <v>3682</v>
      </c>
      <c r="C258" s="29"/>
      <c r="D258" s="29" t="s">
        <v>3683</v>
      </c>
      <c r="E258" s="29"/>
      <c r="F258" s="29" t="s">
        <v>3686</v>
      </c>
      <c r="G258" s="29"/>
      <c r="H258" s="29" t="s">
        <v>3687</v>
      </c>
      <c r="I258" s="29"/>
      <c r="J258" s="29" t="s">
        <v>7233</v>
      </c>
      <c r="K258" s="29"/>
      <c r="L258" s="29" t="s">
        <v>7234</v>
      </c>
      <c r="M258" s="29"/>
      <c r="N258" s="29" t="s">
        <v>7237</v>
      </c>
      <c r="O258" s="29"/>
      <c r="P258" s="29" t="s">
        <v>7238</v>
      </c>
      <c r="Q258" t="s">
        <v>2038</v>
      </c>
      <c r="R258" t="s">
        <v>2632</v>
      </c>
      <c r="S258">
        <v>37</v>
      </c>
      <c r="T258" s="43" t="str">
        <f t="shared" si="13"/>
        <v>2021.001A.R.Archaeal_Caudoviricetes.zip</v>
      </c>
      <c r="U258" s="43" t="str">
        <f>HYPERLINK("https://ictv.global/taxonomy/taxondetails?taxnode_id=202212191","ictv.global=202212191")</f>
        <v>ictv.global=202212191</v>
      </c>
    </row>
    <row r="259" spans="1:21">
      <c r="A259">
        <v>258</v>
      </c>
      <c r="B259" s="29" t="s">
        <v>3682</v>
      </c>
      <c r="C259" s="29"/>
      <c r="D259" s="29" t="s">
        <v>3683</v>
      </c>
      <c r="E259" s="29"/>
      <c r="F259" s="29" t="s">
        <v>3686</v>
      </c>
      <c r="G259" s="29"/>
      <c r="H259" s="29" t="s">
        <v>3687</v>
      </c>
      <c r="I259" s="29"/>
      <c r="J259" s="29" t="s">
        <v>7233</v>
      </c>
      <c r="K259" s="29"/>
      <c r="L259" s="29" t="s">
        <v>7239</v>
      </c>
      <c r="M259" s="29"/>
      <c r="N259" s="29" t="s">
        <v>4560</v>
      </c>
      <c r="O259" s="29"/>
      <c r="P259" s="29" t="s">
        <v>7240</v>
      </c>
      <c r="Q259" t="s">
        <v>2038</v>
      </c>
      <c r="R259" t="s">
        <v>2633</v>
      </c>
      <c r="S259">
        <v>37</v>
      </c>
      <c r="T259" s="43" t="str">
        <f t="shared" si="13"/>
        <v>2021.001A.R.Archaeal_Caudoviricetes.zip</v>
      </c>
      <c r="U259" s="43" t="str">
        <f>HYPERLINK("https://ictv.global/taxonomy/taxondetails?taxnode_id=202208774","ictv.global=202208774")</f>
        <v>ictv.global=202208774</v>
      </c>
    </row>
    <row r="260" spans="1:21">
      <c r="A260">
        <v>259</v>
      </c>
      <c r="B260" s="29" t="s">
        <v>3682</v>
      </c>
      <c r="C260" s="29"/>
      <c r="D260" s="29" t="s">
        <v>3683</v>
      </c>
      <c r="E260" s="29"/>
      <c r="F260" s="29" t="s">
        <v>3686</v>
      </c>
      <c r="G260" s="29"/>
      <c r="H260" s="29" t="s">
        <v>3687</v>
      </c>
      <c r="I260" s="29"/>
      <c r="J260" s="29" t="s">
        <v>7233</v>
      </c>
      <c r="K260" s="29"/>
      <c r="L260" s="29" t="s">
        <v>7239</v>
      </c>
      <c r="M260" s="29"/>
      <c r="N260" s="29" t="s">
        <v>4560</v>
      </c>
      <c r="O260" s="29"/>
      <c r="P260" s="29" t="s">
        <v>7241</v>
      </c>
      <c r="Q260" t="s">
        <v>2038</v>
      </c>
      <c r="R260" t="s">
        <v>2632</v>
      </c>
      <c r="S260">
        <v>37</v>
      </c>
      <c r="T260" s="43" t="str">
        <f t="shared" si="13"/>
        <v>2021.001A.R.Archaeal_Caudoviricetes.zip</v>
      </c>
      <c r="U260" s="43" t="str">
        <f>HYPERLINK("https://ictv.global/taxonomy/taxondetails?taxnode_id=202212182","ictv.global=202212182")</f>
        <v>ictv.global=202212182</v>
      </c>
    </row>
    <row r="261" spans="1:21">
      <c r="A261">
        <v>260</v>
      </c>
      <c r="B261" s="29" t="s">
        <v>3682</v>
      </c>
      <c r="C261" s="29"/>
      <c r="D261" s="29" t="s">
        <v>3683</v>
      </c>
      <c r="E261" s="29"/>
      <c r="F261" s="29" t="s">
        <v>3686</v>
      </c>
      <c r="G261" s="29"/>
      <c r="H261" s="29" t="s">
        <v>3687</v>
      </c>
      <c r="I261" s="29"/>
      <c r="J261" s="29" t="s">
        <v>7233</v>
      </c>
      <c r="K261" s="29"/>
      <c r="L261" s="29" t="s">
        <v>7239</v>
      </c>
      <c r="M261" s="29"/>
      <c r="N261" s="29" t="s">
        <v>4560</v>
      </c>
      <c r="O261" s="29"/>
      <c r="P261" s="29" t="s">
        <v>7242</v>
      </c>
      <c r="Q261" t="s">
        <v>2038</v>
      </c>
      <c r="R261" t="s">
        <v>2633</v>
      </c>
      <c r="S261">
        <v>37</v>
      </c>
      <c r="T261" s="43" t="str">
        <f t="shared" si="13"/>
        <v>2021.001A.R.Archaeal_Caudoviricetes.zip</v>
      </c>
      <c r="U261" s="43" t="str">
        <f>HYPERLINK("https://ictv.global/taxonomy/taxondetails?taxnode_id=202208776","ictv.global=202208776")</f>
        <v>ictv.global=202208776</v>
      </c>
    </row>
    <row r="262" spans="1:21">
      <c r="A262">
        <v>261</v>
      </c>
      <c r="B262" s="29" t="s">
        <v>3682</v>
      </c>
      <c r="C262" s="29"/>
      <c r="D262" s="29" t="s">
        <v>3683</v>
      </c>
      <c r="E262" s="29"/>
      <c r="F262" s="29" t="s">
        <v>3686</v>
      </c>
      <c r="G262" s="29"/>
      <c r="H262" s="29" t="s">
        <v>3687</v>
      </c>
      <c r="I262" s="29"/>
      <c r="J262" s="29" t="s">
        <v>7233</v>
      </c>
      <c r="K262" s="29"/>
      <c r="L262" s="29" t="s">
        <v>7239</v>
      </c>
      <c r="M262" s="29"/>
      <c r="N262" s="29" t="s">
        <v>4560</v>
      </c>
      <c r="O262" s="29"/>
      <c r="P262" s="29" t="s">
        <v>7243</v>
      </c>
      <c r="Q262" t="s">
        <v>2038</v>
      </c>
      <c r="R262" t="s">
        <v>2633</v>
      </c>
      <c r="S262">
        <v>37</v>
      </c>
      <c r="T262" s="43" t="str">
        <f t="shared" si="13"/>
        <v>2021.001A.R.Archaeal_Caudoviricetes.zip</v>
      </c>
      <c r="U262" s="43" t="str">
        <f>HYPERLINK("https://ictv.global/taxonomy/taxondetails?taxnode_id=202208777","ictv.global=202208777")</f>
        <v>ictv.global=202208777</v>
      </c>
    </row>
    <row r="263" spans="1:21">
      <c r="A263">
        <v>262</v>
      </c>
      <c r="B263" s="29" t="s">
        <v>3682</v>
      </c>
      <c r="C263" s="29"/>
      <c r="D263" s="29" t="s">
        <v>3683</v>
      </c>
      <c r="E263" s="29"/>
      <c r="F263" s="29" t="s">
        <v>3686</v>
      </c>
      <c r="G263" s="29"/>
      <c r="H263" s="29" t="s">
        <v>3687</v>
      </c>
      <c r="I263" s="29"/>
      <c r="J263" s="29" t="s">
        <v>7233</v>
      </c>
      <c r="K263" s="29"/>
      <c r="L263" s="29" t="s">
        <v>7239</v>
      </c>
      <c r="M263" s="29"/>
      <c r="N263" s="29" t="s">
        <v>4560</v>
      </c>
      <c r="O263" s="29"/>
      <c r="P263" s="29" t="s">
        <v>7244</v>
      </c>
      <c r="Q263" t="s">
        <v>2038</v>
      </c>
      <c r="R263" t="s">
        <v>2632</v>
      </c>
      <c r="S263">
        <v>37</v>
      </c>
      <c r="T263" s="43" t="str">
        <f t="shared" si="13"/>
        <v>2021.001A.R.Archaeal_Caudoviricetes.zip</v>
      </c>
      <c r="U263" s="43" t="str">
        <f>HYPERLINK("https://ictv.global/taxonomy/taxondetails?taxnode_id=202212180","ictv.global=202212180")</f>
        <v>ictv.global=202212180</v>
      </c>
    </row>
    <row r="264" spans="1:21">
      <c r="A264">
        <v>263</v>
      </c>
      <c r="B264" s="29" t="s">
        <v>3682</v>
      </c>
      <c r="C264" s="29"/>
      <c r="D264" s="29" t="s">
        <v>3683</v>
      </c>
      <c r="E264" s="29"/>
      <c r="F264" s="29" t="s">
        <v>3686</v>
      </c>
      <c r="G264" s="29"/>
      <c r="H264" s="29" t="s">
        <v>3687</v>
      </c>
      <c r="I264" s="29"/>
      <c r="J264" s="29" t="s">
        <v>7233</v>
      </c>
      <c r="K264" s="29"/>
      <c r="L264" s="29" t="s">
        <v>7239</v>
      </c>
      <c r="M264" s="29"/>
      <c r="N264" s="29" t="s">
        <v>4560</v>
      </c>
      <c r="O264" s="29"/>
      <c r="P264" s="29" t="s">
        <v>7245</v>
      </c>
      <c r="Q264" t="s">
        <v>2038</v>
      </c>
      <c r="R264" t="s">
        <v>2632</v>
      </c>
      <c r="S264">
        <v>37</v>
      </c>
      <c r="T264" s="43" t="str">
        <f t="shared" si="13"/>
        <v>2021.001A.R.Archaeal_Caudoviricetes.zip</v>
      </c>
      <c r="U264" s="43" t="str">
        <f>HYPERLINK("https://ictv.global/taxonomy/taxondetails?taxnode_id=202212181","ictv.global=202212181")</f>
        <v>ictv.global=202212181</v>
      </c>
    </row>
    <row r="265" spans="1:21">
      <c r="A265">
        <v>264</v>
      </c>
      <c r="B265" s="29" t="s">
        <v>3682</v>
      </c>
      <c r="C265" s="29"/>
      <c r="D265" s="29" t="s">
        <v>3683</v>
      </c>
      <c r="E265" s="29"/>
      <c r="F265" s="29" t="s">
        <v>3686</v>
      </c>
      <c r="G265" s="29"/>
      <c r="H265" s="29" t="s">
        <v>3687</v>
      </c>
      <c r="I265" s="29"/>
      <c r="J265" s="29" t="s">
        <v>7233</v>
      </c>
      <c r="K265" s="29"/>
      <c r="L265" s="29" t="s">
        <v>7239</v>
      </c>
      <c r="M265" s="29"/>
      <c r="N265" s="29" t="s">
        <v>4560</v>
      </c>
      <c r="O265" s="29"/>
      <c r="P265" s="29" t="s">
        <v>7246</v>
      </c>
      <c r="Q265" t="s">
        <v>2038</v>
      </c>
      <c r="R265" t="s">
        <v>2632</v>
      </c>
      <c r="S265">
        <v>37</v>
      </c>
      <c r="T265" s="43" t="str">
        <f t="shared" si="13"/>
        <v>2021.001A.R.Archaeal_Caudoviricetes.zip</v>
      </c>
      <c r="U265" s="43" t="str">
        <f>HYPERLINK("https://ictv.global/taxonomy/taxondetails?taxnode_id=202212183","ictv.global=202212183")</f>
        <v>ictv.global=202212183</v>
      </c>
    </row>
    <row r="266" spans="1:21">
      <c r="A266">
        <v>265</v>
      </c>
      <c r="B266" s="29" t="s">
        <v>3682</v>
      </c>
      <c r="C266" s="29"/>
      <c r="D266" s="29" t="s">
        <v>3683</v>
      </c>
      <c r="E266" s="29"/>
      <c r="F266" s="29" t="s">
        <v>3686</v>
      </c>
      <c r="G266" s="29"/>
      <c r="H266" s="29" t="s">
        <v>3687</v>
      </c>
      <c r="I266" s="29"/>
      <c r="J266" s="29" t="s">
        <v>7233</v>
      </c>
      <c r="K266" s="29"/>
      <c r="L266" s="29" t="s">
        <v>7239</v>
      </c>
      <c r="M266" s="29"/>
      <c r="N266" s="29" t="s">
        <v>7247</v>
      </c>
      <c r="O266" s="29"/>
      <c r="P266" s="29" t="s">
        <v>7248</v>
      </c>
      <c r="Q266" t="s">
        <v>2038</v>
      </c>
      <c r="R266" t="s">
        <v>2632</v>
      </c>
      <c r="S266">
        <v>37</v>
      </c>
      <c r="T266" s="43" t="str">
        <f t="shared" si="13"/>
        <v>2021.001A.R.Archaeal_Caudoviricetes.zip</v>
      </c>
      <c r="U266" s="43" t="str">
        <f>HYPERLINK("https://ictv.global/taxonomy/taxondetails?taxnode_id=202212187","ictv.global=202212187")</f>
        <v>ictv.global=202212187</v>
      </c>
    </row>
    <row r="267" spans="1:21">
      <c r="A267">
        <v>266</v>
      </c>
      <c r="B267" s="29" t="s">
        <v>3682</v>
      </c>
      <c r="C267" s="29"/>
      <c r="D267" s="29" t="s">
        <v>3683</v>
      </c>
      <c r="E267" s="29"/>
      <c r="F267" s="29" t="s">
        <v>3686</v>
      </c>
      <c r="G267" s="29"/>
      <c r="H267" s="29" t="s">
        <v>3687</v>
      </c>
      <c r="I267" s="29"/>
      <c r="J267" s="29" t="s">
        <v>7233</v>
      </c>
      <c r="K267" s="29"/>
      <c r="L267" s="29" t="s">
        <v>7239</v>
      </c>
      <c r="M267" s="29"/>
      <c r="N267" s="29" t="s">
        <v>7249</v>
      </c>
      <c r="O267" s="29"/>
      <c r="P267" s="29" t="s">
        <v>7250</v>
      </c>
      <c r="Q267" t="s">
        <v>2038</v>
      </c>
      <c r="R267" t="s">
        <v>2632</v>
      </c>
      <c r="S267">
        <v>37</v>
      </c>
      <c r="T267" s="43" t="str">
        <f t="shared" si="13"/>
        <v>2021.001A.R.Archaeal_Caudoviricetes.zip</v>
      </c>
      <c r="U267" s="43" t="str">
        <f>HYPERLINK("https://ictv.global/taxonomy/taxondetails?taxnode_id=202212185","ictv.global=202212185")</f>
        <v>ictv.global=202212185</v>
      </c>
    </row>
    <row r="268" spans="1:21">
      <c r="A268">
        <v>267</v>
      </c>
      <c r="B268" s="29" t="s">
        <v>3682</v>
      </c>
      <c r="C268" s="29"/>
      <c r="D268" s="29" t="s">
        <v>3683</v>
      </c>
      <c r="E268" s="29"/>
      <c r="F268" s="29" t="s">
        <v>3686</v>
      </c>
      <c r="G268" s="29"/>
      <c r="H268" s="29" t="s">
        <v>3687</v>
      </c>
      <c r="I268" s="29"/>
      <c r="J268" s="29" t="s">
        <v>7233</v>
      </c>
      <c r="K268" s="29"/>
      <c r="L268" s="29" t="s">
        <v>7239</v>
      </c>
      <c r="M268" s="29"/>
      <c r="N268" s="29" t="s">
        <v>7251</v>
      </c>
      <c r="O268" s="29"/>
      <c r="P268" s="29" t="s">
        <v>7252</v>
      </c>
      <c r="Q268" t="s">
        <v>2038</v>
      </c>
      <c r="R268" t="s">
        <v>2632</v>
      </c>
      <c r="S268">
        <v>37</v>
      </c>
      <c r="T268" s="43" t="str">
        <f t="shared" si="13"/>
        <v>2021.001A.R.Archaeal_Caudoviricetes.zip</v>
      </c>
      <c r="U268" s="43" t="str">
        <f>HYPERLINK("https://ictv.global/taxonomy/taxondetails?taxnode_id=202212189","ictv.global=202212189")</f>
        <v>ictv.global=202212189</v>
      </c>
    </row>
    <row r="269" spans="1:21">
      <c r="A269">
        <v>268</v>
      </c>
      <c r="B269" s="29" t="s">
        <v>3682</v>
      </c>
      <c r="C269" s="29"/>
      <c r="D269" s="29" t="s">
        <v>3683</v>
      </c>
      <c r="E269" s="29"/>
      <c r="F269" s="29" t="s">
        <v>3686</v>
      </c>
      <c r="G269" s="29"/>
      <c r="H269" s="29" t="s">
        <v>3687</v>
      </c>
      <c r="I269" s="29"/>
      <c r="J269" s="29" t="s">
        <v>7233</v>
      </c>
      <c r="K269" s="29"/>
      <c r="L269" s="29" t="s">
        <v>7253</v>
      </c>
      <c r="M269" s="29"/>
      <c r="N269" s="29" t="s">
        <v>7254</v>
      </c>
      <c r="O269" s="29"/>
      <c r="P269" s="29" t="s">
        <v>7255</v>
      </c>
      <c r="Q269" t="s">
        <v>2038</v>
      </c>
      <c r="R269" t="s">
        <v>2632</v>
      </c>
      <c r="S269">
        <v>37</v>
      </c>
      <c r="T269" s="43" t="str">
        <f t="shared" si="13"/>
        <v>2021.001A.R.Archaeal_Caudoviricetes.zip</v>
      </c>
      <c r="U269" s="43" t="str">
        <f>HYPERLINK("https://ictv.global/taxonomy/taxondetails?taxnode_id=202212197","ictv.global=202212197")</f>
        <v>ictv.global=202212197</v>
      </c>
    </row>
    <row r="270" spans="1:21">
      <c r="A270">
        <v>269</v>
      </c>
      <c r="B270" s="29" t="s">
        <v>3682</v>
      </c>
      <c r="C270" s="29"/>
      <c r="D270" s="29" t="s">
        <v>3683</v>
      </c>
      <c r="E270" s="29"/>
      <c r="F270" s="29" t="s">
        <v>3686</v>
      </c>
      <c r="G270" s="29"/>
      <c r="H270" s="29" t="s">
        <v>3687</v>
      </c>
      <c r="I270" s="29"/>
      <c r="J270" s="29" t="s">
        <v>7233</v>
      </c>
      <c r="K270" s="29"/>
      <c r="L270" s="29" t="s">
        <v>7256</v>
      </c>
      <c r="M270" s="29"/>
      <c r="N270" s="29" t="s">
        <v>7257</v>
      </c>
      <c r="O270" s="29"/>
      <c r="P270" s="29" t="s">
        <v>7258</v>
      </c>
      <c r="Q270" t="s">
        <v>2038</v>
      </c>
      <c r="R270" t="s">
        <v>2632</v>
      </c>
      <c r="S270">
        <v>37</v>
      </c>
      <c r="T270" s="43" t="str">
        <f t="shared" si="13"/>
        <v>2021.001A.R.Archaeal_Caudoviricetes.zip</v>
      </c>
      <c r="U270" s="43" t="str">
        <f>HYPERLINK("https://ictv.global/taxonomy/taxondetails?taxnode_id=202212195","ictv.global=202212195")</f>
        <v>ictv.global=202212195</v>
      </c>
    </row>
    <row r="271" spans="1:21">
      <c r="A271">
        <v>270</v>
      </c>
      <c r="B271" s="29" t="s">
        <v>3682</v>
      </c>
      <c r="C271" s="29"/>
      <c r="D271" s="29" t="s">
        <v>3683</v>
      </c>
      <c r="E271" s="29"/>
      <c r="F271" s="29" t="s">
        <v>3686</v>
      </c>
      <c r="G271" s="29"/>
      <c r="H271" s="29" t="s">
        <v>3687</v>
      </c>
      <c r="I271" s="29"/>
      <c r="J271" s="29"/>
      <c r="K271" s="29"/>
      <c r="L271" s="29" t="s">
        <v>2636</v>
      </c>
      <c r="M271" s="29" t="s">
        <v>2637</v>
      </c>
      <c r="N271" s="29" t="s">
        <v>3361</v>
      </c>
      <c r="O271" s="29"/>
      <c r="P271" s="29" t="s">
        <v>7259</v>
      </c>
      <c r="Q271" t="s">
        <v>2038</v>
      </c>
      <c r="R271" t="s">
        <v>2633</v>
      </c>
      <c r="S271">
        <v>37</v>
      </c>
      <c r="T271" s="43" t="str">
        <f t="shared" ref="T271:T302" si="14">HYPERLINK("https://ictv.global/ictv/proposals/2021.010B.R.Binomial_names.zip","2021.010B.R.Binomial_names.zip")</f>
        <v>2021.010B.R.Binomial_names.zip</v>
      </c>
      <c r="U271" s="43" t="str">
        <f>HYPERLINK("https://ictv.global/taxonomy/taxondetails?taxnode_id=202200534","ictv.global=202200534")</f>
        <v>ictv.global=202200534</v>
      </c>
    </row>
    <row r="272" spans="1:21">
      <c r="A272">
        <v>271</v>
      </c>
      <c r="B272" s="29" t="s">
        <v>3682</v>
      </c>
      <c r="C272" s="29"/>
      <c r="D272" s="29" t="s">
        <v>3683</v>
      </c>
      <c r="E272" s="29"/>
      <c r="F272" s="29" t="s">
        <v>3686</v>
      </c>
      <c r="G272" s="29"/>
      <c r="H272" s="29" t="s">
        <v>3687</v>
      </c>
      <c r="I272" s="29"/>
      <c r="J272" s="29"/>
      <c r="K272" s="29"/>
      <c r="L272" s="29" t="s">
        <v>2636</v>
      </c>
      <c r="M272" s="29" t="s">
        <v>2637</v>
      </c>
      <c r="N272" s="29" t="s">
        <v>3361</v>
      </c>
      <c r="O272" s="29"/>
      <c r="P272" s="29" t="s">
        <v>7260</v>
      </c>
      <c r="Q272" t="s">
        <v>2038</v>
      </c>
      <c r="R272" t="s">
        <v>2633</v>
      </c>
      <c r="S272">
        <v>37</v>
      </c>
      <c r="T272" s="43" t="str">
        <f t="shared" si="14"/>
        <v>2021.010B.R.Binomial_names.zip</v>
      </c>
      <c r="U272" s="43" t="str">
        <f>HYPERLINK("https://ictv.global/taxonomy/taxondetails?taxnode_id=202208872","ictv.global=202208872")</f>
        <v>ictv.global=202208872</v>
      </c>
    </row>
    <row r="273" spans="1:21">
      <c r="A273">
        <v>272</v>
      </c>
      <c r="B273" s="29" t="s">
        <v>3682</v>
      </c>
      <c r="C273" s="29"/>
      <c r="D273" s="29" t="s">
        <v>3683</v>
      </c>
      <c r="E273" s="29"/>
      <c r="F273" s="29" t="s">
        <v>3686</v>
      </c>
      <c r="G273" s="29"/>
      <c r="H273" s="29" t="s">
        <v>3687</v>
      </c>
      <c r="I273" s="29"/>
      <c r="J273" s="29"/>
      <c r="K273" s="29"/>
      <c r="L273" s="29" t="s">
        <v>2636</v>
      </c>
      <c r="M273" s="29" t="s">
        <v>2637</v>
      </c>
      <c r="N273" s="29" t="s">
        <v>3361</v>
      </c>
      <c r="O273" s="29"/>
      <c r="P273" s="29" t="s">
        <v>7261</v>
      </c>
      <c r="Q273" t="s">
        <v>2038</v>
      </c>
      <c r="R273" t="s">
        <v>2633</v>
      </c>
      <c r="S273">
        <v>37</v>
      </c>
      <c r="T273" s="43" t="str">
        <f t="shared" si="14"/>
        <v>2021.010B.R.Binomial_names.zip</v>
      </c>
      <c r="U273" s="43" t="str">
        <f>HYPERLINK("https://ictv.global/taxonomy/taxondetails?taxnode_id=202208873","ictv.global=202208873")</f>
        <v>ictv.global=202208873</v>
      </c>
    </row>
    <row r="274" spans="1:21">
      <c r="A274">
        <v>273</v>
      </c>
      <c r="B274" s="29" t="s">
        <v>3682</v>
      </c>
      <c r="C274" s="29"/>
      <c r="D274" s="29" t="s">
        <v>3683</v>
      </c>
      <c r="E274" s="29"/>
      <c r="F274" s="29" t="s">
        <v>3686</v>
      </c>
      <c r="G274" s="29"/>
      <c r="H274" s="29" t="s">
        <v>3687</v>
      </c>
      <c r="I274" s="29"/>
      <c r="J274" s="29"/>
      <c r="K274" s="29"/>
      <c r="L274" s="29" t="s">
        <v>2636</v>
      </c>
      <c r="M274" s="29" t="s">
        <v>2637</v>
      </c>
      <c r="N274" s="29" t="s">
        <v>3361</v>
      </c>
      <c r="O274" s="29"/>
      <c r="P274" s="29" t="s">
        <v>7262</v>
      </c>
      <c r="Q274" t="s">
        <v>2038</v>
      </c>
      <c r="R274" t="s">
        <v>2633</v>
      </c>
      <c r="S274">
        <v>37</v>
      </c>
      <c r="T274" s="43" t="str">
        <f t="shared" si="14"/>
        <v>2021.010B.R.Binomial_names.zip</v>
      </c>
      <c r="U274" s="43" t="str">
        <f>HYPERLINK("https://ictv.global/taxonomy/taxondetails?taxnode_id=202208874","ictv.global=202208874")</f>
        <v>ictv.global=202208874</v>
      </c>
    </row>
    <row r="275" spans="1:21">
      <c r="A275">
        <v>274</v>
      </c>
      <c r="B275" s="29" t="s">
        <v>3682</v>
      </c>
      <c r="C275" s="29"/>
      <c r="D275" s="29" t="s">
        <v>3683</v>
      </c>
      <c r="E275" s="29"/>
      <c r="F275" s="29" t="s">
        <v>3686</v>
      </c>
      <c r="G275" s="29"/>
      <c r="H275" s="29" t="s">
        <v>3687</v>
      </c>
      <c r="I275" s="29"/>
      <c r="J275" s="29"/>
      <c r="K275" s="29"/>
      <c r="L275" s="29" t="s">
        <v>2636</v>
      </c>
      <c r="M275" s="29" t="s">
        <v>2637</v>
      </c>
      <c r="N275" s="29" t="s">
        <v>3361</v>
      </c>
      <c r="O275" s="29"/>
      <c r="P275" s="29" t="s">
        <v>7263</v>
      </c>
      <c r="Q275" t="s">
        <v>2038</v>
      </c>
      <c r="R275" t="s">
        <v>2633</v>
      </c>
      <c r="S275">
        <v>37</v>
      </c>
      <c r="T275" s="43" t="str">
        <f t="shared" si="14"/>
        <v>2021.010B.R.Binomial_names.zip</v>
      </c>
      <c r="U275" s="43" t="str">
        <f>HYPERLINK("https://ictv.global/taxonomy/taxondetails?taxnode_id=202205465","ictv.global=202205465")</f>
        <v>ictv.global=202205465</v>
      </c>
    </row>
    <row r="276" spans="1:21">
      <c r="A276">
        <v>275</v>
      </c>
      <c r="B276" s="29" t="s">
        <v>3682</v>
      </c>
      <c r="C276" s="29"/>
      <c r="D276" s="29" t="s">
        <v>3683</v>
      </c>
      <c r="E276" s="29"/>
      <c r="F276" s="29" t="s">
        <v>3686</v>
      </c>
      <c r="G276" s="29"/>
      <c r="H276" s="29" t="s">
        <v>3687</v>
      </c>
      <c r="I276" s="29"/>
      <c r="J276" s="29"/>
      <c r="K276" s="29"/>
      <c r="L276" s="29" t="s">
        <v>2636</v>
      </c>
      <c r="M276" s="29" t="s">
        <v>2637</v>
      </c>
      <c r="N276" s="29" t="s">
        <v>2638</v>
      </c>
      <c r="O276" s="29"/>
      <c r="P276" s="29" t="s">
        <v>7264</v>
      </c>
      <c r="Q276" t="s">
        <v>2038</v>
      </c>
      <c r="R276" t="s">
        <v>2633</v>
      </c>
      <c r="S276">
        <v>37</v>
      </c>
      <c r="T276" s="43" t="str">
        <f t="shared" si="14"/>
        <v>2021.010B.R.Binomial_names.zip</v>
      </c>
      <c r="U276" s="43" t="str">
        <f>HYPERLINK("https://ictv.global/taxonomy/taxondetails?taxnode_id=202200521","ictv.global=202200521")</f>
        <v>ictv.global=202200521</v>
      </c>
    </row>
    <row r="277" spans="1:21">
      <c r="A277">
        <v>276</v>
      </c>
      <c r="B277" s="29" t="s">
        <v>3682</v>
      </c>
      <c r="C277" s="29"/>
      <c r="D277" s="29" t="s">
        <v>3683</v>
      </c>
      <c r="E277" s="29"/>
      <c r="F277" s="29" t="s">
        <v>3686</v>
      </c>
      <c r="G277" s="29"/>
      <c r="H277" s="29" t="s">
        <v>3687</v>
      </c>
      <c r="I277" s="29"/>
      <c r="J277" s="29"/>
      <c r="K277" s="29"/>
      <c r="L277" s="29" t="s">
        <v>2636</v>
      </c>
      <c r="M277" s="29" t="s">
        <v>2637</v>
      </c>
      <c r="N277" s="29" t="s">
        <v>2638</v>
      </c>
      <c r="O277" s="29"/>
      <c r="P277" s="29" t="s">
        <v>7265</v>
      </c>
      <c r="Q277" t="s">
        <v>2038</v>
      </c>
      <c r="R277" t="s">
        <v>2633</v>
      </c>
      <c r="S277">
        <v>37</v>
      </c>
      <c r="T277" s="43" t="str">
        <f t="shared" si="14"/>
        <v>2021.010B.R.Binomial_names.zip</v>
      </c>
      <c r="U277" s="43" t="str">
        <f>HYPERLINK("https://ictv.global/taxonomy/taxondetails?taxnode_id=202205467","ictv.global=202205467")</f>
        <v>ictv.global=202205467</v>
      </c>
    </row>
    <row r="278" spans="1:21">
      <c r="A278">
        <v>277</v>
      </c>
      <c r="B278" s="29" t="s">
        <v>3682</v>
      </c>
      <c r="C278" s="29"/>
      <c r="D278" s="29" t="s">
        <v>3683</v>
      </c>
      <c r="E278" s="29"/>
      <c r="F278" s="29" t="s">
        <v>3686</v>
      </c>
      <c r="G278" s="29"/>
      <c r="H278" s="29" t="s">
        <v>3687</v>
      </c>
      <c r="I278" s="29"/>
      <c r="J278" s="29"/>
      <c r="K278" s="29"/>
      <c r="L278" s="29" t="s">
        <v>2636</v>
      </c>
      <c r="M278" s="29" t="s">
        <v>2639</v>
      </c>
      <c r="N278" s="29" t="s">
        <v>3362</v>
      </c>
      <c r="O278" s="29"/>
      <c r="P278" s="29" t="s">
        <v>7266</v>
      </c>
      <c r="Q278" t="s">
        <v>2038</v>
      </c>
      <c r="R278" t="s">
        <v>2633</v>
      </c>
      <c r="S278">
        <v>37</v>
      </c>
      <c r="T278" s="43" t="str">
        <f t="shared" si="14"/>
        <v>2021.010B.R.Binomial_names.zip</v>
      </c>
      <c r="U278" s="43" t="str">
        <f>HYPERLINK("https://ictv.global/taxonomy/taxondetails?taxnode_id=202208857","ictv.global=202208857")</f>
        <v>ictv.global=202208857</v>
      </c>
    </row>
    <row r="279" spans="1:21">
      <c r="A279">
        <v>278</v>
      </c>
      <c r="B279" s="29" t="s">
        <v>3682</v>
      </c>
      <c r="C279" s="29"/>
      <c r="D279" s="29" t="s">
        <v>3683</v>
      </c>
      <c r="E279" s="29"/>
      <c r="F279" s="29" t="s">
        <v>3686</v>
      </c>
      <c r="G279" s="29"/>
      <c r="H279" s="29" t="s">
        <v>3687</v>
      </c>
      <c r="I279" s="29"/>
      <c r="J279" s="29"/>
      <c r="K279" s="29"/>
      <c r="L279" s="29" t="s">
        <v>2636</v>
      </c>
      <c r="M279" s="29" t="s">
        <v>2639</v>
      </c>
      <c r="N279" s="29" t="s">
        <v>3362</v>
      </c>
      <c r="O279" s="29"/>
      <c r="P279" s="29" t="s">
        <v>7267</v>
      </c>
      <c r="Q279" t="s">
        <v>2038</v>
      </c>
      <c r="R279" t="s">
        <v>2633</v>
      </c>
      <c r="S279">
        <v>37</v>
      </c>
      <c r="T279" s="43" t="str">
        <f t="shared" si="14"/>
        <v>2021.010B.R.Binomial_names.zip</v>
      </c>
      <c r="U279" s="43" t="str">
        <f>HYPERLINK("https://ictv.global/taxonomy/taxondetails?taxnode_id=202208845","ictv.global=202208845")</f>
        <v>ictv.global=202208845</v>
      </c>
    </row>
    <row r="280" spans="1:21">
      <c r="A280">
        <v>279</v>
      </c>
      <c r="B280" s="29" t="s">
        <v>3682</v>
      </c>
      <c r="C280" s="29"/>
      <c r="D280" s="29" t="s">
        <v>3683</v>
      </c>
      <c r="E280" s="29"/>
      <c r="F280" s="29" t="s">
        <v>3686</v>
      </c>
      <c r="G280" s="29"/>
      <c r="H280" s="29" t="s">
        <v>3687</v>
      </c>
      <c r="I280" s="29"/>
      <c r="J280" s="29"/>
      <c r="K280" s="29"/>
      <c r="L280" s="29" t="s">
        <v>2636</v>
      </c>
      <c r="M280" s="29" t="s">
        <v>2639</v>
      </c>
      <c r="N280" s="29" t="s">
        <v>3362</v>
      </c>
      <c r="O280" s="29"/>
      <c r="P280" s="29" t="s">
        <v>7268</v>
      </c>
      <c r="Q280" t="s">
        <v>2038</v>
      </c>
      <c r="R280" t="s">
        <v>2633</v>
      </c>
      <c r="S280">
        <v>37</v>
      </c>
      <c r="T280" s="43" t="str">
        <f t="shared" si="14"/>
        <v>2021.010B.R.Binomial_names.zip</v>
      </c>
      <c r="U280" s="43" t="str">
        <f>HYPERLINK("https://ictv.global/taxonomy/taxondetails?taxnode_id=202208867","ictv.global=202208867")</f>
        <v>ictv.global=202208867</v>
      </c>
    </row>
    <row r="281" spans="1:21">
      <c r="A281">
        <v>280</v>
      </c>
      <c r="B281" s="29" t="s">
        <v>3682</v>
      </c>
      <c r="C281" s="29"/>
      <c r="D281" s="29" t="s">
        <v>3683</v>
      </c>
      <c r="E281" s="29"/>
      <c r="F281" s="29" t="s">
        <v>3686</v>
      </c>
      <c r="G281" s="29"/>
      <c r="H281" s="29" t="s">
        <v>3687</v>
      </c>
      <c r="I281" s="29"/>
      <c r="J281" s="29"/>
      <c r="K281" s="29"/>
      <c r="L281" s="29" t="s">
        <v>2636</v>
      </c>
      <c r="M281" s="29" t="s">
        <v>2639</v>
      </c>
      <c r="N281" s="29" t="s">
        <v>3362</v>
      </c>
      <c r="O281" s="29"/>
      <c r="P281" s="29" t="s">
        <v>7269</v>
      </c>
      <c r="Q281" t="s">
        <v>2038</v>
      </c>
      <c r="R281" t="s">
        <v>2633</v>
      </c>
      <c r="S281">
        <v>37</v>
      </c>
      <c r="T281" s="43" t="str">
        <f t="shared" si="14"/>
        <v>2021.010B.R.Binomial_names.zip</v>
      </c>
      <c r="U281" s="43" t="str">
        <f>HYPERLINK("https://ictv.global/taxonomy/taxondetails?taxnode_id=202208869","ictv.global=202208869")</f>
        <v>ictv.global=202208869</v>
      </c>
    </row>
    <row r="282" spans="1:21">
      <c r="A282">
        <v>281</v>
      </c>
      <c r="B282" s="29" t="s">
        <v>3682</v>
      </c>
      <c r="C282" s="29"/>
      <c r="D282" s="29" t="s">
        <v>3683</v>
      </c>
      <c r="E282" s="29"/>
      <c r="F282" s="29" t="s">
        <v>3686</v>
      </c>
      <c r="G282" s="29"/>
      <c r="H282" s="29" t="s">
        <v>3687</v>
      </c>
      <c r="I282" s="29"/>
      <c r="J282" s="29"/>
      <c r="K282" s="29"/>
      <c r="L282" s="29" t="s">
        <v>2636</v>
      </c>
      <c r="M282" s="29" t="s">
        <v>2639</v>
      </c>
      <c r="N282" s="29" t="s">
        <v>3362</v>
      </c>
      <c r="O282" s="29"/>
      <c r="P282" s="29" t="s">
        <v>7270</v>
      </c>
      <c r="Q282" t="s">
        <v>2038</v>
      </c>
      <c r="R282" t="s">
        <v>2633</v>
      </c>
      <c r="S282">
        <v>37</v>
      </c>
      <c r="T282" s="43" t="str">
        <f t="shared" si="14"/>
        <v>2021.010B.R.Binomial_names.zip</v>
      </c>
      <c r="U282" s="43" t="str">
        <f>HYPERLINK("https://ictv.global/taxonomy/taxondetails?taxnode_id=202208860","ictv.global=202208860")</f>
        <v>ictv.global=202208860</v>
      </c>
    </row>
    <row r="283" spans="1:21">
      <c r="A283">
        <v>282</v>
      </c>
      <c r="B283" s="29" t="s">
        <v>3682</v>
      </c>
      <c r="C283" s="29"/>
      <c r="D283" s="29" t="s">
        <v>3683</v>
      </c>
      <c r="E283" s="29"/>
      <c r="F283" s="29" t="s">
        <v>3686</v>
      </c>
      <c r="G283" s="29"/>
      <c r="H283" s="29" t="s">
        <v>3687</v>
      </c>
      <c r="I283" s="29"/>
      <c r="J283" s="29"/>
      <c r="K283" s="29"/>
      <c r="L283" s="29" t="s">
        <v>2636</v>
      </c>
      <c r="M283" s="29" t="s">
        <v>2639</v>
      </c>
      <c r="N283" s="29" t="s">
        <v>3362</v>
      </c>
      <c r="O283" s="29"/>
      <c r="P283" s="29" t="s">
        <v>7271</v>
      </c>
      <c r="Q283" t="s">
        <v>2038</v>
      </c>
      <c r="R283" t="s">
        <v>2633</v>
      </c>
      <c r="S283">
        <v>37</v>
      </c>
      <c r="T283" s="43" t="str">
        <f t="shared" si="14"/>
        <v>2021.010B.R.Binomial_names.zip</v>
      </c>
      <c r="U283" s="43" t="str">
        <f>HYPERLINK("https://ictv.global/taxonomy/taxondetails?taxnode_id=202200522","ictv.global=202200522")</f>
        <v>ictv.global=202200522</v>
      </c>
    </row>
    <row r="284" spans="1:21">
      <c r="A284">
        <v>283</v>
      </c>
      <c r="B284" s="29" t="s">
        <v>3682</v>
      </c>
      <c r="C284" s="29"/>
      <c r="D284" s="29" t="s">
        <v>3683</v>
      </c>
      <c r="E284" s="29"/>
      <c r="F284" s="29" t="s">
        <v>3686</v>
      </c>
      <c r="G284" s="29"/>
      <c r="H284" s="29" t="s">
        <v>3687</v>
      </c>
      <c r="I284" s="29"/>
      <c r="J284" s="29"/>
      <c r="K284" s="29"/>
      <c r="L284" s="29" t="s">
        <v>2636</v>
      </c>
      <c r="M284" s="29" t="s">
        <v>2639</v>
      </c>
      <c r="N284" s="29" t="s">
        <v>3362</v>
      </c>
      <c r="O284" s="29"/>
      <c r="P284" s="29" t="s">
        <v>7272</v>
      </c>
      <c r="Q284" t="s">
        <v>2038</v>
      </c>
      <c r="R284" t="s">
        <v>2633</v>
      </c>
      <c r="S284">
        <v>37</v>
      </c>
      <c r="T284" s="43" t="str">
        <f t="shared" si="14"/>
        <v>2021.010B.R.Binomial_names.zip</v>
      </c>
      <c r="U284" s="43" t="str">
        <f>HYPERLINK("https://ictv.global/taxonomy/taxondetails?taxnode_id=202200525","ictv.global=202200525")</f>
        <v>ictv.global=202200525</v>
      </c>
    </row>
    <row r="285" spans="1:21">
      <c r="A285">
        <v>284</v>
      </c>
      <c r="B285" s="29" t="s">
        <v>3682</v>
      </c>
      <c r="C285" s="29"/>
      <c r="D285" s="29" t="s">
        <v>3683</v>
      </c>
      <c r="E285" s="29"/>
      <c r="F285" s="29" t="s">
        <v>3686</v>
      </c>
      <c r="G285" s="29"/>
      <c r="H285" s="29" t="s">
        <v>3687</v>
      </c>
      <c r="I285" s="29"/>
      <c r="J285" s="29"/>
      <c r="K285" s="29"/>
      <c r="L285" s="29" t="s">
        <v>2636</v>
      </c>
      <c r="M285" s="29" t="s">
        <v>2639</v>
      </c>
      <c r="N285" s="29" t="s">
        <v>3362</v>
      </c>
      <c r="O285" s="29"/>
      <c r="P285" s="29" t="s">
        <v>7273</v>
      </c>
      <c r="Q285" t="s">
        <v>2038</v>
      </c>
      <c r="R285" t="s">
        <v>2633</v>
      </c>
      <c r="S285">
        <v>37</v>
      </c>
      <c r="T285" s="43" t="str">
        <f t="shared" si="14"/>
        <v>2021.010B.R.Binomial_names.zip</v>
      </c>
      <c r="U285" s="43" t="str">
        <f>HYPERLINK("https://ictv.global/taxonomy/taxondetails?taxnode_id=202208854","ictv.global=202208854")</f>
        <v>ictv.global=202208854</v>
      </c>
    </row>
    <row r="286" spans="1:21">
      <c r="A286">
        <v>285</v>
      </c>
      <c r="B286" s="29" t="s">
        <v>3682</v>
      </c>
      <c r="C286" s="29"/>
      <c r="D286" s="29" t="s">
        <v>3683</v>
      </c>
      <c r="E286" s="29"/>
      <c r="F286" s="29" t="s">
        <v>3686</v>
      </c>
      <c r="G286" s="29"/>
      <c r="H286" s="29" t="s">
        <v>3687</v>
      </c>
      <c r="I286" s="29"/>
      <c r="J286" s="29"/>
      <c r="K286" s="29"/>
      <c r="L286" s="29" t="s">
        <v>2636</v>
      </c>
      <c r="M286" s="29" t="s">
        <v>2639</v>
      </c>
      <c r="N286" s="29" t="s">
        <v>3362</v>
      </c>
      <c r="O286" s="29"/>
      <c r="P286" s="29" t="s">
        <v>7274</v>
      </c>
      <c r="Q286" t="s">
        <v>2038</v>
      </c>
      <c r="R286" t="s">
        <v>2633</v>
      </c>
      <c r="S286">
        <v>37</v>
      </c>
      <c r="T286" s="43" t="str">
        <f t="shared" si="14"/>
        <v>2021.010B.R.Binomial_names.zip</v>
      </c>
      <c r="U286" s="43" t="str">
        <f>HYPERLINK("https://ictv.global/taxonomy/taxondetails?taxnode_id=202200523","ictv.global=202200523")</f>
        <v>ictv.global=202200523</v>
      </c>
    </row>
    <row r="287" spans="1:21">
      <c r="A287">
        <v>286</v>
      </c>
      <c r="B287" s="29" t="s">
        <v>3682</v>
      </c>
      <c r="C287" s="29"/>
      <c r="D287" s="29" t="s">
        <v>3683</v>
      </c>
      <c r="E287" s="29"/>
      <c r="F287" s="29" t="s">
        <v>3686</v>
      </c>
      <c r="G287" s="29"/>
      <c r="H287" s="29" t="s">
        <v>3687</v>
      </c>
      <c r="I287" s="29"/>
      <c r="J287" s="29"/>
      <c r="K287" s="29"/>
      <c r="L287" s="29" t="s">
        <v>2636</v>
      </c>
      <c r="M287" s="29" t="s">
        <v>2639</v>
      </c>
      <c r="N287" s="29" t="s">
        <v>3362</v>
      </c>
      <c r="O287" s="29"/>
      <c r="P287" s="29" t="s">
        <v>7275</v>
      </c>
      <c r="Q287" t="s">
        <v>2038</v>
      </c>
      <c r="R287" t="s">
        <v>2633</v>
      </c>
      <c r="S287">
        <v>37</v>
      </c>
      <c r="T287" s="43" t="str">
        <f t="shared" si="14"/>
        <v>2021.010B.R.Binomial_names.zip</v>
      </c>
      <c r="U287" s="43" t="str">
        <f>HYPERLINK("https://ictv.global/taxonomy/taxondetails?taxnode_id=202208868","ictv.global=202208868")</f>
        <v>ictv.global=202208868</v>
      </c>
    </row>
    <row r="288" spans="1:21">
      <c r="A288">
        <v>287</v>
      </c>
      <c r="B288" s="29" t="s">
        <v>3682</v>
      </c>
      <c r="C288" s="29"/>
      <c r="D288" s="29" t="s">
        <v>3683</v>
      </c>
      <c r="E288" s="29"/>
      <c r="F288" s="29" t="s">
        <v>3686</v>
      </c>
      <c r="G288" s="29"/>
      <c r="H288" s="29" t="s">
        <v>3687</v>
      </c>
      <c r="I288" s="29"/>
      <c r="J288" s="29"/>
      <c r="K288" s="29"/>
      <c r="L288" s="29" t="s">
        <v>2636</v>
      </c>
      <c r="M288" s="29" t="s">
        <v>2639</v>
      </c>
      <c r="N288" s="29" t="s">
        <v>3362</v>
      </c>
      <c r="O288" s="29"/>
      <c r="P288" s="29" t="s">
        <v>7276</v>
      </c>
      <c r="Q288" t="s">
        <v>2038</v>
      </c>
      <c r="R288" t="s">
        <v>2633</v>
      </c>
      <c r="S288">
        <v>37</v>
      </c>
      <c r="T288" s="43" t="str">
        <f t="shared" si="14"/>
        <v>2021.010B.R.Binomial_names.zip</v>
      </c>
      <c r="U288" s="43" t="str">
        <f>HYPERLINK("https://ictv.global/taxonomy/taxondetails?taxnode_id=202208862","ictv.global=202208862")</f>
        <v>ictv.global=202208862</v>
      </c>
    </row>
    <row r="289" spans="1:21">
      <c r="A289">
        <v>288</v>
      </c>
      <c r="B289" s="29" t="s">
        <v>3682</v>
      </c>
      <c r="C289" s="29"/>
      <c r="D289" s="29" t="s">
        <v>3683</v>
      </c>
      <c r="E289" s="29"/>
      <c r="F289" s="29" t="s">
        <v>3686</v>
      </c>
      <c r="G289" s="29"/>
      <c r="H289" s="29" t="s">
        <v>3687</v>
      </c>
      <c r="I289" s="29"/>
      <c r="J289" s="29"/>
      <c r="K289" s="29"/>
      <c r="L289" s="29" t="s">
        <v>2636</v>
      </c>
      <c r="M289" s="29" t="s">
        <v>2639</v>
      </c>
      <c r="N289" s="29" t="s">
        <v>3362</v>
      </c>
      <c r="O289" s="29"/>
      <c r="P289" s="29" t="s">
        <v>7277</v>
      </c>
      <c r="Q289" t="s">
        <v>2038</v>
      </c>
      <c r="R289" t="s">
        <v>2633</v>
      </c>
      <c r="S289">
        <v>37</v>
      </c>
      <c r="T289" s="43" t="str">
        <f t="shared" si="14"/>
        <v>2021.010B.R.Binomial_names.zip</v>
      </c>
      <c r="U289" s="43" t="str">
        <f>HYPERLINK("https://ictv.global/taxonomy/taxondetails?taxnode_id=202205471","ictv.global=202205471")</f>
        <v>ictv.global=202205471</v>
      </c>
    </row>
    <row r="290" spans="1:21">
      <c r="A290">
        <v>289</v>
      </c>
      <c r="B290" s="29" t="s">
        <v>3682</v>
      </c>
      <c r="C290" s="29"/>
      <c r="D290" s="29" t="s">
        <v>3683</v>
      </c>
      <c r="E290" s="29"/>
      <c r="F290" s="29" t="s">
        <v>3686</v>
      </c>
      <c r="G290" s="29"/>
      <c r="H290" s="29" t="s">
        <v>3687</v>
      </c>
      <c r="I290" s="29"/>
      <c r="J290" s="29"/>
      <c r="K290" s="29"/>
      <c r="L290" s="29" t="s">
        <v>2636</v>
      </c>
      <c r="M290" s="29" t="s">
        <v>2639</v>
      </c>
      <c r="N290" s="29" t="s">
        <v>3362</v>
      </c>
      <c r="O290" s="29"/>
      <c r="P290" s="29" t="s">
        <v>7278</v>
      </c>
      <c r="Q290" t="s">
        <v>2038</v>
      </c>
      <c r="R290" t="s">
        <v>2633</v>
      </c>
      <c r="S290">
        <v>37</v>
      </c>
      <c r="T290" s="43" t="str">
        <f t="shared" si="14"/>
        <v>2021.010B.R.Binomial_names.zip</v>
      </c>
      <c r="U290" s="43" t="str">
        <f>HYPERLINK("https://ictv.global/taxonomy/taxondetails?taxnode_id=202208849","ictv.global=202208849")</f>
        <v>ictv.global=202208849</v>
      </c>
    </row>
    <row r="291" spans="1:21">
      <c r="A291">
        <v>290</v>
      </c>
      <c r="B291" s="29" t="s">
        <v>3682</v>
      </c>
      <c r="C291" s="29"/>
      <c r="D291" s="29" t="s">
        <v>3683</v>
      </c>
      <c r="E291" s="29"/>
      <c r="F291" s="29" t="s">
        <v>3686</v>
      </c>
      <c r="G291" s="29"/>
      <c r="H291" s="29" t="s">
        <v>3687</v>
      </c>
      <c r="I291" s="29"/>
      <c r="J291" s="29"/>
      <c r="K291" s="29"/>
      <c r="L291" s="29" t="s">
        <v>2636</v>
      </c>
      <c r="M291" s="29" t="s">
        <v>2639</v>
      </c>
      <c r="N291" s="29" t="s">
        <v>3362</v>
      </c>
      <c r="O291" s="29"/>
      <c r="P291" s="29" t="s">
        <v>7279</v>
      </c>
      <c r="Q291" t="s">
        <v>2038</v>
      </c>
      <c r="R291" t="s">
        <v>2633</v>
      </c>
      <c r="S291">
        <v>37</v>
      </c>
      <c r="T291" s="43" t="str">
        <f t="shared" si="14"/>
        <v>2021.010B.R.Binomial_names.zip</v>
      </c>
      <c r="U291" s="43" t="str">
        <f>HYPERLINK("https://ictv.global/taxonomy/taxondetails?taxnode_id=202205470","ictv.global=202205470")</f>
        <v>ictv.global=202205470</v>
      </c>
    </row>
    <row r="292" spans="1:21">
      <c r="A292">
        <v>291</v>
      </c>
      <c r="B292" s="29" t="s">
        <v>3682</v>
      </c>
      <c r="C292" s="29"/>
      <c r="D292" s="29" t="s">
        <v>3683</v>
      </c>
      <c r="E292" s="29"/>
      <c r="F292" s="29" t="s">
        <v>3686</v>
      </c>
      <c r="G292" s="29"/>
      <c r="H292" s="29" t="s">
        <v>3687</v>
      </c>
      <c r="I292" s="29"/>
      <c r="J292" s="29"/>
      <c r="K292" s="29"/>
      <c r="L292" s="29" t="s">
        <v>2636</v>
      </c>
      <c r="M292" s="29" t="s">
        <v>2639</v>
      </c>
      <c r="N292" s="29" t="s">
        <v>3362</v>
      </c>
      <c r="O292" s="29"/>
      <c r="P292" s="29" t="s">
        <v>7280</v>
      </c>
      <c r="Q292" t="s">
        <v>2038</v>
      </c>
      <c r="R292" t="s">
        <v>2633</v>
      </c>
      <c r="S292">
        <v>37</v>
      </c>
      <c r="T292" s="43" t="str">
        <f t="shared" si="14"/>
        <v>2021.010B.R.Binomial_names.zip</v>
      </c>
      <c r="U292" s="43" t="str">
        <f>HYPERLINK("https://ictv.global/taxonomy/taxondetails?taxnode_id=202208847","ictv.global=202208847")</f>
        <v>ictv.global=202208847</v>
      </c>
    </row>
    <row r="293" spans="1:21">
      <c r="A293">
        <v>292</v>
      </c>
      <c r="B293" s="29" t="s">
        <v>3682</v>
      </c>
      <c r="C293" s="29"/>
      <c r="D293" s="29" t="s">
        <v>3683</v>
      </c>
      <c r="E293" s="29"/>
      <c r="F293" s="29" t="s">
        <v>3686</v>
      </c>
      <c r="G293" s="29"/>
      <c r="H293" s="29" t="s">
        <v>3687</v>
      </c>
      <c r="I293" s="29"/>
      <c r="J293" s="29"/>
      <c r="K293" s="29"/>
      <c r="L293" s="29" t="s">
        <v>2636</v>
      </c>
      <c r="M293" s="29" t="s">
        <v>2639</v>
      </c>
      <c r="N293" s="29" t="s">
        <v>3362</v>
      </c>
      <c r="O293" s="29"/>
      <c r="P293" s="29" t="s">
        <v>7281</v>
      </c>
      <c r="Q293" t="s">
        <v>2038</v>
      </c>
      <c r="R293" t="s">
        <v>2633</v>
      </c>
      <c r="S293">
        <v>37</v>
      </c>
      <c r="T293" s="43" t="str">
        <f t="shared" si="14"/>
        <v>2021.010B.R.Binomial_names.zip</v>
      </c>
      <c r="U293" s="43" t="str">
        <f>HYPERLINK("https://ictv.global/taxonomy/taxondetails?taxnode_id=202200526","ictv.global=202200526")</f>
        <v>ictv.global=202200526</v>
      </c>
    </row>
    <row r="294" spans="1:21">
      <c r="A294">
        <v>293</v>
      </c>
      <c r="B294" s="29" t="s">
        <v>3682</v>
      </c>
      <c r="C294" s="29"/>
      <c r="D294" s="29" t="s">
        <v>3683</v>
      </c>
      <c r="E294" s="29"/>
      <c r="F294" s="29" t="s">
        <v>3686</v>
      </c>
      <c r="G294" s="29"/>
      <c r="H294" s="29" t="s">
        <v>3687</v>
      </c>
      <c r="I294" s="29"/>
      <c r="J294" s="29"/>
      <c r="K294" s="29"/>
      <c r="L294" s="29" t="s">
        <v>2636</v>
      </c>
      <c r="M294" s="29" t="s">
        <v>2639</v>
      </c>
      <c r="N294" s="29" t="s">
        <v>3362</v>
      </c>
      <c r="O294" s="29"/>
      <c r="P294" s="29" t="s">
        <v>7282</v>
      </c>
      <c r="Q294" t="s">
        <v>2038</v>
      </c>
      <c r="R294" t="s">
        <v>2633</v>
      </c>
      <c r="S294">
        <v>37</v>
      </c>
      <c r="T294" s="43" t="str">
        <f t="shared" si="14"/>
        <v>2021.010B.R.Binomial_names.zip</v>
      </c>
      <c r="U294" s="43" t="str">
        <f>HYPERLINK("https://ictv.global/taxonomy/taxondetails?taxnode_id=202200527","ictv.global=202200527")</f>
        <v>ictv.global=202200527</v>
      </c>
    </row>
    <row r="295" spans="1:21">
      <c r="A295">
        <v>294</v>
      </c>
      <c r="B295" s="29" t="s">
        <v>3682</v>
      </c>
      <c r="C295" s="29"/>
      <c r="D295" s="29" t="s">
        <v>3683</v>
      </c>
      <c r="E295" s="29"/>
      <c r="F295" s="29" t="s">
        <v>3686</v>
      </c>
      <c r="G295" s="29"/>
      <c r="H295" s="29" t="s">
        <v>3687</v>
      </c>
      <c r="I295" s="29"/>
      <c r="J295" s="29"/>
      <c r="K295" s="29"/>
      <c r="L295" s="29" t="s">
        <v>2636</v>
      </c>
      <c r="M295" s="29" t="s">
        <v>2639</v>
      </c>
      <c r="N295" s="29" t="s">
        <v>3362</v>
      </c>
      <c r="O295" s="29"/>
      <c r="P295" s="29" t="s">
        <v>7283</v>
      </c>
      <c r="Q295" t="s">
        <v>2038</v>
      </c>
      <c r="R295" t="s">
        <v>2633</v>
      </c>
      <c r="S295">
        <v>37</v>
      </c>
      <c r="T295" s="43" t="str">
        <f t="shared" si="14"/>
        <v>2021.010B.R.Binomial_names.zip</v>
      </c>
      <c r="U295" s="43" t="str">
        <f>HYPERLINK("https://ictv.global/taxonomy/taxondetails?taxnode_id=202208859","ictv.global=202208859")</f>
        <v>ictv.global=202208859</v>
      </c>
    </row>
    <row r="296" spans="1:21">
      <c r="A296">
        <v>295</v>
      </c>
      <c r="B296" s="29" t="s">
        <v>3682</v>
      </c>
      <c r="C296" s="29"/>
      <c r="D296" s="29" t="s">
        <v>3683</v>
      </c>
      <c r="E296" s="29"/>
      <c r="F296" s="29" t="s">
        <v>3686</v>
      </c>
      <c r="G296" s="29"/>
      <c r="H296" s="29" t="s">
        <v>3687</v>
      </c>
      <c r="I296" s="29"/>
      <c r="J296" s="29"/>
      <c r="K296" s="29"/>
      <c r="L296" s="29" t="s">
        <v>2636</v>
      </c>
      <c r="M296" s="29" t="s">
        <v>2639</v>
      </c>
      <c r="N296" s="29" t="s">
        <v>3362</v>
      </c>
      <c r="O296" s="29"/>
      <c r="P296" s="29" t="s">
        <v>7284</v>
      </c>
      <c r="Q296" t="s">
        <v>2038</v>
      </c>
      <c r="R296" t="s">
        <v>2633</v>
      </c>
      <c r="S296">
        <v>37</v>
      </c>
      <c r="T296" s="43" t="str">
        <f t="shared" si="14"/>
        <v>2021.010B.R.Binomial_names.zip</v>
      </c>
      <c r="U296" s="43" t="str">
        <f>HYPERLINK("https://ictv.global/taxonomy/taxondetails?taxnode_id=202208866","ictv.global=202208866")</f>
        <v>ictv.global=202208866</v>
      </c>
    </row>
    <row r="297" spans="1:21">
      <c r="A297">
        <v>296</v>
      </c>
      <c r="B297" s="29" t="s">
        <v>3682</v>
      </c>
      <c r="C297" s="29"/>
      <c r="D297" s="29" t="s">
        <v>3683</v>
      </c>
      <c r="E297" s="29"/>
      <c r="F297" s="29" t="s">
        <v>3686</v>
      </c>
      <c r="G297" s="29"/>
      <c r="H297" s="29" t="s">
        <v>3687</v>
      </c>
      <c r="I297" s="29"/>
      <c r="J297" s="29"/>
      <c r="K297" s="29"/>
      <c r="L297" s="29" t="s">
        <v>2636</v>
      </c>
      <c r="M297" s="29" t="s">
        <v>2639</v>
      </c>
      <c r="N297" s="29" t="s">
        <v>3362</v>
      </c>
      <c r="O297" s="29"/>
      <c r="P297" s="29" t="s">
        <v>7285</v>
      </c>
      <c r="Q297" t="s">
        <v>2038</v>
      </c>
      <c r="R297" t="s">
        <v>2633</v>
      </c>
      <c r="S297">
        <v>37</v>
      </c>
      <c r="T297" s="43" t="str">
        <f t="shared" si="14"/>
        <v>2021.010B.R.Binomial_names.zip</v>
      </c>
      <c r="U297" s="43" t="str">
        <f>HYPERLINK("https://ictv.global/taxonomy/taxondetails?taxnode_id=202208846","ictv.global=202208846")</f>
        <v>ictv.global=202208846</v>
      </c>
    </row>
    <row r="298" spans="1:21">
      <c r="A298">
        <v>297</v>
      </c>
      <c r="B298" s="29" t="s">
        <v>3682</v>
      </c>
      <c r="C298" s="29"/>
      <c r="D298" s="29" t="s">
        <v>3683</v>
      </c>
      <c r="E298" s="29"/>
      <c r="F298" s="29" t="s">
        <v>3686</v>
      </c>
      <c r="G298" s="29"/>
      <c r="H298" s="29" t="s">
        <v>3687</v>
      </c>
      <c r="I298" s="29"/>
      <c r="J298" s="29"/>
      <c r="K298" s="29"/>
      <c r="L298" s="29" t="s">
        <v>2636</v>
      </c>
      <c r="M298" s="29" t="s">
        <v>2639</v>
      </c>
      <c r="N298" s="29" t="s">
        <v>3362</v>
      </c>
      <c r="O298" s="29"/>
      <c r="P298" s="29" t="s">
        <v>7286</v>
      </c>
      <c r="Q298" t="s">
        <v>2038</v>
      </c>
      <c r="R298" t="s">
        <v>2633</v>
      </c>
      <c r="S298">
        <v>37</v>
      </c>
      <c r="T298" s="43" t="str">
        <f t="shared" si="14"/>
        <v>2021.010B.R.Binomial_names.zip</v>
      </c>
      <c r="U298" s="43" t="str">
        <f>HYPERLINK("https://ictv.global/taxonomy/taxondetails?taxnode_id=202200524","ictv.global=202200524")</f>
        <v>ictv.global=202200524</v>
      </c>
    </row>
    <row r="299" spans="1:21">
      <c r="A299">
        <v>298</v>
      </c>
      <c r="B299" s="29" t="s">
        <v>3682</v>
      </c>
      <c r="C299" s="29"/>
      <c r="D299" s="29" t="s">
        <v>3683</v>
      </c>
      <c r="E299" s="29"/>
      <c r="F299" s="29" t="s">
        <v>3686</v>
      </c>
      <c r="G299" s="29"/>
      <c r="H299" s="29" t="s">
        <v>3687</v>
      </c>
      <c r="I299" s="29"/>
      <c r="J299" s="29"/>
      <c r="K299" s="29"/>
      <c r="L299" s="29" t="s">
        <v>2636</v>
      </c>
      <c r="M299" s="29" t="s">
        <v>2639</v>
      </c>
      <c r="N299" s="29" t="s">
        <v>3362</v>
      </c>
      <c r="O299" s="29"/>
      <c r="P299" s="29" t="s">
        <v>7287</v>
      </c>
      <c r="Q299" t="s">
        <v>2038</v>
      </c>
      <c r="R299" t="s">
        <v>2633</v>
      </c>
      <c r="S299">
        <v>37</v>
      </c>
      <c r="T299" s="43" t="str">
        <f t="shared" si="14"/>
        <v>2021.010B.R.Binomial_names.zip</v>
      </c>
      <c r="U299" s="43" t="str">
        <f>HYPERLINK("https://ictv.global/taxonomy/taxondetails?taxnode_id=202205472","ictv.global=202205472")</f>
        <v>ictv.global=202205472</v>
      </c>
    </row>
    <row r="300" spans="1:21">
      <c r="A300">
        <v>299</v>
      </c>
      <c r="B300" s="29" t="s">
        <v>3682</v>
      </c>
      <c r="C300" s="29"/>
      <c r="D300" s="29" t="s">
        <v>3683</v>
      </c>
      <c r="E300" s="29"/>
      <c r="F300" s="29" t="s">
        <v>3686</v>
      </c>
      <c r="G300" s="29"/>
      <c r="H300" s="29" t="s">
        <v>3687</v>
      </c>
      <c r="I300" s="29"/>
      <c r="J300" s="29"/>
      <c r="K300" s="29"/>
      <c r="L300" s="29" t="s">
        <v>2636</v>
      </c>
      <c r="M300" s="29" t="s">
        <v>2639</v>
      </c>
      <c r="N300" s="29" t="s">
        <v>3362</v>
      </c>
      <c r="O300" s="29"/>
      <c r="P300" s="29" t="s">
        <v>7288</v>
      </c>
      <c r="Q300" t="s">
        <v>2038</v>
      </c>
      <c r="R300" t="s">
        <v>2633</v>
      </c>
      <c r="S300">
        <v>37</v>
      </c>
      <c r="T300" s="43" t="str">
        <f t="shared" si="14"/>
        <v>2021.010B.R.Binomial_names.zip</v>
      </c>
      <c r="U300" s="43" t="str">
        <f>HYPERLINK("https://ictv.global/taxonomy/taxondetails?taxnode_id=202208848","ictv.global=202208848")</f>
        <v>ictv.global=202208848</v>
      </c>
    </row>
    <row r="301" spans="1:21">
      <c r="A301">
        <v>300</v>
      </c>
      <c r="B301" s="29" t="s">
        <v>3682</v>
      </c>
      <c r="C301" s="29"/>
      <c r="D301" s="29" t="s">
        <v>3683</v>
      </c>
      <c r="E301" s="29"/>
      <c r="F301" s="29" t="s">
        <v>3686</v>
      </c>
      <c r="G301" s="29"/>
      <c r="H301" s="29" t="s">
        <v>3687</v>
      </c>
      <c r="I301" s="29"/>
      <c r="J301" s="29"/>
      <c r="K301" s="29"/>
      <c r="L301" s="29" t="s">
        <v>2636</v>
      </c>
      <c r="M301" s="29" t="s">
        <v>2639</v>
      </c>
      <c r="N301" s="29" t="s">
        <v>3362</v>
      </c>
      <c r="O301" s="29"/>
      <c r="P301" s="29" t="s">
        <v>7289</v>
      </c>
      <c r="Q301" t="s">
        <v>2038</v>
      </c>
      <c r="R301" t="s">
        <v>2633</v>
      </c>
      <c r="S301">
        <v>37</v>
      </c>
      <c r="T301" s="43" t="str">
        <f t="shared" si="14"/>
        <v>2021.010B.R.Binomial_names.zip</v>
      </c>
      <c r="U301" s="43" t="str">
        <f>HYPERLINK("https://ictv.global/taxonomy/taxondetails?taxnode_id=202208863","ictv.global=202208863")</f>
        <v>ictv.global=202208863</v>
      </c>
    </row>
    <row r="302" spans="1:21">
      <c r="A302">
        <v>301</v>
      </c>
      <c r="B302" s="29" t="s">
        <v>3682</v>
      </c>
      <c r="C302" s="29"/>
      <c r="D302" s="29" t="s">
        <v>3683</v>
      </c>
      <c r="E302" s="29"/>
      <c r="F302" s="29" t="s">
        <v>3686</v>
      </c>
      <c r="G302" s="29"/>
      <c r="H302" s="29" t="s">
        <v>3687</v>
      </c>
      <c r="I302" s="29"/>
      <c r="J302" s="29"/>
      <c r="K302" s="29"/>
      <c r="L302" s="29" t="s">
        <v>2636</v>
      </c>
      <c r="M302" s="29" t="s">
        <v>2639</v>
      </c>
      <c r="N302" s="29" t="s">
        <v>3362</v>
      </c>
      <c r="O302" s="29"/>
      <c r="P302" s="29" t="s">
        <v>7290</v>
      </c>
      <c r="Q302" t="s">
        <v>2038</v>
      </c>
      <c r="R302" t="s">
        <v>2633</v>
      </c>
      <c r="S302">
        <v>37</v>
      </c>
      <c r="T302" s="43" t="str">
        <f t="shared" si="14"/>
        <v>2021.010B.R.Binomial_names.zip</v>
      </c>
      <c r="U302" s="43" t="str">
        <f>HYPERLINK("https://ictv.global/taxonomy/taxondetails?taxnode_id=202208851","ictv.global=202208851")</f>
        <v>ictv.global=202208851</v>
      </c>
    </row>
    <row r="303" spans="1:21">
      <c r="A303">
        <v>302</v>
      </c>
      <c r="B303" s="29" t="s">
        <v>3682</v>
      </c>
      <c r="C303" s="29"/>
      <c r="D303" s="29" t="s">
        <v>3683</v>
      </c>
      <c r="E303" s="29"/>
      <c r="F303" s="29" t="s">
        <v>3686</v>
      </c>
      <c r="G303" s="29"/>
      <c r="H303" s="29" t="s">
        <v>3687</v>
      </c>
      <c r="I303" s="29"/>
      <c r="J303" s="29"/>
      <c r="K303" s="29"/>
      <c r="L303" s="29" t="s">
        <v>2636</v>
      </c>
      <c r="M303" s="29" t="s">
        <v>2639</v>
      </c>
      <c r="N303" s="29" t="s">
        <v>3362</v>
      </c>
      <c r="O303" s="29"/>
      <c r="P303" s="29" t="s">
        <v>7291</v>
      </c>
      <c r="Q303" t="s">
        <v>2038</v>
      </c>
      <c r="R303" t="s">
        <v>2633</v>
      </c>
      <c r="S303">
        <v>37</v>
      </c>
      <c r="T303" s="43" t="str">
        <f t="shared" ref="T303:T333" si="15">HYPERLINK("https://ictv.global/ictv/proposals/2021.010B.R.Binomial_names.zip","2021.010B.R.Binomial_names.zip")</f>
        <v>2021.010B.R.Binomial_names.zip</v>
      </c>
      <c r="U303" s="43" t="str">
        <f>HYPERLINK("https://ictv.global/taxonomy/taxondetails?taxnode_id=202208858","ictv.global=202208858")</f>
        <v>ictv.global=202208858</v>
      </c>
    </row>
    <row r="304" spans="1:21">
      <c r="A304">
        <v>303</v>
      </c>
      <c r="B304" s="29" t="s">
        <v>3682</v>
      </c>
      <c r="C304" s="29"/>
      <c r="D304" s="29" t="s">
        <v>3683</v>
      </c>
      <c r="E304" s="29"/>
      <c r="F304" s="29" t="s">
        <v>3686</v>
      </c>
      <c r="G304" s="29"/>
      <c r="H304" s="29" t="s">
        <v>3687</v>
      </c>
      <c r="I304" s="29"/>
      <c r="J304" s="29"/>
      <c r="K304" s="29"/>
      <c r="L304" s="29" t="s">
        <v>2636</v>
      </c>
      <c r="M304" s="29" t="s">
        <v>2639</v>
      </c>
      <c r="N304" s="29" t="s">
        <v>3362</v>
      </c>
      <c r="O304" s="29"/>
      <c r="P304" s="29" t="s">
        <v>7292</v>
      </c>
      <c r="Q304" t="s">
        <v>2038</v>
      </c>
      <c r="R304" t="s">
        <v>2633</v>
      </c>
      <c r="S304">
        <v>37</v>
      </c>
      <c r="T304" s="43" t="str">
        <f t="shared" si="15"/>
        <v>2021.010B.R.Binomial_names.zip</v>
      </c>
      <c r="U304" s="43" t="str">
        <f>HYPERLINK("https://ictv.global/taxonomy/taxondetails?taxnode_id=202208852","ictv.global=202208852")</f>
        <v>ictv.global=202208852</v>
      </c>
    </row>
    <row r="305" spans="1:21">
      <c r="A305">
        <v>304</v>
      </c>
      <c r="B305" s="29" t="s">
        <v>3682</v>
      </c>
      <c r="C305" s="29"/>
      <c r="D305" s="29" t="s">
        <v>3683</v>
      </c>
      <c r="E305" s="29"/>
      <c r="F305" s="29" t="s">
        <v>3686</v>
      </c>
      <c r="G305" s="29"/>
      <c r="H305" s="29" t="s">
        <v>3687</v>
      </c>
      <c r="I305" s="29"/>
      <c r="J305" s="29"/>
      <c r="K305" s="29"/>
      <c r="L305" s="29" t="s">
        <v>2636</v>
      </c>
      <c r="M305" s="29" t="s">
        <v>2639</v>
      </c>
      <c r="N305" s="29" t="s">
        <v>3362</v>
      </c>
      <c r="O305" s="29"/>
      <c r="P305" s="29" t="s">
        <v>7293</v>
      </c>
      <c r="Q305" t="s">
        <v>2038</v>
      </c>
      <c r="R305" t="s">
        <v>2633</v>
      </c>
      <c r="S305">
        <v>37</v>
      </c>
      <c r="T305" s="43" t="str">
        <f t="shared" si="15"/>
        <v>2021.010B.R.Binomial_names.zip</v>
      </c>
      <c r="U305" s="43" t="str">
        <f>HYPERLINK("https://ictv.global/taxonomy/taxondetails?taxnode_id=202208864","ictv.global=202208864")</f>
        <v>ictv.global=202208864</v>
      </c>
    </row>
    <row r="306" spans="1:21">
      <c r="A306">
        <v>305</v>
      </c>
      <c r="B306" s="29" t="s">
        <v>3682</v>
      </c>
      <c r="C306" s="29"/>
      <c r="D306" s="29" t="s">
        <v>3683</v>
      </c>
      <c r="E306" s="29"/>
      <c r="F306" s="29" t="s">
        <v>3686</v>
      </c>
      <c r="G306" s="29"/>
      <c r="H306" s="29" t="s">
        <v>3687</v>
      </c>
      <c r="I306" s="29"/>
      <c r="J306" s="29"/>
      <c r="K306" s="29"/>
      <c r="L306" s="29" t="s">
        <v>2636</v>
      </c>
      <c r="M306" s="29" t="s">
        <v>2639</v>
      </c>
      <c r="N306" s="29" t="s">
        <v>3362</v>
      </c>
      <c r="O306" s="29"/>
      <c r="P306" s="29" t="s">
        <v>7294</v>
      </c>
      <c r="Q306" t="s">
        <v>2038</v>
      </c>
      <c r="R306" t="s">
        <v>2633</v>
      </c>
      <c r="S306">
        <v>37</v>
      </c>
      <c r="T306" s="43" t="str">
        <f t="shared" si="15"/>
        <v>2021.010B.R.Binomial_names.zip</v>
      </c>
      <c r="U306" s="43" t="str">
        <f>HYPERLINK("https://ictv.global/taxonomy/taxondetails?taxnode_id=202208853","ictv.global=202208853")</f>
        <v>ictv.global=202208853</v>
      </c>
    </row>
    <row r="307" spans="1:21">
      <c r="A307">
        <v>306</v>
      </c>
      <c r="B307" s="29" t="s">
        <v>3682</v>
      </c>
      <c r="C307" s="29"/>
      <c r="D307" s="29" t="s">
        <v>3683</v>
      </c>
      <c r="E307" s="29"/>
      <c r="F307" s="29" t="s">
        <v>3686</v>
      </c>
      <c r="G307" s="29"/>
      <c r="H307" s="29" t="s">
        <v>3687</v>
      </c>
      <c r="I307" s="29"/>
      <c r="J307" s="29"/>
      <c r="K307" s="29"/>
      <c r="L307" s="29" t="s">
        <v>2636</v>
      </c>
      <c r="M307" s="29" t="s">
        <v>2639</v>
      </c>
      <c r="N307" s="29" t="s">
        <v>3362</v>
      </c>
      <c r="O307" s="29"/>
      <c r="P307" s="29" t="s">
        <v>7295</v>
      </c>
      <c r="Q307" t="s">
        <v>2038</v>
      </c>
      <c r="R307" t="s">
        <v>2633</v>
      </c>
      <c r="S307">
        <v>37</v>
      </c>
      <c r="T307" s="43" t="str">
        <f t="shared" si="15"/>
        <v>2021.010B.R.Binomial_names.zip</v>
      </c>
      <c r="U307" s="43" t="str">
        <f>HYPERLINK("https://ictv.global/taxonomy/taxondetails?taxnode_id=202208850","ictv.global=202208850")</f>
        <v>ictv.global=202208850</v>
      </c>
    </row>
    <row r="308" spans="1:21">
      <c r="A308">
        <v>307</v>
      </c>
      <c r="B308" s="29" t="s">
        <v>3682</v>
      </c>
      <c r="C308" s="29"/>
      <c r="D308" s="29" t="s">
        <v>3683</v>
      </c>
      <c r="E308" s="29"/>
      <c r="F308" s="29" t="s">
        <v>3686</v>
      </c>
      <c r="G308" s="29"/>
      <c r="H308" s="29" t="s">
        <v>3687</v>
      </c>
      <c r="I308" s="29"/>
      <c r="J308" s="29"/>
      <c r="K308" s="29"/>
      <c r="L308" s="29" t="s">
        <v>2636</v>
      </c>
      <c r="M308" s="29" t="s">
        <v>2639</v>
      </c>
      <c r="N308" s="29" t="s">
        <v>3362</v>
      </c>
      <c r="O308" s="29"/>
      <c r="P308" s="29" t="s">
        <v>7296</v>
      </c>
      <c r="Q308" t="s">
        <v>2038</v>
      </c>
      <c r="R308" t="s">
        <v>2633</v>
      </c>
      <c r="S308">
        <v>37</v>
      </c>
      <c r="T308" s="43" t="str">
        <f t="shared" si="15"/>
        <v>2021.010B.R.Binomial_names.zip</v>
      </c>
      <c r="U308" s="43" t="str">
        <f>HYPERLINK("https://ictv.global/taxonomy/taxondetails?taxnode_id=202208856","ictv.global=202208856")</f>
        <v>ictv.global=202208856</v>
      </c>
    </row>
    <row r="309" spans="1:21">
      <c r="A309">
        <v>308</v>
      </c>
      <c r="B309" s="29" t="s">
        <v>3682</v>
      </c>
      <c r="C309" s="29"/>
      <c r="D309" s="29" t="s">
        <v>3683</v>
      </c>
      <c r="E309" s="29"/>
      <c r="F309" s="29" t="s">
        <v>3686</v>
      </c>
      <c r="G309" s="29"/>
      <c r="H309" s="29" t="s">
        <v>3687</v>
      </c>
      <c r="I309" s="29"/>
      <c r="J309" s="29"/>
      <c r="K309" s="29"/>
      <c r="L309" s="29" t="s">
        <v>2636</v>
      </c>
      <c r="M309" s="29" t="s">
        <v>2639</v>
      </c>
      <c r="N309" s="29" t="s">
        <v>3362</v>
      </c>
      <c r="O309" s="29"/>
      <c r="P309" s="29" t="s">
        <v>7297</v>
      </c>
      <c r="Q309" t="s">
        <v>2038</v>
      </c>
      <c r="R309" t="s">
        <v>2633</v>
      </c>
      <c r="S309">
        <v>37</v>
      </c>
      <c r="T309" s="43" t="str">
        <f t="shared" si="15"/>
        <v>2021.010B.R.Binomial_names.zip</v>
      </c>
      <c r="U309" s="43" t="str">
        <f>HYPERLINK("https://ictv.global/taxonomy/taxondetails?taxnode_id=202200528","ictv.global=202200528")</f>
        <v>ictv.global=202200528</v>
      </c>
    </row>
    <row r="310" spans="1:21">
      <c r="A310">
        <v>309</v>
      </c>
      <c r="B310" s="29" t="s">
        <v>3682</v>
      </c>
      <c r="C310" s="29"/>
      <c r="D310" s="29" t="s">
        <v>3683</v>
      </c>
      <c r="E310" s="29"/>
      <c r="F310" s="29" t="s">
        <v>3686</v>
      </c>
      <c r="G310" s="29"/>
      <c r="H310" s="29" t="s">
        <v>3687</v>
      </c>
      <c r="I310" s="29"/>
      <c r="J310" s="29"/>
      <c r="K310" s="29"/>
      <c r="L310" s="29" t="s">
        <v>2636</v>
      </c>
      <c r="M310" s="29" t="s">
        <v>2639</v>
      </c>
      <c r="N310" s="29" t="s">
        <v>3362</v>
      </c>
      <c r="O310" s="29"/>
      <c r="P310" s="29" t="s">
        <v>7298</v>
      </c>
      <c r="Q310" t="s">
        <v>2038</v>
      </c>
      <c r="R310" t="s">
        <v>2633</v>
      </c>
      <c r="S310">
        <v>37</v>
      </c>
      <c r="T310" s="43" t="str">
        <f t="shared" si="15"/>
        <v>2021.010B.R.Binomial_names.zip</v>
      </c>
      <c r="U310" s="43" t="str">
        <f>HYPERLINK("https://ictv.global/taxonomy/taxondetails?taxnode_id=202200529","ictv.global=202200529")</f>
        <v>ictv.global=202200529</v>
      </c>
    </row>
    <row r="311" spans="1:21">
      <c r="A311">
        <v>310</v>
      </c>
      <c r="B311" s="29" t="s">
        <v>3682</v>
      </c>
      <c r="C311" s="29"/>
      <c r="D311" s="29" t="s">
        <v>3683</v>
      </c>
      <c r="E311" s="29"/>
      <c r="F311" s="29" t="s">
        <v>3686</v>
      </c>
      <c r="G311" s="29"/>
      <c r="H311" s="29" t="s">
        <v>3687</v>
      </c>
      <c r="I311" s="29"/>
      <c r="J311" s="29"/>
      <c r="K311" s="29"/>
      <c r="L311" s="29" t="s">
        <v>2636</v>
      </c>
      <c r="M311" s="29" t="s">
        <v>2639</v>
      </c>
      <c r="N311" s="29" t="s">
        <v>3362</v>
      </c>
      <c r="O311" s="29"/>
      <c r="P311" s="29" t="s">
        <v>7299</v>
      </c>
      <c r="Q311" t="s">
        <v>2038</v>
      </c>
      <c r="R311" t="s">
        <v>2633</v>
      </c>
      <c r="S311">
        <v>37</v>
      </c>
      <c r="T311" s="43" t="str">
        <f t="shared" si="15"/>
        <v>2021.010B.R.Binomial_names.zip</v>
      </c>
      <c r="U311" s="43" t="str">
        <f>HYPERLINK("https://ictv.global/taxonomy/taxondetails?taxnode_id=202200530","ictv.global=202200530")</f>
        <v>ictv.global=202200530</v>
      </c>
    </row>
    <row r="312" spans="1:21">
      <c r="A312">
        <v>311</v>
      </c>
      <c r="B312" s="29" t="s">
        <v>3682</v>
      </c>
      <c r="C312" s="29"/>
      <c r="D312" s="29" t="s">
        <v>3683</v>
      </c>
      <c r="E312" s="29"/>
      <c r="F312" s="29" t="s">
        <v>3686</v>
      </c>
      <c r="G312" s="29"/>
      <c r="H312" s="29" t="s">
        <v>3687</v>
      </c>
      <c r="I312" s="29"/>
      <c r="J312" s="29"/>
      <c r="K312" s="29"/>
      <c r="L312" s="29" t="s">
        <v>2636</v>
      </c>
      <c r="M312" s="29" t="s">
        <v>2639</v>
      </c>
      <c r="N312" s="29" t="s">
        <v>3362</v>
      </c>
      <c r="O312" s="29"/>
      <c r="P312" s="29" t="s">
        <v>7300</v>
      </c>
      <c r="Q312" t="s">
        <v>2038</v>
      </c>
      <c r="R312" t="s">
        <v>2633</v>
      </c>
      <c r="S312">
        <v>37</v>
      </c>
      <c r="T312" s="43" t="str">
        <f t="shared" si="15"/>
        <v>2021.010B.R.Binomial_names.zip</v>
      </c>
      <c r="U312" s="43" t="str">
        <f>HYPERLINK("https://ictv.global/taxonomy/taxondetails?taxnode_id=202200531","ictv.global=202200531")</f>
        <v>ictv.global=202200531</v>
      </c>
    </row>
    <row r="313" spans="1:21">
      <c r="A313">
        <v>312</v>
      </c>
      <c r="B313" s="29" t="s">
        <v>3682</v>
      </c>
      <c r="C313" s="29"/>
      <c r="D313" s="29" t="s">
        <v>3683</v>
      </c>
      <c r="E313" s="29"/>
      <c r="F313" s="29" t="s">
        <v>3686</v>
      </c>
      <c r="G313" s="29"/>
      <c r="H313" s="29" t="s">
        <v>3687</v>
      </c>
      <c r="I313" s="29"/>
      <c r="J313" s="29"/>
      <c r="K313" s="29"/>
      <c r="L313" s="29" t="s">
        <v>2636</v>
      </c>
      <c r="M313" s="29" t="s">
        <v>2639</v>
      </c>
      <c r="N313" s="29" t="s">
        <v>3362</v>
      </c>
      <c r="O313" s="29"/>
      <c r="P313" s="29" t="s">
        <v>7301</v>
      </c>
      <c r="Q313" t="s">
        <v>2038</v>
      </c>
      <c r="R313" t="s">
        <v>2633</v>
      </c>
      <c r="S313">
        <v>37</v>
      </c>
      <c r="T313" s="43" t="str">
        <f t="shared" si="15"/>
        <v>2021.010B.R.Binomial_names.zip</v>
      </c>
      <c r="U313" s="43" t="str">
        <f>HYPERLINK("https://ictv.global/taxonomy/taxondetails?taxnode_id=202208855","ictv.global=202208855")</f>
        <v>ictv.global=202208855</v>
      </c>
    </row>
    <row r="314" spans="1:21">
      <c r="A314">
        <v>313</v>
      </c>
      <c r="B314" s="29" t="s">
        <v>3682</v>
      </c>
      <c r="C314" s="29"/>
      <c r="D314" s="29" t="s">
        <v>3683</v>
      </c>
      <c r="E314" s="29"/>
      <c r="F314" s="29" t="s">
        <v>3686</v>
      </c>
      <c r="G314" s="29"/>
      <c r="H314" s="29" t="s">
        <v>3687</v>
      </c>
      <c r="I314" s="29"/>
      <c r="J314" s="29"/>
      <c r="K314" s="29"/>
      <c r="L314" s="29" t="s">
        <v>2636</v>
      </c>
      <c r="M314" s="29" t="s">
        <v>2639</v>
      </c>
      <c r="N314" s="29" t="s">
        <v>3362</v>
      </c>
      <c r="O314" s="29"/>
      <c r="P314" s="29" t="s">
        <v>7302</v>
      </c>
      <c r="Q314" t="s">
        <v>2038</v>
      </c>
      <c r="R314" t="s">
        <v>2633</v>
      </c>
      <c r="S314">
        <v>37</v>
      </c>
      <c r="T314" s="43" t="str">
        <f t="shared" si="15"/>
        <v>2021.010B.R.Binomial_names.zip</v>
      </c>
      <c r="U314" s="43" t="str">
        <f>HYPERLINK("https://ictv.global/taxonomy/taxondetails?taxnode_id=202208865","ictv.global=202208865")</f>
        <v>ictv.global=202208865</v>
      </c>
    </row>
    <row r="315" spans="1:21">
      <c r="A315">
        <v>314</v>
      </c>
      <c r="B315" s="29" t="s">
        <v>3682</v>
      </c>
      <c r="C315" s="29"/>
      <c r="D315" s="29" t="s">
        <v>3683</v>
      </c>
      <c r="E315" s="29"/>
      <c r="F315" s="29" t="s">
        <v>3686</v>
      </c>
      <c r="G315" s="29"/>
      <c r="H315" s="29" t="s">
        <v>3687</v>
      </c>
      <c r="I315" s="29"/>
      <c r="J315" s="29"/>
      <c r="K315" s="29"/>
      <c r="L315" s="29" t="s">
        <v>2636</v>
      </c>
      <c r="M315" s="29" t="s">
        <v>2639</v>
      </c>
      <c r="N315" s="29" t="s">
        <v>3362</v>
      </c>
      <c r="O315" s="29"/>
      <c r="P315" s="29" t="s">
        <v>7303</v>
      </c>
      <c r="Q315" t="s">
        <v>2038</v>
      </c>
      <c r="R315" t="s">
        <v>2633</v>
      </c>
      <c r="S315">
        <v>37</v>
      </c>
      <c r="T315" s="43" t="str">
        <f t="shared" si="15"/>
        <v>2021.010B.R.Binomial_names.zip</v>
      </c>
      <c r="U315" s="43" t="str">
        <f>HYPERLINK("https://ictv.global/taxonomy/taxondetails?taxnode_id=202200532","ictv.global=202200532")</f>
        <v>ictv.global=202200532</v>
      </c>
    </row>
    <row r="316" spans="1:21">
      <c r="A316">
        <v>315</v>
      </c>
      <c r="B316" s="29" t="s">
        <v>3682</v>
      </c>
      <c r="C316" s="29"/>
      <c r="D316" s="29" t="s">
        <v>3683</v>
      </c>
      <c r="E316" s="29"/>
      <c r="F316" s="29" t="s">
        <v>3686</v>
      </c>
      <c r="G316" s="29"/>
      <c r="H316" s="29" t="s">
        <v>3687</v>
      </c>
      <c r="I316" s="29"/>
      <c r="J316" s="29"/>
      <c r="K316" s="29"/>
      <c r="L316" s="29" t="s">
        <v>2636</v>
      </c>
      <c r="M316" s="29" t="s">
        <v>2639</v>
      </c>
      <c r="N316" s="29" t="s">
        <v>3362</v>
      </c>
      <c r="O316" s="29"/>
      <c r="P316" s="29" t="s">
        <v>7304</v>
      </c>
      <c r="Q316" t="s">
        <v>2038</v>
      </c>
      <c r="R316" t="s">
        <v>2633</v>
      </c>
      <c r="S316">
        <v>37</v>
      </c>
      <c r="T316" s="43" t="str">
        <f t="shared" si="15"/>
        <v>2021.010B.R.Binomial_names.zip</v>
      </c>
      <c r="U316" s="43" t="str">
        <f>HYPERLINK("https://ictv.global/taxonomy/taxondetails?taxnode_id=202208861","ictv.global=202208861")</f>
        <v>ictv.global=202208861</v>
      </c>
    </row>
    <row r="317" spans="1:21">
      <c r="A317">
        <v>316</v>
      </c>
      <c r="B317" s="29" t="s">
        <v>3682</v>
      </c>
      <c r="C317" s="29"/>
      <c r="D317" s="29" t="s">
        <v>3683</v>
      </c>
      <c r="E317" s="29"/>
      <c r="F317" s="29" t="s">
        <v>3686</v>
      </c>
      <c r="G317" s="29"/>
      <c r="H317" s="29" t="s">
        <v>3687</v>
      </c>
      <c r="I317" s="29"/>
      <c r="J317" s="29"/>
      <c r="K317" s="29"/>
      <c r="L317" s="29" t="s">
        <v>2636</v>
      </c>
      <c r="M317" s="29" t="s">
        <v>2639</v>
      </c>
      <c r="N317" s="29" t="s">
        <v>3362</v>
      </c>
      <c r="O317" s="29"/>
      <c r="P317" s="29" t="s">
        <v>7305</v>
      </c>
      <c r="Q317" t="s">
        <v>2038</v>
      </c>
      <c r="R317" t="s">
        <v>2633</v>
      </c>
      <c r="S317">
        <v>37</v>
      </c>
      <c r="T317" s="43" t="str">
        <f t="shared" si="15"/>
        <v>2021.010B.R.Binomial_names.zip</v>
      </c>
      <c r="U317" s="43" t="str">
        <f>HYPERLINK("https://ictv.global/taxonomy/taxondetails?taxnode_id=202200533","ictv.global=202200533")</f>
        <v>ictv.global=202200533</v>
      </c>
    </row>
    <row r="318" spans="1:21">
      <c r="A318">
        <v>317</v>
      </c>
      <c r="B318" s="29" t="s">
        <v>3682</v>
      </c>
      <c r="C318" s="29"/>
      <c r="D318" s="29" t="s">
        <v>3683</v>
      </c>
      <c r="E318" s="29"/>
      <c r="F318" s="29" t="s">
        <v>3686</v>
      </c>
      <c r="G318" s="29"/>
      <c r="H318" s="29" t="s">
        <v>3687</v>
      </c>
      <c r="I318" s="29"/>
      <c r="J318" s="29"/>
      <c r="K318" s="29"/>
      <c r="L318" s="29" t="s">
        <v>2636</v>
      </c>
      <c r="M318" s="29"/>
      <c r="N318" s="29" t="s">
        <v>4494</v>
      </c>
      <c r="O318" s="29"/>
      <c r="P318" s="29" t="s">
        <v>7306</v>
      </c>
      <c r="Q318" t="s">
        <v>2038</v>
      </c>
      <c r="R318" t="s">
        <v>2633</v>
      </c>
      <c r="S318">
        <v>37</v>
      </c>
      <c r="T318" s="43" t="str">
        <f t="shared" si="15"/>
        <v>2021.010B.R.Binomial_names.zip</v>
      </c>
      <c r="U318" s="43" t="str">
        <f>HYPERLINK("https://ictv.global/taxonomy/taxondetails?taxnode_id=202208917","ictv.global=202208917")</f>
        <v>ictv.global=202208917</v>
      </c>
    </row>
    <row r="319" spans="1:21">
      <c r="A319">
        <v>318</v>
      </c>
      <c r="B319" s="29" t="s">
        <v>3682</v>
      </c>
      <c r="C319" s="29"/>
      <c r="D319" s="29" t="s">
        <v>3683</v>
      </c>
      <c r="E319" s="29"/>
      <c r="F319" s="29" t="s">
        <v>3686</v>
      </c>
      <c r="G319" s="29"/>
      <c r="H319" s="29" t="s">
        <v>3687</v>
      </c>
      <c r="I319" s="29"/>
      <c r="J319" s="29"/>
      <c r="K319" s="29"/>
      <c r="L319" s="29" t="s">
        <v>2636</v>
      </c>
      <c r="M319" s="29"/>
      <c r="N319" s="29" t="s">
        <v>4495</v>
      </c>
      <c r="O319" s="29"/>
      <c r="P319" s="29" t="s">
        <v>7307</v>
      </c>
      <c r="Q319" t="s">
        <v>2038</v>
      </c>
      <c r="R319" t="s">
        <v>2633</v>
      </c>
      <c r="S319">
        <v>37</v>
      </c>
      <c r="T319" s="43" t="str">
        <f t="shared" si="15"/>
        <v>2021.010B.R.Binomial_names.zip</v>
      </c>
      <c r="U319" s="43" t="str">
        <f>HYPERLINK("https://ictv.global/taxonomy/taxondetails?taxnode_id=202208919","ictv.global=202208919")</f>
        <v>ictv.global=202208919</v>
      </c>
    </row>
    <row r="320" spans="1:21">
      <c r="A320">
        <v>319</v>
      </c>
      <c r="B320" s="29" t="s">
        <v>3682</v>
      </c>
      <c r="C320" s="29"/>
      <c r="D320" s="29" t="s">
        <v>3683</v>
      </c>
      <c r="E320" s="29"/>
      <c r="F320" s="29" t="s">
        <v>3686</v>
      </c>
      <c r="G320" s="29"/>
      <c r="H320" s="29" t="s">
        <v>3687</v>
      </c>
      <c r="I320" s="29"/>
      <c r="J320" s="29"/>
      <c r="K320" s="29"/>
      <c r="L320" s="29" t="s">
        <v>2636</v>
      </c>
      <c r="M320" s="29"/>
      <c r="N320" s="29" t="s">
        <v>4496</v>
      </c>
      <c r="O320" s="29"/>
      <c r="P320" s="29" t="s">
        <v>7308</v>
      </c>
      <c r="Q320" t="s">
        <v>2038</v>
      </c>
      <c r="R320" t="s">
        <v>2633</v>
      </c>
      <c r="S320">
        <v>37</v>
      </c>
      <c r="T320" s="43" t="str">
        <f t="shared" si="15"/>
        <v>2021.010B.R.Binomial_names.zip</v>
      </c>
      <c r="U320" s="43" t="str">
        <f>HYPERLINK("https://ictv.global/taxonomy/taxondetails?taxnode_id=202208925","ictv.global=202208925")</f>
        <v>ictv.global=202208925</v>
      </c>
    </row>
    <row r="321" spans="1:21">
      <c r="A321">
        <v>320</v>
      </c>
      <c r="B321" s="29" t="s">
        <v>3682</v>
      </c>
      <c r="C321" s="29"/>
      <c r="D321" s="29" t="s">
        <v>3683</v>
      </c>
      <c r="E321" s="29"/>
      <c r="F321" s="29" t="s">
        <v>3686</v>
      </c>
      <c r="G321" s="29"/>
      <c r="H321" s="29" t="s">
        <v>3687</v>
      </c>
      <c r="I321" s="29"/>
      <c r="J321" s="29"/>
      <c r="K321" s="29"/>
      <c r="L321" s="29" t="s">
        <v>2636</v>
      </c>
      <c r="M321" s="29"/>
      <c r="N321" s="29" t="s">
        <v>4496</v>
      </c>
      <c r="O321" s="29"/>
      <c r="P321" s="29" t="s">
        <v>7309</v>
      </c>
      <c r="Q321" t="s">
        <v>2038</v>
      </c>
      <c r="R321" t="s">
        <v>2633</v>
      </c>
      <c r="S321">
        <v>37</v>
      </c>
      <c r="T321" s="43" t="str">
        <f t="shared" si="15"/>
        <v>2021.010B.R.Binomial_names.zip</v>
      </c>
      <c r="U321" s="43" t="str">
        <f>HYPERLINK("https://ictv.global/taxonomy/taxondetails?taxnode_id=202205478","ictv.global=202205478")</f>
        <v>ictv.global=202205478</v>
      </c>
    </row>
    <row r="322" spans="1:21">
      <c r="A322">
        <v>321</v>
      </c>
      <c r="B322" s="29" t="s">
        <v>3682</v>
      </c>
      <c r="C322" s="29"/>
      <c r="D322" s="29" t="s">
        <v>3683</v>
      </c>
      <c r="E322" s="29"/>
      <c r="F322" s="29" t="s">
        <v>3686</v>
      </c>
      <c r="G322" s="29"/>
      <c r="H322" s="29" t="s">
        <v>3687</v>
      </c>
      <c r="I322" s="29"/>
      <c r="J322" s="29"/>
      <c r="K322" s="29"/>
      <c r="L322" s="29" t="s">
        <v>2636</v>
      </c>
      <c r="M322" s="29"/>
      <c r="N322" s="29" t="s">
        <v>4497</v>
      </c>
      <c r="O322" s="29"/>
      <c r="P322" s="29" t="s">
        <v>7310</v>
      </c>
      <c r="Q322" t="s">
        <v>2038</v>
      </c>
      <c r="R322" t="s">
        <v>2633</v>
      </c>
      <c r="S322">
        <v>37</v>
      </c>
      <c r="T322" s="43" t="str">
        <f t="shared" si="15"/>
        <v>2021.010B.R.Binomial_names.zip</v>
      </c>
      <c r="U322" s="43" t="str">
        <f>HYPERLINK("https://ictv.global/taxonomy/taxondetails?taxnode_id=202208923","ictv.global=202208923")</f>
        <v>ictv.global=202208923</v>
      </c>
    </row>
    <row r="323" spans="1:21">
      <c r="A323">
        <v>322</v>
      </c>
      <c r="B323" s="29" t="s">
        <v>3682</v>
      </c>
      <c r="C323" s="29"/>
      <c r="D323" s="29" t="s">
        <v>3683</v>
      </c>
      <c r="E323" s="29"/>
      <c r="F323" s="29" t="s">
        <v>3686</v>
      </c>
      <c r="G323" s="29"/>
      <c r="H323" s="29" t="s">
        <v>3687</v>
      </c>
      <c r="I323" s="29"/>
      <c r="J323" s="29"/>
      <c r="K323" s="29"/>
      <c r="L323" s="29" t="s">
        <v>2636</v>
      </c>
      <c r="M323" s="29"/>
      <c r="N323" s="29" t="s">
        <v>4497</v>
      </c>
      <c r="O323" s="29"/>
      <c r="P323" s="29" t="s">
        <v>7311</v>
      </c>
      <c r="Q323" t="s">
        <v>2038</v>
      </c>
      <c r="R323" t="s">
        <v>2633</v>
      </c>
      <c r="S323">
        <v>37</v>
      </c>
      <c r="T323" s="43" t="str">
        <f t="shared" si="15"/>
        <v>2021.010B.R.Binomial_names.zip</v>
      </c>
      <c r="U323" s="43" t="str">
        <f>HYPERLINK("https://ictv.global/taxonomy/taxondetails?taxnode_id=202205475","ictv.global=202205475")</f>
        <v>ictv.global=202205475</v>
      </c>
    </row>
    <row r="324" spans="1:21">
      <c r="A324">
        <v>323</v>
      </c>
      <c r="B324" s="29" t="s">
        <v>3682</v>
      </c>
      <c r="C324" s="29"/>
      <c r="D324" s="29" t="s">
        <v>3683</v>
      </c>
      <c r="E324" s="29"/>
      <c r="F324" s="29" t="s">
        <v>3686</v>
      </c>
      <c r="G324" s="29"/>
      <c r="H324" s="29" t="s">
        <v>3687</v>
      </c>
      <c r="I324" s="29"/>
      <c r="J324" s="29"/>
      <c r="K324" s="29"/>
      <c r="L324" s="29" t="s">
        <v>2636</v>
      </c>
      <c r="M324" s="29"/>
      <c r="N324" s="29" t="s">
        <v>3688</v>
      </c>
      <c r="O324" s="29"/>
      <c r="P324" s="29" t="s">
        <v>7312</v>
      </c>
      <c r="Q324" t="s">
        <v>2038</v>
      </c>
      <c r="R324" t="s">
        <v>2633</v>
      </c>
      <c r="S324">
        <v>37</v>
      </c>
      <c r="T324" s="43" t="str">
        <f t="shared" si="15"/>
        <v>2021.010B.R.Binomial_names.zip</v>
      </c>
      <c r="U324" s="43" t="str">
        <f>HYPERLINK("https://ictv.global/taxonomy/taxondetails?taxnode_id=202205476","ictv.global=202205476")</f>
        <v>ictv.global=202205476</v>
      </c>
    </row>
    <row r="325" spans="1:21">
      <c r="A325">
        <v>324</v>
      </c>
      <c r="B325" s="29" t="s">
        <v>3682</v>
      </c>
      <c r="C325" s="29"/>
      <c r="D325" s="29" t="s">
        <v>3683</v>
      </c>
      <c r="E325" s="29"/>
      <c r="F325" s="29" t="s">
        <v>3686</v>
      </c>
      <c r="G325" s="29"/>
      <c r="H325" s="29" t="s">
        <v>3687</v>
      </c>
      <c r="I325" s="29"/>
      <c r="J325" s="29"/>
      <c r="K325" s="29"/>
      <c r="L325" s="29" t="s">
        <v>2636</v>
      </c>
      <c r="M325" s="29"/>
      <c r="N325" s="29" t="s">
        <v>3688</v>
      </c>
      <c r="O325" s="29"/>
      <c r="P325" s="29" t="s">
        <v>7313</v>
      </c>
      <c r="Q325" t="s">
        <v>2038</v>
      </c>
      <c r="R325" t="s">
        <v>2633</v>
      </c>
      <c r="S325">
        <v>37</v>
      </c>
      <c r="T325" s="43" t="str">
        <f t="shared" si="15"/>
        <v>2021.010B.R.Binomial_names.zip</v>
      </c>
      <c r="U325" s="43" t="str">
        <f>HYPERLINK("https://ictv.global/taxonomy/taxondetails?taxnode_id=202205477","ictv.global=202205477")</f>
        <v>ictv.global=202205477</v>
      </c>
    </row>
    <row r="326" spans="1:21">
      <c r="A326">
        <v>325</v>
      </c>
      <c r="B326" s="29" t="s">
        <v>3682</v>
      </c>
      <c r="C326" s="29"/>
      <c r="D326" s="29" t="s">
        <v>3683</v>
      </c>
      <c r="E326" s="29"/>
      <c r="F326" s="29" t="s">
        <v>3686</v>
      </c>
      <c r="G326" s="29"/>
      <c r="H326" s="29" t="s">
        <v>3687</v>
      </c>
      <c r="I326" s="29"/>
      <c r="J326" s="29"/>
      <c r="K326" s="29"/>
      <c r="L326" s="29" t="s">
        <v>2636</v>
      </c>
      <c r="M326" s="29"/>
      <c r="N326" s="29" t="s">
        <v>3688</v>
      </c>
      <c r="O326" s="29"/>
      <c r="P326" s="29" t="s">
        <v>7314</v>
      </c>
      <c r="Q326" t="s">
        <v>2038</v>
      </c>
      <c r="R326" t="s">
        <v>2633</v>
      </c>
      <c r="S326">
        <v>37</v>
      </c>
      <c r="T326" s="43" t="str">
        <f t="shared" si="15"/>
        <v>2021.010B.R.Binomial_names.zip</v>
      </c>
      <c r="U326" s="43" t="str">
        <f>HYPERLINK("https://ictv.global/taxonomy/taxondetails?taxnode_id=202208040","ictv.global=202208040")</f>
        <v>ictv.global=202208040</v>
      </c>
    </row>
    <row r="327" spans="1:21">
      <c r="A327">
        <v>326</v>
      </c>
      <c r="B327" s="29" t="s">
        <v>3682</v>
      </c>
      <c r="C327" s="29"/>
      <c r="D327" s="29" t="s">
        <v>3683</v>
      </c>
      <c r="E327" s="29"/>
      <c r="F327" s="29" t="s">
        <v>3686</v>
      </c>
      <c r="G327" s="29"/>
      <c r="H327" s="29" t="s">
        <v>3687</v>
      </c>
      <c r="I327" s="29"/>
      <c r="J327" s="29"/>
      <c r="K327" s="29"/>
      <c r="L327" s="29" t="s">
        <v>2636</v>
      </c>
      <c r="M327" s="29"/>
      <c r="N327" s="29" t="s">
        <v>3688</v>
      </c>
      <c r="O327" s="29"/>
      <c r="P327" s="29" t="s">
        <v>7315</v>
      </c>
      <c r="Q327" t="s">
        <v>2038</v>
      </c>
      <c r="R327" t="s">
        <v>2633</v>
      </c>
      <c r="S327">
        <v>37</v>
      </c>
      <c r="T327" s="43" t="str">
        <f t="shared" si="15"/>
        <v>2021.010B.R.Binomial_names.zip</v>
      </c>
      <c r="U327" s="43" t="str">
        <f>HYPERLINK("https://ictv.global/taxonomy/taxondetails?taxnode_id=202208037","ictv.global=202208037")</f>
        <v>ictv.global=202208037</v>
      </c>
    </row>
    <row r="328" spans="1:21">
      <c r="A328">
        <v>327</v>
      </c>
      <c r="B328" s="29" t="s">
        <v>3682</v>
      </c>
      <c r="C328" s="29"/>
      <c r="D328" s="29" t="s">
        <v>3683</v>
      </c>
      <c r="E328" s="29"/>
      <c r="F328" s="29" t="s">
        <v>3686</v>
      </c>
      <c r="G328" s="29"/>
      <c r="H328" s="29" t="s">
        <v>3687</v>
      </c>
      <c r="I328" s="29"/>
      <c r="J328" s="29"/>
      <c r="K328" s="29"/>
      <c r="L328" s="29" t="s">
        <v>2636</v>
      </c>
      <c r="M328" s="29"/>
      <c r="N328" s="29" t="s">
        <v>3688</v>
      </c>
      <c r="O328" s="29"/>
      <c r="P328" s="29" t="s">
        <v>7316</v>
      </c>
      <c r="Q328" t="s">
        <v>2038</v>
      </c>
      <c r="R328" t="s">
        <v>2633</v>
      </c>
      <c r="S328">
        <v>37</v>
      </c>
      <c r="T328" s="43" t="str">
        <f t="shared" si="15"/>
        <v>2021.010B.R.Binomial_names.zip</v>
      </c>
      <c r="U328" s="43" t="str">
        <f>HYPERLINK("https://ictv.global/taxonomy/taxondetails?taxnode_id=202208870","ictv.global=202208870")</f>
        <v>ictv.global=202208870</v>
      </c>
    </row>
    <row r="329" spans="1:21">
      <c r="A329">
        <v>328</v>
      </c>
      <c r="B329" s="29" t="s">
        <v>3682</v>
      </c>
      <c r="C329" s="29"/>
      <c r="D329" s="29" t="s">
        <v>3683</v>
      </c>
      <c r="E329" s="29"/>
      <c r="F329" s="29" t="s">
        <v>3686</v>
      </c>
      <c r="G329" s="29"/>
      <c r="H329" s="29" t="s">
        <v>3687</v>
      </c>
      <c r="I329" s="29"/>
      <c r="J329" s="29"/>
      <c r="K329" s="29"/>
      <c r="L329" s="29" t="s">
        <v>2636</v>
      </c>
      <c r="M329" s="29"/>
      <c r="N329" s="29" t="s">
        <v>3688</v>
      </c>
      <c r="O329" s="29"/>
      <c r="P329" s="29" t="s">
        <v>7317</v>
      </c>
      <c r="Q329" t="s">
        <v>2038</v>
      </c>
      <c r="R329" t="s">
        <v>2633</v>
      </c>
      <c r="S329">
        <v>37</v>
      </c>
      <c r="T329" s="43" t="str">
        <f t="shared" si="15"/>
        <v>2021.010B.R.Binomial_names.zip</v>
      </c>
      <c r="U329" s="43" t="str">
        <f>HYPERLINK("https://ictv.global/taxonomy/taxondetails?taxnode_id=202208038","ictv.global=202208038")</f>
        <v>ictv.global=202208038</v>
      </c>
    </row>
    <row r="330" spans="1:21">
      <c r="A330">
        <v>329</v>
      </c>
      <c r="B330" s="29" t="s">
        <v>3682</v>
      </c>
      <c r="C330" s="29"/>
      <c r="D330" s="29" t="s">
        <v>3683</v>
      </c>
      <c r="E330" s="29"/>
      <c r="F330" s="29" t="s">
        <v>3686</v>
      </c>
      <c r="G330" s="29"/>
      <c r="H330" s="29" t="s">
        <v>3687</v>
      </c>
      <c r="I330" s="29"/>
      <c r="J330" s="29"/>
      <c r="K330" s="29"/>
      <c r="L330" s="29" t="s">
        <v>2636</v>
      </c>
      <c r="M330" s="29"/>
      <c r="N330" s="29" t="s">
        <v>3688</v>
      </c>
      <c r="O330" s="29"/>
      <c r="P330" s="29" t="s">
        <v>7318</v>
      </c>
      <c r="Q330" t="s">
        <v>2038</v>
      </c>
      <c r="R330" t="s">
        <v>2633</v>
      </c>
      <c r="S330">
        <v>37</v>
      </c>
      <c r="T330" s="43" t="str">
        <f t="shared" si="15"/>
        <v>2021.010B.R.Binomial_names.zip</v>
      </c>
      <c r="U330" s="43" t="str">
        <f>HYPERLINK("https://ictv.global/taxonomy/taxondetails?taxnode_id=202208039","ictv.global=202208039")</f>
        <v>ictv.global=202208039</v>
      </c>
    </row>
    <row r="331" spans="1:21">
      <c r="A331">
        <v>330</v>
      </c>
      <c r="B331" s="29" t="s">
        <v>3682</v>
      </c>
      <c r="C331" s="29"/>
      <c r="D331" s="29" t="s">
        <v>3683</v>
      </c>
      <c r="E331" s="29"/>
      <c r="F331" s="29" t="s">
        <v>3686</v>
      </c>
      <c r="G331" s="29"/>
      <c r="H331" s="29" t="s">
        <v>3687</v>
      </c>
      <c r="I331" s="29"/>
      <c r="J331" s="29"/>
      <c r="K331" s="29"/>
      <c r="L331" s="29" t="s">
        <v>2636</v>
      </c>
      <c r="M331" s="29"/>
      <c r="N331" s="29" t="s">
        <v>3688</v>
      </c>
      <c r="O331" s="29"/>
      <c r="P331" s="29" t="s">
        <v>7319</v>
      </c>
      <c r="Q331" t="s">
        <v>2038</v>
      </c>
      <c r="R331" t="s">
        <v>2633</v>
      </c>
      <c r="S331">
        <v>37</v>
      </c>
      <c r="T331" s="43" t="str">
        <f t="shared" si="15"/>
        <v>2021.010B.R.Binomial_names.zip</v>
      </c>
      <c r="U331" s="43" t="str">
        <f>HYPERLINK("https://ictv.global/taxonomy/taxondetails?taxnode_id=202208871","ictv.global=202208871")</f>
        <v>ictv.global=202208871</v>
      </c>
    </row>
    <row r="332" spans="1:21">
      <c r="A332">
        <v>331</v>
      </c>
      <c r="B332" s="29" t="s">
        <v>3682</v>
      </c>
      <c r="C332" s="29"/>
      <c r="D332" s="29" t="s">
        <v>3683</v>
      </c>
      <c r="E332" s="29"/>
      <c r="F332" s="29" t="s">
        <v>3686</v>
      </c>
      <c r="G332" s="29"/>
      <c r="H332" s="29" t="s">
        <v>3687</v>
      </c>
      <c r="I332" s="29"/>
      <c r="J332" s="29"/>
      <c r="K332" s="29"/>
      <c r="L332" s="29" t="s">
        <v>2636</v>
      </c>
      <c r="M332" s="29"/>
      <c r="N332" s="29" t="s">
        <v>4498</v>
      </c>
      <c r="O332" s="29"/>
      <c r="P332" s="29" t="s">
        <v>7320</v>
      </c>
      <c r="Q332" t="s">
        <v>2038</v>
      </c>
      <c r="R332" t="s">
        <v>2633</v>
      </c>
      <c r="S332">
        <v>37</v>
      </c>
      <c r="T332" s="43" t="str">
        <f t="shared" si="15"/>
        <v>2021.010B.R.Binomial_names.zip</v>
      </c>
      <c r="U332" s="43" t="str">
        <f>HYPERLINK("https://ictv.global/taxonomy/taxondetails?taxnode_id=202208921","ictv.global=202208921")</f>
        <v>ictv.global=202208921</v>
      </c>
    </row>
    <row r="333" spans="1:21">
      <c r="A333">
        <v>332</v>
      </c>
      <c r="B333" s="29" t="s">
        <v>3682</v>
      </c>
      <c r="C333" s="29"/>
      <c r="D333" s="29" t="s">
        <v>3683</v>
      </c>
      <c r="E333" s="29"/>
      <c r="F333" s="29" t="s">
        <v>3686</v>
      </c>
      <c r="G333" s="29"/>
      <c r="H333" s="29" t="s">
        <v>3687</v>
      </c>
      <c r="I333" s="29"/>
      <c r="J333" s="29"/>
      <c r="K333" s="29"/>
      <c r="L333" s="29" t="s">
        <v>2636</v>
      </c>
      <c r="M333" s="29"/>
      <c r="N333" s="29" t="s">
        <v>4499</v>
      </c>
      <c r="O333" s="29"/>
      <c r="P333" s="29" t="s">
        <v>7321</v>
      </c>
      <c r="Q333" t="s">
        <v>2038</v>
      </c>
      <c r="R333" t="s">
        <v>2633</v>
      </c>
      <c r="S333">
        <v>37</v>
      </c>
      <c r="T333" s="43" t="str">
        <f t="shared" si="15"/>
        <v>2021.010B.R.Binomial_names.zip</v>
      </c>
      <c r="U333" s="43" t="str">
        <f>HYPERLINK("https://ictv.global/taxonomy/taxondetails?taxnode_id=202208915","ictv.global=202208915")</f>
        <v>ictv.global=202208915</v>
      </c>
    </row>
    <row r="334" spans="1:21">
      <c r="A334">
        <v>333</v>
      </c>
      <c r="B334" s="29" t="s">
        <v>3682</v>
      </c>
      <c r="C334" s="29"/>
      <c r="D334" s="29" t="s">
        <v>3683</v>
      </c>
      <c r="E334" s="29"/>
      <c r="F334" s="29" t="s">
        <v>3686</v>
      </c>
      <c r="G334" s="29"/>
      <c r="H334" s="29" t="s">
        <v>3687</v>
      </c>
      <c r="I334" s="29"/>
      <c r="J334" s="29"/>
      <c r="K334" s="29"/>
      <c r="L334" s="29" t="s">
        <v>7322</v>
      </c>
      <c r="M334" s="29"/>
      <c r="N334" s="29" t="s">
        <v>7323</v>
      </c>
      <c r="O334" s="29"/>
      <c r="P334" s="29" t="s">
        <v>7324</v>
      </c>
      <c r="Q334" t="s">
        <v>2038</v>
      </c>
      <c r="R334" t="s">
        <v>2632</v>
      </c>
      <c r="S334">
        <v>37</v>
      </c>
      <c r="T334" s="43" t="str">
        <f>HYPERLINK("https://ictv.global/ictv/proposals/2021.029B.R.Flavophages_9_families.zip","2021.029B.R.Flavophages_9_families.zip")</f>
        <v>2021.029B.R.Flavophages_9_families.zip</v>
      </c>
      <c r="U334" s="43" t="str">
        <f>HYPERLINK("https://ictv.global/taxonomy/taxondetails?taxnode_id=202213575","ictv.global=202213575")</f>
        <v>ictv.global=202213575</v>
      </c>
    </row>
    <row r="335" spans="1:21">
      <c r="A335">
        <v>334</v>
      </c>
      <c r="B335" s="29" t="s">
        <v>3682</v>
      </c>
      <c r="C335" s="29"/>
      <c r="D335" s="29" t="s">
        <v>3683</v>
      </c>
      <c r="E335" s="29"/>
      <c r="F335" s="29" t="s">
        <v>3686</v>
      </c>
      <c r="G335" s="29"/>
      <c r="H335" s="29" t="s">
        <v>3687</v>
      </c>
      <c r="I335" s="29"/>
      <c r="J335" s="29"/>
      <c r="K335" s="29"/>
      <c r="L335" s="29" t="s">
        <v>7325</v>
      </c>
      <c r="M335" s="29"/>
      <c r="N335" s="29" t="s">
        <v>3512</v>
      </c>
      <c r="O335" s="29"/>
      <c r="P335" s="29" t="s">
        <v>7326</v>
      </c>
      <c r="Q335" t="s">
        <v>2038</v>
      </c>
      <c r="R335" t="s">
        <v>2632</v>
      </c>
      <c r="S335">
        <v>38</v>
      </c>
      <c r="T335" s="43" t="str">
        <f t="shared" ref="T335:T366" si="16">HYPERLINK("https://ictv.global/ictv/proposals/2022.001B.Aliceevansviridae.zip","2022.001B.Aliceevansviridae.zip")</f>
        <v>2022.001B.Aliceevansviridae.zip</v>
      </c>
      <c r="U335" s="43" t="str">
        <f>HYPERLINK("https://ictv.global/taxonomy/taxondetails?taxnode_id=202214425","ictv.global=202214425")</f>
        <v>ictv.global=202214425</v>
      </c>
    </row>
    <row r="336" spans="1:21">
      <c r="A336">
        <v>335</v>
      </c>
      <c r="B336" s="29" t="s">
        <v>3682</v>
      </c>
      <c r="C336" s="29"/>
      <c r="D336" s="29" t="s">
        <v>3683</v>
      </c>
      <c r="E336" s="29"/>
      <c r="F336" s="29" t="s">
        <v>3686</v>
      </c>
      <c r="G336" s="29"/>
      <c r="H336" s="29" t="s">
        <v>3687</v>
      </c>
      <c r="I336" s="29"/>
      <c r="J336" s="29"/>
      <c r="K336" s="29"/>
      <c r="L336" s="29" t="s">
        <v>7325</v>
      </c>
      <c r="M336" s="29"/>
      <c r="N336" s="29" t="s">
        <v>3512</v>
      </c>
      <c r="O336" s="29"/>
      <c r="P336" s="29" t="s">
        <v>7327</v>
      </c>
      <c r="Q336" t="s">
        <v>2038</v>
      </c>
      <c r="R336" t="s">
        <v>2634</v>
      </c>
      <c r="S336">
        <v>38</v>
      </c>
      <c r="T336" s="43" t="str">
        <f t="shared" si="16"/>
        <v>2022.001B.Aliceevansviridae.zip</v>
      </c>
      <c r="U336" s="43" t="str">
        <f>HYPERLINK("https://ictv.global/taxonomy/taxondetails?taxnode_id=202201269","ictv.global=202201269")</f>
        <v>ictv.global=202201269</v>
      </c>
    </row>
    <row r="337" spans="1:21">
      <c r="A337">
        <v>336</v>
      </c>
      <c r="B337" s="29" t="s">
        <v>3682</v>
      </c>
      <c r="C337" s="29"/>
      <c r="D337" s="29" t="s">
        <v>3683</v>
      </c>
      <c r="E337" s="29"/>
      <c r="F337" s="29" t="s">
        <v>3686</v>
      </c>
      <c r="G337" s="29"/>
      <c r="H337" s="29" t="s">
        <v>3687</v>
      </c>
      <c r="I337" s="29"/>
      <c r="J337" s="29"/>
      <c r="K337" s="29"/>
      <c r="L337" s="29" t="s">
        <v>7325</v>
      </c>
      <c r="M337" s="29"/>
      <c r="N337" s="29" t="s">
        <v>3512</v>
      </c>
      <c r="O337" s="29"/>
      <c r="P337" s="29" t="s">
        <v>7328</v>
      </c>
      <c r="Q337" t="s">
        <v>2038</v>
      </c>
      <c r="R337" t="s">
        <v>2634</v>
      </c>
      <c r="S337">
        <v>38</v>
      </c>
      <c r="T337" s="43" t="str">
        <f t="shared" si="16"/>
        <v>2022.001B.Aliceevansviridae.zip</v>
      </c>
      <c r="U337" s="43" t="str">
        <f>HYPERLINK("https://ictv.global/taxonomy/taxondetails?taxnode_id=202201267","ictv.global=202201267")</f>
        <v>ictv.global=202201267</v>
      </c>
    </row>
    <row r="338" spans="1:21">
      <c r="A338">
        <v>337</v>
      </c>
      <c r="B338" s="29" t="s">
        <v>3682</v>
      </c>
      <c r="C338" s="29"/>
      <c r="D338" s="29" t="s">
        <v>3683</v>
      </c>
      <c r="E338" s="29"/>
      <c r="F338" s="29" t="s">
        <v>3686</v>
      </c>
      <c r="G338" s="29"/>
      <c r="H338" s="29" t="s">
        <v>3687</v>
      </c>
      <c r="I338" s="29"/>
      <c r="J338" s="29"/>
      <c r="K338" s="29"/>
      <c r="L338" s="29" t="s">
        <v>7325</v>
      </c>
      <c r="M338" s="29"/>
      <c r="N338" s="29" t="s">
        <v>3512</v>
      </c>
      <c r="O338" s="29"/>
      <c r="P338" s="29" t="s">
        <v>7329</v>
      </c>
      <c r="Q338" t="s">
        <v>2038</v>
      </c>
      <c r="R338" t="s">
        <v>2634</v>
      </c>
      <c r="S338">
        <v>38</v>
      </c>
      <c r="T338" s="43" t="str">
        <f t="shared" si="16"/>
        <v>2022.001B.Aliceevansviridae.zip</v>
      </c>
      <c r="U338" s="43" t="str">
        <f>HYPERLINK("https://ictv.global/taxonomy/taxondetails?taxnode_id=202201268","ictv.global=202201268")</f>
        <v>ictv.global=202201268</v>
      </c>
    </row>
    <row r="339" spans="1:21">
      <c r="A339">
        <v>338</v>
      </c>
      <c r="B339" s="29" t="s">
        <v>3682</v>
      </c>
      <c r="C339" s="29"/>
      <c r="D339" s="29" t="s">
        <v>3683</v>
      </c>
      <c r="E339" s="29"/>
      <c r="F339" s="29" t="s">
        <v>3686</v>
      </c>
      <c r="G339" s="29"/>
      <c r="H339" s="29" t="s">
        <v>3687</v>
      </c>
      <c r="I339" s="29"/>
      <c r="J339" s="29"/>
      <c r="K339" s="29"/>
      <c r="L339" s="29" t="s">
        <v>7325</v>
      </c>
      <c r="M339" s="29"/>
      <c r="N339" s="29" t="s">
        <v>3512</v>
      </c>
      <c r="O339" s="29"/>
      <c r="P339" s="29" t="s">
        <v>7330</v>
      </c>
      <c r="Q339" t="s">
        <v>2038</v>
      </c>
      <c r="R339" t="s">
        <v>2634</v>
      </c>
      <c r="S339">
        <v>38</v>
      </c>
      <c r="T339" s="43" t="str">
        <f t="shared" si="16"/>
        <v>2022.001B.Aliceevansviridae.zip</v>
      </c>
      <c r="U339" s="43" t="str">
        <f>HYPERLINK("https://ictv.global/taxonomy/taxondetails?taxnode_id=202201270","ictv.global=202201270")</f>
        <v>ictv.global=202201270</v>
      </c>
    </row>
    <row r="340" spans="1:21">
      <c r="A340">
        <v>339</v>
      </c>
      <c r="B340" s="29" t="s">
        <v>3682</v>
      </c>
      <c r="C340" s="29"/>
      <c r="D340" s="29" t="s">
        <v>3683</v>
      </c>
      <c r="E340" s="29"/>
      <c r="F340" s="29" t="s">
        <v>3686</v>
      </c>
      <c r="G340" s="29"/>
      <c r="H340" s="29" t="s">
        <v>3687</v>
      </c>
      <c r="I340" s="29"/>
      <c r="J340" s="29"/>
      <c r="K340" s="29"/>
      <c r="L340" s="29" t="s">
        <v>7325</v>
      </c>
      <c r="M340" s="29"/>
      <c r="N340" s="29" t="s">
        <v>3512</v>
      </c>
      <c r="O340" s="29"/>
      <c r="P340" s="29" t="s">
        <v>7331</v>
      </c>
      <c r="Q340" t="s">
        <v>2038</v>
      </c>
      <c r="R340" t="s">
        <v>2632</v>
      </c>
      <c r="S340">
        <v>38</v>
      </c>
      <c r="T340" s="43" t="str">
        <f t="shared" si="16"/>
        <v>2022.001B.Aliceevansviridae.zip</v>
      </c>
      <c r="U340" s="43" t="str">
        <f>HYPERLINK("https://ictv.global/taxonomy/taxondetails?taxnode_id=202214433","ictv.global=202214433")</f>
        <v>ictv.global=202214433</v>
      </c>
    </row>
    <row r="341" spans="1:21">
      <c r="A341">
        <v>340</v>
      </c>
      <c r="B341" s="29" t="s">
        <v>3682</v>
      </c>
      <c r="C341" s="29"/>
      <c r="D341" s="29" t="s">
        <v>3683</v>
      </c>
      <c r="E341" s="29"/>
      <c r="F341" s="29" t="s">
        <v>3686</v>
      </c>
      <c r="G341" s="29"/>
      <c r="H341" s="29" t="s">
        <v>3687</v>
      </c>
      <c r="I341" s="29"/>
      <c r="J341" s="29"/>
      <c r="K341" s="29"/>
      <c r="L341" s="29" t="s">
        <v>7325</v>
      </c>
      <c r="M341" s="29"/>
      <c r="N341" s="29" t="s">
        <v>3512</v>
      </c>
      <c r="O341" s="29"/>
      <c r="P341" s="29" t="s">
        <v>7332</v>
      </c>
      <c r="Q341" t="s">
        <v>2038</v>
      </c>
      <c r="R341" t="s">
        <v>2632</v>
      </c>
      <c r="S341">
        <v>38</v>
      </c>
      <c r="T341" s="43" t="str">
        <f t="shared" si="16"/>
        <v>2022.001B.Aliceevansviridae.zip</v>
      </c>
      <c r="U341" s="43" t="str">
        <f>HYPERLINK("https://ictv.global/taxonomy/taxondetails?taxnode_id=202214434","ictv.global=202214434")</f>
        <v>ictv.global=202214434</v>
      </c>
    </row>
    <row r="342" spans="1:21">
      <c r="A342">
        <v>341</v>
      </c>
      <c r="B342" s="29" t="s">
        <v>3682</v>
      </c>
      <c r="C342" s="29"/>
      <c r="D342" s="29" t="s">
        <v>3683</v>
      </c>
      <c r="E342" s="29"/>
      <c r="F342" s="29" t="s">
        <v>3686</v>
      </c>
      <c r="G342" s="29"/>
      <c r="H342" s="29" t="s">
        <v>3687</v>
      </c>
      <c r="I342" s="29"/>
      <c r="J342" s="29"/>
      <c r="K342" s="29"/>
      <c r="L342" s="29" t="s">
        <v>7325</v>
      </c>
      <c r="M342" s="29"/>
      <c r="N342" s="29" t="s">
        <v>3512</v>
      </c>
      <c r="O342" s="29"/>
      <c r="P342" s="29" t="s">
        <v>7333</v>
      </c>
      <c r="Q342" t="s">
        <v>2038</v>
      </c>
      <c r="R342" t="s">
        <v>2632</v>
      </c>
      <c r="S342">
        <v>38</v>
      </c>
      <c r="T342" s="43" t="str">
        <f t="shared" si="16"/>
        <v>2022.001B.Aliceevansviridae.zip</v>
      </c>
      <c r="U342" s="43" t="str">
        <f>HYPERLINK("https://ictv.global/taxonomy/taxondetails?taxnode_id=202214435","ictv.global=202214435")</f>
        <v>ictv.global=202214435</v>
      </c>
    </row>
    <row r="343" spans="1:21">
      <c r="A343">
        <v>342</v>
      </c>
      <c r="B343" s="29" t="s">
        <v>3682</v>
      </c>
      <c r="C343" s="29"/>
      <c r="D343" s="29" t="s">
        <v>3683</v>
      </c>
      <c r="E343" s="29"/>
      <c r="F343" s="29" t="s">
        <v>3686</v>
      </c>
      <c r="G343" s="29"/>
      <c r="H343" s="29" t="s">
        <v>3687</v>
      </c>
      <c r="I343" s="29"/>
      <c r="J343" s="29"/>
      <c r="K343" s="29"/>
      <c r="L343" s="29" t="s">
        <v>7325</v>
      </c>
      <c r="M343" s="29"/>
      <c r="N343" s="29" t="s">
        <v>3512</v>
      </c>
      <c r="O343" s="29"/>
      <c r="P343" s="29" t="s">
        <v>7334</v>
      </c>
      <c r="Q343" t="s">
        <v>2038</v>
      </c>
      <c r="R343" t="s">
        <v>2632</v>
      </c>
      <c r="S343">
        <v>38</v>
      </c>
      <c r="T343" s="43" t="str">
        <f t="shared" si="16"/>
        <v>2022.001B.Aliceevansviridae.zip</v>
      </c>
      <c r="U343" s="43" t="str">
        <f>HYPERLINK("https://ictv.global/taxonomy/taxondetails?taxnode_id=202214436","ictv.global=202214436")</f>
        <v>ictv.global=202214436</v>
      </c>
    </row>
    <row r="344" spans="1:21">
      <c r="A344">
        <v>343</v>
      </c>
      <c r="B344" s="29" t="s">
        <v>3682</v>
      </c>
      <c r="C344" s="29"/>
      <c r="D344" s="29" t="s">
        <v>3683</v>
      </c>
      <c r="E344" s="29"/>
      <c r="F344" s="29" t="s">
        <v>3686</v>
      </c>
      <c r="G344" s="29"/>
      <c r="H344" s="29" t="s">
        <v>3687</v>
      </c>
      <c r="I344" s="29"/>
      <c r="J344" s="29"/>
      <c r="K344" s="29"/>
      <c r="L344" s="29" t="s">
        <v>7325</v>
      </c>
      <c r="M344" s="29"/>
      <c r="N344" s="29" t="s">
        <v>3512</v>
      </c>
      <c r="O344" s="29"/>
      <c r="P344" s="29" t="s">
        <v>7335</v>
      </c>
      <c r="Q344" t="s">
        <v>2038</v>
      </c>
      <c r="R344" t="s">
        <v>2632</v>
      </c>
      <c r="S344">
        <v>38</v>
      </c>
      <c r="T344" s="43" t="str">
        <f t="shared" si="16"/>
        <v>2022.001B.Aliceevansviridae.zip</v>
      </c>
      <c r="U344" s="43" t="str">
        <f>HYPERLINK("https://ictv.global/taxonomy/taxondetails?taxnode_id=202214437","ictv.global=202214437")</f>
        <v>ictv.global=202214437</v>
      </c>
    </row>
    <row r="345" spans="1:21">
      <c r="A345">
        <v>344</v>
      </c>
      <c r="B345" s="29" t="s">
        <v>3682</v>
      </c>
      <c r="C345" s="29"/>
      <c r="D345" s="29" t="s">
        <v>3683</v>
      </c>
      <c r="E345" s="29"/>
      <c r="F345" s="29" t="s">
        <v>3686</v>
      </c>
      <c r="G345" s="29"/>
      <c r="H345" s="29" t="s">
        <v>3687</v>
      </c>
      <c r="I345" s="29"/>
      <c r="J345" s="29"/>
      <c r="K345" s="29"/>
      <c r="L345" s="29" t="s">
        <v>7325</v>
      </c>
      <c r="M345" s="29"/>
      <c r="N345" s="29" t="s">
        <v>3512</v>
      </c>
      <c r="O345" s="29"/>
      <c r="P345" s="29" t="s">
        <v>7336</v>
      </c>
      <c r="Q345" t="s">
        <v>2038</v>
      </c>
      <c r="R345" t="s">
        <v>2632</v>
      </c>
      <c r="S345">
        <v>38</v>
      </c>
      <c r="T345" s="43" t="str">
        <f t="shared" si="16"/>
        <v>2022.001B.Aliceevansviridae.zip</v>
      </c>
      <c r="U345" s="43" t="str">
        <f>HYPERLINK("https://ictv.global/taxonomy/taxondetails?taxnode_id=202214426","ictv.global=202214426")</f>
        <v>ictv.global=202214426</v>
      </c>
    </row>
    <row r="346" spans="1:21">
      <c r="A346">
        <v>345</v>
      </c>
      <c r="B346" s="29" t="s">
        <v>3682</v>
      </c>
      <c r="C346" s="29"/>
      <c r="D346" s="29" t="s">
        <v>3683</v>
      </c>
      <c r="E346" s="29"/>
      <c r="F346" s="29" t="s">
        <v>3686</v>
      </c>
      <c r="G346" s="29"/>
      <c r="H346" s="29" t="s">
        <v>3687</v>
      </c>
      <c r="I346" s="29"/>
      <c r="J346" s="29"/>
      <c r="K346" s="29"/>
      <c r="L346" s="29" t="s">
        <v>7325</v>
      </c>
      <c r="M346" s="29"/>
      <c r="N346" s="29" t="s">
        <v>3512</v>
      </c>
      <c r="O346" s="29"/>
      <c r="P346" s="29" t="s">
        <v>7337</v>
      </c>
      <c r="Q346" t="s">
        <v>2038</v>
      </c>
      <c r="R346" t="s">
        <v>2632</v>
      </c>
      <c r="S346">
        <v>38</v>
      </c>
      <c r="T346" s="43" t="str">
        <f t="shared" si="16"/>
        <v>2022.001B.Aliceevansviridae.zip</v>
      </c>
      <c r="U346" s="43" t="str">
        <f>HYPERLINK("https://ictv.global/taxonomy/taxondetails?taxnode_id=202214427","ictv.global=202214427")</f>
        <v>ictv.global=202214427</v>
      </c>
    </row>
    <row r="347" spans="1:21">
      <c r="A347">
        <v>346</v>
      </c>
      <c r="B347" s="29" t="s">
        <v>3682</v>
      </c>
      <c r="C347" s="29"/>
      <c r="D347" s="29" t="s">
        <v>3683</v>
      </c>
      <c r="E347" s="29"/>
      <c r="F347" s="29" t="s">
        <v>3686</v>
      </c>
      <c r="G347" s="29"/>
      <c r="H347" s="29" t="s">
        <v>3687</v>
      </c>
      <c r="I347" s="29"/>
      <c r="J347" s="29"/>
      <c r="K347" s="29"/>
      <c r="L347" s="29" t="s">
        <v>7325</v>
      </c>
      <c r="M347" s="29"/>
      <c r="N347" s="29" t="s">
        <v>3512</v>
      </c>
      <c r="O347" s="29"/>
      <c r="P347" s="29" t="s">
        <v>7338</v>
      </c>
      <c r="Q347" t="s">
        <v>2038</v>
      </c>
      <c r="R347" t="s">
        <v>2632</v>
      </c>
      <c r="S347">
        <v>38</v>
      </c>
      <c r="T347" s="43" t="str">
        <f t="shared" si="16"/>
        <v>2022.001B.Aliceevansviridae.zip</v>
      </c>
      <c r="U347" s="43" t="str">
        <f>HYPERLINK("https://ictv.global/taxonomy/taxondetails?taxnode_id=202214428","ictv.global=202214428")</f>
        <v>ictv.global=202214428</v>
      </c>
    </row>
    <row r="348" spans="1:21">
      <c r="A348">
        <v>347</v>
      </c>
      <c r="B348" s="29" t="s">
        <v>3682</v>
      </c>
      <c r="C348" s="29"/>
      <c r="D348" s="29" t="s">
        <v>3683</v>
      </c>
      <c r="E348" s="29"/>
      <c r="F348" s="29" t="s">
        <v>3686</v>
      </c>
      <c r="G348" s="29"/>
      <c r="H348" s="29" t="s">
        <v>3687</v>
      </c>
      <c r="I348" s="29"/>
      <c r="J348" s="29"/>
      <c r="K348" s="29"/>
      <c r="L348" s="29" t="s">
        <v>7325</v>
      </c>
      <c r="M348" s="29"/>
      <c r="N348" s="29" t="s">
        <v>3512</v>
      </c>
      <c r="O348" s="29"/>
      <c r="P348" s="29" t="s">
        <v>7339</v>
      </c>
      <c r="Q348" t="s">
        <v>2038</v>
      </c>
      <c r="R348" t="s">
        <v>2632</v>
      </c>
      <c r="S348">
        <v>38</v>
      </c>
      <c r="T348" s="43" t="str">
        <f t="shared" si="16"/>
        <v>2022.001B.Aliceevansviridae.zip</v>
      </c>
      <c r="U348" s="43" t="str">
        <f>HYPERLINK("https://ictv.global/taxonomy/taxondetails?taxnode_id=202214429","ictv.global=202214429")</f>
        <v>ictv.global=202214429</v>
      </c>
    </row>
    <row r="349" spans="1:21">
      <c r="A349">
        <v>348</v>
      </c>
      <c r="B349" s="29" t="s">
        <v>3682</v>
      </c>
      <c r="C349" s="29"/>
      <c r="D349" s="29" t="s">
        <v>3683</v>
      </c>
      <c r="E349" s="29"/>
      <c r="F349" s="29" t="s">
        <v>3686</v>
      </c>
      <c r="G349" s="29"/>
      <c r="H349" s="29" t="s">
        <v>3687</v>
      </c>
      <c r="I349" s="29"/>
      <c r="J349" s="29"/>
      <c r="K349" s="29"/>
      <c r="L349" s="29" t="s">
        <v>7325</v>
      </c>
      <c r="M349" s="29"/>
      <c r="N349" s="29" t="s">
        <v>3512</v>
      </c>
      <c r="O349" s="29"/>
      <c r="P349" s="29" t="s">
        <v>7340</v>
      </c>
      <c r="Q349" t="s">
        <v>2038</v>
      </c>
      <c r="R349" t="s">
        <v>2632</v>
      </c>
      <c r="S349">
        <v>38</v>
      </c>
      <c r="T349" s="43" t="str">
        <f t="shared" si="16"/>
        <v>2022.001B.Aliceevansviridae.zip</v>
      </c>
      <c r="U349" s="43" t="str">
        <f>HYPERLINK("https://ictv.global/taxonomy/taxondetails?taxnode_id=202214430","ictv.global=202214430")</f>
        <v>ictv.global=202214430</v>
      </c>
    </row>
    <row r="350" spans="1:21">
      <c r="A350">
        <v>349</v>
      </c>
      <c r="B350" s="29" t="s">
        <v>3682</v>
      </c>
      <c r="C350" s="29"/>
      <c r="D350" s="29" t="s">
        <v>3683</v>
      </c>
      <c r="E350" s="29"/>
      <c r="F350" s="29" t="s">
        <v>3686</v>
      </c>
      <c r="G350" s="29"/>
      <c r="H350" s="29" t="s">
        <v>3687</v>
      </c>
      <c r="I350" s="29"/>
      <c r="J350" s="29"/>
      <c r="K350" s="29"/>
      <c r="L350" s="29" t="s">
        <v>7325</v>
      </c>
      <c r="M350" s="29"/>
      <c r="N350" s="29" t="s">
        <v>3512</v>
      </c>
      <c r="O350" s="29"/>
      <c r="P350" s="29" t="s">
        <v>7341</v>
      </c>
      <c r="Q350" t="s">
        <v>2038</v>
      </c>
      <c r="R350" t="s">
        <v>2632</v>
      </c>
      <c r="S350">
        <v>38</v>
      </c>
      <c r="T350" s="43" t="str">
        <f t="shared" si="16"/>
        <v>2022.001B.Aliceevansviridae.zip</v>
      </c>
      <c r="U350" s="43" t="str">
        <f>HYPERLINK("https://ictv.global/taxonomy/taxondetails?taxnode_id=202214431","ictv.global=202214431")</f>
        <v>ictv.global=202214431</v>
      </c>
    </row>
    <row r="351" spans="1:21">
      <c r="A351">
        <v>350</v>
      </c>
      <c r="B351" s="29" t="s">
        <v>3682</v>
      </c>
      <c r="C351" s="29"/>
      <c r="D351" s="29" t="s">
        <v>3683</v>
      </c>
      <c r="E351" s="29"/>
      <c r="F351" s="29" t="s">
        <v>3686</v>
      </c>
      <c r="G351" s="29"/>
      <c r="H351" s="29" t="s">
        <v>3687</v>
      </c>
      <c r="I351" s="29"/>
      <c r="J351" s="29"/>
      <c r="K351" s="29"/>
      <c r="L351" s="29" t="s">
        <v>7325</v>
      </c>
      <c r="M351" s="29"/>
      <c r="N351" s="29" t="s">
        <v>3512</v>
      </c>
      <c r="O351" s="29"/>
      <c r="P351" s="29" t="s">
        <v>7342</v>
      </c>
      <c r="Q351" t="s">
        <v>2038</v>
      </c>
      <c r="R351" t="s">
        <v>2632</v>
      </c>
      <c r="S351">
        <v>38</v>
      </c>
      <c r="T351" s="43" t="str">
        <f t="shared" si="16"/>
        <v>2022.001B.Aliceevansviridae.zip</v>
      </c>
      <c r="U351" s="43" t="str">
        <f>HYPERLINK("https://ictv.global/taxonomy/taxondetails?taxnode_id=202214432","ictv.global=202214432")</f>
        <v>ictv.global=202214432</v>
      </c>
    </row>
    <row r="352" spans="1:21">
      <c r="A352">
        <v>351</v>
      </c>
      <c r="B352" s="29" t="s">
        <v>3682</v>
      </c>
      <c r="C352" s="29"/>
      <c r="D352" s="29" t="s">
        <v>3683</v>
      </c>
      <c r="E352" s="29"/>
      <c r="F352" s="29" t="s">
        <v>3686</v>
      </c>
      <c r="G352" s="29"/>
      <c r="H352" s="29" t="s">
        <v>3687</v>
      </c>
      <c r="I352" s="29"/>
      <c r="J352" s="29"/>
      <c r="K352" s="29"/>
      <c r="L352" s="29" t="s">
        <v>7325</v>
      </c>
      <c r="M352" s="29"/>
      <c r="N352" s="29" t="s">
        <v>3512</v>
      </c>
      <c r="O352" s="29"/>
      <c r="P352" s="29" t="s">
        <v>7343</v>
      </c>
      <c r="Q352" t="s">
        <v>2038</v>
      </c>
      <c r="R352" t="s">
        <v>2632</v>
      </c>
      <c r="S352">
        <v>38</v>
      </c>
      <c r="T352" s="43" t="str">
        <f t="shared" si="16"/>
        <v>2022.001B.Aliceevansviridae.zip</v>
      </c>
      <c r="U352" s="43" t="str">
        <f>HYPERLINK("https://ictv.global/taxonomy/taxondetails?taxnode_id=202214438","ictv.global=202214438")</f>
        <v>ictv.global=202214438</v>
      </c>
    </row>
    <row r="353" spans="1:21">
      <c r="A353">
        <v>352</v>
      </c>
      <c r="B353" s="29" t="s">
        <v>3682</v>
      </c>
      <c r="C353" s="29"/>
      <c r="D353" s="29" t="s">
        <v>3683</v>
      </c>
      <c r="E353" s="29"/>
      <c r="F353" s="29" t="s">
        <v>3686</v>
      </c>
      <c r="G353" s="29"/>
      <c r="H353" s="29" t="s">
        <v>3687</v>
      </c>
      <c r="I353" s="29"/>
      <c r="J353" s="29"/>
      <c r="K353" s="29"/>
      <c r="L353" s="29" t="s">
        <v>7325</v>
      </c>
      <c r="M353" s="29"/>
      <c r="N353" s="29" t="s">
        <v>3512</v>
      </c>
      <c r="O353" s="29"/>
      <c r="P353" s="29" t="s">
        <v>7344</v>
      </c>
      <c r="Q353" t="s">
        <v>2038</v>
      </c>
      <c r="R353" t="s">
        <v>2632</v>
      </c>
      <c r="S353">
        <v>38</v>
      </c>
      <c r="T353" s="43" t="str">
        <f t="shared" si="16"/>
        <v>2022.001B.Aliceevansviridae.zip</v>
      </c>
      <c r="U353" s="43" t="str">
        <f>HYPERLINK("https://ictv.global/taxonomy/taxondetails?taxnode_id=202214439","ictv.global=202214439")</f>
        <v>ictv.global=202214439</v>
      </c>
    </row>
    <row r="354" spans="1:21">
      <c r="A354">
        <v>353</v>
      </c>
      <c r="B354" s="29" t="s">
        <v>3682</v>
      </c>
      <c r="C354" s="29"/>
      <c r="D354" s="29" t="s">
        <v>3683</v>
      </c>
      <c r="E354" s="29"/>
      <c r="F354" s="29" t="s">
        <v>3686</v>
      </c>
      <c r="G354" s="29"/>
      <c r="H354" s="29" t="s">
        <v>3687</v>
      </c>
      <c r="I354" s="29"/>
      <c r="J354" s="29"/>
      <c r="K354" s="29"/>
      <c r="L354" s="29" t="s">
        <v>7325</v>
      </c>
      <c r="M354" s="29"/>
      <c r="N354" s="29" t="s">
        <v>3512</v>
      </c>
      <c r="O354" s="29"/>
      <c r="P354" s="29" t="s">
        <v>7345</v>
      </c>
      <c r="Q354" t="s">
        <v>2038</v>
      </c>
      <c r="R354" t="s">
        <v>2632</v>
      </c>
      <c r="S354">
        <v>38</v>
      </c>
      <c r="T354" s="43" t="str">
        <f t="shared" si="16"/>
        <v>2022.001B.Aliceevansviridae.zip</v>
      </c>
      <c r="U354" s="43" t="str">
        <f>HYPERLINK("https://ictv.global/taxonomy/taxondetails?taxnode_id=202214440","ictv.global=202214440")</f>
        <v>ictv.global=202214440</v>
      </c>
    </row>
    <row r="355" spans="1:21">
      <c r="A355">
        <v>354</v>
      </c>
      <c r="B355" s="29" t="s">
        <v>3682</v>
      </c>
      <c r="C355" s="29"/>
      <c r="D355" s="29" t="s">
        <v>3683</v>
      </c>
      <c r="E355" s="29"/>
      <c r="F355" s="29" t="s">
        <v>3686</v>
      </c>
      <c r="G355" s="29"/>
      <c r="H355" s="29" t="s">
        <v>3687</v>
      </c>
      <c r="I355" s="29"/>
      <c r="J355" s="29"/>
      <c r="K355" s="29"/>
      <c r="L355" s="29" t="s">
        <v>7325</v>
      </c>
      <c r="M355" s="29"/>
      <c r="N355" s="29" t="s">
        <v>3512</v>
      </c>
      <c r="O355" s="29"/>
      <c r="P355" s="29" t="s">
        <v>7346</v>
      </c>
      <c r="Q355" t="s">
        <v>2038</v>
      </c>
      <c r="R355" t="s">
        <v>2632</v>
      </c>
      <c r="S355">
        <v>38</v>
      </c>
      <c r="T355" s="43" t="str">
        <f t="shared" si="16"/>
        <v>2022.001B.Aliceevansviridae.zip</v>
      </c>
      <c r="U355" s="43" t="str">
        <f>HYPERLINK("https://ictv.global/taxonomy/taxondetails?taxnode_id=202214441","ictv.global=202214441")</f>
        <v>ictv.global=202214441</v>
      </c>
    </row>
    <row r="356" spans="1:21">
      <c r="A356">
        <v>355</v>
      </c>
      <c r="B356" s="29" t="s">
        <v>3682</v>
      </c>
      <c r="C356" s="29"/>
      <c r="D356" s="29" t="s">
        <v>3683</v>
      </c>
      <c r="E356" s="29"/>
      <c r="F356" s="29" t="s">
        <v>3686</v>
      </c>
      <c r="G356" s="29"/>
      <c r="H356" s="29" t="s">
        <v>3687</v>
      </c>
      <c r="I356" s="29"/>
      <c r="J356" s="29"/>
      <c r="K356" s="29"/>
      <c r="L356" s="29" t="s">
        <v>7325</v>
      </c>
      <c r="M356" s="29"/>
      <c r="N356" s="29" t="s">
        <v>3512</v>
      </c>
      <c r="O356" s="29"/>
      <c r="P356" s="29" t="s">
        <v>7347</v>
      </c>
      <c r="Q356" t="s">
        <v>2038</v>
      </c>
      <c r="R356" t="s">
        <v>2632</v>
      </c>
      <c r="S356">
        <v>38</v>
      </c>
      <c r="T356" s="43" t="str">
        <f t="shared" si="16"/>
        <v>2022.001B.Aliceevansviridae.zip</v>
      </c>
      <c r="U356" s="43" t="str">
        <f>HYPERLINK("https://ictv.global/taxonomy/taxondetails?taxnode_id=202214442","ictv.global=202214442")</f>
        <v>ictv.global=202214442</v>
      </c>
    </row>
    <row r="357" spans="1:21">
      <c r="A357">
        <v>356</v>
      </c>
      <c r="B357" s="29" t="s">
        <v>3682</v>
      </c>
      <c r="C357" s="29"/>
      <c r="D357" s="29" t="s">
        <v>3683</v>
      </c>
      <c r="E357" s="29"/>
      <c r="F357" s="29" t="s">
        <v>3686</v>
      </c>
      <c r="G357" s="29"/>
      <c r="H357" s="29" t="s">
        <v>3687</v>
      </c>
      <c r="I357" s="29"/>
      <c r="J357" s="29"/>
      <c r="K357" s="29"/>
      <c r="L357" s="29" t="s">
        <v>7325</v>
      </c>
      <c r="M357" s="29"/>
      <c r="N357" s="29" t="s">
        <v>3512</v>
      </c>
      <c r="O357" s="29"/>
      <c r="P357" s="29" t="s">
        <v>7348</v>
      </c>
      <c r="Q357" t="s">
        <v>2038</v>
      </c>
      <c r="R357" t="s">
        <v>2632</v>
      </c>
      <c r="S357">
        <v>38</v>
      </c>
      <c r="T357" s="43" t="str">
        <f t="shared" si="16"/>
        <v>2022.001B.Aliceevansviridae.zip</v>
      </c>
      <c r="U357" s="43" t="str">
        <f>HYPERLINK("https://ictv.global/taxonomy/taxondetails?taxnode_id=202214443","ictv.global=202214443")</f>
        <v>ictv.global=202214443</v>
      </c>
    </row>
    <row r="358" spans="1:21">
      <c r="A358">
        <v>357</v>
      </c>
      <c r="B358" s="29" t="s">
        <v>3682</v>
      </c>
      <c r="C358" s="29"/>
      <c r="D358" s="29" t="s">
        <v>3683</v>
      </c>
      <c r="E358" s="29"/>
      <c r="F358" s="29" t="s">
        <v>3686</v>
      </c>
      <c r="G358" s="29"/>
      <c r="H358" s="29" t="s">
        <v>3687</v>
      </c>
      <c r="I358" s="29"/>
      <c r="J358" s="29"/>
      <c r="K358" s="29"/>
      <c r="L358" s="29" t="s">
        <v>7325</v>
      </c>
      <c r="M358" s="29"/>
      <c r="N358" s="29" t="s">
        <v>3512</v>
      </c>
      <c r="O358" s="29"/>
      <c r="P358" s="29" t="s">
        <v>7349</v>
      </c>
      <c r="Q358" t="s">
        <v>2038</v>
      </c>
      <c r="R358" t="s">
        <v>2632</v>
      </c>
      <c r="S358">
        <v>38</v>
      </c>
      <c r="T358" s="43" t="str">
        <f t="shared" si="16"/>
        <v>2022.001B.Aliceevansviridae.zip</v>
      </c>
      <c r="U358" s="43" t="str">
        <f>HYPERLINK("https://ictv.global/taxonomy/taxondetails?taxnode_id=202214444","ictv.global=202214444")</f>
        <v>ictv.global=202214444</v>
      </c>
    </row>
    <row r="359" spans="1:21">
      <c r="A359">
        <v>358</v>
      </c>
      <c r="B359" s="29" t="s">
        <v>3682</v>
      </c>
      <c r="C359" s="29"/>
      <c r="D359" s="29" t="s">
        <v>3683</v>
      </c>
      <c r="E359" s="29"/>
      <c r="F359" s="29" t="s">
        <v>3686</v>
      </c>
      <c r="G359" s="29"/>
      <c r="H359" s="29" t="s">
        <v>3687</v>
      </c>
      <c r="I359" s="29"/>
      <c r="J359" s="29"/>
      <c r="K359" s="29"/>
      <c r="L359" s="29" t="s">
        <v>7325</v>
      </c>
      <c r="M359" s="29"/>
      <c r="N359" s="29" t="s">
        <v>3512</v>
      </c>
      <c r="O359" s="29"/>
      <c r="P359" s="29" t="s">
        <v>7350</v>
      </c>
      <c r="Q359" t="s">
        <v>2038</v>
      </c>
      <c r="R359" t="s">
        <v>2632</v>
      </c>
      <c r="S359">
        <v>38</v>
      </c>
      <c r="T359" s="43" t="str">
        <f t="shared" si="16"/>
        <v>2022.001B.Aliceevansviridae.zip</v>
      </c>
      <c r="U359" s="43" t="str">
        <f>HYPERLINK("https://ictv.global/taxonomy/taxondetails?taxnode_id=202214445","ictv.global=202214445")</f>
        <v>ictv.global=202214445</v>
      </c>
    </row>
    <row r="360" spans="1:21">
      <c r="A360">
        <v>359</v>
      </c>
      <c r="B360" s="29" t="s">
        <v>3682</v>
      </c>
      <c r="C360" s="29"/>
      <c r="D360" s="29" t="s">
        <v>3683</v>
      </c>
      <c r="E360" s="29"/>
      <c r="F360" s="29" t="s">
        <v>3686</v>
      </c>
      <c r="G360" s="29"/>
      <c r="H360" s="29" t="s">
        <v>3687</v>
      </c>
      <c r="I360" s="29"/>
      <c r="J360" s="29"/>
      <c r="K360" s="29"/>
      <c r="L360" s="29" t="s">
        <v>7325</v>
      </c>
      <c r="M360" s="29"/>
      <c r="N360" s="29" t="s">
        <v>3512</v>
      </c>
      <c r="O360" s="29"/>
      <c r="P360" s="29" t="s">
        <v>7351</v>
      </c>
      <c r="Q360" t="s">
        <v>2038</v>
      </c>
      <c r="R360" t="s">
        <v>2634</v>
      </c>
      <c r="S360">
        <v>38</v>
      </c>
      <c r="T360" s="43" t="str">
        <f t="shared" si="16"/>
        <v>2022.001B.Aliceevansviridae.zip</v>
      </c>
      <c r="U360" s="43" t="str">
        <f>HYPERLINK("https://ictv.global/taxonomy/taxondetails?taxnode_id=202201271","ictv.global=202201271")</f>
        <v>ictv.global=202201271</v>
      </c>
    </row>
    <row r="361" spans="1:21">
      <c r="A361">
        <v>360</v>
      </c>
      <c r="B361" s="29" t="s">
        <v>3682</v>
      </c>
      <c r="C361" s="29"/>
      <c r="D361" s="29" t="s">
        <v>3683</v>
      </c>
      <c r="E361" s="29"/>
      <c r="F361" s="29" t="s">
        <v>3686</v>
      </c>
      <c r="G361" s="29"/>
      <c r="H361" s="29" t="s">
        <v>3687</v>
      </c>
      <c r="I361" s="29"/>
      <c r="J361" s="29"/>
      <c r="K361" s="29"/>
      <c r="L361" s="29" t="s">
        <v>7325</v>
      </c>
      <c r="M361" s="29"/>
      <c r="N361" s="29" t="s">
        <v>3512</v>
      </c>
      <c r="O361" s="29"/>
      <c r="P361" s="29" t="s">
        <v>7352</v>
      </c>
      <c r="Q361" t="s">
        <v>2038</v>
      </c>
      <c r="R361" t="s">
        <v>2632</v>
      </c>
      <c r="S361">
        <v>38</v>
      </c>
      <c r="T361" s="43" t="str">
        <f t="shared" si="16"/>
        <v>2022.001B.Aliceevansviridae.zip</v>
      </c>
      <c r="U361" s="43" t="str">
        <f>HYPERLINK("https://ictv.global/taxonomy/taxondetails?taxnode_id=202214447","ictv.global=202214447")</f>
        <v>ictv.global=202214447</v>
      </c>
    </row>
    <row r="362" spans="1:21">
      <c r="A362">
        <v>361</v>
      </c>
      <c r="B362" s="29" t="s">
        <v>3682</v>
      </c>
      <c r="C362" s="29"/>
      <c r="D362" s="29" t="s">
        <v>3683</v>
      </c>
      <c r="E362" s="29"/>
      <c r="F362" s="29" t="s">
        <v>3686</v>
      </c>
      <c r="G362" s="29"/>
      <c r="H362" s="29" t="s">
        <v>3687</v>
      </c>
      <c r="I362" s="29"/>
      <c r="J362" s="29"/>
      <c r="K362" s="29"/>
      <c r="L362" s="29" t="s">
        <v>7325</v>
      </c>
      <c r="M362" s="29"/>
      <c r="N362" s="29" t="s">
        <v>3512</v>
      </c>
      <c r="O362" s="29"/>
      <c r="P362" s="29" t="s">
        <v>7353</v>
      </c>
      <c r="Q362" t="s">
        <v>2038</v>
      </c>
      <c r="R362" t="s">
        <v>2632</v>
      </c>
      <c r="S362">
        <v>38</v>
      </c>
      <c r="T362" s="43" t="str">
        <f t="shared" si="16"/>
        <v>2022.001B.Aliceevansviridae.zip</v>
      </c>
      <c r="U362" s="43" t="str">
        <f>HYPERLINK("https://ictv.global/taxonomy/taxondetails?taxnode_id=202214448","ictv.global=202214448")</f>
        <v>ictv.global=202214448</v>
      </c>
    </row>
    <row r="363" spans="1:21">
      <c r="A363">
        <v>362</v>
      </c>
      <c r="B363" s="29" t="s">
        <v>3682</v>
      </c>
      <c r="C363" s="29"/>
      <c r="D363" s="29" t="s">
        <v>3683</v>
      </c>
      <c r="E363" s="29"/>
      <c r="F363" s="29" t="s">
        <v>3686</v>
      </c>
      <c r="G363" s="29"/>
      <c r="H363" s="29" t="s">
        <v>3687</v>
      </c>
      <c r="I363" s="29"/>
      <c r="J363" s="29"/>
      <c r="K363" s="29"/>
      <c r="L363" s="29" t="s">
        <v>7325</v>
      </c>
      <c r="M363" s="29"/>
      <c r="N363" s="29" t="s">
        <v>3512</v>
      </c>
      <c r="O363" s="29"/>
      <c r="P363" s="29" t="s">
        <v>7354</v>
      </c>
      <c r="Q363" t="s">
        <v>2038</v>
      </c>
      <c r="R363" t="s">
        <v>2632</v>
      </c>
      <c r="S363">
        <v>38</v>
      </c>
      <c r="T363" s="43" t="str">
        <f t="shared" si="16"/>
        <v>2022.001B.Aliceevansviridae.zip</v>
      </c>
      <c r="U363" s="43" t="str">
        <f>HYPERLINK("https://ictv.global/taxonomy/taxondetails?taxnode_id=202214449","ictv.global=202214449")</f>
        <v>ictv.global=202214449</v>
      </c>
    </row>
    <row r="364" spans="1:21">
      <c r="A364">
        <v>363</v>
      </c>
      <c r="B364" s="29" t="s">
        <v>3682</v>
      </c>
      <c r="C364" s="29"/>
      <c r="D364" s="29" t="s">
        <v>3683</v>
      </c>
      <c r="E364" s="29"/>
      <c r="F364" s="29" t="s">
        <v>3686</v>
      </c>
      <c r="G364" s="29"/>
      <c r="H364" s="29" t="s">
        <v>3687</v>
      </c>
      <c r="I364" s="29"/>
      <c r="J364" s="29"/>
      <c r="K364" s="29"/>
      <c r="L364" s="29" t="s">
        <v>7325</v>
      </c>
      <c r="M364" s="29"/>
      <c r="N364" s="29" t="s">
        <v>3512</v>
      </c>
      <c r="O364" s="29"/>
      <c r="P364" s="29" t="s">
        <v>7355</v>
      </c>
      <c r="Q364" t="s">
        <v>2038</v>
      </c>
      <c r="R364" t="s">
        <v>2632</v>
      </c>
      <c r="S364">
        <v>38</v>
      </c>
      <c r="T364" s="43" t="str">
        <f t="shared" si="16"/>
        <v>2022.001B.Aliceevansviridae.zip</v>
      </c>
      <c r="U364" s="43" t="str">
        <f>HYPERLINK("https://ictv.global/taxonomy/taxondetails?taxnode_id=202214450","ictv.global=202214450")</f>
        <v>ictv.global=202214450</v>
      </c>
    </row>
    <row r="365" spans="1:21">
      <c r="A365">
        <v>364</v>
      </c>
      <c r="B365" s="29" t="s">
        <v>3682</v>
      </c>
      <c r="C365" s="29"/>
      <c r="D365" s="29" t="s">
        <v>3683</v>
      </c>
      <c r="E365" s="29"/>
      <c r="F365" s="29" t="s">
        <v>3686</v>
      </c>
      <c r="G365" s="29"/>
      <c r="H365" s="29" t="s">
        <v>3687</v>
      </c>
      <c r="I365" s="29"/>
      <c r="J365" s="29"/>
      <c r="K365" s="29"/>
      <c r="L365" s="29" t="s">
        <v>7325</v>
      </c>
      <c r="M365" s="29"/>
      <c r="N365" s="29" t="s">
        <v>3512</v>
      </c>
      <c r="O365" s="29"/>
      <c r="P365" s="29" t="s">
        <v>7356</v>
      </c>
      <c r="Q365" t="s">
        <v>2038</v>
      </c>
      <c r="R365" t="s">
        <v>2632</v>
      </c>
      <c r="S365">
        <v>38</v>
      </c>
      <c r="T365" s="43" t="str">
        <f t="shared" si="16"/>
        <v>2022.001B.Aliceevansviridae.zip</v>
      </c>
      <c r="U365" s="43" t="str">
        <f>HYPERLINK("https://ictv.global/taxonomy/taxondetails?taxnode_id=202214446","ictv.global=202214446")</f>
        <v>ictv.global=202214446</v>
      </c>
    </row>
    <row r="366" spans="1:21">
      <c r="A366">
        <v>365</v>
      </c>
      <c r="B366" s="29" t="s">
        <v>3682</v>
      </c>
      <c r="C366" s="29"/>
      <c r="D366" s="29" t="s">
        <v>3683</v>
      </c>
      <c r="E366" s="29"/>
      <c r="F366" s="29" t="s">
        <v>3686</v>
      </c>
      <c r="G366" s="29"/>
      <c r="H366" s="29" t="s">
        <v>3687</v>
      </c>
      <c r="I366" s="29"/>
      <c r="J366" s="29"/>
      <c r="K366" s="29"/>
      <c r="L366" s="29" t="s">
        <v>7325</v>
      </c>
      <c r="M366" s="29"/>
      <c r="N366" s="29" t="s">
        <v>3512</v>
      </c>
      <c r="O366" s="29"/>
      <c r="P366" s="29" t="s">
        <v>7357</v>
      </c>
      <c r="Q366" t="s">
        <v>2038</v>
      </c>
      <c r="R366" t="s">
        <v>2632</v>
      </c>
      <c r="S366">
        <v>38</v>
      </c>
      <c r="T366" s="43" t="str">
        <f t="shared" si="16"/>
        <v>2022.001B.Aliceevansviridae.zip</v>
      </c>
      <c r="U366" s="43" t="str">
        <f>HYPERLINK("https://ictv.global/taxonomy/taxondetails?taxnode_id=202214451","ictv.global=202214451")</f>
        <v>ictv.global=202214451</v>
      </c>
    </row>
    <row r="367" spans="1:21">
      <c r="A367">
        <v>366</v>
      </c>
      <c r="B367" s="29" t="s">
        <v>3682</v>
      </c>
      <c r="C367" s="29"/>
      <c r="D367" s="29" t="s">
        <v>3683</v>
      </c>
      <c r="E367" s="29"/>
      <c r="F367" s="29" t="s">
        <v>3686</v>
      </c>
      <c r="G367" s="29"/>
      <c r="H367" s="29" t="s">
        <v>3687</v>
      </c>
      <c r="I367" s="29"/>
      <c r="J367" s="29"/>
      <c r="K367" s="29"/>
      <c r="L367" s="29" t="s">
        <v>7325</v>
      </c>
      <c r="M367" s="29"/>
      <c r="N367" s="29" t="s">
        <v>3512</v>
      </c>
      <c r="O367" s="29"/>
      <c r="P367" s="29" t="s">
        <v>7358</v>
      </c>
      <c r="Q367" t="s">
        <v>2038</v>
      </c>
      <c r="R367" t="s">
        <v>2632</v>
      </c>
      <c r="S367">
        <v>38</v>
      </c>
      <c r="T367" s="43" t="str">
        <f t="shared" ref="T367:T398" si="17">HYPERLINK("https://ictv.global/ictv/proposals/2022.001B.Aliceevansviridae.zip","2022.001B.Aliceevansviridae.zip")</f>
        <v>2022.001B.Aliceevansviridae.zip</v>
      </c>
      <c r="U367" s="43" t="str">
        <f>HYPERLINK("https://ictv.global/taxonomy/taxondetails?taxnode_id=202214452","ictv.global=202214452")</f>
        <v>ictv.global=202214452</v>
      </c>
    </row>
    <row r="368" spans="1:21">
      <c r="A368">
        <v>367</v>
      </c>
      <c r="B368" s="29" t="s">
        <v>3682</v>
      </c>
      <c r="C368" s="29"/>
      <c r="D368" s="29" t="s">
        <v>3683</v>
      </c>
      <c r="E368" s="29"/>
      <c r="F368" s="29" t="s">
        <v>3686</v>
      </c>
      <c r="G368" s="29"/>
      <c r="H368" s="29" t="s">
        <v>3687</v>
      </c>
      <c r="I368" s="29"/>
      <c r="J368" s="29"/>
      <c r="K368" s="29"/>
      <c r="L368" s="29" t="s">
        <v>7325</v>
      </c>
      <c r="M368" s="29"/>
      <c r="N368" s="29" t="s">
        <v>3512</v>
      </c>
      <c r="O368" s="29"/>
      <c r="P368" s="29" t="s">
        <v>7359</v>
      </c>
      <c r="Q368" t="s">
        <v>2038</v>
      </c>
      <c r="R368" t="s">
        <v>2632</v>
      </c>
      <c r="S368">
        <v>38</v>
      </c>
      <c r="T368" s="43" t="str">
        <f t="shared" si="17"/>
        <v>2022.001B.Aliceevansviridae.zip</v>
      </c>
      <c r="U368" s="43" t="str">
        <f>HYPERLINK("https://ictv.global/taxonomy/taxondetails?taxnode_id=202214453","ictv.global=202214453")</f>
        <v>ictv.global=202214453</v>
      </c>
    </row>
    <row r="369" spans="1:21">
      <c r="A369">
        <v>368</v>
      </c>
      <c r="B369" s="29" t="s">
        <v>3682</v>
      </c>
      <c r="C369" s="29"/>
      <c r="D369" s="29" t="s">
        <v>3683</v>
      </c>
      <c r="E369" s="29"/>
      <c r="F369" s="29" t="s">
        <v>3686</v>
      </c>
      <c r="G369" s="29"/>
      <c r="H369" s="29" t="s">
        <v>3687</v>
      </c>
      <c r="I369" s="29"/>
      <c r="J369" s="29"/>
      <c r="K369" s="29"/>
      <c r="L369" s="29" t="s">
        <v>7325</v>
      </c>
      <c r="M369" s="29"/>
      <c r="N369" s="29" t="s">
        <v>3570</v>
      </c>
      <c r="O369" s="29"/>
      <c r="P369" s="29" t="s">
        <v>7360</v>
      </c>
      <c r="Q369" t="s">
        <v>2038</v>
      </c>
      <c r="R369" t="s">
        <v>2634</v>
      </c>
      <c r="S369">
        <v>38</v>
      </c>
      <c r="T369" s="43" t="str">
        <f t="shared" si="17"/>
        <v>2022.001B.Aliceevansviridae.zip</v>
      </c>
      <c r="U369" s="43" t="str">
        <f>HYPERLINK("https://ictv.global/taxonomy/taxondetails?taxnode_id=202201275","ictv.global=202201275")</f>
        <v>ictv.global=202201275</v>
      </c>
    </row>
    <row r="370" spans="1:21">
      <c r="A370">
        <v>369</v>
      </c>
      <c r="B370" s="29" t="s">
        <v>3682</v>
      </c>
      <c r="C370" s="29"/>
      <c r="D370" s="29" t="s">
        <v>3683</v>
      </c>
      <c r="E370" s="29"/>
      <c r="F370" s="29" t="s">
        <v>3686</v>
      </c>
      <c r="G370" s="29"/>
      <c r="H370" s="29" t="s">
        <v>3687</v>
      </c>
      <c r="I370" s="29"/>
      <c r="J370" s="29"/>
      <c r="K370" s="29"/>
      <c r="L370" s="29" t="s">
        <v>7325</v>
      </c>
      <c r="M370" s="29"/>
      <c r="N370" s="29" t="s">
        <v>3570</v>
      </c>
      <c r="O370" s="29"/>
      <c r="P370" s="29" t="s">
        <v>7361</v>
      </c>
      <c r="Q370" t="s">
        <v>2038</v>
      </c>
      <c r="R370" t="s">
        <v>2632</v>
      </c>
      <c r="S370">
        <v>38</v>
      </c>
      <c r="T370" s="43" t="str">
        <f t="shared" si="17"/>
        <v>2022.001B.Aliceevansviridae.zip</v>
      </c>
      <c r="U370" s="43" t="str">
        <f>HYPERLINK("https://ictv.global/taxonomy/taxondetails?taxnode_id=202214353","ictv.global=202214353")</f>
        <v>ictv.global=202214353</v>
      </c>
    </row>
    <row r="371" spans="1:21">
      <c r="A371">
        <v>370</v>
      </c>
      <c r="B371" s="29" t="s">
        <v>3682</v>
      </c>
      <c r="C371" s="29"/>
      <c r="D371" s="29" t="s">
        <v>3683</v>
      </c>
      <c r="E371" s="29"/>
      <c r="F371" s="29" t="s">
        <v>3686</v>
      </c>
      <c r="G371" s="29"/>
      <c r="H371" s="29" t="s">
        <v>3687</v>
      </c>
      <c r="I371" s="29"/>
      <c r="J371" s="29"/>
      <c r="K371" s="29"/>
      <c r="L371" s="29" t="s">
        <v>7325</v>
      </c>
      <c r="M371" s="29"/>
      <c r="N371" s="29" t="s">
        <v>3570</v>
      </c>
      <c r="O371" s="29"/>
      <c r="P371" s="29" t="s">
        <v>7362</v>
      </c>
      <c r="Q371" t="s">
        <v>2038</v>
      </c>
      <c r="R371" t="s">
        <v>2632</v>
      </c>
      <c r="S371">
        <v>38</v>
      </c>
      <c r="T371" s="43" t="str">
        <f t="shared" si="17"/>
        <v>2022.001B.Aliceevansviridae.zip</v>
      </c>
      <c r="U371" s="43" t="str">
        <f>HYPERLINK("https://ictv.global/taxonomy/taxondetails?taxnode_id=202214367","ictv.global=202214367")</f>
        <v>ictv.global=202214367</v>
      </c>
    </row>
    <row r="372" spans="1:21">
      <c r="A372">
        <v>371</v>
      </c>
      <c r="B372" s="29" t="s">
        <v>3682</v>
      </c>
      <c r="C372" s="29"/>
      <c r="D372" s="29" t="s">
        <v>3683</v>
      </c>
      <c r="E372" s="29"/>
      <c r="F372" s="29" t="s">
        <v>3686</v>
      </c>
      <c r="G372" s="29"/>
      <c r="H372" s="29" t="s">
        <v>3687</v>
      </c>
      <c r="I372" s="29"/>
      <c r="J372" s="29"/>
      <c r="K372" s="29"/>
      <c r="L372" s="29" t="s">
        <v>7325</v>
      </c>
      <c r="M372" s="29"/>
      <c r="N372" s="29" t="s">
        <v>3570</v>
      </c>
      <c r="O372" s="29"/>
      <c r="P372" s="29" t="s">
        <v>7363</v>
      </c>
      <c r="Q372" t="s">
        <v>2038</v>
      </c>
      <c r="R372" t="s">
        <v>2632</v>
      </c>
      <c r="S372">
        <v>38</v>
      </c>
      <c r="T372" s="43" t="str">
        <f t="shared" si="17"/>
        <v>2022.001B.Aliceevansviridae.zip</v>
      </c>
      <c r="U372" s="43" t="str">
        <f>HYPERLINK("https://ictv.global/taxonomy/taxondetails?taxnode_id=202214368","ictv.global=202214368")</f>
        <v>ictv.global=202214368</v>
      </c>
    </row>
    <row r="373" spans="1:21">
      <c r="A373">
        <v>372</v>
      </c>
      <c r="B373" s="29" t="s">
        <v>3682</v>
      </c>
      <c r="C373" s="29"/>
      <c r="D373" s="29" t="s">
        <v>3683</v>
      </c>
      <c r="E373" s="29"/>
      <c r="F373" s="29" t="s">
        <v>3686</v>
      </c>
      <c r="G373" s="29"/>
      <c r="H373" s="29" t="s">
        <v>3687</v>
      </c>
      <c r="I373" s="29"/>
      <c r="J373" s="29"/>
      <c r="K373" s="29"/>
      <c r="L373" s="29" t="s">
        <v>7325</v>
      </c>
      <c r="M373" s="29"/>
      <c r="N373" s="29" t="s">
        <v>3570</v>
      </c>
      <c r="O373" s="29"/>
      <c r="P373" s="29" t="s">
        <v>7364</v>
      </c>
      <c r="Q373" t="s">
        <v>2038</v>
      </c>
      <c r="R373" t="s">
        <v>2632</v>
      </c>
      <c r="S373">
        <v>38</v>
      </c>
      <c r="T373" s="43" t="str">
        <f t="shared" si="17"/>
        <v>2022.001B.Aliceevansviridae.zip</v>
      </c>
      <c r="U373" s="43" t="str">
        <f>HYPERLINK("https://ictv.global/taxonomy/taxondetails?taxnode_id=202214369","ictv.global=202214369")</f>
        <v>ictv.global=202214369</v>
      </c>
    </row>
    <row r="374" spans="1:21">
      <c r="A374">
        <v>373</v>
      </c>
      <c r="B374" s="29" t="s">
        <v>3682</v>
      </c>
      <c r="C374" s="29"/>
      <c r="D374" s="29" t="s">
        <v>3683</v>
      </c>
      <c r="E374" s="29"/>
      <c r="F374" s="29" t="s">
        <v>3686</v>
      </c>
      <c r="G374" s="29"/>
      <c r="H374" s="29" t="s">
        <v>3687</v>
      </c>
      <c r="I374" s="29"/>
      <c r="J374" s="29"/>
      <c r="K374" s="29"/>
      <c r="L374" s="29" t="s">
        <v>7325</v>
      </c>
      <c r="M374" s="29"/>
      <c r="N374" s="29" t="s">
        <v>3570</v>
      </c>
      <c r="O374" s="29"/>
      <c r="P374" s="29" t="s">
        <v>7365</v>
      </c>
      <c r="Q374" t="s">
        <v>2038</v>
      </c>
      <c r="R374" t="s">
        <v>2632</v>
      </c>
      <c r="S374">
        <v>38</v>
      </c>
      <c r="T374" s="43" t="str">
        <f t="shared" si="17"/>
        <v>2022.001B.Aliceevansviridae.zip</v>
      </c>
      <c r="U374" s="43" t="str">
        <f>HYPERLINK("https://ictv.global/taxonomy/taxondetails?taxnode_id=202214370","ictv.global=202214370")</f>
        <v>ictv.global=202214370</v>
      </c>
    </row>
    <row r="375" spans="1:21">
      <c r="A375">
        <v>374</v>
      </c>
      <c r="B375" s="29" t="s">
        <v>3682</v>
      </c>
      <c r="C375" s="29"/>
      <c r="D375" s="29" t="s">
        <v>3683</v>
      </c>
      <c r="E375" s="29"/>
      <c r="F375" s="29" t="s">
        <v>3686</v>
      </c>
      <c r="G375" s="29"/>
      <c r="H375" s="29" t="s">
        <v>3687</v>
      </c>
      <c r="I375" s="29"/>
      <c r="J375" s="29"/>
      <c r="K375" s="29"/>
      <c r="L375" s="29" t="s">
        <v>7325</v>
      </c>
      <c r="M375" s="29"/>
      <c r="N375" s="29" t="s">
        <v>3570</v>
      </c>
      <c r="O375" s="29"/>
      <c r="P375" s="29" t="s">
        <v>7366</v>
      </c>
      <c r="Q375" t="s">
        <v>2038</v>
      </c>
      <c r="R375" t="s">
        <v>2632</v>
      </c>
      <c r="S375">
        <v>38</v>
      </c>
      <c r="T375" s="43" t="str">
        <f t="shared" si="17"/>
        <v>2022.001B.Aliceevansviridae.zip</v>
      </c>
      <c r="U375" s="43" t="str">
        <f>HYPERLINK("https://ictv.global/taxonomy/taxondetails?taxnode_id=202214371","ictv.global=202214371")</f>
        <v>ictv.global=202214371</v>
      </c>
    </row>
    <row r="376" spans="1:21">
      <c r="A376">
        <v>375</v>
      </c>
      <c r="B376" s="29" t="s">
        <v>3682</v>
      </c>
      <c r="C376" s="29"/>
      <c r="D376" s="29" t="s">
        <v>3683</v>
      </c>
      <c r="E376" s="29"/>
      <c r="F376" s="29" t="s">
        <v>3686</v>
      </c>
      <c r="G376" s="29"/>
      <c r="H376" s="29" t="s">
        <v>3687</v>
      </c>
      <c r="I376" s="29"/>
      <c r="J376" s="29"/>
      <c r="K376" s="29"/>
      <c r="L376" s="29" t="s">
        <v>7325</v>
      </c>
      <c r="M376" s="29"/>
      <c r="N376" s="29" t="s">
        <v>3570</v>
      </c>
      <c r="O376" s="29"/>
      <c r="P376" s="29" t="s">
        <v>7367</v>
      </c>
      <c r="Q376" t="s">
        <v>2038</v>
      </c>
      <c r="R376" t="s">
        <v>2632</v>
      </c>
      <c r="S376">
        <v>38</v>
      </c>
      <c r="T376" s="43" t="str">
        <f t="shared" si="17"/>
        <v>2022.001B.Aliceevansviridae.zip</v>
      </c>
      <c r="U376" s="43" t="str">
        <f>HYPERLINK("https://ictv.global/taxonomy/taxondetails?taxnode_id=202214372","ictv.global=202214372")</f>
        <v>ictv.global=202214372</v>
      </c>
    </row>
    <row r="377" spans="1:21">
      <c r="A377">
        <v>376</v>
      </c>
      <c r="B377" s="29" t="s">
        <v>3682</v>
      </c>
      <c r="C377" s="29"/>
      <c r="D377" s="29" t="s">
        <v>3683</v>
      </c>
      <c r="E377" s="29"/>
      <c r="F377" s="29" t="s">
        <v>3686</v>
      </c>
      <c r="G377" s="29"/>
      <c r="H377" s="29" t="s">
        <v>3687</v>
      </c>
      <c r="I377" s="29"/>
      <c r="J377" s="29"/>
      <c r="K377" s="29"/>
      <c r="L377" s="29" t="s">
        <v>7325</v>
      </c>
      <c r="M377" s="29"/>
      <c r="N377" s="29" t="s">
        <v>3570</v>
      </c>
      <c r="O377" s="29"/>
      <c r="P377" s="29" t="s">
        <v>7368</v>
      </c>
      <c r="Q377" t="s">
        <v>2038</v>
      </c>
      <c r="R377" t="s">
        <v>2632</v>
      </c>
      <c r="S377">
        <v>38</v>
      </c>
      <c r="T377" s="43" t="str">
        <f t="shared" si="17"/>
        <v>2022.001B.Aliceevansviridae.zip</v>
      </c>
      <c r="U377" s="43" t="str">
        <f>HYPERLINK("https://ictv.global/taxonomy/taxondetails?taxnode_id=202214373","ictv.global=202214373")</f>
        <v>ictv.global=202214373</v>
      </c>
    </row>
    <row r="378" spans="1:21">
      <c r="A378">
        <v>377</v>
      </c>
      <c r="B378" s="29" t="s">
        <v>3682</v>
      </c>
      <c r="C378" s="29"/>
      <c r="D378" s="29" t="s">
        <v>3683</v>
      </c>
      <c r="E378" s="29"/>
      <c r="F378" s="29" t="s">
        <v>3686</v>
      </c>
      <c r="G378" s="29"/>
      <c r="H378" s="29" t="s">
        <v>3687</v>
      </c>
      <c r="I378" s="29"/>
      <c r="J378" s="29"/>
      <c r="K378" s="29"/>
      <c r="L378" s="29" t="s">
        <v>7325</v>
      </c>
      <c r="M378" s="29"/>
      <c r="N378" s="29" t="s">
        <v>3570</v>
      </c>
      <c r="O378" s="29"/>
      <c r="P378" s="29" t="s">
        <v>7369</v>
      </c>
      <c r="Q378" t="s">
        <v>2038</v>
      </c>
      <c r="R378" t="s">
        <v>2632</v>
      </c>
      <c r="S378">
        <v>38</v>
      </c>
      <c r="T378" s="43" t="str">
        <f t="shared" si="17"/>
        <v>2022.001B.Aliceevansviridae.zip</v>
      </c>
      <c r="U378" s="43" t="str">
        <f>HYPERLINK("https://ictv.global/taxonomy/taxondetails?taxnode_id=202214374","ictv.global=202214374")</f>
        <v>ictv.global=202214374</v>
      </c>
    </row>
    <row r="379" spans="1:21">
      <c r="A379">
        <v>378</v>
      </c>
      <c r="B379" s="29" t="s">
        <v>3682</v>
      </c>
      <c r="C379" s="29"/>
      <c r="D379" s="29" t="s">
        <v>3683</v>
      </c>
      <c r="E379" s="29"/>
      <c r="F379" s="29" t="s">
        <v>3686</v>
      </c>
      <c r="G379" s="29"/>
      <c r="H379" s="29" t="s">
        <v>3687</v>
      </c>
      <c r="I379" s="29"/>
      <c r="J379" s="29"/>
      <c r="K379" s="29"/>
      <c r="L379" s="29" t="s">
        <v>7325</v>
      </c>
      <c r="M379" s="29"/>
      <c r="N379" s="29" t="s">
        <v>3570</v>
      </c>
      <c r="O379" s="29"/>
      <c r="P379" s="29" t="s">
        <v>7370</v>
      </c>
      <c r="Q379" t="s">
        <v>2038</v>
      </c>
      <c r="R379" t="s">
        <v>2632</v>
      </c>
      <c r="S379">
        <v>38</v>
      </c>
      <c r="T379" s="43" t="str">
        <f t="shared" si="17"/>
        <v>2022.001B.Aliceevansviridae.zip</v>
      </c>
      <c r="U379" s="43" t="str">
        <f>HYPERLINK("https://ictv.global/taxonomy/taxondetails?taxnode_id=202214375","ictv.global=202214375")</f>
        <v>ictv.global=202214375</v>
      </c>
    </row>
    <row r="380" spans="1:21">
      <c r="A380">
        <v>379</v>
      </c>
      <c r="B380" s="29" t="s">
        <v>3682</v>
      </c>
      <c r="C380" s="29"/>
      <c r="D380" s="29" t="s">
        <v>3683</v>
      </c>
      <c r="E380" s="29"/>
      <c r="F380" s="29" t="s">
        <v>3686</v>
      </c>
      <c r="G380" s="29"/>
      <c r="H380" s="29" t="s">
        <v>3687</v>
      </c>
      <c r="I380" s="29"/>
      <c r="J380" s="29"/>
      <c r="K380" s="29"/>
      <c r="L380" s="29" t="s">
        <v>7325</v>
      </c>
      <c r="M380" s="29"/>
      <c r="N380" s="29" t="s">
        <v>3570</v>
      </c>
      <c r="O380" s="29"/>
      <c r="P380" s="29" t="s">
        <v>7371</v>
      </c>
      <c r="Q380" t="s">
        <v>2038</v>
      </c>
      <c r="R380" t="s">
        <v>2632</v>
      </c>
      <c r="S380">
        <v>38</v>
      </c>
      <c r="T380" s="43" t="str">
        <f t="shared" si="17"/>
        <v>2022.001B.Aliceevansviridae.zip</v>
      </c>
      <c r="U380" s="43" t="str">
        <f>HYPERLINK("https://ictv.global/taxonomy/taxondetails?taxnode_id=202214376","ictv.global=202214376")</f>
        <v>ictv.global=202214376</v>
      </c>
    </row>
    <row r="381" spans="1:21">
      <c r="A381">
        <v>380</v>
      </c>
      <c r="B381" s="29" t="s">
        <v>3682</v>
      </c>
      <c r="C381" s="29"/>
      <c r="D381" s="29" t="s">
        <v>3683</v>
      </c>
      <c r="E381" s="29"/>
      <c r="F381" s="29" t="s">
        <v>3686</v>
      </c>
      <c r="G381" s="29"/>
      <c r="H381" s="29" t="s">
        <v>3687</v>
      </c>
      <c r="I381" s="29"/>
      <c r="J381" s="29"/>
      <c r="K381" s="29"/>
      <c r="L381" s="29" t="s">
        <v>7325</v>
      </c>
      <c r="M381" s="29"/>
      <c r="N381" s="29" t="s">
        <v>3570</v>
      </c>
      <c r="O381" s="29"/>
      <c r="P381" s="29" t="s">
        <v>7372</v>
      </c>
      <c r="Q381" t="s">
        <v>2038</v>
      </c>
      <c r="R381" t="s">
        <v>2632</v>
      </c>
      <c r="S381">
        <v>38</v>
      </c>
      <c r="T381" s="43" t="str">
        <f t="shared" si="17"/>
        <v>2022.001B.Aliceevansviridae.zip</v>
      </c>
      <c r="U381" s="43" t="str">
        <f>HYPERLINK("https://ictv.global/taxonomy/taxondetails?taxnode_id=202214377","ictv.global=202214377")</f>
        <v>ictv.global=202214377</v>
      </c>
    </row>
    <row r="382" spans="1:21">
      <c r="A382">
        <v>381</v>
      </c>
      <c r="B382" s="29" t="s">
        <v>3682</v>
      </c>
      <c r="C382" s="29"/>
      <c r="D382" s="29" t="s">
        <v>3683</v>
      </c>
      <c r="E382" s="29"/>
      <c r="F382" s="29" t="s">
        <v>3686</v>
      </c>
      <c r="G382" s="29"/>
      <c r="H382" s="29" t="s">
        <v>3687</v>
      </c>
      <c r="I382" s="29"/>
      <c r="J382" s="29"/>
      <c r="K382" s="29"/>
      <c r="L382" s="29" t="s">
        <v>7325</v>
      </c>
      <c r="M382" s="29"/>
      <c r="N382" s="29" t="s">
        <v>3570</v>
      </c>
      <c r="O382" s="29"/>
      <c r="P382" s="29" t="s">
        <v>7373</v>
      </c>
      <c r="Q382" t="s">
        <v>2038</v>
      </c>
      <c r="R382" t="s">
        <v>2632</v>
      </c>
      <c r="S382">
        <v>38</v>
      </c>
      <c r="T382" s="43" t="str">
        <f t="shared" si="17"/>
        <v>2022.001B.Aliceevansviridae.zip</v>
      </c>
      <c r="U382" s="43" t="str">
        <f>HYPERLINK("https://ictv.global/taxonomy/taxondetails?taxnode_id=202214378","ictv.global=202214378")</f>
        <v>ictv.global=202214378</v>
      </c>
    </row>
    <row r="383" spans="1:21">
      <c r="A383">
        <v>382</v>
      </c>
      <c r="B383" s="29" t="s">
        <v>3682</v>
      </c>
      <c r="C383" s="29"/>
      <c r="D383" s="29" t="s">
        <v>3683</v>
      </c>
      <c r="E383" s="29"/>
      <c r="F383" s="29" t="s">
        <v>3686</v>
      </c>
      <c r="G383" s="29"/>
      <c r="H383" s="29" t="s">
        <v>3687</v>
      </c>
      <c r="I383" s="29"/>
      <c r="J383" s="29"/>
      <c r="K383" s="29"/>
      <c r="L383" s="29" t="s">
        <v>7325</v>
      </c>
      <c r="M383" s="29"/>
      <c r="N383" s="29" t="s">
        <v>3570</v>
      </c>
      <c r="O383" s="29"/>
      <c r="P383" s="29" t="s">
        <v>7374</v>
      </c>
      <c r="Q383" t="s">
        <v>2038</v>
      </c>
      <c r="R383" t="s">
        <v>2632</v>
      </c>
      <c r="S383">
        <v>38</v>
      </c>
      <c r="T383" s="43" t="str">
        <f t="shared" si="17"/>
        <v>2022.001B.Aliceevansviridae.zip</v>
      </c>
      <c r="U383" s="43" t="str">
        <f>HYPERLINK("https://ictv.global/taxonomy/taxondetails?taxnode_id=202214379","ictv.global=202214379")</f>
        <v>ictv.global=202214379</v>
      </c>
    </row>
    <row r="384" spans="1:21">
      <c r="A384">
        <v>383</v>
      </c>
      <c r="B384" s="29" t="s">
        <v>3682</v>
      </c>
      <c r="C384" s="29"/>
      <c r="D384" s="29" t="s">
        <v>3683</v>
      </c>
      <c r="E384" s="29"/>
      <c r="F384" s="29" t="s">
        <v>3686</v>
      </c>
      <c r="G384" s="29"/>
      <c r="H384" s="29" t="s">
        <v>3687</v>
      </c>
      <c r="I384" s="29"/>
      <c r="J384" s="29"/>
      <c r="K384" s="29"/>
      <c r="L384" s="29" t="s">
        <v>7325</v>
      </c>
      <c r="M384" s="29"/>
      <c r="N384" s="29" t="s">
        <v>3570</v>
      </c>
      <c r="O384" s="29"/>
      <c r="P384" s="29" t="s">
        <v>7375</v>
      </c>
      <c r="Q384" t="s">
        <v>2038</v>
      </c>
      <c r="R384" t="s">
        <v>2632</v>
      </c>
      <c r="S384">
        <v>38</v>
      </c>
      <c r="T384" s="43" t="str">
        <f t="shared" si="17"/>
        <v>2022.001B.Aliceevansviridae.zip</v>
      </c>
      <c r="U384" s="43" t="str">
        <f>HYPERLINK("https://ictv.global/taxonomy/taxondetails?taxnode_id=202214380","ictv.global=202214380")</f>
        <v>ictv.global=202214380</v>
      </c>
    </row>
    <row r="385" spans="1:21">
      <c r="A385">
        <v>384</v>
      </c>
      <c r="B385" s="29" t="s">
        <v>3682</v>
      </c>
      <c r="C385" s="29"/>
      <c r="D385" s="29" t="s">
        <v>3683</v>
      </c>
      <c r="E385" s="29"/>
      <c r="F385" s="29" t="s">
        <v>3686</v>
      </c>
      <c r="G385" s="29"/>
      <c r="H385" s="29" t="s">
        <v>3687</v>
      </c>
      <c r="I385" s="29"/>
      <c r="J385" s="29"/>
      <c r="K385" s="29"/>
      <c r="L385" s="29" t="s">
        <v>7325</v>
      </c>
      <c r="M385" s="29"/>
      <c r="N385" s="29" t="s">
        <v>3570</v>
      </c>
      <c r="O385" s="29"/>
      <c r="P385" s="29" t="s">
        <v>7376</v>
      </c>
      <c r="Q385" t="s">
        <v>2038</v>
      </c>
      <c r="R385" t="s">
        <v>2632</v>
      </c>
      <c r="S385">
        <v>38</v>
      </c>
      <c r="T385" s="43" t="str">
        <f t="shared" si="17"/>
        <v>2022.001B.Aliceevansviridae.zip</v>
      </c>
      <c r="U385" s="43" t="str">
        <f>HYPERLINK("https://ictv.global/taxonomy/taxondetails?taxnode_id=202214381","ictv.global=202214381")</f>
        <v>ictv.global=202214381</v>
      </c>
    </row>
    <row r="386" spans="1:21">
      <c r="A386">
        <v>385</v>
      </c>
      <c r="B386" s="29" t="s">
        <v>3682</v>
      </c>
      <c r="C386" s="29"/>
      <c r="D386" s="29" t="s">
        <v>3683</v>
      </c>
      <c r="E386" s="29"/>
      <c r="F386" s="29" t="s">
        <v>3686</v>
      </c>
      <c r="G386" s="29"/>
      <c r="H386" s="29" t="s">
        <v>3687</v>
      </c>
      <c r="I386" s="29"/>
      <c r="J386" s="29"/>
      <c r="K386" s="29"/>
      <c r="L386" s="29" t="s">
        <v>7325</v>
      </c>
      <c r="M386" s="29"/>
      <c r="N386" s="29" t="s">
        <v>3570</v>
      </c>
      <c r="O386" s="29"/>
      <c r="P386" s="29" t="s">
        <v>7377</v>
      </c>
      <c r="Q386" t="s">
        <v>2038</v>
      </c>
      <c r="R386" t="s">
        <v>2632</v>
      </c>
      <c r="S386">
        <v>38</v>
      </c>
      <c r="T386" s="43" t="str">
        <f t="shared" si="17"/>
        <v>2022.001B.Aliceevansviridae.zip</v>
      </c>
      <c r="U386" s="43" t="str">
        <f>HYPERLINK("https://ictv.global/taxonomy/taxondetails?taxnode_id=202214354","ictv.global=202214354")</f>
        <v>ictv.global=202214354</v>
      </c>
    </row>
    <row r="387" spans="1:21">
      <c r="A387">
        <v>386</v>
      </c>
      <c r="B387" s="29" t="s">
        <v>3682</v>
      </c>
      <c r="C387" s="29"/>
      <c r="D387" s="29" t="s">
        <v>3683</v>
      </c>
      <c r="E387" s="29"/>
      <c r="F387" s="29" t="s">
        <v>3686</v>
      </c>
      <c r="G387" s="29"/>
      <c r="H387" s="29" t="s">
        <v>3687</v>
      </c>
      <c r="I387" s="29"/>
      <c r="J387" s="29"/>
      <c r="K387" s="29"/>
      <c r="L387" s="29" t="s">
        <v>7325</v>
      </c>
      <c r="M387" s="29"/>
      <c r="N387" s="29" t="s">
        <v>3570</v>
      </c>
      <c r="O387" s="29"/>
      <c r="P387" s="29" t="s">
        <v>7378</v>
      </c>
      <c r="Q387" t="s">
        <v>2038</v>
      </c>
      <c r="R387" t="s">
        <v>2632</v>
      </c>
      <c r="S387">
        <v>38</v>
      </c>
      <c r="T387" s="43" t="str">
        <f t="shared" si="17"/>
        <v>2022.001B.Aliceevansviridae.zip</v>
      </c>
      <c r="U387" s="43" t="str">
        <f>HYPERLINK("https://ictv.global/taxonomy/taxondetails?taxnode_id=202214355","ictv.global=202214355")</f>
        <v>ictv.global=202214355</v>
      </c>
    </row>
    <row r="388" spans="1:21">
      <c r="A388">
        <v>387</v>
      </c>
      <c r="B388" s="29" t="s">
        <v>3682</v>
      </c>
      <c r="C388" s="29"/>
      <c r="D388" s="29" t="s">
        <v>3683</v>
      </c>
      <c r="E388" s="29"/>
      <c r="F388" s="29" t="s">
        <v>3686</v>
      </c>
      <c r="G388" s="29"/>
      <c r="H388" s="29" t="s">
        <v>3687</v>
      </c>
      <c r="I388" s="29"/>
      <c r="J388" s="29"/>
      <c r="K388" s="29"/>
      <c r="L388" s="29" t="s">
        <v>7325</v>
      </c>
      <c r="M388" s="29"/>
      <c r="N388" s="29" t="s">
        <v>3570</v>
      </c>
      <c r="O388" s="29"/>
      <c r="P388" s="29" t="s">
        <v>7379</v>
      </c>
      <c r="Q388" t="s">
        <v>2038</v>
      </c>
      <c r="R388" t="s">
        <v>2632</v>
      </c>
      <c r="S388">
        <v>38</v>
      </c>
      <c r="T388" s="43" t="str">
        <f t="shared" si="17"/>
        <v>2022.001B.Aliceevansviridae.zip</v>
      </c>
      <c r="U388" s="43" t="str">
        <f>HYPERLINK("https://ictv.global/taxonomy/taxondetails?taxnode_id=202214356","ictv.global=202214356")</f>
        <v>ictv.global=202214356</v>
      </c>
    </row>
    <row r="389" spans="1:21">
      <c r="A389">
        <v>388</v>
      </c>
      <c r="B389" s="29" t="s">
        <v>3682</v>
      </c>
      <c r="C389" s="29"/>
      <c r="D389" s="29" t="s">
        <v>3683</v>
      </c>
      <c r="E389" s="29"/>
      <c r="F389" s="29" t="s">
        <v>3686</v>
      </c>
      <c r="G389" s="29"/>
      <c r="H389" s="29" t="s">
        <v>3687</v>
      </c>
      <c r="I389" s="29"/>
      <c r="J389" s="29"/>
      <c r="K389" s="29"/>
      <c r="L389" s="29" t="s">
        <v>7325</v>
      </c>
      <c r="M389" s="29"/>
      <c r="N389" s="29" t="s">
        <v>3570</v>
      </c>
      <c r="O389" s="29"/>
      <c r="P389" s="29" t="s">
        <v>7380</v>
      </c>
      <c r="Q389" t="s">
        <v>2038</v>
      </c>
      <c r="R389" t="s">
        <v>2632</v>
      </c>
      <c r="S389">
        <v>38</v>
      </c>
      <c r="T389" s="43" t="str">
        <f t="shared" si="17"/>
        <v>2022.001B.Aliceevansviridae.zip</v>
      </c>
      <c r="U389" s="43" t="str">
        <f>HYPERLINK("https://ictv.global/taxonomy/taxondetails?taxnode_id=202214357","ictv.global=202214357")</f>
        <v>ictv.global=202214357</v>
      </c>
    </row>
    <row r="390" spans="1:21">
      <c r="A390">
        <v>389</v>
      </c>
      <c r="B390" s="29" t="s">
        <v>3682</v>
      </c>
      <c r="C390" s="29"/>
      <c r="D390" s="29" t="s">
        <v>3683</v>
      </c>
      <c r="E390" s="29"/>
      <c r="F390" s="29" t="s">
        <v>3686</v>
      </c>
      <c r="G390" s="29"/>
      <c r="H390" s="29" t="s">
        <v>3687</v>
      </c>
      <c r="I390" s="29"/>
      <c r="J390" s="29"/>
      <c r="K390" s="29"/>
      <c r="L390" s="29" t="s">
        <v>7325</v>
      </c>
      <c r="M390" s="29"/>
      <c r="N390" s="29" t="s">
        <v>3570</v>
      </c>
      <c r="O390" s="29"/>
      <c r="P390" s="29" t="s">
        <v>7381</v>
      </c>
      <c r="Q390" t="s">
        <v>2038</v>
      </c>
      <c r="R390" t="s">
        <v>2632</v>
      </c>
      <c r="S390">
        <v>38</v>
      </c>
      <c r="T390" s="43" t="str">
        <f t="shared" si="17"/>
        <v>2022.001B.Aliceevansviridae.zip</v>
      </c>
      <c r="U390" s="43" t="str">
        <f>HYPERLINK("https://ictv.global/taxonomy/taxondetails?taxnode_id=202214358","ictv.global=202214358")</f>
        <v>ictv.global=202214358</v>
      </c>
    </row>
    <row r="391" spans="1:21">
      <c r="A391">
        <v>390</v>
      </c>
      <c r="B391" s="29" t="s">
        <v>3682</v>
      </c>
      <c r="C391" s="29"/>
      <c r="D391" s="29" t="s">
        <v>3683</v>
      </c>
      <c r="E391" s="29"/>
      <c r="F391" s="29" t="s">
        <v>3686</v>
      </c>
      <c r="G391" s="29"/>
      <c r="H391" s="29" t="s">
        <v>3687</v>
      </c>
      <c r="I391" s="29"/>
      <c r="J391" s="29"/>
      <c r="K391" s="29"/>
      <c r="L391" s="29" t="s">
        <v>7325</v>
      </c>
      <c r="M391" s="29"/>
      <c r="N391" s="29" t="s">
        <v>3570</v>
      </c>
      <c r="O391" s="29"/>
      <c r="P391" s="29" t="s">
        <v>7382</v>
      </c>
      <c r="Q391" t="s">
        <v>2038</v>
      </c>
      <c r="R391" t="s">
        <v>2632</v>
      </c>
      <c r="S391">
        <v>38</v>
      </c>
      <c r="T391" s="43" t="str">
        <f t="shared" si="17"/>
        <v>2022.001B.Aliceevansviridae.zip</v>
      </c>
      <c r="U391" s="43" t="str">
        <f>HYPERLINK("https://ictv.global/taxonomy/taxondetails?taxnode_id=202214359","ictv.global=202214359")</f>
        <v>ictv.global=202214359</v>
      </c>
    </row>
    <row r="392" spans="1:21">
      <c r="A392">
        <v>391</v>
      </c>
      <c r="B392" s="29" t="s">
        <v>3682</v>
      </c>
      <c r="C392" s="29"/>
      <c r="D392" s="29" t="s">
        <v>3683</v>
      </c>
      <c r="E392" s="29"/>
      <c r="F392" s="29" t="s">
        <v>3686</v>
      </c>
      <c r="G392" s="29"/>
      <c r="H392" s="29" t="s">
        <v>3687</v>
      </c>
      <c r="I392" s="29"/>
      <c r="J392" s="29"/>
      <c r="K392" s="29"/>
      <c r="L392" s="29" t="s">
        <v>7325</v>
      </c>
      <c r="M392" s="29"/>
      <c r="N392" s="29" t="s">
        <v>3570</v>
      </c>
      <c r="O392" s="29"/>
      <c r="P392" s="29" t="s">
        <v>7383</v>
      </c>
      <c r="Q392" t="s">
        <v>2038</v>
      </c>
      <c r="R392" t="s">
        <v>2632</v>
      </c>
      <c r="S392">
        <v>38</v>
      </c>
      <c r="T392" s="43" t="str">
        <f t="shared" si="17"/>
        <v>2022.001B.Aliceevansviridae.zip</v>
      </c>
      <c r="U392" s="43" t="str">
        <f>HYPERLINK("https://ictv.global/taxonomy/taxondetails?taxnode_id=202214360","ictv.global=202214360")</f>
        <v>ictv.global=202214360</v>
      </c>
    </row>
    <row r="393" spans="1:21">
      <c r="A393">
        <v>392</v>
      </c>
      <c r="B393" s="29" t="s">
        <v>3682</v>
      </c>
      <c r="C393" s="29"/>
      <c r="D393" s="29" t="s">
        <v>3683</v>
      </c>
      <c r="E393" s="29"/>
      <c r="F393" s="29" t="s">
        <v>3686</v>
      </c>
      <c r="G393" s="29"/>
      <c r="H393" s="29" t="s">
        <v>3687</v>
      </c>
      <c r="I393" s="29"/>
      <c r="J393" s="29"/>
      <c r="K393" s="29"/>
      <c r="L393" s="29" t="s">
        <v>7325</v>
      </c>
      <c r="M393" s="29"/>
      <c r="N393" s="29" t="s">
        <v>3570</v>
      </c>
      <c r="O393" s="29"/>
      <c r="P393" s="29" t="s">
        <v>7384</v>
      </c>
      <c r="Q393" t="s">
        <v>2038</v>
      </c>
      <c r="R393" t="s">
        <v>2632</v>
      </c>
      <c r="S393">
        <v>38</v>
      </c>
      <c r="T393" s="43" t="str">
        <f t="shared" si="17"/>
        <v>2022.001B.Aliceevansviridae.zip</v>
      </c>
      <c r="U393" s="43" t="str">
        <f>HYPERLINK("https://ictv.global/taxonomy/taxondetails?taxnode_id=202214361","ictv.global=202214361")</f>
        <v>ictv.global=202214361</v>
      </c>
    </row>
    <row r="394" spans="1:21">
      <c r="A394">
        <v>393</v>
      </c>
      <c r="B394" s="29" t="s">
        <v>3682</v>
      </c>
      <c r="C394" s="29"/>
      <c r="D394" s="29" t="s">
        <v>3683</v>
      </c>
      <c r="E394" s="29"/>
      <c r="F394" s="29" t="s">
        <v>3686</v>
      </c>
      <c r="G394" s="29"/>
      <c r="H394" s="29" t="s">
        <v>3687</v>
      </c>
      <c r="I394" s="29"/>
      <c r="J394" s="29"/>
      <c r="K394" s="29"/>
      <c r="L394" s="29" t="s">
        <v>7325</v>
      </c>
      <c r="M394" s="29"/>
      <c r="N394" s="29" t="s">
        <v>3570</v>
      </c>
      <c r="O394" s="29"/>
      <c r="P394" s="29" t="s">
        <v>7385</v>
      </c>
      <c r="Q394" t="s">
        <v>2038</v>
      </c>
      <c r="R394" t="s">
        <v>2632</v>
      </c>
      <c r="S394">
        <v>38</v>
      </c>
      <c r="T394" s="43" t="str">
        <f t="shared" si="17"/>
        <v>2022.001B.Aliceevansviridae.zip</v>
      </c>
      <c r="U394" s="43" t="str">
        <f>HYPERLINK("https://ictv.global/taxonomy/taxondetails?taxnode_id=202214362","ictv.global=202214362")</f>
        <v>ictv.global=202214362</v>
      </c>
    </row>
    <row r="395" spans="1:21">
      <c r="A395">
        <v>394</v>
      </c>
      <c r="B395" s="29" t="s">
        <v>3682</v>
      </c>
      <c r="C395" s="29"/>
      <c r="D395" s="29" t="s">
        <v>3683</v>
      </c>
      <c r="E395" s="29"/>
      <c r="F395" s="29" t="s">
        <v>3686</v>
      </c>
      <c r="G395" s="29"/>
      <c r="H395" s="29" t="s">
        <v>3687</v>
      </c>
      <c r="I395" s="29"/>
      <c r="J395" s="29"/>
      <c r="K395" s="29"/>
      <c r="L395" s="29" t="s">
        <v>7325</v>
      </c>
      <c r="M395" s="29"/>
      <c r="N395" s="29" t="s">
        <v>3570</v>
      </c>
      <c r="O395" s="29"/>
      <c r="P395" s="29" t="s">
        <v>7386</v>
      </c>
      <c r="Q395" t="s">
        <v>2038</v>
      </c>
      <c r="R395" t="s">
        <v>2632</v>
      </c>
      <c r="S395">
        <v>38</v>
      </c>
      <c r="T395" s="43" t="str">
        <f t="shared" si="17"/>
        <v>2022.001B.Aliceevansviridae.zip</v>
      </c>
      <c r="U395" s="43" t="str">
        <f>HYPERLINK("https://ictv.global/taxonomy/taxondetails?taxnode_id=202214363","ictv.global=202214363")</f>
        <v>ictv.global=202214363</v>
      </c>
    </row>
    <row r="396" spans="1:21">
      <c r="A396">
        <v>395</v>
      </c>
      <c r="B396" s="29" t="s">
        <v>3682</v>
      </c>
      <c r="C396" s="29"/>
      <c r="D396" s="29" t="s">
        <v>3683</v>
      </c>
      <c r="E396" s="29"/>
      <c r="F396" s="29" t="s">
        <v>3686</v>
      </c>
      <c r="G396" s="29"/>
      <c r="H396" s="29" t="s">
        <v>3687</v>
      </c>
      <c r="I396" s="29"/>
      <c r="J396" s="29"/>
      <c r="K396" s="29"/>
      <c r="L396" s="29" t="s">
        <v>7325</v>
      </c>
      <c r="M396" s="29"/>
      <c r="N396" s="29" t="s">
        <v>3570</v>
      </c>
      <c r="O396" s="29"/>
      <c r="P396" s="29" t="s">
        <v>7387</v>
      </c>
      <c r="Q396" t="s">
        <v>2038</v>
      </c>
      <c r="R396" t="s">
        <v>2632</v>
      </c>
      <c r="S396">
        <v>38</v>
      </c>
      <c r="T396" s="43" t="str">
        <f t="shared" si="17"/>
        <v>2022.001B.Aliceevansviridae.zip</v>
      </c>
      <c r="U396" s="43" t="str">
        <f>HYPERLINK("https://ictv.global/taxonomy/taxondetails?taxnode_id=202214364","ictv.global=202214364")</f>
        <v>ictv.global=202214364</v>
      </c>
    </row>
    <row r="397" spans="1:21">
      <c r="A397">
        <v>396</v>
      </c>
      <c r="B397" s="29" t="s">
        <v>3682</v>
      </c>
      <c r="C397" s="29"/>
      <c r="D397" s="29" t="s">
        <v>3683</v>
      </c>
      <c r="E397" s="29"/>
      <c r="F397" s="29" t="s">
        <v>3686</v>
      </c>
      <c r="G397" s="29"/>
      <c r="H397" s="29" t="s">
        <v>3687</v>
      </c>
      <c r="I397" s="29"/>
      <c r="J397" s="29"/>
      <c r="K397" s="29"/>
      <c r="L397" s="29" t="s">
        <v>7325</v>
      </c>
      <c r="M397" s="29"/>
      <c r="N397" s="29" t="s">
        <v>3570</v>
      </c>
      <c r="O397" s="29"/>
      <c r="P397" s="29" t="s">
        <v>7388</v>
      </c>
      <c r="Q397" t="s">
        <v>2038</v>
      </c>
      <c r="R397" t="s">
        <v>2632</v>
      </c>
      <c r="S397">
        <v>38</v>
      </c>
      <c r="T397" s="43" t="str">
        <f t="shared" si="17"/>
        <v>2022.001B.Aliceevansviridae.zip</v>
      </c>
      <c r="U397" s="43" t="str">
        <f>HYPERLINK("https://ictv.global/taxonomy/taxondetails?taxnode_id=202214365","ictv.global=202214365")</f>
        <v>ictv.global=202214365</v>
      </c>
    </row>
    <row r="398" spans="1:21">
      <c r="A398">
        <v>397</v>
      </c>
      <c r="B398" s="29" t="s">
        <v>3682</v>
      </c>
      <c r="C398" s="29"/>
      <c r="D398" s="29" t="s">
        <v>3683</v>
      </c>
      <c r="E398" s="29"/>
      <c r="F398" s="29" t="s">
        <v>3686</v>
      </c>
      <c r="G398" s="29"/>
      <c r="H398" s="29" t="s">
        <v>3687</v>
      </c>
      <c r="I398" s="29"/>
      <c r="J398" s="29"/>
      <c r="K398" s="29"/>
      <c r="L398" s="29" t="s">
        <v>7325</v>
      </c>
      <c r="M398" s="29"/>
      <c r="N398" s="29" t="s">
        <v>3570</v>
      </c>
      <c r="O398" s="29"/>
      <c r="P398" s="29" t="s">
        <v>7389</v>
      </c>
      <c r="Q398" t="s">
        <v>2038</v>
      </c>
      <c r="R398" t="s">
        <v>2632</v>
      </c>
      <c r="S398">
        <v>38</v>
      </c>
      <c r="T398" s="43" t="str">
        <f t="shared" si="17"/>
        <v>2022.001B.Aliceevansviridae.zip</v>
      </c>
      <c r="U398" s="43" t="str">
        <f>HYPERLINK("https://ictv.global/taxonomy/taxondetails?taxnode_id=202214366","ictv.global=202214366")</f>
        <v>ictv.global=202214366</v>
      </c>
    </row>
    <row r="399" spans="1:21">
      <c r="A399">
        <v>398</v>
      </c>
      <c r="B399" s="29" t="s">
        <v>3682</v>
      </c>
      <c r="C399" s="29"/>
      <c r="D399" s="29" t="s">
        <v>3683</v>
      </c>
      <c r="E399" s="29"/>
      <c r="F399" s="29" t="s">
        <v>3686</v>
      </c>
      <c r="G399" s="29"/>
      <c r="H399" s="29" t="s">
        <v>3687</v>
      </c>
      <c r="I399" s="29"/>
      <c r="J399" s="29"/>
      <c r="K399" s="29"/>
      <c r="L399" s="29" t="s">
        <v>7325</v>
      </c>
      <c r="M399" s="29"/>
      <c r="N399" s="29" t="s">
        <v>3570</v>
      </c>
      <c r="O399" s="29"/>
      <c r="P399" s="29" t="s">
        <v>7390</v>
      </c>
      <c r="Q399" t="s">
        <v>2038</v>
      </c>
      <c r="R399" t="s">
        <v>2632</v>
      </c>
      <c r="S399">
        <v>38</v>
      </c>
      <c r="T399" s="43" t="str">
        <f t="shared" ref="T399:T430" si="18">HYPERLINK("https://ictv.global/ictv/proposals/2022.001B.Aliceevansviridae.zip","2022.001B.Aliceevansviridae.zip")</f>
        <v>2022.001B.Aliceevansviridae.zip</v>
      </c>
      <c r="U399" s="43" t="str">
        <f>HYPERLINK("https://ictv.global/taxonomy/taxondetails?taxnode_id=202214382","ictv.global=202214382")</f>
        <v>ictv.global=202214382</v>
      </c>
    </row>
    <row r="400" spans="1:21">
      <c r="A400">
        <v>399</v>
      </c>
      <c r="B400" s="29" t="s">
        <v>3682</v>
      </c>
      <c r="C400" s="29"/>
      <c r="D400" s="29" t="s">
        <v>3683</v>
      </c>
      <c r="E400" s="29"/>
      <c r="F400" s="29" t="s">
        <v>3686</v>
      </c>
      <c r="G400" s="29"/>
      <c r="H400" s="29" t="s">
        <v>3687</v>
      </c>
      <c r="I400" s="29"/>
      <c r="J400" s="29"/>
      <c r="K400" s="29"/>
      <c r="L400" s="29" t="s">
        <v>7325</v>
      </c>
      <c r="M400" s="29"/>
      <c r="N400" s="29" t="s">
        <v>3570</v>
      </c>
      <c r="O400" s="29"/>
      <c r="P400" s="29" t="s">
        <v>7391</v>
      </c>
      <c r="Q400" t="s">
        <v>2038</v>
      </c>
      <c r="R400" t="s">
        <v>2632</v>
      </c>
      <c r="S400">
        <v>38</v>
      </c>
      <c r="T400" s="43" t="str">
        <f t="shared" si="18"/>
        <v>2022.001B.Aliceevansviridae.zip</v>
      </c>
      <c r="U400" s="43" t="str">
        <f>HYPERLINK("https://ictv.global/taxonomy/taxondetails?taxnode_id=202214383","ictv.global=202214383")</f>
        <v>ictv.global=202214383</v>
      </c>
    </row>
    <row r="401" spans="1:21">
      <c r="A401">
        <v>400</v>
      </c>
      <c r="B401" s="29" t="s">
        <v>3682</v>
      </c>
      <c r="C401" s="29"/>
      <c r="D401" s="29" t="s">
        <v>3683</v>
      </c>
      <c r="E401" s="29"/>
      <c r="F401" s="29" t="s">
        <v>3686</v>
      </c>
      <c r="G401" s="29"/>
      <c r="H401" s="29" t="s">
        <v>3687</v>
      </c>
      <c r="I401" s="29"/>
      <c r="J401" s="29"/>
      <c r="K401" s="29"/>
      <c r="L401" s="29" t="s">
        <v>7325</v>
      </c>
      <c r="M401" s="29"/>
      <c r="N401" s="29" t="s">
        <v>3570</v>
      </c>
      <c r="O401" s="29"/>
      <c r="P401" s="29" t="s">
        <v>7392</v>
      </c>
      <c r="Q401" t="s">
        <v>2038</v>
      </c>
      <c r="R401" t="s">
        <v>2632</v>
      </c>
      <c r="S401">
        <v>38</v>
      </c>
      <c r="T401" s="43" t="str">
        <f t="shared" si="18"/>
        <v>2022.001B.Aliceevansviridae.zip</v>
      </c>
      <c r="U401" s="43" t="str">
        <f>HYPERLINK("https://ictv.global/taxonomy/taxondetails?taxnode_id=202214384","ictv.global=202214384")</f>
        <v>ictv.global=202214384</v>
      </c>
    </row>
    <row r="402" spans="1:21">
      <c r="A402">
        <v>401</v>
      </c>
      <c r="B402" s="29" t="s">
        <v>3682</v>
      </c>
      <c r="C402" s="29"/>
      <c r="D402" s="29" t="s">
        <v>3683</v>
      </c>
      <c r="E402" s="29"/>
      <c r="F402" s="29" t="s">
        <v>3686</v>
      </c>
      <c r="G402" s="29"/>
      <c r="H402" s="29" t="s">
        <v>3687</v>
      </c>
      <c r="I402" s="29"/>
      <c r="J402" s="29"/>
      <c r="K402" s="29"/>
      <c r="L402" s="29" t="s">
        <v>7325</v>
      </c>
      <c r="M402" s="29"/>
      <c r="N402" s="29" t="s">
        <v>3570</v>
      </c>
      <c r="O402" s="29"/>
      <c r="P402" s="29" t="s">
        <v>7393</v>
      </c>
      <c r="Q402" t="s">
        <v>2038</v>
      </c>
      <c r="R402" t="s">
        <v>2634</v>
      </c>
      <c r="S402">
        <v>38</v>
      </c>
      <c r="T402" s="43" t="str">
        <f t="shared" si="18"/>
        <v>2022.001B.Aliceevansviridae.zip</v>
      </c>
      <c r="U402" s="43" t="str">
        <f>HYPERLINK("https://ictv.global/taxonomy/taxondetails?taxnode_id=202201274","ictv.global=202201274")</f>
        <v>ictv.global=202201274</v>
      </c>
    </row>
    <row r="403" spans="1:21">
      <c r="A403">
        <v>402</v>
      </c>
      <c r="B403" s="29" t="s">
        <v>3682</v>
      </c>
      <c r="C403" s="29"/>
      <c r="D403" s="29" t="s">
        <v>3683</v>
      </c>
      <c r="E403" s="29"/>
      <c r="F403" s="29" t="s">
        <v>3686</v>
      </c>
      <c r="G403" s="29"/>
      <c r="H403" s="29" t="s">
        <v>3687</v>
      </c>
      <c r="I403" s="29"/>
      <c r="J403" s="29"/>
      <c r="K403" s="29"/>
      <c r="L403" s="29" t="s">
        <v>7325</v>
      </c>
      <c r="M403" s="29"/>
      <c r="N403" s="29" t="s">
        <v>3570</v>
      </c>
      <c r="O403" s="29"/>
      <c r="P403" s="29" t="s">
        <v>7394</v>
      </c>
      <c r="Q403" t="s">
        <v>2038</v>
      </c>
      <c r="R403" t="s">
        <v>2632</v>
      </c>
      <c r="S403">
        <v>38</v>
      </c>
      <c r="T403" s="43" t="str">
        <f t="shared" si="18"/>
        <v>2022.001B.Aliceevansviridae.zip</v>
      </c>
      <c r="U403" s="43" t="str">
        <f>HYPERLINK("https://ictv.global/taxonomy/taxondetails?taxnode_id=202214385","ictv.global=202214385")</f>
        <v>ictv.global=202214385</v>
      </c>
    </row>
    <row r="404" spans="1:21">
      <c r="A404">
        <v>403</v>
      </c>
      <c r="B404" s="29" t="s">
        <v>3682</v>
      </c>
      <c r="C404" s="29"/>
      <c r="D404" s="29" t="s">
        <v>3683</v>
      </c>
      <c r="E404" s="29"/>
      <c r="F404" s="29" t="s">
        <v>3686</v>
      </c>
      <c r="G404" s="29"/>
      <c r="H404" s="29" t="s">
        <v>3687</v>
      </c>
      <c r="I404" s="29"/>
      <c r="J404" s="29"/>
      <c r="K404" s="29"/>
      <c r="L404" s="29" t="s">
        <v>7325</v>
      </c>
      <c r="M404" s="29"/>
      <c r="N404" s="29" t="s">
        <v>3570</v>
      </c>
      <c r="O404" s="29"/>
      <c r="P404" s="29" t="s">
        <v>7395</v>
      </c>
      <c r="Q404" t="s">
        <v>2038</v>
      </c>
      <c r="R404" t="s">
        <v>2632</v>
      </c>
      <c r="S404">
        <v>38</v>
      </c>
      <c r="T404" s="43" t="str">
        <f t="shared" si="18"/>
        <v>2022.001B.Aliceevansviridae.zip</v>
      </c>
      <c r="U404" s="43" t="str">
        <f>HYPERLINK("https://ictv.global/taxonomy/taxondetails?taxnode_id=202214386","ictv.global=202214386")</f>
        <v>ictv.global=202214386</v>
      </c>
    </row>
    <row r="405" spans="1:21">
      <c r="A405">
        <v>404</v>
      </c>
      <c r="B405" s="29" t="s">
        <v>3682</v>
      </c>
      <c r="C405" s="29"/>
      <c r="D405" s="29" t="s">
        <v>3683</v>
      </c>
      <c r="E405" s="29"/>
      <c r="F405" s="29" t="s">
        <v>3686</v>
      </c>
      <c r="G405" s="29"/>
      <c r="H405" s="29" t="s">
        <v>3687</v>
      </c>
      <c r="I405" s="29"/>
      <c r="J405" s="29"/>
      <c r="K405" s="29"/>
      <c r="L405" s="29" t="s">
        <v>7325</v>
      </c>
      <c r="M405" s="29"/>
      <c r="N405" s="29" t="s">
        <v>3570</v>
      </c>
      <c r="O405" s="29"/>
      <c r="P405" s="29" t="s">
        <v>7396</v>
      </c>
      <c r="Q405" t="s">
        <v>2038</v>
      </c>
      <c r="R405" t="s">
        <v>2632</v>
      </c>
      <c r="S405">
        <v>38</v>
      </c>
      <c r="T405" s="43" t="str">
        <f t="shared" si="18"/>
        <v>2022.001B.Aliceevansviridae.zip</v>
      </c>
      <c r="U405" s="43" t="str">
        <f>HYPERLINK("https://ictv.global/taxonomy/taxondetails?taxnode_id=202214387","ictv.global=202214387")</f>
        <v>ictv.global=202214387</v>
      </c>
    </row>
    <row r="406" spans="1:21">
      <c r="A406">
        <v>405</v>
      </c>
      <c r="B406" s="29" t="s">
        <v>3682</v>
      </c>
      <c r="C406" s="29"/>
      <c r="D406" s="29" t="s">
        <v>3683</v>
      </c>
      <c r="E406" s="29"/>
      <c r="F406" s="29" t="s">
        <v>3686</v>
      </c>
      <c r="G406" s="29"/>
      <c r="H406" s="29" t="s">
        <v>3687</v>
      </c>
      <c r="I406" s="29"/>
      <c r="J406" s="29"/>
      <c r="K406" s="29"/>
      <c r="L406" s="29" t="s">
        <v>7325</v>
      </c>
      <c r="M406" s="29"/>
      <c r="N406" s="29" t="s">
        <v>3570</v>
      </c>
      <c r="O406" s="29"/>
      <c r="P406" s="29" t="s">
        <v>7397</v>
      </c>
      <c r="Q406" t="s">
        <v>2038</v>
      </c>
      <c r="R406" t="s">
        <v>2632</v>
      </c>
      <c r="S406">
        <v>38</v>
      </c>
      <c r="T406" s="43" t="str">
        <f t="shared" si="18"/>
        <v>2022.001B.Aliceevansviridae.zip</v>
      </c>
      <c r="U406" s="43" t="str">
        <f>HYPERLINK("https://ictv.global/taxonomy/taxondetails?taxnode_id=202214350","ictv.global=202214350")</f>
        <v>ictv.global=202214350</v>
      </c>
    </row>
    <row r="407" spans="1:21">
      <c r="A407">
        <v>406</v>
      </c>
      <c r="B407" s="29" t="s">
        <v>3682</v>
      </c>
      <c r="C407" s="29"/>
      <c r="D407" s="29" t="s">
        <v>3683</v>
      </c>
      <c r="E407" s="29"/>
      <c r="F407" s="29" t="s">
        <v>3686</v>
      </c>
      <c r="G407" s="29"/>
      <c r="H407" s="29" t="s">
        <v>3687</v>
      </c>
      <c r="I407" s="29"/>
      <c r="J407" s="29"/>
      <c r="K407" s="29"/>
      <c r="L407" s="29" t="s">
        <v>7325</v>
      </c>
      <c r="M407" s="29"/>
      <c r="N407" s="29" t="s">
        <v>3570</v>
      </c>
      <c r="O407" s="29"/>
      <c r="P407" s="29" t="s">
        <v>7398</v>
      </c>
      <c r="Q407" t="s">
        <v>2038</v>
      </c>
      <c r="R407" t="s">
        <v>2632</v>
      </c>
      <c r="S407">
        <v>38</v>
      </c>
      <c r="T407" s="43" t="str">
        <f t="shared" si="18"/>
        <v>2022.001B.Aliceevansviridae.zip</v>
      </c>
      <c r="U407" s="43" t="str">
        <f>HYPERLINK("https://ictv.global/taxonomy/taxondetails?taxnode_id=202214351","ictv.global=202214351")</f>
        <v>ictv.global=202214351</v>
      </c>
    </row>
    <row r="408" spans="1:21">
      <c r="A408">
        <v>407</v>
      </c>
      <c r="B408" s="29" t="s">
        <v>3682</v>
      </c>
      <c r="C408" s="29"/>
      <c r="D408" s="29" t="s">
        <v>3683</v>
      </c>
      <c r="E408" s="29"/>
      <c r="F408" s="29" t="s">
        <v>3686</v>
      </c>
      <c r="G408" s="29"/>
      <c r="H408" s="29" t="s">
        <v>3687</v>
      </c>
      <c r="I408" s="29"/>
      <c r="J408" s="29"/>
      <c r="K408" s="29"/>
      <c r="L408" s="29" t="s">
        <v>7325</v>
      </c>
      <c r="M408" s="29"/>
      <c r="N408" s="29" t="s">
        <v>3570</v>
      </c>
      <c r="O408" s="29"/>
      <c r="P408" s="29" t="s">
        <v>7399</v>
      </c>
      <c r="Q408" t="s">
        <v>2038</v>
      </c>
      <c r="R408" t="s">
        <v>2632</v>
      </c>
      <c r="S408">
        <v>38</v>
      </c>
      <c r="T408" s="43" t="str">
        <f t="shared" si="18"/>
        <v>2022.001B.Aliceevansviridae.zip</v>
      </c>
      <c r="U408" s="43" t="str">
        <f>HYPERLINK("https://ictv.global/taxonomy/taxondetails?taxnode_id=202214349","ictv.global=202214349")</f>
        <v>ictv.global=202214349</v>
      </c>
    </row>
    <row r="409" spans="1:21">
      <c r="A409">
        <v>408</v>
      </c>
      <c r="B409" s="29" t="s">
        <v>3682</v>
      </c>
      <c r="C409" s="29"/>
      <c r="D409" s="29" t="s">
        <v>3683</v>
      </c>
      <c r="E409" s="29"/>
      <c r="F409" s="29" t="s">
        <v>3686</v>
      </c>
      <c r="G409" s="29"/>
      <c r="H409" s="29" t="s">
        <v>3687</v>
      </c>
      <c r="I409" s="29"/>
      <c r="J409" s="29"/>
      <c r="K409" s="29"/>
      <c r="L409" s="29" t="s">
        <v>7325</v>
      </c>
      <c r="M409" s="29"/>
      <c r="N409" s="29" t="s">
        <v>3570</v>
      </c>
      <c r="O409" s="29"/>
      <c r="P409" s="29" t="s">
        <v>7400</v>
      </c>
      <c r="Q409" t="s">
        <v>2038</v>
      </c>
      <c r="R409" t="s">
        <v>2634</v>
      </c>
      <c r="S409">
        <v>38</v>
      </c>
      <c r="T409" s="43" t="str">
        <f t="shared" si="18"/>
        <v>2022.001B.Aliceevansviridae.zip</v>
      </c>
      <c r="U409" s="43" t="str">
        <f>HYPERLINK("https://ictv.global/taxonomy/taxondetails?taxnode_id=202201273","ictv.global=202201273")</f>
        <v>ictv.global=202201273</v>
      </c>
    </row>
    <row r="410" spans="1:21">
      <c r="A410">
        <v>409</v>
      </c>
      <c r="B410" s="29" t="s">
        <v>3682</v>
      </c>
      <c r="C410" s="29"/>
      <c r="D410" s="29" t="s">
        <v>3683</v>
      </c>
      <c r="E410" s="29"/>
      <c r="F410" s="29" t="s">
        <v>3686</v>
      </c>
      <c r="G410" s="29"/>
      <c r="H410" s="29" t="s">
        <v>3687</v>
      </c>
      <c r="I410" s="29"/>
      <c r="J410" s="29"/>
      <c r="K410" s="29"/>
      <c r="L410" s="29" t="s">
        <v>7325</v>
      </c>
      <c r="M410" s="29"/>
      <c r="N410" s="29" t="s">
        <v>3570</v>
      </c>
      <c r="O410" s="29"/>
      <c r="P410" s="29" t="s">
        <v>7401</v>
      </c>
      <c r="Q410" t="s">
        <v>2038</v>
      </c>
      <c r="R410" t="s">
        <v>2632</v>
      </c>
      <c r="S410">
        <v>38</v>
      </c>
      <c r="T410" s="43" t="str">
        <f t="shared" si="18"/>
        <v>2022.001B.Aliceevansviridae.zip</v>
      </c>
      <c r="U410" s="43" t="str">
        <f>HYPERLINK("https://ictv.global/taxonomy/taxondetails?taxnode_id=202214352","ictv.global=202214352")</f>
        <v>ictv.global=202214352</v>
      </c>
    </row>
    <row r="411" spans="1:21">
      <c r="A411">
        <v>410</v>
      </c>
      <c r="B411" s="29" t="s">
        <v>3682</v>
      </c>
      <c r="C411" s="29"/>
      <c r="D411" s="29" t="s">
        <v>3683</v>
      </c>
      <c r="E411" s="29"/>
      <c r="F411" s="29" t="s">
        <v>3686</v>
      </c>
      <c r="G411" s="29"/>
      <c r="H411" s="29" t="s">
        <v>3687</v>
      </c>
      <c r="I411" s="29"/>
      <c r="J411" s="29"/>
      <c r="K411" s="29"/>
      <c r="L411" s="29" t="s">
        <v>7325</v>
      </c>
      <c r="M411" s="29"/>
      <c r="N411" s="29" t="s">
        <v>3570</v>
      </c>
      <c r="O411" s="29"/>
      <c r="P411" s="29" t="s">
        <v>7402</v>
      </c>
      <c r="Q411" t="s">
        <v>2038</v>
      </c>
      <c r="R411" t="s">
        <v>2632</v>
      </c>
      <c r="S411">
        <v>38</v>
      </c>
      <c r="T411" s="43" t="str">
        <f t="shared" si="18"/>
        <v>2022.001B.Aliceevansviridae.zip</v>
      </c>
      <c r="U411" s="43" t="str">
        <f>HYPERLINK("https://ictv.global/taxonomy/taxondetails?taxnode_id=202214388","ictv.global=202214388")</f>
        <v>ictv.global=202214388</v>
      </c>
    </row>
    <row r="412" spans="1:21">
      <c r="A412">
        <v>411</v>
      </c>
      <c r="B412" s="29" t="s">
        <v>3682</v>
      </c>
      <c r="C412" s="29"/>
      <c r="D412" s="29" t="s">
        <v>3683</v>
      </c>
      <c r="E412" s="29"/>
      <c r="F412" s="29" t="s">
        <v>3686</v>
      </c>
      <c r="G412" s="29"/>
      <c r="H412" s="29" t="s">
        <v>3687</v>
      </c>
      <c r="I412" s="29"/>
      <c r="J412" s="29"/>
      <c r="K412" s="29"/>
      <c r="L412" s="29" t="s">
        <v>7325</v>
      </c>
      <c r="M412" s="29"/>
      <c r="N412" s="29" t="s">
        <v>3570</v>
      </c>
      <c r="O412" s="29"/>
      <c r="P412" s="29" t="s">
        <v>7403</v>
      </c>
      <c r="Q412" t="s">
        <v>2038</v>
      </c>
      <c r="R412" t="s">
        <v>2632</v>
      </c>
      <c r="S412">
        <v>38</v>
      </c>
      <c r="T412" s="43" t="str">
        <f t="shared" si="18"/>
        <v>2022.001B.Aliceevansviridae.zip</v>
      </c>
      <c r="U412" s="43" t="str">
        <f>HYPERLINK("https://ictv.global/taxonomy/taxondetails?taxnode_id=202214389","ictv.global=202214389")</f>
        <v>ictv.global=202214389</v>
      </c>
    </row>
    <row r="413" spans="1:21">
      <c r="A413">
        <v>412</v>
      </c>
      <c r="B413" s="29" t="s">
        <v>3682</v>
      </c>
      <c r="C413" s="29"/>
      <c r="D413" s="29" t="s">
        <v>3683</v>
      </c>
      <c r="E413" s="29"/>
      <c r="F413" s="29" t="s">
        <v>3686</v>
      </c>
      <c r="G413" s="29"/>
      <c r="H413" s="29" t="s">
        <v>3687</v>
      </c>
      <c r="I413" s="29"/>
      <c r="J413" s="29"/>
      <c r="K413" s="29"/>
      <c r="L413" s="29" t="s">
        <v>7325</v>
      </c>
      <c r="M413" s="29"/>
      <c r="N413" s="29" t="s">
        <v>3570</v>
      </c>
      <c r="O413" s="29"/>
      <c r="P413" s="29" t="s">
        <v>7404</v>
      </c>
      <c r="Q413" t="s">
        <v>2038</v>
      </c>
      <c r="R413" t="s">
        <v>2632</v>
      </c>
      <c r="S413">
        <v>38</v>
      </c>
      <c r="T413" s="43" t="str">
        <f t="shared" si="18"/>
        <v>2022.001B.Aliceevansviridae.zip</v>
      </c>
      <c r="U413" s="43" t="str">
        <f>HYPERLINK("https://ictv.global/taxonomy/taxondetails?taxnode_id=202214390","ictv.global=202214390")</f>
        <v>ictv.global=202214390</v>
      </c>
    </row>
    <row r="414" spans="1:21">
      <c r="A414">
        <v>413</v>
      </c>
      <c r="B414" s="29" t="s">
        <v>3682</v>
      </c>
      <c r="C414" s="29"/>
      <c r="D414" s="29" t="s">
        <v>3683</v>
      </c>
      <c r="E414" s="29"/>
      <c r="F414" s="29" t="s">
        <v>3686</v>
      </c>
      <c r="G414" s="29"/>
      <c r="H414" s="29" t="s">
        <v>3687</v>
      </c>
      <c r="I414" s="29"/>
      <c r="J414" s="29"/>
      <c r="K414" s="29"/>
      <c r="L414" s="29" t="s">
        <v>7325</v>
      </c>
      <c r="M414" s="29"/>
      <c r="N414" s="29" t="s">
        <v>3570</v>
      </c>
      <c r="O414" s="29"/>
      <c r="P414" s="29" t="s">
        <v>7405</v>
      </c>
      <c r="Q414" t="s">
        <v>2038</v>
      </c>
      <c r="R414" t="s">
        <v>2632</v>
      </c>
      <c r="S414">
        <v>38</v>
      </c>
      <c r="T414" s="43" t="str">
        <f t="shared" si="18"/>
        <v>2022.001B.Aliceevansviridae.zip</v>
      </c>
      <c r="U414" s="43" t="str">
        <f>HYPERLINK("https://ictv.global/taxonomy/taxondetails?taxnode_id=202214391","ictv.global=202214391")</f>
        <v>ictv.global=202214391</v>
      </c>
    </row>
    <row r="415" spans="1:21">
      <c r="A415">
        <v>414</v>
      </c>
      <c r="B415" s="29" t="s">
        <v>3682</v>
      </c>
      <c r="C415" s="29"/>
      <c r="D415" s="29" t="s">
        <v>3683</v>
      </c>
      <c r="E415" s="29"/>
      <c r="F415" s="29" t="s">
        <v>3686</v>
      </c>
      <c r="G415" s="29"/>
      <c r="H415" s="29" t="s">
        <v>3687</v>
      </c>
      <c r="I415" s="29"/>
      <c r="J415" s="29"/>
      <c r="K415" s="29"/>
      <c r="L415" s="29" t="s">
        <v>7325</v>
      </c>
      <c r="M415" s="29"/>
      <c r="N415" s="29" t="s">
        <v>3570</v>
      </c>
      <c r="O415" s="29"/>
      <c r="P415" s="29" t="s">
        <v>7406</v>
      </c>
      <c r="Q415" t="s">
        <v>2038</v>
      </c>
      <c r="R415" t="s">
        <v>2632</v>
      </c>
      <c r="S415">
        <v>38</v>
      </c>
      <c r="T415" s="43" t="str">
        <f t="shared" si="18"/>
        <v>2022.001B.Aliceevansviridae.zip</v>
      </c>
      <c r="U415" s="43" t="str">
        <f>HYPERLINK("https://ictv.global/taxonomy/taxondetails?taxnode_id=202214392","ictv.global=202214392")</f>
        <v>ictv.global=202214392</v>
      </c>
    </row>
    <row r="416" spans="1:21">
      <c r="A416">
        <v>415</v>
      </c>
      <c r="B416" s="29" t="s">
        <v>3682</v>
      </c>
      <c r="C416" s="29"/>
      <c r="D416" s="29" t="s">
        <v>3683</v>
      </c>
      <c r="E416" s="29"/>
      <c r="F416" s="29" t="s">
        <v>3686</v>
      </c>
      <c r="G416" s="29"/>
      <c r="H416" s="29" t="s">
        <v>3687</v>
      </c>
      <c r="I416" s="29"/>
      <c r="J416" s="29"/>
      <c r="K416" s="29"/>
      <c r="L416" s="29" t="s">
        <v>7325</v>
      </c>
      <c r="M416" s="29"/>
      <c r="N416" s="29" t="s">
        <v>3570</v>
      </c>
      <c r="O416" s="29"/>
      <c r="P416" s="29" t="s">
        <v>7407</v>
      </c>
      <c r="Q416" t="s">
        <v>2038</v>
      </c>
      <c r="R416" t="s">
        <v>2632</v>
      </c>
      <c r="S416">
        <v>38</v>
      </c>
      <c r="T416" s="43" t="str">
        <f t="shared" si="18"/>
        <v>2022.001B.Aliceevansviridae.zip</v>
      </c>
      <c r="U416" s="43" t="str">
        <f>HYPERLINK("https://ictv.global/taxonomy/taxondetails?taxnode_id=202214393","ictv.global=202214393")</f>
        <v>ictv.global=202214393</v>
      </c>
    </row>
    <row r="417" spans="1:21">
      <c r="A417">
        <v>416</v>
      </c>
      <c r="B417" s="29" t="s">
        <v>3682</v>
      </c>
      <c r="C417" s="29"/>
      <c r="D417" s="29" t="s">
        <v>3683</v>
      </c>
      <c r="E417" s="29"/>
      <c r="F417" s="29" t="s">
        <v>3686</v>
      </c>
      <c r="G417" s="29"/>
      <c r="H417" s="29" t="s">
        <v>3687</v>
      </c>
      <c r="I417" s="29"/>
      <c r="J417" s="29"/>
      <c r="K417" s="29"/>
      <c r="L417" s="29" t="s">
        <v>7325</v>
      </c>
      <c r="M417" s="29"/>
      <c r="N417" s="29" t="s">
        <v>3570</v>
      </c>
      <c r="O417" s="29"/>
      <c r="P417" s="29" t="s">
        <v>7408</v>
      </c>
      <c r="Q417" t="s">
        <v>2038</v>
      </c>
      <c r="R417" t="s">
        <v>2632</v>
      </c>
      <c r="S417">
        <v>38</v>
      </c>
      <c r="T417" s="43" t="str">
        <f t="shared" si="18"/>
        <v>2022.001B.Aliceevansviridae.zip</v>
      </c>
      <c r="U417" s="43" t="str">
        <f>HYPERLINK("https://ictv.global/taxonomy/taxondetails?taxnode_id=202214394","ictv.global=202214394")</f>
        <v>ictv.global=202214394</v>
      </c>
    </row>
    <row r="418" spans="1:21">
      <c r="A418">
        <v>417</v>
      </c>
      <c r="B418" s="29" t="s">
        <v>3682</v>
      </c>
      <c r="C418" s="29"/>
      <c r="D418" s="29" t="s">
        <v>3683</v>
      </c>
      <c r="E418" s="29"/>
      <c r="F418" s="29" t="s">
        <v>3686</v>
      </c>
      <c r="G418" s="29"/>
      <c r="H418" s="29" t="s">
        <v>3687</v>
      </c>
      <c r="I418" s="29"/>
      <c r="J418" s="29"/>
      <c r="K418" s="29"/>
      <c r="L418" s="29" t="s">
        <v>7325</v>
      </c>
      <c r="M418" s="29"/>
      <c r="N418" s="29" t="s">
        <v>3570</v>
      </c>
      <c r="O418" s="29"/>
      <c r="P418" s="29" t="s">
        <v>7409</v>
      </c>
      <c r="Q418" t="s">
        <v>2038</v>
      </c>
      <c r="R418" t="s">
        <v>2632</v>
      </c>
      <c r="S418">
        <v>38</v>
      </c>
      <c r="T418" s="43" t="str">
        <f t="shared" si="18"/>
        <v>2022.001B.Aliceevansviridae.zip</v>
      </c>
      <c r="U418" s="43" t="str">
        <f>HYPERLINK("https://ictv.global/taxonomy/taxondetails?taxnode_id=202214395","ictv.global=202214395")</f>
        <v>ictv.global=202214395</v>
      </c>
    </row>
    <row r="419" spans="1:21">
      <c r="A419">
        <v>418</v>
      </c>
      <c r="B419" s="29" t="s">
        <v>3682</v>
      </c>
      <c r="C419" s="29"/>
      <c r="D419" s="29" t="s">
        <v>3683</v>
      </c>
      <c r="E419" s="29"/>
      <c r="F419" s="29" t="s">
        <v>3686</v>
      </c>
      <c r="G419" s="29"/>
      <c r="H419" s="29" t="s">
        <v>3687</v>
      </c>
      <c r="I419" s="29"/>
      <c r="J419" s="29"/>
      <c r="K419" s="29"/>
      <c r="L419" s="29" t="s">
        <v>7325</v>
      </c>
      <c r="M419" s="29"/>
      <c r="N419" s="29" t="s">
        <v>3570</v>
      </c>
      <c r="O419" s="29"/>
      <c r="P419" s="29" t="s">
        <v>7410</v>
      </c>
      <c r="Q419" t="s">
        <v>2038</v>
      </c>
      <c r="R419" t="s">
        <v>2632</v>
      </c>
      <c r="S419">
        <v>38</v>
      </c>
      <c r="T419" s="43" t="str">
        <f t="shared" si="18"/>
        <v>2022.001B.Aliceevansviridae.zip</v>
      </c>
      <c r="U419" s="43" t="str">
        <f>HYPERLINK("https://ictv.global/taxonomy/taxondetails?taxnode_id=202214396","ictv.global=202214396")</f>
        <v>ictv.global=202214396</v>
      </c>
    </row>
    <row r="420" spans="1:21">
      <c r="A420">
        <v>419</v>
      </c>
      <c r="B420" s="29" t="s">
        <v>3682</v>
      </c>
      <c r="C420" s="29"/>
      <c r="D420" s="29" t="s">
        <v>3683</v>
      </c>
      <c r="E420" s="29"/>
      <c r="F420" s="29" t="s">
        <v>3686</v>
      </c>
      <c r="G420" s="29"/>
      <c r="H420" s="29" t="s">
        <v>3687</v>
      </c>
      <c r="I420" s="29"/>
      <c r="J420" s="29"/>
      <c r="K420" s="29"/>
      <c r="L420" s="29" t="s">
        <v>7325</v>
      </c>
      <c r="M420" s="29"/>
      <c r="N420" s="29" t="s">
        <v>3570</v>
      </c>
      <c r="O420" s="29"/>
      <c r="P420" s="29" t="s">
        <v>7411</v>
      </c>
      <c r="Q420" t="s">
        <v>2038</v>
      </c>
      <c r="R420" t="s">
        <v>2632</v>
      </c>
      <c r="S420">
        <v>38</v>
      </c>
      <c r="T420" s="43" t="str">
        <f t="shared" si="18"/>
        <v>2022.001B.Aliceevansviridae.zip</v>
      </c>
      <c r="U420" s="43" t="str">
        <f>HYPERLINK("https://ictv.global/taxonomy/taxondetails?taxnode_id=202214397","ictv.global=202214397")</f>
        <v>ictv.global=202214397</v>
      </c>
    </row>
    <row r="421" spans="1:21">
      <c r="A421">
        <v>420</v>
      </c>
      <c r="B421" s="29" t="s">
        <v>3682</v>
      </c>
      <c r="C421" s="29"/>
      <c r="D421" s="29" t="s">
        <v>3683</v>
      </c>
      <c r="E421" s="29"/>
      <c r="F421" s="29" t="s">
        <v>3686</v>
      </c>
      <c r="G421" s="29"/>
      <c r="H421" s="29" t="s">
        <v>3687</v>
      </c>
      <c r="I421" s="29"/>
      <c r="J421" s="29"/>
      <c r="K421" s="29"/>
      <c r="L421" s="29" t="s">
        <v>7325</v>
      </c>
      <c r="M421" s="29"/>
      <c r="N421" s="29" t="s">
        <v>3570</v>
      </c>
      <c r="O421" s="29"/>
      <c r="P421" s="29" t="s">
        <v>7412</v>
      </c>
      <c r="Q421" t="s">
        <v>2038</v>
      </c>
      <c r="R421" t="s">
        <v>2632</v>
      </c>
      <c r="S421">
        <v>38</v>
      </c>
      <c r="T421" s="43" t="str">
        <f t="shared" si="18"/>
        <v>2022.001B.Aliceevansviridae.zip</v>
      </c>
      <c r="U421" s="43" t="str">
        <f>HYPERLINK("https://ictv.global/taxonomy/taxondetails?taxnode_id=202214398","ictv.global=202214398")</f>
        <v>ictv.global=202214398</v>
      </c>
    </row>
    <row r="422" spans="1:21">
      <c r="A422">
        <v>421</v>
      </c>
      <c r="B422" s="29" t="s">
        <v>3682</v>
      </c>
      <c r="C422" s="29"/>
      <c r="D422" s="29" t="s">
        <v>3683</v>
      </c>
      <c r="E422" s="29"/>
      <c r="F422" s="29" t="s">
        <v>3686</v>
      </c>
      <c r="G422" s="29"/>
      <c r="H422" s="29" t="s">
        <v>3687</v>
      </c>
      <c r="I422" s="29"/>
      <c r="J422" s="29"/>
      <c r="K422" s="29"/>
      <c r="L422" s="29" t="s">
        <v>7325</v>
      </c>
      <c r="M422" s="29"/>
      <c r="N422" s="29" t="s">
        <v>3570</v>
      </c>
      <c r="O422" s="29"/>
      <c r="P422" s="29" t="s">
        <v>7413</v>
      </c>
      <c r="Q422" t="s">
        <v>2038</v>
      </c>
      <c r="R422" t="s">
        <v>2632</v>
      </c>
      <c r="S422">
        <v>38</v>
      </c>
      <c r="T422" s="43" t="str">
        <f t="shared" si="18"/>
        <v>2022.001B.Aliceevansviridae.zip</v>
      </c>
      <c r="U422" s="43" t="str">
        <f>HYPERLINK("https://ictv.global/taxonomy/taxondetails?taxnode_id=202214399","ictv.global=202214399")</f>
        <v>ictv.global=202214399</v>
      </c>
    </row>
    <row r="423" spans="1:21">
      <c r="A423">
        <v>422</v>
      </c>
      <c r="B423" s="29" t="s">
        <v>3682</v>
      </c>
      <c r="C423" s="29"/>
      <c r="D423" s="29" t="s">
        <v>3683</v>
      </c>
      <c r="E423" s="29"/>
      <c r="F423" s="29" t="s">
        <v>3686</v>
      </c>
      <c r="G423" s="29"/>
      <c r="H423" s="29" t="s">
        <v>3687</v>
      </c>
      <c r="I423" s="29"/>
      <c r="J423" s="29"/>
      <c r="K423" s="29"/>
      <c r="L423" s="29" t="s">
        <v>7325</v>
      </c>
      <c r="M423" s="29"/>
      <c r="N423" s="29" t="s">
        <v>3570</v>
      </c>
      <c r="O423" s="29"/>
      <c r="P423" s="29" t="s">
        <v>7414</v>
      </c>
      <c r="Q423" t="s">
        <v>2038</v>
      </c>
      <c r="R423" t="s">
        <v>2632</v>
      </c>
      <c r="S423">
        <v>38</v>
      </c>
      <c r="T423" s="43" t="str">
        <f t="shared" si="18"/>
        <v>2022.001B.Aliceevansviridae.zip</v>
      </c>
      <c r="U423" s="43" t="str">
        <f>HYPERLINK("https://ictv.global/taxonomy/taxondetails?taxnode_id=202214400","ictv.global=202214400")</f>
        <v>ictv.global=202214400</v>
      </c>
    </row>
    <row r="424" spans="1:21">
      <c r="A424">
        <v>423</v>
      </c>
      <c r="B424" s="29" t="s">
        <v>3682</v>
      </c>
      <c r="C424" s="29"/>
      <c r="D424" s="29" t="s">
        <v>3683</v>
      </c>
      <c r="E424" s="29"/>
      <c r="F424" s="29" t="s">
        <v>3686</v>
      </c>
      <c r="G424" s="29"/>
      <c r="H424" s="29" t="s">
        <v>3687</v>
      </c>
      <c r="I424" s="29"/>
      <c r="J424" s="29"/>
      <c r="K424" s="29"/>
      <c r="L424" s="29" t="s">
        <v>7325</v>
      </c>
      <c r="M424" s="29"/>
      <c r="N424" s="29" t="s">
        <v>3570</v>
      </c>
      <c r="O424" s="29"/>
      <c r="P424" s="29" t="s">
        <v>7415</v>
      </c>
      <c r="Q424" t="s">
        <v>2038</v>
      </c>
      <c r="R424" t="s">
        <v>2632</v>
      </c>
      <c r="S424">
        <v>38</v>
      </c>
      <c r="T424" s="43" t="str">
        <f t="shared" si="18"/>
        <v>2022.001B.Aliceevansviridae.zip</v>
      </c>
      <c r="U424" s="43" t="str">
        <f>HYPERLINK("https://ictv.global/taxonomy/taxondetails?taxnode_id=202214401","ictv.global=202214401")</f>
        <v>ictv.global=202214401</v>
      </c>
    </row>
    <row r="425" spans="1:21">
      <c r="A425">
        <v>424</v>
      </c>
      <c r="B425" s="29" t="s">
        <v>3682</v>
      </c>
      <c r="C425" s="29"/>
      <c r="D425" s="29" t="s">
        <v>3683</v>
      </c>
      <c r="E425" s="29"/>
      <c r="F425" s="29" t="s">
        <v>3686</v>
      </c>
      <c r="G425" s="29"/>
      <c r="H425" s="29" t="s">
        <v>3687</v>
      </c>
      <c r="I425" s="29"/>
      <c r="J425" s="29"/>
      <c r="K425" s="29"/>
      <c r="L425" s="29" t="s">
        <v>7325</v>
      </c>
      <c r="M425" s="29"/>
      <c r="N425" s="29" t="s">
        <v>3570</v>
      </c>
      <c r="O425" s="29"/>
      <c r="P425" s="29" t="s">
        <v>7416</v>
      </c>
      <c r="Q425" t="s">
        <v>2038</v>
      </c>
      <c r="R425" t="s">
        <v>2632</v>
      </c>
      <c r="S425">
        <v>38</v>
      </c>
      <c r="T425" s="43" t="str">
        <f t="shared" si="18"/>
        <v>2022.001B.Aliceevansviridae.zip</v>
      </c>
      <c r="U425" s="43" t="str">
        <f>HYPERLINK("https://ictv.global/taxonomy/taxondetails?taxnode_id=202214402","ictv.global=202214402")</f>
        <v>ictv.global=202214402</v>
      </c>
    </row>
    <row r="426" spans="1:21">
      <c r="A426">
        <v>425</v>
      </c>
      <c r="B426" s="29" t="s">
        <v>3682</v>
      </c>
      <c r="C426" s="29"/>
      <c r="D426" s="29" t="s">
        <v>3683</v>
      </c>
      <c r="E426" s="29"/>
      <c r="F426" s="29" t="s">
        <v>3686</v>
      </c>
      <c r="G426" s="29"/>
      <c r="H426" s="29" t="s">
        <v>3687</v>
      </c>
      <c r="I426" s="29"/>
      <c r="J426" s="29"/>
      <c r="K426" s="29"/>
      <c r="L426" s="29" t="s">
        <v>7325</v>
      </c>
      <c r="M426" s="29"/>
      <c r="N426" s="29" t="s">
        <v>3570</v>
      </c>
      <c r="O426" s="29"/>
      <c r="P426" s="29" t="s">
        <v>7417</v>
      </c>
      <c r="Q426" t="s">
        <v>2038</v>
      </c>
      <c r="R426" t="s">
        <v>2632</v>
      </c>
      <c r="S426">
        <v>38</v>
      </c>
      <c r="T426" s="43" t="str">
        <f t="shared" si="18"/>
        <v>2022.001B.Aliceevansviridae.zip</v>
      </c>
      <c r="U426" s="43" t="str">
        <f>HYPERLINK("https://ictv.global/taxonomy/taxondetails?taxnode_id=202214403","ictv.global=202214403")</f>
        <v>ictv.global=202214403</v>
      </c>
    </row>
    <row r="427" spans="1:21">
      <c r="A427">
        <v>426</v>
      </c>
      <c r="B427" s="29" t="s">
        <v>3682</v>
      </c>
      <c r="C427" s="29"/>
      <c r="D427" s="29" t="s">
        <v>3683</v>
      </c>
      <c r="E427" s="29"/>
      <c r="F427" s="29" t="s">
        <v>3686</v>
      </c>
      <c r="G427" s="29"/>
      <c r="H427" s="29" t="s">
        <v>3687</v>
      </c>
      <c r="I427" s="29"/>
      <c r="J427" s="29"/>
      <c r="K427" s="29"/>
      <c r="L427" s="29" t="s">
        <v>7325</v>
      </c>
      <c r="M427" s="29"/>
      <c r="N427" s="29" t="s">
        <v>3570</v>
      </c>
      <c r="O427" s="29"/>
      <c r="P427" s="29" t="s">
        <v>7418</v>
      </c>
      <c r="Q427" t="s">
        <v>2038</v>
      </c>
      <c r="R427" t="s">
        <v>2632</v>
      </c>
      <c r="S427">
        <v>38</v>
      </c>
      <c r="T427" s="43" t="str">
        <f t="shared" si="18"/>
        <v>2022.001B.Aliceevansviridae.zip</v>
      </c>
      <c r="U427" s="43" t="str">
        <f>HYPERLINK("https://ictv.global/taxonomy/taxondetails?taxnode_id=202214404","ictv.global=202214404")</f>
        <v>ictv.global=202214404</v>
      </c>
    </row>
    <row r="428" spans="1:21">
      <c r="A428">
        <v>427</v>
      </c>
      <c r="B428" s="29" t="s">
        <v>3682</v>
      </c>
      <c r="C428" s="29"/>
      <c r="D428" s="29" t="s">
        <v>3683</v>
      </c>
      <c r="E428" s="29"/>
      <c r="F428" s="29" t="s">
        <v>3686</v>
      </c>
      <c r="G428" s="29"/>
      <c r="H428" s="29" t="s">
        <v>3687</v>
      </c>
      <c r="I428" s="29"/>
      <c r="J428" s="29"/>
      <c r="K428" s="29"/>
      <c r="L428" s="29" t="s">
        <v>7325</v>
      </c>
      <c r="M428" s="29"/>
      <c r="N428" s="29" t="s">
        <v>3570</v>
      </c>
      <c r="O428" s="29"/>
      <c r="P428" s="29" t="s">
        <v>7419</v>
      </c>
      <c r="Q428" t="s">
        <v>2038</v>
      </c>
      <c r="R428" t="s">
        <v>2632</v>
      </c>
      <c r="S428">
        <v>38</v>
      </c>
      <c r="T428" s="43" t="str">
        <f t="shared" si="18"/>
        <v>2022.001B.Aliceevansviridae.zip</v>
      </c>
      <c r="U428" s="43" t="str">
        <f>HYPERLINK("https://ictv.global/taxonomy/taxondetails?taxnode_id=202214405","ictv.global=202214405")</f>
        <v>ictv.global=202214405</v>
      </c>
    </row>
    <row r="429" spans="1:21">
      <c r="A429">
        <v>428</v>
      </c>
      <c r="B429" s="29" t="s">
        <v>3682</v>
      </c>
      <c r="C429" s="29"/>
      <c r="D429" s="29" t="s">
        <v>3683</v>
      </c>
      <c r="E429" s="29"/>
      <c r="F429" s="29" t="s">
        <v>3686</v>
      </c>
      <c r="G429" s="29"/>
      <c r="H429" s="29" t="s">
        <v>3687</v>
      </c>
      <c r="I429" s="29"/>
      <c r="J429" s="29"/>
      <c r="K429" s="29"/>
      <c r="L429" s="29" t="s">
        <v>7325</v>
      </c>
      <c r="M429" s="29"/>
      <c r="N429" s="29" t="s">
        <v>3570</v>
      </c>
      <c r="O429" s="29"/>
      <c r="P429" s="29" t="s">
        <v>7420</v>
      </c>
      <c r="Q429" t="s">
        <v>2038</v>
      </c>
      <c r="R429" t="s">
        <v>2632</v>
      </c>
      <c r="S429">
        <v>38</v>
      </c>
      <c r="T429" s="43" t="str">
        <f t="shared" si="18"/>
        <v>2022.001B.Aliceevansviridae.zip</v>
      </c>
      <c r="U429" s="43" t="str">
        <f>HYPERLINK("https://ictv.global/taxonomy/taxondetails?taxnode_id=202214406","ictv.global=202214406")</f>
        <v>ictv.global=202214406</v>
      </c>
    </row>
    <row r="430" spans="1:21">
      <c r="A430">
        <v>429</v>
      </c>
      <c r="B430" s="29" t="s">
        <v>3682</v>
      </c>
      <c r="C430" s="29"/>
      <c r="D430" s="29" t="s">
        <v>3683</v>
      </c>
      <c r="E430" s="29"/>
      <c r="F430" s="29" t="s">
        <v>3686</v>
      </c>
      <c r="G430" s="29"/>
      <c r="H430" s="29" t="s">
        <v>3687</v>
      </c>
      <c r="I430" s="29"/>
      <c r="J430" s="29"/>
      <c r="K430" s="29"/>
      <c r="L430" s="29" t="s">
        <v>7325</v>
      </c>
      <c r="M430" s="29"/>
      <c r="N430" s="29" t="s">
        <v>3570</v>
      </c>
      <c r="O430" s="29"/>
      <c r="P430" s="29" t="s">
        <v>7421</v>
      </c>
      <c r="Q430" t="s">
        <v>2038</v>
      </c>
      <c r="R430" t="s">
        <v>2632</v>
      </c>
      <c r="S430">
        <v>38</v>
      </c>
      <c r="T430" s="43" t="str">
        <f t="shared" si="18"/>
        <v>2022.001B.Aliceevansviridae.zip</v>
      </c>
      <c r="U430" s="43" t="str">
        <f>HYPERLINK("https://ictv.global/taxonomy/taxondetails?taxnode_id=202214407","ictv.global=202214407")</f>
        <v>ictv.global=202214407</v>
      </c>
    </row>
    <row r="431" spans="1:21">
      <c r="A431">
        <v>430</v>
      </c>
      <c r="B431" s="29" t="s">
        <v>3682</v>
      </c>
      <c r="C431" s="29"/>
      <c r="D431" s="29" t="s">
        <v>3683</v>
      </c>
      <c r="E431" s="29"/>
      <c r="F431" s="29" t="s">
        <v>3686</v>
      </c>
      <c r="G431" s="29"/>
      <c r="H431" s="29" t="s">
        <v>3687</v>
      </c>
      <c r="I431" s="29"/>
      <c r="J431" s="29"/>
      <c r="K431" s="29"/>
      <c r="L431" s="29" t="s">
        <v>7325</v>
      </c>
      <c r="M431" s="29"/>
      <c r="N431" s="29" t="s">
        <v>3570</v>
      </c>
      <c r="O431" s="29"/>
      <c r="P431" s="29" t="s">
        <v>7422</v>
      </c>
      <c r="Q431" t="s">
        <v>2038</v>
      </c>
      <c r="R431" t="s">
        <v>2632</v>
      </c>
      <c r="S431">
        <v>38</v>
      </c>
      <c r="T431" s="43" t="str">
        <f t="shared" ref="T431:T460" si="19">HYPERLINK("https://ictv.global/ictv/proposals/2022.001B.Aliceevansviridae.zip","2022.001B.Aliceevansviridae.zip")</f>
        <v>2022.001B.Aliceevansviridae.zip</v>
      </c>
      <c r="U431" s="43" t="str">
        <f>HYPERLINK("https://ictv.global/taxonomy/taxondetails?taxnode_id=202214408","ictv.global=202214408")</f>
        <v>ictv.global=202214408</v>
      </c>
    </row>
    <row r="432" spans="1:21">
      <c r="A432">
        <v>431</v>
      </c>
      <c r="B432" s="29" t="s">
        <v>3682</v>
      </c>
      <c r="C432" s="29"/>
      <c r="D432" s="29" t="s">
        <v>3683</v>
      </c>
      <c r="E432" s="29"/>
      <c r="F432" s="29" t="s">
        <v>3686</v>
      </c>
      <c r="G432" s="29"/>
      <c r="H432" s="29" t="s">
        <v>3687</v>
      </c>
      <c r="I432" s="29"/>
      <c r="J432" s="29"/>
      <c r="K432" s="29"/>
      <c r="L432" s="29" t="s">
        <v>7325</v>
      </c>
      <c r="M432" s="29"/>
      <c r="N432" s="29" t="s">
        <v>3570</v>
      </c>
      <c r="O432" s="29"/>
      <c r="P432" s="29" t="s">
        <v>7423</v>
      </c>
      <c r="Q432" t="s">
        <v>2038</v>
      </c>
      <c r="R432" t="s">
        <v>2632</v>
      </c>
      <c r="S432">
        <v>38</v>
      </c>
      <c r="T432" s="43" t="str">
        <f t="shared" si="19"/>
        <v>2022.001B.Aliceevansviridae.zip</v>
      </c>
      <c r="U432" s="43" t="str">
        <f>HYPERLINK("https://ictv.global/taxonomy/taxondetails?taxnode_id=202214409","ictv.global=202214409")</f>
        <v>ictv.global=202214409</v>
      </c>
    </row>
    <row r="433" spans="1:21">
      <c r="A433">
        <v>432</v>
      </c>
      <c r="B433" s="29" t="s">
        <v>3682</v>
      </c>
      <c r="C433" s="29"/>
      <c r="D433" s="29" t="s">
        <v>3683</v>
      </c>
      <c r="E433" s="29"/>
      <c r="F433" s="29" t="s">
        <v>3686</v>
      </c>
      <c r="G433" s="29"/>
      <c r="H433" s="29" t="s">
        <v>3687</v>
      </c>
      <c r="I433" s="29"/>
      <c r="J433" s="29"/>
      <c r="K433" s="29"/>
      <c r="L433" s="29" t="s">
        <v>7325</v>
      </c>
      <c r="M433" s="29"/>
      <c r="N433" s="29" t="s">
        <v>3570</v>
      </c>
      <c r="O433" s="29"/>
      <c r="P433" s="29" t="s">
        <v>7424</v>
      </c>
      <c r="Q433" t="s">
        <v>2038</v>
      </c>
      <c r="R433" t="s">
        <v>2632</v>
      </c>
      <c r="S433">
        <v>38</v>
      </c>
      <c r="T433" s="43" t="str">
        <f t="shared" si="19"/>
        <v>2022.001B.Aliceevansviridae.zip</v>
      </c>
      <c r="U433" s="43" t="str">
        <f>HYPERLINK("https://ictv.global/taxonomy/taxondetails?taxnode_id=202214410","ictv.global=202214410")</f>
        <v>ictv.global=202214410</v>
      </c>
    </row>
    <row r="434" spans="1:21">
      <c r="A434">
        <v>433</v>
      </c>
      <c r="B434" s="29" t="s">
        <v>3682</v>
      </c>
      <c r="C434" s="29"/>
      <c r="D434" s="29" t="s">
        <v>3683</v>
      </c>
      <c r="E434" s="29"/>
      <c r="F434" s="29" t="s">
        <v>3686</v>
      </c>
      <c r="G434" s="29"/>
      <c r="H434" s="29" t="s">
        <v>3687</v>
      </c>
      <c r="I434" s="29"/>
      <c r="J434" s="29"/>
      <c r="K434" s="29"/>
      <c r="L434" s="29" t="s">
        <v>7325</v>
      </c>
      <c r="M434" s="29"/>
      <c r="N434" s="29" t="s">
        <v>3570</v>
      </c>
      <c r="O434" s="29"/>
      <c r="P434" s="29" t="s">
        <v>7425</v>
      </c>
      <c r="Q434" t="s">
        <v>2038</v>
      </c>
      <c r="R434" t="s">
        <v>2634</v>
      </c>
      <c r="S434">
        <v>38</v>
      </c>
      <c r="T434" s="43" t="str">
        <f t="shared" si="19"/>
        <v>2022.001B.Aliceevansviridae.zip</v>
      </c>
      <c r="U434" s="43" t="str">
        <f>HYPERLINK("https://ictv.global/taxonomy/taxondetails?taxnode_id=202201276","ictv.global=202201276")</f>
        <v>ictv.global=202201276</v>
      </c>
    </row>
    <row r="435" spans="1:21">
      <c r="A435">
        <v>434</v>
      </c>
      <c r="B435" s="29" t="s">
        <v>3682</v>
      </c>
      <c r="C435" s="29"/>
      <c r="D435" s="29" t="s">
        <v>3683</v>
      </c>
      <c r="E435" s="29"/>
      <c r="F435" s="29" t="s">
        <v>3686</v>
      </c>
      <c r="G435" s="29"/>
      <c r="H435" s="29" t="s">
        <v>3687</v>
      </c>
      <c r="I435" s="29"/>
      <c r="J435" s="29"/>
      <c r="K435" s="29"/>
      <c r="L435" s="29" t="s">
        <v>7325</v>
      </c>
      <c r="M435" s="29"/>
      <c r="N435" s="29" t="s">
        <v>3570</v>
      </c>
      <c r="O435" s="29"/>
      <c r="P435" s="29" t="s">
        <v>7426</v>
      </c>
      <c r="Q435" t="s">
        <v>2038</v>
      </c>
      <c r="R435" t="s">
        <v>2634</v>
      </c>
      <c r="S435">
        <v>38</v>
      </c>
      <c r="T435" s="43" t="str">
        <f t="shared" si="19"/>
        <v>2022.001B.Aliceevansviridae.zip</v>
      </c>
      <c r="U435" s="43" t="str">
        <f>HYPERLINK("https://ictv.global/taxonomy/taxondetails?taxnode_id=202201277","ictv.global=202201277")</f>
        <v>ictv.global=202201277</v>
      </c>
    </row>
    <row r="436" spans="1:21">
      <c r="A436">
        <v>435</v>
      </c>
      <c r="B436" s="29" t="s">
        <v>3682</v>
      </c>
      <c r="C436" s="29"/>
      <c r="D436" s="29" t="s">
        <v>3683</v>
      </c>
      <c r="E436" s="29"/>
      <c r="F436" s="29" t="s">
        <v>3686</v>
      </c>
      <c r="G436" s="29"/>
      <c r="H436" s="29" t="s">
        <v>3687</v>
      </c>
      <c r="I436" s="29"/>
      <c r="J436" s="29"/>
      <c r="K436" s="29"/>
      <c r="L436" s="29" t="s">
        <v>7325</v>
      </c>
      <c r="M436" s="29"/>
      <c r="N436" s="29" t="s">
        <v>3570</v>
      </c>
      <c r="O436" s="29"/>
      <c r="P436" s="29" t="s">
        <v>7427</v>
      </c>
      <c r="Q436" t="s">
        <v>2038</v>
      </c>
      <c r="R436" t="s">
        <v>2632</v>
      </c>
      <c r="S436">
        <v>38</v>
      </c>
      <c r="T436" s="43" t="str">
        <f t="shared" si="19"/>
        <v>2022.001B.Aliceevansviridae.zip</v>
      </c>
      <c r="U436" s="43" t="str">
        <f>HYPERLINK("https://ictv.global/taxonomy/taxondetails?taxnode_id=202214411","ictv.global=202214411")</f>
        <v>ictv.global=202214411</v>
      </c>
    </row>
    <row r="437" spans="1:21">
      <c r="A437">
        <v>436</v>
      </c>
      <c r="B437" s="29" t="s">
        <v>3682</v>
      </c>
      <c r="C437" s="29"/>
      <c r="D437" s="29" t="s">
        <v>3683</v>
      </c>
      <c r="E437" s="29"/>
      <c r="F437" s="29" t="s">
        <v>3686</v>
      </c>
      <c r="G437" s="29"/>
      <c r="H437" s="29" t="s">
        <v>3687</v>
      </c>
      <c r="I437" s="29"/>
      <c r="J437" s="29"/>
      <c r="K437" s="29"/>
      <c r="L437" s="29" t="s">
        <v>7325</v>
      </c>
      <c r="M437" s="29"/>
      <c r="N437" s="29" t="s">
        <v>3570</v>
      </c>
      <c r="O437" s="29"/>
      <c r="P437" s="29" t="s">
        <v>7428</v>
      </c>
      <c r="Q437" t="s">
        <v>2038</v>
      </c>
      <c r="R437" t="s">
        <v>2632</v>
      </c>
      <c r="S437">
        <v>38</v>
      </c>
      <c r="T437" s="43" t="str">
        <f t="shared" si="19"/>
        <v>2022.001B.Aliceevansviridae.zip</v>
      </c>
      <c r="U437" s="43" t="str">
        <f>HYPERLINK("https://ictv.global/taxonomy/taxondetails?taxnode_id=202214412","ictv.global=202214412")</f>
        <v>ictv.global=202214412</v>
      </c>
    </row>
    <row r="438" spans="1:21">
      <c r="A438">
        <v>437</v>
      </c>
      <c r="B438" s="29" t="s">
        <v>3682</v>
      </c>
      <c r="C438" s="29"/>
      <c r="D438" s="29" t="s">
        <v>3683</v>
      </c>
      <c r="E438" s="29"/>
      <c r="F438" s="29" t="s">
        <v>3686</v>
      </c>
      <c r="G438" s="29"/>
      <c r="H438" s="29" t="s">
        <v>3687</v>
      </c>
      <c r="I438" s="29"/>
      <c r="J438" s="29"/>
      <c r="K438" s="29"/>
      <c r="L438" s="29" t="s">
        <v>7325</v>
      </c>
      <c r="M438" s="29"/>
      <c r="N438" s="29" t="s">
        <v>3570</v>
      </c>
      <c r="O438" s="29"/>
      <c r="P438" s="29" t="s">
        <v>7429</v>
      </c>
      <c r="Q438" t="s">
        <v>2038</v>
      </c>
      <c r="R438" t="s">
        <v>2632</v>
      </c>
      <c r="S438">
        <v>38</v>
      </c>
      <c r="T438" s="43" t="str">
        <f t="shared" si="19"/>
        <v>2022.001B.Aliceevansviridae.zip</v>
      </c>
      <c r="U438" s="43" t="str">
        <f>HYPERLINK("https://ictv.global/taxonomy/taxondetails?taxnode_id=202214415","ictv.global=202214415")</f>
        <v>ictv.global=202214415</v>
      </c>
    </row>
    <row r="439" spans="1:21">
      <c r="A439">
        <v>438</v>
      </c>
      <c r="B439" s="29" t="s">
        <v>3682</v>
      </c>
      <c r="C439" s="29"/>
      <c r="D439" s="29" t="s">
        <v>3683</v>
      </c>
      <c r="E439" s="29"/>
      <c r="F439" s="29" t="s">
        <v>3686</v>
      </c>
      <c r="G439" s="29"/>
      <c r="H439" s="29" t="s">
        <v>3687</v>
      </c>
      <c r="I439" s="29"/>
      <c r="J439" s="29"/>
      <c r="K439" s="29"/>
      <c r="L439" s="29" t="s">
        <v>7325</v>
      </c>
      <c r="M439" s="29"/>
      <c r="N439" s="29" t="s">
        <v>3570</v>
      </c>
      <c r="O439" s="29"/>
      <c r="P439" s="29" t="s">
        <v>7430</v>
      </c>
      <c r="Q439" t="s">
        <v>2038</v>
      </c>
      <c r="R439" t="s">
        <v>2632</v>
      </c>
      <c r="S439">
        <v>38</v>
      </c>
      <c r="T439" s="43" t="str">
        <f t="shared" si="19"/>
        <v>2022.001B.Aliceevansviridae.zip</v>
      </c>
      <c r="U439" s="43" t="str">
        <f>HYPERLINK("https://ictv.global/taxonomy/taxondetails?taxnode_id=202214416","ictv.global=202214416")</f>
        <v>ictv.global=202214416</v>
      </c>
    </row>
    <row r="440" spans="1:21">
      <c r="A440">
        <v>439</v>
      </c>
      <c r="B440" s="29" t="s">
        <v>3682</v>
      </c>
      <c r="C440" s="29"/>
      <c r="D440" s="29" t="s">
        <v>3683</v>
      </c>
      <c r="E440" s="29"/>
      <c r="F440" s="29" t="s">
        <v>3686</v>
      </c>
      <c r="G440" s="29"/>
      <c r="H440" s="29" t="s">
        <v>3687</v>
      </c>
      <c r="I440" s="29"/>
      <c r="J440" s="29"/>
      <c r="K440" s="29"/>
      <c r="L440" s="29" t="s">
        <v>7325</v>
      </c>
      <c r="M440" s="29"/>
      <c r="N440" s="29" t="s">
        <v>3570</v>
      </c>
      <c r="O440" s="29"/>
      <c r="P440" s="29" t="s">
        <v>7431</v>
      </c>
      <c r="Q440" t="s">
        <v>2038</v>
      </c>
      <c r="R440" t="s">
        <v>2632</v>
      </c>
      <c r="S440">
        <v>38</v>
      </c>
      <c r="T440" s="43" t="str">
        <f t="shared" si="19"/>
        <v>2022.001B.Aliceevansviridae.zip</v>
      </c>
      <c r="U440" s="43" t="str">
        <f>HYPERLINK("https://ictv.global/taxonomy/taxondetails?taxnode_id=202214417","ictv.global=202214417")</f>
        <v>ictv.global=202214417</v>
      </c>
    </row>
    <row r="441" spans="1:21">
      <c r="A441">
        <v>440</v>
      </c>
      <c r="B441" s="29" t="s">
        <v>3682</v>
      </c>
      <c r="C441" s="29"/>
      <c r="D441" s="29" t="s">
        <v>3683</v>
      </c>
      <c r="E441" s="29"/>
      <c r="F441" s="29" t="s">
        <v>3686</v>
      </c>
      <c r="G441" s="29"/>
      <c r="H441" s="29" t="s">
        <v>3687</v>
      </c>
      <c r="I441" s="29"/>
      <c r="J441" s="29"/>
      <c r="K441" s="29"/>
      <c r="L441" s="29" t="s">
        <v>7325</v>
      </c>
      <c r="M441" s="29"/>
      <c r="N441" s="29" t="s">
        <v>3570</v>
      </c>
      <c r="O441" s="29"/>
      <c r="P441" s="29" t="s">
        <v>7432</v>
      </c>
      <c r="Q441" t="s">
        <v>2038</v>
      </c>
      <c r="R441" t="s">
        <v>2632</v>
      </c>
      <c r="S441">
        <v>38</v>
      </c>
      <c r="T441" s="43" t="str">
        <f t="shared" si="19"/>
        <v>2022.001B.Aliceevansviridae.zip</v>
      </c>
      <c r="U441" s="43" t="str">
        <f>HYPERLINK("https://ictv.global/taxonomy/taxondetails?taxnode_id=202214418","ictv.global=202214418")</f>
        <v>ictv.global=202214418</v>
      </c>
    </row>
    <row r="442" spans="1:21">
      <c r="A442">
        <v>441</v>
      </c>
      <c r="B442" s="29" t="s">
        <v>3682</v>
      </c>
      <c r="C442" s="29"/>
      <c r="D442" s="29" t="s">
        <v>3683</v>
      </c>
      <c r="E442" s="29"/>
      <c r="F442" s="29" t="s">
        <v>3686</v>
      </c>
      <c r="G442" s="29"/>
      <c r="H442" s="29" t="s">
        <v>3687</v>
      </c>
      <c r="I442" s="29"/>
      <c r="J442" s="29"/>
      <c r="K442" s="29"/>
      <c r="L442" s="29" t="s">
        <v>7325</v>
      </c>
      <c r="M442" s="29"/>
      <c r="N442" s="29" t="s">
        <v>3570</v>
      </c>
      <c r="O442" s="29"/>
      <c r="P442" s="29" t="s">
        <v>7433</v>
      </c>
      <c r="Q442" t="s">
        <v>2038</v>
      </c>
      <c r="R442" t="s">
        <v>2632</v>
      </c>
      <c r="S442">
        <v>38</v>
      </c>
      <c r="T442" s="43" t="str">
        <f t="shared" si="19"/>
        <v>2022.001B.Aliceevansviridae.zip</v>
      </c>
      <c r="U442" s="43" t="str">
        <f>HYPERLINK("https://ictv.global/taxonomy/taxondetails?taxnode_id=202214419","ictv.global=202214419")</f>
        <v>ictv.global=202214419</v>
      </c>
    </row>
    <row r="443" spans="1:21">
      <c r="A443">
        <v>442</v>
      </c>
      <c r="B443" s="29" t="s">
        <v>3682</v>
      </c>
      <c r="C443" s="29"/>
      <c r="D443" s="29" t="s">
        <v>3683</v>
      </c>
      <c r="E443" s="29"/>
      <c r="F443" s="29" t="s">
        <v>3686</v>
      </c>
      <c r="G443" s="29"/>
      <c r="H443" s="29" t="s">
        <v>3687</v>
      </c>
      <c r="I443" s="29"/>
      <c r="J443" s="29"/>
      <c r="K443" s="29"/>
      <c r="L443" s="29" t="s">
        <v>7325</v>
      </c>
      <c r="M443" s="29"/>
      <c r="N443" s="29" t="s">
        <v>3570</v>
      </c>
      <c r="O443" s="29"/>
      <c r="P443" s="29" t="s">
        <v>7434</v>
      </c>
      <c r="Q443" t="s">
        <v>2038</v>
      </c>
      <c r="R443" t="s">
        <v>2632</v>
      </c>
      <c r="S443">
        <v>38</v>
      </c>
      <c r="T443" s="43" t="str">
        <f t="shared" si="19"/>
        <v>2022.001B.Aliceevansviridae.zip</v>
      </c>
      <c r="U443" s="43" t="str">
        <f>HYPERLINK("https://ictv.global/taxonomy/taxondetails?taxnode_id=202214420","ictv.global=202214420")</f>
        <v>ictv.global=202214420</v>
      </c>
    </row>
    <row r="444" spans="1:21">
      <c r="A444">
        <v>443</v>
      </c>
      <c r="B444" s="29" t="s">
        <v>3682</v>
      </c>
      <c r="C444" s="29"/>
      <c r="D444" s="29" t="s">
        <v>3683</v>
      </c>
      <c r="E444" s="29"/>
      <c r="F444" s="29" t="s">
        <v>3686</v>
      </c>
      <c r="G444" s="29"/>
      <c r="H444" s="29" t="s">
        <v>3687</v>
      </c>
      <c r="I444" s="29"/>
      <c r="J444" s="29"/>
      <c r="K444" s="29"/>
      <c r="L444" s="29" t="s">
        <v>7325</v>
      </c>
      <c r="M444" s="29"/>
      <c r="N444" s="29" t="s">
        <v>3570</v>
      </c>
      <c r="O444" s="29"/>
      <c r="P444" s="29" t="s">
        <v>7435</v>
      </c>
      <c r="Q444" t="s">
        <v>2038</v>
      </c>
      <c r="R444" t="s">
        <v>2632</v>
      </c>
      <c r="S444">
        <v>38</v>
      </c>
      <c r="T444" s="43" t="str">
        <f t="shared" si="19"/>
        <v>2022.001B.Aliceevansviridae.zip</v>
      </c>
      <c r="U444" s="43" t="str">
        <f>HYPERLINK("https://ictv.global/taxonomy/taxondetails?taxnode_id=202214413","ictv.global=202214413")</f>
        <v>ictv.global=202214413</v>
      </c>
    </row>
    <row r="445" spans="1:21">
      <c r="A445">
        <v>444</v>
      </c>
      <c r="B445" s="29" t="s">
        <v>3682</v>
      </c>
      <c r="C445" s="29"/>
      <c r="D445" s="29" t="s">
        <v>3683</v>
      </c>
      <c r="E445" s="29"/>
      <c r="F445" s="29" t="s">
        <v>3686</v>
      </c>
      <c r="G445" s="29"/>
      <c r="H445" s="29" t="s">
        <v>3687</v>
      </c>
      <c r="I445" s="29"/>
      <c r="J445" s="29"/>
      <c r="K445" s="29"/>
      <c r="L445" s="29" t="s">
        <v>7325</v>
      </c>
      <c r="M445" s="29"/>
      <c r="N445" s="29" t="s">
        <v>3570</v>
      </c>
      <c r="O445" s="29"/>
      <c r="P445" s="29" t="s">
        <v>7436</v>
      </c>
      <c r="Q445" t="s">
        <v>2038</v>
      </c>
      <c r="R445" t="s">
        <v>2632</v>
      </c>
      <c r="S445">
        <v>38</v>
      </c>
      <c r="T445" s="43" t="str">
        <f t="shared" si="19"/>
        <v>2022.001B.Aliceevansviridae.zip</v>
      </c>
      <c r="U445" s="43" t="str">
        <f>HYPERLINK("https://ictv.global/taxonomy/taxondetails?taxnode_id=202214414","ictv.global=202214414")</f>
        <v>ictv.global=202214414</v>
      </c>
    </row>
    <row r="446" spans="1:21">
      <c r="A446">
        <v>445</v>
      </c>
      <c r="B446" s="29" t="s">
        <v>3682</v>
      </c>
      <c r="C446" s="29"/>
      <c r="D446" s="29" t="s">
        <v>3683</v>
      </c>
      <c r="E446" s="29"/>
      <c r="F446" s="29" t="s">
        <v>3686</v>
      </c>
      <c r="G446" s="29"/>
      <c r="H446" s="29" t="s">
        <v>3687</v>
      </c>
      <c r="I446" s="29"/>
      <c r="J446" s="29"/>
      <c r="K446" s="29"/>
      <c r="L446" s="29" t="s">
        <v>7325</v>
      </c>
      <c r="M446" s="29"/>
      <c r="N446" s="29" t="s">
        <v>3570</v>
      </c>
      <c r="O446" s="29"/>
      <c r="P446" s="29" t="s">
        <v>7437</v>
      </c>
      <c r="Q446" t="s">
        <v>2038</v>
      </c>
      <c r="R446" t="s">
        <v>2632</v>
      </c>
      <c r="S446">
        <v>38</v>
      </c>
      <c r="T446" s="43" t="str">
        <f t="shared" si="19"/>
        <v>2022.001B.Aliceevansviridae.zip</v>
      </c>
      <c r="U446" s="43" t="str">
        <f>HYPERLINK("https://ictv.global/taxonomy/taxondetails?taxnode_id=202214421","ictv.global=202214421")</f>
        <v>ictv.global=202214421</v>
      </c>
    </row>
    <row r="447" spans="1:21">
      <c r="A447">
        <v>446</v>
      </c>
      <c r="B447" s="29" t="s">
        <v>3682</v>
      </c>
      <c r="C447" s="29"/>
      <c r="D447" s="29" t="s">
        <v>3683</v>
      </c>
      <c r="E447" s="29"/>
      <c r="F447" s="29" t="s">
        <v>3686</v>
      </c>
      <c r="G447" s="29"/>
      <c r="H447" s="29" t="s">
        <v>3687</v>
      </c>
      <c r="I447" s="29"/>
      <c r="J447" s="29"/>
      <c r="K447" s="29"/>
      <c r="L447" s="29" t="s">
        <v>7325</v>
      </c>
      <c r="M447" s="29"/>
      <c r="N447" s="29" t="s">
        <v>3570</v>
      </c>
      <c r="O447" s="29"/>
      <c r="P447" s="29" t="s">
        <v>7438</v>
      </c>
      <c r="Q447" t="s">
        <v>2038</v>
      </c>
      <c r="R447" t="s">
        <v>2632</v>
      </c>
      <c r="S447">
        <v>38</v>
      </c>
      <c r="T447" s="43" t="str">
        <f t="shared" si="19"/>
        <v>2022.001B.Aliceevansviridae.zip</v>
      </c>
      <c r="U447" s="43" t="str">
        <f>HYPERLINK("https://ictv.global/taxonomy/taxondetails?taxnode_id=202214422","ictv.global=202214422")</f>
        <v>ictv.global=202214422</v>
      </c>
    </row>
    <row r="448" spans="1:21">
      <c r="A448">
        <v>447</v>
      </c>
      <c r="B448" s="29" t="s">
        <v>3682</v>
      </c>
      <c r="C448" s="29"/>
      <c r="D448" s="29" t="s">
        <v>3683</v>
      </c>
      <c r="E448" s="29"/>
      <c r="F448" s="29" t="s">
        <v>3686</v>
      </c>
      <c r="G448" s="29"/>
      <c r="H448" s="29" t="s">
        <v>3687</v>
      </c>
      <c r="I448" s="29"/>
      <c r="J448" s="29"/>
      <c r="K448" s="29"/>
      <c r="L448" s="29" t="s">
        <v>7325</v>
      </c>
      <c r="M448" s="29"/>
      <c r="N448" s="29" t="s">
        <v>3570</v>
      </c>
      <c r="O448" s="29"/>
      <c r="P448" s="29" t="s">
        <v>7439</v>
      </c>
      <c r="Q448" t="s">
        <v>2038</v>
      </c>
      <c r="R448" t="s">
        <v>2632</v>
      </c>
      <c r="S448">
        <v>38</v>
      </c>
      <c r="T448" s="43" t="str">
        <f t="shared" si="19"/>
        <v>2022.001B.Aliceevansviridae.zip</v>
      </c>
      <c r="U448" s="43" t="str">
        <f>HYPERLINK("https://ictv.global/taxonomy/taxondetails?taxnode_id=202214423","ictv.global=202214423")</f>
        <v>ictv.global=202214423</v>
      </c>
    </row>
    <row r="449" spans="1:21">
      <c r="A449">
        <v>448</v>
      </c>
      <c r="B449" s="29" t="s">
        <v>3682</v>
      </c>
      <c r="C449" s="29"/>
      <c r="D449" s="29" t="s">
        <v>3683</v>
      </c>
      <c r="E449" s="29"/>
      <c r="F449" s="29" t="s">
        <v>3686</v>
      </c>
      <c r="G449" s="29"/>
      <c r="H449" s="29" t="s">
        <v>3687</v>
      </c>
      <c r="I449" s="29"/>
      <c r="J449" s="29"/>
      <c r="K449" s="29"/>
      <c r="L449" s="29" t="s">
        <v>7325</v>
      </c>
      <c r="M449" s="29"/>
      <c r="N449" s="29" t="s">
        <v>3570</v>
      </c>
      <c r="O449" s="29"/>
      <c r="P449" s="29" t="s">
        <v>7440</v>
      </c>
      <c r="Q449" t="s">
        <v>2038</v>
      </c>
      <c r="R449" t="s">
        <v>2632</v>
      </c>
      <c r="S449">
        <v>38</v>
      </c>
      <c r="T449" s="43" t="str">
        <f t="shared" si="19"/>
        <v>2022.001B.Aliceevansviridae.zip</v>
      </c>
      <c r="U449" s="43" t="str">
        <f>HYPERLINK("https://ictv.global/taxonomy/taxondetails?taxnode_id=202214424","ictv.global=202214424")</f>
        <v>ictv.global=202214424</v>
      </c>
    </row>
    <row r="450" spans="1:21">
      <c r="A450">
        <v>449</v>
      </c>
      <c r="B450" s="29" t="s">
        <v>3682</v>
      </c>
      <c r="C450" s="29"/>
      <c r="D450" s="29" t="s">
        <v>3683</v>
      </c>
      <c r="E450" s="29"/>
      <c r="F450" s="29" t="s">
        <v>3686</v>
      </c>
      <c r="G450" s="29"/>
      <c r="H450" s="29" t="s">
        <v>3687</v>
      </c>
      <c r="I450" s="29"/>
      <c r="J450" s="29"/>
      <c r="K450" s="29"/>
      <c r="L450" s="29" t="s">
        <v>7325</v>
      </c>
      <c r="M450" s="29"/>
      <c r="N450" s="29" t="s">
        <v>7441</v>
      </c>
      <c r="O450" s="29"/>
      <c r="P450" s="29" t="s">
        <v>7442</v>
      </c>
      <c r="Q450" t="s">
        <v>2038</v>
      </c>
      <c r="R450" t="s">
        <v>2632</v>
      </c>
      <c r="S450">
        <v>38</v>
      </c>
      <c r="T450" s="43" t="str">
        <f t="shared" si="19"/>
        <v>2022.001B.Aliceevansviridae.zip</v>
      </c>
      <c r="U450" s="43" t="str">
        <f>HYPERLINK("https://ictv.global/taxonomy/taxondetails?taxnode_id=202214345","ictv.global=202214345")</f>
        <v>ictv.global=202214345</v>
      </c>
    </row>
    <row r="451" spans="1:21">
      <c r="A451">
        <v>450</v>
      </c>
      <c r="B451" s="29" t="s">
        <v>3682</v>
      </c>
      <c r="C451" s="29"/>
      <c r="D451" s="29" t="s">
        <v>3683</v>
      </c>
      <c r="E451" s="29"/>
      <c r="F451" s="29" t="s">
        <v>3686</v>
      </c>
      <c r="G451" s="29"/>
      <c r="H451" s="29" t="s">
        <v>3687</v>
      </c>
      <c r="I451" s="29"/>
      <c r="J451" s="29"/>
      <c r="K451" s="29"/>
      <c r="L451" s="29" t="s">
        <v>7325</v>
      </c>
      <c r="M451" s="29"/>
      <c r="N451" s="29" t="s">
        <v>7441</v>
      </c>
      <c r="O451" s="29"/>
      <c r="P451" s="29" t="s">
        <v>7443</v>
      </c>
      <c r="Q451" t="s">
        <v>2038</v>
      </c>
      <c r="R451" t="s">
        <v>2632</v>
      </c>
      <c r="S451">
        <v>38</v>
      </c>
      <c r="T451" s="43" t="str">
        <f t="shared" si="19"/>
        <v>2022.001B.Aliceevansviridae.zip</v>
      </c>
      <c r="U451" s="43" t="str">
        <f>HYPERLINK("https://ictv.global/taxonomy/taxondetails?taxnode_id=202214340","ictv.global=202214340")</f>
        <v>ictv.global=202214340</v>
      </c>
    </row>
    <row r="452" spans="1:21">
      <c r="A452">
        <v>451</v>
      </c>
      <c r="B452" s="29" t="s">
        <v>3682</v>
      </c>
      <c r="C452" s="29"/>
      <c r="D452" s="29" t="s">
        <v>3683</v>
      </c>
      <c r="E452" s="29"/>
      <c r="F452" s="29" t="s">
        <v>3686</v>
      </c>
      <c r="G452" s="29"/>
      <c r="H452" s="29" t="s">
        <v>3687</v>
      </c>
      <c r="I452" s="29"/>
      <c r="J452" s="29"/>
      <c r="K452" s="29"/>
      <c r="L452" s="29" t="s">
        <v>7325</v>
      </c>
      <c r="M452" s="29"/>
      <c r="N452" s="29" t="s">
        <v>7441</v>
      </c>
      <c r="O452" s="29"/>
      <c r="P452" s="29" t="s">
        <v>7444</v>
      </c>
      <c r="Q452" t="s">
        <v>2038</v>
      </c>
      <c r="R452" t="s">
        <v>2632</v>
      </c>
      <c r="S452">
        <v>38</v>
      </c>
      <c r="T452" s="43" t="str">
        <f t="shared" si="19"/>
        <v>2022.001B.Aliceevansviridae.zip</v>
      </c>
      <c r="U452" s="43" t="str">
        <f>HYPERLINK("https://ictv.global/taxonomy/taxondetails?taxnode_id=202214344","ictv.global=202214344")</f>
        <v>ictv.global=202214344</v>
      </c>
    </row>
    <row r="453" spans="1:21">
      <c r="A453">
        <v>452</v>
      </c>
      <c r="B453" s="29" t="s">
        <v>3682</v>
      </c>
      <c r="C453" s="29"/>
      <c r="D453" s="29" t="s">
        <v>3683</v>
      </c>
      <c r="E453" s="29"/>
      <c r="F453" s="29" t="s">
        <v>3686</v>
      </c>
      <c r="G453" s="29"/>
      <c r="H453" s="29" t="s">
        <v>3687</v>
      </c>
      <c r="I453" s="29"/>
      <c r="J453" s="29"/>
      <c r="K453" s="29"/>
      <c r="L453" s="29" t="s">
        <v>7325</v>
      </c>
      <c r="M453" s="29"/>
      <c r="N453" s="29" t="s">
        <v>7441</v>
      </c>
      <c r="O453" s="29"/>
      <c r="P453" s="29" t="s">
        <v>7445</v>
      </c>
      <c r="Q453" t="s">
        <v>2038</v>
      </c>
      <c r="R453" t="s">
        <v>2632</v>
      </c>
      <c r="S453">
        <v>38</v>
      </c>
      <c r="T453" s="43" t="str">
        <f t="shared" si="19"/>
        <v>2022.001B.Aliceevansviridae.zip</v>
      </c>
      <c r="U453" s="43" t="str">
        <f>HYPERLINK("https://ictv.global/taxonomy/taxondetails?taxnode_id=202214346","ictv.global=202214346")</f>
        <v>ictv.global=202214346</v>
      </c>
    </row>
    <row r="454" spans="1:21">
      <c r="A454">
        <v>453</v>
      </c>
      <c r="B454" s="29" t="s">
        <v>3682</v>
      </c>
      <c r="C454" s="29"/>
      <c r="D454" s="29" t="s">
        <v>3683</v>
      </c>
      <c r="E454" s="29"/>
      <c r="F454" s="29" t="s">
        <v>3686</v>
      </c>
      <c r="G454" s="29"/>
      <c r="H454" s="29" t="s">
        <v>3687</v>
      </c>
      <c r="I454" s="29"/>
      <c r="J454" s="29"/>
      <c r="K454" s="29"/>
      <c r="L454" s="29" t="s">
        <v>7325</v>
      </c>
      <c r="M454" s="29"/>
      <c r="N454" s="29" t="s">
        <v>7441</v>
      </c>
      <c r="O454" s="29"/>
      <c r="P454" s="29" t="s">
        <v>7446</v>
      </c>
      <c r="Q454" t="s">
        <v>2038</v>
      </c>
      <c r="R454" t="s">
        <v>2632</v>
      </c>
      <c r="S454">
        <v>38</v>
      </c>
      <c r="T454" s="43" t="str">
        <f t="shared" si="19"/>
        <v>2022.001B.Aliceevansviridae.zip</v>
      </c>
      <c r="U454" s="43" t="str">
        <f>HYPERLINK("https://ictv.global/taxonomy/taxondetails?taxnode_id=202214343","ictv.global=202214343")</f>
        <v>ictv.global=202214343</v>
      </c>
    </row>
    <row r="455" spans="1:21">
      <c r="A455">
        <v>454</v>
      </c>
      <c r="B455" s="29" t="s">
        <v>3682</v>
      </c>
      <c r="C455" s="29"/>
      <c r="D455" s="29" t="s">
        <v>3683</v>
      </c>
      <c r="E455" s="29"/>
      <c r="F455" s="29" t="s">
        <v>3686</v>
      </c>
      <c r="G455" s="29"/>
      <c r="H455" s="29" t="s">
        <v>3687</v>
      </c>
      <c r="I455" s="29"/>
      <c r="J455" s="29"/>
      <c r="K455" s="29"/>
      <c r="L455" s="29" t="s">
        <v>7325</v>
      </c>
      <c r="M455" s="29"/>
      <c r="N455" s="29" t="s">
        <v>7441</v>
      </c>
      <c r="O455" s="29"/>
      <c r="P455" s="29" t="s">
        <v>7447</v>
      </c>
      <c r="Q455" t="s">
        <v>2038</v>
      </c>
      <c r="R455" t="s">
        <v>2632</v>
      </c>
      <c r="S455">
        <v>38</v>
      </c>
      <c r="T455" s="43" t="str">
        <f t="shared" si="19"/>
        <v>2022.001B.Aliceevansviridae.zip</v>
      </c>
      <c r="U455" s="43" t="str">
        <f>HYPERLINK("https://ictv.global/taxonomy/taxondetails?taxnode_id=202214341","ictv.global=202214341")</f>
        <v>ictv.global=202214341</v>
      </c>
    </row>
    <row r="456" spans="1:21">
      <c r="A456">
        <v>455</v>
      </c>
      <c r="B456" s="29" t="s">
        <v>3682</v>
      </c>
      <c r="C456" s="29"/>
      <c r="D456" s="29" t="s">
        <v>3683</v>
      </c>
      <c r="E456" s="29"/>
      <c r="F456" s="29" t="s">
        <v>3686</v>
      </c>
      <c r="G456" s="29"/>
      <c r="H456" s="29" t="s">
        <v>3687</v>
      </c>
      <c r="I456" s="29"/>
      <c r="J456" s="29"/>
      <c r="K456" s="29"/>
      <c r="L456" s="29" t="s">
        <v>7325</v>
      </c>
      <c r="M456" s="29"/>
      <c r="N456" s="29" t="s">
        <v>7441</v>
      </c>
      <c r="O456" s="29"/>
      <c r="P456" s="29" t="s">
        <v>7448</v>
      </c>
      <c r="Q456" t="s">
        <v>2038</v>
      </c>
      <c r="R456" t="s">
        <v>2632</v>
      </c>
      <c r="S456">
        <v>38</v>
      </c>
      <c r="T456" s="43" t="str">
        <f t="shared" si="19"/>
        <v>2022.001B.Aliceevansviridae.zip</v>
      </c>
      <c r="U456" s="43" t="str">
        <f>HYPERLINK("https://ictv.global/taxonomy/taxondetails?taxnode_id=202214347","ictv.global=202214347")</f>
        <v>ictv.global=202214347</v>
      </c>
    </row>
    <row r="457" spans="1:21">
      <c r="A457">
        <v>456</v>
      </c>
      <c r="B457" s="29" t="s">
        <v>3682</v>
      </c>
      <c r="C457" s="29"/>
      <c r="D457" s="29" t="s">
        <v>3683</v>
      </c>
      <c r="E457" s="29"/>
      <c r="F457" s="29" t="s">
        <v>3686</v>
      </c>
      <c r="G457" s="29"/>
      <c r="H457" s="29" t="s">
        <v>3687</v>
      </c>
      <c r="I457" s="29"/>
      <c r="J457" s="29"/>
      <c r="K457" s="29"/>
      <c r="L457" s="29" t="s">
        <v>7325</v>
      </c>
      <c r="M457" s="29"/>
      <c r="N457" s="29" t="s">
        <v>7441</v>
      </c>
      <c r="O457" s="29"/>
      <c r="P457" s="29" t="s">
        <v>7449</v>
      </c>
      <c r="Q457" t="s">
        <v>2038</v>
      </c>
      <c r="R457" t="s">
        <v>2632</v>
      </c>
      <c r="S457">
        <v>38</v>
      </c>
      <c r="T457" s="43" t="str">
        <f t="shared" si="19"/>
        <v>2022.001B.Aliceevansviridae.zip</v>
      </c>
      <c r="U457" s="43" t="str">
        <f>HYPERLINK("https://ictv.global/taxonomy/taxondetails?taxnode_id=202214338","ictv.global=202214338")</f>
        <v>ictv.global=202214338</v>
      </c>
    </row>
    <row r="458" spans="1:21">
      <c r="A458">
        <v>457</v>
      </c>
      <c r="B458" s="29" t="s">
        <v>3682</v>
      </c>
      <c r="C458" s="29"/>
      <c r="D458" s="29" t="s">
        <v>3683</v>
      </c>
      <c r="E458" s="29"/>
      <c r="F458" s="29" t="s">
        <v>3686</v>
      </c>
      <c r="G458" s="29"/>
      <c r="H458" s="29" t="s">
        <v>3687</v>
      </c>
      <c r="I458" s="29"/>
      <c r="J458" s="29"/>
      <c r="K458" s="29"/>
      <c r="L458" s="29" t="s">
        <v>7325</v>
      </c>
      <c r="M458" s="29"/>
      <c r="N458" s="29" t="s">
        <v>7441</v>
      </c>
      <c r="O458" s="29"/>
      <c r="P458" s="29" t="s">
        <v>7450</v>
      </c>
      <c r="Q458" t="s">
        <v>2038</v>
      </c>
      <c r="R458" t="s">
        <v>2632</v>
      </c>
      <c r="S458">
        <v>38</v>
      </c>
      <c r="T458" s="43" t="str">
        <f t="shared" si="19"/>
        <v>2022.001B.Aliceevansviridae.zip</v>
      </c>
      <c r="U458" s="43" t="str">
        <f>HYPERLINK("https://ictv.global/taxonomy/taxondetails?taxnode_id=202214348","ictv.global=202214348")</f>
        <v>ictv.global=202214348</v>
      </c>
    </row>
    <row r="459" spans="1:21">
      <c r="A459">
        <v>458</v>
      </c>
      <c r="B459" s="29" t="s">
        <v>3682</v>
      </c>
      <c r="C459" s="29"/>
      <c r="D459" s="29" t="s">
        <v>3683</v>
      </c>
      <c r="E459" s="29"/>
      <c r="F459" s="29" t="s">
        <v>3686</v>
      </c>
      <c r="G459" s="29"/>
      <c r="H459" s="29" t="s">
        <v>3687</v>
      </c>
      <c r="I459" s="29"/>
      <c r="J459" s="29"/>
      <c r="K459" s="29"/>
      <c r="L459" s="29" t="s">
        <v>7325</v>
      </c>
      <c r="M459" s="29"/>
      <c r="N459" s="29" t="s">
        <v>7441</v>
      </c>
      <c r="O459" s="29"/>
      <c r="P459" s="29" t="s">
        <v>7451</v>
      </c>
      <c r="Q459" t="s">
        <v>2038</v>
      </c>
      <c r="R459" t="s">
        <v>2632</v>
      </c>
      <c r="S459">
        <v>38</v>
      </c>
      <c r="T459" s="43" t="str">
        <f t="shared" si="19"/>
        <v>2022.001B.Aliceevansviridae.zip</v>
      </c>
      <c r="U459" s="43" t="str">
        <f>HYPERLINK("https://ictv.global/taxonomy/taxondetails?taxnode_id=202214342","ictv.global=202214342")</f>
        <v>ictv.global=202214342</v>
      </c>
    </row>
    <row r="460" spans="1:21">
      <c r="A460">
        <v>459</v>
      </c>
      <c r="B460" s="29" t="s">
        <v>3682</v>
      </c>
      <c r="C460" s="29"/>
      <c r="D460" s="29" t="s">
        <v>3683</v>
      </c>
      <c r="E460" s="29"/>
      <c r="F460" s="29" t="s">
        <v>3686</v>
      </c>
      <c r="G460" s="29"/>
      <c r="H460" s="29" t="s">
        <v>3687</v>
      </c>
      <c r="I460" s="29"/>
      <c r="J460" s="29"/>
      <c r="K460" s="29"/>
      <c r="L460" s="29" t="s">
        <v>7325</v>
      </c>
      <c r="M460" s="29"/>
      <c r="N460" s="29" t="s">
        <v>7441</v>
      </c>
      <c r="O460" s="29"/>
      <c r="P460" s="29" t="s">
        <v>7452</v>
      </c>
      <c r="Q460" t="s">
        <v>2038</v>
      </c>
      <c r="R460" t="s">
        <v>2632</v>
      </c>
      <c r="S460">
        <v>38</v>
      </c>
      <c r="T460" s="43" t="str">
        <f t="shared" si="19"/>
        <v>2022.001B.Aliceevansviridae.zip</v>
      </c>
      <c r="U460" s="43" t="str">
        <f>HYPERLINK("https://ictv.global/taxonomy/taxondetails?taxnode_id=202214339","ictv.global=202214339")</f>
        <v>ictv.global=202214339</v>
      </c>
    </row>
    <row r="461" spans="1:21">
      <c r="A461">
        <v>460</v>
      </c>
      <c r="B461" s="29" t="s">
        <v>3682</v>
      </c>
      <c r="C461" s="29"/>
      <c r="D461" s="29" t="s">
        <v>3683</v>
      </c>
      <c r="E461" s="29"/>
      <c r="F461" s="29" t="s">
        <v>3686</v>
      </c>
      <c r="G461" s="29"/>
      <c r="H461" s="29" t="s">
        <v>3687</v>
      </c>
      <c r="I461" s="29"/>
      <c r="J461" s="29"/>
      <c r="K461" s="29"/>
      <c r="L461" s="29" t="s">
        <v>7453</v>
      </c>
      <c r="M461" s="29"/>
      <c r="N461" s="29" t="s">
        <v>7454</v>
      </c>
      <c r="O461" s="29"/>
      <c r="P461" s="29" t="s">
        <v>7455</v>
      </c>
      <c r="Q461" t="s">
        <v>2038</v>
      </c>
      <c r="R461" t="s">
        <v>2632</v>
      </c>
      <c r="S461">
        <v>38</v>
      </c>
      <c r="T461" s="43" t="str">
        <f>HYPERLINK("https://ictv.global/ictv/proposals/2022.006B.Arenbergviridae_nf.zip","2022.006B.Arenbergviridae_nf.zip")</f>
        <v>2022.006B.Arenbergviridae_nf.zip</v>
      </c>
      <c r="U461" s="43" t="str">
        <f>HYPERLINK("https://ictv.global/taxonomy/taxondetails?taxnode_id=202214489","ictv.global=202214489")</f>
        <v>ictv.global=202214489</v>
      </c>
    </row>
    <row r="462" spans="1:21">
      <c r="A462">
        <v>461</v>
      </c>
      <c r="B462" s="29" t="s">
        <v>3682</v>
      </c>
      <c r="C462" s="29"/>
      <c r="D462" s="29" t="s">
        <v>3683</v>
      </c>
      <c r="E462" s="29"/>
      <c r="F462" s="29" t="s">
        <v>3686</v>
      </c>
      <c r="G462" s="29"/>
      <c r="H462" s="29" t="s">
        <v>3687</v>
      </c>
      <c r="I462" s="29"/>
      <c r="J462" s="29"/>
      <c r="K462" s="29"/>
      <c r="L462" s="29" t="s">
        <v>7456</v>
      </c>
      <c r="M462" s="29"/>
      <c r="N462" s="29" t="s">
        <v>7457</v>
      </c>
      <c r="O462" s="29"/>
      <c r="P462" s="29" t="s">
        <v>7458</v>
      </c>
      <c r="Q462" t="s">
        <v>2038</v>
      </c>
      <c r="R462" t="s">
        <v>2632</v>
      </c>
      <c r="S462">
        <v>37</v>
      </c>
      <c r="T462" s="43" t="str">
        <f>HYPERLINK("https://ictv.global/ictv/proposals/2021.029B.R.Flavophages_9_families.zip","2021.029B.R.Flavophages_9_families.zip")</f>
        <v>2021.029B.R.Flavophages_9_families.zip</v>
      </c>
      <c r="U462" s="43" t="str">
        <f>HYPERLINK("https://ictv.global/taxonomy/taxondetails?taxnode_id=202213553","ictv.global=202213553")</f>
        <v>ictv.global=202213553</v>
      </c>
    </row>
    <row r="463" spans="1:21">
      <c r="A463">
        <v>462</v>
      </c>
      <c r="B463" s="29" t="s">
        <v>3682</v>
      </c>
      <c r="C463" s="29"/>
      <c r="D463" s="29" t="s">
        <v>3683</v>
      </c>
      <c r="E463" s="29"/>
      <c r="F463" s="29" t="s">
        <v>3686</v>
      </c>
      <c r="G463" s="29"/>
      <c r="H463" s="29" t="s">
        <v>3687</v>
      </c>
      <c r="I463" s="29"/>
      <c r="J463" s="29"/>
      <c r="K463" s="29"/>
      <c r="L463" s="29" t="s">
        <v>7456</v>
      </c>
      <c r="M463" s="29"/>
      <c r="N463" s="29" t="s">
        <v>7459</v>
      </c>
      <c r="O463" s="29"/>
      <c r="P463" s="29" t="s">
        <v>7460</v>
      </c>
      <c r="Q463" t="s">
        <v>2038</v>
      </c>
      <c r="R463" t="s">
        <v>2632</v>
      </c>
      <c r="S463">
        <v>37</v>
      </c>
      <c r="T463" s="43" t="str">
        <f>HYPERLINK("https://ictv.global/ictv/proposals/2021.029B.R.Flavophages_9_families.zip","2021.029B.R.Flavophages_9_families.zip")</f>
        <v>2021.029B.R.Flavophages_9_families.zip</v>
      </c>
      <c r="U463" s="43" t="str">
        <f>HYPERLINK("https://ictv.global/taxonomy/taxondetails?taxnode_id=202213555","ictv.global=202213555")</f>
        <v>ictv.global=202213555</v>
      </c>
    </row>
    <row r="464" spans="1:21">
      <c r="A464">
        <v>463</v>
      </c>
      <c r="B464" s="29" t="s">
        <v>3682</v>
      </c>
      <c r="C464" s="29"/>
      <c r="D464" s="29" t="s">
        <v>3683</v>
      </c>
      <c r="E464" s="29"/>
      <c r="F464" s="29" t="s">
        <v>3686</v>
      </c>
      <c r="G464" s="29"/>
      <c r="H464" s="29" t="s">
        <v>3687</v>
      </c>
      <c r="I464" s="29"/>
      <c r="J464" s="29"/>
      <c r="K464" s="29"/>
      <c r="L464" s="29" t="s">
        <v>7456</v>
      </c>
      <c r="M464" s="29"/>
      <c r="N464" s="29" t="s">
        <v>7461</v>
      </c>
      <c r="O464" s="29"/>
      <c r="P464" s="29" t="s">
        <v>7462</v>
      </c>
      <c r="Q464" t="s">
        <v>2038</v>
      </c>
      <c r="R464" t="s">
        <v>2632</v>
      </c>
      <c r="S464">
        <v>37</v>
      </c>
      <c r="T464" s="43" t="str">
        <f>HYPERLINK("https://ictv.global/ictv/proposals/2021.029B.R.Flavophages_9_families.zip","2021.029B.R.Flavophages_9_families.zip")</f>
        <v>2021.029B.R.Flavophages_9_families.zip</v>
      </c>
      <c r="U464" s="43" t="str">
        <f>HYPERLINK("https://ictv.global/taxonomy/taxondetails?taxnode_id=202213551","ictv.global=202213551")</f>
        <v>ictv.global=202213551</v>
      </c>
    </row>
    <row r="465" spans="1:21">
      <c r="A465">
        <v>464</v>
      </c>
      <c r="B465" s="29" t="s">
        <v>3682</v>
      </c>
      <c r="C465" s="29"/>
      <c r="D465" s="29" t="s">
        <v>3683</v>
      </c>
      <c r="E465" s="29"/>
      <c r="F465" s="29" t="s">
        <v>3686</v>
      </c>
      <c r="G465" s="29"/>
      <c r="H465" s="29" t="s">
        <v>3687</v>
      </c>
      <c r="I465" s="29"/>
      <c r="J465" s="29"/>
      <c r="K465" s="29"/>
      <c r="L465" s="29" t="s">
        <v>3689</v>
      </c>
      <c r="M465" s="29" t="s">
        <v>3690</v>
      </c>
      <c r="N465" s="29" t="s">
        <v>3691</v>
      </c>
      <c r="O465" s="29"/>
      <c r="P465" s="29" t="s">
        <v>7463</v>
      </c>
      <c r="Q465" t="s">
        <v>2038</v>
      </c>
      <c r="R465" t="s">
        <v>2633</v>
      </c>
      <c r="S465">
        <v>37</v>
      </c>
      <c r="T465" s="43" t="str">
        <f t="shared" ref="T465:T496" si="20">HYPERLINK("https://ictv.global/ictv/proposals/2021.010B.R.Binomial_names.zip","2021.010B.R.Binomial_names.zip")</f>
        <v>2021.010B.R.Binomial_names.zip</v>
      </c>
      <c r="U465" s="43" t="str">
        <f>HYPERLINK("https://ictv.global/taxonomy/taxondetails?taxnode_id=202208513","ictv.global=202208513")</f>
        <v>ictv.global=202208513</v>
      </c>
    </row>
    <row r="466" spans="1:21">
      <c r="A466">
        <v>465</v>
      </c>
      <c r="B466" s="29" t="s">
        <v>3682</v>
      </c>
      <c r="C466" s="29"/>
      <c r="D466" s="29" t="s">
        <v>3683</v>
      </c>
      <c r="E466" s="29"/>
      <c r="F466" s="29" t="s">
        <v>3686</v>
      </c>
      <c r="G466" s="29"/>
      <c r="H466" s="29" t="s">
        <v>3687</v>
      </c>
      <c r="I466" s="29"/>
      <c r="J466" s="29"/>
      <c r="K466" s="29"/>
      <c r="L466" s="29" t="s">
        <v>3689</v>
      </c>
      <c r="M466" s="29" t="s">
        <v>3690</v>
      </c>
      <c r="N466" s="29" t="s">
        <v>3446</v>
      </c>
      <c r="O466" s="29"/>
      <c r="P466" s="29" t="s">
        <v>7464</v>
      </c>
      <c r="Q466" t="s">
        <v>2038</v>
      </c>
      <c r="R466" t="s">
        <v>2633</v>
      </c>
      <c r="S466">
        <v>37</v>
      </c>
      <c r="T466" s="43" t="str">
        <f t="shared" si="20"/>
        <v>2021.010B.R.Binomial_names.zip</v>
      </c>
      <c r="U466" s="43" t="str">
        <f>HYPERLINK("https://ictv.global/taxonomy/taxondetails?taxnode_id=202200549","ictv.global=202200549")</f>
        <v>ictv.global=202200549</v>
      </c>
    </row>
    <row r="467" spans="1:21">
      <c r="A467">
        <v>466</v>
      </c>
      <c r="B467" s="29" t="s">
        <v>3682</v>
      </c>
      <c r="C467" s="29"/>
      <c r="D467" s="29" t="s">
        <v>3683</v>
      </c>
      <c r="E467" s="29"/>
      <c r="F467" s="29" t="s">
        <v>3686</v>
      </c>
      <c r="G467" s="29"/>
      <c r="H467" s="29" t="s">
        <v>3687</v>
      </c>
      <c r="I467" s="29"/>
      <c r="J467" s="29"/>
      <c r="K467" s="29"/>
      <c r="L467" s="29" t="s">
        <v>3689</v>
      </c>
      <c r="M467" s="29" t="s">
        <v>3690</v>
      </c>
      <c r="N467" s="29" t="s">
        <v>3446</v>
      </c>
      <c r="O467" s="29"/>
      <c r="P467" s="29" t="s">
        <v>7465</v>
      </c>
      <c r="Q467" t="s">
        <v>2038</v>
      </c>
      <c r="R467" t="s">
        <v>2633</v>
      </c>
      <c r="S467">
        <v>37</v>
      </c>
      <c r="T467" s="43" t="str">
        <f t="shared" si="20"/>
        <v>2021.010B.R.Binomial_names.zip</v>
      </c>
      <c r="U467" s="43" t="str">
        <f>HYPERLINK("https://ictv.global/taxonomy/taxondetails?taxnode_id=202200543","ictv.global=202200543")</f>
        <v>ictv.global=202200543</v>
      </c>
    </row>
    <row r="468" spans="1:21">
      <c r="A468">
        <v>467</v>
      </c>
      <c r="B468" s="29" t="s">
        <v>3682</v>
      </c>
      <c r="C468" s="29"/>
      <c r="D468" s="29" t="s">
        <v>3683</v>
      </c>
      <c r="E468" s="29"/>
      <c r="F468" s="29" t="s">
        <v>3686</v>
      </c>
      <c r="G468" s="29"/>
      <c r="H468" s="29" t="s">
        <v>3687</v>
      </c>
      <c r="I468" s="29"/>
      <c r="J468" s="29"/>
      <c r="K468" s="29"/>
      <c r="L468" s="29" t="s">
        <v>3689</v>
      </c>
      <c r="M468" s="29" t="s">
        <v>3690</v>
      </c>
      <c r="N468" s="29" t="s">
        <v>3446</v>
      </c>
      <c r="O468" s="29"/>
      <c r="P468" s="29" t="s">
        <v>7466</v>
      </c>
      <c r="Q468" t="s">
        <v>2038</v>
      </c>
      <c r="R468" t="s">
        <v>2633</v>
      </c>
      <c r="S468">
        <v>37</v>
      </c>
      <c r="T468" s="43" t="str">
        <f t="shared" si="20"/>
        <v>2021.010B.R.Binomial_names.zip</v>
      </c>
      <c r="U468" s="43" t="str">
        <f>HYPERLINK("https://ictv.global/taxonomy/taxondetails?taxnode_id=202206913","ictv.global=202206913")</f>
        <v>ictv.global=202206913</v>
      </c>
    </row>
    <row r="469" spans="1:21">
      <c r="A469">
        <v>468</v>
      </c>
      <c r="B469" s="29" t="s">
        <v>3682</v>
      </c>
      <c r="C469" s="29"/>
      <c r="D469" s="29" t="s">
        <v>3683</v>
      </c>
      <c r="E469" s="29"/>
      <c r="F469" s="29" t="s">
        <v>3686</v>
      </c>
      <c r="G469" s="29"/>
      <c r="H469" s="29" t="s">
        <v>3687</v>
      </c>
      <c r="I469" s="29"/>
      <c r="J469" s="29"/>
      <c r="K469" s="29"/>
      <c r="L469" s="29" t="s">
        <v>3689</v>
      </c>
      <c r="M469" s="29" t="s">
        <v>3690</v>
      </c>
      <c r="N469" s="29" t="s">
        <v>3446</v>
      </c>
      <c r="O469" s="29"/>
      <c r="P469" s="29" t="s">
        <v>7467</v>
      </c>
      <c r="Q469" t="s">
        <v>2038</v>
      </c>
      <c r="R469" t="s">
        <v>2633</v>
      </c>
      <c r="S469">
        <v>37</v>
      </c>
      <c r="T469" s="43" t="str">
        <f t="shared" si="20"/>
        <v>2021.010B.R.Binomial_names.zip</v>
      </c>
      <c r="U469" s="43" t="str">
        <f>HYPERLINK("https://ictv.global/taxonomy/taxondetails?taxnode_id=202208507","ictv.global=202208507")</f>
        <v>ictv.global=202208507</v>
      </c>
    </row>
    <row r="470" spans="1:21">
      <c r="A470">
        <v>469</v>
      </c>
      <c r="B470" s="29" t="s">
        <v>3682</v>
      </c>
      <c r="C470" s="29"/>
      <c r="D470" s="29" t="s">
        <v>3683</v>
      </c>
      <c r="E470" s="29"/>
      <c r="F470" s="29" t="s">
        <v>3686</v>
      </c>
      <c r="G470" s="29"/>
      <c r="H470" s="29" t="s">
        <v>3687</v>
      </c>
      <c r="I470" s="29"/>
      <c r="J470" s="29"/>
      <c r="K470" s="29"/>
      <c r="L470" s="29" t="s">
        <v>3689</v>
      </c>
      <c r="M470" s="29" t="s">
        <v>3690</v>
      </c>
      <c r="N470" s="29" t="s">
        <v>3446</v>
      </c>
      <c r="O470" s="29"/>
      <c r="P470" s="29" t="s">
        <v>7468</v>
      </c>
      <c r="Q470" t="s">
        <v>2038</v>
      </c>
      <c r="R470" t="s">
        <v>2633</v>
      </c>
      <c r="S470">
        <v>37</v>
      </c>
      <c r="T470" s="43" t="str">
        <f t="shared" si="20"/>
        <v>2021.010B.R.Binomial_names.zip</v>
      </c>
      <c r="U470" s="43" t="str">
        <f>HYPERLINK("https://ictv.global/taxonomy/taxondetails?taxnode_id=202200544","ictv.global=202200544")</f>
        <v>ictv.global=202200544</v>
      </c>
    </row>
    <row r="471" spans="1:21">
      <c r="A471">
        <v>470</v>
      </c>
      <c r="B471" s="29" t="s">
        <v>3682</v>
      </c>
      <c r="C471" s="29"/>
      <c r="D471" s="29" t="s">
        <v>3683</v>
      </c>
      <c r="E471" s="29"/>
      <c r="F471" s="29" t="s">
        <v>3686</v>
      </c>
      <c r="G471" s="29"/>
      <c r="H471" s="29" t="s">
        <v>3687</v>
      </c>
      <c r="I471" s="29"/>
      <c r="J471" s="29"/>
      <c r="K471" s="29"/>
      <c r="L471" s="29" t="s">
        <v>3689</v>
      </c>
      <c r="M471" s="29" t="s">
        <v>3690</v>
      </c>
      <c r="N471" s="29" t="s">
        <v>3446</v>
      </c>
      <c r="O471" s="29"/>
      <c r="P471" s="29" t="s">
        <v>7469</v>
      </c>
      <c r="Q471" t="s">
        <v>2038</v>
      </c>
      <c r="R471" t="s">
        <v>2633</v>
      </c>
      <c r="S471">
        <v>37</v>
      </c>
      <c r="T471" s="43" t="str">
        <f t="shared" si="20"/>
        <v>2021.010B.R.Binomial_names.zip</v>
      </c>
      <c r="U471" s="43" t="str">
        <f>HYPERLINK("https://ictv.global/taxonomy/taxondetails?taxnode_id=202208506","ictv.global=202208506")</f>
        <v>ictv.global=202208506</v>
      </c>
    </row>
    <row r="472" spans="1:21">
      <c r="A472">
        <v>471</v>
      </c>
      <c r="B472" s="29" t="s">
        <v>3682</v>
      </c>
      <c r="C472" s="29"/>
      <c r="D472" s="29" t="s">
        <v>3683</v>
      </c>
      <c r="E472" s="29"/>
      <c r="F472" s="29" t="s">
        <v>3686</v>
      </c>
      <c r="G472" s="29"/>
      <c r="H472" s="29" t="s">
        <v>3687</v>
      </c>
      <c r="I472" s="29"/>
      <c r="J472" s="29"/>
      <c r="K472" s="29"/>
      <c r="L472" s="29" t="s">
        <v>3689</v>
      </c>
      <c r="M472" s="29" t="s">
        <v>3690</v>
      </c>
      <c r="N472" s="29" t="s">
        <v>3446</v>
      </c>
      <c r="O472" s="29"/>
      <c r="P472" s="29" t="s">
        <v>7470</v>
      </c>
      <c r="Q472" t="s">
        <v>2038</v>
      </c>
      <c r="R472" t="s">
        <v>2633</v>
      </c>
      <c r="S472">
        <v>37</v>
      </c>
      <c r="T472" s="43" t="str">
        <f t="shared" si="20"/>
        <v>2021.010B.R.Binomial_names.zip</v>
      </c>
      <c r="U472" s="43" t="str">
        <f>HYPERLINK("https://ictv.global/taxonomy/taxondetails?taxnode_id=202208505","ictv.global=202208505")</f>
        <v>ictv.global=202208505</v>
      </c>
    </row>
    <row r="473" spans="1:21">
      <c r="A473">
        <v>472</v>
      </c>
      <c r="B473" s="29" t="s">
        <v>3682</v>
      </c>
      <c r="C473" s="29"/>
      <c r="D473" s="29" t="s">
        <v>3683</v>
      </c>
      <c r="E473" s="29"/>
      <c r="F473" s="29" t="s">
        <v>3686</v>
      </c>
      <c r="G473" s="29"/>
      <c r="H473" s="29" t="s">
        <v>3687</v>
      </c>
      <c r="I473" s="29"/>
      <c r="J473" s="29"/>
      <c r="K473" s="29"/>
      <c r="L473" s="29" t="s">
        <v>3689</v>
      </c>
      <c r="M473" s="29" t="s">
        <v>3690</v>
      </c>
      <c r="N473" s="29" t="s">
        <v>3446</v>
      </c>
      <c r="O473" s="29"/>
      <c r="P473" s="29" t="s">
        <v>7471</v>
      </c>
      <c r="Q473" t="s">
        <v>2038</v>
      </c>
      <c r="R473" t="s">
        <v>2633</v>
      </c>
      <c r="S473">
        <v>37</v>
      </c>
      <c r="T473" s="43" t="str">
        <f t="shared" si="20"/>
        <v>2021.010B.R.Binomial_names.zip</v>
      </c>
      <c r="U473" s="43" t="str">
        <f>HYPERLINK("https://ictv.global/taxonomy/taxondetails?taxnode_id=202206909","ictv.global=202206909")</f>
        <v>ictv.global=202206909</v>
      </c>
    </row>
    <row r="474" spans="1:21">
      <c r="A474">
        <v>473</v>
      </c>
      <c r="B474" s="29" t="s">
        <v>3682</v>
      </c>
      <c r="C474" s="29"/>
      <c r="D474" s="29" t="s">
        <v>3683</v>
      </c>
      <c r="E474" s="29"/>
      <c r="F474" s="29" t="s">
        <v>3686</v>
      </c>
      <c r="G474" s="29"/>
      <c r="H474" s="29" t="s">
        <v>3687</v>
      </c>
      <c r="I474" s="29"/>
      <c r="J474" s="29"/>
      <c r="K474" s="29"/>
      <c r="L474" s="29" t="s">
        <v>3689</v>
      </c>
      <c r="M474" s="29" t="s">
        <v>3690</v>
      </c>
      <c r="N474" s="29" t="s">
        <v>3446</v>
      </c>
      <c r="O474" s="29"/>
      <c r="P474" s="29" t="s">
        <v>7472</v>
      </c>
      <c r="Q474" t="s">
        <v>2038</v>
      </c>
      <c r="R474" t="s">
        <v>2633</v>
      </c>
      <c r="S474">
        <v>37</v>
      </c>
      <c r="T474" s="43" t="str">
        <f t="shared" si="20"/>
        <v>2021.010B.R.Binomial_names.zip</v>
      </c>
      <c r="U474" s="43" t="str">
        <f>HYPERLINK("https://ictv.global/taxonomy/taxondetails?taxnode_id=202206910","ictv.global=202206910")</f>
        <v>ictv.global=202206910</v>
      </c>
    </row>
    <row r="475" spans="1:21">
      <c r="A475">
        <v>474</v>
      </c>
      <c r="B475" s="29" t="s">
        <v>3682</v>
      </c>
      <c r="C475" s="29"/>
      <c r="D475" s="29" t="s">
        <v>3683</v>
      </c>
      <c r="E475" s="29"/>
      <c r="F475" s="29" t="s">
        <v>3686</v>
      </c>
      <c r="G475" s="29"/>
      <c r="H475" s="29" t="s">
        <v>3687</v>
      </c>
      <c r="I475" s="29"/>
      <c r="J475" s="29"/>
      <c r="K475" s="29"/>
      <c r="L475" s="29" t="s">
        <v>3689</v>
      </c>
      <c r="M475" s="29" t="s">
        <v>3690</v>
      </c>
      <c r="N475" s="29" t="s">
        <v>3446</v>
      </c>
      <c r="O475" s="29"/>
      <c r="P475" s="29" t="s">
        <v>7473</v>
      </c>
      <c r="Q475" t="s">
        <v>2038</v>
      </c>
      <c r="R475" t="s">
        <v>2633</v>
      </c>
      <c r="S475">
        <v>37</v>
      </c>
      <c r="T475" s="43" t="str">
        <f t="shared" si="20"/>
        <v>2021.010B.R.Binomial_names.zip</v>
      </c>
      <c r="U475" s="43" t="str">
        <f>HYPERLINK("https://ictv.global/taxonomy/taxondetails?taxnode_id=202206903","ictv.global=202206903")</f>
        <v>ictv.global=202206903</v>
      </c>
    </row>
    <row r="476" spans="1:21">
      <c r="A476">
        <v>475</v>
      </c>
      <c r="B476" s="29" t="s">
        <v>3682</v>
      </c>
      <c r="C476" s="29"/>
      <c r="D476" s="29" t="s">
        <v>3683</v>
      </c>
      <c r="E476" s="29"/>
      <c r="F476" s="29" t="s">
        <v>3686</v>
      </c>
      <c r="G476" s="29"/>
      <c r="H476" s="29" t="s">
        <v>3687</v>
      </c>
      <c r="I476" s="29"/>
      <c r="J476" s="29"/>
      <c r="K476" s="29"/>
      <c r="L476" s="29" t="s">
        <v>3689</v>
      </c>
      <c r="M476" s="29" t="s">
        <v>3690</v>
      </c>
      <c r="N476" s="29" t="s">
        <v>3446</v>
      </c>
      <c r="O476" s="29"/>
      <c r="P476" s="29" t="s">
        <v>7474</v>
      </c>
      <c r="Q476" t="s">
        <v>2038</v>
      </c>
      <c r="R476" t="s">
        <v>2633</v>
      </c>
      <c r="S476">
        <v>37</v>
      </c>
      <c r="T476" s="43" t="str">
        <f t="shared" si="20"/>
        <v>2021.010B.R.Binomial_names.zip</v>
      </c>
      <c r="U476" s="43" t="str">
        <f>HYPERLINK("https://ictv.global/taxonomy/taxondetails?taxnode_id=202206904","ictv.global=202206904")</f>
        <v>ictv.global=202206904</v>
      </c>
    </row>
    <row r="477" spans="1:21">
      <c r="A477">
        <v>476</v>
      </c>
      <c r="B477" s="29" t="s">
        <v>3682</v>
      </c>
      <c r="C477" s="29"/>
      <c r="D477" s="29" t="s">
        <v>3683</v>
      </c>
      <c r="E477" s="29"/>
      <c r="F477" s="29" t="s">
        <v>3686</v>
      </c>
      <c r="G477" s="29"/>
      <c r="H477" s="29" t="s">
        <v>3687</v>
      </c>
      <c r="I477" s="29"/>
      <c r="J477" s="29"/>
      <c r="K477" s="29"/>
      <c r="L477" s="29" t="s">
        <v>3689</v>
      </c>
      <c r="M477" s="29" t="s">
        <v>3690</v>
      </c>
      <c r="N477" s="29" t="s">
        <v>3446</v>
      </c>
      <c r="O477" s="29"/>
      <c r="P477" s="29" t="s">
        <v>7475</v>
      </c>
      <c r="Q477" t="s">
        <v>2038</v>
      </c>
      <c r="R477" t="s">
        <v>2633</v>
      </c>
      <c r="S477">
        <v>37</v>
      </c>
      <c r="T477" s="43" t="str">
        <f t="shared" si="20"/>
        <v>2021.010B.R.Binomial_names.zip</v>
      </c>
      <c r="U477" s="43" t="str">
        <f>HYPERLINK("https://ictv.global/taxonomy/taxondetails?taxnode_id=202206905","ictv.global=202206905")</f>
        <v>ictv.global=202206905</v>
      </c>
    </row>
    <row r="478" spans="1:21">
      <c r="A478">
        <v>477</v>
      </c>
      <c r="B478" s="29" t="s">
        <v>3682</v>
      </c>
      <c r="C478" s="29"/>
      <c r="D478" s="29" t="s">
        <v>3683</v>
      </c>
      <c r="E478" s="29"/>
      <c r="F478" s="29" t="s">
        <v>3686</v>
      </c>
      <c r="G478" s="29"/>
      <c r="H478" s="29" t="s">
        <v>3687</v>
      </c>
      <c r="I478" s="29"/>
      <c r="J478" s="29"/>
      <c r="K478" s="29"/>
      <c r="L478" s="29" t="s">
        <v>3689</v>
      </c>
      <c r="M478" s="29" t="s">
        <v>3690</v>
      </c>
      <c r="N478" s="29" t="s">
        <v>3446</v>
      </c>
      <c r="O478" s="29"/>
      <c r="P478" s="29" t="s">
        <v>7476</v>
      </c>
      <c r="Q478" t="s">
        <v>2038</v>
      </c>
      <c r="R478" t="s">
        <v>2633</v>
      </c>
      <c r="S478">
        <v>37</v>
      </c>
      <c r="T478" s="43" t="str">
        <f t="shared" si="20"/>
        <v>2021.010B.R.Binomial_names.zip</v>
      </c>
      <c r="U478" s="43" t="str">
        <f>HYPERLINK("https://ictv.global/taxonomy/taxondetails?taxnode_id=202206912","ictv.global=202206912")</f>
        <v>ictv.global=202206912</v>
      </c>
    </row>
    <row r="479" spans="1:21">
      <c r="A479">
        <v>478</v>
      </c>
      <c r="B479" s="29" t="s">
        <v>3682</v>
      </c>
      <c r="C479" s="29"/>
      <c r="D479" s="29" t="s">
        <v>3683</v>
      </c>
      <c r="E479" s="29"/>
      <c r="F479" s="29" t="s">
        <v>3686</v>
      </c>
      <c r="G479" s="29"/>
      <c r="H479" s="29" t="s">
        <v>3687</v>
      </c>
      <c r="I479" s="29"/>
      <c r="J479" s="29"/>
      <c r="K479" s="29"/>
      <c r="L479" s="29" t="s">
        <v>3689</v>
      </c>
      <c r="M479" s="29" t="s">
        <v>3690</v>
      </c>
      <c r="N479" s="29" t="s">
        <v>3446</v>
      </c>
      <c r="O479" s="29"/>
      <c r="P479" s="29" t="s">
        <v>7477</v>
      </c>
      <c r="Q479" t="s">
        <v>2038</v>
      </c>
      <c r="R479" t="s">
        <v>2633</v>
      </c>
      <c r="S479">
        <v>37</v>
      </c>
      <c r="T479" s="43" t="str">
        <f t="shared" si="20"/>
        <v>2021.010B.R.Binomial_names.zip</v>
      </c>
      <c r="U479" s="43" t="str">
        <f>HYPERLINK("https://ictv.global/taxonomy/taxondetails?taxnode_id=202200545","ictv.global=202200545")</f>
        <v>ictv.global=202200545</v>
      </c>
    </row>
    <row r="480" spans="1:21">
      <c r="A480">
        <v>479</v>
      </c>
      <c r="B480" s="29" t="s">
        <v>3682</v>
      </c>
      <c r="C480" s="29"/>
      <c r="D480" s="29" t="s">
        <v>3683</v>
      </c>
      <c r="E480" s="29"/>
      <c r="F480" s="29" t="s">
        <v>3686</v>
      </c>
      <c r="G480" s="29"/>
      <c r="H480" s="29" t="s">
        <v>3687</v>
      </c>
      <c r="I480" s="29"/>
      <c r="J480" s="29"/>
      <c r="K480" s="29"/>
      <c r="L480" s="29" t="s">
        <v>3689</v>
      </c>
      <c r="M480" s="29" t="s">
        <v>3690</v>
      </c>
      <c r="N480" s="29" t="s">
        <v>3446</v>
      </c>
      <c r="O480" s="29"/>
      <c r="P480" s="29" t="s">
        <v>7478</v>
      </c>
      <c r="Q480" t="s">
        <v>2038</v>
      </c>
      <c r="R480" t="s">
        <v>2633</v>
      </c>
      <c r="S480">
        <v>37</v>
      </c>
      <c r="T480" s="43" t="str">
        <f t="shared" si="20"/>
        <v>2021.010B.R.Binomial_names.zip</v>
      </c>
      <c r="U480" s="43" t="str">
        <f>HYPERLINK("https://ictv.global/taxonomy/taxondetails?taxnode_id=202206911","ictv.global=202206911")</f>
        <v>ictv.global=202206911</v>
      </c>
    </row>
    <row r="481" spans="1:21">
      <c r="A481">
        <v>480</v>
      </c>
      <c r="B481" s="29" t="s">
        <v>3682</v>
      </c>
      <c r="C481" s="29"/>
      <c r="D481" s="29" t="s">
        <v>3683</v>
      </c>
      <c r="E481" s="29"/>
      <c r="F481" s="29" t="s">
        <v>3686</v>
      </c>
      <c r="G481" s="29"/>
      <c r="H481" s="29" t="s">
        <v>3687</v>
      </c>
      <c r="I481" s="29"/>
      <c r="J481" s="29"/>
      <c r="K481" s="29"/>
      <c r="L481" s="29" t="s">
        <v>3689</v>
      </c>
      <c r="M481" s="29" t="s">
        <v>3690</v>
      </c>
      <c r="N481" s="29" t="s">
        <v>3446</v>
      </c>
      <c r="O481" s="29"/>
      <c r="P481" s="29" t="s">
        <v>7479</v>
      </c>
      <c r="Q481" t="s">
        <v>2038</v>
      </c>
      <c r="R481" t="s">
        <v>2633</v>
      </c>
      <c r="S481">
        <v>37</v>
      </c>
      <c r="T481" s="43" t="str">
        <f t="shared" si="20"/>
        <v>2021.010B.R.Binomial_names.zip</v>
      </c>
      <c r="U481" s="43" t="str">
        <f>HYPERLINK("https://ictv.global/taxonomy/taxondetails?taxnode_id=202200546","ictv.global=202200546")</f>
        <v>ictv.global=202200546</v>
      </c>
    </row>
    <row r="482" spans="1:21">
      <c r="A482">
        <v>481</v>
      </c>
      <c r="B482" s="29" t="s">
        <v>3682</v>
      </c>
      <c r="C482" s="29"/>
      <c r="D482" s="29" t="s">
        <v>3683</v>
      </c>
      <c r="E482" s="29"/>
      <c r="F482" s="29" t="s">
        <v>3686</v>
      </c>
      <c r="G482" s="29"/>
      <c r="H482" s="29" t="s">
        <v>3687</v>
      </c>
      <c r="I482" s="29"/>
      <c r="J482" s="29"/>
      <c r="K482" s="29"/>
      <c r="L482" s="29" t="s">
        <v>3689</v>
      </c>
      <c r="M482" s="29" t="s">
        <v>3690</v>
      </c>
      <c r="N482" s="29" t="s">
        <v>3446</v>
      </c>
      <c r="O482" s="29"/>
      <c r="P482" s="29" t="s">
        <v>7480</v>
      </c>
      <c r="Q482" t="s">
        <v>2038</v>
      </c>
      <c r="R482" t="s">
        <v>2633</v>
      </c>
      <c r="S482">
        <v>37</v>
      </c>
      <c r="T482" s="43" t="str">
        <f t="shared" si="20"/>
        <v>2021.010B.R.Binomial_names.zip</v>
      </c>
      <c r="U482" s="43" t="str">
        <f>HYPERLINK("https://ictv.global/taxonomy/taxondetails?taxnode_id=202206906","ictv.global=202206906")</f>
        <v>ictv.global=202206906</v>
      </c>
    </row>
    <row r="483" spans="1:21">
      <c r="A483">
        <v>482</v>
      </c>
      <c r="B483" s="29" t="s">
        <v>3682</v>
      </c>
      <c r="C483" s="29"/>
      <c r="D483" s="29" t="s">
        <v>3683</v>
      </c>
      <c r="E483" s="29"/>
      <c r="F483" s="29" t="s">
        <v>3686</v>
      </c>
      <c r="G483" s="29"/>
      <c r="H483" s="29" t="s">
        <v>3687</v>
      </c>
      <c r="I483" s="29"/>
      <c r="J483" s="29"/>
      <c r="K483" s="29"/>
      <c r="L483" s="29" t="s">
        <v>3689</v>
      </c>
      <c r="M483" s="29" t="s">
        <v>3690</v>
      </c>
      <c r="N483" s="29" t="s">
        <v>3446</v>
      </c>
      <c r="O483" s="29"/>
      <c r="P483" s="29" t="s">
        <v>7481</v>
      </c>
      <c r="Q483" t="s">
        <v>2038</v>
      </c>
      <c r="R483" t="s">
        <v>2633</v>
      </c>
      <c r="S483">
        <v>37</v>
      </c>
      <c r="T483" s="43" t="str">
        <f t="shared" si="20"/>
        <v>2021.010B.R.Binomial_names.zip</v>
      </c>
      <c r="U483" s="43" t="str">
        <f>HYPERLINK("https://ictv.global/taxonomy/taxondetails?taxnode_id=202206907","ictv.global=202206907")</f>
        <v>ictv.global=202206907</v>
      </c>
    </row>
    <row r="484" spans="1:21">
      <c r="A484">
        <v>483</v>
      </c>
      <c r="B484" s="29" t="s">
        <v>3682</v>
      </c>
      <c r="C484" s="29"/>
      <c r="D484" s="29" t="s">
        <v>3683</v>
      </c>
      <c r="E484" s="29"/>
      <c r="F484" s="29" t="s">
        <v>3686</v>
      </c>
      <c r="G484" s="29"/>
      <c r="H484" s="29" t="s">
        <v>3687</v>
      </c>
      <c r="I484" s="29"/>
      <c r="J484" s="29"/>
      <c r="K484" s="29"/>
      <c r="L484" s="29" t="s">
        <v>3689</v>
      </c>
      <c r="M484" s="29" t="s">
        <v>3690</v>
      </c>
      <c r="N484" s="29" t="s">
        <v>3446</v>
      </c>
      <c r="O484" s="29"/>
      <c r="P484" s="29" t="s">
        <v>7482</v>
      </c>
      <c r="Q484" t="s">
        <v>2038</v>
      </c>
      <c r="R484" t="s">
        <v>2633</v>
      </c>
      <c r="S484">
        <v>37</v>
      </c>
      <c r="T484" s="43" t="str">
        <f t="shared" si="20"/>
        <v>2021.010B.R.Binomial_names.zip</v>
      </c>
      <c r="U484" s="43" t="str">
        <f>HYPERLINK("https://ictv.global/taxonomy/taxondetails?taxnode_id=202200547","ictv.global=202200547")</f>
        <v>ictv.global=202200547</v>
      </c>
    </row>
    <row r="485" spans="1:21">
      <c r="A485">
        <v>484</v>
      </c>
      <c r="B485" s="29" t="s">
        <v>3682</v>
      </c>
      <c r="C485" s="29"/>
      <c r="D485" s="29" t="s">
        <v>3683</v>
      </c>
      <c r="E485" s="29"/>
      <c r="F485" s="29" t="s">
        <v>3686</v>
      </c>
      <c r="G485" s="29"/>
      <c r="H485" s="29" t="s">
        <v>3687</v>
      </c>
      <c r="I485" s="29"/>
      <c r="J485" s="29"/>
      <c r="K485" s="29"/>
      <c r="L485" s="29" t="s">
        <v>3689</v>
      </c>
      <c r="M485" s="29" t="s">
        <v>3690</v>
      </c>
      <c r="N485" s="29" t="s">
        <v>3446</v>
      </c>
      <c r="O485" s="29"/>
      <c r="P485" s="29" t="s">
        <v>7483</v>
      </c>
      <c r="Q485" t="s">
        <v>2038</v>
      </c>
      <c r="R485" t="s">
        <v>2633</v>
      </c>
      <c r="S485">
        <v>37</v>
      </c>
      <c r="T485" s="43" t="str">
        <f t="shared" si="20"/>
        <v>2021.010B.R.Binomial_names.zip</v>
      </c>
      <c r="U485" s="43" t="str">
        <f>HYPERLINK("https://ictv.global/taxonomy/taxondetails?taxnode_id=202200548","ictv.global=202200548")</f>
        <v>ictv.global=202200548</v>
      </c>
    </row>
    <row r="486" spans="1:21">
      <c r="A486">
        <v>485</v>
      </c>
      <c r="B486" s="29" t="s">
        <v>3682</v>
      </c>
      <c r="C486" s="29"/>
      <c r="D486" s="29" t="s">
        <v>3683</v>
      </c>
      <c r="E486" s="29"/>
      <c r="F486" s="29" t="s">
        <v>3686</v>
      </c>
      <c r="G486" s="29"/>
      <c r="H486" s="29" t="s">
        <v>3687</v>
      </c>
      <c r="I486" s="29"/>
      <c r="J486" s="29"/>
      <c r="K486" s="29"/>
      <c r="L486" s="29" t="s">
        <v>3689</v>
      </c>
      <c r="M486" s="29" t="s">
        <v>3690</v>
      </c>
      <c r="N486" s="29" t="s">
        <v>3446</v>
      </c>
      <c r="O486" s="29"/>
      <c r="P486" s="29" t="s">
        <v>7484</v>
      </c>
      <c r="Q486" t="s">
        <v>2038</v>
      </c>
      <c r="R486" t="s">
        <v>2633</v>
      </c>
      <c r="S486">
        <v>37</v>
      </c>
      <c r="T486" s="43" t="str">
        <f t="shared" si="20"/>
        <v>2021.010B.R.Binomial_names.zip</v>
      </c>
      <c r="U486" s="43" t="str">
        <f>HYPERLINK("https://ictv.global/taxonomy/taxondetails?taxnode_id=202208508","ictv.global=202208508")</f>
        <v>ictv.global=202208508</v>
      </c>
    </row>
    <row r="487" spans="1:21">
      <c r="A487">
        <v>486</v>
      </c>
      <c r="B487" s="29" t="s">
        <v>3682</v>
      </c>
      <c r="C487" s="29"/>
      <c r="D487" s="29" t="s">
        <v>3683</v>
      </c>
      <c r="E487" s="29"/>
      <c r="F487" s="29" t="s">
        <v>3686</v>
      </c>
      <c r="G487" s="29"/>
      <c r="H487" s="29" t="s">
        <v>3687</v>
      </c>
      <c r="I487" s="29"/>
      <c r="J487" s="29"/>
      <c r="K487" s="29"/>
      <c r="L487" s="29" t="s">
        <v>3689</v>
      </c>
      <c r="M487" s="29" t="s">
        <v>3690</v>
      </c>
      <c r="N487" s="29" t="s">
        <v>3446</v>
      </c>
      <c r="O487" s="29"/>
      <c r="P487" s="29" t="s">
        <v>7485</v>
      </c>
      <c r="Q487" t="s">
        <v>2038</v>
      </c>
      <c r="R487" t="s">
        <v>2633</v>
      </c>
      <c r="S487">
        <v>37</v>
      </c>
      <c r="T487" s="43" t="str">
        <f t="shared" si="20"/>
        <v>2021.010B.R.Binomial_names.zip</v>
      </c>
      <c r="U487" s="43" t="str">
        <f>HYPERLINK("https://ictv.global/taxonomy/taxondetails?taxnode_id=202208509","ictv.global=202208509")</f>
        <v>ictv.global=202208509</v>
      </c>
    </row>
    <row r="488" spans="1:21">
      <c r="A488">
        <v>487</v>
      </c>
      <c r="B488" s="29" t="s">
        <v>3682</v>
      </c>
      <c r="C488" s="29"/>
      <c r="D488" s="29" t="s">
        <v>3683</v>
      </c>
      <c r="E488" s="29"/>
      <c r="F488" s="29" t="s">
        <v>3686</v>
      </c>
      <c r="G488" s="29"/>
      <c r="H488" s="29" t="s">
        <v>3687</v>
      </c>
      <c r="I488" s="29"/>
      <c r="J488" s="29"/>
      <c r="K488" s="29"/>
      <c r="L488" s="29" t="s">
        <v>3689</v>
      </c>
      <c r="M488" s="29" t="s">
        <v>3690</v>
      </c>
      <c r="N488" s="29" t="s">
        <v>3446</v>
      </c>
      <c r="O488" s="29"/>
      <c r="P488" s="29" t="s">
        <v>7486</v>
      </c>
      <c r="Q488" t="s">
        <v>2038</v>
      </c>
      <c r="R488" t="s">
        <v>2633</v>
      </c>
      <c r="S488">
        <v>37</v>
      </c>
      <c r="T488" s="43" t="str">
        <f t="shared" si="20"/>
        <v>2021.010B.R.Binomial_names.zip</v>
      </c>
      <c r="U488" s="43" t="str">
        <f>HYPERLINK("https://ictv.global/taxonomy/taxondetails?taxnode_id=202206908","ictv.global=202206908")</f>
        <v>ictv.global=202206908</v>
      </c>
    </row>
    <row r="489" spans="1:21">
      <c r="A489">
        <v>488</v>
      </c>
      <c r="B489" s="29" t="s">
        <v>3682</v>
      </c>
      <c r="C489" s="29"/>
      <c r="D489" s="29" t="s">
        <v>3683</v>
      </c>
      <c r="E489" s="29"/>
      <c r="F489" s="29" t="s">
        <v>3686</v>
      </c>
      <c r="G489" s="29"/>
      <c r="H489" s="29" t="s">
        <v>3687</v>
      </c>
      <c r="I489" s="29"/>
      <c r="J489" s="29"/>
      <c r="K489" s="29"/>
      <c r="L489" s="29" t="s">
        <v>3689</v>
      </c>
      <c r="M489" s="29" t="s">
        <v>3690</v>
      </c>
      <c r="N489" s="29" t="s">
        <v>3692</v>
      </c>
      <c r="O489" s="29"/>
      <c r="P489" s="29" t="s">
        <v>7487</v>
      </c>
      <c r="Q489" t="s">
        <v>2038</v>
      </c>
      <c r="R489" t="s">
        <v>2633</v>
      </c>
      <c r="S489">
        <v>37</v>
      </c>
      <c r="T489" s="43" t="str">
        <f t="shared" si="20"/>
        <v>2021.010B.R.Binomial_names.zip</v>
      </c>
      <c r="U489" s="43" t="str">
        <f>HYPERLINK("https://ictv.global/taxonomy/taxondetails?taxnode_id=202208511","ictv.global=202208511")</f>
        <v>ictv.global=202208511</v>
      </c>
    </row>
    <row r="490" spans="1:21">
      <c r="A490">
        <v>489</v>
      </c>
      <c r="B490" s="29" t="s">
        <v>3682</v>
      </c>
      <c r="C490" s="29"/>
      <c r="D490" s="29" t="s">
        <v>3683</v>
      </c>
      <c r="E490" s="29"/>
      <c r="F490" s="29" t="s">
        <v>3686</v>
      </c>
      <c r="G490" s="29"/>
      <c r="H490" s="29" t="s">
        <v>3687</v>
      </c>
      <c r="I490" s="29"/>
      <c r="J490" s="29"/>
      <c r="K490" s="29"/>
      <c r="L490" s="29" t="s">
        <v>3689</v>
      </c>
      <c r="M490" s="29" t="s">
        <v>3693</v>
      </c>
      <c r="N490" s="29" t="s">
        <v>3694</v>
      </c>
      <c r="O490" s="29"/>
      <c r="P490" s="29" t="s">
        <v>7488</v>
      </c>
      <c r="Q490" t="s">
        <v>2038</v>
      </c>
      <c r="R490" t="s">
        <v>2633</v>
      </c>
      <c r="S490">
        <v>37</v>
      </c>
      <c r="T490" s="43" t="str">
        <f t="shared" si="20"/>
        <v>2021.010B.R.Binomial_names.zip</v>
      </c>
      <c r="U490" s="43" t="str">
        <f>HYPERLINK("https://ictv.global/taxonomy/taxondetails?taxnode_id=202208634","ictv.global=202208634")</f>
        <v>ictv.global=202208634</v>
      </c>
    </row>
    <row r="491" spans="1:21">
      <c r="A491">
        <v>490</v>
      </c>
      <c r="B491" s="29" t="s">
        <v>3682</v>
      </c>
      <c r="C491" s="29"/>
      <c r="D491" s="29" t="s">
        <v>3683</v>
      </c>
      <c r="E491" s="29"/>
      <c r="F491" s="29" t="s">
        <v>3686</v>
      </c>
      <c r="G491" s="29"/>
      <c r="H491" s="29" t="s">
        <v>3687</v>
      </c>
      <c r="I491" s="29"/>
      <c r="J491" s="29"/>
      <c r="K491" s="29"/>
      <c r="L491" s="29" t="s">
        <v>3689</v>
      </c>
      <c r="M491" s="29" t="s">
        <v>3693</v>
      </c>
      <c r="N491" s="29" t="s">
        <v>3695</v>
      </c>
      <c r="O491" s="29"/>
      <c r="P491" s="29" t="s">
        <v>7489</v>
      </c>
      <c r="Q491" t="s">
        <v>2038</v>
      </c>
      <c r="R491" t="s">
        <v>2633</v>
      </c>
      <c r="S491">
        <v>37</v>
      </c>
      <c r="T491" s="43" t="str">
        <f t="shared" si="20"/>
        <v>2021.010B.R.Binomial_names.zip</v>
      </c>
      <c r="U491" s="43" t="str">
        <f>HYPERLINK("https://ictv.global/taxonomy/taxondetails?taxnode_id=202208619","ictv.global=202208619")</f>
        <v>ictv.global=202208619</v>
      </c>
    </row>
    <row r="492" spans="1:21">
      <c r="A492">
        <v>491</v>
      </c>
      <c r="B492" s="29" t="s">
        <v>3682</v>
      </c>
      <c r="C492" s="29"/>
      <c r="D492" s="29" t="s">
        <v>3683</v>
      </c>
      <c r="E492" s="29"/>
      <c r="F492" s="29" t="s">
        <v>3686</v>
      </c>
      <c r="G492" s="29"/>
      <c r="H492" s="29" t="s">
        <v>3687</v>
      </c>
      <c r="I492" s="29"/>
      <c r="J492" s="29"/>
      <c r="K492" s="29"/>
      <c r="L492" s="29" t="s">
        <v>3689</v>
      </c>
      <c r="M492" s="29" t="s">
        <v>3693</v>
      </c>
      <c r="N492" s="29" t="s">
        <v>3695</v>
      </c>
      <c r="O492" s="29"/>
      <c r="P492" s="29" t="s">
        <v>7490</v>
      </c>
      <c r="Q492" t="s">
        <v>2038</v>
      </c>
      <c r="R492" t="s">
        <v>2633</v>
      </c>
      <c r="S492">
        <v>37</v>
      </c>
      <c r="T492" s="43" t="str">
        <f t="shared" si="20"/>
        <v>2021.010B.R.Binomial_names.zip</v>
      </c>
      <c r="U492" s="43" t="str">
        <f>HYPERLINK("https://ictv.global/taxonomy/taxondetails?taxnode_id=202208620","ictv.global=202208620")</f>
        <v>ictv.global=202208620</v>
      </c>
    </row>
    <row r="493" spans="1:21">
      <c r="A493">
        <v>492</v>
      </c>
      <c r="B493" s="29" t="s">
        <v>3682</v>
      </c>
      <c r="C493" s="29"/>
      <c r="D493" s="29" t="s">
        <v>3683</v>
      </c>
      <c r="E493" s="29"/>
      <c r="F493" s="29" t="s">
        <v>3686</v>
      </c>
      <c r="G493" s="29"/>
      <c r="H493" s="29" t="s">
        <v>3687</v>
      </c>
      <c r="I493" s="29"/>
      <c r="J493" s="29"/>
      <c r="K493" s="29"/>
      <c r="L493" s="29" t="s">
        <v>3689</v>
      </c>
      <c r="M493" s="29" t="s">
        <v>3693</v>
      </c>
      <c r="N493" s="29" t="s">
        <v>3695</v>
      </c>
      <c r="O493" s="29"/>
      <c r="P493" s="29" t="s">
        <v>7491</v>
      </c>
      <c r="Q493" t="s">
        <v>2038</v>
      </c>
      <c r="R493" t="s">
        <v>2633</v>
      </c>
      <c r="S493">
        <v>37</v>
      </c>
      <c r="T493" s="43" t="str">
        <f t="shared" si="20"/>
        <v>2021.010B.R.Binomial_names.zip</v>
      </c>
      <c r="U493" s="43" t="str">
        <f>HYPERLINK("https://ictv.global/taxonomy/taxondetails?taxnode_id=202208621","ictv.global=202208621")</f>
        <v>ictv.global=202208621</v>
      </c>
    </row>
    <row r="494" spans="1:21">
      <c r="A494">
        <v>493</v>
      </c>
      <c r="B494" s="29" t="s">
        <v>3682</v>
      </c>
      <c r="C494" s="29"/>
      <c r="D494" s="29" t="s">
        <v>3683</v>
      </c>
      <c r="E494" s="29"/>
      <c r="F494" s="29" t="s">
        <v>3686</v>
      </c>
      <c r="G494" s="29"/>
      <c r="H494" s="29" t="s">
        <v>3687</v>
      </c>
      <c r="I494" s="29"/>
      <c r="J494" s="29"/>
      <c r="K494" s="29"/>
      <c r="L494" s="29" t="s">
        <v>3689</v>
      </c>
      <c r="M494" s="29" t="s">
        <v>3693</v>
      </c>
      <c r="N494" s="29" t="s">
        <v>3696</v>
      </c>
      <c r="O494" s="29"/>
      <c r="P494" s="29" t="s">
        <v>7492</v>
      </c>
      <c r="Q494" t="s">
        <v>2038</v>
      </c>
      <c r="R494" t="s">
        <v>2633</v>
      </c>
      <c r="S494">
        <v>37</v>
      </c>
      <c r="T494" s="43" t="str">
        <f t="shared" si="20"/>
        <v>2021.010B.R.Binomial_names.zip</v>
      </c>
      <c r="U494" s="43" t="str">
        <f>HYPERLINK("https://ictv.global/taxonomy/taxondetails?taxnode_id=202208624","ictv.global=202208624")</f>
        <v>ictv.global=202208624</v>
      </c>
    </row>
    <row r="495" spans="1:21">
      <c r="A495">
        <v>494</v>
      </c>
      <c r="B495" s="29" t="s">
        <v>3682</v>
      </c>
      <c r="C495" s="29"/>
      <c r="D495" s="29" t="s">
        <v>3683</v>
      </c>
      <c r="E495" s="29"/>
      <c r="F495" s="29" t="s">
        <v>3686</v>
      </c>
      <c r="G495" s="29"/>
      <c r="H495" s="29" t="s">
        <v>3687</v>
      </c>
      <c r="I495" s="29"/>
      <c r="J495" s="29"/>
      <c r="K495" s="29"/>
      <c r="L495" s="29" t="s">
        <v>3689</v>
      </c>
      <c r="M495" s="29" t="s">
        <v>3693</v>
      </c>
      <c r="N495" s="29" t="s">
        <v>3696</v>
      </c>
      <c r="O495" s="29"/>
      <c r="P495" s="29" t="s">
        <v>7493</v>
      </c>
      <c r="Q495" t="s">
        <v>2038</v>
      </c>
      <c r="R495" t="s">
        <v>2633</v>
      </c>
      <c r="S495">
        <v>37</v>
      </c>
      <c r="T495" s="43" t="str">
        <f t="shared" si="20"/>
        <v>2021.010B.R.Binomial_names.zip</v>
      </c>
      <c r="U495" s="43" t="str">
        <f>HYPERLINK("https://ictv.global/taxonomy/taxondetails?taxnode_id=202208623","ictv.global=202208623")</f>
        <v>ictv.global=202208623</v>
      </c>
    </row>
    <row r="496" spans="1:21">
      <c r="A496">
        <v>495</v>
      </c>
      <c r="B496" s="29" t="s">
        <v>3682</v>
      </c>
      <c r="C496" s="29"/>
      <c r="D496" s="29" t="s">
        <v>3683</v>
      </c>
      <c r="E496" s="29"/>
      <c r="F496" s="29" t="s">
        <v>3686</v>
      </c>
      <c r="G496" s="29"/>
      <c r="H496" s="29" t="s">
        <v>3687</v>
      </c>
      <c r="I496" s="29"/>
      <c r="J496" s="29"/>
      <c r="K496" s="29"/>
      <c r="L496" s="29" t="s">
        <v>3689</v>
      </c>
      <c r="M496" s="29" t="s">
        <v>3693</v>
      </c>
      <c r="N496" s="29" t="s">
        <v>3697</v>
      </c>
      <c r="O496" s="29"/>
      <c r="P496" s="29" t="s">
        <v>7494</v>
      </c>
      <c r="Q496" t="s">
        <v>2038</v>
      </c>
      <c r="R496" t="s">
        <v>2633</v>
      </c>
      <c r="S496">
        <v>37</v>
      </c>
      <c r="T496" s="43" t="str">
        <f t="shared" si="20"/>
        <v>2021.010B.R.Binomial_names.zip</v>
      </c>
      <c r="U496" s="43" t="str">
        <f>HYPERLINK("https://ictv.global/taxonomy/taxondetails?taxnode_id=202208632","ictv.global=202208632")</f>
        <v>ictv.global=202208632</v>
      </c>
    </row>
    <row r="497" spans="1:21">
      <c r="A497">
        <v>496</v>
      </c>
      <c r="B497" s="29" t="s">
        <v>3682</v>
      </c>
      <c r="C497" s="29"/>
      <c r="D497" s="29" t="s">
        <v>3683</v>
      </c>
      <c r="E497" s="29"/>
      <c r="F497" s="29" t="s">
        <v>3686</v>
      </c>
      <c r="G497" s="29"/>
      <c r="H497" s="29" t="s">
        <v>3687</v>
      </c>
      <c r="I497" s="29"/>
      <c r="J497" s="29"/>
      <c r="K497" s="29"/>
      <c r="L497" s="29" t="s">
        <v>3689</v>
      </c>
      <c r="M497" s="29" t="s">
        <v>3693</v>
      </c>
      <c r="N497" s="29" t="s">
        <v>3698</v>
      </c>
      <c r="O497" s="29"/>
      <c r="P497" s="29" t="s">
        <v>7495</v>
      </c>
      <c r="Q497" t="s">
        <v>2038</v>
      </c>
      <c r="R497" t="s">
        <v>2633</v>
      </c>
      <c r="S497">
        <v>37</v>
      </c>
      <c r="T497" s="43" t="str">
        <f t="shared" ref="T497:T528" si="21">HYPERLINK("https://ictv.global/ictv/proposals/2021.010B.R.Binomial_names.zip","2021.010B.R.Binomial_names.zip")</f>
        <v>2021.010B.R.Binomial_names.zip</v>
      </c>
      <c r="U497" s="43" t="str">
        <f>HYPERLINK("https://ictv.global/taxonomy/taxondetails?taxnode_id=202208628","ictv.global=202208628")</f>
        <v>ictv.global=202208628</v>
      </c>
    </row>
    <row r="498" spans="1:21">
      <c r="A498">
        <v>497</v>
      </c>
      <c r="B498" s="29" t="s">
        <v>3682</v>
      </c>
      <c r="C498" s="29"/>
      <c r="D498" s="29" t="s">
        <v>3683</v>
      </c>
      <c r="E498" s="29"/>
      <c r="F498" s="29" t="s">
        <v>3686</v>
      </c>
      <c r="G498" s="29"/>
      <c r="H498" s="29" t="s">
        <v>3687</v>
      </c>
      <c r="I498" s="29"/>
      <c r="J498" s="29"/>
      <c r="K498" s="29"/>
      <c r="L498" s="29" t="s">
        <v>3689</v>
      </c>
      <c r="M498" s="29" t="s">
        <v>3693</v>
      </c>
      <c r="N498" s="29" t="s">
        <v>3698</v>
      </c>
      <c r="O498" s="29"/>
      <c r="P498" s="29" t="s">
        <v>7496</v>
      </c>
      <c r="Q498" t="s">
        <v>2038</v>
      </c>
      <c r="R498" t="s">
        <v>2633</v>
      </c>
      <c r="S498">
        <v>37</v>
      </c>
      <c r="T498" s="43" t="str">
        <f t="shared" si="21"/>
        <v>2021.010B.R.Binomial_names.zip</v>
      </c>
      <c r="U498" s="43" t="str">
        <f>HYPERLINK("https://ictv.global/taxonomy/taxondetails?taxnode_id=202208629","ictv.global=202208629")</f>
        <v>ictv.global=202208629</v>
      </c>
    </row>
    <row r="499" spans="1:21">
      <c r="A499">
        <v>498</v>
      </c>
      <c r="B499" s="29" t="s">
        <v>3682</v>
      </c>
      <c r="C499" s="29"/>
      <c r="D499" s="29" t="s">
        <v>3683</v>
      </c>
      <c r="E499" s="29"/>
      <c r="F499" s="29" t="s">
        <v>3686</v>
      </c>
      <c r="G499" s="29"/>
      <c r="H499" s="29" t="s">
        <v>3687</v>
      </c>
      <c r="I499" s="29"/>
      <c r="J499" s="29"/>
      <c r="K499" s="29"/>
      <c r="L499" s="29" t="s">
        <v>3689</v>
      </c>
      <c r="M499" s="29" t="s">
        <v>3693</v>
      </c>
      <c r="N499" s="29" t="s">
        <v>3698</v>
      </c>
      <c r="O499" s="29"/>
      <c r="P499" s="29" t="s">
        <v>7497</v>
      </c>
      <c r="Q499" t="s">
        <v>2038</v>
      </c>
      <c r="R499" t="s">
        <v>2633</v>
      </c>
      <c r="S499">
        <v>37</v>
      </c>
      <c r="T499" s="43" t="str">
        <f t="shared" si="21"/>
        <v>2021.010B.R.Binomial_names.zip</v>
      </c>
      <c r="U499" s="43" t="str">
        <f>HYPERLINK("https://ictv.global/taxonomy/taxondetails?taxnode_id=202208627","ictv.global=202208627")</f>
        <v>ictv.global=202208627</v>
      </c>
    </row>
    <row r="500" spans="1:21">
      <c r="A500">
        <v>499</v>
      </c>
      <c r="B500" s="29" t="s">
        <v>3682</v>
      </c>
      <c r="C500" s="29"/>
      <c r="D500" s="29" t="s">
        <v>3683</v>
      </c>
      <c r="E500" s="29"/>
      <c r="F500" s="29" t="s">
        <v>3686</v>
      </c>
      <c r="G500" s="29"/>
      <c r="H500" s="29" t="s">
        <v>3687</v>
      </c>
      <c r="I500" s="29"/>
      <c r="J500" s="29"/>
      <c r="K500" s="29"/>
      <c r="L500" s="29" t="s">
        <v>3689</v>
      </c>
      <c r="M500" s="29" t="s">
        <v>3693</v>
      </c>
      <c r="N500" s="29" t="s">
        <v>3698</v>
      </c>
      <c r="O500" s="29"/>
      <c r="P500" s="29" t="s">
        <v>7498</v>
      </c>
      <c r="Q500" t="s">
        <v>2038</v>
      </c>
      <c r="R500" t="s">
        <v>2633</v>
      </c>
      <c r="S500">
        <v>37</v>
      </c>
      <c r="T500" s="43" t="str">
        <f t="shared" si="21"/>
        <v>2021.010B.R.Binomial_names.zip</v>
      </c>
      <c r="U500" s="43" t="str">
        <f>HYPERLINK("https://ictv.global/taxonomy/taxondetails?taxnode_id=202208626","ictv.global=202208626")</f>
        <v>ictv.global=202208626</v>
      </c>
    </row>
    <row r="501" spans="1:21">
      <c r="A501">
        <v>500</v>
      </c>
      <c r="B501" s="29" t="s">
        <v>3682</v>
      </c>
      <c r="C501" s="29"/>
      <c r="D501" s="29" t="s">
        <v>3683</v>
      </c>
      <c r="E501" s="29"/>
      <c r="F501" s="29" t="s">
        <v>3686</v>
      </c>
      <c r="G501" s="29"/>
      <c r="H501" s="29" t="s">
        <v>3687</v>
      </c>
      <c r="I501" s="29"/>
      <c r="J501" s="29"/>
      <c r="K501" s="29"/>
      <c r="L501" s="29" t="s">
        <v>3689</v>
      </c>
      <c r="M501" s="29" t="s">
        <v>3693</v>
      </c>
      <c r="N501" s="29" t="s">
        <v>3698</v>
      </c>
      <c r="O501" s="29"/>
      <c r="P501" s="29" t="s">
        <v>7499</v>
      </c>
      <c r="Q501" t="s">
        <v>2038</v>
      </c>
      <c r="R501" t="s">
        <v>2633</v>
      </c>
      <c r="S501">
        <v>37</v>
      </c>
      <c r="T501" s="43" t="str">
        <f t="shared" si="21"/>
        <v>2021.010B.R.Binomial_names.zip</v>
      </c>
      <c r="U501" s="43" t="str">
        <f>HYPERLINK("https://ictv.global/taxonomy/taxondetails?taxnode_id=202208630","ictv.global=202208630")</f>
        <v>ictv.global=202208630</v>
      </c>
    </row>
    <row r="502" spans="1:21">
      <c r="A502">
        <v>501</v>
      </c>
      <c r="B502" s="29" t="s">
        <v>3682</v>
      </c>
      <c r="C502" s="29"/>
      <c r="D502" s="29" t="s">
        <v>3683</v>
      </c>
      <c r="E502" s="29"/>
      <c r="F502" s="29" t="s">
        <v>3686</v>
      </c>
      <c r="G502" s="29"/>
      <c r="H502" s="29" t="s">
        <v>3687</v>
      </c>
      <c r="I502" s="29"/>
      <c r="J502" s="29"/>
      <c r="K502" s="29"/>
      <c r="L502" s="29" t="s">
        <v>3689</v>
      </c>
      <c r="M502" s="29" t="s">
        <v>3699</v>
      </c>
      <c r="N502" s="29" t="s">
        <v>3700</v>
      </c>
      <c r="O502" s="29"/>
      <c r="P502" s="29" t="s">
        <v>7500</v>
      </c>
      <c r="Q502" t="s">
        <v>2038</v>
      </c>
      <c r="R502" t="s">
        <v>2633</v>
      </c>
      <c r="S502">
        <v>37</v>
      </c>
      <c r="T502" s="43" t="str">
        <f t="shared" si="21"/>
        <v>2021.010B.R.Binomial_names.zip</v>
      </c>
      <c r="U502" s="43" t="str">
        <f>HYPERLINK("https://ictv.global/taxonomy/taxondetails?taxnode_id=202208569","ictv.global=202208569")</f>
        <v>ictv.global=202208569</v>
      </c>
    </row>
    <row r="503" spans="1:21">
      <c r="A503">
        <v>502</v>
      </c>
      <c r="B503" s="29" t="s">
        <v>3682</v>
      </c>
      <c r="C503" s="29"/>
      <c r="D503" s="29" t="s">
        <v>3683</v>
      </c>
      <c r="E503" s="29"/>
      <c r="F503" s="29" t="s">
        <v>3686</v>
      </c>
      <c r="G503" s="29"/>
      <c r="H503" s="29" t="s">
        <v>3687</v>
      </c>
      <c r="I503" s="29"/>
      <c r="J503" s="29"/>
      <c r="K503" s="29"/>
      <c r="L503" s="29" t="s">
        <v>3689</v>
      </c>
      <c r="M503" s="29" t="s">
        <v>3699</v>
      </c>
      <c r="N503" s="29" t="s">
        <v>3701</v>
      </c>
      <c r="O503" s="29"/>
      <c r="P503" s="29" t="s">
        <v>7501</v>
      </c>
      <c r="Q503" t="s">
        <v>2038</v>
      </c>
      <c r="R503" t="s">
        <v>2633</v>
      </c>
      <c r="S503">
        <v>37</v>
      </c>
      <c r="T503" s="43" t="str">
        <f t="shared" si="21"/>
        <v>2021.010B.R.Binomial_names.zip</v>
      </c>
      <c r="U503" s="43" t="str">
        <f>HYPERLINK("https://ictv.global/taxonomy/taxondetails?taxnode_id=202208557","ictv.global=202208557")</f>
        <v>ictv.global=202208557</v>
      </c>
    </row>
    <row r="504" spans="1:21">
      <c r="A504">
        <v>503</v>
      </c>
      <c r="B504" s="29" t="s">
        <v>3682</v>
      </c>
      <c r="C504" s="29"/>
      <c r="D504" s="29" t="s">
        <v>3683</v>
      </c>
      <c r="E504" s="29"/>
      <c r="F504" s="29" t="s">
        <v>3686</v>
      </c>
      <c r="G504" s="29"/>
      <c r="H504" s="29" t="s">
        <v>3687</v>
      </c>
      <c r="I504" s="29"/>
      <c r="J504" s="29"/>
      <c r="K504" s="29"/>
      <c r="L504" s="29" t="s">
        <v>3689</v>
      </c>
      <c r="M504" s="29" t="s">
        <v>3699</v>
      </c>
      <c r="N504" s="29" t="s">
        <v>3701</v>
      </c>
      <c r="O504" s="29"/>
      <c r="P504" s="29" t="s">
        <v>7502</v>
      </c>
      <c r="Q504" t="s">
        <v>2038</v>
      </c>
      <c r="R504" t="s">
        <v>2633</v>
      </c>
      <c r="S504">
        <v>37</v>
      </c>
      <c r="T504" s="43" t="str">
        <f t="shared" si="21"/>
        <v>2021.010B.R.Binomial_names.zip</v>
      </c>
      <c r="U504" s="43" t="str">
        <f>HYPERLINK("https://ictv.global/taxonomy/taxondetails?taxnode_id=202208555","ictv.global=202208555")</f>
        <v>ictv.global=202208555</v>
      </c>
    </row>
    <row r="505" spans="1:21">
      <c r="A505">
        <v>504</v>
      </c>
      <c r="B505" s="29" t="s">
        <v>3682</v>
      </c>
      <c r="C505" s="29"/>
      <c r="D505" s="29" t="s">
        <v>3683</v>
      </c>
      <c r="E505" s="29"/>
      <c r="F505" s="29" t="s">
        <v>3686</v>
      </c>
      <c r="G505" s="29"/>
      <c r="H505" s="29" t="s">
        <v>3687</v>
      </c>
      <c r="I505" s="29"/>
      <c r="J505" s="29"/>
      <c r="K505" s="29"/>
      <c r="L505" s="29" t="s">
        <v>3689</v>
      </c>
      <c r="M505" s="29" t="s">
        <v>3699</v>
      </c>
      <c r="N505" s="29" t="s">
        <v>3701</v>
      </c>
      <c r="O505" s="29"/>
      <c r="P505" s="29" t="s">
        <v>7503</v>
      </c>
      <c r="Q505" t="s">
        <v>2038</v>
      </c>
      <c r="R505" t="s">
        <v>2633</v>
      </c>
      <c r="S505">
        <v>37</v>
      </c>
      <c r="T505" s="43" t="str">
        <f t="shared" si="21"/>
        <v>2021.010B.R.Binomial_names.zip</v>
      </c>
      <c r="U505" s="43" t="str">
        <f>HYPERLINK("https://ictv.global/taxonomy/taxondetails?taxnode_id=202208556","ictv.global=202208556")</f>
        <v>ictv.global=202208556</v>
      </c>
    </row>
    <row r="506" spans="1:21">
      <c r="A506">
        <v>505</v>
      </c>
      <c r="B506" s="29" t="s">
        <v>3682</v>
      </c>
      <c r="C506" s="29"/>
      <c r="D506" s="29" t="s">
        <v>3683</v>
      </c>
      <c r="E506" s="29"/>
      <c r="F506" s="29" t="s">
        <v>3686</v>
      </c>
      <c r="G506" s="29"/>
      <c r="H506" s="29" t="s">
        <v>3687</v>
      </c>
      <c r="I506" s="29"/>
      <c r="J506" s="29"/>
      <c r="K506" s="29"/>
      <c r="L506" s="29" t="s">
        <v>3689</v>
      </c>
      <c r="M506" s="29" t="s">
        <v>3699</v>
      </c>
      <c r="N506" s="29" t="s">
        <v>3448</v>
      </c>
      <c r="O506" s="29"/>
      <c r="P506" s="29" t="s">
        <v>7504</v>
      </c>
      <c r="Q506" t="s">
        <v>2038</v>
      </c>
      <c r="R506" t="s">
        <v>2633</v>
      </c>
      <c r="S506">
        <v>37</v>
      </c>
      <c r="T506" s="43" t="str">
        <f t="shared" si="21"/>
        <v>2021.010B.R.Binomial_names.zip</v>
      </c>
      <c r="U506" s="43" t="str">
        <f>HYPERLINK("https://ictv.global/taxonomy/taxondetails?taxnode_id=202206925","ictv.global=202206925")</f>
        <v>ictv.global=202206925</v>
      </c>
    </row>
    <row r="507" spans="1:21">
      <c r="A507">
        <v>506</v>
      </c>
      <c r="B507" s="29" t="s">
        <v>3682</v>
      </c>
      <c r="C507" s="29"/>
      <c r="D507" s="29" t="s">
        <v>3683</v>
      </c>
      <c r="E507" s="29"/>
      <c r="F507" s="29" t="s">
        <v>3686</v>
      </c>
      <c r="G507" s="29"/>
      <c r="H507" s="29" t="s">
        <v>3687</v>
      </c>
      <c r="I507" s="29"/>
      <c r="J507" s="29"/>
      <c r="K507" s="29"/>
      <c r="L507" s="29" t="s">
        <v>3689</v>
      </c>
      <c r="M507" s="29" t="s">
        <v>3699</v>
      </c>
      <c r="N507" s="29" t="s">
        <v>3448</v>
      </c>
      <c r="O507" s="29"/>
      <c r="P507" s="29" t="s">
        <v>7505</v>
      </c>
      <c r="Q507" t="s">
        <v>2038</v>
      </c>
      <c r="R507" t="s">
        <v>2633</v>
      </c>
      <c r="S507">
        <v>37</v>
      </c>
      <c r="T507" s="43" t="str">
        <f t="shared" si="21"/>
        <v>2021.010B.R.Binomial_names.zip</v>
      </c>
      <c r="U507" s="43" t="str">
        <f>HYPERLINK("https://ictv.global/taxonomy/taxondetails?taxnode_id=202208561","ictv.global=202208561")</f>
        <v>ictv.global=202208561</v>
      </c>
    </row>
    <row r="508" spans="1:21">
      <c r="A508">
        <v>507</v>
      </c>
      <c r="B508" s="29" t="s">
        <v>3682</v>
      </c>
      <c r="C508" s="29"/>
      <c r="D508" s="29" t="s">
        <v>3683</v>
      </c>
      <c r="E508" s="29"/>
      <c r="F508" s="29" t="s">
        <v>3686</v>
      </c>
      <c r="G508" s="29"/>
      <c r="H508" s="29" t="s">
        <v>3687</v>
      </c>
      <c r="I508" s="29"/>
      <c r="J508" s="29"/>
      <c r="K508" s="29"/>
      <c r="L508" s="29" t="s">
        <v>3689</v>
      </c>
      <c r="M508" s="29" t="s">
        <v>3699</v>
      </c>
      <c r="N508" s="29" t="s">
        <v>3448</v>
      </c>
      <c r="O508" s="29"/>
      <c r="P508" s="29" t="s">
        <v>7506</v>
      </c>
      <c r="Q508" t="s">
        <v>2038</v>
      </c>
      <c r="R508" t="s">
        <v>2633</v>
      </c>
      <c r="S508">
        <v>37</v>
      </c>
      <c r="T508" s="43" t="str">
        <f t="shared" si="21"/>
        <v>2021.010B.R.Binomial_names.zip</v>
      </c>
      <c r="U508" s="43" t="str">
        <f>HYPERLINK("https://ictv.global/taxonomy/taxondetails?taxnode_id=202206924","ictv.global=202206924")</f>
        <v>ictv.global=202206924</v>
      </c>
    </row>
    <row r="509" spans="1:21">
      <c r="A509">
        <v>508</v>
      </c>
      <c r="B509" s="29" t="s">
        <v>3682</v>
      </c>
      <c r="C509" s="29"/>
      <c r="D509" s="29" t="s">
        <v>3683</v>
      </c>
      <c r="E509" s="29"/>
      <c r="F509" s="29" t="s">
        <v>3686</v>
      </c>
      <c r="G509" s="29"/>
      <c r="H509" s="29" t="s">
        <v>3687</v>
      </c>
      <c r="I509" s="29"/>
      <c r="J509" s="29"/>
      <c r="K509" s="29"/>
      <c r="L509" s="29" t="s">
        <v>3689</v>
      </c>
      <c r="M509" s="29" t="s">
        <v>3699</v>
      </c>
      <c r="N509" s="29" t="s">
        <v>3448</v>
      </c>
      <c r="O509" s="29"/>
      <c r="P509" s="29" t="s">
        <v>7507</v>
      </c>
      <c r="Q509" t="s">
        <v>2038</v>
      </c>
      <c r="R509" t="s">
        <v>2633</v>
      </c>
      <c r="S509">
        <v>37</v>
      </c>
      <c r="T509" s="43" t="str">
        <f t="shared" si="21"/>
        <v>2021.010B.R.Binomial_names.zip</v>
      </c>
      <c r="U509" s="43" t="str">
        <f>HYPERLINK("https://ictv.global/taxonomy/taxondetails?taxnode_id=202208558","ictv.global=202208558")</f>
        <v>ictv.global=202208558</v>
      </c>
    </row>
    <row r="510" spans="1:21">
      <c r="A510">
        <v>509</v>
      </c>
      <c r="B510" s="29" t="s">
        <v>3682</v>
      </c>
      <c r="C510" s="29"/>
      <c r="D510" s="29" t="s">
        <v>3683</v>
      </c>
      <c r="E510" s="29"/>
      <c r="F510" s="29" t="s">
        <v>3686</v>
      </c>
      <c r="G510" s="29"/>
      <c r="H510" s="29" t="s">
        <v>3687</v>
      </c>
      <c r="I510" s="29"/>
      <c r="J510" s="29"/>
      <c r="K510" s="29"/>
      <c r="L510" s="29" t="s">
        <v>3689</v>
      </c>
      <c r="M510" s="29" t="s">
        <v>3699</v>
      </c>
      <c r="N510" s="29" t="s">
        <v>3448</v>
      </c>
      <c r="O510" s="29"/>
      <c r="P510" s="29" t="s">
        <v>7508</v>
      </c>
      <c r="Q510" t="s">
        <v>2038</v>
      </c>
      <c r="R510" t="s">
        <v>2633</v>
      </c>
      <c r="S510">
        <v>37</v>
      </c>
      <c r="T510" s="43" t="str">
        <f t="shared" si="21"/>
        <v>2021.010B.R.Binomial_names.zip</v>
      </c>
      <c r="U510" s="43" t="str">
        <f>HYPERLINK("https://ictv.global/taxonomy/taxondetails?taxnode_id=202208562","ictv.global=202208562")</f>
        <v>ictv.global=202208562</v>
      </c>
    </row>
    <row r="511" spans="1:21">
      <c r="A511">
        <v>510</v>
      </c>
      <c r="B511" s="29" t="s">
        <v>3682</v>
      </c>
      <c r="C511" s="29"/>
      <c r="D511" s="29" t="s">
        <v>3683</v>
      </c>
      <c r="E511" s="29"/>
      <c r="F511" s="29" t="s">
        <v>3686</v>
      </c>
      <c r="G511" s="29"/>
      <c r="H511" s="29" t="s">
        <v>3687</v>
      </c>
      <c r="I511" s="29"/>
      <c r="J511" s="29"/>
      <c r="K511" s="29"/>
      <c r="L511" s="29" t="s">
        <v>3689</v>
      </c>
      <c r="M511" s="29" t="s">
        <v>3699</v>
      </c>
      <c r="N511" s="29" t="s">
        <v>3448</v>
      </c>
      <c r="O511" s="29"/>
      <c r="P511" s="29" t="s">
        <v>7509</v>
      </c>
      <c r="Q511" t="s">
        <v>2038</v>
      </c>
      <c r="R511" t="s">
        <v>2633</v>
      </c>
      <c r="S511">
        <v>37</v>
      </c>
      <c r="T511" s="43" t="str">
        <f t="shared" si="21"/>
        <v>2021.010B.R.Binomial_names.zip</v>
      </c>
      <c r="U511" s="43" t="str">
        <f>HYPERLINK("https://ictv.global/taxonomy/taxondetails?taxnode_id=202208563","ictv.global=202208563")</f>
        <v>ictv.global=202208563</v>
      </c>
    </row>
    <row r="512" spans="1:21">
      <c r="A512">
        <v>511</v>
      </c>
      <c r="B512" s="29" t="s">
        <v>3682</v>
      </c>
      <c r="C512" s="29"/>
      <c r="D512" s="29" t="s">
        <v>3683</v>
      </c>
      <c r="E512" s="29"/>
      <c r="F512" s="29" t="s">
        <v>3686</v>
      </c>
      <c r="G512" s="29"/>
      <c r="H512" s="29" t="s">
        <v>3687</v>
      </c>
      <c r="I512" s="29"/>
      <c r="J512" s="29"/>
      <c r="K512" s="29"/>
      <c r="L512" s="29" t="s">
        <v>3689</v>
      </c>
      <c r="M512" s="29" t="s">
        <v>3699</v>
      </c>
      <c r="N512" s="29" t="s">
        <v>3448</v>
      </c>
      <c r="O512" s="29"/>
      <c r="P512" s="29" t="s">
        <v>7510</v>
      </c>
      <c r="Q512" t="s">
        <v>2038</v>
      </c>
      <c r="R512" t="s">
        <v>2633</v>
      </c>
      <c r="S512">
        <v>37</v>
      </c>
      <c r="T512" s="43" t="str">
        <f t="shared" si="21"/>
        <v>2021.010B.R.Binomial_names.zip</v>
      </c>
      <c r="U512" s="43" t="str">
        <f>HYPERLINK("https://ictv.global/taxonomy/taxondetails?taxnode_id=202208559","ictv.global=202208559")</f>
        <v>ictv.global=202208559</v>
      </c>
    </row>
    <row r="513" spans="1:21">
      <c r="A513">
        <v>512</v>
      </c>
      <c r="B513" s="29" t="s">
        <v>3682</v>
      </c>
      <c r="C513" s="29"/>
      <c r="D513" s="29" t="s">
        <v>3683</v>
      </c>
      <c r="E513" s="29"/>
      <c r="F513" s="29" t="s">
        <v>3686</v>
      </c>
      <c r="G513" s="29"/>
      <c r="H513" s="29" t="s">
        <v>3687</v>
      </c>
      <c r="I513" s="29"/>
      <c r="J513" s="29"/>
      <c r="K513" s="29"/>
      <c r="L513" s="29" t="s">
        <v>3689</v>
      </c>
      <c r="M513" s="29" t="s">
        <v>3699</v>
      </c>
      <c r="N513" s="29" t="s">
        <v>3448</v>
      </c>
      <c r="O513" s="29"/>
      <c r="P513" s="29" t="s">
        <v>7511</v>
      </c>
      <c r="Q513" t="s">
        <v>2038</v>
      </c>
      <c r="R513" t="s">
        <v>2633</v>
      </c>
      <c r="S513">
        <v>37</v>
      </c>
      <c r="T513" s="43" t="str">
        <f t="shared" si="21"/>
        <v>2021.010B.R.Binomial_names.zip</v>
      </c>
      <c r="U513" s="43" t="str">
        <f>HYPERLINK("https://ictv.global/taxonomy/taxondetails?taxnode_id=202208560","ictv.global=202208560")</f>
        <v>ictv.global=202208560</v>
      </c>
    </row>
    <row r="514" spans="1:21">
      <c r="A514">
        <v>513</v>
      </c>
      <c r="B514" s="29" t="s">
        <v>3682</v>
      </c>
      <c r="C514" s="29"/>
      <c r="D514" s="29" t="s">
        <v>3683</v>
      </c>
      <c r="E514" s="29"/>
      <c r="F514" s="29" t="s">
        <v>3686</v>
      </c>
      <c r="G514" s="29"/>
      <c r="H514" s="29" t="s">
        <v>3687</v>
      </c>
      <c r="I514" s="29"/>
      <c r="J514" s="29"/>
      <c r="K514" s="29"/>
      <c r="L514" s="29" t="s">
        <v>3689</v>
      </c>
      <c r="M514" s="29" t="s">
        <v>3699</v>
      </c>
      <c r="N514" s="29" t="s">
        <v>3448</v>
      </c>
      <c r="O514" s="29"/>
      <c r="P514" s="29" t="s">
        <v>7512</v>
      </c>
      <c r="Q514" t="s">
        <v>2038</v>
      </c>
      <c r="R514" t="s">
        <v>2633</v>
      </c>
      <c r="S514">
        <v>37</v>
      </c>
      <c r="T514" s="43" t="str">
        <f t="shared" si="21"/>
        <v>2021.010B.R.Binomial_names.zip</v>
      </c>
      <c r="U514" s="43" t="str">
        <f>HYPERLINK("https://ictv.global/taxonomy/taxondetails?taxnode_id=202206926","ictv.global=202206926")</f>
        <v>ictv.global=202206926</v>
      </c>
    </row>
    <row r="515" spans="1:21">
      <c r="A515">
        <v>514</v>
      </c>
      <c r="B515" s="29" t="s">
        <v>3682</v>
      </c>
      <c r="C515" s="29"/>
      <c r="D515" s="29" t="s">
        <v>3683</v>
      </c>
      <c r="E515" s="29"/>
      <c r="F515" s="29" t="s">
        <v>3686</v>
      </c>
      <c r="G515" s="29"/>
      <c r="H515" s="29" t="s">
        <v>3687</v>
      </c>
      <c r="I515" s="29"/>
      <c r="J515" s="29"/>
      <c r="K515" s="29"/>
      <c r="L515" s="29" t="s">
        <v>3689</v>
      </c>
      <c r="M515" s="29" t="s">
        <v>3699</v>
      </c>
      <c r="N515" s="29" t="s">
        <v>3448</v>
      </c>
      <c r="O515" s="29"/>
      <c r="P515" s="29" t="s">
        <v>7513</v>
      </c>
      <c r="Q515" t="s">
        <v>2038</v>
      </c>
      <c r="R515" t="s">
        <v>2633</v>
      </c>
      <c r="S515">
        <v>37</v>
      </c>
      <c r="T515" s="43" t="str">
        <f t="shared" si="21"/>
        <v>2021.010B.R.Binomial_names.zip</v>
      </c>
      <c r="U515" s="43" t="str">
        <f>HYPERLINK("https://ictv.global/taxonomy/taxondetails?taxnode_id=202208564","ictv.global=202208564")</f>
        <v>ictv.global=202208564</v>
      </c>
    </row>
    <row r="516" spans="1:21">
      <c r="A516">
        <v>515</v>
      </c>
      <c r="B516" s="29" t="s">
        <v>3682</v>
      </c>
      <c r="C516" s="29"/>
      <c r="D516" s="29" t="s">
        <v>3683</v>
      </c>
      <c r="E516" s="29"/>
      <c r="F516" s="29" t="s">
        <v>3686</v>
      </c>
      <c r="G516" s="29"/>
      <c r="H516" s="29" t="s">
        <v>3687</v>
      </c>
      <c r="I516" s="29"/>
      <c r="J516" s="29"/>
      <c r="K516" s="29"/>
      <c r="L516" s="29" t="s">
        <v>3689</v>
      </c>
      <c r="M516" s="29" t="s">
        <v>3699</v>
      </c>
      <c r="N516" s="29" t="s">
        <v>3448</v>
      </c>
      <c r="O516" s="29"/>
      <c r="P516" s="29" t="s">
        <v>7514</v>
      </c>
      <c r="Q516" t="s">
        <v>2038</v>
      </c>
      <c r="R516" t="s">
        <v>2633</v>
      </c>
      <c r="S516">
        <v>37</v>
      </c>
      <c r="T516" s="43" t="str">
        <f t="shared" si="21"/>
        <v>2021.010B.R.Binomial_names.zip</v>
      </c>
      <c r="U516" s="43" t="str">
        <f>HYPERLINK("https://ictv.global/taxonomy/taxondetails?taxnode_id=202206927","ictv.global=202206927")</f>
        <v>ictv.global=202206927</v>
      </c>
    </row>
    <row r="517" spans="1:21">
      <c r="A517">
        <v>516</v>
      </c>
      <c r="B517" s="29" t="s">
        <v>3682</v>
      </c>
      <c r="C517" s="29"/>
      <c r="D517" s="29" t="s">
        <v>3683</v>
      </c>
      <c r="E517" s="29"/>
      <c r="F517" s="29" t="s">
        <v>3686</v>
      </c>
      <c r="G517" s="29"/>
      <c r="H517" s="29" t="s">
        <v>3687</v>
      </c>
      <c r="I517" s="29"/>
      <c r="J517" s="29"/>
      <c r="K517" s="29"/>
      <c r="L517" s="29" t="s">
        <v>3689</v>
      </c>
      <c r="M517" s="29" t="s">
        <v>3699</v>
      </c>
      <c r="N517" s="29" t="s">
        <v>3448</v>
      </c>
      <c r="O517" s="29"/>
      <c r="P517" s="29" t="s">
        <v>7515</v>
      </c>
      <c r="Q517" t="s">
        <v>2038</v>
      </c>
      <c r="R517" t="s">
        <v>2633</v>
      </c>
      <c r="S517">
        <v>37</v>
      </c>
      <c r="T517" s="43" t="str">
        <f t="shared" si="21"/>
        <v>2021.010B.R.Binomial_names.zip</v>
      </c>
      <c r="U517" s="43" t="str">
        <f>HYPERLINK("https://ictv.global/taxonomy/taxondetails?taxnode_id=202208565","ictv.global=202208565")</f>
        <v>ictv.global=202208565</v>
      </c>
    </row>
    <row r="518" spans="1:21">
      <c r="A518">
        <v>517</v>
      </c>
      <c r="B518" s="29" t="s">
        <v>3682</v>
      </c>
      <c r="C518" s="29"/>
      <c r="D518" s="29" t="s">
        <v>3683</v>
      </c>
      <c r="E518" s="29"/>
      <c r="F518" s="29" t="s">
        <v>3686</v>
      </c>
      <c r="G518" s="29"/>
      <c r="H518" s="29" t="s">
        <v>3687</v>
      </c>
      <c r="I518" s="29"/>
      <c r="J518" s="29"/>
      <c r="K518" s="29"/>
      <c r="L518" s="29" t="s">
        <v>3689</v>
      </c>
      <c r="M518" s="29" t="s">
        <v>3699</v>
      </c>
      <c r="N518" s="29" t="s">
        <v>3702</v>
      </c>
      <c r="O518" s="29"/>
      <c r="P518" s="29" t="s">
        <v>7516</v>
      </c>
      <c r="Q518" t="s">
        <v>2038</v>
      </c>
      <c r="R518" t="s">
        <v>2633</v>
      </c>
      <c r="S518">
        <v>37</v>
      </c>
      <c r="T518" s="43" t="str">
        <f t="shared" si="21"/>
        <v>2021.010B.R.Binomial_names.zip</v>
      </c>
      <c r="U518" s="43" t="str">
        <f>HYPERLINK("https://ictv.global/taxonomy/taxondetails?taxnode_id=202208567","ictv.global=202208567")</f>
        <v>ictv.global=202208567</v>
      </c>
    </row>
    <row r="519" spans="1:21">
      <c r="A519">
        <v>518</v>
      </c>
      <c r="B519" s="29" t="s">
        <v>3682</v>
      </c>
      <c r="C519" s="29"/>
      <c r="D519" s="29" t="s">
        <v>3683</v>
      </c>
      <c r="E519" s="29"/>
      <c r="F519" s="29" t="s">
        <v>3686</v>
      </c>
      <c r="G519" s="29"/>
      <c r="H519" s="29" t="s">
        <v>3687</v>
      </c>
      <c r="I519" s="29"/>
      <c r="J519" s="29"/>
      <c r="K519" s="29"/>
      <c r="L519" s="29" t="s">
        <v>3689</v>
      </c>
      <c r="M519" s="29" t="s">
        <v>3703</v>
      </c>
      <c r="N519" s="29" t="s">
        <v>3704</v>
      </c>
      <c r="O519" s="29"/>
      <c r="P519" s="29" t="s">
        <v>7517</v>
      </c>
      <c r="Q519" t="s">
        <v>2038</v>
      </c>
      <c r="R519" t="s">
        <v>2633</v>
      </c>
      <c r="S519">
        <v>37</v>
      </c>
      <c r="T519" s="43" t="str">
        <f t="shared" si="21"/>
        <v>2021.010B.R.Binomial_names.zip</v>
      </c>
      <c r="U519" s="43" t="str">
        <f>HYPERLINK("https://ictv.global/taxonomy/taxondetails?taxnode_id=202208534","ictv.global=202208534")</f>
        <v>ictv.global=202208534</v>
      </c>
    </row>
    <row r="520" spans="1:21">
      <c r="A520">
        <v>519</v>
      </c>
      <c r="B520" s="29" t="s">
        <v>3682</v>
      </c>
      <c r="C520" s="29"/>
      <c r="D520" s="29" t="s">
        <v>3683</v>
      </c>
      <c r="E520" s="29"/>
      <c r="F520" s="29" t="s">
        <v>3686</v>
      </c>
      <c r="G520" s="29"/>
      <c r="H520" s="29" t="s">
        <v>3687</v>
      </c>
      <c r="I520" s="29"/>
      <c r="J520" s="29"/>
      <c r="K520" s="29"/>
      <c r="L520" s="29" t="s">
        <v>3689</v>
      </c>
      <c r="M520" s="29" t="s">
        <v>3703</v>
      </c>
      <c r="N520" s="29" t="s">
        <v>2070</v>
      </c>
      <c r="O520" s="29"/>
      <c r="P520" s="29" t="s">
        <v>7518</v>
      </c>
      <c r="Q520" t="s">
        <v>2038</v>
      </c>
      <c r="R520" t="s">
        <v>2633</v>
      </c>
      <c r="S520">
        <v>37</v>
      </c>
      <c r="T520" s="43" t="str">
        <f t="shared" si="21"/>
        <v>2021.010B.R.Binomial_names.zip</v>
      </c>
      <c r="U520" s="43" t="str">
        <f>HYPERLINK("https://ictv.global/taxonomy/taxondetails?taxnode_id=202208527","ictv.global=202208527")</f>
        <v>ictv.global=202208527</v>
      </c>
    </row>
    <row r="521" spans="1:21">
      <c r="A521">
        <v>520</v>
      </c>
      <c r="B521" s="29" t="s">
        <v>3682</v>
      </c>
      <c r="C521" s="29"/>
      <c r="D521" s="29" t="s">
        <v>3683</v>
      </c>
      <c r="E521" s="29"/>
      <c r="F521" s="29" t="s">
        <v>3686</v>
      </c>
      <c r="G521" s="29"/>
      <c r="H521" s="29" t="s">
        <v>3687</v>
      </c>
      <c r="I521" s="29"/>
      <c r="J521" s="29"/>
      <c r="K521" s="29"/>
      <c r="L521" s="29" t="s">
        <v>3689</v>
      </c>
      <c r="M521" s="29" t="s">
        <v>3703</v>
      </c>
      <c r="N521" s="29" t="s">
        <v>2070</v>
      </c>
      <c r="O521" s="29"/>
      <c r="P521" s="29" t="s">
        <v>7519</v>
      </c>
      <c r="Q521" t="s">
        <v>2038</v>
      </c>
      <c r="R521" t="s">
        <v>2633</v>
      </c>
      <c r="S521">
        <v>37</v>
      </c>
      <c r="T521" s="43" t="str">
        <f t="shared" si="21"/>
        <v>2021.010B.R.Binomial_names.zip</v>
      </c>
      <c r="U521" s="43" t="str">
        <f>HYPERLINK("https://ictv.global/taxonomy/taxondetails?taxnode_id=202208526","ictv.global=202208526")</f>
        <v>ictv.global=202208526</v>
      </c>
    </row>
    <row r="522" spans="1:21">
      <c r="A522">
        <v>521</v>
      </c>
      <c r="B522" s="29" t="s">
        <v>3682</v>
      </c>
      <c r="C522" s="29"/>
      <c r="D522" s="29" t="s">
        <v>3683</v>
      </c>
      <c r="E522" s="29"/>
      <c r="F522" s="29" t="s">
        <v>3686</v>
      </c>
      <c r="G522" s="29"/>
      <c r="H522" s="29" t="s">
        <v>3687</v>
      </c>
      <c r="I522" s="29"/>
      <c r="J522" s="29"/>
      <c r="K522" s="29"/>
      <c r="L522" s="29" t="s">
        <v>3689</v>
      </c>
      <c r="M522" s="29" t="s">
        <v>3703</v>
      </c>
      <c r="N522" s="29" t="s">
        <v>2070</v>
      </c>
      <c r="O522" s="29"/>
      <c r="P522" s="29" t="s">
        <v>7520</v>
      </c>
      <c r="Q522" t="s">
        <v>2038</v>
      </c>
      <c r="R522" t="s">
        <v>2633</v>
      </c>
      <c r="S522">
        <v>37</v>
      </c>
      <c r="T522" s="43" t="str">
        <f t="shared" si="21"/>
        <v>2021.010B.R.Binomial_names.zip</v>
      </c>
      <c r="U522" s="43" t="str">
        <f>HYPERLINK("https://ictv.global/taxonomy/taxondetails?taxnode_id=202208522","ictv.global=202208522")</f>
        <v>ictv.global=202208522</v>
      </c>
    </row>
    <row r="523" spans="1:21">
      <c r="A523">
        <v>522</v>
      </c>
      <c r="B523" s="29" t="s">
        <v>3682</v>
      </c>
      <c r="C523" s="29"/>
      <c r="D523" s="29" t="s">
        <v>3683</v>
      </c>
      <c r="E523" s="29"/>
      <c r="F523" s="29" t="s">
        <v>3686</v>
      </c>
      <c r="G523" s="29"/>
      <c r="H523" s="29" t="s">
        <v>3687</v>
      </c>
      <c r="I523" s="29"/>
      <c r="J523" s="29"/>
      <c r="K523" s="29"/>
      <c r="L523" s="29" t="s">
        <v>3689</v>
      </c>
      <c r="M523" s="29" t="s">
        <v>3703</v>
      </c>
      <c r="N523" s="29" t="s">
        <v>2070</v>
      </c>
      <c r="O523" s="29"/>
      <c r="P523" s="29" t="s">
        <v>7521</v>
      </c>
      <c r="Q523" t="s">
        <v>2038</v>
      </c>
      <c r="R523" t="s">
        <v>2633</v>
      </c>
      <c r="S523">
        <v>37</v>
      </c>
      <c r="T523" s="43" t="str">
        <f t="shared" si="21"/>
        <v>2021.010B.R.Binomial_names.zip</v>
      </c>
      <c r="U523" s="43" t="str">
        <f>HYPERLINK("https://ictv.global/taxonomy/taxondetails?taxnode_id=202208523","ictv.global=202208523")</f>
        <v>ictv.global=202208523</v>
      </c>
    </row>
    <row r="524" spans="1:21">
      <c r="A524">
        <v>523</v>
      </c>
      <c r="B524" s="29" t="s">
        <v>3682</v>
      </c>
      <c r="C524" s="29"/>
      <c r="D524" s="29" t="s">
        <v>3683</v>
      </c>
      <c r="E524" s="29"/>
      <c r="F524" s="29" t="s">
        <v>3686</v>
      </c>
      <c r="G524" s="29"/>
      <c r="H524" s="29" t="s">
        <v>3687</v>
      </c>
      <c r="I524" s="29"/>
      <c r="J524" s="29"/>
      <c r="K524" s="29"/>
      <c r="L524" s="29" t="s">
        <v>3689</v>
      </c>
      <c r="M524" s="29" t="s">
        <v>3703</v>
      </c>
      <c r="N524" s="29" t="s">
        <v>2070</v>
      </c>
      <c r="O524" s="29"/>
      <c r="P524" s="29" t="s">
        <v>7522</v>
      </c>
      <c r="Q524" t="s">
        <v>2038</v>
      </c>
      <c r="R524" t="s">
        <v>2633</v>
      </c>
      <c r="S524">
        <v>37</v>
      </c>
      <c r="T524" s="43" t="str">
        <f t="shared" si="21"/>
        <v>2021.010B.R.Binomial_names.zip</v>
      </c>
      <c r="U524" s="43" t="str">
        <f>HYPERLINK("https://ictv.global/taxonomy/taxondetails?taxnode_id=202208519","ictv.global=202208519")</f>
        <v>ictv.global=202208519</v>
      </c>
    </row>
    <row r="525" spans="1:21">
      <c r="A525">
        <v>524</v>
      </c>
      <c r="B525" s="29" t="s">
        <v>3682</v>
      </c>
      <c r="C525" s="29"/>
      <c r="D525" s="29" t="s">
        <v>3683</v>
      </c>
      <c r="E525" s="29"/>
      <c r="F525" s="29" t="s">
        <v>3686</v>
      </c>
      <c r="G525" s="29"/>
      <c r="H525" s="29" t="s">
        <v>3687</v>
      </c>
      <c r="I525" s="29"/>
      <c r="J525" s="29"/>
      <c r="K525" s="29"/>
      <c r="L525" s="29" t="s">
        <v>3689</v>
      </c>
      <c r="M525" s="29" t="s">
        <v>3703</v>
      </c>
      <c r="N525" s="29" t="s">
        <v>2070</v>
      </c>
      <c r="O525" s="29"/>
      <c r="P525" s="29" t="s">
        <v>7523</v>
      </c>
      <c r="Q525" t="s">
        <v>2038</v>
      </c>
      <c r="R525" t="s">
        <v>2633</v>
      </c>
      <c r="S525">
        <v>37</v>
      </c>
      <c r="T525" s="43" t="str">
        <f t="shared" si="21"/>
        <v>2021.010B.R.Binomial_names.zip</v>
      </c>
      <c r="U525" s="43" t="str">
        <f>HYPERLINK("https://ictv.global/taxonomy/taxondetails?taxnode_id=202208515","ictv.global=202208515")</f>
        <v>ictv.global=202208515</v>
      </c>
    </row>
    <row r="526" spans="1:21">
      <c r="A526">
        <v>525</v>
      </c>
      <c r="B526" s="29" t="s">
        <v>3682</v>
      </c>
      <c r="C526" s="29"/>
      <c r="D526" s="29" t="s">
        <v>3683</v>
      </c>
      <c r="E526" s="29"/>
      <c r="F526" s="29" t="s">
        <v>3686</v>
      </c>
      <c r="G526" s="29"/>
      <c r="H526" s="29" t="s">
        <v>3687</v>
      </c>
      <c r="I526" s="29"/>
      <c r="J526" s="29"/>
      <c r="K526" s="29"/>
      <c r="L526" s="29" t="s">
        <v>3689</v>
      </c>
      <c r="M526" s="29" t="s">
        <v>3703</v>
      </c>
      <c r="N526" s="29" t="s">
        <v>2070</v>
      </c>
      <c r="O526" s="29"/>
      <c r="P526" s="29" t="s">
        <v>7524</v>
      </c>
      <c r="Q526" t="s">
        <v>2038</v>
      </c>
      <c r="R526" t="s">
        <v>2633</v>
      </c>
      <c r="S526">
        <v>37</v>
      </c>
      <c r="T526" s="43" t="str">
        <f t="shared" si="21"/>
        <v>2021.010B.R.Binomial_names.zip</v>
      </c>
      <c r="U526" s="43" t="str">
        <f>HYPERLINK("https://ictv.global/taxonomy/taxondetails?taxnode_id=202208516","ictv.global=202208516")</f>
        <v>ictv.global=202208516</v>
      </c>
    </row>
    <row r="527" spans="1:21">
      <c r="A527">
        <v>526</v>
      </c>
      <c r="B527" s="29" t="s">
        <v>3682</v>
      </c>
      <c r="C527" s="29"/>
      <c r="D527" s="29" t="s">
        <v>3683</v>
      </c>
      <c r="E527" s="29"/>
      <c r="F527" s="29" t="s">
        <v>3686</v>
      </c>
      <c r="G527" s="29"/>
      <c r="H527" s="29" t="s">
        <v>3687</v>
      </c>
      <c r="I527" s="29"/>
      <c r="J527" s="29"/>
      <c r="K527" s="29"/>
      <c r="L527" s="29" t="s">
        <v>3689</v>
      </c>
      <c r="M527" s="29" t="s">
        <v>3703</v>
      </c>
      <c r="N527" s="29" t="s">
        <v>2070</v>
      </c>
      <c r="O527" s="29"/>
      <c r="P527" s="29" t="s">
        <v>7525</v>
      </c>
      <c r="Q527" t="s">
        <v>2038</v>
      </c>
      <c r="R527" t="s">
        <v>2633</v>
      </c>
      <c r="S527">
        <v>37</v>
      </c>
      <c r="T527" s="43" t="str">
        <f t="shared" si="21"/>
        <v>2021.010B.R.Binomial_names.zip</v>
      </c>
      <c r="U527" s="43" t="str">
        <f>HYPERLINK("https://ictv.global/taxonomy/taxondetails?taxnode_id=202208521","ictv.global=202208521")</f>
        <v>ictv.global=202208521</v>
      </c>
    </row>
    <row r="528" spans="1:21">
      <c r="A528">
        <v>527</v>
      </c>
      <c r="B528" s="29" t="s">
        <v>3682</v>
      </c>
      <c r="C528" s="29"/>
      <c r="D528" s="29" t="s">
        <v>3683</v>
      </c>
      <c r="E528" s="29"/>
      <c r="F528" s="29" t="s">
        <v>3686</v>
      </c>
      <c r="G528" s="29"/>
      <c r="H528" s="29" t="s">
        <v>3687</v>
      </c>
      <c r="I528" s="29"/>
      <c r="J528" s="29"/>
      <c r="K528" s="29"/>
      <c r="L528" s="29" t="s">
        <v>3689</v>
      </c>
      <c r="M528" s="29" t="s">
        <v>3703</v>
      </c>
      <c r="N528" s="29" t="s">
        <v>2070</v>
      </c>
      <c r="O528" s="29"/>
      <c r="P528" s="29" t="s">
        <v>7526</v>
      </c>
      <c r="Q528" t="s">
        <v>2038</v>
      </c>
      <c r="R528" t="s">
        <v>2633</v>
      </c>
      <c r="S528">
        <v>37</v>
      </c>
      <c r="T528" s="43" t="str">
        <f t="shared" si="21"/>
        <v>2021.010B.R.Binomial_names.zip</v>
      </c>
      <c r="U528" s="43" t="str">
        <f>HYPERLINK("https://ictv.global/taxonomy/taxondetails?taxnode_id=202208520","ictv.global=202208520")</f>
        <v>ictv.global=202208520</v>
      </c>
    </row>
    <row r="529" spans="1:21">
      <c r="A529">
        <v>528</v>
      </c>
      <c r="B529" s="29" t="s">
        <v>3682</v>
      </c>
      <c r="C529" s="29"/>
      <c r="D529" s="29" t="s">
        <v>3683</v>
      </c>
      <c r="E529" s="29"/>
      <c r="F529" s="29" t="s">
        <v>3686</v>
      </c>
      <c r="G529" s="29"/>
      <c r="H529" s="29" t="s">
        <v>3687</v>
      </c>
      <c r="I529" s="29"/>
      <c r="J529" s="29"/>
      <c r="K529" s="29"/>
      <c r="L529" s="29" t="s">
        <v>3689</v>
      </c>
      <c r="M529" s="29" t="s">
        <v>3703</v>
      </c>
      <c r="N529" s="29" t="s">
        <v>2070</v>
      </c>
      <c r="O529" s="29"/>
      <c r="P529" s="29" t="s">
        <v>7527</v>
      </c>
      <c r="Q529" t="s">
        <v>2038</v>
      </c>
      <c r="R529" t="s">
        <v>2633</v>
      </c>
      <c r="S529">
        <v>37</v>
      </c>
      <c r="T529" s="43" t="str">
        <f t="shared" ref="T529:T536" si="22">HYPERLINK("https://ictv.global/ictv/proposals/2021.010B.R.Binomial_names.zip","2021.010B.R.Binomial_names.zip")</f>
        <v>2021.010B.R.Binomial_names.zip</v>
      </c>
      <c r="U529" s="43" t="str">
        <f>HYPERLINK("https://ictv.global/taxonomy/taxondetails?taxnode_id=202208524","ictv.global=202208524")</f>
        <v>ictv.global=202208524</v>
      </c>
    </row>
    <row r="530" spans="1:21">
      <c r="A530">
        <v>529</v>
      </c>
      <c r="B530" s="29" t="s">
        <v>3682</v>
      </c>
      <c r="C530" s="29"/>
      <c r="D530" s="29" t="s">
        <v>3683</v>
      </c>
      <c r="E530" s="29"/>
      <c r="F530" s="29" t="s">
        <v>3686</v>
      </c>
      <c r="G530" s="29"/>
      <c r="H530" s="29" t="s">
        <v>3687</v>
      </c>
      <c r="I530" s="29"/>
      <c r="J530" s="29"/>
      <c r="K530" s="29"/>
      <c r="L530" s="29" t="s">
        <v>3689</v>
      </c>
      <c r="M530" s="29" t="s">
        <v>3703</v>
      </c>
      <c r="N530" s="29" t="s">
        <v>2070</v>
      </c>
      <c r="O530" s="29"/>
      <c r="P530" s="29" t="s">
        <v>7528</v>
      </c>
      <c r="Q530" t="s">
        <v>2038</v>
      </c>
      <c r="R530" t="s">
        <v>2633</v>
      </c>
      <c r="S530">
        <v>37</v>
      </c>
      <c r="T530" s="43" t="str">
        <f t="shared" si="22"/>
        <v>2021.010B.R.Binomial_names.zip</v>
      </c>
      <c r="U530" s="43" t="str">
        <f>HYPERLINK("https://ictv.global/taxonomy/taxondetails?taxnode_id=202208525","ictv.global=202208525")</f>
        <v>ictv.global=202208525</v>
      </c>
    </row>
    <row r="531" spans="1:21">
      <c r="A531">
        <v>530</v>
      </c>
      <c r="B531" s="29" t="s">
        <v>3682</v>
      </c>
      <c r="C531" s="29"/>
      <c r="D531" s="29" t="s">
        <v>3683</v>
      </c>
      <c r="E531" s="29"/>
      <c r="F531" s="29" t="s">
        <v>3686</v>
      </c>
      <c r="G531" s="29"/>
      <c r="H531" s="29" t="s">
        <v>3687</v>
      </c>
      <c r="I531" s="29"/>
      <c r="J531" s="29"/>
      <c r="K531" s="29"/>
      <c r="L531" s="29" t="s">
        <v>3689</v>
      </c>
      <c r="M531" s="29" t="s">
        <v>3703</v>
      </c>
      <c r="N531" s="29" t="s">
        <v>2070</v>
      </c>
      <c r="O531" s="29"/>
      <c r="P531" s="29" t="s">
        <v>7529</v>
      </c>
      <c r="Q531" t="s">
        <v>2038</v>
      </c>
      <c r="R531" t="s">
        <v>2633</v>
      </c>
      <c r="S531">
        <v>37</v>
      </c>
      <c r="T531" s="43" t="str">
        <f t="shared" si="22"/>
        <v>2021.010B.R.Binomial_names.zip</v>
      </c>
      <c r="U531" s="43" t="str">
        <f>HYPERLINK("https://ictv.global/taxonomy/taxondetails?taxnode_id=202200571","ictv.global=202200571")</f>
        <v>ictv.global=202200571</v>
      </c>
    </row>
    <row r="532" spans="1:21">
      <c r="A532">
        <v>531</v>
      </c>
      <c r="B532" s="29" t="s">
        <v>3682</v>
      </c>
      <c r="C532" s="29"/>
      <c r="D532" s="29" t="s">
        <v>3683</v>
      </c>
      <c r="E532" s="29"/>
      <c r="F532" s="29" t="s">
        <v>3686</v>
      </c>
      <c r="G532" s="29"/>
      <c r="H532" s="29" t="s">
        <v>3687</v>
      </c>
      <c r="I532" s="29"/>
      <c r="J532" s="29"/>
      <c r="K532" s="29"/>
      <c r="L532" s="29" t="s">
        <v>3689</v>
      </c>
      <c r="M532" s="29" t="s">
        <v>3703</v>
      </c>
      <c r="N532" s="29" t="s">
        <v>2070</v>
      </c>
      <c r="O532" s="29"/>
      <c r="P532" s="29" t="s">
        <v>7530</v>
      </c>
      <c r="Q532" t="s">
        <v>2038</v>
      </c>
      <c r="R532" t="s">
        <v>2633</v>
      </c>
      <c r="S532">
        <v>37</v>
      </c>
      <c r="T532" s="43" t="str">
        <f t="shared" si="22"/>
        <v>2021.010B.R.Binomial_names.zip</v>
      </c>
      <c r="U532" s="43" t="str">
        <f>HYPERLINK("https://ictv.global/taxonomy/taxondetails?taxnode_id=202208518","ictv.global=202208518")</f>
        <v>ictv.global=202208518</v>
      </c>
    </row>
    <row r="533" spans="1:21">
      <c r="A533">
        <v>532</v>
      </c>
      <c r="B533" s="29" t="s">
        <v>3682</v>
      </c>
      <c r="C533" s="29"/>
      <c r="D533" s="29" t="s">
        <v>3683</v>
      </c>
      <c r="E533" s="29"/>
      <c r="F533" s="29" t="s">
        <v>3686</v>
      </c>
      <c r="G533" s="29"/>
      <c r="H533" s="29" t="s">
        <v>3687</v>
      </c>
      <c r="I533" s="29"/>
      <c r="J533" s="29"/>
      <c r="K533" s="29"/>
      <c r="L533" s="29" t="s">
        <v>3689</v>
      </c>
      <c r="M533" s="29" t="s">
        <v>3703</v>
      </c>
      <c r="N533" s="29" t="s">
        <v>2070</v>
      </c>
      <c r="O533" s="29"/>
      <c r="P533" s="29" t="s">
        <v>7531</v>
      </c>
      <c r="Q533" t="s">
        <v>2038</v>
      </c>
      <c r="R533" t="s">
        <v>2633</v>
      </c>
      <c r="S533">
        <v>37</v>
      </c>
      <c r="T533" s="43" t="str">
        <f t="shared" si="22"/>
        <v>2021.010B.R.Binomial_names.zip</v>
      </c>
      <c r="U533" s="43" t="str">
        <f>HYPERLINK("https://ictv.global/taxonomy/taxondetails?taxnode_id=202208517","ictv.global=202208517")</f>
        <v>ictv.global=202208517</v>
      </c>
    </row>
    <row r="534" spans="1:21">
      <c r="A534">
        <v>533</v>
      </c>
      <c r="B534" s="29" t="s">
        <v>3682</v>
      </c>
      <c r="C534" s="29"/>
      <c r="D534" s="29" t="s">
        <v>3683</v>
      </c>
      <c r="E534" s="29"/>
      <c r="F534" s="29" t="s">
        <v>3686</v>
      </c>
      <c r="G534" s="29"/>
      <c r="H534" s="29" t="s">
        <v>3687</v>
      </c>
      <c r="I534" s="29"/>
      <c r="J534" s="29"/>
      <c r="K534" s="29"/>
      <c r="L534" s="29" t="s">
        <v>3689</v>
      </c>
      <c r="M534" s="29" t="s">
        <v>3703</v>
      </c>
      <c r="N534" s="29" t="s">
        <v>2070</v>
      </c>
      <c r="O534" s="29"/>
      <c r="P534" s="29" t="s">
        <v>7532</v>
      </c>
      <c r="Q534" t="s">
        <v>2038</v>
      </c>
      <c r="R534" t="s">
        <v>2633</v>
      </c>
      <c r="S534">
        <v>37</v>
      </c>
      <c r="T534" s="43" t="str">
        <f t="shared" si="22"/>
        <v>2021.010B.R.Binomial_names.zip</v>
      </c>
      <c r="U534" s="43" t="str">
        <f>HYPERLINK("https://ictv.global/taxonomy/taxondetails?taxnode_id=202208528","ictv.global=202208528")</f>
        <v>ictv.global=202208528</v>
      </c>
    </row>
    <row r="535" spans="1:21">
      <c r="A535">
        <v>534</v>
      </c>
      <c r="B535" s="29" t="s">
        <v>3682</v>
      </c>
      <c r="C535" s="29"/>
      <c r="D535" s="29" t="s">
        <v>3683</v>
      </c>
      <c r="E535" s="29"/>
      <c r="F535" s="29" t="s">
        <v>3686</v>
      </c>
      <c r="G535" s="29"/>
      <c r="H535" s="29" t="s">
        <v>3687</v>
      </c>
      <c r="I535" s="29"/>
      <c r="J535" s="29"/>
      <c r="K535" s="29"/>
      <c r="L535" s="29" t="s">
        <v>3689</v>
      </c>
      <c r="M535" s="29" t="s">
        <v>3703</v>
      </c>
      <c r="N535" s="29" t="s">
        <v>2070</v>
      </c>
      <c r="O535" s="29"/>
      <c r="P535" s="29" t="s">
        <v>7533</v>
      </c>
      <c r="Q535" t="s">
        <v>2038</v>
      </c>
      <c r="R535" t="s">
        <v>2633</v>
      </c>
      <c r="S535">
        <v>37</v>
      </c>
      <c r="T535" s="43" t="str">
        <f t="shared" si="22"/>
        <v>2021.010B.R.Binomial_names.zip</v>
      </c>
      <c r="U535" s="43" t="str">
        <f>HYPERLINK("https://ictv.global/taxonomy/taxondetails?taxnode_id=202208529","ictv.global=202208529")</f>
        <v>ictv.global=202208529</v>
      </c>
    </row>
    <row r="536" spans="1:21">
      <c r="A536">
        <v>535</v>
      </c>
      <c r="B536" s="29" t="s">
        <v>3682</v>
      </c>
      <c r="C536" s="29"/>
      <c r="D536" s="29" t="s">
        <v>3683</v>
      </c>
      <c r="E536" s="29"/>
      <c r="F536" s="29" t="s">
        <v>3686</v>
      </c>
      <c r="G536" s="29"/>
      <c r="H536" s="29" t="s">
        <v>3687</v>
      </c>
      <c r="I536" s="29"/>
      <c r="J536" s="29"/>
      <c r="K536" s="29"/>
      <c r="L536" s="29" t="s">
        <v>3689</v>
      </c>
      <c r="M536" s="29" t="s">
        <v>3703</v>
      </c>
      <c r="N536" s="29" t="s">
        <v>3705</v>
      </c>
      <c r="O536" s="29"/>
      <c r="P536" s="29" t="s">
        <v>7534</v>
      </c>
      <c r="Q536" t="s">
        <v>2038</v>
      </c>
      <c r="R536" t="s">
        <v>2633</v>
      </c>
      <c r="S536">
        <v>37</v>
      </c>
      <c r="T536" s="43" t="str">
        <f t="shared" si="22"/>
        <v>2021.010B.R.Binomial_names.zip</v>
      </c>
      <c r="U536" s="43" t="str">
        <f>HYPERLINK("https://ictv.global/taxonomy/taxondetails?taxnode_id=202200570","ictv.global=202200570")</f>
        <v>ictv.global=202200570</v>
      </c>
    </row>
    <row r="537" spans="1:21">
      <c r="A537">
        <v>536</v>
      </c>
      <c r="B537" s="29" t="s">
        <v>3682</v>
      </c>
      <c r="C537" s="29"/>
      <c r="D537" s="29" t="s">
        <v>3683</v>
      </c>
      <c r="E537" s="29"/>
      <c r="F537" s="29" t="s">
        <v>3686</v>
      </c>
      <c r="G537" s="29"/>
      <c r="H537" s="29" t="s">
        <v>3687</v>
      </c>
      <c r="I537" s="29"/>
      <c r="J537" s="29"/>
      <c r="K537" s="29"/>
      <c r="L537" s="29" t="s">
        <v>3689</v>
      </c>
      <c r="M537" s="29" t="s">
        <v>3703</v>
      </c>
      <c r="N537" s="29" t="s">
        <v>7535</v>
      </c>
      <c r="O537" s="29"/>
      <c r="P537" s="29" t="s">
        <v>7536</v>
      </c>
      <c r="Q537" t="s">
        <v>2038</v>
      </c>
      <c r="R537" t="s">
        <v>2635</v>
      </c>
      <c r="S537">
        <v>38</v>
      </c>
      <c r="T537" s="43" t="str">
        <f>HYPERLINK("https://ictv.global/ictv/proposals/2022.030B.Error_correction.zip","2022.030B.Error_correction.zip")</f>
        <v>2022.030B.Error_correction.zip</v>
      </c>
      <c r="U537" s="43" t="str">
        <f>HYPERLINK("https://ictv.global/taxonomy/taxondetails?taxnode_id=202208532","ictv.global=202208532")</f>
        <v>ictv.global=202208532</v>
      </c>
    </row>
    <row r="538" spans="1:21">
      <c r="A538">
        <v>537</v>
      </c>
      <c r="B538" s="29" t="s">
        <v>3682</v>
      </c>
      <c r="C538" s="29"/>
      <c r="D538" s="29" t="s">
        <v>3683</v>
      </c>
      <c r="E538" s="29"/>
      <c r="F538" s="29" t="s">
        <v>3686</v>
      </c>
      <c r="G538" s="29"/>
      <c r="H538" s="29" t="s">
        <v>3687</v>
      </c>
      <c r="I538" s="29"/>
      <c r="J538" s="29"/>
      <c r="K538" s="29"/>
      <c r="L538" s="29" t="s">
        <v>3689</v>
      </c>
      <c r="M538" s="29" t="s">
        <v>3706</v>
      </c>
      <c r="N538" s="29" t="s">
        <v>3707</v>
      </c>
      <c r="O538" s="29"/>
      <c r="P538" s="29" t="s">
        <v>7537</v>
      </c>
      <c r="Q538" t="s">
        <v>2038</v>
      </c>
      <c r="R538" t="s">
        <v>2633</v>
      </c>
      <c r="S538">
        <v>37</v>
      </c>
      <c r="T538" s="43" t="str">
        <f t="shared" ref="T538:T569" si="23">HYPERLINK("https://ictv.global/ictv/proposals/2021.010B.R.Binomial_names.zip","2021.010B.R.Binomial_names.zip")</f>
        <v>2021.010B.R.Binomial_names.zip</v>
      </c>
      <c r="U538" s="43" t="str">
        <f>HYPERLINK("https://ictv.global/taxonomy/taxondetails?taxnode_id=202208604","ictv.global=202208604")</f>
        <v>ictv.global=202208604</v>
      </c>
    </row>
    <row r="539" spans="1:21">
      <c r="A539">
        <v>538</v>
      </c>
      <c r="B539" s="29" t="s">
        <v>3682</v>
      </c>
      <c r="C539" s="29"/>
      <c r="D539" s="29" t="s">
        <v>3683</v>
      </c>
      <c r="E539" s="29"/>
      <c r="F539" s="29" t="s">
        <v>3686</v>
      </c>
      <c r="G539" s="29"/>
      <c r="H539" s="29" t="s">
        <v>3687</v>
      </c>
      <c r="I539" s="29"/>
      <c r="J539" s="29"/>
      <c r="K539" s="29"/>
      <c r="L539" s="29" t="s">
        <v>3689</v>
      </c>
      <c r="M539" s="29" t="s">
        <v>3706</v>
      </c>
      <c r="N539" s="29" t="s">
        <v>3707</v>
      </c>
      <c r="O539" s="29"/>
      <c r="P539" s="29" t="s">
        <v>7538</v>
      </c>
      <c r="Q539" t="s">
        <v>2038</v>
      </c>
      <c r="R539" t="s">
        <v>2633</v>
      </c>
      <c r="S539">
        <v>37</v>
      </c>
      <c r="T539" s="43" t="str">
        <f t="shared" si="23"/>
        <v>2021.010B.R.Binomial_names.zip</v>
      </c>
      <c r="U539" s="43" t="str">
        <f>HYPERLINK("https://ictv.global/taxonomy/taxondetails?taxnode_id=202208602","ictv.global=202208602")</f>
        <v>ictv.global=202208602</v>
      </c>
    </row>
    <row r="540" spans="1:21">
      <c r="A540">
        <v>539</v>
      </c>
      <c r="B540" s="29" t="s">
        <v>3682</v>
      </c>
      <c r="C540" s="29"/>
      <c r="D540" s="29" t="s">
        <v>3683</v>
      </c>
      <c r="E540" s="29"/>
      <c r="F540" s="29" t="s">
        <v>3686</v>
      </c>
      <c r="G540" s="29"/>
      <c r="H540" s="29" t="s">
        <v>3687</v>
      </c>
      <c r="I540" s="29"/>
      <c r="J540" s="29"/>
      <c r="K540" s="29"/>
      <c r="L540" s="29" t="s">
        <v>3689</v>
      </c>
      <c r="M540" s="29" t="s">
        <v>3706</v>
      </c>
      <c r="N540" s="29" t="s">
        <v>3707</v>
      </c>
      <c r="O540" s="29"/>
      <c r="P540" s="29" t="s">
        <v>7539</v>
      </c>
      <c r="Q540" t="s">
        <v>2038</v>
      </c>
      <c r="R540" t="s">
        <v>2633</v>
      </c>
      <c r="S540">
        <v>37</v>
      </c>
      <c r="T540" s="43" t="str">
        <f t="shared" si="23"/>
        <v>2021.010B.R.Binomial_names.zip</v>
      </c>
      <c r="U540" s="43" t="str">
        <f>HYPERLINK("https://ictv.global/taxonomy/taxondetails?taxnode_id=202208603","ictv.global=202208603")</f>
        <v>ictv.global=202208603</v>
      </c>
    </row>
    <row r="541" spans="1:21">
      <c r="A541">
        <v>540</v>
      </c>
      <c r="B541" s="29" t="s">
        <v>3682</v>
      </c>
      <c r="C541" s="29"/>
      <c r="D541" s="29" t="s">
        <v>3683</v>
      </c>
      <c r="E541" s="29"/>
      <c r="F541" s="29" t="s">
        <v>3686</v>
      </c>
      <c r="G541" s="29"/>
      <c r="H541" s="29" t="s">
        <v>3687</v>
      </c>
      <c r="I541" s="29"/>
      <c r="J541" s="29"/>
      <c r="K541" s="29"/>
      <c r="L541" s="29" t="s">
        <v>3689</v>
      </c>
      <c r="M541" s="29" t="s">
        <v>3706</v>
      </c>
      <c r="N541" s="29" t="s">
        <v>3708</v>
      </c>
      <c r="O541" s="29"/>
      <c r="P541" s="29" t="s">
        <v>7540</v>
      </c>
      <c r="Q541" t="s">
        <v>2038</v>
      </c>
      <c r="R541" t="s">
        <v>2633</v>
      </c>
      <c r="S541">
        <v>37</v>
      </c>
      <c r="T541" s="43" t="str">
        <f t="shared" si="23"/>
        <v>2021.010B.R.Binomial_names.zip</v>
      </c>
      <c r="U541" s="43" t="str">
        <f>HYPERLINK("https://ictv.global/taxonomy/taxondetails?taxnode_id=202208612","ictv.global=202208612")</f>
        <v>ictv.global=202208612</v>
      </c>
    </row>
    <row r="542" spans="1:21">
      <c r="A542">
        <v>541</v>
      </c>
      <c r="B542" s="29" t="s">
        <v>3682</v>
      </c>
      <c r="C542" s="29"/>
      <c r="D542" s="29" t="s">
        <v>3683</v>
      </c>
      <c r="E542" s="29"/>
      <c r="F542" s="29" t="s">
        <v>3686</v>
      </c>
      <c r="G542" s="29"/>
      <c r="H542" s="29" t="s">
        <v>3687</v>
      </c>
      <c r="I542" s="29"/>
      <c r="J542" s="29"/>
      <c r="K542" s="29"/>
      <c r="L542" s="29" t="s">
        <v>3689</v>
      </c>
      <c r="M542" s="29" t="s">
        <v>3706</v>
      </c>
      <c r="N542" s="29" t="s">
        <v>3709</v>
      </c>
      <c r="O542" s="29"/>
      <c r="P542" s="29" t="s">
        <v>7541</v>
      </c>
      <c r="Q542" t="s">
        <v>2038</v>
      </c>
      <c r="R542" t="s">
        <v>2633</v>
      </c>
      <c r="S542">
        <v>37</v>
      </c>
      <c r="T542" s="43" t="str">
        <f t="shared" si="23"/>
        <v>2021.010B.R.Binomial_names.zip</v>
      </c>
      <c r="U542" s="43" t="str">
        <f>HYPERLINK("https://ictv.global/taxonomy/taxondetails?taxnode_id=202208597","ictv.global=202208597")</f>
        <v>ictv.global=202208597</v>
      </c>
    </row>
    <row r="543" spans="1:21">
      <c r="A543">
        <v>542</v>
      </c>
      <c r="B543" s="29" t="s">
        <v>3682</v>
      </c>
      <c r="C543" s="29"/>
      <c r="D543" s="29" t="s">
        <v>3683</v>
      </c>
      <c r="E543" s="29"/>
      <c r="F543" s="29" t="s">
        <v>3686</v>
      </c>
      <c r="G543" s="29"/>
      <c r="H543" s="29" t="s">
        <v>3687</v>
      </c>
      <c r="I543" s="29"/>
      <c r="J543" s="29"/>
      <c r="K543" s="29"/>
      <c r="L543" s="29" t="s">
        <v>3689</v>
      </c>
      <c r="M543" s="29" t="s">
        <v>3706</v>
      </c>
      <c r="N543" s="29" t="s">
        <v>3709</v>
      </c>
      <c r="O543" s="29"/>
      <c r="P543" s="29" t="s">
        <v>7542</v>
      </c>
      <c r="Q543" t="s">
        <v>2038</v>
      </c>
      <c r="R543" t="s">
        <v>2633</v>
      </c>
      <c r="S543">
        <v>37</v>
      </c>
      <c r="T543" s="43" t="str">
        <f t="shared" si="23"/>
        <v>2021.010B.R.Binomial_names.zip</v>
      </c>
      <c r="U543" s="43" t="str">
        <f>HYPERLINK("https://ictv.global/taxonomy/taxondetails?taxnode_id=202208596","ictv.global=202208596")</f>
        <v>ictv.global=202208596</v>
      </c>
    </row>
    <row r="544" spans="1:21">
      <c r="A544">
        <v>543</v>
      </c>
      <c r="B544" s="29" t="s">
        <v>3682</v>
      </c>
      <c r="C544" s="29"/>
      <c r="D544" s="29" t="s">
        <v>3683</v>
      </c>
      <c r="E544" s="29"/>
      <c r="F544" s="29" t="s">
        <v>3686</v>
      </c>
      <c r="G544" s="29"/>
      <c r="H544" s="29" t="s">
        <v>3687</v>
      </c>
      <c r="I544" s="29"/>
      <c r="J544" s="29"/>
      <c r="K544" s="29"/>
      <c r="L544" s="29" t="s">
        <v>3689</v>
      </c>
      <c r="M544" s="29" t="s">
        <v>3706</v>
      </c>
      <c r="N544" s="29" t="s">
        <v>3710</v>
      </c>
      <c r="O544" s="29"/>
      <c r="P544" s="29" t="s">
        <v>7543</v>
      </c>
      <c r="Q544" t="s">
        <v>2038</v>
      </c>
      <c r="R544" t="s">
        <v>2633</v>
      </c>
      <c r="S544">
        <v>37</v>
      </c>
      <c r="T544" s="43" t="str">
        <f t="shared" si="23"/>
        <v>2021.010B.R.Binomial_names.zip</v>
      </c>
      <c r="U544" s="43" t="str">
        <f>HYPERLINK("https://ictv.global/taxonomy/taxondetails?taxnode_id=202208606","ictv.global=202208606")</f>
        <v>ictv.global=202208606</v>
      </c>
    </row>
    <row r="545" spans="1:21">
      <c r="A545">
        <v>544</v>
      </c>
      <c r="B545" s="29" t="s">
        <v>3682</v>
      </c>
      <c r="C545" s="29"/>
      <c r="D545" s="29" t="s">
        <v>3683</v>
      </c>
      <c r="E545" s="29"/>
      <c r="F545" s="29" t="s">
        <v>3686</v>
      </c>
      <c r="G545" s="29"/>
      <c r="H545" s="29" t="s">
        <v>3687</v>
      </c>
      <c r="I545" s="29"/>
      <c r="J545" s="29"/>
      <c r="K545" s="29"/>
      <c r="L545" s="29" t="s">
        <v>3689</v>
      </c>
      <c r="M545" s="29" t="s">
        <v>3706</v>
      </c>
      <c r="N545" s="29" t="s">
        <v>3710</v>
      </c>
      <c r="O545" s="29"/>
      <c r="P545" s="29" t="s">
        <v>7544</v>
      </c>
      <c r="Q545" t="s">
        <v>2038</v>
      </c>
      <c r="R545" t="s">
        <v>2633</v>
      </c>
      <c r="S545">
        <v>37</v>
      </c>
      <c r="T545" s="43" t="str">
        <f t="shared" si="23"/>
        <v>2021.010B.R.Binomial_names.zip</v>
      </c>
      <c r="U545" s="43" t="str">
        <f>HYPERLINK("https://ictv.global/taxonomy/taxondetails?taxnode_id=202208607","ictv.global=202208607")</f>
        <v>ictv.global=202208607</v>
      </c>
    </row>
    <row r="546" spans="1:21">
      <c r="A546">
        <v>545</v>
      </c>
      <c r="B546" s="29" t="s">
        <v>3682</v>
      </c>
      <c r="C546" s="29"/>
      <c r="D546" s="29" t="s">
        <v>3683</v>
      </c>
      <c r="E546" s="29"/>
      <c r="F546" s="29" t="s">
        <v>3686</v>
      </c>
      <c r="G546" s="29"/>
      <c r="H546" s="29" t="s">
        <v>3687</v>
      </c>
      <c r="I546" s="29"/>
      <c r="J546" s="29"/>
      <c r="K546" s="29"/>
      <c r="L546" s="29" t="s">
        <v>3689</v>
      </c>
      <c r="M546" s="29" t="s">
        <v>3706</v>
      </c>
      <c r="N546" s="29" t="s">
        <v>3711</v>
      </c>
      <c r="O546" s="29"/>
      <c r="P546" s="29" t="s">
        <v>7545</v>
      </c>
      <c r="Q546" t="s">
        <v>2038</v>
      </c>
      <c r="R546" t="s">
        <v>2633</v>
      </c>
      <c r="S546">
        <v>37</v>
      </c>
      <c r="T546" s="43" t="str">
        <f t="shared" si="23"/>
        <v>2021.010B.R.Binomial_names.zip</v>
      </c>
      <c r="U546" s="43" t="str">
        <f>HYPERLINK("https://ictv.global/taxonomy/taxondetails?taxnode_id=202208616","ictv.global=202208616")</f>
        <v>ictv.global=202208616</v>
      </c>
    </row>
    <row r="547" spans="1:21">
      <c r="A547">
        <v>546</v>
      </c>
      <c r="B547" s="29" t="s">
        <v>3682</v>
      </c>
      <c r="C547" s="29"/>
      <c r="D547" s="29" t="s">
        <v>3683</v>
      </c>
      <c r="E547" s="29"/>
      <c r="F547" s="29" t="s">
        <v>3686</v>
      </c>
      <c r="G547" s="29"/>
      <c r="H547" s="29" t="s">
        <v>3687</v>
      </c>
      <c r="I547" s="29"/>
      <c r="J547" s="29"/>
      <c r="K547" s="29"/>
      <c r="L547" s="29" t="s">
        <v>3689</v>
      </c>
      <c r="M547" s="29" t="s">
        <v>3706</v>
      </c>
      <c r="N547" s="29" t="s">
        <v>3712</v>
      </c>
      <c r="O547" s="29"/>
      <c r="P547" s="29" t="s">
        <v>7546</v>
      </c>
      <c r="Q547" t="s">
        <v>2038</v>
      </c>
      <c r="R547" t="s">
        <v>2633</v>
      </c>
      <c r="S547">
        <v>37</v>
      </c>
      <c r="T547" s="43" t="str">
        <f t="shared" si="23"/>
        <v>2021.010B.R.Binomial_names.zip</v>
      </c>
      <c r="U547" s="43" t="str">
        <f>HYPERLINK("https://ictv.global/taxonomy/taxondetails?taxnode_id=202208614","ictv.global=202208614")</f>
        <v>ictv.global=202208614</v>
      </c>
    </row>
    <row r="548" spans="1:21">
      <c r="A548">
        <v>547</v>
      </c>
      <c r="B548" s="29" t="s">
        <v>3682</v>
      </c>
      <c r="C548" s="29"/>
      <c r="D548" s="29" t="s">
        <v>3683</v>
      </c>
      <c r="E548" s="29"/>
      <c r="F548" s="29" t="s">
        <v>3686</v>
      </c>
      <c r="G548" s="29"/>
      <c r="H548" s="29" t="s">
        <v>3687</v>
      </c>
      <c r="I548" s="29"/>
      <c r="J548" s="29"/>
      <c r="K548" s="29"/>
      <c r="L548" s="29" t="s">
        <v>3689</v>
      </c>
      <c r="M548" s="29" t="s">
        <v>3706</v>
      </c>
      <c r="N548" s="29" t="s">
        <v>3713</v>
      </c>
      <c r="O548" s="29"/>
      <c r="P548" s="29" t="s">
        <v>7547</v>
      </c>
      <c r="Q548" t="s">
        <v>2038</v>
      </c>
      <c r="R548" t="s">
        <v>2633</v>
      </c>
      <c r="S548">
        <v>37</v>
      </c>
      <c r="T548" s="43" t="str">
        <f t="shared" si="23"/>
        <v>2021.010B.R.Binomial_names.zip</v>
      </c>
      <c r="U548" s="43" t="str">
        <f>HYPERLINK("https://ictv.global/taxonomy/taxondetails?taxnode_id=202208599","ictv.global=202208599")</f>
        <v>ictv.global=202208599</v>
      </c>
    </row>
    <row r="549" spans="1:21">
      <c r="A549">
        <v>548</v>
      </c>
      <c r="B549" s="29" t="s">
        <v>3682</v>
      </c>
      <c r="C549" s="29"/>
      <c r="D549" s="29" t="s">
        <v>3683</v>
      </c>
      <c r="E549" s="29"/>
      <c r="F549" s="29" t="s">
        <v>3686</v>
      </c>
      <c r="G549" s="29"/>
      <c r="H549" s="29" t="s">
        <v>3687</v>
      </c>
      <c r="I549" s="29"/>
      <c r="J549" s="29"/>
      <c r="K549" s="29"/>
      <c r="L549" s="29" t="s">
        <v>3689</v>
      </c>
      <c r="M549" s="29" t="s">
        <v>3706</v>
      </c>
      <c r="N549" s="29" t="s">
        <v>3713</v>
      </c>
      <c r="O549" s="29"/>
      <c r="P549" s="29" t="s">
        <v>7548</v>
      </c>
      <c r="Q549" t="s">
        <v>2038</v>
      </c>
      <c r="R549" t="s">
        <v>2633</v>
      </c>
      <c r="S549">
        <v>37</v>
      </c>
      <c r="T549" s="43" t="str">
        <f t="shared" si="23"/>
        <v>2021.010B.R.Binomial_names.zip</v>
      </c>
      <c r="U549" s="43" t="str">
        <f>HYPERLINK("https://ictv.global/taxonomy/taxondetails?taxnode_id=202208600","ictv.global=202208600")</f>
        <v>ictv.global=202208600</v>
      </c>
    </row>
    <row r="550" spans="1:21">
      <c r="A550">
        <v>549</v>
      </c>
      <c r="B550" s="29" t="s">
        <v>3682</v>
      </c>
      <c r="C550" s="29"/>
      <c r="D550" s="29" t="s">
        <v>3683</v>
      </c>
      <c r="E550" s="29"/>
      <c r="F550" s="29" t="s">
        <v>3686</v>
      </c>
      <c r="G550" s="29"/>
      <c r="H550" s="29" t="s">
        <v>3687</v>
      </c>
      <c r="I550" s="29"/>
      <c r="J550" s="29"/>
      <c r="K550" s="29"/>
      <c r="L550" s="29" t="s">
        <v>3689</v>
      </c>
      <c r="M550" s="29" t="s">
        <v>3706</v>
      </c>
      <c r="N550" s="29" t="s">
        <v>3714</v>
      </c>
      <c r="O550" s="29"/>
      <c r="P550" s="29" t="s">
        <v>7549</v>
      </c>
      <c r="Q550" t="s">
        <v>2038</v>
      </c>
      <c r="R550" t="s">
        <v>2633</v>
      </c>
      <c r="S550">
        <v>37</v>
      </c>
      <c r="T550" s="43" t="str">
        <f t="shared" si="23"/>
        <v>2021.010B.R.Binomial_names.zip</v>
      </c>
      <c r="U550" s="43" t="str">
        <f>HYPERLINK("https://ictv.global/taxonomy/taxondetails?taxnode_id=202208609","ictv.global=202208609")</f>
        <v>ictv.global=202208609</v>
      </c>
    </row>
    <row r="551" spans="1:21">
      <c r="A551">
        <v>550</v>
      </c>
      <c r="B551" s="29" t="s">
        <v>3682</v>
      </c>
      <c r="C551" s="29"/>
      <c r="D551" s="29" t="s">
        <v>3683</v>
      </c>
      <c r="E551" s="29"/>
      <c r="F551" s="29" t="s">
        <v>3686</v>
      </c>
      <c r="G551" s="29"/>
      <c r="H551" s="29" t="s">
        <v>3687</v>
      </c>
      <c r="I551" s="29"/>
      <c r="J551" s="29"/>
      <c r="K551" s="29"/>
      <c r="L551" s="29" t="s">
        <v>3689</v>
      </c>
      <c r="M551" s="29" t="s">
        <v>3706</v>
      </c>
      <c r="N551" s="29" t="s">
        <v>3714</v>
      </c>
      <c r="O551" s="29"/>
      <c r="P551" s="29" t="s">
        <v>7550</v>
      </c>
      <c r="Q551" t="s">
        <v>2038</v>
      </c>
      <c r="R551" t="s">
        <v>2633</v>
      </c>
      <c r="S551">
        <v>37</v>
      </c>
      <c r="T551" s="43" t="str">
        <f t="shared" si="23"/>
        <v>2021.010B.R.Binomial_names.zip</v>
      </c>
      <c r="U551" s="43" t="str">
        <f>HYPERLINK("https://ictv.global/taxonomy/taxondetails?taxnode_id=202208610","ictv.global=202208610")</f>
        <v>ictv.global=202208610</v>
      </c>
    </row>
    <row r="552" spans="1:21">
      <c r="A552">
        <v>551</v>
      </c>
      <c r="B552" s="29" t="s">
        <v>3682</v>
      </c>
      <c r="C552" s="29"/>
      <c r="D552" s="29" t="s">
        <v>3683</v>
      </c>
      <c r="E552" s="29"/>
      <c r="F552" s="29" t="s">
        <v>3686</v>
      </c>
      <c r="G552" s="29"/>
      <c r="H552" s="29" t="s">
        <v>3687</v>
      </c>
      <c r="I552" s="29"/>
      <c r="J552" s="29"/>
      <c r="K552" s="29"/>
      <c r="L552" s="29" t="s">
        <v>3689</v>
      </c>
      <c r="M552" s="29" t="s">
        <v>3715</v>
      </c>
      <c r="N552" s="29" t="s">
        <v>3716</v>
      </c>
      <c r="O552" s="29"/>
      <c r="P552" s="29" t="s">
        <v>7551</v>
      </c>
      <c r="Q552" t="s">
        <v>2038</v>
      </c>
      <c r="R552" t="s">
        <v>2633</v>
      </c>
      <c r="S552">
        <v>37</v>
      </c>
      <c r="T552" s="43" t="str">
        <f t="shared" si="23"/>
        <v>2021.010B.R.Binomial_names.zip</v>
      </c>
      <c r="U552" s="43" t="str">
        <f>HYPERLINK("https://ictv.global/taxonomy/taxondetails?taxnode_id=202208579","ictv.global=202208579")</f>
        <v>ictv.global=202208579</v>
      </c>
    </row>
    <row r="553" spans="1:21">
      <c r="A553">
        <v>552</v>
      </c>
      <c r="B553" s="29" t="s">
        <v>3682</v>
      </c>
      <c r="C553" s="29"/>
      <c r="D553" s="29" t="s">
        <v>3683</v>
      </c>
      <c r="E553" s="29"/>
      <c r="F553" s="29" t="s">
        <v>3686</v>
      </c>
      <c r="G553" s="29"/>
      <c r="H553" s="29" t="s">
        <v>3687</v>
      </c>
      <c r="I553" s="29"/>
      <c r="J553" s="29"/>
      <c r="K553" s="29"/>
      <c r="L553" s="29" t="s">
        <v>3689</v>
      </c>
      <c r="M553" s="29" t="s">
        <v>3715</v>
      </c>
      <c r="N553" s="29" t="s">
        <v>3716</v>
      </c>
      <c r="O553" s="29"/>
      <c r="P553" s="29" t="s">
        <v>7552</v>
      </c>
      <c r="Q553" t="s">
        <v>2038</v>
      </c>
      <c r="R553" t="s">
        <v>2633</v>
      </c>
      <c r="S553">
        <v>37</v>
      </c>
      <c r="T553" s="43" t="str">
        <f t="shared" si="23"/>
        <v>2021.010B.R.Binomial_names.zip</v>
      </c>
      <c r="U553" s="43" t="str">
        <f>HYPERLINK("https://ictv.global/taxonomy/taxondetails?taxnode_id=202208576","ictv.global=202208576")</f>
        <v>ictv.global=202208576</v>
      </c>
    </row>
    <row r="554" spans="1:21">
      <c r="A554">
        <v>553</v>
      </c>
      <c r="B554" s="29" t="s">
        <v>3682</v>
      </c>
      <c r="C554" s="29"/>
      <c r="D554" s="29" t="s">
        <v>3683</v>
      </c>
      <c r="E554" s="29"/>
      <c r="F554" s="29" t="s">
        <v>3686</v>
      </c>
      <c r="G554" s="29"/>
      <c r="H554" s="29" t="s">
        <v>3687</v>
      </c>
      <c r="I554" s="29"/>
      <c r="J554" s="29"/>
      <c r="K554" s="29"/>
      <c r="L554" s="29" t="s">
        <v>3689</v>
      </c>
      <c r="M554" s="29" t="s">
        <v>3715</v>
      </c>
      <c r="N554" s="29" t="s">
        <v>3716</v>
      </c>
      <c r="O554" s="29"/>
      <c r="P554" s="29" t="s">
        <v>7553</v>
      </c>
      <c r="Q554" t="s">
        <v>2038</v>
      </c>
      <c r="R554" t="s">
        <v>2633</v>
      </c>
      <c r="S554">
        <v>37</v>
      </c>
      <c r="T554" s="43" t="str">
        <f t="shared" si="23"/>
        <v>2021.010B.R.Binomial_names.zip</v>
      </c>
      <c r="U554" s="43" t="str">
        <f>HYPERLINK("https://ictv.global/taxonomy/taxondetails?taxnode_id=202208578","ictv.global=202208578")</f>
        <v>ictv.global=202208578</v>
      </c>
    </row>
    <row r="555" spans="1:21">
      <c r="A555">
        <v>554</v>
      </c>
      <c r="B555" s="29" t="s">
        <v>3682</v>
      </c>
      <c r="C555" s="29"/>
      <c r="D555" s="29" t="s">
        <v>3683</v>
      </c>
      <c r="E555" s="29"/>
      <c r="F555" s="29" t="s">
        <v>3686</v>
      </c>
      <c r="G555" s="29"/>
      <c r="H555" s="29" t="s">
        <v>3687</v>
      </c>
      <c r="I555" s="29"/>
      <c r="J555" s="29"/>
      <c r="K555" s="29"/>
      <c r="L555" s="29" t="s">
        <v>3689</v>
      </c>
      <c r="M555" s="29" t="s">
        <v>3715</v>
      </c>
      <c r="N555" s="29" t="s">
        <v>3716</v>
      </c>
      <c r="O555" s="29"/>
      <c r="P555" s="29" t="s">
        <v>7554</v>
      </c>
      <c r="Q555" t="s">
        <v>2038</v>
      </c>
      <c r="R555" t="s">
        <v>2633</v>
      </c>
      <c r="S555">
        <v>37</v>
      </c>
      <c r="T555" s="43" t="str">
        <f t="shared" si="23"/>
        <v>2021.010B.R.Binomial_names.zip</v>
      </c>
      <c r="U555" s="43" t="str">
        <f>HYPERLINK("https://ictv.global/taxonomy/taxondetails?taxnode_id=202208577","ictv.global=202208577")</f>
        <v>ictv.global=202208577</v>
      </c>
    </row>
    <row r="556" spans="1:21">
      <c r="A556">
        <v>555</v>
      </c>
      <c r="B556" s="29" t="s">
        <v>3682</v>
      </c>
      <c r="C556" s="29"/>
      <c r="D556" s="29" t="s">
        <v>3683</v>
      </c>
      <c r="E556" s="29"/>
      <c r="F556" s="29" t="s">
        <v>3686</v>
      </c>
      <c r="G556" s="29"/>
      <c r="H556" s="29" t="s">
        <v>3687</v>
      </c>
      <c r="I556" s="29"/>
      <c r="J556" s="29"/>
      <c r="K556" s="29"/>
      <c r="L556" s="29" t="s">
        <v>3689</v>
      </c>
      <c r="M556" s="29" t="s">
        <v>3715</v>
      </c>
      <c r="N556" s="29" t="s">
        <v>3717</v>
      </c>
      <c r="O556" s="29"/>
      <c r="P556" s="29" t="s">
        <v>7555</v>
      </c>
      <c r="Q556" t="s">
        <v>2038</v>
      </c>
      <c r="R556" t="s">
        <v>2633</v>
      </c>
      <c r="S556">
        <v>37</v>
      </c>
      <c r="T556" s="43" t="str">
        <f t="shared" si="23"/>
        <v>2021.010B.R.Binomial_names.zip</v>
      </c>
      <c r="U556" s="43" t="str">
        <f>HYPERLINK("https://ictv.global/taxonomy/taxondetails?taxnode_id=202208574","ictv.global=202208574")</f>
        <v>ictv.global=202208574</v>
      </c>
    </row>
    <row r="557" spans="1:21">
      <c r="A557">
        <v>556</v>
      </c>
      <c r="B557" s="29" t="s">
        <v>3682</v>
      </c>
      <c r="C557" s="29"/>
      <c r="D557" s="29" t="s">
        <v>3683</v>
      </c>
      <c r="E557" s="29"/>
      <c r="F557" s="29" t="s">
        <v>3686</v>
      </c>
      <c r="G557" s="29"/>
      <c r="H557" s="29" t="s">
        <v>3687</v>
      </c>
      <c r="I557" s="29"/>
      <c r="J557" s="29"/>
      <c r="K557" s="29"/>
      <c r="L557" s="29" t="s">
        <v>3689</v>
      </c>
      <c r="M557" s="29" t="s">
        <v>3715</v>
      </c>
      <c r="N557" s="29" t="s">
        <v>3718</v>
      </c>
      <c r="O557" s="29"/>
      <c r="P557" s="29" t="s">
        <v>7556</v>
      </c>
      <c r="Q557" t="s">
        <v>2038</v>
      </c>
      <c r="R557" t="s">
        <v>2633</v>
      </c>
      <c r="S557">
        <v>37</v>
      </c>
      <c r="T557" s="43" t="str">
        <f t="shared" si="23"/>
        <v>2021.010B.R.Binomial_names.zip</v>
      </c>
      <c r="U557" s="43" t="str">
        <f>HYPERLINK("https://ictv.global/taxonomy/taxondetails?taxnode_id=202200577","ictv.global=202200577")</f>
        <v>ictv.global=202200577</v>
      </c>
    </row>
    <row r="558" spans="1:21">
      <c r="A558">
        <v>557</v>
      </c>
      <c r="B558" s="29" t="s">
        <v>3682</v>
      </c>
      <c r="C558" s="29"/>
      <c r="D558" s="29" t="s">
        <v>3683</v>
      </c>
      <c r="E558" s="29"/>
      <c r="F558" s="29" t="s">
        <v>3686</v>
      </c>
      <c r="G558" s="29"/>
      <c r="H558" s="29" t="s">
        <v>3687</v>
      </c>
      <c r="I558" s="29"/>
      <c r="J558" s="29"/>
      <c r="K558" s="29"/>
      <c r="L558" s="29" t="s">
        <v>3689</v>
      </c>
      <c r="M558" s="29" t="s">
        <v>3715</v>
      </c>
      <c r="N558" s="29" t="s">
        <v>3718</v>
      </c>
      <c r="O558" s="29"/>
      <c r="P558" s="29" t="s">
        <v>7557</v>
      </c>
      <c r="Q558" t="s">
        <v>2038</v>
      </c>
      <c r="R558" t="s">
        <v>2633</v>
      </c>
      <c r="S558">
        <v>37</v>
      </c>
      <c r="T558" s="43" t="str">
        <f t="shared" si="23"/>
        <v>2021.010B.R.Binomial_names.zip</v>
      </c>
      <c r="U558" s="43" t="str">
        <f>HYPERLINK("https://ictv.global/taxonomy/taxondetails?taxnode_id=202208572","ictv.global=202208572")</f>
        <v>ictv.global=202208572</v>
      </c>
    </row>
    <row r="559" spans="1:21">
      <c r="A559">
        <v>558</v>
      </c>
      <c r="B559" s="29" t="s">
        <v>3682</v>
      </c>
      <c r="C559" s="29"/>
      <c r="D559" s="29" t="s">
        <v>3683</v>
      </c>
      <c r="E559" s="29"/>
      <c r="F559" s="29" t="s">
        <v>3686</v>
      </c>
      <c r="G559" s="29"/>
      <c r="H559" s="29" t="s">
        <v>3687</v>
      </c>
      <c r="I559" s="29"/>
      <c r="J559" s="29"/>
      <c r="K559" s="29"/>
      <c r="L559" s="29" t="s">
        <v>3689</v>
      </c>
      <c r="M559" s="29" t="s">
        <v>3715</v>
      </c>
      <c r="N559" s="29" t="s">
        <v>3719</v>
      </c>
      <c r="O559" s="29"/>
      <c r="P559" s="29" t="s">
        <v>7558</v>
      </c>
      <c r="Q559" t="s">
        <v>2038</v>
      </c>
      <c r="R559" t="s">
        <v>2633</v>
      </c>
      <c r="S559">
        <v>37</v>
      </c>
      <c r="T559" s="43" t="str">
        <f t="shared" si="23"/>
        <v>2021.010B.R.Binomial_names.zip</v>
      </c>
      <c r="U559" s="43" t="str">
        <f>HYPERLINK("https://ictv.global/taxonomy/taxondetails?taxnode_id=202208581","ictv.global=202208581")</f>
        <v>ictv.global=202208581</v>
      </c>
    </row>
    <row r="560" spans="1:21">
      <c r="A560">
        <v>559</v>
      </c>
      <c r="B560" s="29" t="s">
        <v>3682</v>
      </c>
      <c r="C560" s="29"/>
      <c r="D560" s="29" t="s">
        <v>3683</v>
      </c>
      <c r="E560" s="29"/>
      <c r="F560" s="29" t="s">
        <v>3686</v>
      </c>
      <c r="G560" s="29"/>
      <c r="H560" s="29" t="s">
        <v>3687</v>
      </c>
      <c r="I560" s="29"/>
      <c r="J560" s="29"/>
      <c r="K560" s="29"/>
      <c r="L560" s="29" t="s">
        <v>3689</v>
      </c>
      <c r="M560" s="29" t="s">
        <v>3715</v>
      </c>
      <c r="N560" s="29" t="s">
        <v>3720</v>
      </c>
      <c r="O560" s="29"/>
      <c r="P560" s="29" t="s">
        <v>7559</v>
      </c>
      <c r="Q560" t="s">
        <v>2038</v>
      </c>
      <c r="R560" t="s">
        <v>2633</v>
      </c>
      <c r="S560">
        <v>37</v>
      </c>
      <c r="T560" s="43" t="str">
        <f t="shared" si="23"/>
        <v>2021.010B.R.Binomial_names.zip</v>
      </c>
      <c r="U560" s="43" t="str">
        <f>HYPERLINK("https://ictv.global/taxonomy/taxondetails?taxnode_id=202208585","ictv.global=202208585")</f>
        <v>ictv.global=202208585</v>
      </c>
    </row>
    <row r="561" spans="1:21">
      <c r="A561">
        <v>560</v>
      </c>
      <c r="B561" s="29" t="s">
        <v>3682</v>
      </c>
      <c r="C561" s="29"/>
      <c r="D561" s="29" t="s">
        <v>3683</v>
      </c>
      <c r="E561" s="29"/>
      <c r="F561" s="29" t="s">
        <v>3686</v>
      </c>
      <c r="G561" s="29"/>
      <c r="H561" s="29" t="s">
        <v>3687</v>
      </c>
      <c r="I561" s="29"/>
      <c r="J561" s="29"/>
      <c r="K561" s="29"/>
      <c r="L561" s="29" t="s">
        <v>3689</v>
      </c>
      <c r="M561" s="29" t="s">
        <v>3715</v>
      </c>
      <c r="N561" s="29" t="s">
        <v>3720</v>
      </c>
      <c r="O561" s="29"/>
      <c r="P561" s="29" t="s">
        <v>7560</v>
      </c>
      <c r="Q561" t="s">
        <v>2038</v>
      </c>
      <c r="R561" t="s">
        <v>2633</v>
      </c>
      <c r="S561">
        <v>37</v>
      </c>
      <c r="T561" s="43" t="str">
        <f t="shared" si="23"/>
        <v>2021.010B.R.Binomial_names.zip</v>
      </c>
      <c r="U561" s="43" t="str">
        <f>HYPERLINK("https://ictv.global/taxonomy/taxondetails?taxnode_id=202208584","ictv.global=202208584")</f>
        <v>ictv.global=202208584</v>
      </c>
    </row>
    <row r="562" spans="1:21">
      <c r="A562">
        <v>561</v>
      </c>
      <c r="B562" s="29" t="s">
        <v>3682</v>
      </c>
      <c r="C562" s="29"/>
      <c r="D562" s="29" t="s">
        <v>3683</v>
      </c>
      <c r="E562" s="29"/>
      <c r="F562" s="29" t="s">
        <v>3686</v>
      </c>
      <c r="G562" s="29"/>
      <c r="H562" s="29" t="s">
        <v>3687</v>
      </c>
      <c r="I562" s="29"/>
      <c r="J562" s="29"/>
      <c r="K562" s="29"/>
      <c r="L562" s="29" t="s">
        <v>3689</v>
      </c>
      <c r="M562" s="29" t="s">
        <v>3715</v>
      </c>
      <c r="N562" s="29" t="s">
        <v>3720</v>
      </c>
      <c r="O562" s="29"/>
      <c r="P562" s="29" t="s">
        <v>7561</v>
      </c>
      <c r="Q562" t="s">
        <v>2038</v>
      </c>
      <c r="R562" t="s">
        <v>2633</v>
      </c>
      <c r="S562">
        <v>37</v>
      </c>
      <c r="T562" s="43" t="str">
        <f t="shared" si="23"/>
        <v>2021.010B.R.Binomial_names.zip</v>
      </c>
      <c r="U562" s="43" t="str">
        <f>HYPERLINK("https://ictv.global/taxonomy/taxondetails?taxnode_id=202208586","ictv.global=202208586")</f>
        <v>ictv.global=202208586</v>
      </c>
    </row>
    <row r="563" spans="1:21">
      <c r="A563">
        <v>562</v>
      </c>
      <c r="B563" s="29" t="s">
        <v>3682</v>
      </c>
      <c r="C563" s="29"/>
      <c r="D563" s="29" t="s">
        <v>3683</v>
      </c>
      <c r="E563" s="29"/>
      <c r="F563" s="29" t="s">
        <v>3686</v>
      </c>
      <c r="G563" s="29"/>
      <c r="H563" s="29" t="s">
        <v>3687</v>
      </c>
      <c r="I563" s="29"/>
      <c r="J563" s="29"/>
      <c r="K563" s="29"/>
      <c r="L563" s="29" t="s">
        <v>3689</v>
      </c>
      <c r="M563" s="29" t="s">
        <v>3715</v>
      </c>
      <c r="N563" s="29" t="s">
        <v>3720</v>
      </c>
      <c r="O563" s="29"/>
      <c r="P563" s="29" t="s">
        <v>7562</v>
      </c>
      <c r="Q563" t="s">
        <v>2038</v>
      </c>
      <c r="R563" t="s">
        <v>2633</v>
      </c>
      <c r="S563">
        <v>37</v>
      </c>
      <c r="T563" s="43" t="str">
        <f t="shared" si="23"/>
        <v>2021.010B.R.Binomial_names.zip</v>
      </c>
      <c r="U563" s="43" t="str">
        <f>HYPERLINK("https://ictv.global/taxonomy/taxondetails?taxnode_id=202208587","ictv.global=202208587")</f>
        <v>ictv.global=202208587</v>
      </c>
    </row>
    <row r="564" spans="1:21">
      <c r="A564">
        <v>563</v>
      </c>
      <c r="B564" s="29" t="s">
        <v>3682</v>
      </c>
      <c r="C564" s="29"/>
      <c r="D564" s="29" t="s">
        <v>3683</v>
      </c>
      <c r="E564" s="29"/>
      <c r="F564" s="29" t="s">
        <v>3686</v>
      </c>
      <c r="G564" s="29"/>
      <c r="H564" s="29" t="s">
        <v>3687</v>
      </c>
      <c r="I564" s="29"/>
      <c r="J564" s="29"/>
      <c r="K564" s="29"/>
      <c r="L564" s="29" t="s">
        <v>3689</v>
      </c>
      <c r="M564" s="29" t="s">
        <v>3715</v>
      </c>
      <c r="N564" s="29" t="s">
        <v>3720</v>
      </c>
      <c r="O564" s="29"/>
      <c r="P564" s="29" t="s">
        <v>7563</v>
      </c>
      <c r="Q564" t="s">
        <v>2038</v>
      </c>
      <c r="R564" t="s">
        <v>2633</v>
      </c>
      <c r="S564">
        <v>37</v>
      </c>
      <c r="T564" s="43" t="str">
        <f t="shared" si="23"/>
        <v>2021.010B.R.Binomial_names.zip</v>
      </c>
      <c r="U564" s="43" t="str">
        <f>HYPERLINK("https://ictv.global/taxonomy/taxondetails?taxnode_id=202208590","ictv.global=202208590")</f>
        <v>ictv.global=202208590</v>
      </c>
    </row>
    <row r="565" spans="1:21">
      <c r="A565">
        <v>564</v>
      </c>
      <c r="B565" s="29" t="s">
        <v>3682</v>
      </c>
      <c r="C565" s="29"/>
      <c r="D565" s="29" t="s">
        <v>3683</v>
      </c>
      <c r="E565" s="29"/>
      <c r="F565" s="29" t="s">
        <v>3686</v>
      </c>
      <c r="G565" s="29"/>
      <c r="H565" s="29" t="s">
        <v>3687</v>
      </c>
      <c r="I565" s="29"/>
      <c r="J565" s="29"/>
      <c r="K565" s="29"/>
      <c r="L565" s="29" t="s">
        <v>3689</v>
      </c>
      <c r="M565" s="29" t="s">
        <v>3715</v>
      </c>
      <c r="N565" s="29" t="s">
        <v>3720</v>
      </c>
      <c r="O565" s="29"/>
      <c r="P565" s="29" t="s">
        <v>7564</v>
      </c>
      <c r="Q565" t="s">
        <v>2038</v>
      </c>
      <c r="R565" t="s">
        <v>2633</v>
      </c>
      <c r="S565">
        <v>37</v>
      </c>
      <c r="T565" s="43" t="str">
        <f t="shared" si="23"/>
        <v>2021.010B.R.Binomial_names.zip</v>
      </c>
      <c r="U565" s="43" t="str">
        <f>HYPERLINK("https://ictv.global/taxonomy/taxondetails?taxnode_id=202200579","ictv.global=202200579")</f>
        <v>ictv.global=202200579</v>
      </c>
    </row>
    <row r="566" spans="1:21">
      <c r="A566">
        <v>565</v>
      </c>
      <c r="B566" s="29" t="s">
        <v>3682</v>
      </c>
      <c r="C566" s="29"/>
      <c r="D566" s="29" t="s">
        <v>3683</v>
      </c>
      <c r="E566" s="29"/>
      <c r="F566" s="29" t="s">
        <v>3686</v>
      </c>
      <c r="G566" s="29"/>
      <c r="H566" s="29" t="s">
        <v>3687</v>
      </c>
      <c r="I566" s="29"/>
      <c r="J566" s="29"/>
      <c r="K566" s="29"/>
      <c r="L566" s="29" t="s">
        <v>3689</v>
      </c>
      <c r="M566" s="29" t="s">
        <v>3715</v>
      </c>
      <c r="N566" s="29" t="s">
        <v>3720</v>
      </c>
      <c r="O566" s="29"/>
      <c r="P566" s="29" t="s">
        <v>7565</v>
      </c>
      <c r="Q566" t="s">
        <v>2038</v>
      </c>
      <c r="R566" t="s">
        <v>2633</v>
      </c>
      <c r="S566">
        <v>37</v>
      </c>
      <c r="T566" s="43" t="str">
        <f t="shared" si="23"/>
        <v>2021.010B.R.Binomial_names.zip</v>
      </c>
      <c r="U566" s="43" t="str">
        <f>HYPERLINK("https://ictv.global/taxonomy/taxondetails?taxnode_id=202200580","ictv.global=202200580")</f>
        <v>ictv.global=202200580</v>
      </c>
    </row>
    <row r="567" spans="1:21">
      <c r="A567">
        <v>566</v>
      </c>
      <c r="B567" s="29" t="s">
        <v>3682</v>
      </c>
      <c r="C567" s="29"/>
      <c r="D567" s="29" t="s">
        <v>3683</v>
      </c>
      <c r="E567" s="29"/>
      <c r="F567" s="29" t="s">
        <v>3686</v>
      </c>
      <c r="G567" s="29"/>
      <c r="H567" s="29" t="s">
        <v>3687</v>
      </c>
      <c r="I567" s="29"/>
      <c r="J567" s="29"/>
      <c r="K567" s="29"/>
      <c r="L567" s="29" t="s">
        <v>3689</v>
      </c>
      <c r="M567" s="29" t="s">
        <v>3715</v>
      </c>
      <c r="N567" s="29" t="s">
        <v>3720</v>
      </c>
      <c r="O567" s="29"/>
      <c r="P567" s="29" t="s">
        <v>7566</v>
      </c>
      <c r="Q567" t="s">
        <v>2038</v>
      </c>
      <c r="R567" t="s">
        <v>2633</v>
      </c>
      <c r="S567">
        <v>37</v>
      </c>
      <c r="T567" s="43" t="str">
        <f t="shared" si="23"/>
        <v>2021.010B.R.Binomial_names.zip</v>
      </c>
      <c r="U567" s="43" t="str">
        <f>HYPERLINK("https://ictv.global/taxonomy/taxondetails?taxnode_id=202208588","ictv.global=202208588")</f>
        <v>ictv.global=202208588</v>
      </c>
    </row>
    <row r="568" spans="1:21">
      <c r="A568">
        <v>567</v>
      </c>
      <c r="B568" s="29" t="s">
        <v>3682</v>
      </c>
      <c r="C568" s="29"/>
      <c r="D568" s="29" t="s">
        <v>3683</v>
      </c>
      <c r="E568" s="29"/>
      <c r="F568" s="29" t="s">
        <v>3686</v>
      </c>
      <c r="G568" s="29"/>
      <c r="H568" s="29" t="s">
        <v>3687</v>
      </c>
      <c r="I568" s="29"/>
      <c r="J568" s="29"/>
      <c r="K568" s="29"/>
      <c r="L568" s="29" t="s">
        <v>3689</v>
      </c>
      <c r="M568" s="29" t="s">
        <v>3715</v>
      </c>
      <c r="N568" s="29" t="s">
        <v>3720</v>
      </c>
      <c r="O568" s="29"/>
      <c r="P568" s="29" t="s">
        <v>7567</v>
      </c>
      <c r="Q568" t="s">
        <v>2038</v>
      </c>
      <c r="R568" t="s">
        <v>2633</v>
      </c>
      <c r="S568">
        <v>37</v>
      </c>
      <c r="T568" s="43" t="str">
        <f t="shared" si="23"/>
        <v>2021.010B.R.Binomial_names.zip</v>
      </c>
      <c r="U568" s="43" t="str">
        <f>HYPERLINK("https://ictv.global/taxonomy/taxondetails?taxnode_id=202208591","ictv.global=202208591")</f>
        <v>ictv.global=202208591</v>
      </c>
    </row>
    <row r="569" spans="1:21">
      <c r="A569">
        <v>568</v>
      </c>
      <c r="B569" s="29" t="s">
        <v>3682</v>
      </c>
      <c r="C569" s="29"/>
      <c r="D569" s="29" t="s">
        <v>3683</v>
      </c>
      <c r="E569" s="29"/>
      <c r="F569" s="29" t="s">
        <v>3686</v>
      </c>
      <c r="G569" s="29"/>
      <c r="H569" s="29" t="s">
        <v>3687</v>
      </c>
      <c r="I569" s="29"/>
      <c r="J569" s="29"/>
      <c r="K569" s="29"/>
      <c r="L569" s="29" t="s">
        <v>3689</v>
      </c>
      <c r="M569" s="29" t="s">
        <v>3715</v>
      </c>
      <c r="N569" s="29" t="s">
        <v>3720</v>
      </c>
      <c r="O569" s="29"/>
      <c r="P569" s="29" t="s">
        <v>7568</v>
      </c>
      <c r="Q569" t="s">
        <v>2038</v>
      </c>
      <c r="R569" t="s">
        <v>2633</v>
      </c>
      <c r="S569">
        <v>37</v>
      </c>
      <c r="T569" s="43" t="str">
        <f t="shared" si="23"/>
        <v>2021.010B.R.Binomial_names.zip</v>
      </c>
      <c r="U569" s="43" t="str">
        <f>HYPERLINK("https://ictv.global/taxonomy/taxondetails?taxnode_id=202208589","ictv.global=202208589")</f>
        <v>ictv.global=202208589</v>
      </c>
    </row>
    <row r="570" spans="1:21">
      <c r="A570">
        <v>569</v>
      </c>
      <c r="B570" s="29" t="s">
        <v>3682</v>
      </c>
      <c r="C570" s="29"/>
      <c r="D570" s="29" t="s">
        <v>3683</v>
      </c>
      <c r="E570" s="29"/>
      <c r="F570" s="29" t="s">
        <v>3686</v>
      </c>
      <c r="G570" s="29"/>
      <c r="H570" s="29" t="s">
        <v>3687</v>
      </c>
      <c r="I570" s="29"/>
      <c r="J570" s="29"/>
      <c r="K570" s="29"/>
      <c r="L570" s="29" t="s">
        <v>3689</v>
      </c>
      <c r="M570" s="29" t="s">
        <v>3715</v>
      </c>
      <c r="N570" s="29" t="s">
        <v>3720</v>
      </c>
      <c r="O570" s="29"/>
      <c r="P570" s="29" t="s">
        <v>7569</v>
      </c>
      <c r="Q570" t="s">
        <v>2038</v>
      </c>
      <c r="R570" t="s">
        <v>2633</v>
      </c>
      <c r="S570">
        <v>37</v>
      </c>
      <c r="T570" s="43" t="str">
        <f t="shared" ref="T570:T601" si="24">HYPERLINK("https://ictv.global/ictv/proposals/2021.010B.R.Binomial_names.zip","2021.010B.R.Binomial_names.zip")</f>
        <v>2021.010B.R.Binomial_names.zip</v>
      </c>
      <c r="U570" s="43" t="str">
        <f>HYPERLINK("https://ictv.global/taxonomy/taxondetails?taxnode_id=202208583","ictv.global=202208583")</f>
        <v>ictv.global=202208583</v>
      </c>
    </row>
    <row r="571" spans="1:21">
      <c r="A571">
        <v>570</v>
      </c>
      <c r="B571" s="29" t="s">
        <v>3682</v>
      </c>
      <c r="C571" s="29"/>
      <c r="D571" s="29" t="s">
        <v>3683</v>
      </c>
      <c r="E571" s="29"/>
      <c r="F571" s="29" t="s">
        <v>3686</v>
      </c>
      <c r="G571" s="29"/>
      <c r="H571" s="29" t="s">
        <v>3687</v>
      </c>
      <c r="I571" s="29"/>
      <c r="J571" s="29"/>
      <c r="K571" s="29"/>
      <c r="L571" s="29" t="s">
        <v>3689</v>
      </c>
      <c r="M571" s="29" t="s">
        <v>3715</v>
      </c>
      <c r="N571" s="29" t="s">
        <v>3452</v>
      </c>
      <c r="O571" s="29"/>
      <c r="P571" s="29" t="s">
        <v>7570</v>
      </c>
      <c r="Q571" t="s">
        <v>2038</v>
      </c>
      <c r="R571" t="s">
        <v>2633</v>
      </c>
      <c r="S571">
        <v>37</v>
      </c>
      <c r="T571" s="43" t="str">
        <f t="shared" si="24"/>
        <v>2021.010B.R.Binomial_names.zip</v>
      </c>
      <c r="U571" s="43" t="str">
        <f>HYPERLINK("https://ictv.global/taxonomy/taxondetails?taxnode_id=202208593","ictv.global=202208593")</f>
        <v>ictv.global=202208593</v>
      </c>
    </row>
    <row r="572" spans="1:21">
      <c r="A572">
        <v>571</v>
      </c>
      <c r="B572" s="29" t="s">
        <v>3682</v>
      </c>
      <c r="C572" s="29"/>
      <c r="D572" s="29" t="s">
        <v>3683</v>
      </c>
      <c r="E572" s="29"/>
      <c r="F572" s="29" t="s">
        <v>3686</v>
      </c>
      <c r="G572" s="29"/>
      <c r="H572" s="29" t="s">
        <v>3687</v>
      </c>
      <c r="I572" s="29"/>
      <c r="J572" s="29"/>
      <c r="K572" s="29"/>
      <c r="L572" s="29" t="s">
        <v>3689</v>
      </c>
      <c r="M572" s="29" t="s">
        <v>3715</v>
      </c>
      <c r="N572" s="29" t="s">
        <v>3452</v>
      </c>
      <c r="O572" s="29"/>
      <c r="P572" s="29" t="s">
        <v>7571</v>
      </c>
      <c r="Q572" t="s">
        <v>2038</v>
      </c>
      <c r="R572" t="s">
        <v>2633</v>
      </c>
      <c r="S572">
        <v>37</v>
      </c>
      <c r="T572" s="43" t="str">
        <f t="shared" si="24"/>
        <v>2021.010B.R.Binomial_names.zip</v>
      </c>
      <c r="U572" s="43" t="str">
        <f>HYPERLINK("https://ictv.global/taxonomy/taxondetails?taxnode_id=202200581","ictv.global=202200581")</f>
        <v>ictv.global=202200581</v>
      </c>
    </row>
    <row r="573" spans="1:21">
      <c r="A573">
        <v>572</v>
      </c>
      <c r="B573" s="29" t="s">
        <v>3682</v>
      </c>
      <c r="C573" s="29"/>
      <c r="D573" s="29" t="s">
        <v>3683</v>
      </c>
      <c r="E573" s="29"/>
      <c r="F573" s="29" t="s">
        <v>3686</v>
      </c>
      <c r="G573" s="29"/>
      <c r="H573" s="29" t="s">
        <v>3687</v>
      </c>
      <c r="I573" s="29"/>
      <c r="J573" s="29"/>
      <c r="K573" s="29"/>
      <c r="L573" s="29" t="s">
        <v>3689</v>
      </c>
      <c r="M573" s="29" t="s">
        <v>3715</v>
      </c>
      <c r="N573" s="29" t="s">
        <v>3452</v>
      </c>
      <c r="O573" s="29"/>
      <c r="P573" s="29" t="s">
        <v>7572</v>
      </c>
      <c r="Q573" t="s">
        <v>2038</v>
      </c>
      <c r="R573" t="s">
        <v>2633</v>
      </c>
      <c r="S573">
        <v>37</v>
      </c>
      <c r="T573" s="43" t="str">
        <f t="shared" si="24"/>
        <v>2021.010B.R.Binomial_names.zip</v>
      </c>
      <c r="U573" s="43" t="str">
        <f>HYPERLINK("https://ictv.global/taxonomy/taxondetails?taxnode_id=202208592","ictv.global=202208592")</f>
        <v>ictv.global=202208592</v>
      </c>
    </row>
    <row r="574" spans="1:21">
      <c r="A574">
        <v>573</v>
      </c>
      <c r="B574" s="29" t="s">
        <v>3682</v>
      </c>
      <c r="C574" s="29"/>
      <c r="D574" s="29" t="s">
        <v>3683</v>
      </c>
      <c r="E574" s="29"/>
      <c r="F574" s="29" t="s">
        <v>3686</v>
      </c>
      <c r="G574" s="29"/>
      <c r="H574" s="29" t="s">
        <v>3687</v>
      </c>
      <c r="I574" s="29"/>
      <c r="J574" s="29"/>
      <c r="K574" s="29"/>
      <c r="L574" s="29" t="s">
        <v>3689</v>
      </c>
      <c r="M574" s="29" t="s">
        <v>3721</v>
      </c>
      <c r="N574" s="29" t="s">
        <v>3722</v>
      </c>
      <c r="O574" s="29"/>
      <c r="P574" s="29" t="s">
        <v>7573</v>
      </c>
      <c r="Q574" t="s">
        <v>2038</v>
      </c>
      <c r="R574" t="s">
        <v>2633</v>
      </c>
      <c r="S574">
        <v>37</v>
      </c>
      <c r="T574" s="43" t="str">
        <f t="shared" si="24"/>
        <v>2021.010B.R.Binomial_names.zip</v>
      </c>
      <c r="U574" s="43" t="str">
        <f>HYPERLINK("https://ictv.global/taxonomy/taxondetails?taxnode_id=202208337","ictv.global=202208337")</f>
        <v>ictv.global=202208337</v>
      </c>
    </row>
    <row r="575" spans="1:21">
      <c r="A575">
        <v>574</v>
      </c>
      <c r="B575" s="29" t="s">
        <v>3682</v>
      </c>
      <c r="C575" s="29"/>
      <c r="D575" s="29" t="s">
        <v>3683</v>
      </c>
      <c r="E575" s="29"/>
      <c r="F575" s="29" t="s">
        <v>3686</v>
      </c>
      <c r="G575" s="29"/>
      <c r="H575" s="29" t="s">
        <v>3687</v>
      </c>
      <c r="I575" s="29"/>
      <c r="J575" s="29"/>
      <c r="K575" s="29"/>
      <c r="L575" s="29" t="s">
        <v>3689</v>
      </c>
      <c r="M575" s="29" t="s">
        <v>3721</v>
      </c>
      <c r="N575" s="29" t="s">
        <v>3722</v>
      </c>
      <c r="O575" s="29"/>
      <c r="P575" s="29" t="s">
        <v>7574</v>
      </c>
      <c r="Q575" t="s">
        <v>2038</v>
      </c>
      <c r="R575" t="s">
        <v>2633</v>
      </c>
      <c r="S575">
        <v>37</v>
      </c>
      <c r="T575" s="43" t="str">
        <f t="shared" si="24"/>
        <v>2021.010B.R.Binomial_names.zip</v>
      </c>
      <c r="U575" s="43" t="str">
        <f>HYPERLINK("https://ictv.global/taxonomy/taxondetails?taxnode_id=202208338","ictv.global=202208338")</f>
        <v>ictv.global=202208338</v>
      </c>
    </row>
    <row r="576" spans="1:21">
      <c r="A576">
        <v>575</v>
      </c>
      <c r="B576" s="29" t="s">
        <v>3682</v>
      </c>
      <c r="C576" s="29"/>
      <c r="D576" s="29" t="s">
        <v>3683</v>
      </c>
      <c r="E576" s="29"/>
      <c r="F576" s="29" t="s">
        <v>3686</v>
      </c>
      <c r="G576" s="29"/>
      <c r="H576" s="29" t="s">
        <v>3687</v>
      </c>
      <c r="I576" s="29"/>
      <c r="J576" s="29"/>
      <c r="K576" s="29"/>
      <c r="L576" s="29" t="s">
        <v>3689</v>
      </c>
      <c r="M576" s="29" t="s">
        <v>3721</v>
      </c>
      <c r="N576" s="29" t="s">
        <v>3723</v>
      </c>
      <c r="O576" s="29"/>
      <c r="P576" s="29" t="s">
        <v>7575</v>
      </c>
      <c r="Q576" t="s">
        <v>2038</v>
      </c>
      <c r="R576" t="s">
        <v>2633</v>
      </c>
      <c r="S576">
        <v>37</v>
      </c>
      <c r="T576" s="43" t="str">
        <f t="shared" si="24"/>
        <v>2021.010B.R.Binomial_names.zip</v>
      </c>
      <c r="U576" s="43" t="str">
        <f>HYPERLINK("https://ictv.global/taxonomy/taxondetails?taxnode_id=202208334","ictv.global=202208334")</f>
        <v>ictv.global=202208334</v>
      </c>
    </row>
    <row r="577" spans="1:21">
      <c r="A577">
        <v>576</v>
      </c>
      <c r="B577" s="29" t="s">
        <v>3682</v>
      </c>
      <c r="C577" s="29"/>
      <c r="D577" s="29" t="s">
        <v>3683</v>
      </c>
      <c r="E577" s="29"/>
      <c r="F577" s="29" t="s">
        <v>3686</v>
      </c>
      <c r="G577" s="29"/>
      <c r="H577" s="29" t="s">
        <v>3687</v>
      </c>
      <c r="I577" s="29"/>
      <c r="J577" s="29"/>
      <c r="K577" s="29"/>
      <c r="L577" s="29" t="s">
        <v>3689</v>
      </c>
      <c r="M577" s="29" t="s">
        <v>3721</v>
      </c>
      <c r="N577" s="29" t="s">
        <v>3723</v>
      </c>
      <c r="O577" s="29"/>
      <c r="P577" s="29" t="s">
        <v>7576</v>
      </c>
      <c r="Q577" t="s">
        <v>2038</v>
      </c>
      <c r="R577" t="s">
        <v>2633</v>
      </c>
      <c r="S577">
        <v>37</v>
      </c>
      <c r="T577" s="43" t="str">
        <f t="shared" si="24"/>
        <v>2021.010B.R.Binomial_names.zip</v>
      </c>
      <c r="U577" s="43" t="str">
        <f>HYPERLINK("https://ictv.global/taxonomy/taxondetails?taxnode_id=202208335","ictv.global=202208335")</f>
        <v>ictv.global=202208335</v>
      </c>
    </row>
    <row r="578" spans="1:21">
      <c r="A578">
        <v>577</v>
      </c>
      <c r="B578" s="29" t="s">
        <v>3682</v>
      </c>
      <c r="C578" s="29"/>
      <c r="D578" s="29" t="s">
        <v>3683</v>
      </c>
      <c r="E578" s="29"/>
      <c r="F578" s="29" t="s">
        <v>3686</v>
      </c>
      <c r="G578" s="29"/>
      <c r="H578" s="29" t="s">
        <v>3687</v>
      </c>
      <c r="I578" s="29"/>
      <c r="J578" s="29"/>
      <c r="K578" s="29"/>
      <c r="L578" s="29" t="s">
        <v>3689</v>
      </c>
      <c r="M578" s="29" t="s">
        <v>3721</v>
      </c>
      <c r="N578" s="29" t="s">
        <v>3724</v>
      </c>
      <c r="O578" s="29"/>
      <c r="P578" s="29" t="s">
        <v>7577</v>
      </c>
      <c r="Q578" t="s">
        <v>2038</v>
      </c>
      <c r="R578" t="s">
        <v>2633</v>
      </c>
      <c r="S578">
        <v>37</v>
      </c>
      <c r="T578" s="43" t="str">
        <f t="shared" si="24"/>
        <v>2021.010B.R.Binomial_names.zip</v>
      </c>
      <c r="U578" s="43" t="str">
        <f>HYPERLINK("https://ictv.global/taxonomy/taxondetails?taxnode_id=202208342","ictv.global=202208342")</f>
        <v>ictv.global=202208342</v>
      </c>
    </row>
    <row r="579" spans="1:21">
      <c r="A579">
        <v>578</v>
      </c>
      <c r="B579" s="29" t="s">
        <v>3682</v>
      </c>
      <c r="C579" s="29"/>
      <c r="D579" s="29" t="s">
        <v>3683</v>
      </c>
      <c r="E579" s="29"/>
      <c r="F579" s="29" t="s">
        <v>3686</v>
      </c>
      <c r="G579" s="29"/>
      <c r="H579" s="29" t="s">
        <v>3687</v>
      </c>
      <c r="I579" s="29"/>
      <c r="J579" s="29"/>
      <c r="K579" s="29"/>
      <c r="L579" s="29" t="s">
        <v>3689</v>
      </c>
      <c r="M579" s="29" t="s">
        <v>3721</v>
      </c>
      <c r="N579" s="29" t="s">
        <v>3725</v>
      </c>
      <c r="O579" s="29"/>
      <c r="P579" s="29" t="s">
        <v>7578</v>
      </c>
      <c r="Q579" t="s">
        <v>2038</v>
      </c>
      <c r="R579" t="s">
        <v>2633</v>
      </c>
      <c r="S579">
        <v>37</v>
      </c>
      <c r="T579" s="43" t="str">
        <f t="shared" si="24"/>
        <v>2021.010B.R.Binomial_names.zip</v>
      </c>
      <c r="U579" s="43" t="str">
        <f>HYPERLINK("https://ictv.global/taxonomy/taxondetails?taxnode_id=202208332","ictv.global=202208332")</f>
        <v>ictv.global=202208332</v>
      </c>
    </row>
    <row r="580" spans="1:21">
      <c r="A580">
        <v>579</v>
      </c>
      <c r="B580" s="29" t="s">
        <v>3682</v>
      </c>
      <c r="C580" s="29"/>
      <c r="D580" s="29" t="s">
        <v>3683</v>
      </c>
      <c r="E580" s="29"/>
      <c r="F580" s="29" t="s">
        <v>3686</v>
      </c>
      <c r="G580" s="29"/>
      <c r="H580" s="29" t="s">
        <v>3687</v>
      </c>
      <c r="I580" s="29"/>
      <c r="J580" s="29"/>
      <c r="K580" s="29"/>
      <c r="L580" s="29" t="s">
        <v>3689</v>
      </c>
      <c r="M580" s="29" t="s">
        <v>3721</v>
      </c>
      <c r="N580" s="29" t="s">
        <v>3725</v>
      </c>
      <c r="O580" s="29"/>
      <c r="P580" s="29" t="s">
        <v>7579</v>
      </c>
      <c r="Q580" t="s">
        <v>2038</v>
      </c>
      <c r="R580" t="s">
        <v>2633</v>
      </c>
      <c r="S580">
        <v>37</v>
      </c>
      <c r="T580" s="43" t="str">
        <f t="shared" si="24"/>
        <v>2021.010B.R.Binomial_names.zip</v>
      </c>
      <c r="U580" s="43" t="str">
        <f>HYPERLINK("https://ictv.global/taxonomy/taxondetails?taxnode_id=202208331","ictv.global=202208331")</f>
        <v>ictv.global=202208331</v>
      </c>
    </row>
    <row r="581" spans="1:21">
      <c r="A581">
        <v>580</v>
      </c>
      <c r="B581" s="29" t="s">
        <v>3682</v>
      </c>
      <c r="C581" s="29"/>
      <c r="D581" s="29" t="s">
        <v>3683</v>
      </c>
      <c r="E581" s="29"/>
      <c r="F581" s="29" t="s">
        <v>3686</v>
      </c>
      <c r="G581" s="29"/>
      <c r="H581" s="29" t="s">
        <v>3687</v>
      </c>
      <c r="I581" s="29"/>
      <c r="J581" s="29"/>
      <c r="K581" s="29"/>
      <c r="L581" s="29" t="s">
        <v>3689</v>
      </c>
      <c r="M581" s="29" t="s">
        <v>3721</v>
      </c>
      <c r="N581" s="29" t="s">
        <v>3726</v>
      </c>
      <c r="O581" s="29"/>
      <c r="P581" s="29" t="s">
        <v>7580</v>
      </c>
      <c r="Q581" t="s">
        <v>2038</v>
      </c>
      <c r="R581" t="s">
        <v>2633</v>
      </c>
      <c r="S581">
        <v>37</v>
      </c>
      <c r="T581" s="43" t="str">
        <f t="shared" si="24"/>
        <v>2021.010B.R.Binomial_names.zip</v>
      </c>
      <c r="U581" s="43" t="str">
        <f>HYPERLINK("https://ictv.global/taxonomy/taxondetails?taxnode_id=202208340","ictv.global=202208340")</f>
        <v>ictv.global=202208340</v>
      </c>
    </row>
    <row r="582" spans="1:21">
      <c r="A582">
        <v>581</v>
      </c>
      <c r="B582" s="29" t="s">
        <v>3682</v>
      </c>
      <c r="C582" s="29"/>
      <c r="D582" s="29" t="s">
        <v>3683</v>
      </c>
      <c r="E582" s="29"/>
      <c r="F582" s="29" t="s">
        <v>3686</v>
      </c>
      <c r="G582" s="29"/>
      <c r="H582" s="29" t="s">
        <v>3687</v>
      </c>
      <c r="I582" s="29"/>
      <c r="J582" s="29"/>
      <c r="K582" s="29"/>
      <c r="L582" s="29" t="s">
        <v>3689</v>
      </c>
      <c r="M582" s="29" t="s">
        <v>3727</v>
      </c>
      <c r="N582" s="29" t="s">
        <v>3728</v>
      </c>
      <c r="O582" s="29"/>
      <c r="P582" s="29" t="s">
        <v>7581</v>
      </c>
      <c r="Q582" t="s">
        <v>2038</v>
      </c>
      <c r="R582" t="s">
        <v>2633</v>
      </c>
      <c r="S582">
        <v>37</v>
      </c>
      <c r="T582" s="43" t="str">
        <f t="shared" si="24"/>
        <v>2021.010B.R.Binomial_names.zip</v>
      </c>
      <c r="U582" s="43" t="str">
        <f>HYPERLINK("https://ictv.global/taxonomy/taxondetails?taxnode_id=202208550","ictv.global=202208550")</f>
        <v>ictv.global=202208550</v>
      </c>
    </row>
    <row r="583" spans="1:21">
      <c r="A583">
        <v>582</v>
      </c>
      <c r="B583" s="29" t="s">
        <v>3682</v>
      </c>
      <c r="C583" s="29"/>
      <c r="D583" s="29" t="s">
        <v>3683</v>
      </c>
      <c r="E583" s="29"/>
      <c r="F583" s="29" t="s">
        <v>3686</v>
      </c>
      <c r="G583" s="29"/>
      <c r="H583" s="29" t="s">
        <v>3687</v>
      </c>
      <c r="I583" s="29"/>
      <c r="J583" s="29"/>
      <c r="K583" s="29"/>
      <c r="L583" s="29" t="s">
        <v>3689</v>
      </c>
      <c r="M583" s="29" t="s">
        <v>3727</v>
      </c>
      <c r="N583" s="29" t="s">
        <v>3445</v>
      </c>
      <c r="O583" s="29"/>
      <c r="P583" s="29" t="s">
        <v>7582</v>
      </c>
      <c r="Q583" t="s">
        <v>2038</v>
      </c>
      <c r="R583" t="s">
        <v>2633</v>
      </c>
      <c r="S583">
        <v>37</v>
      </c>
      <c r="T583" s="43" t="str">
        <f t="shared" si="24"/>
        <v>2021.010B.R.Binomial_names.zip</v>
      </c>
      <c r="U583" s="43" t="str">
        <f>HYPERLINK("https://ictv.global/taxonomy/taxondetails?taxnode_id=202208543","ictv.global=202208543")</f>
        <v>ictv.global=202208543</v>
      </c>
    </row>
    <row r="584" spans="1:21">
      <c r="A584">
        <v>583</v>
      </c>
      <c r="B584" s="29" t="s">
        <v>3682</v>
      </c>
      <c r="C584" s="29"/>
      <c r="D584" s="29" t="s">
        <v>3683</v>
      </c>
      <c r="E584" s="29"/>
      <c r="F584" s="29" t="s">
        <v>3686</v>
      </c>
      <c r="G584" s="29"/>
      <c r="H584" s="29" t="s">
        <v>3687</v>
      </c>
      <c r="I584" s="29"/>
      <c r="J584" s="29"/>
      <c r="K584" s="29"/>
      <c r="L584" s="29" t="s">
        <v>3689</v>
      </c>
      <c r="M584" s="29" t="s">
        <v>3727</v>
      </c>
      <c r="N584" s="29" t="s">
        <v>3445</v>
      </c>
      <c r="O584" s="29"/>
      <c r="P584" s="29" t="s">
        <v>7583</v>
      </c>
      <c r="Q584" t="s">
        <v>2038</v>
      </c>
      <c r="R584" t="s">
        <v>2633</v>
      </c>
      <c r="S584">
        <v>37</v>
      </c>
      <c r="T584" s="43" t="str">
        <f t="shared" si="24"/>
        <v>2021.010B.R.Binomial_names.zip</v>
      </c>
      <c r="U584" s="43" t="str">
        <f>HYPERLINK("https://ictv.global/taxonomy/taxondetails?taxnode_id=202208536","ictv.global=202208536")</f>
        <v>ictv.global=202208536</v>
      </c>
    </row>
    <row r="585" spans="1:21">
      <c r="A585">
        <v>584</v>
      </c>
      <c r="B585" s="29" t="s">
        <v>3682</v>
      </c>
      <c r="C585" s="29"/>
      <c r="D585" s="29" t="s">
        <v>3683</v>
      </c>
      <c r="E585" s="29"/>
      <c r="F585" s="29" t="s">
        <v>3686</v>
      </c>
      <c r="G585" s="29"/>
      <c r="H585" s="29" t="s">
        <v>3687</v>
      </c>
      <c r="I585" s="29"/>
      <c r="J585" s="29"/>
      <c r="K585" s="29"/>
      <c r="L585" s="29" t="s">
        <v>3689</v>
      </c>
      <c r="M585" s="29" t="s">
        <v>3727</v>
      </c>
      <c r="N585" s="29" t="s">
        <v>3445</v>
      </c>
      <c r="O585" s="29"/>
      <c r="P585" s="29" t="s">
        <v>7584</v>
      </c>
      <c r="Q585" t="s">
        <v>2038</v>
      </c>
      <c r="R585" t="s">
        <v>2633</v>
      </c>
      <c r="S585">
        <v>37</v>
      </c>
      <c r="T585" s="43" t="str">
        <f t="shared" si="24"/>
        <v>2021.010B.R.Binomial_names.zip</v>
      </c>
      <c r="U585" s="43" t="str">
        <f>HYPERLINK("https://ictv.global/taxonomy/taxondetails?taxnode_id=202200558","ictv.global=202200558")</f>
        <v>ictv.global=202200558</v>
      </c>
    </row>
    <row r="586" spans="1:21">
      <c r="A586">
        <v>585</v>
      </c>
      <c r="B586" s="29" t="s">
        <v>3682</v>
      </c>
      <c r="C586" s="29"/>
      <c r="D586" s="29" t="s">
        <v>3683</v>
      </c>
      <c r="E586" s="29"/>
      <c r="F586" s="29" t="s">
        <v>3686</v>
      </c>
      <c r="G586" s="29"/>
      <c r="H586" s="29" t="s">
        <v>3687</v>
      </c>
      <c r="I586" s="29"/>
      <c r="J586" s="29"/>
      <c r="K586" s="29"/>
      <c r="L586" s="29" t="s">
        <v>3689</v>
      </c>
      <c r="M586" s="29" t="s">
        <v>3727</v>
      </c>
      <c r="N586" s="29" t="s">
        <v>3445</v>
      </c>
      <c r="O586" s="29"/>
      <c r="P586" s="29" t="s">
        <v>7585</v>
      </c>
      <c r="Q586" t="s">
        <v>2038</v>
      </c>
      <c r="R586" t="s">
        <v>2633</v>
      </c>
      <c r="S586">
        <v>37</v>
      </c>
      <c r="T586" s="43" t="str">
        <f t="shared" si="24"/>
        <v>2021.010B.R.Binomial_names.zip</v>
      </c>
      <c r="U586" s="43" t="str">
        <f>HYPERLINK("https://ictv.global/taxonomy/taxondetails?taxnode_id=202200559","ictv.global=202200559")</f>
        <v>ictv.global=202200559</v>
      </c>
    </row>
    <row r="587" spans="1:21">
      <c r="A587">
        <v>586</v>
      </c>
      <c r="B587" s="29" t="s">
        <v>3682</v>
      </c>
      <c r="C587" s="29"/>
      <c r="D587" s="29" t="s">
        <v>3683</v>
      </c>
      <c r="E587" s="29"/>
      <c r="F587" s="29" t="s">
        <v>3686</v>
      </c>
      <c r="G587" s="29"/>
      <c r="H587" s="29" t="s">
        <v>3687</v>
      </c>
      <c r="I587" s="29"/>
      <c r="J587" s="29"/>
      <c r="K587" s="29"/>
      <c r="L587" s="29" t="s">
        <v>3689</v>
      </c>
      <c r="M587" s="29" t="s">
        <v>3727</v>
      </c>
      <c r="N587" s="29" t="s">
        <v>3445</v>
      </c>
      <c r="O587" s="29"/>
      <c r="P587" s="29" t="s">
        <v>7586</v>
      </c>
      <c r="Q587" t="s">
        <v>2038</v>
      </c>
      <c r="R587" t="s">
        <v>2633</v>
      </c>
      <c r="S587">
        <v>37</v>
      </c>
      <c r="T587" s="43" t="str">
        <f t="shared" si="24"/>
        <v>2021.010B.R.Binomial_names.zip</v>
      </c>
      <c r="U587" s="43" t="str">
        <f>HYPERLINK("https://ictv.global/taxonomy/taxondetails?taxnode_id=202200560","ictv.global=202200560")</f>
        <v>ictv.global=202200560</v>
      </c>
    </row>
    <row r="588" spans="1:21">
      <c r="A588">
        <v>587</v>
      </c>
      <c r="B588" s="29" t="s">
        <v>3682</v>
      </c>
      <c r="C588" s="29"/>
      <c r="D588" s="29" t="s">
        <v>3683</v>
      </c>
      <c r="E588" s="29"/>
      <c r="F588" s="29" t="s">
        <v>3686</v>
      </c>
      <c r="G588" s="29"/>
      <c r="H588" s="29" t="s">
        <v>3687</v>
      </c>
      <c r="I588" s="29"/>
      <c r="J588" s="29"/>
      <c r="K588" s="29"/>
      <c r="L588" s="29" t="s">
        <v>3689</v>
      </c>
      <c r="M588" s="29" t="s">
        <v>3727</v>
      </c>
      <c r="N588" s="29" t="s">
        <v>3445</v>
      </c>
      <c r="O588" s="29"/>
      <c r="P588" s="29" t="s">
        <v>7587</v>
      </c>
      <c r="Q588" t="s">
        <v>2038</v>
      </c>
      <c r="R588" t="s">
        <v>2633</v>
      </c>
      <c r="S588">
        <v>37</v>
      </c>
      <c r="T588" s="43" t="str">
        <f t="shared" si="24"/>
        <v>2021.010B.R.Binomial_names.zip</v>
      </c>
      <c r="U588" s="43" t="str">
        <f>HYPERLINK("https://ictv.global/taxonomy/taxondetails?taxnode_id=202200561","ictv.global=202200561")</f>
        <v>ictv.global=202200561</v>
      </c>
    </row>
    <row r="589" spans="1:21">
      <c r="A589">
        <v>588</v>
      </c>
      <c r="B589" s="29" t="s">
        <v>3682</v>
      </c>
      <c r="C589" s="29"/>
      <c r="D589" s="29" t="s">
        <v>3683</v>
      </c>
      <c r="E589" s="29"/>
      <c r="F589" s="29" t="s">
        <v>3686</v>
      </c>
      <c r="G589" s="29"/>
      <c r="H589" s="29" t="s">
        <v>3687</v>
      </c>
      <c r="I589" s="29"/>
      <c r="J589" s="29"/>
      <c r="K589" s="29"/>
      <c r="L589" s="29" t="s">
        <v>3689</v>
      </c>
      <c r="M589" s="29" t="s">
        <v>3727</v>
      </c>
      <c r="N589" s="29" t="s">
        <v>3445</v>
      </c>
      <c r="O589" s="29"/>
      <c r="P589" s="29" t="s">
        <v>7588</v>
      </c>
      <c r="Q589" t="s">
        <v>2038</v>
      </c>
      <c r="R589" t="s">
        <v>2633</v>
      </c>
      <c r="S589">
        <v>37</v>
      </c>
      <c r="T589" s="43" t="str">
        <f t="shared" si="24"/>
        <v>2021.010B.R.Binomial_names.zip</v>
      </c>
      <c r="U589" s="43" t="str">
        <f>HYPERLINK("https://ictv.global/taxonomy/taxondetails?taxnode_id=202208539","ictv.global=202208539")</f>
        <v>ictv.global=202208539</v>
      </c>
    </row>
    <row r="590" spans="1:21">
      <c r="A590">
        <v>589</v>
      </c>
      <c r="B590" s="29" t="s">
        <v>3682</v>
      </c>
      <c r="C590" s="29"/>
      <c r="D590" s="29" t="s">
        <v>3683</v>
      </c>
      <c r="E590" s="29"/>
      <c r="F590" s="29" t="s">
        <v>3686</v>
      </c>
      <c r="G590" s="29"/>
      <c r="H590" s="29" t="s">
        <v>3687</v>
      </c>
      <c r="I590" s="29"/>
      <c r="J590" s="29"/>
      <c r="K590" s="29"/>
      <c r="L590" s="29" t="s">
        <v>3689</v>
      </c>
      <c r="M590" s="29" t="s">
        <v>3727</v>
      </c>
      <c r="N590" s="29" t="s">
        <v>3445</v>
      </c>
      <c r="O590" s="29"/>
      <c r="P590" s="29" t="s">
        <v>7589</v>
      </c>
      <c r="Q590" t="s">
        <v>2038</v>
      </c>
      <c r="R590" t="s">
        <v>2633</v>
      </c>
      <c r="S590">
        <v>37</v>
      </c>
      <c r="T590" s="43" t="str">
        <f t="shared" si="24"/>
        <v>2021.010B.R.Binomial_names.zip</v>
      </c>
      <c r="U590" s="43" t="str">
        <f>HYPERLINK("https://ictv.global/taxonomy/taxondetails?taxnode_id=202208538","ictv.global=202208538")</f>
        <v>ictv.global=202208538</v>
      </c>
    </row>
    <row r="591" spans="1:21">
      <c r="A591">
        <v>590</v>
      </c>
      <c r="B591" s="29" t="s">
        <v>3682</v>
      </c>
      <c r="C591" s="29"/>
      <c r="D591" s="29" t="s">
        <v>3683</v>
      </c>
      <c r="E591" s="29"/>
      <c r="F591" s="29" t="s">
        <v>3686</v>
      </c>
      <c r="G591" s="29"/>
      <c r="H591" s="29" t="s">
        <v>3687</v>
      </c>
      <c r="I591" s="29"/>
      <c r="J591" s="29"/>
      <c r="K591" s="29"/>
      <c r="L591" s="29" t="s">
        <v>3689</v>
      </c>
      <c r="M591" s="29" t="s">
        <v>3727</v>
      </c>
      <c r="N591" s="29" t="s">
        <v>3445</v>
      </c>
      <c r="O591" s="29"/>
      <c r="P591" s="29" t="s">
        <v>7590</v>
      </c>
      <c r="Q591" t="s">
        <v>2038</v>
      </c>
      <c r="R591" t="s">
        <v>2633</v>
      </c>
      <c r="S591">
        <v>37</v>
      </c>
      <c r="T591" s="43" t="str">
        <f t="shared" si="24"/>
        <v>2021.010B.R.Binomial_names.zip</v>
      </c>
      <c r="U591" s="43" t="str">
        <f>HYPERLINK("https://ictv.global/taxonomy/taxondetails?taxnode_id=202200562","ictv.global=202200562")</f>
        <v>ictv.global=202200562</v>
      </c>
    </row>
    <row r="592" spans="1:21">
      <c r="A592">
        <v>591</v>
      </c>
      <c r="B592" s="29" t="s">
        <v>3682</v>
      </c>
      <c r="C592" s="29"/>
      <c r="D592" s="29" t="s">
        <v>3683</v>
      </c>
      <c r="E592" s="29"/>
      <c r="F592" s="29" t="s">
        <v>3686</v>
      </c>
      <c r="G592" s="29"/>
      <c r="H592" s="29" t="s">
        <v>3687</v>
      </c>
      <c r="I592" s="29"/>
      <c r="J592" s="29"/>
      <c r="K592" s="29"/>
      <c r="L592" s="29" t="s">
        <v>3689</v>
      </c>
      <c r="M592" s="29" t="s">
        <v>3727</v>
      </c>
      <c r="N592" s="29" t="s">
        <v>3445</v>
      </c>
      <c r="O592" s="29"/>
      <c r="P592" s="29" t="s">
        <v>7591</v>
      </c>
      <c r="Q592" t="s">
        <v>2038</v>
      </c>
      <c r="R592" t="s">
        <v>2633</v>
      </c>
      <c r="S592">
        <v>37</v>
      </c>
      <c r="T592" s="43" t="str">
        <f t="shared" si="24"/>
        <v>2021.010B.R.Binomial_names.zip</v>
      </c>
      <c r="U592" s="43" t="str">
        <f>HYPERLINK("https://ictv.global/taxonomy/taxondetails?taxnode_id=202208537","ictv.global=202208537")</f>
        <v>ictv.global=202208537</v>
      </c>
    </row>
    <row r="593" spans="1:21">
      <c r="A593">
        <v>592</v>
      </c>
      <c r="B593" s="29" t="s">
        <v>3682</v>
      </c>
      <c r="C593" s="29"/>
      <c r="D593" s="29" t="s">
        <v>3683</v>
      </c>
      <c r="E593" s="29"/>
      <c r="F593" s="29" t="s">
        <v>3686</v>
      </c>
      <c r="G593" s="29"/>
      <c r="H593" s="29" t="s">
        <v>3687</v>
      </c>
      <c r="I593" s="29"/>
      <c r="J593" s="29"/>
      <c r="K593" s="29"/>
      <c r="L593" s="29" t="s">
        <v>3689</v>
      </c>
      <c r="M593" s="29" t="s">
        <v>3727</v>
      </c>
      <c r="N593" s="29" t="s">
        <v>3445</v>
      </c>
      <c r="O593" s="29"/>
      <c r="P593" s="29" t="s">
        <v>7592</v>
      </c>
      <c r="Q593" t="s">
        <v>2038</v>
      </c>
      <c r="R593" t="s">
        <v>2633</v>
      </c>
      <c r="S593">
        <v>37</v>
      </c>
      <c r="T593" s="43" t="str">
        <f t="shared" si="24"/>
        <v>2021.010B.R.Binomial_names.zip</v>
      </c>
      <c r="U593" s="43" t="str">
        <f>HYPERLINK("https://ictv.global/taxonomy/taxondetails?taxnode_id=202200563","ictv.global=202200563")</f>
        <v>ictv.global=202200563</v>
      </c>
    </row>
    <row r="594" spans="1:21">
      <c r="A594">
        <v>593</v>
      </c>
      <c r="B594" s="29" t="s">
        <v>3682</v>
      </c>
      <c r="C594" s="29"/>
      <c r="D594" s="29" t="s">
        <v>3683</v>
      </c>
      <c r="E594" s="29"/>
      <c r="F594" s="29" t="s">
        <v>3686</v>
      </c>
      <c r="G594" s="29"/>
      <c r="H594" s="29" t="s">
        <v>3687</v>
      </c>
      <c r="I594" s="29"/>
      <c r="J594" s="29"/>
      <c r="K594" s="29"/>
      <c r="L594" s="29" t="s">
        <v>3689</v>
      </c>
      <c r="M594" s="29" t="s">
        <v>3727</v>
      </c>
      <c r="N594" s="29" t="s">
        <v>3445</v>
      </c>
      <c r="O594" s="29"/>
      <c r="P594" s="29" t="s">
        <v>7593</v>
      </c>
      <c r="Q594" t="s">
        <v>2038</v>
      </c>
      <c r="R594" t="s">
        <v>2633</v>
      </c>
      <c r="S594">
        <v>37</v>
      </c>
      <c r="T594" s="43" t="str">
        <f t="shared" si="24"/>
        <v>2021.010B.R.Binomial_names.zip</v>
      </c>
      <c r="U594" s="43" t="str">
        <f>HYPERLINK("https://ictv.global/taxonomy/taxondetails?taxnode_id=202208541","ictv.global=202208541")</f>
        <v>ictv.global=202208541</v>
      </c>
    </row>
    <row r="595" spans="1:21">
      <c r="A595">
        <v>594</v>
      </c>
      <c r="B595" s="29" t="s">
        <v>3682</v>
      </c>
      <c r="C595" s="29"/>
      <c r="D595" s="29" t="s">
        <v>3683</v>
      </c>
      <c r="E595" s="29"/>
      <c r="F595" s="29" t="s">
        <v>3686</v>
      </c>
      <c r="G595" s="29"/>
      <c r="H595" s="29" t="s">
        <v>3687</v>
      </c>
      <c r="I595" s="29"/>
      <c r="J595" s="29"/>
      <c r="K595" s="29"/>
      <c r="L595" s="29" t="s">
        <v>3689</v>
      </c>
      <c r="M595" s="29" t="s">
        <v>3727</v>
      </c>
      <c r="N595" s="29" t="s">
        <v>3445</v>
      </c>
      <c r="O595" s="29"/>
      <c r="P595" s="29" t="s">
        <v>7594</v>
      </c>
      <c r="Q595" t="s">
        <v>2038</v>
      </c>
      <c r="R595" t="s">
        <v>2633</v>
      </c>
      <c r="S595">
        <v>37</v>
      </c>
      <c r="T595" s="43" t="str">
        <f t="shared" si="24"/>
        <v>2021.010B.R.Binomial_names.zip</v>
      </c>
      <c r="U595" s="43" t="str">
        <f>HYPERLINK("https://ictv.global/taxonomy/taxondetails?taxnode_id=202200564","ictv.global=202200564")</f>
        <v>ictv.global=202200564</v>
      </c>
    </row>
    <row r="596" spans="1:21">
      <c r="A596">
        <v>595</v>
      </c>
      <c r="B596" s="29" t="s">
        <v>3682</v>
      </c>
      <c r="C596" s="29"/>
      <c r="D596" s="29" t="s">
        <v>3683</v>
      </c>
      <c r="E596" s="29"/>
      <c r="F596" s="29" t="s">
        <v>3686</v>
      </c>
      <c r="G596" s="29"/>
      <c r="H596" s="29" t="s">
        <v>3687</v>
      </c>
      <c r="I596" s="29"/>
      <c r="J596" s="29"/>
      <c r="K596" s="29"/>
      <c r="L596" s="29" t="s">
        <v>3689</v>
      </c>
      <c r="M596" s="29" t="s">
        <v>3727</v>
      </c>
      <c r="N596" s="29" t="s">
        <v>3445</v>
      </c>
      <c r="O596" s="29"/>
      <c r="P596" s="29" t="s">
        <v>7595</v>
      </c>
      <c r="Q596" t="s">
        <v>2038</v>
      </c>
      <c r="R596" t="s">
        <v>2633</v>
      </c>
      <c r="S596">
        <v>37</v>
      </c>
      <c r="T596" s="43" t="str">
        <f t="shared" si="24"/>
        <v>2021.010B.R.Binomial_names.zip</v>
      </c>
      <c r="U596" s="43" t="str">
        <f>HYPERLINK("https://ictv.global/taxonomy/taxondetails?taxnode_id=202208540","ictv.global=202208540")</f>
        <v>ictv.global=202208540</v>
      </c>
    </row>
    <row r="597" spans="1:21">
      <c r="A597">
        <v>596</v>
      </c>
      <c r="B597" s="29" t="s">
        <v>3682</v>
      </c>
      <c r="C597" s="29"/>
      <c r="D597" s="29" t="s">
        <v>3683</v>
      </c>
      <c r="E597" s="29"/>
      <c r="F597" s="29" t="s">
        <v>3686</v>
      </c>
      <c r="G597" s="29"/>
      <c r="H597" s="29" t="s">
        <v>3687</v>
      </c>
      <c r="I597" s="29"/>
      <c r="J597" s="29"/>
      <c r="K597" s="29"/>
      <c r="L597" s="29" t="s">
        <v>3689</v>
      </c>
      <c r="M597" s="29" t="s">
        <v>3727</v>
      </c>
      <c r="N597" s="29" t="s">
        <v>3445</v>
      </c>
      <c r="O597" s="29"/>
      <c r="P597" s="29" t="s">
        <v>7596</v>
      </c>
      <c r="Q597" t="s">
        <v>2038</v>
      </c>
      <c r="R597" t="s">
        <v>2633</v>
      </c>
      <c r="S597">
        <v>37</v>
      </c>
      <c r="T597" s="43" t="str">
        <f t="shared" si="24"/>
        <v>2021.010B.R.Binomial_names.zip</v>
      </c>
      <c r="U597" s="43" t="str">
        <f>HYPERLINK("https://ictv.global/taxonomy/taxondetails?taxnode_id=202208545","ictv.global=202208545")</f>
        <v>ictv.global=202208545</v>
      </c>
    </row>
    <row r="598" spans="1:21">
      <c r="A598">
        <v>597</v>
      </c>
      <c r="B598" s="29" t="s">
        <v>3682</v>
      </c>
      <c r="C598" s="29"/>
      <c r="D598" s="29" t="s">
        <v>3683</v>
      </c>
      <c r="E598" s="29"/>
      <c r="F598" s="29" t="s">
        <v>3686</v>
      </c>
      <c r="G598" s="29"/>
      <c r="H598" s="29" t="s">
        <v>3687</v>
      </c>
      <c r="I598" s="29"/>
      <c r="J598" s="29"/>
      <c r="K598" s="29"/>
      <c r="L598" s="29" t="s">
        <v>3689</v>
      </c>
      <c r="M598" s="29" t="s">
        <v>3727</v>
      </c>
      <c r="N598" s="29" t="s">
        <v>3445</v>
      </c>
      <c r="O598" s="29"/>
      <c r="P598" s="29" t="s">
        <v>7597</v>
      </c>
      <c r="Q598" t="s">
        <v>2038</v>
      </c>
      <c r="R598" t="s">
        <v>2633</v>
      </c>
      <c r="S598">
        <v>37</v>
      </c>
      <c r="T598" s="43" t="str">
        <f t="shared" si="24"/>
        <v>2021.010B.R.Binomial_names.zip</v>
      </c>
      <c r="U598" s="43" t="str">
        <f>HYPERLINK("https://ictv.global/taxonomy/taxondetails?taxnode_id=202208544","ictv.global=202208544")</f>
        <v>ictv.global=202208544</v>
      </c>
    </row>
    <row r="599" spans="1:21">
      <c r="A599">
        <v>598</v>
      </c>
      <c r="B599" s="29" t="s">
        <v>3682</v>
      </c>
      <c r="C599" s="29"/>
      <c r="D599" s="29" t="s">
        <v>3683</v>
      </c>
      <c r="E599" s="29"/>
      <c r="F599" s="29" t="s">
        <v>3686</v>
      </c>
      <c r="G599" s="29"/>
      <c r="H599" s="29" t="s">
        <v>3687</v>
      </c>
      <c r="I599" s="29"/>
      <c r="J599" s="29"/>
      <c r="K599" s="29"/>
      <c r="L599" s="29" t="s">
        <v>3689</v>
      </c>
      <c r="M599" s="29" t="s">
        <v>3727</v>
      </c>
      <c r="N599" s="29" t="s">
        <v>3445</v>
      </c>
      <c r="O599" s="29"/>
      <c r="P599" s="29" t="s">
        <v>7598</v>
      </c>
      <c r="Q599" t="s">
        <v>2038</v>
      </c>
      <c r="R599" t="s">
        <v>2633</v>
      </c>
      <c r="S599">
        <v>37</v>
      </c>
      <c r="T599" s="43" t="str">
        <f t="shared" si="24"/>
        <v>2021.010B.R.Binomial_names.zip</v>
      </c>
      <c r="U599" s="43" t="str">
        <f>HYPERLINK("https://ictv.global/taxonomy/taxondetails?taxnode_id=202208542","ictv.global=202208542")</f>
        <v>ictv.global=202208542</v>
      </c>
    </row>
    <row r="600" spans="1:21">
      <c r="A600">
        <v>599</v>
      </c>
      <c r="B600" s="29" t="s">
        <v>3682</v>
      </c>
      <c r="C600" s="29"/>
      <c r="D600" s="29" t="s">
        <v>3683</v>
      </c>
      <c r="E600" s="29"/>
      <c r="F600" s="29" t="s">
        <v>3686</v>
      </c>
      <c r="G600" s="29"/>
      <c r="H600" s="29" t="s">
        <v>3687</v>
      </c>
      <c r="I600" s="29"/>
      <c r="J600" s="29"/>
      <c r="K600" s="29"/>
      <c r="L600" s="29" t="s">
        <v>3689</v>
      </c>
      <c r="M600" s="29" t="s">
        <v>3727</v>
      </c>
      <c r="N600" s="29" t="s">
        <v>3445</v>
      </c>
      <c r="O600" s="29"/>
      <c r="P600" s="29" t="s">
        <v>7599</v>
      </c>
      <c r="Q600" t="s">
        <v>2038</v>
      </c>
      <c r="R600" t="s">
        <v>2633</v>
      </c>
      <c r="S600">
        <v>37</v>
      </c>
      <c r="T600" s="43" t="str">
        <f t="shared" si="24"/>
        <v>2021.010B.R.Binomial_names.zip</v>
      </c>
      <c r="U600" s="43" t="str">
        <f>HYPERLINK("https://ictv.global/taxonomy/taxondetails?taxnode_id=202200565","ictv.global=202200565")</f>
        <v>ictv.global=202200565</v>
      </c>
    </row>
    <row r="601" spans="1:21">
      <c r="A601">
        <v>600</v>
      </c>
      <c r="B601" s="29" t="s">
        <v>3682</v>
      </c>
      <c r="C601" s="29"/>
      <c r="D601" s="29" t="s">
        <v>3683</v>
      </c>
      <c r="E601" s="29"/>
      <c r="F601" s="29" t="s">
        <v>3686</v>
      </c>
      <c r="G601" s="29"/>
      <c r="H601" s="29" t="s">
        <v>3687</v>
      </c>
      <c r="I601" s="29"/>
      <c r="J601" s="29"/>
      <c r="K601" s="29"/>
      <c r="L601" s="29" t="s">
        <v>3689</v>
      </c>
      <c r="M601" s="29" t="s">
        <v>3727</v>
      </c>
      <c r="N601" s="29" t="s">
        <v>3445</v>
      </c>
      <c r="O601" s="29"/>
      <c r="P601" s="29" t="s">
        <v>7600</v>
      </c>
      <c r="Q601" t="s">
        <v>2038</v>
      </c>
      <c r="R601" t="s">
        <v>2633</v>
      </c>
      <c r="S601">
        <v>37</v>
      </c>
      <c r="T601" s="43" t="str">
        <f t="shared" si="24"/>
        <v>2021.010B.R.Binomial_names.zip</v>
      </c>
      <c r="U601" s="43" t="str">
        <f>HYPERLINK("https://ictv.global/taxonomy/taxondetails?taxnode_id=202200566","ictv.global=202200566")</f>
        <v>ictv.global=202200566</v>
      </c>
    </row>
    <row r="602" spans="1:21">
      <c r="A602">
        <v>601</v>
      </c>
      <c r="B602" s="29" t="s">
        <v>3682</v>
      </c>
      <c r="C602" s="29"/>
      <c r="D602" s="29" t="s">
        <v>3683</v>
      </c>
      <c r="E602" s="29"/>
      <c r="F602" s="29" t="s">
        <v>3686</v>
      </c>
      <c r="G602" s="29"/>
      <c r="H602" s="29" t="s">
        <v>3687</v>
      </c>
      <c r="I602" s="29"/>
      <c r="J602" s="29"/>
      <c r="K602" s="29"/>
      <c r="L602" s="29" t="s">
        <v>3689</v>
      </c>
      <c r="M602" s="29" t="s">
        <v>3727</v>
      </c>
      <c r="N602" s="29" t="s">
        <v>3729</v>
      </c>
      <c r="O602" s="29"/>
      <c r="P602" s="29" t="s">
        <v>7601</v>
      </c>
      <c r="Q602" t="s">
        <v>2038</v>
      </c>
      <c r="R602" t="s">
        <v>2633</v>
      </c>
      <c r="S602">
        <v>37</v>
      </c>
      <c r="T602" s="43" t="str">
        <f t="shared" ref="T602:T621" si="25">HYPERLINK("https://ictv.global/ictv/proposals/2021.010B.R.Binomial_names.zip","2021.010B.R.Binomial_names.zip")</f>
        <v>2021.010B.R.Binomial_names.zip</v>
      </c>
      <c r="U602" s="43" t="str">
        <f>HYPERLINK("https://ictv.global/taxonomy/taxondetails?taxnode_id=202208552","ictv.global=202208552")</f>
        <v>ictv.global=202208552</v>
      </c>
    </row>
    <row r="603" spans="1:21">
      <c r="A603">
        <v>602</v>
      </c>
      <c r="B603" s="29" t="s">
        <v>3682</v>
      </c>
      <c r="C603" s="29"/>
      <c r="D603" s="29" t="s">
        <v>3683</v>
      </c>
      <c r="E603" s="29"/>
      <c r="F603" s="29" t="s">
        <v>3686</v>
      </c>
      <c r="G603" s="29"/>
      <c r="H603" s="29" t="s">
        <v>3687</v>
      </c>
      <c r="I603" s="29"/>
      <c r="J603" s="29"/>
      <c r="K603" s="29"/>
      <c r="L603" s="29" t="s">
        <v>3689</v>
      </c>
      <c r="M603" s="29" t="s">
        <v>3727</v>
      </c>
      <c r="N603" s="29" t="s">
        <v>3730</v>
      </c>
      <c r="O603" s="29"/>
      <c r="P603" s="29" t="s">
        <v>7602</v>
      </c>
      <c r="Q603" t="s">
        <v>2038</v>
      </c>
      <c r="R603" t="s">
        <v>2633</v>
      </c>
      <c r="S603">
        <v>37</v>
      </c>
      <c r="T603" s="43" t="str">
        <f t="shared" si="25"/>
        <v>2021.010B.R.Binomial_names.zip</v>
      </c>
      <c r="U603" s="43" t="str">
        <f>HYPERLINK("https://ictv.global/taxonomy/taxondetails?taxnode_id=202208547","ictv.global=202208547")</f>
        <v>ictv.global=202208547</v>
      </c>
    </row>
    <row r="604" spans="1:21">
      <c r="A604">
        <v>603</v>
      </c>
      <c r="B604" s="29" t="s">
        <v>3682</v>
      </c>
      <c r="C604" s="29"/>
      <c r="D604" s="29" t="s">
        <v>3683</v>
      </c>
      <c r="E604" s="29"/>
      <c r="F604" s="29" t="s">
        <v>3686</v>
      </c>
      <c r="G604" s="29"/>
      <c r="H604" s="29" t="s">
        <v>3687</v>
      </c>
      <c r="I604" s="29"/>
      <c r="J604" s="29"/>
      <c r="K604" s="29"/>
      <c r="L604" s="29" t="s">
        <v>3689</v>
      </c>
      <c r="M604" s="29" t="s">
        <v>3727</v>
      </c>
      <c r="N604" s="29" t="s">
        <v>3730</v>
      </c>
      <c r="O604" s="29"/>
      <c r="P604" s="29" t="s">
        <v>7603</v>
      </c>
      <c r="Q604" t="s">
        <v>2038</v>
      </c>
      <c r="R604" t="s">
        <v>2633</v>
      </c>
      <c r="S604">
        <v>37</v>
      </c>
      <c r="T604" s="43" t="str">
        <f t="shared" si="25"/>
        <v>2021.010B.R.Binomial_names.zip</v>
      </c>
      <c r="U604" s="43" t="str">
        <f>HYPERLINK("https://ictv.global/taxonomy/taxondetails?taxnode_id=202208548","ictv.global=202208548")</f>
        <v>ictv.global=202208548</v>
      </c>
    </row>
    <row r="605" spans="1:21">
      <c r="A605">
        <v>604</v>
      </c>
      <c r="B605" s="29" t="s">
        <v>3682</v>
      </c>
      <c r="C605" s="29"/>
      <c r="D605" s="29" t="s">
        <v>3683</v>
      </c>
      <c r="E605" s="29"/>
      <c r="F605" s="29" t="s">
        <v>3686</v>
      </c>
      <c r="G605" s="29"/>
      <c r="H605" s="29" t="s">
        <v>3687</v>
      </c>
      <c r="I605" s="29"/>
      <c r="J605" s="29"/>
      <c r="K605" s="29"/>
      <c r="L605" s="29" t="s">
        <v>3689</v>
      </c>
      <c r="M605" s="29" t="s">
        <v>3731</v>
      </c>
      <c r="N605" s="29" t="s">
        <v>3732</v>
      </c>
      <c r="O605" s="29"/>
      <c r="P605" s="29" t="s">
        <v>7604</v>
      </c>
      <c r="Q605" t="s">
        <v>2038</v>
      </c>
      <c r="R605" t="s">
        <v>2633</v>
      </c>
      <c r="S605">
        <v>37</v>
      </c>
      <c r="T605" s="43" t="str">
        <f t="shared" si="25"/>
        <v>2021.010B.R.Binomial_names.zip</v>
      </c>
      <c r="U605" s="43" t="str">
        <f>HYPERLINK("https://ictv.global/taxonomy/taxondetails?taxnode_id=202208380","ictv.global=202208380")</f>
        <v>ictv.global=202208380</v>
      </c>
    </row>
    <row r="606" spans="1:21">
      <c r="A606">
        <v>605</v>
      </c>
      <c r="B606" s="29" t="s">
        <v>3682</v>
      </c>
      <c r="C606" s="29"/>
      <c r="D606" s="29" t="s">
        <v>3683</v>
      </c>
      <c r="E606" s="29"/>
      <c r="F606" s="29" t="s">
        <v>3686</v>
      </c>
      <c r="G606" s="29"/>
      <c r="H606" s="29" t="s">
        <v>3687</v>
      </c>
      <c r="I606" s="29"/>
      <c r="J606" s="29"/>
      <c r="K606" s="29"/>
      <c r="L606" s="29" t="s">
        <v>3689</v>
      </c>
      <c r="M606" s="29" t="s">
        <v>3731</v>
      </c>
      <c r="N606" s="29" t="s">
        <v>3732</v>
      </c>
      <c r="O606" s="29"/>
      <c r="P606" s="29" t="s">
        <v>7605</v>
      </c>
      <c r="Q606" t="s">
        <v>2038</v>
      </c>
      <c r="R606" t="s">
        <v>2633</v>
      </c>
      <c r="S606">
        <v>37</v>
      </c>
      <c r="T606" s="43" t="str">
        <f t="shared" si="25"/>
        <v>2021.010B.R.Binomial_names.zip</v>
      </c>
      <c r="U606" s="43" t="str">
        <f>HYPERLINK("https://ictv.global/taxonomy/taxondetails?taxnode_id=202208381","ictv.global=202208381")</f>
        <v>ictv.global=202208381</v>
      </c>
    </row>
    <row r="607" spans="1:21">
      <c r="A607">
        <v>606</v>
      </c>
      <c r="B607" s="29" t="s">
        <v>3682</v>
      </c>
      <c r="C607" s="29"/>
      <c r="D607" s="29" t="s">
        <v>3683</v>
      </c>
      <c r="E607" s="29"/>
      <c r="F607" s="29" t="s">
        <v>3686</v>
      </c>
      <c r="G607" s="29"/>
      <c r="H607" s="29" t="s">
        <v>3687</v>
      </c>
      <c r="I607" s="29"/>
      <c r="J607" s="29"/>
      <c r="K607" s="29"/>
      <c r="L607" s="29" t="s">
        <v>3689</v>
      </c>
      <c r="M607" s="29" t="s">
        <v>3731</v>
      </c>
      <c r="N607" s="29" t="s">
        <v>3732</v>
      </c>
      <c r="O607" s="29"/>
      <c r="P607" s="29" t="s">
        <v>7606</v>
      </c>
      <c r="Q607" t="s">
        <v>2038</v>
      </c>
      <c r="R607" t="s">
        <v>2633</v>
      </c>
      <c r="S607">
        <v>37</v>
      </c>
      <c r="T607" s="43" t="str">
        <f t="shared" si="25"/>
        <v>2021.010B.R.Binomial_names.zip</v>
      </c>
      <c r="U607" s="43" t="str">
        <f>HYPERLINK("https://ictv.global/taxonomy/taxondetails?taxnode_id=202208382","ictv.global=202208382")</f>
        <v>ictv.global=202208382</v>
      </c>
    </row>
    <row r="608" spans="1:21">
      <c r="A608">
        <v>607</v>
      </c>
      <c r="B608" s="29" t="s">
        <v>3682</v>
      </c>
      <c r="C608" s="29"/>
      <c r="D608" s="29" t="s">
        <v>3683</v>
      </c>
      <c r="E608" s="29"/>
      <c r="F608" s="29" t="s">
        <v>3686</v>
      </c>
      <c r="G608" s="29"/>
      <c r="H608" s="29" t="s">
        <v>3687</v>
      </c>
      <c r="I608" s="29"/>
      <c r="J608" s="29"/>
      <c r="K608" s="29"/>
      <c r="L608" s="29" t="s">
        <v>3689</v>
      </c>
      <c r="M608" s="29" t="s">
        <v>3731</v>
      </c>
      <c r="N608" s="29" t="s">
        <v>3732</v>
      </c>
      <c r="O608" s="29"/>
      <c r="P608" s="29" t="s">
        <v>7607</v>
      </c>
      <c r="Q608" t="s">
        <v>2038</v>
      </c>
      <c r="R608" t="s">
        <v>2633</v>
      </c>
      <c r="S608">
        <v>37</v>
      </c>
      <c r="T608" s="43" t="str">
        <f t="shared" si="25"/>
        <v>2021.010B.R.Binomial_names.zip</v>
      </c>
      <c r="U608" s="43" t="str">
        <f>HYPERLINK("https://ictv.global/taxonomy/taxondetails?taxnode_id=202208383","ictv.global=202208383")</f>
        <v>ictv.global=202208383</v>
      </c>
    </row>
    <row r="609" spans="1:21">
      <c r="A609">
        <v>608</v>
      </c>
      <c r="B609" s="29" t="s">
        <v>3682</v>
      </c>
      <c r="C609" s="29"/>
      <c r="D609" s="29" t="s">
        <v>3683</v>
      </c>
      <c r="E609" s="29"/>
      <c r="F609" s="29" t="s">
        <v>3686</v>
      </c>
      <c r="G609" s="29"/>
      <c r="H609" s="29" t="s">
        <v>3687</v>
      </c>
      <c r="I609" s="29"/>
      <c r="J609" s="29"/>
      <c r="K609" s="29"/>
      <c r="L609" s="29" t="s">
        <v>3689</v>
      </c>
      <c r="M609" s="29" t="s">
        <v>3731</v>
      </c>
      <c r="N609" s="29" t="s">
        <v>3733</v>
      </c>
      <c r="O609" s="29"/>
      <c r="P609" s="29" t="s">
        <v>7608</v>
      </c>
      <c r="Q609" t="s">
        <v>2038</v>
      </c>
      <c r="R609" t="s">
        <v>2633</v>
      </c>
      <c r="S609">
        <v>37</v>
      </c>
      <c r="T609" s="43" t="str">
        <f t="shared" si="25"/>
        <v>2021.010B.R.Binomial_names.zip</v>
      </c>
      <c r="U609" s="43" t="str">
        <f>HYPERLINK("https://ictv.global/taxonomy/taxondetails?taxnode_id=202208429","ictv.global=202208429")</f>
        <v>ictv.global=202208429</v>
      </c>
    </row>
    <row r="610" spans="1:21">
      <c r="A610">
        <v>609</v>
      </c>
      <c r="B610" s="29" t="s">
        <v>3682</v>
      </c>
      <c r="C610" s="29"/>
      <c r="D610" s="29" t="s">
        <v>3683</v>
      </c>
      <c r="E610" s="29"/>
      <c r="F610" s="29" t="s">
        <v>3686</v>
      </c>
      <c r="G610" s="29"/>
      <c r="H610" s="29" t="s">
        <v>3687</v>
      </c>
      <c r="I610" s="29"/>
      <c r="J610" s="29"/>
      <c r="K610" s="29"/>
      <c r="L610" s="29" t="s">
        <v>3689</v>
      </c>
      <c r="M610" s="29" t="s">
        <v>3731</v>
      </c>
      <c r="N610" s="29" t="s">
        <v>3734</v>
      </c>
      <c r="O610" s="29"/>
      <c r="P610" s="29" t="s">
        <v>7609</v>
      </c>
      <c r="Q610" t="s">
        <v>2038</v>
      </c>
      <c r="R610" t="s">
        <v>2633</v>
      </c>
      <c r="S610">
        <v>37</v>
      </c>
      <c r="T610" s="43" t="str">
        <f t="shared" si="25"/>
        <v>2021.010B.R.Binomial_names.zip</v>
      </c>
      <c r="U610" s="43" t="str">
        <f>HYPERLINK("https://ictv.global/taxonomy/taxondetails?taxnode_id=202208391","ictv.global=202208391")</f>
        <v>ictv.global=202208391</v>
      </c>
    </row>
    <row r="611" spans="1:21">
      <c r="A611">
        <v>610</v>
      </c>
      <c r="B611" s="29" t="s">
        <v>3682</v>
      </c>
      <c r="C611" s="29"/>
      <c r="D611" s="29" t="s">
        <v>3683</v>
      </c>
      <c r="E611" s="29"/>
      <c r="F611" s="29" t="s">
        <v>3686</v>
      </c>
      <c r="G611" s="29"/>
      <c r="H611" s="29" t="s">
        <v>3687</v>
      </c>
      <c r="I611" s="29"/>
      <c r="J611" s="29"/>
      <c r="K611" s="29"/>
      <c r="L611" s="29" t="s">
        <v>3689</v>
      </c>
      <c r="M611" s="29" t="s">
        <v>3731</v>
      </c>
      <c r="N611" s="29" t="s">
        <v>3734</v>
      </c>
      <c r="O611" s="29"/>
      <c r="P611" s="29" t="s">
        <v>7610</v>
      </c>
      <c r="Q611" t="s">
        <v>2038</v>
      </c>
      <c r="R611" t="s">
        <v>2633</v>
      </c>
      <c r="S611">
        <v>37</v>
      </c>
      <c r="T611" s="43" t="str">
        <f t="shared" si="25"/>
        <v>2021.010B.R.Binomial_names.zip</v>
      </c>
      <c r="U611" s="43" t="str">
        <f>HYPERLINK("https://ictv.global/taxonomy/taxondetails?taxnode_id=202208401","ictv.global=202208401")</f>
        <v>ictv.global=202208401</v>
      </c>
    </row>
    <row r="612" spans="1:21">
      <c r="A612">
        <v>611</v>
      </c>
      <c r="B612" s="29" t="s">
        <v>3682</v>
      </c>
      <c r="C612" s="29"/>
      <c r="D612" s="29" t="s">
        <v>3683</v>
      </c>
      <c r="E612" s="29"/>
      <c r="F612" s="29" t="s">
        <v>3686</v>
      </c>
      <c r="G612" s="29"/>
      <c r="H612" s="29" t="s">
        <v>3687</v>
      </c>
      <c r="I612" s="29"/>
      <c r="J612" s="29"/>
      <c r="K612" s="29"/>
      <c r="L612" s="29" t="s">
        <v>3689</v>
      </c>
      <c r="M612" s="29" t="s">
        <v>3731</v>
      </c>
      <c r="N612" s="29" t="s">
        <v>3734</v>
      </c>
      <c r="O612" s="29"/>
      <c r="P612" s="29" t="s">
        <v>7611</v>
      </c>
      <c r="Q612" t="s">
        <v>2038</v>
      </c>
      <c r="R612" t="s">
        <v>2633</v>
      </c>
      <c r="S612">
        <v>37</v>
      </c>
      <c r="T612" s="43" t="str">
        <f t="shared" si="25"/>
        <v>2021.010B.R.Binomial_names.zip</v>
      </c>
      <c r="U612" s="43" t="str">
        <f>HYPERLINK("https://ictv.global/taxonomy/taxondetails?taxnode_id=202208390","ictv.global=202208390")</f>
        <v>ictv.global=202208390</v>
      </c>
    </row>
    <row r="613" spans="1:21">
      <c r="A613">
        <v>612</v>
      </c>
      <c r="B613" s="29" t="s">
        <v>3682</v>
      </c>
      <c r="C613" s="29"/>
      <c r="D613" s="29" t="s">
        <v>3683</v>
      </c>
      <c r="E613" s="29"/>
      <c r="F613" s="29" t="s">
        <v>3686</v>
      </c>
      <c r="G613" s="29"/>
      <c r="H613" s="29" t="s">
        <v>3687</v>
      </c>
      <c r="I613" s="29"/>
      <c r="J613" s="29"/>
      <c r="K613" s="29"/>
      <c r="L613" s="29" t="s">
        <v>3689</v>
      </c>
      <c r="M613" s="29" t="s">
        <v>3731</v>
      </c>
      <c r="N613" s="29" t="s">
        <v>3734</v>
      </c>
      <c r="O613" s="29"/>
      <c r="P613" s="29" t="s">
        <v>7612</v>
      </c>
      <c r="Q613" t="s">
        <v>2038</v>
      </c>
      <c r="R613" t="s">
        <v>2633</v>
      </c>
      <c r="S613">
        <v>37</v>
      </c>
      <c r="T613" s="43" t="str">
        <f t="shared" si="25"/>
        <v>2021.010B.R.Binomial_names.zip</v>
      </c>
      <c r="U613" s="43" t="str">
        <f>HYPERLINK("https://ictv.global/taxonomy/taxondetails?taxnode_id=202208388","ictv.global=202208388")</f>
        <v>ictv.global=202208388</v>
      </c>
    </row>
    <row r="614" spans="1:21">
      <c r="A614">
        <v>613</v>
      </c>
      <c r="B614" s="29" t="s">
        <v>3682</v>
      </c>
      <c r="C614" s="29"/>
      <c r="D614" s="29" t="s">
        <v>3683</v>
      </c>
      <c r="E614" s="29"/>
      <c r="F614" s="29" t="s">
        <v>3686</v>
      </c>
      <c r="G614" s="29"/>
      <c r="H614" s="29" t="s">
        <v>3687</v>
      </c>
      <c r="I614" s="29"/>
      <c r="J614" s="29"/>
      <c r="K614" s="29"/>
      <c r="L614" s="29" t="s">
        <v>3689</v>
      </c>
      <c r="M614" s="29" t="s">
        <v>3731</v>
      </c>
      <c r="N614" s="29" t="s">
        <v>3734</v>
      </c>
      <c r="O614" s="29"/>
      <c r="P614" s="29" t="s">
        <v>7613</v>
      </c>
      <c r="Q614" t="s">
        <v>2038</v>
      </c>
      <c r="R614" t="s">
        <v>2633</v>
      </c>
      <c r="S614">
        <v>37</v>
      </c>
      <c r="T614" s="43" t="str">
        <f t="shared" si="25"/>
        <v>2021.010B.R.Binomial_names.zip</v>
      </c>
      <c r="U614" s="43" t="str">
        <f>HYPERLINK("https://ictv.global/taxonomy/taxondetails?taxnode_id=202208394","ictv.global=202208394")</f>
        <v>ictv.global=202208394</v>
      </c>
    </row>
    <row r="615" spans="1:21">
      <c r="A615">
        <v>614</v>
      </c>
      <c r="B615" s="29" t="s">
        <v>3682</v>
      </c>
      <c r="C615" s="29"/>
      <c r="D615" s="29" t="s">
        <v>3683</v>
      </c>
      <c r="E615" s="29"/>
      <c r="F615" s="29" t="s">
        <v>3686</v>
      </c>
      <c r="G615" s="29"/>
      <c r="H615" s="29" t="s">
        <v>3687</v>
      </c>
      <c r="I615" s="29"/>
      <c r="J615" s="29"/>
      <c r="K615" s="29"/>
      <c r="L615" s="29" t="s">
        <v>3689</v>
      </c>
      <c r="M615" s="29" t="s">
        <v>3731</v>
      </c>
      <c r="N615" s="29" t="s">
        <v>3734</v>
      </c>
      <c r="O615" s="29"/>
      <c r="P615" s="29" t="s">
        <v>7614</v>
      </c>
      <c r="Q615" t="s">
        <v>2038</v>
      </c>
      <c r="R615" t="s">
        <v>2633</v>
      </c>
      <c r="S615">
        <v>37</v>
      </c>
      <c r="T615" s="43" t="str">
        <f t="shared" si="25"/>
        <v>2021.010B.R.Binomial_names.zip</v>
      </c>
      <c r="U615" s="43" t="str">
        <f>HYPERLINK("https://ictv.global/taxonomy/taxondetails?taxnode_id=202208398","ictv.global=202208398")</f>
        <v>ictv.global=202208398</v>
      </c>
    </row>
    <row r="616" spans="1:21">
      <c r="A616">
        <v>615</v>
      </c>
      <c r="B616" s="29" t="s">
        <v>3682</v>
      </c>
      <c r="C616" s="29"/>
      <c r="D616" s="29" t="s">
        <v>3683</v>
      </c>
      <c r="E616" s="29"/>
      <c r="F616" s="29" t="s">
        <v>3686</v>
      </c>
      <c r="G616" s="29"/>
      <c r="H616" s="29" t="s">
        <v>3687</v>
      </c>
      <c r="I616" s="29"/>
      <c r="J616" s="29"/>
      <c r="K616" s="29"/>
      <c r="L616" s="29" t="s">
        <v>3689</v>
      </c>
      <c r="M616" s="29" t="s">
        <v>3731</v>
      </c>
      <c r="N616" s="29" t="s">
        <v>3734</v>
      </c>
      <c r="O616" s="29"/>
      <c r="P616" s="29" t="s">
        <v>7615</v>
      </c>
      <c r="Q616" t="s">
        <v>2038</v>
      </c>
      <c r="R616" t="s">
        <v>2633</v>
      </c>
      <c r="S616">
        <v>37</v>
      </c>
      <c r="T616" s="43" t="str">
        <f t="shared" si="25"/>
        <v>2021.010B.R.Binomial_names.zip</v>
      </c>
      <c r="U616" s="43" t="str">
        <f>HYPERLINK("https://ictv.global/taxonomy/taxondetails?taxnode_id=202208393","ictv.global=202208393")</f>
        <v>ictv.global=202208393</v>
      </c>
    </row>
    <row r="617" spans="1:21">
      <c r="A617">
        <v>616</v>
      </c>
      <c r="B617" s="29" t="s">
        <v>3682</v>
      </c>
      <c r="C617" s="29"/>
      <c r="D617" s="29" t="s">
        <v>3683</v>
      </c>
      <c r="E617" s="29"/>
      <c r="F617" s="29" t="s">
        <v>3686</v>
      </c>
      <c r="G617" s="29"/>
      <c r="H617" s="29" t="s">
        <v>3687</v>
      </c>
      <c r="I617" s="29"/>
      <c r="J617" s="29"/>
      <c r="K617" s="29"/>
      <c r="L617" s="29" t="s">
        <v>3689</v>
      </c>
      <c r="M617" s="29" t="s">
        <v>3731</v>
      </c>
      <c r="N617" s="29" t="s">
        <v>3734</v>
      </c>
      <c r="O617" s="29"/>
      <c r="P617" s="29" t="s">
        <v>7616</v>
      </c>
      <c r="Q617" t="s">
        <v>2038</v>
      </c>
      <c r="R617" t="s">
        <v>2633</v>
      </c>
      <c r="S617">
        <v>37</v>
      </c>
      <c r="T617" s="43" t="str">
        <f t="shared" si="25"/>
        <v>2021.010B.R.Binomial_names.zip</v>
      </c>
      <c r="U617" s="43" t="str">
        <f>HYPERLINK("https://ictv.global/taxonomy/taxondetails?taxnode_id=202200584","ictv.global=202200584")</f>
        <v>ictv.global=202200584</v>
      </c>
    </row>
    <row r="618" spans="1:21">
      <c r="A618">
        <v>617</v>
      </c>
      <c r="B618" s="29" t="s">
        <v>3682</v>
      </c>
      <c r="C618" s="29"/>
      <c r="D618" s="29" t="s">
        <v>3683</v>
      </c>
      <c r="E618" s="29"/>
      <c r="F618" s="29" t="s">
        <v>3686</v>
      </c>
      <c r="G618" s="29"/>
      <c r="H618" s="29" t="s">
        <v>3687</v>
      </c>
      <c r="I618" s="29"/>
      <c r="J618" s="29"/>
      <c r="K618" s="29"/>
      <c r="L618" s="29" t="s">
        <v>3689</v>
      </c>
      <c r="M618" s="29" t="s">
        <v>3731</v>
      </c>
      <c r="N618" s="29" t="s">
        <v>3734</v>
      </c>
      <c r="O618" s="29"/>
      <c r="P618" s="29" t="s">
        <v>7617</v>
      </c>
      <c r="Q618" t="s">
        <v>2038</v>
      </c>
      <c r="R618" t="s">
        <v>2633</v>
      </c>
      <c r="S618">
        <v>37</v>
      </c>
      <c r="T618" s="43" t="str">
        <f t="shared" si="25"/>
        <v>2021.010B.R.Binomial_names.zip</v>
      </c>
      <c r="U618" s="43" t="str">
        <f>HYPERLINK("https://ictv.global/taxonomy/taxondetails?taxnode_id=202208395","ictv.global=202208395")</f>
        <v>ictv.global=202208395</v>
      </c>
    </row>
    <row r="619" spans="1:21">
      <c r="A619">
        <v>618</v>
      </c>
      <c r="B619" s="29" t="s">
        <v>3682</v>
      </c>
      <c r="C619" s="29"/>
      <c r="D619" s="29" t="s">
        <v>3683</v>
      </c>
      <c r="E619" s="29"/>
      <c r="F619" s="29" t="s">
        <v>3686</v>
      </c>
      <c r="G619" s="29"/>
      <c r="H619" s="29" t="s">
        <v>3687</v>
      </c>
      <c r="I619" s="29"/>
      <c r="J619" s="29"/>
      <c r="K619" s="29"/>
      <c r="L619" s="29" t="s">
        <v>3689</v>
      </c>
      <c r="M619" s="29" t="s">
        <v>3731</v>
      </c>
      <c r="N619" s="29" t="s">
        <v>3734</v>
      </c>
      <c r="O619" s="29"/>
      <c r="P619" s="29" t="s">
        <v>7618</v>
      </c>
      <c r="Q619" t="s">
        <v>2038</v>
      </c>
      <c r="R619" t="s">
        <v>2633</v>
      </c>
      <c r="S619">
        <v>37</v>
      </c>
      <c r="T619" s="43" t="str">
        <f t="shared" si="25"/>
        <v>2021.010B.R.Binomial_names.zip</v>
      </c>
      <c r="U619" s="43" t="str">
        <f>HYPERLINK("https://ictv.global/taxonomy/taxondetails?taxnode_id=202208396","ictv.global=202208396")</f>
        <v>ictv.global=202208396</v>
      </c>
    </row>
    <row r="620" spans="1:21">
      <c r="A620">
        <v>619</v>
      </c>
      <c r="B620" s="29" t="s">
        <v>3682</v>
      </c>
      <c r="C620" s="29"/>
      <c r="D620" s="29" t="s">
        <v>3683</v>
      </c>
      <c r="E620" s="29"/>
      <c r="F620" s="29" t="s">
        <v>3686</v>
      </c>
      <c r="G620" s="29"/>
      <c r="H620" s="29" t="s">
        <v>3687</v>
      </c>
      <c r="I620" s="29"/>
      <c r="J620" s="29"/>
      <c r="K620" s="29"/>
      <c r="L620" s="29" t="s">
        <v>3689</v>
      </c>
      <c r="M620" s="29" t="s">
        <v>3731</v>
      </c>
      <c r="N620" s="29" t="s">
        <v>3734</v>
      </c>
      <c r="O620" s="29"/>
      <c r="P620" s="29" t="s">
        <v>7619</v>
      </c>
      <c r="Q620" t="s">
        <v>2038</v>
      </c>
      <c r="R620" t="s">
        <v>2633</v>
      </c>
      <c r="S620">
        <v>37</v>
      </c>
      <c r="T620" s="43" t="str">
        <f t="shared" si="25"/>
        <v>2021.010B.R.Binomial_names.zip</v>
      </c>
      <c r="U620" s="43" t="str">
        <f>HYPERLINK("https://ictv.global/taxonomy/taxondetails?taxnode_id=202208397","ictv.global=202208397")</f>
        <v>ictv.global=202208397</v>
      </c>
    </row>
    <row r="621" spans="1:21">
      <c r="A621">
        <v>620</v>
      </c>
      <c r="B621" s="29" t="s">
        <v>3682</v>
      </c>
      <c r="C621" s="29"/>
      <c r="D621" s="29" t="s">
        <v>3683</v>
      </c>
      <c r="E621" s="29"/>
      <c r="F621" s="29" t="s">
        <v>3686</v>
      </c>
      <c r="G621" s="29"/>
      <c r="H621" s="29" t="s">
        <v>3687</v>
      </c>
      <c r="I621" s="29"/>
      <c r="J621" s="29"/>
      <c r="K621" s="29"/>
      <c r="L621" s="29" t="s">
        <v>3689</v>
      </c>
      <c r="M621" s="29" t="s">
        <v>3731</v>
      </c>
      <c r="N621" s="29" t="s">
        <v>3734</v>
      </c>
      <c r="O621" s="29"/>
      <c r="P621" s="29" t="s">
        <v>7620</v>
      </c>
      <c r="Q621" t="s">
        <v>2038</v>
      </c>
      <c r="R621" t="s">
        <v>2633</v>
      </c>
      <c r="S621">
        <v>37</v>
      </c>
      <c r="T621" s="43" t="str">
        <f t="shared" si="25"/>
        <v>2021.010B.R.Binomial_names.zip</v>
      </c>
      <c r="U621" s="43" t="str">
        <f>HYPERLINK("https://ictv.global/taxonomy/taxondetails?taxnode_id=202208400","ictv.global=202208400")</f>
        <v>ictv.global=202208400</v>
      </c>
    </row>
    <row r="622" spans="1:21">
      <c r="A622">
        <v>621</v>
      </c>
      <c r="B622" s="29" t="s">
        <v>3682</v>
      </c>
      <c r="C622" s="29"/>
      <c r="D622" s="29" t="s">
        <v>3683</v>
      </c>
      <c r="E622" s="29"/>
      <c r="F622" s="29" t="s">
        <v>3686</v>
      </c>
      <c r="G622" s="29"/>
      <c r="H622" s="29" t="s">
        <v>3687</v>
      </c>
      <c r="I622" s="29"/>
      <c r="J622" s="29"/>
      <c r="K622" s="29"/>
      <c r="L622" s="29" t="s">
        <v>3689</v>
      </c>
      <c r="M622" s="29" t="s">
        <v>3731</v>
      </c>
      <c r="N622" s="29" t="s">
        <v>3734</v>
      </c>
      <c r="O622" s="29"/>
      <c r="P622" s="29" t="s">
        <v>7621</v>
      </c>
      <c r="Q622" t="s">
        <v>2038</v>
      </c>
      <c r="R622" t="s">
        <v>2632</v>
      </c>
      <c r="S622">
        <v>38</v>
      </c>
      <c r="T622" s="43" t="str">
        <f>HYPERLINK("https://ictv.global/ictv/proposals/2022.008B.Autographiviridae_2nsp.zip","2022.008B.Autographiviridae_2nsp.zip")</f>
        <v>2022.008B.Autographiviridae_2nsp.zip</v>
      </c>
      <c r="U622" s="43" t="str">
        <f>HYPERLINK("https://ictv.global/taxonomy/taxondetails?taxnode_id=202214492","ictv.global=202214492")</f>
        <v>ictv.global=202214492</v>
      </c>
    </row>
    <row r="623" spans="1:21">
      <c r="A623">
        <v>622</v>
      </c>
      <c r="B623" s="29" t="s">
        <v>3682</v>
      </c>
      <c r="C623" s="29"/>
      <c r="D623" s="29" t="s">
        <v>3683</v>
      </c>
      <c r="E623" s="29"/>
      <c r="F623" s="29" t="s">
        <v>3686</v>
      </c>
      <c r="G623" s="29"/>
      <c r="H623" s="29" t="s">
        <v>3687</v>
      </c>
      <c r="I623" s="29"/>
      <c r="J623" s="29"/>
      <c r="K623" s="29"/>
      <c r="L623" s="29" t="s">
        <v>3689</v>
      </c>
      <c r="M623" s="29" t="s">
        <v>3731</v>
      </c>
      <c r="N623" s="29" t="s">
        <v>3734</v>
      </c>
      <c r="O623" s="29"/>
      <c r="P623" s="29" t="s">
        <v>7622</v>
      </c>
      <c r="Q623" t="s">
        <v>2038</v>
      </c>
      <c r="R623" t="s">
        <v>2633</v>
      </c>
      <c r="S623">
        <v>37</v>
      </c>
      <c r="T623" s="43" t="str">
        <f t="shared" ref="T623:T654" si="26">HYPERLINK("https://ictv.global/ictv/proposals/2021.010B.R.Binomial_names.zip","2021.010B.R.Binomial_names.zip")</f>
        <v>2021.010B.R.Binomial_names.zip</v>
      </c>
      <c r="U623" s="43" t="str">
        <f>HYPERLINK("https://ictv.global/taxonomy/taxondetails?taxnode_id=202208399","ictv.global=202208399")</f>
        <v>ictv.global=202208399</v>
      </c>
    </row>
    <row r="624" spans="1:21">
      <c r="A624">
        <v>623</v>
      </c>
      <c r="B624" s="29" t="s">
        <v>3682</v>
      </c>
      <c r="C624" s="29"/>
      <c r="D624" s="29" t="s">
        <v>3683</v>
      </c>
      <c r="E624" s="29"/>
      <c r="F624" s="29" t="s">
        <v>3686</v>
      </c>
      <c r="G624" s="29"/>
      <c r="H624" s="29" t="s">
        <v>3687</v>
      </c>
      <c r="I624" s="29"/>
      <c r="J624" s="29"/>
      <c r="K624" s="29"/>
      <c r="L624" s="29" t="s">
        <v>3689</v>
      </c>
      <c r="M624" s="29" t="s">
        <v>3731</v>
      </c>
      <c r="N624" s="29" t="s">
        <v>3734</v>
      </c>
      <c r="O624" s="29"/>
      <c r="P624" s="29" t="s">
        <v>7623</v>
      </c>
      <c r="Q624" t="s">
        <v>2038</v>
      </c>
      <c r="R624" t="s">
        <v>2633</v>
      </c>
      <c r="S624">
        <v>37</v>
      </c>
      <c r="T624" s="43" t="str">
        <f t="shared" si="26"/>
        <v>2021.010B.R.Binomial_names.zip</v>
      </c>
      <c r="U624" s="43" t="str">
        <f>HYPERLINK("https://ictv.global/taxonomy/taxondetails?taxnode_id=202208389","ictv.global=202208389")</f>
        <v>ictv.global=202208389</v>
      </c>
    </row>
    <row r="625" spans="1:21">
      <c r="A625">
        <v>624</v>
      </c>
      <c r="B625" s="29" t="s">
        <v>3682</v>
      </c>
      <c r="C625" s="29"/>
      <c r="D625" s="29" t="s">
        <v>3683</v>
      </c>
      <c r="E625" s="29"/>
      <c r="F625" s="29" t="s">
        <v>3686</v>
      </c>
      <c r="G625" s="29"/>
      <c r="H625" s="29" t="s">
        <v>3687</v>
      </c>
      <c r="I625" s="29"/>
      <c r="J625" s="29"/>
      <c r="K625" s="29"/>
      <c r="L625" s="29" t="s">
        <v>3689</v>
      </c>
      <c r="M625" s="29" t="s">
        <v>3731</v>
      </c>
      <c r="N625" s="29" t="s">
        <v>3734</v>
      </c>
      <c r="O625" s="29"/>
      <c r="P625" s="29" t="s">
        <v>7624</v>
      </c>
      <c r="Q625" t="s">
        <v>2038</v>
      </c>
      <c r="R625" t="s">
        <v>2633</v>
      </c>
      <c r="S625">
        <v>37</v>
      </c>
      <c r="T625" s="43" t="str">
        <f t="shared" si="26"/>
        <v>2021.010B.R.Binomial_names.zip</v>
      </c>
      <c r="U625" s="43" t="str">
        <f>HYPERLINK("https://ictv.global/taxonomy/taxondetails?taxnode_id=202208392","ictv.global=202208392")</f>
        <v>ictv.global=202208392</v>
      </c>
    </row>
    <row r="626" spans="1:21">
      <c r="A626">
        <v>625</v>
      </c>
      <c r="B626" s="29" t="s">
        <v>3682</v>
      </c>
      <c r="C626" s="29"/>
      <c r="D626" s="29" t="s">
        <v>3683</v>
      </c>
      <c r="E626" s="29"/>
      <c r="F626" s="29" t="s">
        <v>3686</v>
      </c>
      <c r="G626" s="29"/>
      <c r="H626" s="29" t="s">
        <v>3687</v>
      </c>
      <c r="I626" s="29"/>
      <c r="J626" s="29"/>
      <c r="K626" s="29"/>
      <c r="L626" s="29" t="s">
        <v>3689</v>
      </c>
      <c r="M626" s="29" t="s">
        <v>3731</v>
      </c>
      <c r="N626" s="29" t="s">
        <v>3735</v>
      </c>
      <c r="O626" s="29"/>
      <c r="P626" s="29" t="s">
        <v>7625</v>
      </c>
      <c r="Q626" t="s">
        <v>2038</v>
      </c>
      <c r="R626" t="s">
        <v>2633</v>
      </c>
      <c r="S626">
        <v>37</v>
      </c>
      <c r="T626" s="43" t="str">
        <f t="shared" si="26"/>
        <v>2021.010B.R.Binomial_names.zip</v>
      </c>
      <c r="U626" s="43" t="str">
        <f>HYPERLINK("https://ictv.global/taxonomy/taxondetails?taxnode_id=202208454","ictv.global=202208454")</f>
        <v>ictv.global=202208454</v>
      </c>
    </row>
    <row r="627" spans="1:21">
      <c r="A627">
        <v>626</v>
      </c>
      <c r="B627" s="29" t="s">
        <v>3682</v>
      </c>
      <c r="C627" s="29"/>
      <c r="D627" s="29" t="s">
        <v>3683</v>
      </c>
      <c r="E627" s="29"/>
      <c r="F627" s="29" t="s">
        <v>3686</v>
      </c>
      <c r="G627" s="29"/>
      <c r="H627" s="29" t="s">
        <v>3687</v>
      </c>
      <c r="I627" s="29"/>
      <c r="J627" s="29"/>
      <c r="K627" s="29"/>
      <c r="L627" s="29" t="s">
        <v>3689</v>
      </c>
      <c r="M627" s="29" t="s">
        <v>3731</v>
      </c>
      <c r="N627" s="29" t="s">
        <v>3736</v>
      </c>
      <c r="O627" s="29"/>
      <c r="P627" s="29" t="s">
        <v>7626</v>
      </c>
      <c r="Q627" t="s">
        <v>2038</v>
      </c>
      <c r="R627" t="s">
        <v>2633</v>
      </c>
      <c r="S627">
        <v>37</v>
      </c>
      <c r="T627" s="43" t="str">
        <f t="shared" si="26"/>
        <v>2021.010B.R.Binomial_names.zip</v>
      </c>
      <c r="U627" s="43" t="str">
        <f>HYPERLINK("https://ictv.global/taxonomy/taxondetails?taxnode_id=202208496","ictv.global=202208496")</f>
        <v>ictv.global=202208496</v>
      </c>
    </row>
    <row r="628" spans="1:21">
      <c r="A628">
        <v>627</v>
      </c>
      <c r="B628" s="29" t="s">
        <v>3682</v>
      </c>
      <c r="C628" s="29"/>
      <c r="D628" s="29" t="s">
        <v>3683</v>
      </c>
      <c r="E628" s="29"/>
      <c r="F628" s="29" t="s">
        <v>3686</v>
      </c>
      <c r="G628" s="29"/>
      <c r="H628" s="29" t="s">
        <v>3687</v>
      </c>
      <c r="I628" s="29"/>
      <c r="J628" s="29"/>
      <c r="K628" s="29"/>
      <c r="L628" s="29" t="s">
        <v>3689</v>
      </c>
      <c r="M628" s="29" t="s">
        <v>3731</v>
      </c>
      <c r="N628" s="29" t="s">
        <v>3736</v>
      </c>
      <c r="O628" s="29"/>
      <c r="P628" s="29" t="s">
        <v>7627</v>
      </c>
      <c r="Q628" t="s">
        <v>2038</v>
      </c>
      <c r="R628" t="s">
        <v>2633</v>
      </c>
      <c r="S628">
        <v>37</v>
      </c>
      <c r="T628" s="43" t="str">
        <f t="shared" si="26"/>
        <v>2021.010B.R.Binomial_names.zip</v>
      </c>
      <c r="U628" s="43" t="str">
        <f>HYPERLINK("https://ictv.global/taxonomy/taxondetails?taxnode_id=202208495","ictv.global=202208495")</f>
        <v>ictv.global=202208495</v>
      </c>
    </row>
    <row r="629" spans="1:21">
      <c r="A629">
        <v>628</v>
      </c>
      <c r="B629" s="29" t="s">
        <v>3682</v>
      </c>
      <c r="C629" s="29"/>
      <c r="D629" s="29" t="s">
        <v>3683</v>
      </c>
      <c r="E629" s="29"/>
      <c r="F629" s="29" t="s">
        <v>3686</v>
      </c>
      <c r="G629" s="29"/>
      <c r="H629" s="29" t="s">
        <v>3687</v>
      </c>
      <c r="I629" s="29"/>
      <c r="J629" s="29"/>
      <c r="K629" s="29"/>
      <c r="L629" s="29" t="s">
        <v>3689</v>
      </c>
      <c r="M629" s="29" t="s">
        <v>3731</v>
      </c>
      <c r="N629" s="29" t="s">
        <v>3736</v>
      </c>
      <c r="O629" s="29"/>
      <c r="P629" s="29" t="s">
        <v>7628</v>
      </c>
      <c r="Q629" t="s">
        <v>2038</v>
      </c>
      <c r="R629" t="s">
        <v>2633</v>
      </c>
      <c r="S629">
        <v>37</v>
      </c>
      <c r="T629" s="43" t="str">
        <f t="shared" si="26"/>
        <v>2021.010B.R.Binomial_names.zip</v>
      </c>
      <c r="U629" s="43" t="str">
        <f>HYPERLINK("https://ictv.global/taxonomy/taxondetails?taxnode_id=202208497","ictv.global=202208497")</f>
        <v>ictv.global=202208497</v>
      </c>
    </row>
    <row r="630" spans="1:21">
      <c r="A630">
        <v>629</v>
      </c>
      <c r="B630" s="29" t="s">
        <v>3682</v>
      </c>
      <c r="C630" s="29"/>
      <c r="D630" s="29" t="s">
        <v>3683</v>
      </c>
      <c r="E630" s="29"/>
      <c r="F630" s="29" t="s">
        <v>3686</v>
      </c>
      <c r="G630" s="29"/>
      <c r="H630" s="29" t="s">
        <v>3687</v>
      </c>
      <c r="I630" s="29"/>
      <c r="J630" s="29"/>
      <c r="K630" s="29"/>
      <c r="L630" s="29" t="s">
        <v>3689</v>
      </c>
      <c r="M630" s="29" t="s">
        <v>3731</v>
      </c>
      <c r="N630" s="29" t="s">
        <v>3737</v>
      </c>
      <c r="O630" s="29"/>
      <c r="P630" s="29" t="s">
        <v>7629</v>
      </c>
      <c r="Q630" t="s">
        <v>2038</v>
      </c>
      <c r="R630" t="s">
        <v>2633</v>
      </c>
      <c r="S630">
        <v>37</v>
      </c>
      <c r="T630" s="43" t="str">
        <f t="shared" si="26"/>
        <v>2021.010B.R.Binomial_names.zip</v>
      </c>
      <c r="U630" s="43" t="str">
        <f>HYPERLINK("https://ictv.global/taxonomy/taxondetails?taxnode_id=202208425","ictv.global=202208425")</f>
        <v>ictv.global=202208425</v>
      </c>
    </row>
    <row r="631" spans="1:21">
      <c r="A631">
        <v>630</v>
      </c>
      <c r="B631" s="29" t="s">
        <v>3682</v>
      </c>
      <c r="C631" s="29"/>
      <c r="D631" s="29" t="s">
        <v>3683</v>
      </c>
      <c r="E631" s="29"/>
      <c r="F631" s="29" t="s">
        <v>3686</v>
      </c>
      <c r="G631" s="29"/>
      <c r="H631" s="29" t="s">
        <v>3687</v>
      </c>
      <c r="I631" s="29"/>
      <c r="J631" s="29"/>
      <c r="K631" s="29"/>
      <c r="L631" s="29" t="s">
        <v>3689</v>
      </c>
      <c r="M631" s="29" t="s">
        <v>3731</v>
      </c>
      <c r="N631" s="29" t="s">
        <v>3738</v>
      </c>
      <c r="O631" s="29"/>
      <c r="P631" s="29" t="s">
        <v>7630</v>
      </c>
      <c r="Q631" t="s">
        <v>2038</v>
      </c>
      <c r="R631" t="s">
        <v>2633</v>
      </c>
      <c r="S631">
        <v>37</v>
      </c>
      <c r="T631" s="43" t="str">
        <f t="shared" si="26"/>
        <v>2021.010B.R.Binomial_names.zip</v>
      </c>
      <c r="U631" s="43" t="str">
        <f>HYPERLINK("https://ictv.global/taxonomy/taxondetails?taxnode_id=202208423","ictv.global=202208423")</f>
        <v>ictv.global=202208423</v>
      </c>
    </row>
    <row r="632" spans="1:21">
      <c r="A632">
        <v>631</v>
      </c>
      <c r="B632" s="29" t="s">
        <v>3682</v>
      </c>
      <c r="C632" s="29"/>
      <c r="D632" s="29" t="s">
        <v>3683</v>
      </c>
      <c r="E632" s="29"/>
      <c r="F632" s="29" t="s">
        <v>3686</v>
      </c>
      <c r="G632" s="29"/>
      <c r="H632" s="29" t="s">
        <v>3687</v>
      </c>
      <c r="I632" s="29"/>
      <c r="J632" s="29"/>
      <c r="K632" s="29"/>
      <c r="L632" s="29" t="s">
        <v>3689</v>
      </c>
      <c r="M632" s="29" t="s">
        <v>3731</v>
      </c>
      <c r="N632" s="29" t="s">
        <v>3739</v>
      </c>
      <c r="O632" s="29"/>
      <c r="P632" s="29" t="s">
        <v>7631</v>
      </c>
      <c r="Q632" t="s">
        <v>2038</v>
      </c>
      <c r="R632" t="s">
        <v>2633</v>
      </c>
      <c r="S632">
        <v>37</v>
      </c>
      <c r="T632" s="43" t="str">
        <f t="shared" si="26"/>
        <v>2021.010B.R.Binomial_names.zip</v>
      </c>
      <c r="U632" s="43" t="str">
        <f>HYPERLINK("https://ictv.global/taxonomy/taxondetails?taxnode_id=202208427","ictv.global=202208427")</f>
        <v>ictv.global=202208427</v>
      </c>
    </row>
    <row r="633" spans="1:21">
      <c r="A633">
        <v>632</v>
      </c>
      <c r="B633" s="29" t="s">
        <v>3682</v>
      </c>
      <c r="C633" s="29"/>
      <c r="D633" s="29" t="s">
        <v>3683</v>
      </c>
      <c r="E633" s="29"/>
      <c r="F633" s="29" t="s">
        <v>3686</v>
      </c>
      <c r="G633" s="29"/>
      <c r="H633" s="29" t="s">
        <v>3687</v>
      </c>
      <c r="I633" s="29"/>
      <c r="J633" s="29"/>
      <c r="K633" s="29"/>
      <c r="L633" s="29" t="s">
        <v>3689</v>
      </c>
      <c r="M633" s="29" t="s">
        <v>3731</v>
      </c>
      <c r="N633" s="29" t="s">
        <v>3740</v>
      </c>
      <c r="O633" s="29"/>
      <c r="P633" s="29" t="s">
        <v>7632</v>
      </c>
      <c r="Q633" t="s">
        <v>2038</v>
      </c>
      <c r="R633" t="s">
        <v>2633</v>
      </c>
      <c r="S633">
        <v>37</v>
      </c>
      <c r="T633" s="43" t="str">
        <f t="shared" si="26"/>
        <v>2021.010B.R.Binomial_names.zip</v>
      </c>
      <c r="U633" s="43" t="str">
        <f>HYPERLINK("https://ictv.global/taxonomy/taxondetails?taxnode_id=202208353","ictv.global=202208353")</f>
        <v>ictv.global=202208353</v>
      </c>
    </row>
    <row r="634" spans="1:21">
      <c r="A634">
        <v>633</v>
      </c>
      <c r="B634" s="29" t="s">
        <v>3682</v>
      </c>
      <c r="C634" s="29"/>
      <c r="D634" s="29" t="s">
        <v>3683</v>
      </c>
      <c r="E634" s="29"/>
      <c r="F634" s="29" t="s">
        <v>3686</v>
      </c>
      <c r="G634" s="29"/>
      <c r="H634" s="29" t="s">
        <v>3687</v>
      </c>
      <c r="I634" s="29"/>
      <c r="J634" s="29"/>
      <c r="K634" s="29"/>
      <c r="L634" s="29" t="s">
        <v>3689</v>
      </c>
      <c r="M634" s="29" t="s">
        <v>3731</v>
      </c>
      <c r="N634" s="29" t="s">
        <v>3740</v>
      </c>
      <c r="O634" s="29"/>
      <c r="P634" s="29" t="s">
        <v>7633</v>
      </c>
      <c r="Q634" t="s">
        <v>2038</v>
      </c>
      <c r="R634" t="s">
        <v>2633</v>
      </c>
      <c r="S634">
        <v>37</v>
      </c>
      <c r="T634" s="43" t="str">
        <f t="shared" si="26"/>
        <v>2021.010B.R.Binomial_names.zip</v>
      </c>
      <c r="U634" s="43" t="str">
        <f>HYPERLINK("https://ictv.global/taxonomy/taxondetails?taxnode_id=202200585","ictv.global=202200585")</f>
        <v>ictv.global=202200585</v>
      </c>
    </row>
    <row r="635" spans="1:21">
      <c r="A635">
        <v>634</v>
      </c>
      <c r="B635" s="29" t="s">
        <v>3682</v>
      </c>
      <c r="C635" s="29"/>
      <c r="D635" s="29" t="s">
        <v>3683</v>
      </c>
      <c r="E635" s="29"/>
      <c r="F635" s="29" t="s">
        <v>3686</v>
      </c>
      <c r="G635" s="29"/>
      <c r="H635" s="29" t="s">
        <v>3687</v>
      </c>
      <c r="I635" s="29"/>
      <c r="J635" s="29"/>
      <c r="K635" s="29"/>
      <c r="L635" s="29" t="s">
        <v>3689</v>
      </c>
      <c r="M635" s="29" t="s">
        <v>3731</v>
      </c>
      <c r="N635" s="29" t="s">
        <v>3740</v>
      </c>
      <c r="O635" s="29"/>
      <c r="P635" s="29" t="s">
        <v>7634</v>
      </c>
      <c r="Q635" t="s">
        <v>2038</v>
      </c>
      <c r="R635" t="s">
        <v>2633</v>
      </c>
      <c r="S635">
        <v>37</v>
      </c>
      <c r="T635" s="43" t="str">
        <f t="shared" si="26"/>
        <v>2021.010B.R.Binomial_names.zip</v>
      </c>
      <c r="U635" s="43" t="str">
        <f>HYPERLINK("https://ictv.global/taxonomy/taxondetails?taxnode_id=202208352","ictv.global=202208352")</f>
        <v>ictv.global=202208352</v>
      </c>
    </row>
    <row r="636" spans="1:21">
      <c r="A636">
        <v>635</v>
      </c>
      <c r="B636" s="29" t="s">
        <v>3682</v>
      </c>
      <c r="C636" s="29"/>
      <c r="D636" s="29" t="s">
        <v>3683</v>
      </c>
      <c r="E636" s="29"/>
      <c r="F636" s="29" t="s">
        <v>3686</v>
      </c>
      <c r="G636" s="29"/>
      <c r="H636" s="29" t="s">
        <v>3687</v>
      </c>
      <c r="I636" s="29"/>
      <c r="J636" s="29"/>
      <c r="K636" s="29"/>
      <c r="L636" s="29" t="s">
        <v>3689</v>
      </c>
      <c r="M636" s="29" t="s">
        <v>3731</v>
      </c>
      <c r="N636" s="29" t="s">
        <v>3740</v>
      </c>
      <c r="O636" s="29"/>
      <c r="P636" s="29" t="s">
        <v>7635</v>
      </c>
      <c r="Q636" t="s">
        <v>2038</v>
      </c>
      <c r="R636" t="s">
        <v>2633</v>
      </c>
      <c r="S636">
        <v>37</v>
      </c>
      <c r="T636" s="43" t="str">
        <f t="shared" si="26"/>
        <v>2021.010B.R.Binomial_names.zip</v>
      </c>
      <c r="U636" s="43" t="str">
        <f>HYPERLINK("https://ictv.global/taxonomy/taxondetails?taxnode_id=202208349","ictv.global=202208349")</f>
        <v>ictv.global=202208349</v>
      </c>
    </row>
    <row r="637" spans="1:21">
      <c r="A637">
        <v>636</v>
      </c>
      <c r="B637" s="29" t="s">
        <v>3682</v>
      </c>
      <c r="C637" s="29"/>
      <c r="D637" s="29" t="s">
        <v>3683</v>
      </c>
      <c r="E637" s="29"/>
      <c r="F637" s="29" t="s">
        <v>3686</v>
      </c>
      <c r="G637" s="29"/>
      <c r="H637" s="29" t="s">
        <v>3687</v>
      </c>
      <c r="I637" s="29"/>
      <c r="J637" s="29"/>
      <c r="K637" s="29"/>
      <c r="L637" s="29" t="s">
        <v>3689</v>
      </c>
      <c r="M637" s="29" t="s">
        <v>3731</v>
      </c>
      <c r="N637" s="29" t="s">
        <v>3740</v>
      </c>
      <c r="O637" s="29"/>
      <c r="P637" s="29" t="s">
        <v>7636</v>
      </c>
      <c r="Q637" t="s">
        <v>2038</v>
      </c>
      <c r="R637" t="s">
        <v>2633</v>
      </c>
      <c r="S637">
        <v>37</v>
      </c>
      <c r="T637" s="43" t="str">
        <f t="shared" si="26"/>
        <v>2021.010B.R.Binomial_names.zip</v>
      </c>
      <c r="U637" s="43" t="str">
        <f>HYPERLINK("https://ictv.global/taxonomy/taxondetails?taxnode_id=202208351","ictv.global=202208351")</f>
        <v>ictv.global=202208351</v>
      </c>
    </row>
    <row r="638" spans="1:21">
      <c r="A638">
        <v>637</v>
      </c>
      <c r="B638" s="29" t="s">
        <v>3682</v>
      </c>
      <c r="C638" s="29"/>
      <c r="D638" s="29" t="s">
        <v>3683</v>
      </c>
      <c r="E638" s="29"/>
      <c r="F638" s="29" t="s">
        <v>3686</v>
      </c>
      <c r="G638" s="29"/>
      <c r="H638" s="29" t="s">
        <v>3687</v>
      </c>
      <c r="I638" s="29"/>
      <c r="J638" s="29"/>
      <c r="K638" s="29"/>
      <c r="L638" s="29" t="s">
        <v>3689</v>
      </c>
      <c r="M638" s="29" t="s">
        <v>3731</v>
      </c>
      <c r="N638" s="29" t="s">
        <v>3740</v>
      </c>
      <c r="O638" s="29"/>
      <c r="P638" s="29" t="s">
        <v>7637</v>
      </c>
      <c r="Q638" t="s">
        <v>2038</v>
      </c>
      <c r="R638" t="s">
        <v>2633</v>
      </c>
      <c r="S638">
        <v>37</v>
      </c>
      <c r="T638" s="43" t="str">
        <f t="shared" si="26"/>
        <v>2021.010B.R.Binomial_names.zip</v>
      </c>
      <c r="U638" s="43" t="str">
        <f>HYPERLINK("https://ictv.global/taxonomy/taxondetails?taxnode_id=202208347","ictv.global=202208347")</f>
        <v>ictv.global=202208347</v>
      </c>
    </row>
    <row r="639" spans="1:21">
      <c r="A639">
        <v>638</v>
      </c>
      <c r="B639" s="29" t="s">
        <v>3682</v>
      </c>
      <c r="C639" s="29"/>
      <c r="D639" s="29" t="s">
        <v>3683</v>
      </c>
      <c r="E639" s="29"/>
      <c r="F639" s="29" t="s">
        <v>3686</v>
      </c>
      <c r="G639" s="29"/>
      <c r="H639" s="29" t="s">
        <v>3687</v>
      </c>
      <c r="I639" s="29"/>
      <c r="J639" s="29"/>
      <c r="K639" s="29"/>
      <c r="L639" s="29" t="s">
        <v>3689</v>
      </c>
      <c r="M639" s="29" t="s">
        <v>3731</v>
      </c>
      <c r="N639" s="29" t="s">
        <v>3740</v>
      </c>
      <c r="O639" s="29"/>
      <c r="P639" s="29" t="s">
        <v>7638</v>
      </c>
      <c r="Q639" t="s">
        <v>2038</v>
      </c>
      <c r="R639" t="s">
        <v>2633</v>
      </c>
      <c r="S639">
        <v>37</v>
      </c>
      <c r="T639" s="43" t="str">
        <f t="shared" si="26"/>
        <v>2021.010B.R.Binomial_names.zip</v>
      </c>
      <c r="U639" s="43" t="str">
        <f>HYPERLINK("https://ictv.global/taxonomy/taxondetails?taxnode_id=202208345","ictv.global=202208345")</f>
        <v>ictv.global=202208345</v>
      </c>
    </row>
    <row r="640" spans="1:21">
      <c r="A640">
        <v>639</v>
      </c>
      <c r="B640" s="29" t="s">
        <v>3682</v>
      </c>
      <c r="C640" s="29"/>
      <c r="D640" s="29" t="s">
        <v>3683</v>
      </c>
      <c r="E640" s="29"/>
      <c r="F640" s="29" t="s">
        <v>3686</v>
      </c>
      <c r="G640" s="29"/>
      <c r="H640" s="29" t="s">
        <v>3687</v>
      </c>
      <c r="I640" s="29"/>
      <c r="J640" s="29"/>
      <c r="K640" s="29"/>
      <c r="L640" s="29" t="s">
        <v>3689</v>
      </c>
      <c r="M640" s="29" t="s">
        <v>3731</v>
      </c>
      <c r="N640" s="29" t="s">
        <v>3740</v>
      </c>
      <c r="O640" s="29"/>
      <c r="P640" s="29" t="s">
        <v>7639</v>
      </c>
      <c r="Q640" t="s">
        <v>2038</v>
      </c>
      <c r="R640" t="s">
        <v>2633</v>
      </c>
      <c r="S640">
        <v>37</v>
      </c>
      <c r="T640" s="43" t="str">
        <f t="shared" si="26"/>
        <v>2021.010B.R.Binomial_names.zip</v>
      </c>
      <c r="U640" s="43" t="str">
        <f>HYPERLINK("https://ictv.global/taxonomy/taxondetails?taxnode_id=202208346","ictv.global=202208346")</f>
        <v>ictv.global=202208346</v>
      </c>
    </row>
    <row r="641" spans="1:21">
      <c r="A641">
        <v>640</v>
      </c>
      <c r="B641" s="29" t="s">
        <v>3682</v>
      </c>
      <c r="C641" s="29"/>
      <c r="D641" s="29" t="s">
        <v>3683</v>
      </c>
      <c r="E641" s="29"/>
      <c r="F641" s="29" t="s">
        <v>3686</v>
      </c>
      <c r="G641" s="29"/>
      <c r="H641" s="29" t="s">
        <v>3687</v>
      </c>
      <c r="I641" s="29"/>
      <c r="J641" s="29"/>
      <c r="K641" s="29"/>
      <c r="L641" s="29" t="s">
        <v>3689</v>
      </c>
      <c r="M641" s="29" t="s">
        <v>3731</v>
      </c>
      <c r="N641" s="29" t="s">
        <v>3740</v>
      </c>
      <c r="O641" s="29"/>
      <c r="P641" s="29" t="s">
        <v>7640</v>
      </c>
      <c r="Q641" t="s">
        <v>2038</v>
      </c>
      <c r="R641" t="s">
        <v>2633</v>
      </c>
      <c r="S641">
        <v>37</v>
      </c>
      <c r="T641" s="43" t="str">
        <f t="shared" si="26"/>
        <v>2021.010B.R.Binomial_names.zip</v>
      </c>
      <c r="U641" s="43" t="str">
        <f>HYPERLINK("https://ictv.global/taxonomy/taxondetails?taxnode_id=202208350","ictv.global=202208350")</f>
        <v>ictv.global=202208350</v>
      </c>
    </row>
    <row r="642" spans="1:21">
      <c r="A642">
        <v>641</v>
      </c>
      <c r="B642" s="29" t="s">
        <v>3682</v>
      </c>
      <c r="C642" s="29"/>
      <c r="D642" s="29" t="s">
        <v>3683</v>
      </c>
      <c r="E642" s="29"/>
      <c r="F642" s="29" t="s">
        <v>3686</v>
      </c>
      <c r="G642" s="29"/>
      <c r="H642" s="29" t="s">
        <v>3687</v>
      </c>
      <c r="I642" s="29"/>
      <c r="J642" s="29"/>
      <c r="K642" s="29"/>
      <c r="L642" s="29" t="s">
        <v>3689</v>
      </c>
      <c r="M642" s="29" t="s">
        <v>3731</v>
      </c>
      <c r="N642" s="29" t="s">
        <v>3740</v>
      </c>
      <c r="O642" s="29"/>
      <c r="P642" s="29" t="s">
        <v>7641</v>
      </c>
      <c r="Q642" t="s">
        <v>2038</v>
      </c>
      <c r="R642" t="s">
        <v>2633</v>
      </c>
      <c r="S642">
        <v>37</v>
      </c>
      <c r="T642" s="43" t="str">
        <f t="shared" si="26"/>
        <v>2021.010B.R.Binomial_names.zip</v>
      </c>
      <c r="U642" s="43" t="str">
        <f>HYPERLINK("https://ictv.global/taxonomy/taxondetails?taxnode_id=202208348","ictv.global=202208348")</f>
        <v>ictv.global=202208348</v>
      </c>
    </row>
    <row r="643" spans="1:21">
      <c r="A643">
        <v>642</v>
      </c>
      <c r="B643" s="29" t="s">
        <v>3682</v>
      </c>
      <c r="C643" s="29"/>
      <c r="D643" s="29" t="s">
        <v>3683</v>
      </c>
      <c r="E643" s="29"/>
      <c r="F643" s="29" t="s">
        <v>3686</v>
      </c>
      <c r="G643" s="29"/>
      <c r="H643" s="29" t="s">
        <v>3687</v>
      </c>
      <c r="I643" s="29"/>
      <c r="J643" s="29"/>
      <c r="K643" s="29"/>
      <c r="L643" s="29" t="s">
        <v>3689</v>
      </c>
      <c r="M643" s="29" t="s">
        <v>3731</v>
      </c>
      <c r="N643" s="29" t="s">
        <v>3741</v>
      </c>
      <c r="O643" s="29"/>
      <c r="P643" s="29" t="s">
        <v>7642</v>
      </c>
      <c r="Q643" t="s">
        <v>2038</v>
      </c>
      <c r="R643" t="s">
        <v>2633</v>
      </c>
      <c r="S643">
        <v>37</v>
      </c>
      <c r="T643" s="43" t="str">
        <f t="shared" si="26"/>
        <v>2021.010B.R.Binomial_names.zip</v>
      </c>
      <c r="U643" s="43" t="str">
        <f>HYPERLINK("https://ictv.global/taxonomy/taxondetails?taxnode_id=202208378","ictv.global=202208378")</f>
        <v>ictv.global=202208378</v>
      </c>
    </row>
    <row r="644" spans="1:21">
      <c r="A644">
        <v>643</v>
      </c>
      <c r="B644" s="29" t="s">
        <v>3682</v>
      </c>
      <c r="C644" s="29"/>
      <c r="D644" s="29" t="s">
        <v>3683</v>
      </c>
      <c r="E644" s="29"/>
      <c r="F644" s="29" t="s">
        <v>3686</v>
      </c>
      <c r="G644" s="29"/>
      <c r="H644" s="29" t="s">
        <v>3687</v>
      </c>
      <c r="I644" s="29"/>
      <c r="J644" s="29"/>
      <c r="K644" s="29"/>
      <c r="L644" s="29" t="s">
        <v>3689</v>
      </c>
      <c r="M644" s="29" t="s">
        <v>3731</v>
      </c>
      <c r="N644" s="29" t="s">
        <v>3741</v>
      </c>
      <c r="O644" s="29"/>
      <c r="P644" s="29" t="s">
        <v>7643</v>
      </c>
      <c r="Q644" t="s">
        <v>2038</v>
      </c>
      <c r="R644" t="s">
        <v>2633</v>
      </c>
      <c r="S644">
        <v>37</v>
      </c>
      <c r="T644" s="43" t="str">
        <f t="shared" si="26"/>
        <v>2021.010B.R.Binomial_names.zip</v>
      </c>
      <c r="U644" s="43" t="str">
        <f>HYPERLINK("https://ictv.global/taxonomy/taxondetails?taxnode_id=202208376","ictv.global=202208376")</f>
        <v>ictv.global=202208376</v>
      </c>
    </row>
    <row r="645" spans="1:21">
      <c r="A645">
        <v>644</v>
      </c>
      <c r="B645" s="29" t="s">
        <v>3682</v>
      </c>
      <c r="C645" s="29"/>
      <c r="D645" s="29" t="s">
        <v>3683</v>
      </c>
      <c r="E645" s="29"/>
      <c r="F645" s="29" t="s">
        <v>3686</v>
      </c>
      <c r="G645" s="29"/>
      <c r="H645" s="29" t="s">
        <v>3687</v>
      </c>
      <c r="I645" s="29"/>
      <c r="J645" s="29"/>
      <c r="K645" s="29"/>
      <c r="L645" s="29" t="s">
        <v>3689</v>
      </c>
      <c r="M645" s="29" t="s">
        <v>3731</v>
      </c>
      <c r="N645" s="29" t="s">
        <v>3741</v>
      </c>
      <c r="O645" s="29"/>
      <c r="P645" s="29" t="s">
        <v>7644</v>
      </c>
      <c r="Q645" t="s">
        <v>2038</v>
      </c>
      <c r="R645" t="s">
        <v>2633</v>
      </c>
      <c r="S645">
        <v>37</v>
      </c>
      <c r="T645" s="43" t="str">
        <f t="shared" si="26"/>
        <v>2021.010B.R.Binomial_names.zip</v>
      </c>
      <c r="U645" s="43" t="str">
        <f>HYPERLINK("https://ictv.global/taxonomy/taxondetails?taxnode_id=202208375","ictv.global=202208375")</f>
        <v>ictv.global=202208375</v>
      </c>
    </row>
    <row r="646" spans="1:21">
      <c r="A646">
        <v>645</v>
      </c>
      <c r="B646" s="29" t="s">
        <v>3682</v>
      </c>
      <c r="C646" s="29"/>
      <c r="D646" s="29" t="s">
        <v>3683</v>
      </c>
      <c r="E646" s="29"/>
      <c r="F646" s="29" t="s">
        <v>3686</v>
      </c>
      <c r="G646" s="29"/>
      <c r="H646" s="29" t="s">
        <v>3687</v>
      </c>
      <c r="I646" s="29"/>
      <c r="J646" s="29"/>
      <c r="K646" s="29"/>
      <c r="L646" s="29" t="s">
        <v>3689</v>
      </c>
      <c r="M646" s="29" t="s">
        <v>3731</v>
      </c>
      <c r="N646" s="29" t="s">
        <v>3741</v>
      </c>
      <c r="O646" s="29"/>
      <c r="P646" s="29" t="s">
        <v>7645</v>
      </c>
      <c r="Q646" t="s">
        <v>2038</v>
      </c>
      <c r="R646" t="s">
        <v>2633</v>
      </c>
      <c r="S646">
        <v>37</v>
      </c>
      <c r="T646" s="43" t="str">
        <f t="shared" si="26"/>
        <v>2021.010B.R.Binomial_names.zip</v>
      </c>
      <c r="U646" s="43" t="str">
        <f>HYPERLINK("https://ictv.global/taxonomy/taxondetails?taxnode_id=202208377","ictv.global=202208377")</f>
        <v>ictv.global=202208377</v>
      </c>
    </row>
    <row r="647" spans="1:21">
      <c r="A647">
        <v>646</v>
      </c>
      <c r="B647" s="29" t="s">
        <v>3682</v>
      </c>
      <c r="C647" s="29"/>
      <c r="D647" s="29" t="s">
        <v>3683</v>
      </c>
      <c r="E647" s="29"/>
      <c r="F647" s="29" t="s">
        <v>3686</v>
      </c>
      <c r="G647" s="29"/>
      <c r="H647" s="29" t="s">
        <v>3687</v>
      </c>
      <c r="I647" s="29"/>
      <c r="J647" s="29"/>
      <c r="K647" s="29"/>
      <c r="L647" s="29" t="s">
        <v>3689</v>
      </c>
      <c r="M647" s="29" t="s">
        <v>3731</v>
      </c>
      <c r="N647" s="29" t="s">
        <v>3742</v>
      </c>
      <c r="O647" s="29"/>
      <c r="P647" s="29" t="s">
        <v>7646</v>
      </c>
      <c r="Q647" t="s">
        <v>2038</v>
      </c>
      <c r="R647" t="s">
        <v>2633</v>
      </c>
      <c r="S647">
        <v>37</v>
      </c>
      <c r="T647" s="43" t="str">
        <f t="shared" si="26"/>
        <v>2021.010B.R.Binomial_names.zip</v>
      </c>
      <c r="U647" s="43" t="str">
        <f>HYPERLINK("https://ictv.global/taxonomy/taxondetails?taxnode_id=202208458","ictv.global=202208458")</f>
        <v>ictv.global=202208458</v>
      </c>
    </row>
    <row r="648" spans="1:21">
      <c r="A648">
        <v>647</v>
      </c>
      <c r="B648" s="29" t="s">
        <v>3682</v>
      </c>
      <c r="C648" s="29"/>
      <c r="D648" s="29" t="s">
        <v>3683</v>
      </c>
      <c r="E648" s="29"/>
      <c r="F648" s="29" t="s">
        <v>3686</v>
      </c>
      <c r="G648" s="29"/>
      <c r="H648" s="29" t="s">
        <v>3687</v>
      </c>
      <c r="I648" s="29"/>
      <c r="J648" s="29"/>
      <c r="K648" s="29"/>
      <c r="L648" s="29" t="s">
        <v>3689</v>
      </c>
      <c r="M648" s="29" t="s">
        <v>3731</v>
      </c>
      <c r="N648" s="29" t="s">
        <v>3743</v>
      </c>
      <c r="O648" s="29"/>
      <c r="P648" s="29" t="s">
        <v>7647</v>
      </c>
      <c r="Q648" t="s">
        <v>2038</v>
      </c>
      <c r="R648" t="s">
        <v>2633</v>
      </c>
      <c r="S648">
        <v>37</v>
      </c>
      <c r="T648" s="43" t="str">
        <f t="shared" si="26"/>
        <v>2021.010B.R.Binomial_names.zip</v>
      </c>
      <c r="U648" s="43" t="str">
        <f>HYPERLINK("https://ictv.global/taxonomy/taxondetails?taxnode_id=202208406","ictv.global=202208406")</f>
        <v>ictv.global=202208406</v>
      </c>
    </row>
    <row r="649" spans="1:21">
      <c r="A649">
        <v>648</v>
      </c>
      <c r="B649" s="29" t="s">
        <v>3682</v>
      </c>
      <c r="C649" s="29"/>
      <c r="D649" s="29" t="s">
        <v>3683</v>
      </c>
      <c r="E649" s="29"/>
      <c r="F649" s="29" t="s">
        <v>3686</v>
      </c>
      <c r="G649" s="29"/>
      <c r="H649" s="29" t="s">
        <v>3687</v>
      </c>
      <c r="I649" s="29"/>
      <c r="J649" s="29"/>
      <c r="K649" s="29"/>
      <c r="L649" s="29" t="s">
        <v>3689</v>
      </c>
      <c r="M649" s="29" t="s">
        <v>3731</v>
      </c>
      <c r="N649" s="29" t="s">
        <v>3743</v>
      </c>
      <c r="O649" s="29"/>
      <c r="P649" s="29" t="s">
        <v>7648</v>
      </c>
      <c r="Q649" t="s">
        <v>2038</v>
      </c>
      <c r="R649" t="s">
        <v>2633</v>
      </c>
      <c r="S649">
        <v>37</v>
      </c>
      <c r="T649" s="43" t="str">
        <f t="shared" si="26"/>
        <v>2021.010B.R.Binomial_names.zip</v>
      </c>
      <c r="U649" s="43" t="str">
        <f>HYPERLINK("https://ictv.global/taxonomy/taxondetails?taxnode_id=202208405","ictv.global=202208405")</f>
        <v>ictv.global=202208405</v>
      </c>
    </row>
    <row r="650" spans="1:21">
      <c r="A650">
        <v>649</v>
      </c>
      <c r="B650" s="29" t="s">
        <v>3682</v>
      </c>
      <c r="C650" s="29"/>
      <c r="D650" s="29" t="s">
        <v>3683</v>
      </c>
      <c r="E650" s="29"/>
      <c r="F650" s="29" t="s">
        <v>3686</v>
      </c>
      <c r="G650" s="29"/>
      <c r="H650" s="29" t="s">
        <v>3687</v>
      </c>
      <c r="I650" s="29"/>
      <c r="J650" s="29"/>
      <c r="K650" s="29"/>
      <c r="L650" s="29" t="s">
        <v>3689</v>
      </c>
      <c r="M650" s="29" t="s">
        <v>3731</v>
      </c>
      <c r="N650" s="29" t="s">
        <v>3743</v>
      </c>
      <c r="O650" s="29"/>
      <c r="P650" s="29" t="s">
        <v>7649</v>
      </c>
      <c r="Q650" t="s">
        <v>2038</v>
      </c>
      <c r="R650" t="s">
        <v>2633</v>
      </c>
      <c r="S650">
        <v>37</v>
      </c>
      <c r="T650" s="43" t="str">
        <f t="shared" si="26"/>
        <v>2021.010B.R.Binomial_names.zip</v>
      </c>
      <c r="U650" s="43" t="str">
        <f>HYPERLINK("https://ictv.global/taxonomy/taxondetails?taxnode_id=202208404","ictv.global=202208404")</f>
        <v>ictv.global=202208404</v>
      </c>
    </row>
    <row r="651" spans="1:21">
      <c r="A651">
        <v>650</v>
      </c>
      <c r="B651" s="29" t="s">
        <v>3682</v>
      </c>
      <c r="C651" s="29"/>
      <c r="D651" s="29" t="s">
        <v>3683</v>
      </c>
      <c r="E651" s="29"/>
      <c r="F651" s="29" t="s">
        <v>3686</v>
      </c>
      <c r="G651" s="29"/>
      <c r="H651" s="29" t="s">
        <v>3687</v>
      </c>
      <c r="I651" s="29"/>
      <c r="J651" s="29"/>
      <c r="K651" s="29"/>
      <c r="L651" s="29" t="s">
        <v>3689</v>
      </c>
      <c r="M651" s="29" t="s">
        <v>3731</v>
      </c>
      <c r="N651" s="29" t="s">
        <v>3743</v>
      </c>
      <c r="O651" s="29"/>
      <c r="P651" s="29" t="s">
        <v>7650</v>
      </c>
      <c r="Q651" t="s">
        <v>2038</v>
      </c>
      <c r="R651" t="s">
        <v>2633</v>
      </c>
      <c r="S651">
        <v>37</v>
      </c>
      <c r="T651" s="43" t="str">
        <f t="shared" si="26"/>
        <v>2021.010B.R.Binomial_names.zip</v>
      </c>
      <c r="U651" s="43" t="str">
        <f>HYPERLINK("https://ictv.global/taxonomy/taxondetails?taxnode_id=202208420","ictv.global=202208420")</f>
        <v>ictv.global=202208420</v>
      </c>
    </row>
    <row r="652" spans="1:21">
      <c r="A652">
        <v>651</v>
      </c>
      <c r="B652" s="29" t="s">
        <v>3682</v>
      </c>
      <c r="C652" s="29"/>
      <c r="D652" s="29" t="s">
        <v>3683</v>
      </c>
      <c r="E652" s="29"/>
      <c r="F652" s="29" t="s">
        <v>3686</v>
      </c>
      <c r="G652" s="29"/>
      <c r="H652" s="29" t="s">
        <v>3687</v>
      </c>
      <c r="I652" s="29"/>
      <c r="J652" s="29"/>
      <c r="K652" s="29"/>
      <c r="L652" s="29" t="s">
        <v>3689</v>
      </c>
      <c r="M652" s="29" t="s">
        <v>3731</v>
      </c>
      <c r="N652" s="29" t="s">
        <v>3743</v>
      </c>
      <c r="O652" s="29"/>
      <c r="P652" s="29" t="s">
        <v>7651</v>
      </c>
      <c r="Q652" t="s">
        <v>2038</v>
      </c>
      <c r="R652" t="s">
        <v>2633</v>
      </c>
      <c r="S652">
        <v>37</v>
      </c>
      <c r="T652" s="43" t="str">
        <f t="shared" si="26"/>
        <v>2021.010B.R.Binomial_names.zip</v>
      </c>
      <c r="U652" s="43" t="str">
        <f>HYPERLINK("https://ictv.global/taxonomy/taxondetails?taxnode_id=202208412","ictv.global=202208412")</f>
        <v>ictv.global=202208412</v>
      </c>
    </row>
    <row r="653" spans="1:21">
      <c r="A653">
        <v>652</v>
      </c>
      <c r="B653" s="29" t="s">
        <v>3682</v>
      </c>
      <c r="C653" s="29"/>
      <c r="D653" s="29" t="s">
        <v>3683</v>
      </c>
      <c r="E653" s="29"/>
      <c r="F653" s="29" t="s">
        <v>3686</v>
      </c>
      <c r="G653" s="29"/>
      <c r="H653" s="29" t="s">
        <v>3687</v>
      </c>
      <c r="I653" s="29"/>
      <c r="J653" s="29"/>
      <c r="K653" s="29"/>
      <c r="L653" s="29" t="s">
        <v>3689</v>
      </c>
      <c r="M653" s="29" t="s">
        <v>3731</v>
      </c>
      <c r="N653" s="29" t="s">
        <v>3743</v>
      </c>
      <c r="O653" s="29"/>
      <c r="P653" s="29" t="s">
        <v>7652</v>
      </c>
      <c r="Q653" t="s">
        <v>2038</v>
      </c>
      <c r="R653" t="s">
        <v>2633</v>
      </c>
      <c r="S653">
        <v>37</v>
      </c>
      <c r="T653" s="43" t="str">
        <f t="shared" si="26"/>
        <v>2021.010B.R.Binomial_names.zip</v>
      </c>
      <c r="U653" s="43" t="str">
        <f>HYPERLINK("https://ictv.global/taxonomy/taxondetails?taxnode_id=202208408","ictv.global=202208408")</f>
        <v>ictv.global=202208408</v>
      </c>
    </row>
    <row r="654" spans="1:21">
      <c r="A654">
        <v>653</v>
      </c>
      <c r="B654" s="29" t="s">
        <v>3682</v>
      </c>
      <c r="C654" s="29"/>
      <c r="D654" s="29" t="s">
        <v>3683</v>
      </c>
      <c r="E654" s="29"/>
      <c r="F654" s="29" t="s">
        <v>3686</v>
      </c>
      <c r="G654" s="29"/>
      <c r="H654" s="29" t="s">
        <v>3687</v>
      </c>
      <c r="I654" s="29"/>
      <c r="J654" s="29"/>
      <c r="K654" s="29"/>
      <c r="L654" s="29" t="s">
        <v>3689</v>
      </c>
      <c r="M654" s="29" t="s">
        <v>3731</v>
      </c>
      <c r="N654" s="29" t="s">
        <v>3743</v>
      </c>
      <c r="O654" s="29"/>
      <c r="P654" s="29" t="s">
        <v>7653</v>
      </c>
      <c r="Q654" t="s">
        <v>2038</v>
      </c>
      <c r="R654" t="s">
        <v>2633</v>
      </c>
      <c r="S654">
        <v>37</v>
      </c>
      <c r="T654" s="43" t="str">
        <f t="shared" si="26"/>
        <v>2021.010B.R.Binomial_names.zip</v>
      </c>
      <c r="U654" s="43" t="str">
        <f>HYPERLINK("https://ictv.global/taxonomy/taxondetails?taxnode_id=202208418","ictv.global=202208418")</f>
        <v>ictv.global=202208418</v>
      </c>
    </row>
    <row r="655" spans="1:21">
      <c r="A655">
        <v>654</v>
      </c>
      <c r="B655" s="29" t="s">
        <v>3682</v>
      </c>
      <c r="C655" s="29"/>
      <c r="D655" s="29" t="s">
        <v>3683</v>
      </c>
      <c r="E655" s="29"/>
      <c r="F655" s="29" t="s">
        <v>3686</v>
      </c>
      <c r="G655" s="29"/>
      <c r="H655" s="29" t="s">
        <v>3687</v>
      </c>
      <c r="I655" s="29"/>
      <c r="J655" s="29"/>
      <c r="K655" s="29"/>
      <c r="L655" s="29" t="s">
        <v>3689</v>
      </c>
      <c r="M655" s="29" t="s">
        <v>3731</v>
      </c>
      <c r="N655" s="29" t="s">
        <v>3743</v>
      </c>
      <c r="O655" s="29"/>
      <c r="P655" s="29" t="s">
        <v>7654</v>
      </c>
      <c r="Q655" t="s">
        <v>2038</v>
      </c>
      <c r="R655" t="s">
        <v>2633</v>
      </c>
      <c r="S655">
        <v>37</v>
      </c>
      <c r="T655" s="43" t="str">
        <f t="shared" ref="T655:T686" si="27">HYPERLINK("https://ictv.global/ictv/proposals/2021.010B.R.Binomial_names.zip","2021.010B.R.Binomial_names.zip")</f>
        <v>2021.010B.R.Binomial_names.zip</v>
      </c>
      <c r="U655" s="43" t="str">
        <f>HYPERLINK("https://ictv.global/taxonomy/taxondetails?taxnode_id=202208421","ictv.global=202208421")</f>
        <v>ictv.global=202208421</v>
      </c>
    </row>
    <row r="656" spans="1:21">
      <c r="A656">
        <v>655</v>
      </c>
      <c r="B656" s="29" t="s">
        <v>3682</v>
      </c>
      <c r="C656" s="29"/>
      <c r="D656" s="29" t="s">
        <v>3683</v>
      </c>
      <c r="E656" s="29"/>
      <c r="F656" s="29" t="s">
        <v>3686</v>
      </c>
      <c r="G656" s="29"/>
      <c r="H656" s="29" t="s">
        <v>3687</v>
      </c>
      <c r="I656" s="29"/>
      <c r="J656" s="29"/>
      <c r="K656" s="29"/>
      <c r="L656" s="29" t="s">
        <v>3689</v>
      </c>
      <c r="M656" s="29" t="s">
        <v>3731</v>
      </c>
      <c r="N656" s="29" t="s">
        <v>3743</v>
      </c>
      <c r="O656" s="29"/>
      <c r="P656" s="29" t="s">
        <v>7655</v>
      </c>
      <c r="Q656" t="s">
        <v>2038</v>
      </c>
      <c r="R656" t="s">
        <v>2633</v>
      </c>
      <c r="S656">
        <v>37</v>
      </c>
      <c r="T656" s="43" t="str">
        <f t="shared" si="27"/>
        <v>2021.010B.R.Binomial_names.zip</v>
      </c>
      <c r="U656" s="43" t="str">
        <f>HYPERLINK("https://ictv.global/taxonomy/taxondetails?taxnode_id=202208403","ictv.global=202208403")</f>
        <v>ictv.global=202208403</v>
      </c>
    </row>
    <row r="657" spans="1:21">
      <c r="A657">
        <v>656</v>
      </c>
      <c r="B657" s="29" t="s">
        <v>3682</v>
      </c>
      <c r="C657" s="29"/>
      <c r="D657" s="29" t="s">
        <v>3683</v>
      </c>
      <c r="E657" s="29"/>
      <c r="F657" s="29" t="s">
        <v>3686</v>
      </c>
      <c r="G657" s="29"/>
      <c r="H657" s="29" t="s">
        <v>3687</v>
      </c>
      <c r="I657" s="29"/>
      <c r="J657" s="29"/>
      <c r="K657" s="29"/>
      <c r="L657" s="29" t="s">
        <v>3689</v>
      </c>
      <c r="M657" s="29" t="s">
        <v>3731</v>
      </c>
      <c r="N657" s="29" t="s">
        <v>3743</v>
      </c>
      <c r="O657" s="29"/>
      <c r="P657" s="29" t="s">
        <v>7656</v>
      </c>
      <c r="Q657" t="s">
        <v>2038</v>
      </c>
      <c r="R657" t="s">
        <v>2633</v>
      </c>
      <c r="S657">
        <v>37</v>
      </c>
      <c r="T657" s="43" t="str">
        <f t="shared" si="27"/>
        <v>2021.010B.R.Binomial_names.zip</v>
      </c>
      <c r="U657" s="43" t="str">
        <f>HYPERLINK("https://ictv.global/taxonomy/taxondetails?taxnode_id=202208414","ictv.global=202208414")</f>
        <v>ictv.global=202208414</v>
      </c>
    </row>
    <row r="658" spans="1:21">
      <c r="A658">
        <v>657</v>
      </c>
      <c r="B658" s="29" t="s">
        <v>3682</v>
      </c>
      <c r="C658" s="29"/>
      <c r="D658" s="29" t="s">
        <v>3683</v>
      </c>
      <c r="E658" s="29"/>
      <c r="F658" s="29" t="s">
        <v>3686</v>
      </c>
      <c r="G658" s="29"/>
      <c r="H658" s="29" t="s">
        <v>3687</v>
      </c>
      <c r="I658" s="29"/>
      <c r="J658" s="29"/>
      <c r="K658" s="29"/>
      <c r="L658" s="29" t="s">
        <v>3689</v>
      </c>
      <c r="M658" s="29" t="s">
        <v>3731</v>
      </c>
      <c r="N658" s="29" t="s">
        <v>3743</v>
      </c>
      <c r="O658" s="29"/>
      <c r="P658" s="29" t="s">
        <v>7657</v>
      </c>
      <c r="Q658" t="s">
        <v>2038</v>
      </c>
      <c r="R658" t="s">
        <v>2633</v>
      </c>
      <c r="S658">
        <v>37</v>
      </c>
      <c r="T658" s="43" t="str">
        <f t="shared" si="27"/>
        <v>2021.010B.R.Binomial_names.zip</v>
      </c>
      <c r="U658" s="43" t="str">
        <f>HYPERLINK("https://ictv.global/taxonomy/taxondetails?taxnode_id=202208407","ictv.global=202208407")</f>
        <v>ictv.global=202208407</v>
      </c>
    </row>
    <row r="659" spans="1:21">
      <c r="A659">
        <v>658</v>
      </c>
      <c r="B659" s="29" t="s">
        <v>3682</v>
      </c>
      <c r="C659" s="29"/>
      <c r="D659" s="29" t="s">
        <v>3683</v>
      </c>
      <c r="E659" s="29"/>
      <c r="F659" s="29" t="s">
        <v>3686</v>
      </c>
      <c r="G659" s="29"/>
      <c r="H659" s="29" t="s">
        <v>3687</v>
      </c>
      <c r="I659" s="29"/>
      <c r="J659" s="29"/>
      <c r="K659" s="29"/>
      <c r="L659" s="29" t="s">
        <v>3689</v>
      </c>
      <c r="M659" s="29" t="s">
        <v>3731</v>
      </c>
      <c r="N659" s="29" t="s">
        <v>3743</v>
      </c>
      <c r="O659" s="29"/>
      <c r="P659" s="29" t="s">
        <v>7658</v>
      </c>
      <c r="Q659" t="s">
        <v>2038</v>
      </c>
      <c r="R659" t="s">
        <v>2633</v>
      </c>
      <c r="S659">
        <v>37</v>
      </c>
      <c r="T659" s="43" t="str">
        <f t="shared" si="27"/>
        <v>2021.010B.R.Binomial_names.zip</v>
      </c>
      <c r="U659" s="43" t="str">
        <f>HYPERLINK("https://ictv.global/taxonomy/taxondetails?taxnode_id=202208419","ictv.global=202208419")</f>
        <v>ictv.global=202208419</v>
      </c>
    </row>
    <row r="660" spans="1:21">
      <c r="A660">
        <v>659</v>
      </c>
      <c r="B660" s="29" t="s">
        <v>3682</v>
      </c>
      <c r="C660" s="29"/>
      <c r="D660" s="29" t="s">
        <v>3683</v>
      </c>
      <c r="E660" s="29"/>
      <c r="F660" s="29" t="s">
        <v>3686</v>
      </c>
      <c r="G660" s="29"/>
      <c r="H660" s="29" t="s">
        <v>3687</v>
      </c>
      <c r="I660" s="29"/>
      <c r="J660" s="29"/>
      <c r="K660" s="29"/>
      <c r="L660" s="29" t="s">
        <v>3689</v>
      </c>
      <c r="M660" s="29" t="s">
        <v>3731</v>
      </c>
      <c r="N660" s="29" t="s">
        <v>3743</v>
      </c>
      <c r="O660" s="29"/>
      <c r="P660" s="29" t="s">
        <v>7659</v>
      </c>
      <c r="Q660" t="s">
        <v>2038</v>
      </c>
      <c r="R660" t="s">
        <v>2633</v>
      </c>
      <c r="S660">
        <v>37</v>
      </c>
      <c r="T660" s="43" t="str">
        <f t="shared" si="27"/>
        <v>2021.010B.R.Binomial_names.zip</v>
      </c>
      <c r="U660" s="43" t="str">
        <f>HYPERLINK("https://ictv.global/taxonomy/taxondetails?taxnode_id=202208417","ictv.global=202208417")</f>
        <v>ictv.global=202208417</v>
      </c>
    </row>
    <row r="661" spans="1:21">
      <c r="A661">
        <v>660</v>
      </c>
      <c r="B661" s="29" t="s">
        <v>3682</v>
      </c>
      <c r="C661" s="29"/>
      <c r="D661" s="29" t="s">
        <v>3683</v>
      </c>
      <c r="E661" s="29"/>
      <c r="F661" s="29" t="s">
        <v>3686</v>
      </c>
      <c r="G661" s="29"/>
      <c r="H661" s="29" t="s">
        <v>3687</v>
      </c>
      <c r="I661" s="29"/>
      <c r="J661" s="29"/>
      <c r="K661" s="29"/>
      <c r="L661" s="29" t="s">
        <v>3689</v>
      </c>
      <c r="M661" s="29" t="s">
        <v>3731</v>
      </c>
      <c r="N661" s="29" t="s">
        <v>3743</v>
      </c>
      <c r="O661" s="29"/>
      <c r="P661" s="29" t="s">
        <v>7660</v>
      </c>
      <c r="Q661" t="s">
        <v>2038</v>
      </c>
      <c r="R661" t="s">
        <v>2633</v>
      </c>
      <c r="S661">
        <v>37</v>
      </c>
      <c r="T661" s="43" t="str">
        <f t="shared" si="27"/>
        <v>2021.010B.R.Binomial_names.zip</v>
      </c>
      <c r="U661" s="43" t="str">
        <f>HYPERLINK("https://ictv.global/taxonomy/taxondetails?taxnode_id=202208409","ictv.global=202208409")</f>
        <v>ictv.global=202208409</v>
      </c>
    </row>
    <row r="662" spans="1:21">
      <c r="A662">
        <v>661</v>
      </c>
      <c r="B662" s="29" t="s">
        <v>3682</v>
      </c>
      <c r="C662" s="29"/>
      <c r="D662" s="29" t="s">
        <v>3683</v>
      </c>
      <c r="E662" s="29"/>
      <c r="F662" s="29" t="s">
        <v>3686</v>
      </c>
      <c r="G662" s="29"/>
      <c r="H662" s="29" t="s">
        <v>3687</v>
      </c>
      <c r="I662" s="29"/>
      <c r="J662" s="29"/>
      <c r="K662" s="29"/>
      <c r="L662" s="29" t="s">
        <v>3689</v>
      </c>
      <c r="M662" s="29" t="s">
        <v>3731</v>
      </c>
      <c r="N662" s="29" t="s">
        <v>3743</v>
      </c>
      <c r="O662" s="29"/>
      <c r="P662" s="29" t="s">
        <v>7661</v>
      </c>
      <c r="Q662" t="s">
        <v>2038</v>
      </c>
      <c r="R662" t="s">
        <v>2633</v>
      </c>
      <c r="S662">
        <v>37</v>
      </c>
      <c r="T662" s="43" t="str">
        <f t="shared" si="27"/>
        <v>2021.010B.R.Binomial_names.zip</v>
      </c>
      <c r="U662" s="43" t="str">
        <f>HYPERLINK("https://ictv.global/taxonomy/taxondetails?taxnode_id=202208410","ictv.global=202208410")</f>
        <v>ictv.global=202208410</v>
      </c>
    </row>
    <row r="663" spans="1:21">
      <c r="A663">
        <v>662</v>
      </c>
      <c r="B663" s="29" t="s">
        <v>3682</v>
      </c>
      <c r="C663" s="29"/>
      <c r="D663" s="29" t="s">
        <v>3683</v>
      </c>
      <c r="E663" s="29"/>
      <c r="F663" s="29" t="s">
        <v>3686</v>
      </c>
      <c r="G663" s="29"/>
      <c r="H663" s="29" t="s">
        <v>3687</v>
      </c>
      <c r="I663" s="29"/>
      <c r="J663" s="29"/>
      <c r="K663" s="29"/>
      <c r="L663" s="29" t="s">
        <v>3689</v>
      </c>
      <c r="M663" s="29" t="s">
        <v>3731</v>
      </c>
      <c r="N663" s="29" t="s">
        <v>3743</v>
      </c>
      <c r="O663" s="29"/>
      <c r="P663" s="29" t="s">
        <v>7662</v>
      </c>
      <c r="Q663" t="s">
        <v>2038</v>
      </c>
      <c r="R663" t="s">
        <v>2633</v>
      </c>
      <c r="S663">
        <v>37</v>
      </c>
      <c r="T663" s="43" t="str">
        <f t="shared" si="27"/>
        <v>2021.010B.R.Binomial_names.zip</v>
      </c>
      <c r="U663" s="43" t="str">
        <f>HYPERLINK("https://ictv.global/taxonomy/taxondetails?taxnode_id=202208413","ictv.global=202208413")</f>
        <v>ictv.global=202208413</v>
      </c>
    </row>
    <row r="664" spans="1:21">
      <c r="A664">
        <v>663</v>
      </c>
      <c r="B664" s="29" t="s">
        <v>3682</v>
      </c>
      <c r="C664" s="29"/>
      <c r="D664" s="29" t="s">
        <v>3683</v>
      </c>
      <c r="E664" s="29"/>
      <c r="F664" s="29" t="s">
        <v>3686</v>
      </c>
      <c r="G664" s="29"/>
      <c r="H664" s="29" t="s">
        <v>3687</v>
      </c>
      <c r="I664" s="29"/>
      <c r="J664" s="29"/>
      <c r="K664" s="29"/>
      <c r="L664" s="29" t="s">
        <v>3689</v>
      </c>
      <c r="M664" s="29" t="s">
        <v>3731</v>
      </c>
      <c r="N664" s="29" t="s">
        <v>3743</v>
      </c>
      <c r="O664" s="29"/>
      <c r="P664" s="29" t="s">
        <v>7663</v>
      </c>
      <c r="Q664" t="s">
        <v>2038</v>
      </c>
      <c r="R664" t="s">
        <v>2633</v>
      </c>
      <c r="S664">
        <v>37</v>
      </c>
      <c r="T664" s="43" t="str">
        <f t="shared" si="27"/>
        <v>2021.010B.R.Binomial_names.zip</v>
      </c>
      <c r="U664" s="43" t="str">
        <f>HYPERLINK("https://ictv.global/taxonomy/taxondetails?taxnode_id=202208416","ictv.global=202208416")</f>
        <v>ictv.global=202208416</v>
      </c>
    </row>
    <row r="665" spans="1:21">
      <c r="A665">
        <v>664</v>
      </c>
      <c r="B665" s="29" t="s">
        <v>3682</v>
      </c>
      <c r="C665" s="29"/>
      <c r="D665" s="29" t="s">
        <v>3683</v>
      </c>
      <c r="E665" s="29"/>
      <c r="F665" s="29" t="s">
        <v>3686</v>
      </c>
      <c r="G665" s="29"/>
      <c r="H665" s="29" t="s">
        <v>3687</v>
      </c>
      <c r="I665" s="29"/>
      <c r="J665" s="29"/>
      <c r="K665" s="29"/>
      <c r="L665" s="29" t="s">
        <v>3689</v>
      </c>
      <c r="M665" s="29" t="s">
        <v>3731</v>
      </c>
      <c r="N665" s="29" t="s">
        <v>3743</v>
      </c>
      <c r="O665" s="29"/>
      <c r="P665" s="29" t="s">
        <v>7664</v>
      </c>
      <c r="Q665" t="s">
        <v>2038</v>
      </c>
      <c r="R665" t="s">
        <v>2633</v>
      </c>
      <c r="S665">
        <v>37</v>
      </c>
      <c r="T665" s="43" t="str">
        <f t="shared" si="27"/>
        <v>2021.010B.R.Binomial_names.zip</v>
      </c>
      <c r="U665" s="43" t="str">
        <f>HYPERLINK("https://ictv.global/taxonomy/taxondetails?taxnode_id=202208415","ictv.global=202208415")</f>
        <v>ictv.global=202208415</v>
      </c>
    </row>
    <row r="666" spans="1:21">
      <c r="A666">
        <v>665</v>
      </c>
      <c r="B666" s="29" t="s">
        <v>3682</v>
      </c>
      <c r="C666" s="29"/>
      <c r="D666" s="29" t="s">
        <v>3683</v>
      </c>
      <c r="E666" s="29"/>
      <c r="F666" s="29" t="s">
        <v>3686</v>
      </c>
      <c r="G666" s="29"/>
      <c r="H666" s="29" t="s">
        <v>3687</v>
      </c>
      <c r="I666" s="29"/>
      <c r="J666" s="29"/>
      <c r="K666" s="29"/>
      <c r="L666" s="29" t="s">
        <v>3689</v>
      </c>
      <c r="M666" s="29" t="s">
        <v>3731</v>
      </c>
      <c r="N666" s="29" t="s">
        <v>3743</v>
      </c>
      <c r="O666" s="29"/>
      <c r="P666" s="29" t="s">
        <v>7665</v>
      </c>
      <c r="Q666" t="s">
        <v>2038</v>
      </c>
      <c r="R666" t="s">
        <v>2633</v>
      </c>
      <c r="S666">
        <v>37</v>
      </c>
      <c r="T666" s="43" t="str">
        <f t="shared" si="27"/>
        <v>2021.010B.R.Binomial_names.zip</v>
      </c>
      <c r="U666" s="43" t="str">
        <f>HYPERLINK("https://ictv.global/taxonomy/taxondetails?taxnode_id=202208411","ictv.global=202208411")</f>
        <v>ictv.global=202208411</v>
      </c>
    </row>
    <row r="667" spans="1:21">
      <c r="A667">
        <v>666</v>
      </c>
      <c r="B667" s="29" t="s">
        <v>3682</v>
      </c>
      <c r="C667" s="29"/>
      <c r="D667" s="29" t="s">
        <v>3683</v>
      </c>
      <c r="E667" s="29"/>
      <c r="F667" s="29" t="s">
        <v>3686</v>
      </c>
      <c r="G667" s="29"/>
      <c r="H667" s="29" t="s">
        <v>3687</v>
      </c>
      <c r="I667" s="29"/>
      <c r="J667" s="29"/>
      <c r="K667" s="29"/>
      <c r="L667" s="29" t="s">
        <v>3689</v>
      </c>
      <c r="M667" s="29" t="s">
        <v>3731</v>
      </c>
      <c r="N667" s="29" t="s">
        <v>3744</v>
      </c>
      <c r="O667" s="29"/>
      <c r="P667" s="29" t="s">
        <v>7666</v>
      </c>
      <c r="Q667" t="s">
        <v>2038</v>
      </c>
      <c r="R667" t="s">
        <v>2633</v>
      </c>
      <c r="S667">
        <v>37</v>
      </c>
      <c r="T667" s="43" t="str">
        <f t="shared" si="27"/>
        <v>2021.010B.R.Binomial_names.zip</v>
      </c>
      <c r="U667" s="43" t="str">
        <f>HYPERLINK("https://ictv.global/taxonomy/taxondetails?taxnode_id=202208369","ictv.global=202208369")</f>
        <v>ictv.global=202208369</v>
      </c>
    </row>
    <row r="668" spans="1:21">
      <c r="A668">
        <v>667</v>
      </c>
      <c r="B668" s="29" t="s">
        <v>3682</v>
      </c>
      <c r="C668" s="29"/>
      <c r="D668" s="29" t="s">
        <v>3683</v>
      </c>
      <c r="E668" s="29"/>
      <c r="F668" s="29" t="s">
        <v>3686</v>
      </c>
      <c r="G668" s="29"/>
      <c r="H668" s="29" t="s">
        <v>3687</v>
      </c>
      <c r="I668" s="29"/>
      <c r="J668" s="29"/>
      <c r="K668" s="29"/>
      <c r="L668" s="29" t="s">
        <v>3689</v>
      </c>
      <c r="M668" s="29" t="s">
        <v>3731</v>
      </c>
      <c r="N668" s="29" t="s">
        <v>3744</v>
      </c>
      <c r="O668" s="29"/>
      <c r="P668" s="29" t="s">
        <v>7667</v>
      </c>
      <c r="Q668" t="s">
        <v>2038</v>
      </c>
      <c r="R668" t="s">
        <v>2633</v>
      </c>
      <c r="S668">
        <v>37</v>
      </c>
      <c r="T668" s="43" t="str">
        <f t="shared" si="27"/>
        <v>2021.010B.R.Binomial_names.zip</v>
      </c>
      <c r="U668" s="43" t="str">
        <f>HYPERLINK("https://ictv.global/taxonomy/taxondetails?taxnode_id=202208368","ictv.global=202208368")</f>
        <v>ictv.global=202208368</v>
      </c>
    </row>
    <row r="669" spans="1:21">
      <c r="A669">
        <v>668</v>
      </c>
      <c r="B669" s="29" t="s">
        <v>3682</v>
      </c>
      <c r="C669" s="29"/>
      <c r="D669" s="29" t="s">
        <v>3683</v>
      </c>
      <c r="E669" s="29"/>
      <c r="F669" s="29" t="s">
        <v>3686</v>
      </c>
      <c r="G669" s="29"/>
      <c r="H669" s="29" t="s">
        <v>3687</v>
      </c>
      <c r="I669" s="29"/>
      <c r="J669" s="29"/>
      <c r="K669" s="29"/>
      <c r="L669" s="29" t="s">
        <v>3689</v>
      </c>
      <c r="M669" s="29" t="s">
        <v>3731</v>
      </c>
      <c r="N669" s="29" t="s">
        <v>3745</v>
      </c>
      <c r="O669" s="29"/>
      <c r="P669" s="29" t="s">
        <v>7668</v>
      </c>
      <c r="Q669" t="s">
        <v>2038</v>
      </c>
      <c r="R669" t="s">
        <v>2633</v>
      </c>
      <c r="S669">
        <v>37</v>
      </c>
      <c r="T669" s="43" t="str">
        <f t="shared" si="27"/>
        <v>2021.010B.R.Binomial_names.zip</v>
      </c>
      <c r="U669" s="43" t="str">
        <f>HYPERLINK("https://ictv.global/taxonomy/taxondetails?taxnode_id=202208386","ictv.global=202208386")</f>
        <v>ictv.global=202208386</v>
      </c>
    </row>
    <row r="670" spans="1:21">
      <c r="A670">
        <v>669</v>
      </c>
      <c r="B670" s="29" t="s">
        <v>3682</v>
      </c>
      <c r="C670" s="29"/>
      <c r="D670" s="29" t="s">
        <v>3683</v>
      </c>
      <c r="E670" s="29"/>
      <c r="F670" s="29" t="s">
        <v>3686</v>
      </c>
      <c r="G670" s="29"/>
      <c r="H670" s="29" t="s">
        <v>3687</v>
      </c>
      <c r="I670" s="29"/>
      <c r="J670" s="29"/>
      <c r="K670" s="29"/>
      <c r="L670" s="29" t="s">
        <v>3689</v>
      </c>
      <c r="M670" s="29" t="s">
        <v>3731</v>
      </c>
      <c r="N670" s="29" t="s">
        <v>3745</v>
      </c>
      <c r="O670" s="29"/>
      <c r="P670" s="29" t="s">
        <v>7669</v>
      </c>
      <c r="Q670" t="s">
        <v>2038</v>
      </c>
      <c r="R670" t="s">
        <v>2633</v>
      </c>
      <c r="S670">
        <v>37</v>
      </c>
      <c r="T670" s="43" t="str">
        <f t="shared" si="27"/>
        <v>2021.010B.R.Binomial_names.zip</v>
      </c>
      <c r="U670" s="43" t="str">
        <f>HYPERLINK("https://ictv.global/taxonomy/taxondetails?taxnode_id=202208385","ictv.global=202208385")</f>
        <v>ictv.global=202208385</v>
      </c>
    </row>
    <row r="671" spans="1:21">
      <c r="A671">
        <v>670</v>
      </c>
      <c r="B671" s="29" t="s">
        <v>3682</v>
      </c>
      <c r="C671" s="29"/>
      <c r="D671" s="29" t="s">
        <v>3683</v>
      </c>
      <c r="E671" s="29"/>
      <c r="F671" s="29" t="s">
        <v>3686</v>
      </c>
      <c r="G671" s="29"/>
      <c r="H671" s="29" t="s">
        <v>3687</v>
      </c>
      <c r="I671" s="29"/>
      <c r="J671" s="29"/>
      <c r="K671" s="29"/>
      <c r="L671" s="29" t="s">
        <v>3689</v>
      </c>
      <c r="M671" s="29" t="s">
        <v>3731</v>
      </c>
      <c r="N671" s="29" t="s">
        <v>3746</v>
      </c>
      <c r="O671" s="29"/>
      <c r="P671" s="29" t="s">
        <v>7670</v>
      </c>
      <c r="Q671" t="s">
        <v>2038</v>
      </c>
      <c r="R671" t="s">
        <v>2633</v>
      </c>
      <c r="S671">
        <v>37</v>
      </c>
      <c r="T671" s="43" t="str">
        <f t="shared" si="27"/>
        <v>2021.010B.R.Binomial_names.zip</v>
      </c>
      <c r="U671" s="43" t="str">
        <f>HYPERLINK("https://ictv.global/taxonomy/taxondetails?taxnode_id=202208371","ictv.global=202208371")</f>
        <v>ictv.global=202208371</v>
      </c>
    </row>
    <row r="672" spans="1:21">
      <c r="A672">
        <v>671</v>
      </c>
      <c r="B672" s="29" t="s">
        <v>3682</v>
      </c>
      <c r="C672" s="29"/>
      <c r="D672" s="29" t="s">
        <v>3683</v>
      </c>
      <c r="E672" s="29"/>
      <c r="F672" s="29" t="s">
        <v>3686</v>
      </c>
      <c r="G672" s="29"/>
      <c r="H672" s="29" t="s">
        <v>3687</v>
      </c>
      <c r="I672" s="29"/>
      <c r="J672" s="29"/>
      <c r="K672" s="29"/>
      <c r="L672" s="29" t="s">
        <v>3689</v>
      </c>
      <c r="M672" s="29" t="s">
        <v>3731</v>
      </c>
      <c r="N672" s="29" t="s">
        <v>3746</v>
      </c>
      <c r="O672" s="29"/>
      <c r="P672" s="29" t="s">
        <v>7671</v>
      </c>
      <c r="Q672" t="s">
        <v>2038</v>
      </c>
      <c r="R672" t="s">
        <v>2633</v>
      </c>
      <c r="S672">
        <v>37</v>
      </c>
      <c r="T672" s="43" t="str">
        <f t="shared" si="27"/>
        <v>2021.010B.R.Binomial_names.zip</v>
      </c>
      <c r="U672" s="43" t="str">
        <f>HYPERLINK("https://ictv.global/taxonomy/taxondetails?taxnode_id=202208373","ictv.global=202208373")</f>
        <v>ictv.global=202208373</v>
      </c>
    </row>
    <row r="673" spans="1:21">
      <c r="A673">
        <v>672</v>
      </c>
      <c r="B673" s="29" t="s">
        <v>3682</v>
      </c>
      <c r="C673" s="29"/>
      <c r="D673" s="29" t="s">
        <v>3683</v>
      </c>
      <c r="E673" s="29"/>
      <c r="F673" s="29" t="s">
        <v>3686</v>
      </c>
      <c r="G673" s="29"/>
      <c r="H673" s="29" t="s">
        <v>3687</v>
      </c>
      <c r="I673" s="29"/>
      <c r="J673" s="29"/>
      <c r="K673" s="29"/>
      <c r="L673" s="29" t="s">
        <v>3689</v>
      </c>
      <c r="M673" s="29" t="s">
        <v>3731</v>
      </c>
      <c r="N673" s="29" t="s">
        <v>3746</v>
      </c>
      <c r="O673" s="29"/>
      <c r="P673" s="29" t="s">
        <v>7672</v>
      </c>
      <c r="Q673" t="s">
        <v>2038</v>
      </c>
      <c r="R673" t="s">
        <v>2633</v>
      </c>
      <c r="S673">
        <v>37</v>
      </c>
      <c r="T673" s="43" t="str">
        <f t="shared" si="27"/>
        <v>2021.010B.R.Binomial_names.zip</v>
      </c>
      <c r="U673" s="43" t="str">
        <f>HYPERLINK("https://ictv.global/taxonomy/taxondetails?taxnode_id=202208372","ictv.global=202208372")</f>
        <v>ictv.global=202208372</v>
      </c>
    </row>
    <row r="674" spans="1:21">
      <c r="A674">
        <v>673</v>
      </c>
      <c r="B674" s="29" t="s">
        <v>3682</v>
      </c>
      <c r="C674" s="29"/>
      <c r="D674" s="29" t="s">
        <v>3683</v>
      </c>
      <c r="E674" s="29"/>
      <c r="F674" s="29" t="s">
        <v>3686</v>
      </c>
      <c r="G674" s="29"/>
      <c r="H674" s="29" t="s">
        <v>3687</v>
      </c>
      <c r="I674" s="29"/>
      <c r="J674" s="29"/>
      <c r="K674" s="29"/>
      <c r="L674" s="29" t="s">
        <v>3689</v>
      </c>
      <c r="M674" s="29" t="s">
        <v>3731</v>
      </c>
      <c r="N674" s="29" t="s">
        <v>3747</v>
      </c>
      <c r="O674" s="29"/>
      <c r="P674" s="29" t="s">
        <v>7673</v>
      </c>
      <c r="Q674" t="s">
        <v>2038</v>
      </c>
      <c r="R674" t="s">
        <v>2633</v>
      </c>
      <c r="S674">
        <v>37</v>
      </c>
      <c r="T674" s="43" t="str">
        <f t="shared" si="27"/>
        <v>2021.010B.R.Binomial_names.zip</v>
      </c>
      <c r="U674" s="43" t="str">
        <f>HYPERLINK("https://ictv.global/taxonomy/taxondetails?taxnode_id=202208357","ictv.global=202208357")</f>
        <v>ictv.global=202208357</v>
      </c>
    </row>
    <row r="675" spans="1:21">
      <c r="A675">
        <v>674</v>
      </c>
      <c r="B675" s="29" t="s">
        <v>3682</v>
      </c>
      <c r="C675" s="29"/>
      <c r="D675" s="29" t="s">
        <v>3683</v>
      </c>
      <c r="E675" s="29"/>
      <c r="F675" s="29" t="s">
        <v>3686</v>
      </c>
      <c r="G675" s="29"/>
      <c r="H675" s="29" t="s">
        <v>3687</v>
      </c>
      <c r="I675" s="29"/>
      <c r="J675" s="29"/>
      <c r="K675" s="29"/>
      <c r="L675" s="29" t="s">
        <v>3689</v>
      </c>
      <c r="M675" s="29" t="s">
        <v>3731</v>
      </c>
      <c r="N675" s="29" t="s">
        <v>3748</v>
      </c>
      <c r="O675" s="29"/>
      <c r="P675" s="29" t="s">
        <v>7674</v>
      </c>
      <c r="Q675" t="s">
        <v>2038</v>
      </c>
      <c r="R675" t="s">
        <v>2633</v>
      </c>
      <c r="S675">
        <v>37</v>
      </c>
      <c r="T675" s="43" t="str">
        <f t="shared" si="27"/>
        <v>2021.010B.R.Binomial_names.zip</v>
      </c>
      <c r="U675" s="43" t="str">
        <f>HYPERLINK("https://ictv.global/taxonomy/taxondetails?taxnode_id=202208362","ictv.global=202208362")</f>
        <v>ictv.global=202208362</v>
      </c>
    </row>
    <row r="676" spans="1:21">
      <c r="A676">
        <v>675</v>
      </c>
      <c r="B676" s="29" t="s">
        <v>3682</v>
      </c>
      <c r="C676" s="29"/>
      <c r="D676" s="29" t="s">
        <v>3683</v>
      </c>
      <c r="E676" s="29"/>
      <c r="F676" s="29" t="s">
        <v>3686</v>
      </c>
      <c r="G676" s="29"/>
      <c r="H676" s="29" t="s">
        <v>3687</v>
      </c>
      <c r="I676" s="29"/>
      <c r="J676" s="29"/>
      <c r="K676" s="29"/>
      <c r="L676" s="29" t="s">
        <v>3689</v>
      </c>
      <c r="M676" s="29" t="s">
        <v>3731</v>
      </c>
      <c r="N676" s="29" t="s">
        <v>3748</v>
      </c>
      <c r="O676" s="29"/>
      <c r="P676" s="29" t="s">
        <v>7675</v>
      </c>
      <c r="Q676" t="s">
        <v>2038</v>
      </c>
      <c r="R676" t="s">
        <v>2633</v>
      </c>
      <c r="S676">
        <v>37</v>
      </c>
      <c r="T676" s="43" t="str">
        <f t="shared" si="27"/>
        <v>2021.010B.R.Binomial_names.zip</v>
      </c>
      <c r="U676" s="43" t="str">
        <f>HYPERLINK("https://ictv.global/taxonomy/taxondetails?taxnode_id=202208361","ictv.global=202208361")</f>
        <v>ictv.global=202208361</v>
      </c>
    </row>
    <row r="677" spans="1:21">
      <c r="A677">
        <v>676</v>
      </c>
      <c r="B677" s="29" t="s">
        <v>3682</v>
      </c>
      <c r="C677" s="29"/>
      <c r="D677" s="29" t="s">
        <v>3683</v>
      </c>
      <c r="E677" s="29"/>
      <c r="F677" s="29" t="s">
        <v>3686</v>
      </c>
      <c r="G677" s="29"/>
      <c r="H677" s="29" t="s">
        <v>3687</v>
      </c>
      <c r="I677" s="29"/>
      <c r="J677" s="29"/>
      <c r="K677" s="29"/>
      <c r="L677" s="29" t="s">
        <v>3689</v>
      </c>
      <c r="M677" s="29" t="s">
        <v>3731</v>
      </c>
      <c r="N677" s="29" t="s">
        <v>3748</v>
      </c>
      <c r="O677" s="29"/>
      <c r="P677" s="29" t="s">
        <v>7676</v>
      </c>
      <c r="Q677" t="s">
        <v>2038</v>
      </c>
      <c r="R677" t="s">
        <v>2633</v>
      </c>
      <c r="S677">
        <v>37</v>
      </c>
      <c r="T677" s="43" t="str">
        <f t="shared" si="27"/>
        <v>2021.010B.R.Binomial_names.zip</v>
      </c>
      <c r="U677" s="43" t="str">
        <f>HYPERLINK("https://ictv.global/taxonomy/taxondetails?taxnode_id=202208366","ictv.global=202208366")</f>
        <v>ictv.global=202208366</v>
      </c>
    </row>
    <row r="678" spans="1:21">
      <c r="A678">
        <v>677</v>
      </c>
      <c r="B678" s="29" t="s">
        <v>3682</v>
      </c>
      <c r="C678" s="29"/>
      <c r="D678" s="29" t="s">
        <v>3683</v>
      </c>
      <c r="E678" s="29"/>
      <c r="F678" s="29" t="s">
        <v>3686</v>
      </c>
      <c r="G678" s="29"/>
      <c r="H678" s="29" t="s">
        <v>3687</v>
      </c>
      <c r="I678" s="29"/>
      <c r="J678" s="29"/>
      <c r="K678" s="29"/>
      <c r="L678" s="29" t="s">
        <v>3689</v>
      </c>
      <c r="M678" s="29" t="s">
        <v>3731</v>
      </c>
      <c r="N678" s="29" t="s">
        <v>3748</v>
      </c>
      <c r="O678" s="29"/>
      <c r="P678" s="29" t="s">
        <v>7677</v>
      </c>
      <c r="Q678" t="s">
        <v>2038</v>
      </c>
      <c r="R678" t="s">
        <v>2633</v>
      </c>
      <c r="S678">
        <v>37</v>
      </c>
      <c r="T678" s="43" t="str">
        <f t="shared" si="27"/>
        <v>2021.010B.R.Binomial_names.zip</v>
      </c>
      <c r="U678" s="43" t="str">
        <f>HYPERLINK("https://ictv.global/taxonomy/taxondetails?taxnode_id=202208363","ictv.global=202208363")</f>
        <v>ictv.global=202208363</v>
      </c>
    </row>
    <row r="679" spans="1:21">
      <c r="A679">
        <v>678</v>
      </c>
      <c r="B679" s="29" t="s">
        <v>3682</v>
      </c>
      <c r="C679" s="29"/>
      <c r="D679" s="29" t="s">
        <v>3683</v>
      </c>
      <c r="E679" s="29"/>
      <c r="F679" s="29" t="s">
        <v>3686</v>
      </c>
      <c r="G679" s="29"/>
      <c r="H679" s="29" t="s">
        <v>3687</v>
      </c>
      <c r="I679" s="29"/>
      <c r="J679" s="29"/>
      <c r="K679" s="29"/>
      <c r="L679" s="29" t="s">
        <v>3689</v>
      </c>
      <c r="M679" s="29" t="s">
        <v>3731</v>
      </c>
      <c r="N679" s="29" t="s">
        <v>3748</v>
      </c>
      <c r="O679" s="29"/>
      <c r="P679" s="29" t="s">
        <v>7678</v>
      </c>
      <c r="Q679" t="s">
        <v>2038</v>
      </c>
      <c r="R679" t="s">
        <v>2633</v>
      </c>
      <c r="S679">
        <v>37</v>
      </c>
      <c r="T679" s="43" t="str">
        <f t="shared" si="27"/>
        <v>2021.010B.R.Binomial_names.zip</v>
      </c>
      <c r="U679" s="43" t="str">
        <f>HYPERLINK("https://ictv.global/taxonomy/taxondetails?taxnode_id=202208365","ictv.global=202208365")</f>
        <v>ictv.global=202208365</v>
      </c>
    </row>
    <row r="680" spans="1:21">
      <c r="A680">
        <v>679</v>
      </c>
      <c r="B680" s="29" t="s">
        <v>3682</v>
      </c>
      <c r="C680" s="29"/>
      <c r="D680" s="29" t="s">
        <v>3683</v>
      </c>
      <c r="E680" s="29"/>
      <c r="F680" s="29" t="s">
        <v>3686</v>
      </c>
      <c r="G680" s="29"/>
      <c r="H680" s="29" t="s">
        <v>3687</v>
      </c>
      <c r="I680" s="29"/>
      <c r="J680" s="29"/>
      <c r="K680" s="29"/>
      <c r="L680" s="29" t="s">
        <v>3689</v>
      </c>
      <c r="M680" s="29" t="s">
        <v>3731</v>
      </c>
      <c r="N680" s="29" t="s">
        <v>3748</v>
      </c>
      <c r="O680" s="29"/>
      <c r="P680" s="29" t="s">
        <v>7679</v>
      </c>
      <c r="Q680" t="s">
        <v>2038</v>
      </c>
      <c r="R680" t="s">
        <v>2633</v>
      </c>
      <c r="S680">
        <v>37</v>
      </c>
      <c r="T680" s="43" t="str">
        <f t="shared" si="27"/>
        <v>2021.010B.R.Binomial_names.zip</v>
      </c>
      <c r="U680" s="43" t="str">
        <f>HYPERLINK("https://ictv.global/taxonomy/taxondetails?taxnode_id=202208364","ictv.global=202208364")</f>
        <v>ictv.global=202208364</v>
      </c>
    </row>
    <row r="681" spans="1:21">
      <c r="A681">
        <v>680</v>
      </c>
      <c r="B681" s="29" t="s">
        <v>3682</v>
      </c>
      <c r="C681" s="29"/>
      <c r="D681" s="29" t="s">
        <v>3683</v>
      </c>
      <c r="E681" s="29"/>
      <c r="F681" s="29" t="s">
        <v>3686</v>
      </c>
      <c r="G681" s="29"/>
      <c r="H681" s="29" t="s">
        <v>3687</v>
      </c>
      <c r="I681" s="29"/>
      <c r="J681" s="29"/>
      <c r="K681" s="29"/>
      <c r="L681" s="29" t="s">
        <v>3689</v>
      </c>
      <c r="M681" s="29" t="s">
        <v>3731</v>
      </c>
      <c r="N681" s="29" t="s">
        <v>3749</v>
      </c>
      <c r="O681" s="29"/>
      <c r="P681" s="29" t="s">
        <v>7680</v>
      </c>
      <c r="Q681" t="s">
        <v>2038</v>
      </c>
      <c r="R681" t="s">
        <v>2633</v>
      </c>
      <c r="S681">
        <v>37</v>
      </c>
      <c r="T681" s="43" t="str">
        <f t="shared" si="27"/>
        <v>2021.010B.R.Binomial_names.zip</v>
      </c>
      <c r="U681" s="43" t="str">
        <f>HYPERLINK("https://ictv.global/taxonomy/taxondetails?taxnode_id=202208355","ictv.global=202208355")</f>
        <v>ictv.global=202208355</v>
      </c>
    </row>
    <row r="682" spans="1:21">
      <c r="A682">
        <v>681</v>
      </c>
      <c r="B682" s="29" t="s">
        <v>3682</v>
      </c>
      <c r="C682" s="29"/>
      <c r="D682" s="29" t="s">
        <v>3683</v>
      </c>
      <c r="E682" s="29"/>
      <c r="F682" s="29" t="s">
        <v>3686</v>
      </c>
      <c r="G682" s="29"/>
      <c r="H682" s="29" t="s">
        <v>3687</v>
      </c>
      <c r="I682" s="29"/>
      <c r="J682" s="29"/>
      <c r="K682" s="29"/>
      <c r="L682" s="29" t="s">
        <v>3689</v>
      </c>
      <c r="M682" s="29" t="s">
        <v>3731</v>
      </c>
      <c r="N682" s="29" t="s">
        <v>3450</v>
      </c>
      <c r="O682" s="29"/>
      <c r="P682" s="29" t="s">
        <v>7681</v>
      </c>
      <c r="Q682" t="s">
        <v>2038</v>
      </c>
      <c r="R682" t="s">
        <v>2633</v>
      </c>
      <c r="S682">
        <v>37</v>
      </c>
      <c r="T682" s="43" t="str">
        <f t="shared" si="27"/>
        <v>2021.010B.R.Binomial_names.zip</v>
      </c>
      <c r="U682" s="43" t="str">
        <f>HYPERLINK("https://ictv.global/taxonomy/taxondetails?taxnode_id=202208439","ictv.global=202208439")</f>
        <v>ictv.global=202208439</v>
      </c>
    </row>
    <row r="683" spans="1:21">
      <c r="A683">
        <v>682</v>
      </c>
      <c r="B683" s="29" t="s">
        <v>3682</v>
      </c>
      <c r="C683" s="29"/>
      <c r="D683" s="29" t="s">
        <v>3683</v>
      </c>
      <c r="E683" s="29"/>
      <c r="F683" s="29" t="s">
        <v>3686</v>
      </c>
      <c r="G683" s="29"/>
      <c r="H683" s="29" t="s">
        <v>3687</v>
      </c>
      <c r="I683" s="29"/>
      <c r="J683" s="29"/>
      <c r="K683" s="29"/>
      <c r="L683" s="29" t="s">
        <v>3689</v>
      </c>
      <c r="M683" s="29" t="s">
        <v>3731</v>
      </c>
      <c r="N683" s="29" t="s">
        <v>3450</v>
      </c>
      <c r="O683" s="29"/>
      <c r="P683" s="29" t="s">
        <v>7682</v>
      </c>
      <c r="Q683" t="s">
        <v>2038</v>
      </c>
      <c r="R683" t="s">
        <v>2633</v>
      </c>
      <c r="S683">
        <v>37</v>
      </c>
      <c r="T683" s="43" t="str">
        <f t="shared" si="27"/>
        <v>2021.010B.R.Binomial_names.zip</v>
      </c>
      <c r="U683" s="43" t="str">
        <f>HYPERLINK("https://ictv.global/taxonomy/taxondetails?taxnode_id=202208438","ictv.global=202208438")</f>
        <v>ictv.global=202208438</v>
      </c>
    </row>
    <row r="684" spans="1:21">
      <c r="A684">
        <v>683</v>
      </c>
      <c r="B684" s="29" t="s">
        <v>3682</v>
      </c>
      <c r="C684" s="29"/>
      <c r="D684" s="29" t="s">
        <v>3683</v>
      </c>
      <c r="E684" s="29"/>
      <c r="F684" s="29" t="s">
        <v>3686</v>
      </c>
      <c r="G684" s="29"/>
      <c r="H684" s="29" t="s">
        <v>3687</v>
      </c>
      <c r="I684" s="29"/>
      <c r="J684" s="29"/>
      <c r="K684" s="29"/>
      <c r="L684" s="29" t="s">
        <v>3689</v>
      </c>
      <c r="M684" s="29" t="s">
        <v>3731</v>
      </c>
      <c r="N684" s="29" t="s">
        <v>3450</v>
      </c>
      <c r="O684" s="29"/>
      <c r="P684" s="29" t="s">
        <v>7683</v>
      </c>
      <c r="Q684" t="s">
        <v>2038</v>
      </c>
      <c r="R684" t="s">
        <v>2633</v>
      </c>
      <c r="S684">
        <v>37</v>
      </c>
      <c r="T684" s="43" t="str">
        <f t="shared" si="27"/>
        <v>2021.010B.R.Binomial_names.zip</v>
      </c>
      <c r="U684" s="43" t="str">
        <f>HYPERLINK("https://ictv.global/taxonomy/taxondetails?taxnode_id=202208447","ictv.global=202208447")</f>
        <v>ictv.global=202208447</v>
      </c>
    </row>
    <row r="685" spans="1:21">
      <c r="A685">
        <v>684</v>
      </c>
      <c r="B685" s="29" t="s">
        <v>3682</v>
      </c>
      <c r="C685" s="29"/>
      <c r="D685" s="29" t="s">
        <v>3683</v>
      </c>
      <c r="E685" s="29"/>
      <c r="F685" s="29" t="s">
        <v>3686</v>
      </c>
      <c r="G685" s="29"/>
      <c r="H685" s="29" t="s">
        <v>3687</v>
      </c>
      <c r="I685" s="29"/>
      <c r="J685" s="29"/>
      <c r="K685" s="29"/>
      <c r="L685" s="29" t="s">
        <v>3689</v>
      </c>
      <c r="M685" s="29" t="s">
        <v>3731</v>
      </c>
      <c r="N685" s="29" t="s">
        <v>3450</v>
      </c>
      <c r="O685" s="29"/>
      <c r="P685" s="29" t="s">
        <v>7684</v>
      </c>
      <c r="Q685" t="s">
        <v>2038</v>
      </c>
      <c r="R685" t="s">
        <v>2633</v>
      </c>
      <c r="S685">
        <v>37</v>
      </c>
      <c r="T685" s="43" t="str">
        <f t="shared" si="27"/>
        <v>2021.010B.R.Binomial_names.zip</v>
      </c>
      <c r="U685" s="43" t="str">
        <f>HYPERLINK("https://ictv.global/taxonomy/taxondetails?taxnode_id=202208437","ictv.global=202208437")</f>
        <v>ictv.global=202208437</v>
      </c>
    </row>
    <row r="686" spans="1:21">
      <c r="A686">
        <v>685</v>
      </c>
      <c r="B686" s="29" t="s">
        <v>3682</v>
      </c>
      <c r="C686" s="29"/>
      <c r="D686" s="29" t="s">
        <v>3683</v>
      </c>
      <c r="E686" s="29"/>
      <c r="F686" s="29" t="s">
        <v>3686</v>
      </c>
      <c r="G686" s="29"/>
      <c r="H686" s="29" t="s">
        <v>3687</v>
      </c>
      <c r="I686" s="29"/>
      <c r="J686" s="29"/>
      <c r="K686" s="29"/>
      <c r="L686" s="29" t="s">
        <v>3689</v>
      </c>
      <c r="M686" s="29" t="s">
        <v>3731</v>
      </c>
      <c r="N686" s="29" t="s">
        <v>3450</v>
      </c>
      <c r="O686" s="29"/>
      <c r="P686" s="29" t="s">
        <v>7685</v>
      </c>
      <c r="Q686" t="s">
        <v>2038</v>
      </c>
      <c r="R686" t="s">
        <v>2633</v>
      </c>
      <c r="S686">
        <v>37</v>
      </c>
      <c r="T686" s="43" t="str">
        <f t="shared" si="27"/>
        <v>2021.010B.R.Binomial_names.zip</v>
      </c>
      <c r="U686" s="43" t="str">
        <f>HYPERLINK("https://ictv.global/taxonomy/taxondetails?taxnode_id=202208430","ictv.global=202208430")</f>
        <v>ictv.global=202208430</v>
      </c>
    </row>
    <row r="687" spans="1:21">
      <c r="A687">
        <v>686</v>
      </c>
      <c r="B687" s="29" t="s">
        <v>3682</v>
      </c>
      <c r="C687" s="29"/>
      <c r="D687" s="29" t="s">
        <v>3683</v>
      </c>
      <c r="E687" s="29"/>
      <c r="F687" s="29" t="s">
        <v>3686</v>
      </c>
      <c r="G687" s="29"/>
      <c r="H687" s="29" t="s">
        <v>3687</v>
      </c>
      <c r="I687" s="29"/>
      <c r="J687" s="29"/>
      <c r="K687" s="29"/>
      <c r="L687" s="29" t="s">
        <v>3689</v>
      </c>
      <c r="M687" s="29" t="s">
        <v>3731</v>
      </c>
      <c r="N687" s="29" t="s">
        <v>3450</v>
      </c>
      <c r="O687" s="29"/>
      <c r="P687" s="29" t="s">
        <v>7686</v>
      </c>
      <c r="Q687" t="s">
        <v>2038</v>
      </c>
      <c r="R687" t="s">
        <v>2633</v>
      </c>
      <c r="S687">
        <v>37</v>
      </c>
      <c r="T687" s="43" t="str">
        <f t="shared" ref="T687:T718" si="28">HYPERLINK("https://ictv.global/ictv/proposals/2021.010B.R.Binomial_names.zip","2021.010B.R.Binomial_names.zip")</f>
        <v>2021.010B.R.Binomial_names.zip</v>
      </c>
      <c r="U687" s="43" t="str">
        <f>HYPERLINK("https://ictv.global/taxonomy/taxondetails?taxnode_id=202208445","ictv.global=202208445")</f>
        <v>ictv.global=202208445</v>
      </c>
    </row>
    <row r="688" spans="1:21">
      <c r="A688">
        <v>687</v>
      </c>
      <c r="B688" s="29" t="s">
        <v>3682</v>
      </c>
      <c r="C688" s="29"/>
      <c r="D688" s="29" t="s">
        <v>3683</v>
      </c>
      <c r="E688" s="29"/>
      <c r="F688" s="29" t="s">
        <v>3686</v>
      </c>
      <c r="G688" s="29"/>
      <c r="H688" s="29" t="s">
        <v>3687</v>
      </c>
      <c r="I688" s="29"/>
      <c r="J688" s="29"/>
      <c r="K688" s="29"/>
      <c r="L688" s="29" t="s">
        <v>3689</v>
      </c>
      <c r="M688" s="29" t="s">
        <v>3731</v>
      </c>
      <c r="N688" s="29" t="s">
        <v>3450</v>
      </c>
      <c r="O688" s="29"/>
      <c r="P688" s="29" t="s">
        <v>7687</v>
      </c>
      <c r="Q688" t="s">
        <v>2038</v>
      </c>
      <c r="R688" t="s">
        <v>2633</v>
      </c>
      <c r="S688">
        <v>37</v>
      </c>
      <c r="T688" s="43" t="str">
        <f t="shared" si="28"/>
        <v>2021.010B.R.Binomial_names.zip</v>
      </c>
      <c r="U688" s="43" t="str">
        <f>HYPERLINK("https://ictv.global/taxonomy/taxondetails?taxnode_id=202200552","ictv.global=202200552")</f>
        <v>ictv.global=202200552</v>
      </c>
    </row>
    <row r="689" spans="1:21">
      <c r="A689">
        <v>688</v>
      </c>
      <c r="B689" s="29" t="s">
        <v>3682</v>
      </c>
      <c r="C689" s="29"/>
      <c r="D689" s="29" t="s">
        <v>3683</v>
      </c>
      <c r="E689" s="29"/>
      <c r="F689" s="29" t="s">
        <v>3686</v>
      </c>
      <c r="G689" s="29"/>
      <c r="H689" s="29" t="s">
        <v>3687</v>
      </c>
      <c r="I689" s="29"/>
      <c r="J689" s="29"/>
      <c r="K689" s="29"/>
      <c r="L689" s="29" t="s">
        <v>3689</v>
      </c>
      <c r="M689" s="29" t="s">
        <v>3731</v>
      </c>
      <c r="N689" s="29" t="s">
        <v>3450</v>
      </c>
      <c r="O689" s="29"/>
      <c r="P689" s="29" t="s">
        <v>7688</v>
      </c>
      <c r="Q689" t="s">
        <v>2038</v>
      </c>
      <c r="R689" t="s">
        <v>2633</v>
      </c>
      <c r="S689">
        <v>37</v>
      </c>
      <c r="T689" s="43" t="str">
        <f t="shared" si="28"/>
        <v>2021.010B.R.Binomial_names.zip</v>
      </c>
      <c r="U689" s="43" t="str">
        <f>HYPERLINK("https://ictv.global/taxonomy/taxondetails?taxnode_id=202200553","ictv.global=202200553")</f>
        <v>ictv.global=202200553</v>
      </c>
    </row>
    <row r="690" spans="1:21">
      <c r="A690">
        <v>689</v>
      </c>
      <c r="B690" s="29" t="s">
        <v>3682</v>
      </c>
      <c r="C690" s="29"/>
      <c r="D690" s="29" t="s">
        <v>3683</v>
      </c>
      <c r="E690" s="29"/>
      <c r="F690" s="29" t="s">
        <v>3686</v>
      </c>
      <c r="G690" s="29"/>
      <c r="H690" s="29" t="s">
        <v>3687</v>
      </c>
      <c r="I690" s="29"/>
      <c r="J690" s="29"/>
      <c r="K690" s="29"/>
      <c r="L690" s="29" t="s">
        <v>3689</v>
      </c>
      <c r="M690" s="29" t="s">
        <v>3731</v>
      </c>
      <c r="N690" s="29" t="s">
        <v>3450</v>
      </c>
      <c r="O690" s="29"/>
      <c r="P690" s="29" t="s">
        <v>7689</v>
      </c>
      <c r="Q690" t="s">
        <v>2038</v>
      </c>
      <c r="R690" t="s">
        <v>2633</v>
      </c>
      <c r="S690">
        <v>37</v>
      </c>
      <c r="T690" s="43" t="str">
        <f t="shared" si="28"/>
        <v>2021.010B.R.Binomial_names.zip</v>
      </c>
      <c r="U690" s="43" t="str">
        <f>HYPERLINK("https://ictv.global/taxonomy/taxondetails?taxnode_id=202200551","ictv.global=202200551")</f>
        <v>ictv.global=202200551</v>
      </c>
    </row>
    <row r="691" spans="1:21">
      <c r="A691">
        <v>690</v>
      </c>
      <c r="B691" s="29" t="s">
        <v>3682</v>
      </c>
      <c r="C691" s="29"/>
      <c r="D691" s="29" t="s">
        <v>3683</v>
      </c>
      <c r="E691" s="29"/>
      <c r="F691" s="29" t="s">
        <v>3686</v>
      </c>
      <c r="G691" s="29"/>
      <c r="H691" s="29" t="s">
        <v>3687</v>
      </c>
      <c r="I691" s="29"/>
      <c r="J691" s="29"/>
      <c r="K691" s="29"/>
      <c r="L691" s="29" t="s">
        <v>3689</v>
      </c>
      <c r="M691" s="29" t="s">
        <v>3731</v>
      </c>
      <c r="N691" s="29" t="s">
        <v>3450</v>
      </c>
      <c r="O691" s="29"/>
      <c r="P691" s="29" t="s">
        <v>7690</v>
      </c>
      <c r="Q691" t="s">
        <v>2038</v>
      </c>
      <c r="R691" t="s">
        <v>2633</v>
      </c>
      <c r="S691">
        <v>37</v>
      </c>
      <c r="T691" s="43" t="str">
        <f t="shared" si="28"/>
        <v>2021.010B.R.Binomial_names.zip</v>
      </c>
      <c r="U691" s="43" t="str">
        <f>HYPERLINK("https://ictv.global/taxonomy/taxondetails?taxnode_id=202208434","ictv.global=202208434")</f>
        <v>ictv.global=202208434</v>
      </c>
    </row>
    <row r="692" spans="1:21">
      <c r="A692">
        <v>691</v>
      </c>
      <c r="B692" s="29" t="s">
        <v>3682</v>
      </c>
      <c r="C692" s="29"/>
      <c r="D692" s="29" t="s">
        <v>3683</v>
      </c>
      <c r="E692" s="29"/>
      <c r="F692" s="29" t="s">
        <v>3686</v>
      </c>
      <c r="G692" s="29"/>
      <c r="H692" s="29" t="s">
        <v>3687</v>
      </c>
      <c r="I692" s="29"/>
      <c r="J692" s="29"/>
      <c r="K692" s="29"/>
      <c r="L692" s="29" t="s">
        <v>3689</v>
      </c>
      <c r="M692" s="29" t="s">
        <v>3731</v>
      </c>
      <c r="N692" s="29" t="s">
        <v>3450</v>
      </c>
      <c r="O692" s="29"/>
      <c r="P692" s="29" t="s">
        <v>7691</v>
      </c>
      <c r="Q692" t="s">
        <v>2038</v>
      </c>
      <c r="R692" t="s">
        <v>2633</v>
      </c>
      <c r="S692">
        <v>37</v>
      </c>
      <c r="T692" s="43" t="str">
        <f t="shared" si="28"/>
        <v>2021.010B.R.Binomial_names.zip</v>
      </c>
      <c r="U692" s="43" t="str">
        <f>HYPERLINK("https://ictv.global/taxonomy/taxondetails?taxnode_id=202208435","ictv.global=202208435")</f>
        <v>ictv.global=202208435</v>
      </c>
    </row>
    <row r="693" spans="1:21">
      <c r="A693">
        <v>692</v>
      </c>
      <c r="B693" s="29" t="s">
        <v>3682</v>
      </c>
      <c r="C693" s="29"/>
      <c r="D693" s="29" t="s">
        <v>3683</v>
      </c>
      <c r="E693" s="29"/>
      <c r="F693" s="29" t="s">
        <v>3686</v>
      </c>
      <c r="G693" s="29"/>
      <c r="H693" s="29" t="s">
        <v>3687</v>
      </c>
      <c r="I693" s="29"/>
      <c r="J693" s="29"/>
      <c r="K693" s="29"/>
      <c r="L693" s="29" t="s">
        <v>3689</v>
      </c>
      <c r="M693" s="29" t="s">
        <v>3731</v>
      </c>
      <c r="N693" s="29" t="s">
        <v>3450</v>
      </c>
      <c r="O693" s="29"/>
      <c r="P693" s="29" t="s">
        <v>7692</v>
      </c>
      <c r="Q693" t="s">
        <v>2038</v>
      </c>
      <c r="R693" t="s">
        <v>2633</v>
      </c>
      <c r="S693">
        <v>37</v>
      </c>
      <c r="T693" s="43" t="str">
        <f t="shared" si="28"/>
        <v>2021.010B.R.Binomial_names.zip</v>
      </c>
      <c r="U693" s="43" t="str">
        <f>HYPERLINK("https://ictv.global/taxonomy/taxondetails?taxnode_id=202208450","ictv.global=202208450")</f>
        <v>ictv.global=202208450</v>
      </c>
    </row>
    <row r="694" spans="1:21">
      <c r="A694">
        <v>693</v>
      </c>
      <c r="B694" s="29" t="s">
        <v>3682</v>
      </c>
      <c r="C694" s="29"/>
      <c r="D694" s="29" t="s">
        <v>3683</v>
      </c>
      <c r="E694" s="29"/>
      <c r="F694" s="29" t="s">
        <v>3686</v>
      </c>
      <c r="G694" s="29"/>
      <c r="H694" s="29" t="s">
        <v>3687</v>
      </c>
      <c r="I694" s="29"/>
      <c r="J694" s="29"/>
      <c r="K694" s="29"/>
      <c r="L694" s="29" t="s">
        <v>3689</v>
      </c>
      <c r="M694" s="29" t="s">
        <v>3731</v>
      </c>
      <c r="N694" s="29" t="s">
        <v>3450</v>
      </c>
      <c r="O694" s="29"/>
      <c r="P694" s="29" t="s">
        <v>7693</v>
      </c>
      <c r="Q694" t="s">
        <v>2038</v>
      </c>
      <c r="R694" t="s">
        <v>2633</v>
      </c>
      <c r="S694">
        <v>37</v>
      </c>
      <c r="T694" s="43" t="str">
        <f t="shared" si="28"/>
        <v>2021.010B.R.Binomial_names.zip</v>
      </c>
      <c r="U694" s="43" t="str">
        <f>HYPERLINK("https://ictv.global/taxonomy/taxondetails?taxnode_id=202208451","ictv.global=202208451")</f>
        <v>ictv.global=202208451</v>
      </c>
    </row>
    <row r="695" spans="1:21">
      <c r="A695">
        <v>694</v>
      </c>
      <c r="B695" s="29" t="s">
        <v>3682</v>
      </c>
      <c r="C695" s="29"/>
      <c r="D695" s="29" t="s">
        <v>3683</v>
      </c>
      <c r="E695" s="29"/>
      <c r="F695" s="29" t="s">
        <v>3686</v>
      </c>
      <c r="G695" s="29"/>
      <c r="H695" s="29" t="s">
        <v>3687</v>
      </c>
      <c r="I695" s="29"/>
      <c r="J695" s="29"/>
      <c r="K695" s="29"/>
      <c r="L695" s="29" t="s">
        <v>3689</v>
      </c>
      <c r="M695" s="29" t="s">
        <v>3731</v>
      </c>
      <c r="N695" s="29" t="s">
        <v>3450</v>
      </c>
      <c r="O695" s="29"/>
      <c r="P695" s="29" t="s">
        <v>7694</v>
      </c>
      <c r="Q695" t="s">
        <v>2038</v>
      </c>
      <c r="R695" t="s">
        <v>2633</v>
      </c>
      <c r="S695">
        <v>37</v>
      </c>
      <c r="T695" s="43" t="str">
        <f t="shared" si="28"/>
        <v>2021.010B.R.Binomial_names.zip</v>
      </c>
      <c r="U695" s="43" t="str">
        <f>HYPERLINK("https://ictv.global/taxonomy/taxondetails?taxnode_id=202208452","ictv.global=202208452")</f>
        <v>ictv.global=202208452</v>
      </c>
    </row>
    <row r="696" spans="1:21">
      <c r="A696">
        <v>695</v>
      </c>
      <c r="B696" s="29" t="s">
        <v>3682</v>
      </c>
      <c r="C696" s="29"/>
      <c r="D696" s="29" t="s">
        <v>3683</v>
      </c>
      <c r="E696" s="29"/>
      <c r="F696" s="29" t="s">
        <v>3686</v>
      </c>
      <c r="G696" s="29"/>
      <c r="H696" s="29" t="s">
        <v>3687</v>
      </c>
      <c r="I696" s="29"/>
      <c r="J696" s="29"/>
      <c r="K696" s="29"/>
      <c r="L696" s="29" t="s">
        <v>3689</v>
      </c>
      <c r="M696" s="29" t="s">
        <v>3731</v>
      </c>
      <c r="N696" s="29" t="s">
        <v>3450</v>
      </c>
      <c r="O696" s="29"/>
      <c r="P696" s="29" t="s">
        <v>7695</v>
      </c>
      <c r="Q696" t="s">
        <v>2038</v>
      </c>
      <c r="R696" t="s">
        <v>2633</v>
      </c>
      <c r="S696">
        <v>37</v>
      </c>
      <c r="T696" s="43" t="str">
        <f t="shared" si="28"/>
        <v>2021.010B.R.Binomial_names.zip</v>
      </c>
      <c r="U696" s="43" t="str">
        <f>HYPERLINK("https://ictv.global/taxonomy/taxondetails?taxnode_id=202200554","ictv.global=202200554")</f>
        <v>ictv.global=202200554</v>
      </c>
    </row>
    <row r="697" spans="1:21">
      <c r="A697">
        <v>696</v>
      </c>
      <c r="B697" s="29" t="s">
        <v>3682</v>
      </c>
      <c r="C697" s="29"/>
      <c r="D697" s="29" t="s">
        <v>3683</v>
      </c>
      <c r="E697" s="29"/>
      <c r="F697" s="29" t="s">
        <v>3686</v>
      </c>
      <c r="G697" s="29"/>
      <c r="H697" s="29" t="s">
        <v>3687</v>
      </c>
      <c r="I697" s="29"/>
      <c r="J697" s="29"/>
      <c r="K697" s="29"/>
      <c r="L697" s="29" t="s">
        <v>3689</v>
      </c>
      <c r="M697" s="29" t="s">
        <v>3731</v>
      </c>
      <c r="N697" s="29" t="s">
        <v>3450</v>
      </c>
      <c r="O697" s="29"/>
      <c r="P697" s="29" t="s">
        <v>7696</v>
      </c>
      <c r="Q697" t="s">
        <v>2038</v>
      </c>
      <c r="R697" t="s">
        <v>2633</v>
      </c>
      <c r="S697">
        <v>37</v>
      </c>
      <c r="T697" s="43" t="str">
        <f t="shared" si="28"/>
        <v>2021.010B.R.Binomial_names.zip</v>
      </c>
      <c r="U697" s="43" t="str">
        <f>HYPERLINK("https://ictv.global/taxonomy/taxondetails?taxnode_id=202200555","ictv.global=202200555")</f>
        <v>ictv.global=202200555</v>
      </c>
    </row>
    <row r="698" spans="1:21">
      <c r="A698">
        <v>697</v>
      </c>
      <c r="B698" s="29" t="s">
        <v>3682</v>
      </c>
      <c r="C698" s="29"/>
      <c r="D698" s="29" t="s">
        <v>3683</v>
      </c>
      <c r="E698" s="29"/>
      <c r="F698" s="29" t="s">
        <v>3686</v>
      </c>
      <c r="G698" s="29"/>
      <c r="H698" s="29" t="s">
        <v>3687</v>
      </c>
      <c r="I698" s="29"/>
      <c r="J698" s="29"/>
      <c r="K698" s="29"/>
      <c r="L698" s="29" t="s">
        <v>3689</v>
      </c>
      <c r="M698" s="29" t="s">
        <v>3731</v>
      </c>
      <c r="N698" s="29" t="s">
        <v>3450</v>
      </c>
      <c r="O698" s="29"/>
      <c r="P698" s="29" t="s">
        <v>7697</v>
      </c>
      <c r="Q698" t="s">
        <v>2038</v>
      </c>
      <c r="R698" t="s">
        <v>2633</v>
      </c>
      <c r="S698">
        <v>37</v>
      </c>
      <c r="T698" s="43" t="str">
        <f t="shared" si="28"/>
        <v>2021.010B.R.Binomial_names.zip</v>
      </c>
      <c r="U698" s="43" t="str">
        <f>HYPERLINK("https://ictv.global/taxonomy/taxondetails?taxnode_id=202208441","ictv.global=202208441")</f>
        <v>ictv.global=202208441</v>
      </c>
    </row>
    <row r="699" spans="1:21">
      <c r="A699">
        <v>698</v>
      </c>
      <c r="B699" s="29" t="s">
        <v>3682</v>
      </c>
      <c r="C699" s="29"/>
      <c r="D699" s="29" t="s">
        <v>3683</v>
      </c>
      <c r="E699" s="29"/>
      <c r="F699" s="29" t="s">
        <v>3686</v>
      </c>
      <c r="G699" s="29"/>
      <c r="H699" s="29" t="s">
        <v>3687</v>
      </c>
      <c r="I699" s="29"/>
      <c r="J699" s="29"/>
      <c r="K699" s="29"/>
      <c r="L699" s="29" t="s">
        <v>3689</v>
      </c>
      <c r="M699" s="29" t="s">
        <v>3731</v>
      </c>
      <c r="N699" s="29" t="s">
        <v>3450</v>
      </c>
      <c r="O699" s="29"/>
      <c r="P699" s="29" t="s">
        <v>7698</v>
      </c>
      <c r="Q699" t="s">
        <v>2038</v>
      </c>
      <c r="R699" t="s">
        <v>2633</v>
      </c>
      <c r="S699">
        <v>37</v>
      </c>
      <c r="T699" s="43" t="str">
        <f t="shared" si="28"/>
        <v>2021.010B.R.Binomial_names.zip</v>
      </c>
      <c r="U699" s="43" t="str">
        <f>HYPERLINK("https://ictv.global/taxonomy/taxondetails?taxnode_id=202208442","ictv.global=202208442")</f>
        <v>ictv.global=202208442</v>
      </c>
    </row>
    <row r="700" spans="1:21">
      <c r="A700">
        <v>699</v>
      </c>
      <c r="B700" s="29" t="s">
        <v>3682</v>
      </c>
      <c r="C700" s="29"/>
      <c r="D700" s="29" t="s">
        <v>3683</v>
      </c>
      <c r="E700" s="29"/>
      <c r="F700" s="29" t="s">
        <v>3686</v>
      </c>
      <c r="G700" s="29"/>
      <c r="H700" s="29" t="s">
        <v>3687</v>
      </c>
      <c r="I700" s="29"/>
      <c r="J700" s="29"/>
      <c r="K700" s="29"/>
      <c r="L700" s="29" t="s">
        <v>3689</v>
      </c>
      <c r="M700" s="29" t="s">
        <v>3731</v>
      </c>
      <c r="N700" s="29" t="s">
        <v>3450</v>
      </c>
      <c r="O700" s="29"/>
      <c r="P700" s="29" t="s">
        <v>7699</v>
      </c>
      <c r="Q700" t="s">
        <v>2038</v>
      </c>
      <c r="R700" t="s">
        <v>2633</v>
      </c>
      <c r="S700">
        <v>37</v>
      </c>
      <c r="T700" s="43" t="str">
        <f t="shared" si="28"/>
        <v>2021.010B.R.Binomial_names.zip</v>
      </c>
      <c r="U700" s="43" t="str">
        <f>HYPERLINK("https://ictv.global/taxonomy/taxondetails?taxnode_id=202208443","ictv.global=202208443")</f>
        <v>ictv.global=202208443</v>
      </c>
    </row>
    <row r="701" spans="1:21">
      <c r="A701">
        <v>700</v>
      </c>
      <c r="B701" s="29" t="s">
        <v>3682</v>
      </c>
      <c r="C701" s="29"/>
      <c r="D701" s="29" t="s">
        <v>3683</v>
      </c>
      <c r="E701" s="29"/>
      <c r="F701" s="29" t="s">
        <v>3686</v>
      </c>
      <c r="G701" s="29"/>
      <c r="H701" s="29" t="s">
        <v>3687</v>
      </c>
      <c r="I701" s="29"/>
      <c r="J701" s="29"/>
      <c r="K701" s="29"/>
      <c r="L701" s="29" t="s">
        <v>3689</v>
      </c>
      <c r="M701" s="29" t="s">
        <v>3731</v>
      </c>
      <c r="N701" s="29" t="s">
        <v>3450</v>
      </c>
      <c r="O701" s="29"/>
      <c r="P701" s="29" t="s">
        <v>7700</v>
      </c>
      <c r="Q701" t="s">
        <v>2038</v>
      </c>
      <c r="R701" t="s">
        <v>2633</v>
      </c>
      <c r="S701">
        <v>37</v>
      </c>
      <c r="T701" s="43" t="str">
        <f t="shared" si="28"/>
        <v>2021.010B.R.Binomial_names.zip</v>
      </c>
      <c r="U701" s="43" t="str">
        <f>HYPERLINK("https://ictv.global/taxonomy/taxondetails?taxnode_id=202208444","ictv.global=202208444")</f>
        <v>ictv.global=202208444</v>
      </c>
    </row>
    <row r="702" spans="1:21">
      <c r="A702">
        <v>701</v>
      </c>
      <c r="B702" s="29" t="s">
        <v>3682</v>
      </c>
      <c r="C702" s="29"/>
      <c r="D702" s="29" t="s">
        <v>3683</v>
      </c>
      <c r="E702" s="29"/>
      <c r="F702" s="29" t="s">
        <v>3686</v>
      </c>
      <c r="G702" s="29"/>
      <c r="H702" s="29" t="s">
        <v>3687</v>
      </c>
      <c r="I702" s="29"/>
      <c r="J702" s="29"/>
      <c r="K702" s="29"/>
      <c r="L702" s="29" t="s">
        <v>3689</v>
      </c>
      <c r="M702" s="29" t="s">
        <v>3731</v>
      </c>
      <c r="N702" s="29" t="s">
        <v>3450</v>
      </c>
      <c r="O702" s="29"/>
      <c r="P702" s="29" t="s">
        <v>7701</v>
      </c>
      <c r="Q702" t="s">
        <v>2038</v>
      </c>
      <c r="R702" t="s">
        <v>2633</v>
      </c>
      <c r="S702">
        <v>37</v>
      </c>
      <c r="T702" s="43" t="str">
        <f t="shared" si="28"/>
        <v>2021.010B.R.Binomial_names.zip</v>
      </c>
      <c r="U702" s="43" t="str">
        <f>HYPERLINK("https://ictv.global/taxonomy/taxondetails?taxnode_id=202208446","ictv.global=202208446")</f>
        <v>ictv.global=202208446</v>
      </c>
    </row>
    <row r="703" spans="1:21">
      <c r="A703">
        <v>702</v>
      </c>
      <c r="B703" s="29" t="s">
        <v>3682</v>
      </c>
      <c r="C703" s="29"/>
      <c r="D703" s="29" t="s">
        <v>3683</v>
      </c>
      <c r="E703" s="29"/>
      <c r="F703" s="29" t="s">
        <v>3686</v>
      </c>
      <c r="G703" s="29"/>
      <c r="H703" s="29" t="s">
        <v>3687</v>
      </c>
      <c r="I703" s="29"/>
      <c r="J703" s="29"/>
      <c r="K703" s="29"/>
      <c r="L703" s="29" t="s">
        <v>3689</v>
      </c>
      <c r="M703" s="29" t="s">
        <v>3731</v>
      </c>
      <c r="N703" s="29" t="s">
        <v>3450</v>
      </c>
      <c r="O703" s="29"/>
      <c r="P703" s="29" t="s">
        <v>7702</v>
      </c>
      <c r="Q703" t="s">
        <v>2038</v>
      </c>
      <c r="R703" t="s">
        <v>2633</v>
      </c>
      <c r="S703">
        <v>37</v>
      </c>
      <c r="T703" s="43" t="str">
        <f t="shared" si="28"/>
        <v>2021.010B.R.Binomial_names.zip</v>
      </c>
      <c r="U703" s="43" t="str">
        <f>HYPERLINK("https://ictv.global/taxonomy/taxondetails?taxnode_id=202200556","ictv.global=202200556")</f>
        <v>ictv.global=202200556</v>
      </c>
    </row>
    <row r="704" spans="1:21">
      <c r="A704">
        <v>703</v>
      </c>
      <c r="B704" s="29" t="s">
        <v>3682</v>
      </c>
      <c r="C704" s="29"/>
      <c r="D704" s="29" t="s">
        <v>3683</v>
      </c>
      <c r="E704" s="29"/>
      <c r="F704" s="29" t="s">
        <v>3686</v>
      </c>
      <c r="G704" s="29"/>
      <c r="H704" s="29" t="s">
        <v>3687</v>
      </c>
      <c r="I704" s="29"/>
      <c r="J704" s="29"/>
      <c r="K704" s="29"/>
      <c r="L704" s="29" t="s">
        <v>3689</v>
      </c>
      <c r="M704" s="29" t="s">
        <v>3731</v>
      </c>
      <c r="N704" s="29" t="s">
        <v>3450</v>
      </c>
      <c r="O704" s="29"/>
      <c r="P704" s="29" t="s">
        <v>7703</v>
      </c>
      <c r="Q704" t="s">
        <v>2038</v>
      </c>
      <c r="R704" t="s">
        <v>2633</v>
      </c>
      <c r="S704">
        <v>37</v>
      </c>
      <c r="T704" s="43" t="str">
        <f t="shared" si="28"/>
        <v>2021.010B.R.Binomial_names.zip</v>
      </c>
      <c r="U704" s="43" t="str">
        <f>HYPERLINK("https://ictv.global/taxonomy/taxondetails?taxnode_id=202208431","ictv.global=202208431")</f>
        <v>ictv.global=202208431</v>
      </c>
    </row>
    <row r="705" spans="1:21">
      <c r="A705">
        <v>704</v>
      </c>
      <c r="B705" s="29" t="s">
        <v>3682</v>
      </c>
      <c r="C705" s="29"/>
      <c r="D705" s="29" t="s">
        <v>3683</v>
      </c>
      <c r="E705" s="29"/>
      <c r="F705" s="29" t="s">
        <v>3686</v>
      </c>
      <c r="G705" s="29"/>
      <c r="H705" s="29" t="s">
        <v>3687</v>
      </c>
      <c r="I705" s="29"/>
      <c r="J705" s="29"/>
      <c r="K705" s="29"/>
      <c r="L705" s="29" t="s">
        <v>3689</v>
      </c>
      <c r="M705" s="29" t="s">
        <v>3731</v>
      </c>
      <c r="N705" s="29" t="s">
        <v>3450</v>
      </c>
      <c r="O705" s="29"/>
      <c r="P705" s="29" t="s">
        <v>7704</v>
      </c>
      <c r="Q705" t="s">
        <v>2038</v>
      </c>
      <c r="R705" t="s">
        <v>2633</v>
      </c>
      <c r="S705">
        <v>37</v>
      </c>
      <c r="T705" s="43" t="str">
        <f t="shared" si="28"/>
        <v>2021.010B.R.Binomial_names.zip</v>
      </c>
      <c r="U705" s="43" t="str">
        <f>HYPERLINK("https://ictv.global/taxonomy/taxondetails?taxnode_id=202208433","ictv.global=202208433")</f>
        <v>ictv.global=202208433</v>
      </c>
    </row>
    <row r="706" spans="1:21">
      <c r="A706">
        <v>705</v>
      </c>
      <c r="B706" s="29" t="s">
        <v>3682</v>
      </c>
      <c r="C706" s="29"/>
      <c r="D706" s="29" t="s">
        <v>3683</v>
      </c>
      <c r="E706" s="29"/>
      <c r="F706" s="29" t="s">
        <v>3686</v>
      </c>
      <c r="G706" s="29"/>
      <c r="H706" s="29" t="s">
        <v>3687</v>
      </c>
      <c r="I706" s="29"/>
      <c r="J706" s="29"/>
      <c r="K706" s="29"/>
      <c r="L706" s="29" t="s">
        <v>3689</v>
      </c>
      <c r="M706" s="29" t="s">
        <v>3731</v>
      </c>
      <c r="N706" s="29" t="s">
        <v>3450</v>
      </c>
      <c r="O706" s="29"/>
      <c r="P706" s="29" t="s">
        <v>7705</v>
      </c>
      <c r="Q706" t="s">
        <v>2038</v>
      </c>
      <c r="R706" t="s">
        <v>2633</v>
      </c>
      <c r="S706">
        <v>37</v>
      </c>
      <c r="T706" s="43" t="str">
        <f t="shared" si="28"/>
        <v>2021.010B.R.Binomial_names.zip</v>
      </c>
      <c r="U706" s="43" t="str">
        <f>HYPERLINK("https://ictv.global/taxonomy/taxondetails?taxnode_id=202208432","ictv.global=202208432")</f>
        <v>ictv.global=202208432</v>
      </c>
    </row>
    <row r="707" spans="1:21">
      <c r="A707">
        <v>706</v>
      </c>
      <c r="B707" s="29" t="s">
        <v>3682</v>
      </c>
      <c r="C707" s="29"/>
      <c r="D707" s="29" t="s">
        <v>3683</v>
      </c>
      <c r="E707" s="29"/>
      <c r="F707" s="29" t="s">
        <v>3686</v>
      </c>
      <c r="G707" s="29"/>
      <c r="H707" s="29" t="s">
        <v>3687</v>
      </c>
      <c r="I707" s="29"/>
      <c r="J707" s="29"/>
      <c r="K707" s="29"/>
      <c r="L707" s="29" t="s">
        <v>3689</v>
      </c>
      <c r="M707" s="29" t="s">
        <v>3731</v>
      </c>
      <c r="N707" s="29" t="s">
        <v>3450</v>
      </c>
      <c r="O707" s="29"/>
      <c r="P707" s="29" t="s">
        <v>7706</v>
      </c>
      <c r="Q707" t="s">
        <v>2038</v>
      </c>
      <c r="R707" t="s">
        <v>2633</v>
      </c>
      <c r="S707">
        <v>37</v>
      </c>
      <c r="T707" s="43" t="str">
        <f t="shared" si="28"/>
        <v>2021.010B.R.Binomial_names.zip</v>
      </c>
      <c r="U707" s="43" t="str">
        <f>HYPERLINK("https://ictv.global/taxonomy/taxondetails?taxnode_id=202208448","ictv.global=202208448")</f>
        <v>ictv.global=202208448</v>
      </c>
    </row>
    <row r="708" spans="1:21">
      <c r="A708">
        <v>707</v>
      </c>
      <c r="B708" s="29" t="s">
        <v>3682</v>
      </c>
      <c r="C708" s="29"/>
      <c r="D708" s="29" t="s">
        <v>3683</v>
      </c>
      <c r="E708" s="29"/>
      <c r="F708" s="29" t="s">
        <v>3686</v>
      </c>
      <c r="G708" s="29"/>
      <c r="H708" s="29" t="s">
        <v>3687</v>
      </c>
      <c r="I708" s="29"/>
      <c r="J708" s="29"/>
      <c r="K708" s="29"/>
      <c r="L708" s="29" t="s">
        <v>3689</v>
      </c>
      <c r="M708" s="29" t="s">
        <v>3731</v>
      </c>
      <c r="N708" s="29" t="s">
        <v>3450</v>
      </c>
      <c r="O708" s="29"/>
      <c r="P708" s="29" t="s">
        <v>7707</v>
      </c>
      <c r="Q708" t="s">
        <v>2038</v>
      </c>
      <c r="R708" t="s">
        <v>2633</v>
      </c>
      <c r="S708">
        <v>37</v>
      </c>
      <c r="T708" s="43" t="str">
        <f t="shared" si="28"/>
        <v>2021.010B.R.Binomial_names.zip</v>
      </c>
      <c r="U708" s="43" t="str">
        <f>HYPERLINK("https://ictv.global/taxonomy/taxondetails?taxnode_id=202208436","ictv.global=202208436")</f>
        <v>ictv.global=202208436</v>
      </c>
    </row>
    <row r="709" spans="1:21">
      <c r="A709">
        <v>708</v>
      </c>
      <c r="B709" s="29" t="s">
        <v>3682</v>
      </c>
      <c r="C709" s="29"/>
      <c r="D709" s="29" t="s">
        <v>3683</v>
      </c>
      <c r="E709" s="29"/>
      <c r="F709" s="29" t="s">
        <v>3686</v>
      </c>
      <c r="G709" s="29"/>
      <c r="H709" s="29" t="s">
        <v>3687</v>
      </c>
      <c r="I709" s="29"/>
      <c r="J709" s="29"/>
      <c r="K709" s="29"/>
      <c r="L709" s="29" t="s">
        <v>3689</v>
      </c>
      <c r="M709" s="29" t="s">
        <v>3731</v>
      </c>
      <c r="N709" s="29" t="s">
        <v>3450</v>
      </c>
      <c r="O709" s="29"/>
      <c r="P709" s="29" t="s">
        <v>7708</v>
      </c>
      <c r="Q709" t="s">
        <v>2038</v>
      </c>
      <c r="R709" t="s">
        <v>2633</v>
      </c>
      <c r="S709">
        <v>37</v>
      </c>
      <c r="T709" s="43" t="str">
        <f t="shared" si="28"/>
        <v>2021.010B.R.Binomial_names.zip</v>
      </c>
      <c r="U709" s="43" t="str">
        <f>HYPERLINK("https://ictv.global/taxonomy/taxondetails?taxnode_id=202208449","ictv.global=202208449")</f>
        <v>ictv.global=202208449</v>
      </c>
    </row>
    <row r="710" spans="1:21">
      <c r="A710">
        <v>709</v>
      </c>
      <c r="B710" s="29" t="s">
        <v>3682</v>
      </c>
      <c r="C710" s="29"/>
      <c r="D710" s="29" t="s">
        <v>3683</v>
      </c>
      <c r="E710" s="29"/>
      <c r="F710" s="29" t="s">
        <v>3686</v>
      </c>
      <c r="G710" s="29"/>
      <c r="H710" s="29" t="s">
        <v>3687</v>
      </c>
      <c r="I710" s="29"/>
      <c r="J710" s="29"/>
      <c r="K710" s="29"/>
      <c r="L710" s="29" t="s">
        <v>3689</v>
      </c>
      <c r="M710" s="29" t="s">
        <v>3731</v>
      </c>
      <c r="N710" s="29" t="s">
        <v>3450</v>
      </c>
      <c r="O710" s="29"/>
      <c r="P710" s="29" t="s">
        <v>7709</v>
      </c>
      <c r="Q710" t="s">
        <v>2038</v>
      </c>
      <c r="R710" t="s">
        <v>2633</v>
      </c>
      <c r="S710">
        <v>37</v>
      </c>
      <c r="T710" s="43" t="str">
        <f t="shared" si="28"/>
        <v>2021.010B.R.Binomial_names.zip</v>
      </c>
      <c r="U710" s="43" t="str">
        <f>HYPERLINK("https://ictv.global/taxonomy/taxondetails?taxnode_id=202208440","ictv.global=202208440")</f>
        <v>ictv.global=202208440</v>
      </c>
    </row>
    <row r="711" spans="1:21">
      <c r="A711">
        <v>710</v>
      </c>
      <c r="B711" s="29" t="s">
        <v>3682</v>
      </c>
      <c r="C711" s="29"/>
      <c r="D711" s="29" t="s">
        <v>3683</v>
      </c>
      <c r="E711" s="29"/>
      <c r="F711" s="29" t="s">
        <v>3686</v>
      </c>
      <c r="G711" s="29"/>
      <c r="H711" s="29" t="s">
        <v>3687</v>
      </c>
      <c r="I711" s="29"/>
      <c r="J711" s="29"/>
      <c r="K711" s="29"/>
      <c r="L711" s="29" t="s">
        <v>3689</v>
      </c>
      <c r="M711" s="29" t="s">
        <v>3731</v>
      </c>
      <c r="N711" s="29" t="s">
        <v>3750</v>
      </c>
      <c r="O711" s="29"/>
      <c r="P711" s="29" t="s">
        <v>7710</v>
      </c>
      <c r="Q711" t="s">
        <v>2038</v>
      </c>
      <c r="R711" t="s">
        <v>2633</v>
      </c>
      <c r="S711">
        <v>37</v>
      </c>
      <c r="T711" s="43" t="str">
        <f t="shared" si="28"/>
        <v>2021.010B.R.Binomial_names.zip</v>
      </c>
      <c r="U711" s="43" t="str">
        <f>HYPERLINK("https://ictv.global/taxonomy/taxondetails?taxnode_id=202208475","ictv.global=202208475")</f>
        <v>ictv.global=202208475</v>
      </c>
    </row>
    <row r="712" spans="1:21">
      <c r="A712">
        <v>711</v>
      </c>
      <c r="B712" s="29" t="s">
        <v>3682</v>
      </c>
      <c r="C712" s="29"/>
      <c r="D712" s="29" t="s">
        <v>3683</v>
      </c>
      <c r="E712" s="29"/>
      <c r="F712" s="29" t="s">
        <v>3686</v>
      </c>
      <c r="G712" s="29"/>
      <c r="H712" s="29" t="s">
        <v>3687</v>
      </c>
      <c r="I712" s="29"/>
      <c r="J712" s="29"/>
      <c r="K712" s="29"/>
      <c r="L712" s="29" t="s">
        <v>3689</v>
      </c>
      <c r="M712" s="29" t="s">
        <v>3731</v>
      </c>
      <c r="N712" s="29" t="s">
        <v>3750</v>
      </c>
      <c r="O712" s="29"/>
      <c r="P712" s="29" t="s">
        <v>7711</v>
      </c>
      <c r="Q712" t="s">
        <v>2038</v>
      </c>
      <c r="R712" t="s">
        <v>2633</v>
      </c>
      <c r="S712">
        <v>37</v>
      </c>
      <c r="T712" s="43" t="str">
        <f t="shared" si="28"/>
        <v>2021.010B.R.Binomial_names.zip</v>
      </c>
      <c r="U712" s="43" t="str">
        <f>HYPERLINK("https://ictv.global/taxonomy/taxondetails?taxnode_id=202208465","ictv.global=202208465")</f>
        <v>ictv.global=202208465</v>
      </c>
    </row>
    <row r="713" spans="1:21">
      <c r="A713">
        <v>712</v>
      </c>
      <c r="B713" s="29" t="s">
        <v>3682</v>
      </c>
      <c r="C713" s="29"/>
      <c r="D713" s="29" t="s">
        <v>3683</v>
      </c>
      <c r="E713" s="29"/>
      <c r="F713" s="29" t="s">
        <v>3686</v>
      </c>
      <c r="G713" s="29"/>
      <c r="H713" s="29" t="s">
        <v>3687</v>
      </c>
      <c r="I713" s="29"/>
      <c r="J713" s="29"/>
      <c r="K713" s="29"/>
      <c r="L713" s="29" t="s">
        <v>3689</v>
      </c>
      <c r="M713" s="29" t="s">
        <v>3731</v>
      </c>
      <c r="N713" s="29" t="s">
        <v>3750</v>
      </c>
      <c r="O713" s="29"/>
      <c r="P713" s="29" t="s">
        <v>7712</v>
      </c>
      <c r="Q713" t="s">
        <v>2038</v>
      </c>
      <c r="R713" t="s">
        <v>2633</v>
      </c>
      <c r="S713">
        <v>37</v>
      </c>
      <c r="T713" s="43" t="str">
        <f t="shared" si="28"/>
        <v>2021.010B.R.Binomial_names.zip</v>
      </c>
      <c r="U713" s="43" t="str">
        <f>HYPERLINK("https://ictv.global/taxonomy/taxondetails?taxnode_id=202208466","ictv.global=202208466")</f>
        <v>ictv.global=202208466</v>
      </c>
    </row>
    <row r="714" spans="1:21">
      <c r="A714">
        <v>713</v>
      </c>
      <c r="B714" s="29" t="s">
        <v>3682</v>
      </c>
      <c r="C714" s="29"/>
      <c r="D714" s="29" t="s">
        <v>3683</v>
      </c>
      <c r="E714" s="29"/>
      <c r="F714" s="29" t="s">
        <v>3686</v>
      </c>
      <c r="G714" s="29"/>
      <c r="H714" s="29" t="s">
        <v>3687</v>
      </c>
      <c r="I714" s="29"/>
      <c r="J714" s="29"/>
      <c r="K714" s="29"/>
      <c r="L714" s="29" t="s">
        <v>3689</v>
      </c>
      <c r="M714" s="29" t="s">
        <v>3731</v>
      </c>
      <c r="N714" s="29" t="s">
        <v>3750</v>
      </c>
      <c r="O714" s="29"/>
      <c r="P714" s="29" t="s">
        <v>7713</v>
      </c>
      <c r="Q714" t="s">
        <v>2038</v>
      </c>
      <c r="R714" t="s">
        <v>2633</v>
      </c>
      <c r="S714">
        <v>37</v>
      </c>
      <c r="T714" s="43" t="str">
        <f t="shared" si="28"/>
        <v>2021.010B.R.Binomial_names.zip</v>
      </c>
      <c r="U714" s="43" t="str">
        <f>HYPERLINK("https://ictv.global/taxonomy/taxondetails?taxnode_id=202208467","ictv.global=202208467")</f>
        <v>ictv.global=202208467</v>
      </c>
    </row>
    <row r="715" spans="1:21">
      <c r="A715">
        <v>714</v>
      </c>
      <c r="B715" s="29" t="s">
        <v>3682</v>
      </c>
      <c r="C715" s="29"/>
      <c r="D715" s="29" t="s">
        <v>3683</v>
      </c>
      <c r="E715" s="29"/>
      <c r="F715" s="29" t="s">
        <v>3686</v>
      </c>
      <c r="G715" s="29"/>
      <c r="H715" s="29" t="s">
        <v>3687</v>
      </c>
      <c r="I715" s="29"/>
      <c r="J715" s="29"/>
      <c r="K715" s="29"/>
      <c r="L715" s="29" t="s">
        <v>3689</v>
      </c>
      <c r="M715" s="29" t="s">
        <v>3731</v>
      </c>
      <c r="N715" s="29" t="s">
        <v>3750</v>
      </c>
      <c r="O715" s="29"/>
      <c r="P715" s="29" t="s">
        <v>7714</v>
      </c>
      <c r="Q715" t="s">
        <v>2038</v>
      </c>
      <c r="R715" t="s">
        <v>2633</v>
      </c>
      <c r="S715">
        <v>37</v>
      </c>
      <c r="T715" s="43" t="str">
        <f t="shared" si="28"/>
        <v>2021.010B.R.Binomial_names.zip</v>
      </c>
      <c r="U715" s="43" t="str">
        <f>HYPERLINK("https://ictv.global/taxonomy/taxondetails?taxnode_id=202208468","ictv.global=202208468")</f>
        <v>ictv.global=202208468</v>
      </c>
    </row>
    <row r="716" spans="1:21">
      <c r="A716">
        <v>715</v>
      </c>
      <c r="B716" s="29" t="s">
        <v>3682</v>
      </c>
      <c r="C716" s="29"/>
      <c r="D716" s="29" t="s">
        <v>3683</v>
      </c>
      <c r="E716" s="29"/>
      <c r="F716" s="29" t="s">
        <v>3686</v>
      </c>
      <c r="G716" s="29"/>
      <c r="H716" s="29" t="s">
        <v>3687</v>
      </c>
      <c r="I716" s="29"/>
      <c r="J716" s="29"/>
      <c r="K716" s="29"/>
      <c r="L716" s="29" t="s">
        <v>3689</v>
      </c>
      <c r="M716" s="29" t="s">
        <v>3731</v>
      </c>
      <c r="N716" s="29" t="s">
        <v>3750</v>
      </c>
      <c r="O716" s="29"/>
      <c r="P716" s="29" t="s">
        <v>7715</v>
      </c>
      <c r="Q716" t="s">
        <v>2038</v>
      </c>
      <c r="R716" t="s">
        <v>2633</v>
      </c>
      <c r="S716">
        <v>37</v>
      </c>
      <c r="T716" s="43" t="str">
        <f t="shared" si="28"/>
        <v>2021.010B.R.Binomial_names.zip</v>
      </c>
      <c r="U716" s="43" t="str">
        <f>HYPERLINK("https://ictv.global/taxonomy/taxondetails?taxnode_id=202208472","ictv.global=202208472")</f>
        <v>ictv.global=202208472</v>
      </c>
    </row>
    <row r="717" spans="1:21">
      <c r="A717">
        <v>716</v>
      </c>
      <c r="B717" s="29" t="s">
        <v>3682</v>
      </c>
      <c r="C717" s="29"/>
      <c r="D717" s="29" t="s">
        <v>3683</v>
      </c>
      <c r="E717" s="29"/>
      <c r="F717" s="29" t="s">
        <v>3686</v>
      </c>
      <c r="G717" s="29"/>
      <c r="H717" s="29" t="s">
        <v>3687</v>
      </c>
      <c r="I717" s="29"/>
      <c r="J717" s="29"/>
      <c r="K717" s="29"/>
      <c r="L717" s="29" t="s">
        <v>3689</v>
      </c>
      <c r="M717" s="29" t="s">
        <v>3731</v>
      </c>
      <c r="N717" s="29" t="s">
        <v>3750</v>
      </c>
      <c r="O717" s="29"/>
      <c r="P717" s="29" t="s">
        <v>7716</v>
      </c>
      <c r="Q717" t="s">
        <v>2038</v>
      </c>
      <c r="R717" t="s">
        <v>2633</v>
      </c>
      <c r="S717">
        <v>37</v>
      </c>
      <c r="T717" s="43" t="str">
        <f t="shared" si="28"/>
        <v>2021.010B.R.Binomial_names.zip</v>
      </c>
      <c r="U717" s="43" t="str">
        <f>HYPERLINK("https://ictv.global/taxonomy/taxondetails?taxnode_id=202208477","ictv.global=202208477")</f>
        <v>ictv.global=202208477</v>
      </c>
    </row>
    <row r="718" spans="1:21">
      <c r="A718">
        <v>717</v>
      </c>
      <c r="B718" s="29" t="s">
        <v>3682</v>
      </c>
      <c r="C718" s="29"/>
      <c r="D718" s="29" t="s">
        <v>3683</v>
      </c>
      <c r="E718" s="29"/>
      <c r="F718" s="29" t="s">
        <v>3686</v>
      </c>
      <c r="G718" s="29"/>
      <c r="H718" s="29" t="s">
        <v>3687</v>
      </c>
      <c r="I718" s="29"/>
      <c r="J718" s="29"/>
      <c r="K718" s="29"/>
      <c r="L718" s="29" t="s">
        <v>3689</v>
      </c>
      <c r="M718" s="29" t="s">
        <v>3731</v>
      </c>
      <c r="N718" s="29" t="s">
        <v>3750</v>
      </c>
      <c r="O718" s="29"/>
      <c r="P718" s="29" t="s">
        <v>7717</v>
      </c>
      <c r="Q718" t="s">
        <v>2038</v>
      </c>
      <c r="R718" t="s">
        <v>2633</v>
      </c>
      <c r="S718">
        <v>37</v>
      </c>
      <c r="T718" s="43" t="str">
        <f t="shared" si="28"/>
        <v>2021.010B.R.Binomial_names.zip</v>
      </c>
      <c r="U718" s="43" t="str">
        <f>HYPERLINK("https://ictv.global/taxonomy/taxondetails?taxnode_id=202208476","ictv.global=202208476")</f>
        <v>ictv.global=202208476</v>
      </c>
    </row>
    <row r="719" spans="1:21">
      <c r="A719">
        <v>718</v>
      </c>
      <c r="B719" s="29" t="s">
        <v>3682</v>
      </c>
      <c r="C719" s="29"/>
      <c r="D719" s="29" t="s">
        <v>3683</v>
      </c>
      <c r="E719" s="29"/>
      <c r="F719" s="29" t="s">
        <v>3686</v>
      </c>
      <c r="G719" s="29"/>
      <c r="H719" s="29" t="s">
        <v>3687</v>
      </c>
      <c r="I719" s="29"/>
      <c r="J719" s="29"/>
      <c r="K719" s="29"/>
      <c r="L719" s="29" t="s">
        <v>3689</v>
      </c>
      <c r="M719" s="29" t="s">
        <v>3731</v>
      </c>
      <c r="N719" s="29" t="s">
        <v>3750</v>
      </c>
      <c r="O719" s="29"/>
      <c r="P719" s="29" t="s">
        <v>7718</v>
      </c>
      <c r="Q719" t="s">
        <v>2038</v>
      </c>
      <c r="R719" t="s">
        <v>2632</v>
      </c>
      <c r="S719">
        <v>38</v>
      </c>
      <c r="T719" s="43" t="str">
        <f>HYPERLINK("https://ictv.global/ictv/proposals/2022.020B.Caudoviricetes_2nsp.zip","2022.020B.Caudoviricetes_2nsp.zip")</f>
        <v>2022.020B.Caudoviricetes_2nsp.zip</v>
      </c>
      <c r="U719" s="43" t="str">
        <f>HYPERLINK("https://ictv.global/taxonomy/taxondetails?taxnode_id=202214551","ictv.global=202214551")</f>
        <v>ictv.global=202214551</v>
      </c>
    </row>
    <row r="720" spans="1:21">
      <c r="A720">
        <v>719</v>
      </c>
      <c r="B720" s="29" t="s">
        <v>3682</v>
      </c>
      <c r="C720" s="29"/>
      <c r="D720" s="29" t="s">
        <v>3683</v>
      </c>
      <c r="E720" s="29"/>
      <c r="F720" s="29" t="s">
        <v>3686</v>
      </c>
      <c r="G720" s="29"/>
      <c r="H720" s="29" t="s">
        <v>3687</v>
      </c>
      <c r="I720" s="29"/>
      <c r="J720" s="29"/>
      <c r="K720" s="29"/>
      <c r="L720" s="29" t="s">
        <v>3689</v>
      </c>
      <c r="M720" s="29" t="s">
        <v>3731</v>
      </c>
      <c r="N720" s="29" t="s">
        <v>3750</v>
      </c>
      <c r="O720" s="29"/>
      <c r="P720" s="29" t="s">
        <v>7719</v>
      </c>
      <c r="Q720" t="s">
        <v>2038</v>
      </c>
      <c r="R720" t="s">
        <v>2633</v>
      </c>
      <c r="S720">
        <v>37</v>
      </c>
      <c r="T720" s="43" t="str">
        <f t="shared" ref="T720:T752" si="29">HYPERLINK("https://ictv.global/ictv/proposals/2021.010B.R.Binomial_names.zip","2021.010B.R.Binomial_names.zip")</f>
        <v>2021.010B.R.Binomial_names.zip</v>
      </c>
      <c r="U720" s="43" t="str">
        <f>HYPERLINK("https://ictv.global/taxonomy/taxondetails?taxnode_id=202208463","ictv.global=202208463")</f>
        <v>ictv.global=202208463</v>
      </c>
    </row>
    <row r="721" spans="1:21">
      <c r="A721">
        <v>720</v>
      </c>
      <c r="B721" s="29" t="s">
        <v>3682</v>
      </c>
      <c r="C721" s="29"/>
      <c r="D721" s="29" t="s">
        <v>3683</v>
      </c>
      <c r="E721" s="29"/>
      <c r="F721" s="29" t="s">
        <v>3686</v>
      </c>
      <c r="G721" s="29"/>
      <c r="H721" s="29" t="s">
        <v>3687</v>
      </c>
      <c r="I721" s="29"/>
      <c r="J721" s="29"/>
      <c r="K721" s="29"/>
      <c r="L721" s="29" t="s">
        <v>3689</v>
      </c>
      <c r="M721" s="29" t="s">
        <v>3731</v>
      </c>
      <c r="N721" s="29" t="s">
        <v>3750</v>
      </c>
      <c r="O721" s="29"/>
      <c r="P721" s="29" t="s">
        <v>7720</v>
      </c>
      <c r="Q721" t="s">
        <v>2038</v>
      </c>
      <c r="R721" t="s">
        <v>2633</v>
      </c>
      <c r="S721">
        <v>37</v>
      </c>
      <c r="T721" s="43" t="str">
        <f t="shared" si="29"/>
        <v>2021.010B.R.Binomial_names.zip</v>
      </c>
      <c r="U721" s="43" t="str">
        <f>HYPERLINK("https://ictv.global/taxonomy/taxondetails?taxnode_id=202208470","ictv.global=202208470")</f>
        <v>ictv.global=202208470</v>
      </c>
    </row>
    <row r="722" spans="1:21">
      <c r="A722">
        <v>721</v>
      </c>
      <c r="B722" s="29" t="s">
        <v>3682</v>
      </c>
      <c r="C722" s="29"/>
      <c r="D722" s="29" t="s">
        <v>3683</v>
      </c>
      <c r="E722" s="29"/>
      <c r="F722" s="29" t="s">
        <v>3686</v>
      </c>
      <c r="G722" s="29"/>
      <c r="H722" s="29" t="s">
        <v>3687</v>
      </c>
      <c r="I722" s="29"/>
      <c r="J722" s="29"/>
      <c r="K722" s="29"/>
      <c r="L722" s="29" t="s">
        <v>3689</v>
      </c>
      <c r="M722" s="29" t="s">
        <v>3731</v>
      </c>
      <c r="N722" s="29" t="s">
        <v>3750</v>
      </c>
      <c r="O722" s="29"/>
      <c r="P722" s="29" t="s">
        <v>7721</v>
      </c>
      <c r="Q722" t="s">
        <v>2038</v>
      </c>
      <c r="R722" t="s">
        <v>2633</v>
      </c>
      <c r="S722">
        <v>37</v>
      </c>
      <c r="T722" s="43" t="str">
        <f t="shared" si="29"/>
        <v>2021.010B.R.Binomial_names.zip</v>
      </c>
      <c r="U722" s="43" t="str">
        <f>HYPERLINK("https://ictv.global/taxonomy/taxondetails?taxnode_id=202208471","ictv.global=202208471")</f>
        <v>ictv.global=202208471</v>
      </c>
    </row>
    <row r="723" spans="1:21">
      <c r="A723">
        <v>722</v>
      </c>
      <c r="B723" s="29" t="s">
        <v>3682</v>
      </c>
      <c r="C723" s="29"/>
      <c r="D723" s="29" t="s">
        <v>3683</v>
      </c>
      <c r="E723" s="29"/>
      <c r="F723" s="29" t="s">
        <v>3686</v>
      </c>
      <c r="G723" s="29"/>
      <c r="H723" s="29" t="s">
        <v>3687</v>
      </c>
      <c r="I723" s="29"/>
      <c r="J723" s="29"/>
      <c r="K723" s="29"/>
      <c r="L723" s="29" t="s">
        <v>3689</v>
      </c>
      <c r="M723" s="29" t="s">
        <v>3731</v>
      </c>
      <c r="N723" s="29" t="s">
        <v>3750</v>
      </c>
      <c r="O723" s="29"/>
      <c r="P723" s="29" t="s">
        <v>7722</v>
      </c>
      <c r="Q723" t="s">
        <v>2038</v>
      </c>
      <c r="R723" t="s">
        <v>2633</v>
      </c>
      <c r="S723">
        <v>37</v>
      </c>
      <c r="T723" s="43" t="str">
        <f t="shared" si="29"/>
        <v>2021.010B.R.Binomial_names.zip</v>
      </c>
      <c r="U723" s="43" t="str">
        <f>HYPERLINK("https://ictv.global/taxonomy/taxondetails?taxnode_id=202208473","ictv.global=202208473")</f>
        <v>ictv.global=202208473</v>
      </c>
    </row>
    <row r="724" spans="1:21">
      <c r="A724">
        <v>723</v>
      </c>
      <c r="B724" s="29" t="s">
        <v>3682</v>
      </c>
      <c r="C724" s="29"/>
      <c r="D724" s="29" t="s">
        <v>3683</v>
      </c>
      <c r="E724" s="29"/>
      <c r="F724" s="29" t="s">
        <v>3686</v>
      </c>
      <c r="G724" s="29"/>
      <c r="H724" s="29" t="s">
        <v>3687</v>
      </c>
      <c r="I724" s="29"/>
      <c r="J724" s="29"/>
      <c r="K724" s="29"/>
      <c r="L724" s="29" t="s">
        <v>3689</v>
      </c>
      <c r="M724" s="29" t="s">
        <v>3731</v>
      </c>
      <c r="N724" s="29" t="s">
        <v>3750</v>
      </c>
      <c r="O724" s="29"/>
      <c r="P724" s="29" t="s">
        <v>7723</v>
      </c>
      <c r="Q724" t="s">
        <v>2038</v>
      </c>
      <c r="R724" t="s">
        <v>2633</v>
      </c>
      <c r="S724">
        <v>37</v>
      </c>
      <c r="T724" s="43" t="str">
        <f t="shared" si="29"/>
        <v>2021.010B.R.Binomial_names.zip</v>
      </c>
      <c r="U724" s="43" t="str">
        <f>HYPERLINK("https://ictv.global/taxonomy/taxondetails?taxnode_id=202208460","ictv.global=202208460")</f>
        <v>ictv.global=202208460</v>
      </c>
    </row>
    <row r="725" spans="1:21">
      <c r="A725">
        <v>724</v>
      </c>
      <c r="B725" s="29" t="s">
        <v>3682</v>
      </c>
      <c r="C725" s="29"/>
      <c r="D725" s="29" t="s">
        <v>3683</v>
      </c>
      <c r="E725" s="29"/>
      <c r="F725" s="29" t="s">
        <v>3686</v>
      </c>
      <c r="G725" s="29"/>
      <c r="H725" s="29" t="s">
        <v>3687</v>
      </c>
      <c r="I725" s="29"/>
      <c r="J725" s="29"/>
      <c r="K725" s="29"/>
      <c r="L725" s="29" t="s">
        <v>3689</v>
      </c>
      <c r="M725" s="29" t="s">
        <v>3731</v>
      </c>
      <c r="N725" s="29" t="s">
        <v>3750</v>
      </c>
      <c r="O725" s="29"/>
      <c r="P725" s="29" t="s">
        <v>7724</v>
      </c>
      <c r="Q725" t="s">
        <v>2038</v>
      </c>
      <c r="R725" t="s">
        <v>2633</v>
      </c>
      <c r="S725">
        <v>37</v>
      </c>
      <c r="T725" s="43" t="str">
        <f t="shared" si="29"/>
        <v>2021.010B.R.Binomial_names.zip</v>
      </c>
      <c r="U725" s="43" t="str">
        <f>HYPERLINK("https://ictv.global/taxonomy/taxondetails?taxnode_id=202208462","ictv.global=202208462")</f>
        <v>ictv.global=202208462</v>
      </c>
    </row>
    <row r="726" spans="1:21">
      <c r="A726">
        <v>725</v>
      </c>
      <c r="B726" s="29" t="s">
        <v>3682</v>
      </c>
      <c r="C726" s="29"/>
      <c r="D726" s="29" t="s">
        <v>3683</v>
      </c>
      <c r="E726" s="29"/>
      <c r="F726" s="29" t="s">
        <v>3686</v>
      </c>
      <c r="G726" s="29"/>
      <c r="H726" s="29" t="s">
        <v>3687</v>
      </c>
      <c r="I726" s="29"/>
      <c r="J726" s="29"/>
      <c r="K726" s="29"/>
      <c r="L726" s="29" t="s">
        <v>3689</v>
      </c>
      <c r="M726" s="29" t="s">
        <v>3731</v>
      </c>
      <c r="N726" s="29" t="s">
        <v>3750</v>
      </c>
      <c r="O726" s="29"/>
      <c r="P726" s="29" t="s">
        <v>7725</v>
      </c>
      <c r="Q726" t="s">
        <v>2038</v>
      </c>
      <c r="R726" t="s">
        <v>2633</v>
      </c>
      <c r="S726">
        <v>37</v>
      </c>
      <c r="T726" s="43" t="str">
        <f t="shared" si="29"/>
        <v>2021.010B.R.Binomial_names.zip</v>
      </c>
      <c r="U726" s="43" t="str">
        <f>HYPERLINK("https://ictv.global/taxonomy/taxondetails?taxnode_id=202208464","ictv.global=202208464")</f>
        <v>ictv.global=202208464</v>
      </c>
    </row>
    <row r="727" spans="1:21">
      <c r="A727">
        <v>726</v>
      </c>
      <c r="B727" s="29" t="s">
        <v>3682</v>
      </c>
      <c r="C727" s="29"/>
      <c r="D727" s="29" t="s">
        <v>3683</v>
      </c>
      <c r="E727" s="29"/>
      <c r="F727" s="29" t="s">
        <v>3686</v>
      </c>
      <c r="G727" s="29"/>
      <c r="H727" s="29" t="s">
        <v>3687</v>
      </c>
      <c r="I727" s="29"/>
      <c r="J727" s="29"/>
      <c r="K727" s="29"/>
      <c r="L727" s="29" t="s">
        <v>3689</v>
      </c>
      <c r="M727" s="29" t="s">
        <v>3731</v>
      </c>
      <c r="N727" s="29" t="s">
        <v>3750</v>
      </c>
      <c r="O727" s="29"/>
      <c r="P727" s="29" t="s">
        <v>7726</v>
      </c>
      <c r="Q727" t="s">
        <v>2038</v>
      </c>
      <c r="R727" t="s">
        <v>2633</v>
      </c>
      <c r="S727">
        <v>37</v>
      </c>
      <c r="T727" s="43" t="str">
        <f t="shared" si="29"/>
        <v>2021.010B.R.Binomial_names.zip</v>
      </c>
      <c r="U727" s="43" t="str">
        <f>HYPERLINK("https://ictv.global/taxonomy/taxondetails?taxnode_id=202208474","ictv.global=202208474")</f>
        <v>ictv.global=202208474</v>
      </c>
    </row>
    <row r="728" spans="1:21">
      <c r="A728">
        <v>727</v>
      </c>
      <c r="B728" s="29" t="s">
        <v>3682</v>
      </c>
      <c r="C728" s="29"/>
      <c r="D728" s="29" t="s">
        <v>3683</v>
      </c>
      <c r="E728" s="29"/>
      <c r="F728" s="29" t="s">
        <v>3686</v>
      </c>
      <c r="G728" s="29"/>
      <c r="H728" s="29" t="s">
        <v>3687</v>
      </c>
      <c r="I728" s="29"/>
      <c r="J728" s="29"/>
      <c r="K728" s="29"/>
      <c r="L728" s="29" t="s">
        <v>3689</v>
      </c>
      <c r="M728" s="29" t="s">
        <v>3731</v>
      </c>
      <c r="N728" s="29" t="s">
        <v>3750</v>
      </c>
      <c r="O728" s="29"/>
      <c r="P728" s="29" t="s">
        <v>7727</v>
      </c>
      <c r="Q728" t="s">
        <v>2038</v>
      </c>
      <c r="R728" t="s">
        <v>2633</v>
      </c>
      <c r="S728">
        <v>37</v>
      </c>
      <c r="T728" s="43" t="str">
        <f t="shared" si="29"/>
        <v>2021.010B.R.Binomial_names.zip</v>
      </c>
      <c r="U728" s="43" t="str">
        <f>HYPERLINK("https://ictv.global/taxonomy/taxondetails?taxnode_id=202208469","ictv.global=202208469")</f>
        <v>ictv.global=202208469</v>
      </c>
    </row>
    <row r="729" spans="1:21">
      <c r="A729">
        <v>728</v>
      </c>
      <c r="B729" s="29" t="s">
        <v>3682</v>
      </c>
      <c r="C729" s="29"/>
      <c r="D729" s="29" t="s">
        <v>3683</v>
      </c>
      <c r="E729" s="29"/>
      <c r="F729" s="29" t="s">
        <v>3686</v>
      </c>
      <c r="G729" s="29"/>
      <c r="H729" s="29" t="s">
        <v>3687</v>
      </c>
      <c r="I729" s="29"/>
      <c r="J729" s="29"/>
      <c r="K729" s="29"/>
      <c r="L729" s="29" t="s">
        <v>3689</v>
      </c>
      <c r="M729" s="29" t="s">
        <v>3731</v>
      </c>
      <c r="N729" s="29" t="s">
        <v>3750</v>
      </c>
      <c r="O729" s="29"/>
      <c r="P729" s="29" t="s">
        <v>7728</v>
      </c>
      <c r="Q729" t="s">
        <v>2038</v>
      </c>
      <c r="R729" t="s">
        <v>2633</v>
      </c>
      <c r="S729">
        <v>37</v>
      </c>
      <c r="T729" s="43" t="str">
        <f t="shared" si="29"/>
        <v>2021.010B.R.Binomial_names.zip</v>
      </c>
      <c r="U729" s="43" t="str">
        <f>HYPERLINK("https://ictv.global/taxonomy/taxondetails?taxnode_id=202208461","ictv.global=202208461")</f>
        <v>ictv.global=202208461</v>
      </c>
    </row>
    <row r="730" spans="1:21">
      <c r="A730">
        <v>729</v>
      </c>
      <c r="B730" s="29" t="s">
        <v>3682</v>
      </c>
      <c r="C730" s="29"/>
      <c r="D730" s="29" t="s">
        <v>3683</v>
      </c>
      <c r="E730" s="29"/>
      <c r="F730" s="29" t="s">
        <v>3686</v>
      </c>
      <c r="G730" s="29"/>
      <c r="H730" s="29" t="s">
        <v>3687</v>
      </c>
      <c r="I730" s="29"/>
      <c r="J730" s="29"/>
      <c r="K730" s="29"/>
      <c r="L730" s="29" t="s">
        <v>3689</v>
      </c>
      <c r="M730" s="29" t="s">
        <v>3731</v>
      </c>
      <c r="N730" s="29" t="s">
        <v>3451</v>
      </c>
      <c r="O730" s="29"/>
      <c r="P730" s="29" t="s">
        <v>7729</v>
      </c>
      <c r="Q730" t="s">
        <v>2038</v>
      </c>
      <c r="R730" t="s">
        <v>2633</v>
      </c>
      <c r="S730">
        <v>37</v>
      </c>
      <c r="T730" s="43" t="str">
        <f t="shared" si="29"/>
        <v>2021.010B.R.Binomial_names.zip</v>
      </c>
      <c r="U730" s="43" t="str">
        <f>HYPERLINK("https://ictv.global/taxonomy/taxondetails?taxnode_id=202208478","ictv.global=202208478")</f>
        <v>ictv.global=202208478</v>
      </c>
    </row>
    <row r="731" spans="1:21">
      <c r="A731">
        <v>730</v>
      </c>
      <c r="B731" s="29" t="s">
        <v>3682</v>
      </c>
      <c r="C731" s="29"/>
      <c r="D731" s="29" t="s">
        <v>3683</v>
      </c>
      <c r="E731" s="29"/>
      <c r="F731" s="29" t="s">
        <v>3686</v>
      </c>
      <c r="G731" s="29"/>
      <c r="H731" s="29" t="s">
        <v>3687</v>
      </c>
      <c r="I731" s="29"/>
      <c r="J731" s="29"/>
      <c r="K731" s="29"/>
      <c r="L731" s="29" t="s">
        <v>3689</v>
      </c>
      <c r="M731" s="29" t="s">
        <v>3731</v>
      </c>
      <c r="N731" s="29" t="s">
        <v>3451</v>
      </c>
      <c r="O731" s="29"/>
      <c r="P731" s="29" t="s">
        <v>7730</v>
      </c>
      <c r="Q731" t="s">
        <v>2038</v>
      </c>
      <c r="R731" t="s">
        <v>2633</v>
      </c>
      <c r="S731">
        <v>37</v>
      </c>
      <c r="T731" s="43" t="str">
        <f t="shared" si="29"/>
        <v>2021.010B.R.Binomial_names.zip</v>
      </c>
      <c r="U731" s="43" t="str">
        <f>HYPERLINK("https://ictv.global/taxonomy/taxondetails?taxnode_id=202208490","ictv.global=202208490")</f>
        <v>ictv.global=202208490</v>
      </c>
    </row>
    <row r="732" spans="1:21">
      <c r="A732">
        <v>731</v>
      </c>
      <c r="B732" s="29" t="s">
        <v>3682</v>
      </c>
      <c r="C732" s="29"/>
      <c r="D732" s="29" t="s">
        <v>3683</v>
      </c>
      <c r="E732" s="29"/>
      <c r="F732" s="29" t="s">
        <v>3686</v>
      </c>
      <c r="G732" s="29"/>
      <c r="H732" s="29" t="s">
        <v>3687</v>
      </c>
      <c r="I732" s="29"/>
      <c r="J732" s="29"/>
      <c r="K732" s="29"/>
      <c r="L732" s="29" t="s">
        <v>3689</v>
      </c>
      <c r="M732" s="29" t="s">
        <v>3731</v>
      </c>
      <c r="N732" s="29" t="s">
        <v>3451</v>
      </c>
      <c r="O732" s="29"/>
      <c r="P732" s="29" t="s">
        <v>7731</v>
      </c>
      <c r="Q732" t="s">
        <v>2038</v>
      </c>
      <c r="R732" t="s">
        <v>2633</v>
      </c>
      <c r="S732">
        <v>37</v>
      </c>
      <c r="T732" s="43" t="str">
        <f t="shared" si="29"/>
        <v>2021.010B.R.Binomial_names.zip</v>
      </c>
      <c r="U732" s="43" t="str">
        <f>HYPERLINK("https://ictv.global/taxonomy/taxondetails?taxnode_id=202208483","ictv.global=202208483")</f>
        <v>ictv.global=202208483</v>
      </c>
    </row>
    <row r="733" spans="1:21">
      <c r="A733">
        <v>732</v>
      </c>
      <c r="B733" s="29" t="s">
        <v>3682</v>
      </c>
      <c r="C733" s="29"/>
      <c r="D733" s="29" t="s">
        <v>3683</v>
      </c>
      <c r="E733" s="29"/>
      <c r="F733" s="29" t="s">
        <v>3686</v>
      </c>
      <c r="G733" s="29"/>
      <c r="H733" s="29" t="s">
        <v>3687</v>
      </c>
      <c r="I733" s="29"/>
      <c r="J733" s="29"/>
      <c r="K733" s="29"/>
      <c r="L733" s="29" t="s">
        <v>3689</v>
      </c>
      <c r="M733" s="29" t="s">
        <v>3731</v>
      </c>
      <c r="N733" s="29" t="s">
        <v>3451</v>
      </c>
      <c r="O733" s="29"/>
      <c r="P733" s="29" t="s">
        <v>7732</v>
      </c>
      <c r="Q733" t="s">
        <v>2038</v>
      </c>
      <c r="R733" t="s">
        <v>2633</v>
      </c>
      <c r="S733">
        <v>37</v>
      </c>
      <c r="T733" s="43" t="str">
        <f t="shared" si="29"/>
        <v>2021.010B.R.Binomial_names.zip</v>
      </c>
      <c r="U733" s="43" t="str">
        <f>HYPERLINK("https://ictv.global/taxonomy/taxondetails?taxnode_id=202208487","ictv.global=202208487")</f>
        <v>ictv.global=202208487</v>
      </c>
    </row>
    <row r="734" spans="1:21">
      <c r="A734">
        <v>733</v>
      </c>
      <c r="B734" s="29" t="s">
        <v>3682</v>
      </c>
      <c r="C734" s="29"/>
      <c r="D734" s="29" t="s">
        <v>3683</v>
      </c>
      <c r="E734" s="29"/>
      <c r="F734" s="29" t="s">
        <v>3686</v>
      </c>
      <c r="G734" s="29"/>
      <c r="H734" s="29" t="s">
        <v>3687</v>
      </c>
      <c r="I734" s="29"/>
      <c r="J734" s="29"/>
      <c r="K734" s="29"/>
      <c r="L734" s="29" t="s">
        <v>3689</v>
      </c>
      <c r="M734" s="29" t="s">
        <v>3731</v>
      </c>
      <c r="N734" s="29" t="s">
        <v>3451</v>
      </c>
      <c r="O734" s="29"/>
      <c r="P734" s="29" t="s">
        <v>7733</v>
      </c>
      <c r="Q734" t="s">
        <v>2038</v>
      </c>
      <c r="R734" t="s">
        <v>2633</v>
      </c>
      <c r="S734">
        <v>37</v>
      </c>
      <c r="T734" s="43" t="str">
        <f t="shared" si="29"/>
        <v>2021.010B.R.Binomial_names.zip</v>
      </c>
      <c r="U734" s="43" t="str">
        <f>HYPERLINK("https://ictv.global/taxonomy/taxondetails?taxnode_id=202208485","ictv.global=202208485")</f>
        <v>ictv.global=202208485</v>
      </c>
    </row>
    <row r="735" spans="1:21">
      <c r="A735">
        <v>734</v>
      </c>
      <c r="B735" s="29" t="s">
        <v>3682</v>
      </c>
      <c r="C735" s="29"/>
      <c r="D735" s="29" t="s">
        <v>3683</v>
      </c>
      <c r="E735" s="29"/>
      <c r="F735" s="29" t="s">
        <v>3686</v>
      </c>
      <c r="G735" s="29"/>
      <c r="H735" s="29" t="s">
        <v>3687</v>
      </c>
      <c r="I735" s="29"/>
      <c r="J735" s="29"/>
      <c r="K735" s="29"/>
      <c r="L735" s="29" t="s">
        <v>3689</v>
      </c>
      <c r="M735" s="29" t="s">
        <v>3731</v>
      </c>
      <c r="N735" s="29" t="s">
        <v>3451</v>
      </c>
      <c r="O735" s="29"/>
      <c r="P735" s="29" t="s">
        <v>7734</v>
      </c>
      <c r="Q735" t="s">
        <v>2038</v>
      </c>
      <c r="R735" t="s">
        <v>2633</v>
      </c>
      <c r="S735">
        <v>37</v>
      </c>
      <c r="T735" s="43" t="str">
        <f t="shared" si="29"/>
        <v>2021.010B.R.Binomial_names.zip</v>
      </c>
      <c r="U735" s="43" t="str">
        <f>HYPERLINK("https://ictv.global/taxonomy/taxondetails?taxnode_id=202208486","ictv.global=202208486")</f>
        <v>ictv.global=202208486</v>
      </c>
    </row>
    <row r="736" spans="1:21">
      <c r="A736">
        <v>735</v>
      </c>
      <c r="B736" s="29" t="s">
        <v>3682</v>
      </c>
      <c r="C736" s="29"/>
      <c r="D736" s="29" t="s">
        <v>3683</v>
      </c>
      <c r="E736" s="29"/>
      <c r="F736" s="29" t="s">
        <v>3686</v>
      </c>
      <c r="G736" s="29"/>
      <c r="H736" s="29" t="s">
        <v>3687</v>
      </c>
      <c r="I736" s="29"/>
      <c r="J736" s="29"/>
      <c r="K736" s="29"/>
      <c r="L736" s="29" t="s">
        <v>3689</v>
      </c>
      <c r="M736" s="29" t="s">
        <v>3731</v>
      </c>
      <c r="N736" s="29" t="s">
        <v>3451</v>
      </c>
      <c r="O736" s="29"/>
      <c r="P736" s="29" t="s">
        <v>7735</v>
      </c>
      <c r="Q736" t="s">
        <v>2038</v>
      </c>
      <c r="R736" t="s">
        <v>2633</v>
      </c>
      <c r="S736">
        <v>37</v>
      </c>
      <c r="T736" s="43" t="str">
        <f t="shared" si="29"/>
        <v>2021.010B.R.Binomial_names.zip</v>
      </c>
      <c r="U736" s="43" t="str">
        <f>HYPERLINK("https://ictv.global/taxonomy/taxondetails?taxnode_id=202208492","ictv.global=202208492")</f>
        <v>ictv.global=202208492</v>
      </c>
    </row>
    <row r="737" spans="1:21">
      <c r="A737">
        <v>736</v>
      </c>
      <c r="B737" s="29" t="s">
        <v>3682</v>
      </c>
      <c r="C737" s="29"/>
      <c r="D737" s="29" t="s">
        <v>3683</v>
      </c>
      <c r="E737" s="29"/>
      <c r="F737" s="29" t="s">
        <v>3686</v>
      </c>
      <c r="G737" s="29"/>
      <c r="H737" s="29" t="s">
        <v>3687</v>
      </c>
      <c r="I737" s="29"/>
      <c r="J737" s="29"/>
      <c r="K737" s="29"/>
      <c r="L737" s="29" t="s">
        <v>3689</v>
      </c>
      <c r="M737" s="29" t="s">
        <v>3731</v>
      </c>
      <c r="N737" s="29" t="s">
        <v>3451</v>
      </c>
      <c r="O737" s="29"/>
      <c r="P737" s="29" t="s">
        <v>7736</v>
      </c>
      <c r="Q737" t="s">
        <v>2038</v>
      </c>
      <c r="R737" t="s">
        <v>2633</v>
      </c>
      <c r="S737">
        <v>37</v>
      </c>
      <c r="T737" s="43" t="str">
        <f t="shared" si="29"/>
        <v>2021.010B.R.Binomial_names.zip</v>
      </c>
      <c r="U737" s="43" t="str">
        <f>HYPERLINK("https://ictv.global/taxonomy/taxondetails?taxnode_id=202208482","ictv.global=202208482")</f>
        <v>ictv.global=202208482</v>
      </c>
    </row>
    <row r="738" spans="1:21">
      <c r="A738">
        <v>737</v>
      </c>
      <c r="B738" s="29" t="s">
        <v>3682</v>
      </c>
      <c r="C738" s="29"/>
      <c r="D738" s="29" t="s">
        <v>3683</v>
      </c>
      <c r="E738" s="29"/>
      <c r="F738" s="29" t="s">
        <v>3686</v>
      </c>
      <c r="G738" s="29"/>
      <c r="H738" s="29" t="s">
        <v>3687</v>
      </c>
      <c r="I738" s="29"/>
      <c r="J738" s="29"/>
      <c r="K738" s="29"/>
      <c r="L738" s="29" t="s">
        <v>3689</v>
      </c>
      <c r="M738" s="29" t="s">
        <v>3731</v>
      </c>
      <c r="N738" s="29" t="s">
        <v>3451</v>
      </c>
      <c r="O738" s="29"/>
      <c r="P738" s="29" t="s">
        <v>7737</v>
      </c>
      <c r="Q738" t="s">
        <v>2038</v>
      </c>
      <c r="R738" t="s">
        <v>2633</v>
      </c>
      <c r="S738">
        <v>37</v>
      </c>
      <c r="T738" s="43" t="str">
        <f t="shared" si="29"/>
        <v>2021.010B.R.Binomial_names.zip</v>
      </c>
      <c r="U738" s="43" t="str">
        <f>HYPERLINK("https://ictv.global/taxonomy/taxondetails?taxnode_id=202208491","ictv.global=202208491")</f>
        <v>ictv.global=202208491</v>
      </c>
    </row>
    <row r="739" spans="1:21">
      <c r="A739">
        <v>738</v>
      </c>
      <c r="B739" s="29" t="s">
        <v>3682</v>
      </c>
      <c r="C739" s="29"/>
      <c r="D739" s="29" t="s">
        <v>3683</v>
      </c>
      <c r="E739" s="29"/>
      <c r="F739" s="29" t="s">
        <v>3686</v>
      </c>
      <c r="G739" s="29"/>
      <c r="H739" s="29" t="s">
        <v>3687</v>
      </c>
      <c r="I739" s="29"/>
      <c r="J739" s="29"/>
      <c r="K739" s="29"/>
      <c r="L739" s="29" t="s">
        <v>3689</v>
      </c>
      <c r="M739" s="29" t="s">
        <v>3731</v>
      </c>
      <c r="N739" s="29" t="s">
        <v>3451</v>
      </c>
      <c r="O739" s="29"/>
      <c r="P739" s="29" t="s">
        <v>7738</v>
      </c>
      <c r="Q739" t="s">
        <v>2038</v>
      </c>
      <c r="R739" t="s">
        <v>2633</v>
      </c>
      <c r="S739">
        <v>37</v>
      </c>
      <c r="T739" s="43" t="str">
        <f t="shared" si="29"/>
        <v>2021.010B.R.Binomial_names.zip</v>
      </c>
      <c r="U739" s="43" t="str">
        <f>HYPERLINK("https://ictv.global/taxonomy/taxondetails?taxnode_id=202208489","ictv.global=202208489")</f>
        <v>ictv.global=202208489</v>
      </c>
    </row>
    <row r="740" spans="1:21">
      <c r="A740">
        <v>739</v>
      </c>
      <c r="B740" s="29" t="s">
        <v>3682</v>
      </c>
      <c r="C740" s="29"/>
      <c r="D740" s="29" t="s">
        <v>3683</v>
      </c>
      <c r="E740" s="29"/>
      <c r="F740" s="29" t="s">
        <v>3686</v>
      </c>
      <c r="G740" s="29"/>
      <c r="H740" s="29" t="s">
        <v>3687</v>
      </c>
      <c r="I740" s="29"/>
      <c r="J740" s="29"/>
      <c r="K740" s="29"/>
      <c r="L740" s="29" t="s">
        <v>3689</v>
      </c>
      <c r="M740" s="29" t="s">
        <v>3731</v>
      </c>
      <c r="N740" s="29" t="s">
        <v>3451</v>
      </c>
      <c r="O740" s="29"/>
      <c r="P740" s="29" t="s">
        <v>7739</v>
      </c>
      <c r="Q740" t="s">
        <v>2038</v>
      </c>
      <c r="R740" t="s">
        <v>2633</v>
      </c>
      <c r="S740">
        <v>37</v>
      </c>
      <c r="T740" s="43" t="str">
        <f t="shared" si="29"/>
        <v>2021.010B.R.Binomial_names.zip</v>
      </c>
      <c r="U740" s="43" t="str">
        <f>HYPERLINK("https://ictv.global/taxonomy/taxondetails?taxnode_id=202208493","ictv.global=202208493")</f>
        <v>ictv.global=202208493</v>
      </c>
    </row>
    <row r="741" spans="1:21">
      <c r="A741">
        <v>740</v>
      </c>
      <c r="B741" s="29" t="s">
        <v>3682</v>
      </c>
      <c r="C741" s="29"/>
      <c r="D741" s="29" t="s">
        <v>3683</v>
      </c>
      <c r="E741" s="29"/>
      <c r="F741" s="29" t="s">
        <v>3686</v>
      </c>
      <c r="G741" s="29"/>
      <c r="H741" s="29" t="s">
        <v>3687</v>
      </c>
      <c r="I741" s="29"/>
      <c r="J741" s="29"/>
      <c r="K741" s="29"/>
      <c r="L741" s="29" t="s">
        <v>3689</v>
      </c>
      <c r="M741" s="29" t="s">
        <v>3731</v>
      </c>
      <c r="N741" s="29" t="s">
        <v>3451</v>
      </c>
      <c r="O741" s="29"/>
      <c r="P741" s="29" t="s">
        <v>7740</v>
      </c>
      <c r="Q741" t="s">
        <v>2038</v>
      </c>
      <c r="R741" t="s">
        <v>2633</v>
      </c>
      <c r="S741">
        <v>37</v>
      </c>
      <c r="T741" s="43" t="str">
        <f t="shared" si="29"/>
        <v>2021.010B.R.Binomial_names.zip</v>
      </c>
      <c r="U741" s="43" t="str">
        <f>HYPERLINK("https://ictv.global/taxonomy/taxondetails?taxnode_id=202200583","ictv.global=202200583")</f>
        <v>ictv.global=202200583</v>
      </c>
    </row>
    <row r="742" spans="1:21">
      <c r="A742">
        <v>741</v>
      </c>
      <c r="B742" s="29" t="s">
        <v>3682</v>
      </c>
      <c r="C742" s="29"/>
      <c r="D742" s="29" t="s">
        <v>3683</v>
      </c>
      <c r="E742" s="29"/>
      <c r="F742" s="29" t="s">
        <v>3686</v>
      </c>
      <c r="G742" s="29"/>
      <c r="H742" s="29" t="s">
        <v>3687</v>
      </c>
      <c r="I742" s="29"/>
      <c r="J742" s="29"/>
      <c r="K742" s="29"/>
      <c r="L742" s="29" t="s">
        <v>3689</v>
      </c>
      <c r="M742" s="29" t="s">
        <v>3731</v>
      </c>
      <c r="N742" s="29" t="s">
        <v>3451</v>
      </c>
      <c r="O742" s="29"/>
      <c r="P742" s="29" t="s">
        <v>7741</v>
      </c>
      <c r="Q742" t="s">
        <v>2038</v>
      </c>
      <c r="R742" t="s">
        <v>2633</v>
      </c>
      <c r="S742">
        <v>37</v>
      </c>
      <c r="T742" s="43" t="str">
        <f t="shared" si="29"/>
        <v>2021.010B.R.Binomial_names.zip</v>
      </c>
      <c r="U742" s="43" t="str">
        <f>HYPERLINK("https://ictv.global/taxonomy/taxondetails?taxnode_id=202208488","ictv.global=202208488")</f>
        <v>ictv.global=202208488</v>
      </c>
    </row>
    <row r="743" spans="1:21">
      <c r="A743">
        <v>742</v>
      </c>
      <c r="B743" s="29" t="s">
        <v>3682</v>
      </c>
      <c r="C743" s="29"/>
      <c r="D743" s="29" t="s">
        <v>3683</v>
      </c>
      <c r="E743" s="29"/>
      <c r="F743" s="29" t="s">
        <v>3686</v>
      </c>
      <c r="G743" s="29"/>
      <c r="H743" s="29" t="s">
        <v>3687</v>
      </c>
      <c r="I743" s="29"/>
      <c r="J743" s="29"/>
      <c r="K743" s="29"/>
      <c r="L743" s="29" t="s">
        <v>3689</v>
      </c>
      <c r="M743" s="29" t="s">
        <v>3731</v>
      </c>
      <c r="N743" s="29" t="s">
        <v>3451</v>
      </c>
      <c r="O743" s="29"/>
      <c r="P743" s="29" t="s">
        <v>7742</v>
      </c>
      <c r="Q743" t="s">
        <v>2038</v>
      </c>
      <c r="R743" t="s">
        <v>2633</v>
      </c>
      <c r="S743">
        <v>37</v>
      </c>
      <c r="T743" s="43" t="str">
        <f t="shared" si="29"/>
        <v>2021.010B.R.Binomial_names.zip</v>
      </c>
      <c r="U743" s="43" t="str">
        <f>HYPERLINK("https://ictv.global/taxonomy/taxondetails?taxnode_id=202208484","ictv.global=202208484")</f>
        <v>ictv.global=202208484</v>
      </c>
    </row>
    <row r="744" spans="1:21">
      <c r="A744">
        <v>743</v>
      </c>
      <c r="B744" s="29" t="s">
        <v>3682</v>
      </c>
      <c r="C744" s="29"/>
      <c r="D744" s="29" t="s">
        <v>3683</v>
      </c>
      <c r="E744" s="29"/>
      <c r="F744" s="29" t="s">
        <v>3686</v>
      </c>
      <c r="G744" s="29"/>
      <c r="H744" s="29" t="s">
        <v>3687</v>
      </c>
      <c r="I744" s="29"/>
      <c r="J744" s="29"/>
      <c r="K744" s="29"/>
      <c r="L744" s="29" t="s">
        <v>3689</v>
      </c>
      <c r="M744" s="29" t="s">
        <v>3731</v>
      </c>
      <c r="N744" s="29" t="s">
        <v>3451</v>
      </c>
      <c r="O744" s="29"/>
      <c r="P744" s="29" t="s">
        <v>7743</v>
      </c>
      <c r="Q744" t="s">
        <v>2038</v>
      </c>
      <c r="R744" t="s">
        <v>2633</v>
      </c>
      <c r="S744">
        <v>37</v>
      </c>
      <c r="T744" s="43" t="str">
        <f t="shared" si="29"/>
        <v>2021.010B.R.Binomial_names.zip</v>
      </c>
      <c r="U744" s="43" t="str">
        <f>HYPERLINK("https://ictv.global/taxonomy/taxondetails?taxnode_id=202208479","ictv.global=202208479")</f>
        <v>ictv.global=202208479</v>
      </c>
    </row>
    <row r="745" spans="1:21">
      <c r="A745">
        <v>744</v>
      </c>
      <c r="B745" s="29" t="s">
        <v>3682</v>
      </c>
      <c r="C745" s="29"/>
      <c r="D745" s="29" t="s">
        <v>3683</v>
      </c>
      <c r="E745" s="29"/>
      <c r="F745" s="29" t="s">
        <v>3686</v>
      </c>
      <c r="G745" s="29"/>
      <c r="H745" s="29" t="s">
        <v>3687</v>
      </c>
      <c r="I745" s="29"/>
      <c r="J745" s="29"/>
      <c r="K745" s="29"/>
      <c r="L745" s="29" t="s">
        <v>3689</v>
      </c>
      <c r="M745" s="29" t="s">
        <v>3731</v>
      </c>
      <c r="N745" s="29" t="s">
        <v>3451</v>
      </c>
      <c r="O745" s="29"/>
      <c r="P745" s="29" t="s">
        <v>7744</v>
      </c>
      <c r="Q745" t="s">
        <v>2038</v>
      </c>
      <c r="R745" t="s">
        <v>2633</v>
      </c>
      <c r="S745">
        <v>37</v>
      </c>
      <c r="T745" s="43" t="str">
        <f t="shared" si="29"/>
        <v>2021.010B.R.Binomial_names.zip</v>
      </c>
      <c r="U745" s="43" t="str">
        <f>HYPERLINK("https://ictv.global/taxonomy/taxondetails?taxnode_id=202208480","ictv.global=202208480")</f>
        <v>ictv.global=202208480</v>
      </c>
    </row>
    <row r="746" spans="1:21">
      <c r="A746">
        <v>745</v>
      </c>
      <c r="B746" s="29" t="s">
        <v>3682</v>
      </c>
      <c r="C746" s="29"/>
      <c r="D746" s="29" t="s">
        <v>3683</v>
      </c>
      <c r="E746" s="29"/>
      <c r="F746" s="29" t="s">
        <v>3686</v>
      </c>
      <c r="G746" s="29"/>
      <c r="H746" s="29" t="s">
        <v>3687</v>
      </c>
      <c r="I746" s="29"/>
      <c r="J746" s="29"/>
      <c r="K746" s="29"/>
      <c r="L746" s="29" t="s">
        <v>3689</v>
      </c>
      <c r="M746" s="29" t="s">
        <v>3731</v>
      </c>
      <c r="N746" s="29" t="s">
        <v>3451</v>
      </c>
      <c r="O746" s="29"/>
      <c r="P746" s="29" t="s">
        <v>7745</v>
      </c>
      <c r="Q746" t="s">
        <v>2038</v>
      </c>
      <c r="R746" t="s">
        <v>2633</v>
      </c>
      <c r="S746">
        <v>37</v>
      </c>
      <c r="T746" s="43" t="str">
        <f t="shared" si="29"/>
        <v>2021.010B.R.Binomial_names.zip</v>
      </c>
      <c r="U746" s="43" t="str">
        <f>HYPERLINK("https://ictv.global/taxonomy/taxondetails?taxnode_id=202208481","ictv.global=202208481")</f>
        <v>ictv.global=202208481</v>
      </c>
    </row>
    <row r="747" spans="1:21">
      <c r="A747">
        <v>746</v>
      </c>
      <c r="B747" s="29" t="s">
        <v>3682</v>
      </c>
      <c r="C747" s="29"/>
      <c r="D747" s="29" t="s">
        <v>3683</v>
      </c>
      <c r="E747" s="29"/>
      <c r="F747" s="29" t="s">
        <v>3686</v>
      </c>
      <c r="G747" s="29"/>
      <c r="H747" s="29" t="s">
        <v>3687</v>
      </c>
      <c r="I747" s="29"/>
      <c r="J747" s="29"/>
      <c r="K747" s="29"/>
      <c r="L747" s="29" t="s">
        <v>3689</v>
      </c>
      <c r="M747" s="29" t="s">
        <v>3731</v>
      </c>
      <c r="N747" s="29" t="s">
        <v>3751</v>
      </c>
      <c r="O747" s="29"/>
      <c r="P747" s="29" t="s">
        <v>7746</v>
      </c>
      <c r="Q747" t="s">
        <v>2038</v>
      </c>
      <c r="R747" t="s">
        <v>2633</v>
      </c>
      <c r="S747">
        <v>37</v>
      </c>
      <c r="T747" s="43" t="str">
        <f t="shared" si="29"/>
        <v>2021.010B.R.Binomial_names.zip</v>
      </c>
      <c r="U747" s="43" t="str">
        <f>HYPERLINK("https://ictv.global/taxonomy/taxondetails?taxnode_id=202208359","ictv.global=202208359")</f>
        <v>ictv.global=202208359</v>
      </c>
    </row>
    <row r="748" spans="1:21">
      <c r="A748">
        <v>747</v>
      </c>
      <c r="B748" s="29" t="s">
        <v>3682</v>
      </c>
      <c r="C748" s="29"/>
      <c r="D748" s="29" t="s">
        <v>3683</v>
      </c>
      <c r="E748" s="29"/>
      <c r="F748" s="29" t="s">
        <v>3686</v>
      </c>
      <c r="G748" s="29"/>
      <c r="H748" s="29" t="s">
        <v>3687</v>
      </c>
      <c r="I748" s="29"/>
      <c r="J748" s="29"/>
      <c r="K748" s="29"/>
      <c r="L748" s="29" t="s">
        <v>3689</v>
      </c>
      <c r="M748" s="29" t="s">
        <v>3731</v>
      </c>
      <c r="N748" s="29" t="s">
        <v>3752</v>
      </c>
      <c r="O748" s="29"/>
      <c r="P748" s="29" t="s">
        <v>7747</v>
      </c>
      <c r="Q748" t="s">
        <v>2038</v>
      </c>
      <c r="R748" t="s">
        <v>2633</v>
      </c>
      <c r="S748">
        <v>37</v>
      </c>
      <c r="T748" s="43" t="str">
        <f t="shared" si="29"/>
        <v>2021.010B.R.Binomial_names.zip</v>
      </c>
      <c r="U748" s="43" t="str">
        <f>HYPERLINK("https://ictv.global/taxonomy/taxondetails?taxnode_id=202208456","ictv.global=202208456")</f>
        <v>ictv.global=202208456</v>
      </c>
    </row>
    <row r="749" spans="1:21">
      <c r="A749">
        <v>748</v>
      </c>
      <c r="B749" s="29" t="s">
        <v>3682</v>
      </c>
      <c r="C749" s="29"/>
      <c r="D749" s="29" t="s">
        <v>3683</v>
      </c>
      <c r="E749" s="29"/>
      <c r="F749" s="29" t="s">
        <v>3686</v>
      </c>
      <c r="G749" s="29"/>
      <c r="H749" s="29" t="s">
        <v>3687</v>
      </c>
      <c r="I749" s="29"/>
      <c r="J749" s="29"/>
      <c r="K749" s="29"/>
      <c r="L749" s="29" t="s">
        <v>3689</v>
      </c>
      <c r="M749" s="29" t="s">
        <v>3731</v>
      </c>
      <c r="N749" s="29" t="s">
        <v>4500</v>
      </c>
      <c r="O749" s="29"/>
      <c r="P749" s="29" t="s">
        <v>7748</v>
      </c>
      <c r="Q749" t="s">
        <v>2038</v>
      </c>
      <c r="R749" t="s">
        <v>2633</v>
      </c>
      <c r="S749">
        <v>37</v>
      </c>
      <c r="T749" s="43" t="str">
        <f t="shared" si="29"/>
        <v>2021.010B.R.Binomial_names.zip</v>
      </c>
      <c r="U749" s="43" t="str">
        <f>HYPERLINK("https://ictv.global/taxonomy/taxondetails?taxnode_id=202212090","ictv.global=202212090")</f>
        <v>ictv.global=202212090</v>
      </c>
    </row>
    <row r="750" spans="1:21">
      <c r="A750">
        <v>749</v>
      </c>
      <c r="B750" s="29" t="s">
        <v>3682</v>
      </c>
      <c r="C750" s="29"/>
      <c r="D750" s="29" t="s">
        <v>3683</v>
      </c>
      <c r="E750" s="29"/>
      <c r="F750" s="29" t="s">
        <v>3686</v>
      </c>
      <c r="G750" s="29"/>
      <c r="H750" s="29" t="s">
        <v>3687</v>
      </c>
      <c r="I750" s="29"/>
      <c r="J750" s="29"/>
      <c r="K750" s="29"/>
      <c r="L750" s="29" t="s">
        <v>3689</v>
      </c>
      <c r="M750" s="29"/>
      <c r="N750" s="29" t="s">
        <v>3753</v>
      </c>
      <c r="O750" s="29"/>
      <c r="P750" s="29" t="s">
        <v>7749</v>
      </c>
      <c r="Q750" t="s">
        <v>2038</v>
      </c>
      <c r="R750" t="s">
        <v>2633</v>
      </c>
      <c r="S750">
        <v>37</v>
      </c>
      <c r="T750" s="43" t="str">
        <f t="shared" si="29"/>
        <v>2021.010B.R.Binomial_names.zip</v>
      </c>
      <c r="U750" s="43" t="str">
        <f>HYPERLINK("https://ictv.global/taxonomy/taxondetails?taxnode_id=202208235","ictv.global=202208235")</f>
        <v>ictv.global=202208235</v>
      </c>
    </row>
    <row r="751" spans="1:21">
      <c r="A751">
        <v>750</v>
      </c>
      <c r="B751" s="29" t="s">
        <v>3682</v>
      </c>
      <c r="C751" s="29"/>
      <c r="D751" s="29" t="s">
        <v>3683</v>
      </c>
      <c r="E751" s="29"/>
      <c r="F751" s="29" t="s">
        <v>3686</v>
      </c>
      <c r="G751" s="29"/>
      <c r="H751" s="29" t="s">
        <v>3687</v>
      </c>
      <c r="I751" s="29"/>
      <c r="J751" s="29"/>
      <c r="K751" s="29"/>
      <c r="L751" s="29" t="s">
        <v>3689</v>
      </c>
      <c r="M751" s="29"/>
      <c r="N751" s="29" t="s">
        <v>4501</v>
      </c>
      <c r="O751" s="29"/>
      <c r="P751" s="29" t="s">
        <v>7750</v>
      </c>
      <c r="Q751" t="s">
        <v>2038</v>
      </c>
      <c r="R751" t="s">
        <v>2633</v>
      </c>
      <c r="S751">
        <v>37</v>
      </c>
      <c r="T751" s="43" t="str">
        <f t="shared" si="29"/>
        <v>2021.010B.R.Binomial_names.zip</v>
      </c>
      <c r="U751" s="43" t="str">
        <f>HYPERLINK("https://ictv.global/taxonomy/taxondetails?taxnode_id=202211647","ictv.global=202211647")</f>
        <v>ictv.global=202211647</v>
      </c>
    </row>
    <row r="752" spans="1:21">
      <c r="A752">
        <v>751</v>
      </c>
      <c r="B752" s="29" t="s">
        <v>3682</v>
      </c>
      <c r="C752" s="29"/>
      <c r="D752" s="29" t="s">
        <v>3683</v>
      </c>
      <c r="E752" s="29"/>
      <c r="F752" s="29" t="s">
        <v>3686</v>
      </c>
      <c r="G752" s="29"/>
      <c r="H752" s="29" t="s">
        <v>3687</v>
      </c>
      <c r="I752" s="29"/>
      <c r="J752" s="29"/>
      <c r="K752" s="29"/>
      <c r="L752" s="29" t="s">
        <v>3689</v>
      </c>
      <c r="M752" s="29"/>
      <c r="N752" s="29" t="s">
        <v>3460</v>
      </c>
      <c r="O752" s="29"/>
      <c r="P752" s="29" t="s">
        <v>7751</v>
      </c>
      <c r="Q752" t="s">
        <v>2038</v>
      </c>
      <c r="R752" t="s">
        <v>2633</v>
      </c>
      <c r="S752">
        <v>37</v>
      </c>
      <c r="T752" s="43" t="str">
        <f t="shared" si="29"/>
        <v>2021.010B.R.Binomial_names.zip</v>
      </c>
      <c r="U752" s="43" t="str">
        <f>HYPERLINK("https://ictv.global/taxonomy/taxondetails?taxnode_id=202206761","ictv.global=202206761")</f>
        <v>ictv.global=202206761</v>
      </c>
    </row>
    <row r="753" spans="1:21">
      <c r="A753">
        <v>752</v>
      </c>
      <c r="B753" s="29" t="s">
        <v>3682</v>
      </c>
      <c r="C753" s="29"/>
      <c r="D753" s="29" t="s">
        <v>3683</v>
      </c>
      <c r="E753" s="29"/>
      <c r="F753" s="29" t="s">
        <v>3686</v>
      </c>
      <c r="G753" s="29"/>
      <c r="H753" s="29" t="s">
        <v>3687</v>
      </c>
      <c r="I753" s="29"/>
      <c r="J753" s="29"/>
      <c r="K753" s="29"/>
      <c r="L753" s="29" t="s">
        <v>3689</v>
      </c>
      <c r="M753" s="29"/>
      <c r="N753" s="29" t="s">
        <v>3754</v>
      </c>
      <c r="O753" s="29"/>
      <c r="P753" s="29" t="s">
        <v>3755</v>
      </c>
      <c r="Q753" t="s">
        <v>2038</v>
      </c>
      <c r="R753" t="s">
        <v>2634</v>
      </c>
      <c r="S753">
        <v>37</v>
      </c>
      <c r="T753" s="43" t="str">
        <f>HYPERLINK("https://ictv.global/ictv/proposals/2021.001B.R.abolish_Caudovirales.zip","2021.001B.R.abolish_Caudovirales.zip")</f>
        <v>2021.001B.R.abolish_Caudovirales.zip</v>
      </c>
      <c r="U753" s="43" t="str">
        <f>HYPERLINK("https://ictv.global/taxonomy/taxondetails?taxnode_id=202208245","ictv.global=202208245")</f>
        <v>ictv.global=202208245</v>
      </c>
    </row>
    <row r="754" spans="1:21">
      <c r="A754">
        <v>753</v>
      </c>
      <c r="B754" s="29" t="s">
        <v>3682</v>
      </c>
      <c r="C754" s="29"/>
      <c r="D754" s="29" t="s">
        <v>3683</v>
      </c>
      <c r="E754" s="29"/>
      <c r="F754" s="29" t="s">
        <v>3686</v>
      </c>
      <c r="G754" s="29"/>
      <c r="H754" s="29" t="s">
        <v>3687</v>
      </c>
      <c r="I754" s="29"/>
      <c r="J754" s="29"/>
      <c r="K754" s="29"/>
      <c r="L754" s="29" t="s">
        <v>3689</v>
      </c>
      <c r="M754" s="29"/>
      <c r="N754" s="29" t="s">
        <v>3756</v>
      </c>
      <c r="O754" s="29"/>
      <c r="P754" s="29" t="s">
        <v>7752</v>
      </c>
      <c r="Q754" t="s">
        <v>2038</v>
      </c>
      <c r="R754" t="s">
        <v>2633</v>
      </c>
      <c r="S754">
        <v>37</v>
      </c>
      <c r="T754" s="43" t="str">
        <f>HYPERLINK("https://ictv.global/ictv/proposals/2021.010B.R.Binomial_names.zip","2021.010B.R.Binomial_names.zip")</f>
        <v>2021.010B.R.Binomial_names.zip</v>
      </c>
      <c r="U754" s="43" t="str">
        <f>HYPERLINK("https://ictv.global/taxonomy/taxondetails?taxnode_id=202208213","ictv.global=202208213")</f>
        <v>ictv.global=202208213</v>
      </c>
    </row>
    <row r="755" spans="1:21">
      <c r="A755">
        <v>754</v>
      </c>
      <c r="B755" s="29" t="s">
        <v>3682</v>
      </c>
      <c r="C755" s="29"/>
      <c r="D755" s="29" t="s">
        <v>3683</v>
      </c>
      <c r="E755" s="29"/>
      <c r="F755" s="29" t="s">
        <v>3686</v>
      </c>
      <c r="G755" s="29"/>
      <c r="H755" s="29" t="s">
        <v>3687</v>
      </c>
      <c r="I755" s="29"/>
      <c r="J755" s="29"/>
      <c r="K755" s="29"/>
      <c r="L755" s="29" t="s">
        <v>3689</v>
      </c>
      <c r="M755" s="29"/>
      <c r="N755" s="29" t="s">
        <v>3756</v>
      </c>
      <c r="O755" s="29"/>
      <c r="P755" s="29" t="s">
        <v>7753</v>
      </c>
      <c r="Q755" t="s">
        <v>2038</v>
      </c>
      <c r="R755" t="s">
        <v>2633</v>
      </c>
      <c r="S755">
        <v>37</v>
      </c>
      <c r="T755" s="43" t="str">
        <f>HYPERLINK("https://ictv.global/ictv/proposals/2021.010B.R.Binomial_names.zip","2021.010B.R.Binomial_names.zip")</f>
        <v>2021.010B.R.Binomial_names.zip</v>
      </c>
      <c r="U755" s="43" t="str">
        <f>HYPERLINK("https://ictv.global/taxonomy/taxondetails?taxnode_id=202208214","ictv.global=202208214")</f>
        <v>ictv.global=202208214</v>
      </c>
    </row>
    <row r="756" spans="1:21">
      <c r="A756">
        <v>755</v>
      </c>
      <c r="B756" s="29" t="s">
        <v>3682</v>
      </c>
      <c r="C756" s="29"/>
      <c r="D756" s="29" t="s">
        <v>3683</v>
      </c>
      <c r="E756" s="29"/>
      <c r="F756" s="29" t="s">
        <v>3686</v>
      </c>
      <c r="G756" s="29"/>
      <c r="H756" s="29" t="s">
        <v>3687</v>
      </c>
      <c r="I756" s="29"/>
      <c r="J756" s="29"/>
      <c r="K756" s="29"/>
      <c r="L756" s="29" t="s">
        <v>3689</v>
      </c>
      <c r="M756" s="29"/>
      <c r="N756" s="29" t="s">
        <v>3757</v>
      </c>
      <c r="O756" s="29"/>
      <c r="P756" s="29" t="s">
        <v>7754</v>
      </c>
      <c r="Q756" t="s">
        <v>2038</v>
      </c>
      <c r="R756" t="s">
        <v>2633</v>
      </c>
      <c r="S756">
        <v>37</v>
      </c>
      <c r="T756" s="43" t="str">
        <f>HYPERLINK("https://ictv.global/ictv/proposals/2021.010B.R.Binomial_names.zip","2021.010B.R.Binomial_names.zip")</f>
        <v>2021.010B.R.Binomial_names.zip</v>
      </c>
      <c r="U756" s="43" t="str">
        <f>HYPERLINK("https://ictv.global/taxonomy/taxondetails?taxnode_id=202208249","ictv.global=202208249")</f>
        <v>ictv.global=202208249</v>
      </c>
    </row>
    <row r="757" spans="1:21">
      <c r="A757">
        <v>756</v>
      </c>
      <c r="B757" s="29" t="s">
        <v>3682</v>
      </c>
      <c r="C757" s="29"/>
      <c r="D757" s="29" t="s">
        <v>3683</v>
      </c>
      <c r="E757" s="29"/>
      <c r="F757" s="29" t="s">
        <v>3686</v>
      </c>
      <c r="G757" s="29"/>
      <c r="H757" s="29" t="s">
        <v>3687</v>
      </c>
      <c r="I757" s="29"/>
      <c r="J757" s="29"/>
      <c r="K757" s="29"/>
      <c r="L757" s="29" t="s">
        <v>3689</v>
      </c>
      <c r="M757" s="29"/>
      <c r="N757" s="29" t="s">
        <v>3758</v>
      </c>
      <c r="O757" s="29"/>
      <c r="P757" s="29" t="s">
        <v>3759</v>
      </c>
      <c r="Q757" t="s">
        <v>2038</v>
      </c>
      <c r="R757" t="s">
        <v>2634</v>
      </c>
      <c r="S757">
        <v>37</v>
      </c>
      <c r="T757" s="43" t="str">
        <f>HYPERLINK("https://ictv.global/ictv/proposals/2021.001B.R.abolish_Caudovirales.zip","2021.001B.R.abolish_Caudovirales.zip")</f>
        <v>2021.001B.R.abolish_Caudovirales.zip</v>
      </c>
      <c r="U757" s="43" t="str">
        <f>HYPERLINK("https://ictv.global/taxonomy/taxondetails?taxnode_id=202208284","ictv.global=202208284")</f>
        <v>ictv.global=202208284</v>
      </c>
    </row>
    <row r="758" spans="1:21">
      <c r="A758">
        <v>757</v>
      </c>
      <c r="B758" s="29" t="s">
        <v>3682</v>
      </c>
      <c r="C758" s="29"/>
      <c r="D758" s="29" t="s">
        <v>3683</v>
      </c>
      <c r="E758" s="29"/>
      <c r="F758" s="29" t="s">
        <v>3686</v>
      </c>
      <c r="G758" s="29"/>
      <c r="H758" s="29" t="s">
        <v>3687</v>
      </c>
      <c r="I758" s="29"/>
      <c r="J758" s="29"/>
      <c r="K758" s="29"/>
      <c r="L758" s="29" t="s">
        <v>3689</v>
      </c>
      <c r="M758" s="29"/>
      <c r="N758" s="29" t="s">
        <v>3760</v>
      </c>
      <c r="O758" s="29"/>
      <c r="P758" s="29" t="s">
        <v>7755</v>
      </c>
      <c r="Q758" t="s">
        <v>2038</v>
      </c>
      <c r="R758" t="s">
        <v>2633</v>
      </c>
      <c r="S758">
        <v>37</v>
      </c>
      <c r="T758" s="43" t="str">
        <f t="shared" ref="T758:T763" si="30">HYPERLINK("https://ictv.global/ictv/proposals/2021.010B.R.Binomial_names.zip","2021.010B.R.Binomial_names.zip")</f>
        <v>2021.010B.R.Binomial_names.zip</v>
      </c>
      <c r="U758" s="43" t="str">
        <f>HYPERLINK("https://ictv.global/taxonomy/taxondetails?taxnode_id=202208274","ictv.global=202208274")</f>
        <v>ictv.global=202208274</v>
      </c>
    </row>
    <row r="759" spans="1:21">
      <c r="A759">
        <v>758</v>
      </c>
      <c r="B759" s="29" t="s">
        <v>3682</v>
      </c>
      <c r="C759" s="29"/>
      <c r="D759" s="29" t="s">
        <v>3683</v>
      </c>
      <c r="E759" s="29"/>
      <c r="F759" s="29" t="s">
        <v>3686</v>
      </c>
      <c r="G759" s="29"/>
      <c r="H759" s="29" t="s">
        <v>3687</v>
      </c>
      <c r="I759" s="29"/>
      <c r="J759" s="29"/>
      <c r="K759" s="29"/>
      <c r="L759" s="29" t="s">
        <v>3689</v>
      </c>
      <c r="M759" s="29"/>
      <c r="N759" s="29" t="s">
        <v>3462</v>
      </c>
      <c r="O759" s="29"/>
      <c r="P759" s="29" t="s">
        <v>7756</v>
      </c>
      <c r="Q759" t="s">
        <v>2038</v>
      </c>
      <c r="R759" t="s">
        <v>2633</v>
      </c>
      <c r="S759">
        <v>37</v>
      </c>
      <c r="T759" s="43" t="str">
        <f t="shared" si="30"/>
        <v>2021.010B.R.Binomial_names.zip</v>
      </c>
      <c r="U759" s="43" t="str">
        <f>HYPERLINK("https://ictv.global/taxonomy/taxondetails?taxnode_id=202206804","ictv.global=202206804")</f>
        <v>ictv.global=202206804</v>
      </c>
    </row>
    <row r="760" spans="1:21">
      <c r="A760">
        <v>759</v>
      </c>
      <c r="B760" s="29" t="s">
        <v>3682</v>
      </c>
      <c r="C760" s="29"/>
      <c r="D760" s="29" t="s">
        <v>3683</v>
      </c>
      <c r="E760" s="29"/>
      <c r="F760" s="29" t="s">
        <v>3686</v>
      </c>
      <c r="G760" s="29"/>
      <c r="H760" s="29" t="s">
        <v>3687</v>
      </c>
      <c r="I760" s="29"/>
      <c r="J760" s="29"/>
      <c r="K760" s="29"/>
      <c r="L760" s="29" t="s">
        <v>3689</v>
      </c>
      <c r="M760" s="29"/>
      <c r="N760" s="29" t="s">
        <v>3462</v>
      </c>
      <c r="O760" s="29"/>
      <c r="P760" s="29" t="s">
        <v>7757</v>
      </c>
      <c r="Q760" t="s">
        <v>2038</v>
      </c>
      <c r="R760" t="s">
        <v>2633</v>
      </c>
      <c r="S760">
        <v>37</v>
      </c>
      <c r="T760" s="43" t="str">
        <f t="shared" si="30"/>
        <v>2021.010B.R.Binomial_names.zip</v>
      </c>
      <c r="U760" s="43" t="str">
        <f>HYPERLINK("https://ictv.global/taxonomy/taxondetails?taxnode_id=202206803","ictv.global=202206803")</f>
        <v>ictv.global=202206803</v>
      </c>
    </row>
    <row r="761" spans="1:21">
      <c r="A761">
        <v>760</v>
      </c>
      <c r="B761" s="29" t="s">
        <v>3682</v>
      </c>
      <c r="C761" s="29"/>
      <c r="D761" s="29" t="s">
        <v>3683</v>
      </c>
      <c r="E761" s="29"/>
      <c r="F761" s="29" t="s">
        <v>3686</v>
      </c>
      <c r="G761" s="29"/>
      <c r="H761" s="29" t="s">
        <v>3687</v>
      </c>
      <c r="I761" s="29"/>
      <c r="J761" s="29"/>
      <c r="K761" s="29"/>
      <c r="L761" s="29" t="s">
        <v>3689</v>
      </c>
      <c r="M761" s="29"/>
      <c r="N761" s="29" t="s">
        <v>3761</v>
      </c>
      <c r="O761" s="29"/>
      <c r="P761" s="29" t="s">
        <v>7758</v>
      </c>
      <c r="Q761" t="s">
        <v>2038</v>
      </c>
      <c r="R761" t="s">
        <v>2633</v>
      </c>
      <c r="S761">
        <v>37</v>
      </c>
      <c r="T761" s="43" t="str">
        <f t="shared" si="30"/>
        <v>2021.010B.R.Binomial_names.zip</v>
      </c>
      <c r="U761" s="43" t="str">
        <f>HYPERLINK("https://ictv.global/taxonomy/taxondetails?taxnode_id=202208229","ictv.global=202208229")</f>
        <v>ictv.global=202208229</v>
      </c>
    </row>
    <row r="762" spans="1:21">
      <c r="A762">
        <v>761</v>
      </c>
      <c r="B762" s="29" t="s">
        <v>3682</v>
      </c>
      <c r="C762" s="29"/>
      <c r="D762" s="29" t="s">
        <v>3683</v>
      </c>
      <c r="E762" s="29"/>
      <c r="F762" s="29" t="s">
        <v>3686</v>
      </c>
      <c r="G762" s="29"/>
      <c r="H762" s="29" t="s">
        <v>3687</v>
      </c>
      <c r="I762" s="29"/>
      <c r="J762" s="29"/>
      <c r="K762" s="29"/>
      <c r="L762" s="29" t="s">
        <v>3689</v>
      </c>
      <c r="M762" s="29"/>
      <c r="N762" s="29" t="s">
        <v>3761</v>
      </c>
      <c r="O762" s="29"/>
      <c r="P762" s="29" t="s">
        <v>7759</v>
      </c>
      <c r="Q762" t="s">
        <v>2038</v>
      </c>
      <c r="R762" t="s">
        <v>2633</v>
      </c>
      <c r="S762">
        <v>37</v>
      </c>
      <c r="T762" s="43" t="str">
        <f t="shared" si="30"/>
        <v>2021.010B.R.Binomial_names.zip</v>
      </c>
      <c r="U762" s="43" t="str">
        <f>HYPERLINK("https://ictv.global/taxonomy/taxondetails?taxnode_id=202208230","ictv.global=202208230")</f>
        <v>ictv.global=202208230</v>
      </c>
    </row>
    <row r="763" spans="1:21">
      <c r="A763">
        <v>762</v>
      </c>
      <c r="B763" s="29" t="s">
        <v>3682</v>
      </c>
      <c r="C763" s="29"/>
      <c r="D763" s="29" t="s">
        <v>3683</v>
      </c>
      <c r="E763" s="29"/>
      <c r="F763" s="29" t="s">
        <v>3686</v>
      </c>
      <c r="G763" s="29"/>
      <c r="H763" s="29" t="s">
        <v>3687</v>
      </c>
      <c r="I763" s="29"/>
      <c r="J763" s="29"/>
      <c r="K763" s="29"/>
      <c r="L763" s="29" t="s">
        <v>3689</v>
      </c>
      <c r="M763" s="29"/>
      <c r="N763" s="29" t="s">
        <v>3762</v>
      </c>
      <c r="O763" s="29"/>
      <c r="P763" s="29" t="s">
        <v>7760</v>
      </c>
      <c r="Q763" t="s">
        <v>2038</v>
      </c>
      <c r="R763" t="s">
        <v>2633</v>
      </c>
      <c r="S763">
        <v>37</v>
      </c>
      <c r="T763" s="43" t="str">
        <f t="shared" si="30"/>
        <v>2021.010B.R.Binomial_names.zip</v>
      </c>
      <c r="U763" s="43" t="str">
        <f>HYPERLINK("https://ictv.global/taxonomy/taxondetails?taxnode_id=202208316","ictv.global=202208316")</f>
        <v>ictv.global=202208316</v>
      </c>
    </row>
    <row r="764" spans="1:21">
      <c r="A764">
        <v>763</v>
      </c>
      <c r="B764" s="29" t="s">
        <v>3682</v>
      </c>
      <c r="C764" s="29"/>
      <c r="D764" s="29" t="s">
        <v>3683</v>
      </c>
      <c r="E764" s="29"/>
      <c r="F764" s="29" t="s">
        <v>3686</v>
      </c>
      <c r="G764" s="29"/>
      <c r="H764" s="29" t="s">
        <v>3687</v>
      </c>
      <c r="I764" s="29"/>
      <c r="J764" s="29"/>
      <c r="K764" s="29"/>
      <c r="L764" s="29" t="s">
        <v>3689</v>
      </c>
      <c r="M764" s="29"/>
      <c r="N764" s="29" t="s">
        <v>3763</v>
      </c>
      <c r="O764" s="29"/>
      <c r="P764" s="29" t="s">
        <v>3764</v>
      </c>
      <c r="Q764" t="s">
        <v>2038</v>
      </c>
      <c r="R764" t="s">
        <v>2634</v>
      </c>
      <c r="S764">
        <v>37</v>
      </c>
      <c r="T764" s="43" t="str">
        <f>HYPERLINK("https://ictv.global/ictv/proposals/2021.001B.R.abolish_Caudovirales.zip","2021.001B.R.abolish_Caudovirales.zip")</f>
        <v>2021.001B.R.abolish_Caudovirales.zip</v>
      </c>
      <c r="U764" s="43" t="str">
        <f>HYPERLINK("https://ictv.global/taxonomy/taxondetails?taxnode_id=202208314","ictv.global=202208314")</f>
        <v>ictv.global=202208314</v>
      </c>
    </row>
    <row r="765" spans="1:21">
      <c r="A765">
        <v>764</v>
      </c>
      <c r="B765" s="29" t="s">
        <v>3682</v>
      </c>
      <c r="C765" s="29"/>
      <c r="D765" s="29" t="s">
        <v>3683</v>
      </c>
      <c r="E765" s="29"/>
      <c r="F765" s="29" t="s">
        <v>3686</v>
      </c>
      <c r="G765" s="29"/>
      <c r="H765" s="29" t="s">
        <v>3687</v>
      </c>
      <c r="I765" s="29"/>
      <c r="J765" s="29"/>
      <c r="K765" s="29"/>
      <c r="L765" s="29" t="s">
        <v>3689</v>
      </c>
      <c r="M765" s="29"/>
      <c r="N765" s="29" t="s">
        <v>3765</v>
      </c>
      <c r="O765" s="29"/>
      <c r="P765" s="29" t="s">
        <v>7761</v>
      </c>
      <c r="Q765" t="s">
        <v>2038</v>
      </c>
      <c r="R765" t="s">
        <v>2633</v>
      </c>
      <c r="S765">
        <v>37</v>
      </c>
      <c r="T765" s="43" t="str">
        <f t="shared" ref="T765:T771" si="31">HYPERLINK("https://ictv.global/ictv/proposals/2021.010B.R.Binomial_names.zip","2021.010B.R.Binomial_names.zip")</f>
        <v>2021.010B.R.Binomial_names.zip</v>
      </c>
      <c r="U765" s="43" t="str">
        <f>HYPERLINK("https://ictv.global/taxonomy/taxondetails?taxnode_id=202208225","ictv.global=202208225")</f>
        <v>ictv.global=202208225</v>
      </c>
    </row>
    <row r="766" spans="1:21">
      <c r="A766">
        <v>765</v>
      </c>
      <c r="B766" s="29" t="s">
        <v>3682</v>
      </c>
      <c r="C766" s="29"/>
      <c r="D766" s="29" t="s">
        <v>3683</v>
      </c>
      <c r="E766" s="29"/>
      <c r="F766" s="29" t="s">
        <v>3686</v>
      </c>
      <c r="G766" s="29"/>
      <c r="H766" s="29" t="s">
        <v>3687</v>
      </c>
      <c r="I766" s="29"/>
      <c r="J766" s="29"/>
      <c r="K766" s="29"/>
      <c r="L766" s="29" t="s">
        <v>3689</v>
      </c>
      <c r="M766" s="29"/>
      <c r="N766" s="29" t="s">
        <v>3765</v>
      </c>
      <c r="O766" s="29"/>
      <c r="P766" s="29" t="s">
        <v>7762</v>
      </c>
      <c r="Q766" t="s">
        <v>2038</v>
      </c>
      <c r="R766" t="s">
        <v>2633</v>
      </c>
      <c r="S766">
        <v>37</v>
      </c>
      <c r="T766" s="43" t="str">
        <f t="shared" si="31"/>
        <v>2021.010B.R.Binomial_names.zip</v>
      </c>
      <c r="U766" s="43" t="str">
        <f>HYPERLINK("https://ictv.global/taxonomy/taxondetails?taxnode_id=202208226","ictv.global=202208226")</f>
        <v>ictv.global=202208226</v>
      </c>
    </row>
    <row r="767" spans="1:21">
      <c r="A767">
        <v>766</v>
      </c>
      <c r="B767" s="29" t="s">
        <v>3682</v>
      </c>
      <c r="C767" s="29"/>
      <c r="D767" s="29" t="s">
        <v>3683</v>
      </c>
      <c r="E767" s="29"/>
      <c r="F767" s="29" t="s">
        <v>3686</v>
      </c>
      <c r="G767" s="29"/>
      <c r="H767" s="29" t="s">
        <v>3687</v>
      </c>
      <c r="I767" s="29"/>
      <c r="J767" s="29"/>
      <c r="K767" s="29"/>
      <c r="L767" s="29" t="s">
        <v>3689</v>
      </c>
      <c r="M767" s="29"/>
      <c r="N767" s="29" t="s">
        <v>3765</v>
      </c>
      <c r="O767" s="29"/>
      <c r="P767" s="29" t="s">
        <v>7763</v>
      </c>
      <c r="Q767" t="s">
        <v>2038</v>
      </c>
      <c r="R767" t="s">
        <v>2633</v>
      </c>
      <c r="S767">
        <v>37</v>
      </c>
      <c r="T767" s="43" t="str">
        <f t="shared" si="31"/>
        <v>2021.010B.R.Binomial_names.zip</v>
      </c>
      <c r="U767" s="43" t="str">
        <f>HYPERLINK("https://ictv.global/taxonomy/taxondetails?taxnode_id=202208227","ictv.global=202208227")</f>
        <v>ictv.global=202208227</v>
      </c>
    </row>
    <row r="768" spans="1:21">
      <c r="A768">
        <v>767</v>
      </c>
      <c r="B768" s="29" t="s">
        <v>3682</v>
      </c>
      <c r="C768" s="29"/>
      <c r="D768" s="29" t="s">
        <v>3683</v>
      </c>
      <c r="E768" s="29"/>
      <c r="F768" s="29" t="s">
        <v>3686</v>
      </c>
      <c r="G768" s="29"/>
      <c r="H768" s="29" t="s">
        <v>3687</v>
      </c>
      <c r="I768" s="29"/>
      <c r="J768" s="29"/>
      <c r="K768" s="29"/>
      <c r="L768" s="29" t="s">
        <v>3689</v>
      </c>
      <c r="M768" s="29"/>
      <c r="N768" s="29" t="s">
        <v>3766</v>
      </c>
      <c r="O768" s="29"/>
      <c r="P768" s="29" t="s">
        <v>7764</v>
      </c>
      <c r="Q768" t="s">
        <v>2038</v>
      </c>
      <c r="R768" t="s">
        <v>2633</v>
      </c>
      <c r="S768">
        <v>37</v>
      </c>
      <c r="T768" s="43" t="str">
        <f t="shared" si="31"/>
        <v>2021.010B.R.Binomial_names.zip</v>
      </c>
      <c r="U768" s="43" t="str">
        <f>HYPERLINK("https://ictv.global/taxonomy/taxondetails?taxnode_id=202208310","ictv.global=202208310")</f>
        <v>ictv.global=202208310</v>
      </c>
    </row>
    <row r="769" spans="1:21">
      <c r="A769">
        <v>768</v>
      </c>
      <c r="B769" s="29" t="s">
        <v>3682</v>
      </c>
      <c r="C769" s="29"/>
      <c r="D769" s="29" t="s">
        <v>3683</v>
      </c>
      <c r="E769" s="29"/>
      <c r="F769" s="29" t="s">
        <v>3686</v>
      </c>
      <c r="G769" s="29"/>
      <c r="H769" s="29" t="s">
        <v>3687</v>
      </c>
      <c r="I769" s="29"/>
      <c r="J769" s="29"/>
      <c r="K769" s="29"/>
      <c r="L769" s="29" t="s">
        <v>3689</v>
      </c>
      <c r="M769" s="29"/>
      <c r="N769" s="29" t="s">
        <v>3767</v>
      </c>
      <c r="O769" s="29"/>
      <c r="P769" s="29" t="s">
        <v>7765</v>
      </c>
      <c r="Q769" t="s">
        <v>2038</v>
      </c>
      <c r="R769" t="s">
        <v>2633</v>
      </c>
      <c r="S769">
        <v>37</v>
      </c>
      <c r="T769" s="43" t="str">
        <f t="shared" si="31"/>
        <v>2021.010B.R.Binomial_names.zip</v>
      </c>
      <c r="U769" s="43" t="str">
        <f>HYPERLINK("https://ictv.global/taxonomy/taxondetails?taxnode_id=202208211","ictv.global=202208211")</f>
        <v>ictv.global=202208211</v>
      </c>
    </row>
    <row r="770" spans="1:21">
      <c r="A770">
        <v>769</v>
      </c>
      <c r="B770" s="29" t="s">
        <v>3682</v>
      </c>
      <c r="C770" s="29"/>
      <c r="D770" s="29" t="s">
        <v>3683</v>
      </c>
      <c r="E770" s="29"/>
      <c r="F770" s="29" t="s">
        <v>3686</v>
      </c>
      <c r="G770" s="29"/>
      <c r="H770" s="29" t="s">
        <v>3687</v>
      </c>
      <c r="I770" s="29"/>
      <c r="J770" s="29"/>
      <c r="K770" s="29"/>
      <c r="L770" s="29" t="s">
        <v>3689</v>
      </c>
      <c r="M770" s="29"/>
      <c r="N770" s="29" t="s">
        <v>3767</v>
      </c>
      <c r="O770" s="29"/>
      <c r="P770" s="29" t="s">
        <v>7766</v>
      </c>
      <c r="Q770" t="s">
        <v>2038</v>
      </c>
      <c r="R770" t="s">
        <v>2633</v>
      </c>
      <c r="S770">
        <v>37</v>
      </c>
      <c r="T770" s="43" t="str">
        <f t="shared" si="31"/>
        <v>2021.010B.R.Binomial_names.zip</v>
      </c>
      <c r="U770" s="43" t="str">
        <f>HYPERLINK("https://ictv.global/taxonomy/taxondetails?taxnode_id=202208210","ictv.global=202208210")</f>
        <v>ictv.global=202208210</v>
      </c>
    </row>
    <row r="771" spans="1:21">
      <c r="A771">
        <v>770</v>
      </c>
      <c r="B771" s="29" t="s">
        <v>3682</v>
      </c>
      <c r="C771" s="29"/>
      <c r="D771" s="29" t="s">
        <v>3683</v>
      </c>
      <c r="E771" s="29"/>
      <c r="F771" s="29" t="s">
        <v>3686</v>
      </c>
      <c r="G771" s="29"/>
      <c r="H771" s="29" t="s">
        <v>3687</v>
      </c>
      <c r="I771" s="29"/>
      <c r="J771" s="29"/>
      <c r="K771" s="29"/>
      <c r="L771" s="29" t="s">
        <v>3689</v>
      </c>
      <c r="M771" s="29"/>
      <c r="N771" s="29" t="s">
        <v>3768</v>
      </c>
      <c r="O771" s="29"/>
      <c r="P771" s="29" t="s">
        <v>7767</v>
      </c>
      <c r="Q771" t="s">
        <v>2038</v>
      </c>
      <c r="R771" t="s">
        <v>2633</v>
      </c>
      <c r="S771">
        <v>37</v>
      </c>
      <c r="T771" s="43" t="str">
        <f t="shared" si="31"/>
        <v>2021.010B.R.Binomial_names.zip</v>
      </c>
      <c r="U771" s="43" t="str">
        <f>HYPERLINK("https://ictv.global/taxonomy/taxondetails?taxnode_id=202208308","ictv.global=202208308")</f>
        <v>ictv.global=202208308</v>
      </c>
    </row>
    <row r="772" spans="1:21">
      <c r="A772">
        <v>771</v>
      </c>
      <c r="B772" s="29" t="s">
        <v>3682</v>
      </c>
      <c r="C772" s="29"/>
      <c r="D772" s="29" t="s">
        <v>3683</v>
      </c>
      <c r="E772" s="29"/>
      <c r="F772" s="29" t="s">
        <v>3686</v>
      </c>
      <c r="G772" s="29"/>
      <c r="H772" s="29" t="s">
        <v>3687</v>
      </c>
      <c r="I772" s="29"/>
      <c r="J772" s="29"/>
      <c r="K772" s="29"/>
      <c r="L772" s="29" t="s">
        <v>3689</v>
      </c>
      <c r="M772" s="29"/>
      <c r="N772" s="29" t="s">
        <v>3769</v>
      </c>
      <c r="O772" s="29"/>
      <c r="P772" s="29" t="s">
        <v>3770</v>
      </c>
      <c r="Q772" t="s">
        <v>2038</v>
      </c>
      <c r="R772" t="s">
        <v>2634</v>
      </c>
      <c r="S772">
        <v>37</v>
      </c>
      <c r="T772" s="43" t="str">
        <f>HYPERLINK("https://ictv.global/ictv/proposals/2021.001B.R.abolish_Caudovirales.zip","2021.001B.R.abolish_Caudovirales.zip")</f>
        <v>2021.001B.R.abolish_Caudovirales.zip</v>
      </c>
      <c r="U772" s="43" t="str">
        <f>HYPERLINK("https://ictv.global/taxonomy/taxondetails?taxnode_id=202208326","ictv.global=202208326")</f>
        <v>ictv.global=202208326</v>
      </c>
    </row>
    <row r="773" spans="1:21">
      <c r="A773">
        <v>772</v>
      </c>
      <c r="B773" s="29" t="s">
        <v>3682</v>
      </c>
      <c r="C773" s="29"/>
      <c r="D773" s="29" t="s">
        <v>3683</v>
      </c>
      <c r="E773" s="29"/>
      <c r="F773" s="29" t="s">
        <v>3686</v>
      </c>
      <c r="G773" s="29"/>
      <c r="H773" s="29" t="s">
        <v>3687</v>
      </c>
      <c r="I773" s="29"/>
      <c r="J773" s="29"/>
      <c r="K773" s="29"/>
      <c r="L773" s="29" t="s">
        <v>3689</v>
      </c>
      <c r="M773" s="29"/>
      <c r="N773" s="29" t="s">
        <v>3771</v>
      </c>
      <c r="O773" s="29"/>
      <c r="P773" s="29" t="s">
        <v>3772</v>
      </c>
      <c r="Q773" t="s">
        <v>2038</v>
      </c>
      <c r="R773" t="s">
        <v>2634</v>
      </c>
      <c r="S773">
        <v>37</v>
      </c>
      <c r="T773" s="43" t="str">
        <f>HYPERLINK("https://ictv.global/ictv/proposals/2021.001B.R.abolish_Caudovirales.zip","2021.001B.R.abolish_Caudovirales.zip")</f>
        <v>2021.001B.R.abolish_Caudovirales.zip</v>
      </c>
      <c r="U773" s="43" t="str">
        <f>HYPERLINK("https://ictv.global/taxonomy/taxondetails?taxnode_id=202208253","ictv.global=202208253")</f>
        <v>ictv.global=202208253</v>
      </c>
    </row>
    <row r="774" spans="1:21">
      <c r="A774">
        <v>773</v>
      </c>
      <c r="B774" s="29" t="s">
        <v>3682</v>
      </c>
      <c r="C774" s="29"/>
      <c r="D774" s="29" t="s">
        <v>3683</v>
      </c>
      <c r="E774" s="29"/>
      <c r="F774" s="29" t="s">
        <v>3686</v>
      </c>
      <c r="G774" s="29"/>
      <c r="H774" s="29" t="s">
        <v>3687</v>
      </c>
      <c r="I774" s="29"/>
      <c r="J774" s="29"/>
      <c r="K774" s="29"/>
      <c r="L774" s="29" t="s">
        <v>3689</v>
      </c>
      <c r="M774" s="29"/>
      <c r="N774" s="29" t="s">
        <v>3773</v>
      </c>
      <c r="O774" s="29"/>
      <c r="P774" s="29" t="s">
        <v>7768</v>
      </c>
      <c r="Q774" t="s">
        <v>2038</v>
      </c>
      <c r="R774" t="s">
        <v>2633</v>
      </c>
      <c r="S774">
        <v>37</v>
      </c>
      <c r="T774" s="43" t="str">
        <f>HYPERLINK("https://ictv.global/ictv/proposals/2021.010B.R.Binomial_names.zip","2021.010B.R.Binomial_names.zip")</f>
        <v>2021.010B.R.Binomial_names.zip</v>
      </c>
      <c r="U774" s="43" t="str">
        <f>HYPERLINK("https://ictv.global/taxonomy/taxondetails?taxnode_id=202208207","ictv.global=202208207")</f>
        <v>ictv.global=202208207</v>
      </c>
    </row>
    <row r="775" spans="1:21">
      <c r="A775">
        <v>774</v>
      </c>
      <c r="B775" s="29" t="s">
        <v>3682</v>
      </c>
      <c r="C775" s="29"/>
      <c r="D775" s="29" t="s">
        <v>3683</v>
      </c>
      <c r="E775" s="29"/>
      <c r="F775" s="29" t="s">
        <v>3686</v>
      </c>
      <c r="G775" s="29"/>
      <c r="H775" s="29" t="s">
        <v>3687</v>
      </c>
      <c r="I775" s="29"/>
      <c r="J775" s="29"/>
      <c r="K775" s="29"/>
      <c r="L775" s="29" t="s">
        <v>3689</v>
      </c>
      <c r="M775" s="29"/>
      <c r="N775" s="29" t="s">
        <v>3773</v>
      </c>
      <c r="O775" s="29"/>
      <c r="P775" s="29" t="s">
        <v>7769</v>
      </c>
      <c r="Q775" t="s">
        <v>2038</v>
      </c>
      <c r="R775" t="s">
        <v>2633</v>
      </c>
      <c r="S775">
        <v>37</v>
      </c>
      <c r="T775" s="43" t="str">
        <f>HYPERLINK("https://ictv.global/ictv/proposals/2021.010B.R.Binomial_names.zip","2021.010B.R.Binomial_names.zip")</f>
        <v>2021.010B.R.Binomial_names.zip</v>
      </c>
      <c r="U775" s="43" t="str">
        <f>HYPERLINK("https://ictv.global/taxonomy/taxondetails?taxnode_id=202208208","ictv.global=202208208")</f>
        <v>ictv.global=202208208</v>
      </c>
    </row>
    <row r="776" spans="1:21">
      <c r="A776">
        <v>775</v>
      </c>
      <c r="B776" s="29" t="s">
        <v>3682</v>
      </c>
      <c r="C776" s="29"/>
      <c r="D776" s="29" t="s">
        <v>3683</v>
      </c>
      <c r="E776" s="29"/>
      <c r="F776" s="29" t="s">
        <v>3686</v>
      </c>
      <c r="G776" s="29"/>
      <c r="H776" s="29" t="s">
        <v>3687</v>
      </c>
      <c r="I776" s="29"/>
      <c r="J776" s="29"/>
      <c r="K776" s="29"/>
      <c r="L776" s="29" t="s">
        <v>3689</v>
      </c>
      <c r="M776" s="29"/>
      <c r="N776" s="29" t="s">
        <v>3774</v>
      </c>
      <c r="O776" s="29"/>
      <c r="P776" s="29" t="s">
        <v>7770</v>
      </c>
      <c r="Q776" t="s">
        <v>2038</v>
      </c>
      <c r="R776" t="s">
        <v>2633</v>
      </c>
      <c r="S776">
        <v>37</v>
      </c>
      <c r="T776" s="43" t="str">
        <f>HYPERLINK("https://ictv.global/ictv/proposals/2021.010B.R.Binomial_names.zip","2021.010B.R.Binomial_names.zip")</f>
        <v>2021.010B.R.Binomial_names.zip</v>
      </c>
      <c r="U776" s="43" t="str">
        <f>HYPERLINK("https://ictv.global/taxonomy/taxondetails?taxnode_id=202208216","ictv.global=202208216")</f>
        <v>ictv.global=202208216</v>
      </c>
    </row>
    <row r="777" spans="1:21">
      <c r="A777">
        <v>776</v>
      </c>
      <c r="B777" s="29" t="s">
        <v>3682</v>
      </c>
      <c r="C777" s="29"/>
      <c r="D777" s="29" t="s">
        <v>3683</v>
      </c>
      <c r="E777" s="29"/>
      <c r="F777" s="29" t="s">
        <v>3686</v>
      </c>
      <c r="G777" s="29"/>
      <c r="H777" s="29" t="s">
        <v>3687</v>
      </c>
      <c r="I777" s="29"/>
      <c r="J777" s="29"/>
      <c r="K777" s="29"/>
      <c r="L777" s="29" t="s">
        <v>3689</v>
      </c>
      <c r="M777" s="29"/>
      <c r="N777" s="29" t="s">
        <v>3774</v>
      </c>
      <c r="O777" s="29"/>
      <c r="P777" s="29" t="s">
        <v>7771</v>
      </c>
      <c r="Q777" t="s">
        <v>2038</v>
      </c>
      <c r="R777" t="s">
        <v>2633</v>
      </c>
      <c r="S777">
        <v>37</v>
      </c>
      <c r="T777" s="43" t="str">
        <f>HYPERLINK("https://ictv.global/ictv/proposals/2021.010B.R.Binomial_names.zip","2021.010B.R.Binomial_names.zip")</f>
        <v>2021.010B.R.Binomial_names.zip</v>
      </c>
      <c r="U777" s="43" t="str">
        <f>HYPERLINK("https://ictv.global/taxonomy/taxondetails?taxnode_id=202208217","ictv.global=202208217")</f>
        <v>ictv.global=202208217</v>
      </c>
    </row>
    <row r="778" spans="1:21">
      <c r="A778">
        <v>777</v>
      </c>
      <c r="B778" s="29" t="s">
        <v>3682</v>
      </c>
      <c r="C778" s="29"/>
      <c r="D778" s="29" t="s">
        <v>3683</v>
      </c>
      <c r="E778" s="29"/>
      <c r="F778" s="29" t="s">
        <v>3686</v>
      </c>
      <c r="G778" s="29"/>
      <c r="H778" s="29" t="s">
        <v>3687</v>
      </c>
      <c r="I778" s="29"/>
      <c r="J778" s="29"/>
      <c r="K778" s="29"/>
      <c r="L778" s="29" t="s">
        <v>3689</v>
      </c>
      <c r="M778" s="29"/>
      <c r="N778" s="29" t="s">
        <v>3775</v>
      </c>
      <c r="O778" s="29"/>
      <c r="P778" s="29" t="s">
        <v>7772</v>
      </c>
      <c r="Q778" t="s">
        <v>2038</v>
      </c>
      <c r="R778" t="s">
        <v>2633</v>
      </c>
      <c r="S778">
        <v>37</v>
      </c>
      <c r="T778" s="43" t="str">
        <f>HYPERLINK("https://ictv.global/ictv/proposals/2021.010B.R.Binomial_names.zip","2021.010B.R.Binomial_names.zip")</f>
        <v>2021.010B.R.Binomial_names.zip</v>
      </c>
      <c r="U778" s="43" t="str">
        <f>HYPERLINK("https://ictv.global/taxonomy/taxondetails?taxnode_id=202208278","ictv.global=202208278")</f>
        <v>ictv.global=202208278</v>
      </c>
    </row>
    <row r="779" spans="1:21">
      <c r="A779">
        <v>778</v>
      </c>
      <c r="B779" s="29" t="s">
        <v>3682</v>
      </c>
      <c r="C779" s="29"/>
      <c r="D779" s="29" t="s">
        <v>3683</v>
      </c>
      <c r="E779" s="29"/>
      <c r="F779" s="29" t="s">
        <v>3686</v>
      </c>
      <c r="G779" s="29"/>
      <c r="H779" s="29" t="s">
        <v>3687</v>
      </c>
      <c r="I779" s="29"/>
      <c r="J779" s="29"/>
      <c r="K779" s="29"/>
      <c r="L779" s="29" t="s">
        <v>3689</v>
      </c>
      <c r="M779" s="29"/>
      <c r="N779" s="29" t="s">
        <v>3776</v>
      </c>
      <c r="O779" s="29"/>
      <c r="P779" s="29" t="s">
        <v>3777</v>
      </c>
      <c r="Q779" t="s">
        <v>2038</v>
      </c>
      <c r="R779" t="s">
        <v>2634</v>
      </c>
      <c r="S779">
        <v>37</v>
      </c>
      <c r="T779" s="43" t="str">
        <f>HYPERLINK("https://ictv.global/ictv/proposals/2021.001B.R.abolish_Caudovirales.zip","2021.001B.R.abolish_Caudovirales.zip")</f>
        <v>2021.001B.R.abolish_Caudovirales.zip</v>
      </c>
      <c r="U779" s="43" t="str">
        <f>HYPERLINK("https://ictv.global/taxonomy/taxondetails?taxnode_id=202208296","ictv.global=202208296")</f>
        <v>ictv.global=202208296</v>
      </c>
    </row>
    <row r="780" spans="1:21">
      <c r="A780">
        <v>779</v>
      </c>
      <c r="B780" s="29" t="s">
        <v>3682</v>
      </c>
      <c r="C780" s="29"/>
      <c r="D780" s="29" t="s">
        <v>3683</v>
      </c>
      <c r="E780" s="29"/>
      <c r="F780" s="29" t="s">
        <v>3686</v>
      </c>
      <c r="G780" s="29"/>
      <c r="H780" s="29" t="s">
        <v>3687</v>
      </c>
      <c r="I780" s="29"/>
      <c r="J780" s="29"/>
      <c r="K780" s="29"/>
      <c r="L780" s="29" t="s">
        <v>3689</v>
      </c>
      <c r="M780" s="29"/>
      <c r="N780" s="29" t="s">
        <v>3778</v>
      </c>
      <c r="O780" s="29"/>
      <c r="P780" s="29" t="s">
        <v>7773</v>
      </c>
      <c r="Q780" t="s">
        <v>2038</v>
      </c>
      <c r="R780" t="s">
        <v>2633</v>
      </c>
      <c r="S780">
        <v>37</v>
      </c>
      <c r="T780" s="43" t="str">
        <f t="shared" ref="T780:T786" si="32">HYPERLINK("https://ictv.global/ictv/proposals/2021.010B.R.Binomial_names.zip","2021.010B.R.Binomial_names.zip")</f>
        <v>2021.010B.R.Binomial_names.zip</v>
      </c>
      <c r="U780" s="43" t="str">
        <f>HYPERLINK("https://ictv.global/taxonomy/taxondetails?taxnode_id=202208247","ictv.global=202208247")</f>
        <v>ictv.global=202208247</v>
      </c>
    </row>
    <row r="781" spans="1:21">
      <c r="A781">
        <v>780</v>
      </c>
      <c r="B781" s="29" t="s">
        <v>3682</v>
      </c>
      <c r="C781" s="29"/>
      <c r="D781" s="29" t="s">
        <v>3683</v>
      </c>
      <c r="E781" s="29"/>
      <c r="F781" s="29" t="s">
        <v>3686</v>
      </c>
      <c r="G781" s="29"/>
      <c r="H781" s="29" t="s">
        <v>3687</v>
      </c>
      <c r="I781" s="29"/>
      <c r="J781" s="29"/>
      <c r="K781" s="29"/>
      <c r="L781" s="29" t="s">
        <v>3689</v>
      </c>
      <c r="M781" s="29"/>
      <c r="N781" s="29" t="s">
        <v>3779</v>
      </c>
      <c r="O781" s="29"/>
      <c r="P781" s="29" t="s">
        <v>7774</v>
      </c>
      <c r="Q781" t="s">
        <v>2038</v>
      </c>
      <c r="R781" t="s">
        <v>2633</v>
      </c>
      <c r="S781">
        <v>37</v>
      </c>
      <c r="T781" s="43" t="str">
        <f t="shared" si="32"/>
        <v>2021.010B.R.Binomial_names.zip</v>
      </c>
      <c r="U781" s="43" t="str">
        <f>HYPERLINK("https://ictv.global/taxonomy/taxondetails?taxnode_id=202208304","ictv.global=202208304")</f>
        <v>ictv.global=202208304</v>
      </c>
    </row>
    <row r="782" spans="1:21">
      <c r="A782">
        <v>781</v>
      </c>
      <c r="B782" s="29" t="s">
        <v>3682</v>
      </c>
      <c r="C782" s="29"/>
      <c r="D782" s="29" t="s">
        <v>3683</v>
      </c>
      <c r="E782" s="29"/>
      <c r="F782" s="29" t="s">
        <v>3686</v>
      </c>
      <c r="G782" s="29"/>
      <c r="H782" s="29" t="s">
        <v>3687</v>
      </c>
      <c r="I782" s="29"/>
      <c r="J782" s="29"/>
      <c r="K782" s="29"/>
      <c r="L782" s="29" t="s">
        <v>3689</v>
      </c>
      <c r="M782" s="29"/>
      <c r="N782" s="29" t="s">
        <v>3780</v>
      </c>
      <c r="O782" s="29"/>
      <c r="P782" s="29" t="s">
        <v>7775</v>
      </c>
      <c r="Q782" t="s">
        <v>2038</v>
      </c>
      <c r="R782" t="s">
        <v>2633</v>
      </c>
      <c r="S782">
        <v>37</v>
      </c>
      <c r="T782" s="43" t="str">
        <f t="shared" si="32"/>
        <v>2021.010B.R.Binomial_names.zip</v>
      </c>
      <c r="U782" s="43" t="str">
        <f>HYPERLINK("https://ictv.global/taxonomy/taxondetails?taxnode_id=202208322","ictv.global=202208322")</f>
        <v>ictv.global=202208322</v>
      </c>
    </row>
    <row r="783" spans="1:21">
      <c r="A783">
        <v>782</v>
      </c>
      <c r="B783" s="29" t="s">
        <v>3682</v>
      </c>
      <c r="C783" s="29"/>
      <c r="D783" s="29" t="s">
        <v>3683</v>
      </c>
      <c r="E783" s="29"/>
      <c r="F783" s="29" t="s">
        <v>3686</v>
      </c>
      <c r="G783" s="29"/>
      <c r="H783" s="29" t="s">
        <v>3687</v>
      </c>
      <c r="I783" s="29"/>
      <c r="J783" s="29"/>
      <c r="K783" s="29"/>
      <c r="L783" s="29" t="s">
        <v>3689</v>
      </c>
      <c r="M783" s="29"/>
      <c r="N783" s="29" t="s">
        <v>3781</v>
      </c>
      <c r="O783" s="29"/>
      <c r="P783" s="29" t="s">
        <v>7776</v>
      </c>
      <c r="Q783" t="s">
        <v>2038</v>
      </c>
      <c r="R783" t="s">
        <v>2633</v>
      </c>
      <c r="S783">
        <v>37</v>
      </c>
      <c r="T783" s="43" t="str">
        <f t="shared" si="32"/>
        <v>2021.010B.R.Binomial_names.zip</v>
      </c>
      <c r="U783" s="43" t="str">
        <f>HYPERLINK("https://ictv.global/taxonomy/taxondetails?taxnode_id=202208312","ictv.global=202208312")</f>
        <v>ictv.global=202208312</v>
      </c>
    </row>
    <row r="784" spans="1:21">
      <c r="A784">
        <v>783</v>
      </c>
      <c r="B784" s="29" t="s">
        <v>3682</v>
      </c>
      <c r="C784" s="29"/>
      <c r="D784" s="29" t="s">
        <v>3683</v>
      </c>
      <c r="E784" s="29"/>
      <c r="F784" s="29" t="s">
        <v>3686</v>
      </c>
      <c r="G784" s="29"/>
      <c r="H784" s="29" t="s">
        <v>3687</v>
      </c>
      <c r="I784" s="29"/>
      <c r="J784" s="29"/>
      <c r="K784" s="29"/>
      <c r="L784" s="29" t="s">
        <v>3689</v>
      </c>
      <c r="M784" s="29"/>
      <c r="N784" s="29" t="s">
        <v>3782</v>
      </c>
      <c r="O784" s="29"/>
      <c r="P784" s="29" t="s">
        <v>7777</v>
      </c>
      <c r="Q784" t="s">
        <v>2038</v>
      </c>
      <c r="R784" t="s">
        <v>2633</v>
      </c>
      <c r="S784">
        <v>37</v>
      </c>
      <c r="T784" s="43" t="str">
        <f t="shared" si="32"/>
        <v>2021.010B.R.Binomial_names.zip</v>
      </c>
      <c r="U784" s="43" t="str">
        <f>HYPERLINK("https://ictv.global/taxonomy/taxondetails?taxnode_id=202208265","ictv.global=202208265")</f>
        <v>ictv.global=202208265</v>
      </c>
    </row>
    <row r="785" spans="1:21">
      <c r="A785">
        <v>784</v>
      </c>
      <c r="B785" s="29" t="s">
        <v>3682</v>
      </c>
      <c r="C785" s="29"/>
      <c r="D785" s="29" t="s">
        <v>3683</v>
      </c>
      <c r="E785" s="29"/>
      <c r="F785" s="29" t="s">
        <v>3686</v>
      </c>
      <c r="G785" s="29"/>
      <c r="H785" s="29" t="s">
        <v>3687</v>
      </c>
      <c r="I785" s="29"/>
      <c r="J785" s="29"/>
      <c r="K785" s="29"/>
      <c r="L785" s="29" t="s">
        <v>3689</v>
      </c>
      <c r="M785" s="29"/>
      <c r="N785" s="29" t="s">
        <v>3783</v>
      </c>
      <c r="O785" s="29"/>
      <c r="P785" s="29" t="s">
        <v>7778</v>
      </c>
      <c r="Q785" t="s">
        <v>2038</v>
      </c>
      <c r="R785" t="s">
        <v>2633</v>
      </c>
      <c r="S785">
        <v>37</v>
      </c>
      <c r="T785" s="43" t="str">
        <f t="shared" si="32"/>
        <v>2021.010B.R.Binomial_names.zip</v>
      </c>
      <c r="U785" s="43" t="str">
        <f>HYPERLINK("https://ictv.global/taxonomy/taxondetails?taxnode_id=202208501","ictv.global=202208501")</f>
        <v>ictv.global=202208501</v>
      </c>
    </row>
    <row r="786" spans="1:21">
      <c r="A786">
        <v>785</v>
      </c>
      <c r="B786" s="29" t="s">
        <v>3682</v>
      </c>
      <c r="C786" s="29"/>
      <c r="D786" s="29" t="s">
        <v>3683</v>
      </c>
      <c r="E786" s="29"/>
      <c r="F786" s="29" t="s">
        <v>3686</v>
      </c>
      <c r="G786" s="29"/>
      <c r="H786" s="29" t="s">
        <v>3687</v>
      </c>
      <c r="I786" s="29"/>
      <c r="J786" s="29"/>
      <c r="K786" s="29"/>
      <c r="L786" s="29" t="s">
        <v>3689</v>
      </c>
      <c r="M786" s="29"/>
      <c r="N786" s="29" t="s">
        <v>3784</v>
      </c>
      <c r="O786" s="29"/>
      <c r="P786" s="29" t="s">
        <v>7779</v>
      </c>
      <c r="Q786" t="s">
        <v>2038</v>
      </c>
      <c r="R786" t="s">
        <v>2633</v>
      </c>
      <c r="S786">
        <v>37</v>
      </c>
      <c r="T786" s="43" t="str">
        <f t="shared" si="32"/>
        <v>2021.010B.R.Binomial_names.zip</v>
      </c>
      <c r="U786" s="43" t="str">
        <f>HYPERLINK("https://ictv.global/taxonomy/taxondetails?taxnode_id=202208276","ictv.global=202208276")</f>
        <v>ictv.global=202208276</v>
      </c>
    </row>
    <row r="787" spans="1:21">
      <c r="A787">
        <v>786</v>
      </c>
      <c r="B787" s="29" t="s">
        <v>3682</v>
      </c>
      <c r="C787" s="29"/>
      <c r="D787" s="29" t="s">
        <v>3683</v>
      </c>
      <c r="E787" s="29"/>
      <c r="F787" s="29" t="s">
        <v>3686</v>
      </c>
      <c r="G787" s="29"/>
      <c r="H787" s="29" t="s">
        <v>3687</v>
      </c>
      <c r="I787" s="29"/>
      <c r="J787" s="29"/>
      <c r="K787" s="29"/>
      <c r="L787" s="29" t="s">
        <v>3689</v>
      </c>
      <c r="M787" s="29"/>
      <c r="N787" s="29" t="s">
        <v>3785</v>
      </c>
      <c r="O787" s="29"/>
      <c r="P787" s="29" t="s">
        <v>3786</v>
      </c>
      <c r="Q787" t="s">
        <v>2038</v>
      </c>
      <c r="R787" t="s">
        <v>2634</v>
      </c>
      <c r="S787">
        <v>37</v>
      </c>
      <c r="T787" s="43" t="str">
        <f>HYPERLINK("https://ictv.global/ictv/proposals/2021.001B.R.abolish_Caudovirales.zip","2021.001B.R.abolish_Caudovirales.zip")</f>
        <v>2021.001B.R.abolish_Caudovirales.zip</v>
      </c>
      <c r="U787" s="43" t="str">
        <f>HYPERLINK("https://ictv.global/taxonomy/taxondetails?taxnode_id=202208292","ictv.global=202208292")</f>
        <v>ictv.global=202208292</v>
      </c>
    </row>
    <row r="788" spans="1:21">
      <c r="A788">
        <v>787</v>
      </c>
      <c r="B788" s="29" t="s">
        <v>3682</v>
      </c>
      <c r="C788" s="29"/>
      <c r="D788" s="29" t="s">
        <v>3683</v>
      </c>
      <c r="E788" s="29"/>
      <c r="F788" s="29" t="s">
        <v>3686</v>
      </c>
      <c r="G788" s="29"/>
      <c r="H788" s="29" t="s">
        <v>3687</v>
      </c>
      <c r="I788" s="29"/>
      <c r="J788" s="29"/>
      <c r="K788" s="29"/>
      <c r="L788" s="29" t="s">
        <v>3689</v>
      </c>
      <c r="M788" s="29"/>
      <c r="N788" s="29" t="s">
        <v>3787</v>
      </c>
      <c r="O788" s="29"/>
      <c r="P788" s="29" t="s">
        <v>7780</v>
      </c>
      <c r="Q788" t="s">
        <v>2038</v>
      </c>
      <c r="R788" t="s">
        <v>2633</v>
      </c>
      <c r="S788">
        <v>37</v>
      </c>
      <c r="T788" s="43" t="str">
        <f t="shared" ref="T788:T797" si="33">HYPERLINK("https://ictv.global/ictv/proposals/2021.010B.R.Binomial_names.zip","2021.010B.R.Binomial_names.zip")</f>
        <v>2021.010B.R.Binomial_names.zip</v>
      </c>
      <c r="U788" s="43" t="str">
        <f>HYPERLINK("https://ictv.global/taxonomy/taxondetails?taxnode_id=202208238","ictv.global=202208238")</f>
        <v>ictv.global=202208238</v>
      </c>
    </row>
    <row r="789" spans="1:21">
      <c r="A789">
        <v>788</v>
      </c>
      <c r="B789" s="29" t="s">
        <v>3682</v>
      </c>
      <c r="C789" s="29"/>
      <c r="D789" s="29" t="s">
        <v>3683</v>
      </c>
      <c r="E789" s="29"/>
      <c r="F789" s="29" t="s">
        <v>3686</v>
      </c>
      <c r="G789" s="29"/>
      <c r="H789" s="29" t="s">
        <v>3687</v>
      </c>
      <c r="I789" s="29"/>
      <c r="J789" s="29"/>
      <c r="K789" s="29"/>
      <c r="L789" s="29" t="s">
        <v>3689</v>
      </c>
      <c r="M789" s="29"/>
      <c r="N789" s="29" t="s">
        <v>3788</v>
      </c>
      <c r="O789" s="29"/>
      <c r="P789" s="29" t="s">
        <v>7781</v>
      </c>
      <c r="Q789" t="s">
        <v>2038</v>
      </c>
      <c r="R789" t="s">
        <v>2633</v>
      </c>
      <c r="S789">
        <v>37</v>
      </c>
      <c r="T789" s="43" t="str">
        <f t="shared" si="33"/>
        <v>2021.010B.R.Binomial_names.zip</v>
      </c>
      <c r="U789" s="43" t="str">
        <f>HYPERLINK("https://ictv.global/taxonomy/taxondetails?taxnode_id=202200568","ictv.global=202200568")</f>
        <v>ictv.global=202200568</v>
      </c>
    </row>
    <row r="790" spans="1:21">
      <c r="A790">
        <v>789</v>
      </c>
      <c r="B790" s="29" t="s">
        <v>3682</v>
      </c>
      <c r="C790" s="29"/>
      <c r="D790" s="29" t="s">
        <v>3683</v>
      </c>
      <c r="E790" s="29"/>
      <c r="F790" s="29" t="s">
        <v>3686</v>
      </c>
      <c r="G790" s="29"/>
      <c r="H790" s="29" t="s">
        <v>3687</v>
      </c>
      <c r="I790" s="29"/>
      <c r="J790" s="29"/>
      <c r="K790" s="29"/>
      <c r="L790" s="29" t="s">
        <v>3689</v>
      </c>
      <c r="M790" s="29"/>
      <c r="N790" s="29" t="s">
        <v>3789</v>
      </c>
      <c r="O790" s="29"/>
      <c r="P790" s="29" t="s">
        <v>7782</v>
      </c>
      <c r="Q790" t="s">
        <v>2038</v>
      </c>
      <c r="R790" t="s">
        <v>2633</v>
      </c>
      <c r="S790">
        <v>37</v>
      </c>
      <c r="T790" s="43" t="str">
        <f t="shared" si="33"/>
        <v>2021.010B.R.Binomial_names.zip</v>
      </c>
      <c r="U790" s="43" t="str">
        <f>HYPERLINK("https://ictv.global/taxonomy/taxondetails?taxnode_id=202208318","ictv.global=202208318")</f>
        <v>ictv.global=202208318</v>
      </c>
    </row>
    <row r="791" spans="1:21">
      <c r="A791">
        <v>790</v>
      </c>
      <c r="B791" s="29" t="s">
        <v>3682</v>
      </c>
      <c r="C791" s="29"/>
      <c r="D791" s="29" t="s">
        <v>3683</v>
      </c>
      <c r="E791" s="29"/>
      <c r="F791" s="29" t="s">
        <v>3686</v>
      </c>
      <c r="G791" s="29"/>
      <c r="H791" s="29" t="s">
        <v>3687</v>
      </c>
      <c r="I791" s="29"/>
      <c r="J791" s="29"/>
      <c r="K791" s="29"/>
      <c r="L791" s="29" t="s">
        <v>3689</v>
      </c>
      <c r="M791" s="29"/>
      <c r="N791" s="29" t="s">
        <v>3790</v>
      </c>
      <c r="O791" s="29"/>
      <c r="P791" s="29" t="s">
        <v>7783</v>
      </c>
      <c r="Q791" t="s">
        <v>2038</v>
      </c>
      <c r="R791" t="s">
        <v>2633</v>
      </c>
      <c r="S791">
        <v>37</v>
      </c>
      <c r="T791" s="43" t="str">
        <f t="shared" si="33"/>
        <v>2021.010B.R.Binomial_names.zip</v>
      </c>
      <c r="U791" s="43" t="str">
        <f>HYPERLINK("https://ictv.global/taxonomy/taxondetails?taxnode_id=202208320","ictv.global=202208320")</f>
        <v>ictv.global=202208320</v>
      </c>
    </row>
    <row r="792" spans="1:21">
      <c r="A792">
        <v>791</v>
      </c>
      <c r="B792" s="29" t="s">
        <v>3682</v>
      </c>
      <c r="C792" s="29"/>
      <c r="D792" s="29" t="s">
        <v>3683</v>
      </c>
      <c r="E792" s="29"/>
      <c r="F792" s="29" t="s">
        <v>3686</v>
      </c>
      <c r="G792" s="29"/>
      <c r="H792" s="29" t="s">
        <v>3687</v>
      </c>
      <c r="I792" s="29"/>
      <c r="J792" s="29"/>
      <c r="K792" s="29"/>
      <c r="L792" s="29" t="s">
        <v>3689</v>
      </c>
      <c r="M792" s="29"/>
      <c r="N792" s="29" t="s">
        <v>3791</v>
      </c>
      <c r="O792" s="29"/>
      <c r="P792" s="29" t="s">
        <v>7784</v>
      </c>
      <c r="Q792" t="s">
        <v>2038</v>
      </c>
      <c r="R792" t="s">
        <v>2633</v>
      </c>
      <c r="S792">
        <v>37</v>
      </c>
      <c r="T792" s="43" t="str">
        <f t="shared" si="33"/>
        <v>2021.010B.R.Binomial_names.zip</v>
      </c>
      <c r="U792" s="43" t="str">
        <f>HYPERLINK("https://ictv.global/taxonomy/taxondetails?taxnode_id=202208267","ictv.global=202208267")</f>
        <v>ictv.global=202208267</v>
      </c>
    </row>
    <row r="793" spans="1:21">
      <c r="A793">
        <v>792</v>
      </c>
      <c r="B793" s="29" t="s">
        <v>3682</v>
      </c>
      <c r="C793" s="29"/>
      <c r="D793" s="29" t="s">
        <v>3683</v>
      </c>
      <c r="E793" s="29"/>
      <c r="F793" s="29" t="s">
        <v>3686</v>
      </c>
      <c r="G793" s="29"/>
      <c r="H793" s="29" t="s">
        <v>3687</v>
      </c>
      <c r="I793" s="29"/>
      <c r="J793" s="29"/>
      <c r="K793" s="29"/>
      <c r="L793" s="29" t="s">
        <v>3689</v>
      </c>
      <c r="M793" s="29"/>
      <c r="N793" s="29" t="s">
        <v>3792</v>
      </c>
      <c r="O793" s="29"/>
      <c r="P793" s="29" t="s">
        <v>7785</v>
      </c>
      <c r="Q793" t="s">
        <v>2038</v>
      </c>
      <c r="R793" t="s">
        <v>2633</v>
      </c>
      <c r="S793">
        <v>37</v>
      </c>
      <c r="T793" s="43" t="str">
        <f t="shared" si="33"/>
        <v>2021.010B.R.Binomial_names.zip</v>
      </c>
      <c r="U793" s="43" t="str">
        <f>HYPERLINK("https://ictv.global/taxonomy/taxondetails?taxnode_id=202208198","ictv.global=202208198")</f>
        <v>ictv.global=202208198</v>
      </c>
    </row>
    <row r="794" spans="1:21">
      <c r="A794">
        <v>793</v>
      </c>
      <c r="B794" s="29" t="s">
        <v>3682</v>
      </c>
      <c r="C794" s="29"/>
      <c r="D794" s="29" t="s">
        <v>3683</v>
      </c>
      <c r="E794" s="29"/>
      <c r="F794" s="29" t="s">
        <v>3686</v>
      </c>
      <c r="G794" s="29"/>
      <c r="H794" s="29" t="s">
        <v>3687</v>
      </c>
      <c r="I794" s="29"/>
      <c r="J794" s="29"/>
      <c r="K794" s="29"/>
      <c r="L794" s="29" t="s">
        <v>3689</v>
      </c>
      <c r="M794" s="29"/>
      <c r="N794" s="29" t="s">
        <v>3792</v>
      </c>
      <c r="O794" s="29"/>
      <c r="P794" s="29" t="s">
        <v>7786</v>
      </c>
      <c r="Q794" t="s">
        <v>2038</v>
      </c>
      <c r="R794" t="s">
        <v>2633</v>
      </c>
      <c r="S794">
        <v>37</v>
      </c>
      <c r="T794" s="43" t="str">
        <f t="shared" si="33"/>
        <v>2021.010B.R.Binomial_names.zip</v>
      </c>
      <c r="U794" s="43" t="str">
        <f>HYPERLINK("https://ictv.global/taxonomy/taxondetails?taxnode_id=202208199","ictv.global=202208199")</f>
        <v>ictv.global=202208199</v>
      </c>
    </row>
    <row r="795" spans="1:21">
      <c r="A795">
        <v>794</v>
      </c>
      <c r="B795" s="29" t="s">
        <v>3682</v>
      </c>
      <c r="C795" s="29"/>
      <c r="D795" s="29" t="s">
        <v>3683</v>
      </c>
      <c r="E795" s="29"/>
      <c r="F795" s="29" t="s">
        <v>3686</v>
      </c>
      <c r="G795" s="29"/>
      <c r="H795" s="29" t="s">
        <v>3687</v>
      </c>
      <c r="I795" s="29"/>
      <c r="J795" s="29"/>
      <c r="K795" s="29"/>
      <c r="L795" s="29" t="s">
        <v>3689</v>
      </c>
      <c r="M795" s="29"/>
      <c r="N795" s="29" t="s">
        <v>3792</v>
      </c>
      <c r="O795" s="29"/>
      <c r="P795" s="29" t="s">
        <v>7787</v>
      </c>
      <c r="Q795" t="s">
        <v>2038</v>
      </c>
      <c r="R795" t="s">
        <v>2633</v>
      </c>
      <c r="S795">
        <v>37</v>
      </c>
      <c r="T795" s="43" t="str">
        <f t="shared" si="33"/>
        <v>2021.010B.R.Binomial_names.zip</v>
      </c>
      <c r="U795" s="43" t="str">
        <f>HYPERLINK("https://ictv.global/taxonomy/taxondetails?taxnode_id=202208200","ictv.global=202208200")</f>
        <v>ictv.global=202208200</v>
      </c>
    </row>
    <row r="796" spans="1:21">
      <c r="A796">
        <v>795</v>
      </c>
      <c r="B796" s="29" t="s">
        <v>3682</v>
      </c>
      <c r="C796" s="29"/>
      <c r="D796" s="29" t="s">
        <v>3683</v>
      </c>
      <c r="E796" s="29"/>
      <c r="F796" s="29" t="s">
        <v>3686</v>
      </c>
      <c r="G796" s="29"/>
      <c r="H796" s="29" t="s">
        <v>3687</v>
      </c>
      <c r="I796" s="29"/>
      <c r="J796" s="29"/>
      <c r="K796" s="29"/>
      <c r="L796" s="29" t="s">
        <v>3689</v>
      </c>
      <c r="M796" s="29"/>
      <c r="N796" s="29" t="s">
        <v>3792</v>
      </c>
      <c r="O796" s="29"/>
      <c r="P796" s="29" t="s">
        <v>7788</v>
      </c>
      <c r="Q796" t="s">
        <v>2038</v>
      </c>
      <c r="R796" t="s">
        <v>2633</v>
      </c>
      <c r="S796">
        <v>37</v>
      </c>
      <c r="T796" s="43" t="str">
        <f t="shared" si="33"/>
        <v>2021.010B.R.Binomial_names.zip</v>
      </c>
      <c r="U796" s="43" t="str">
        <f>HYPERLINK("https://ictv.global/taxonomy/taxondetails?taxnode_id=202208197","ictv.global=202208197")</f>
        <v>ictv.global=202208197</v>
      </c>
    </row>
    <row r="797" spans="1:21">
      <c r="A797">
        <v>796</v>
      </c>
      <c r="B797" s="29" t="s">
        <v>3682</v>
      </c>
      <c r="C797" s="29"/>
      <c r="D797" s="29" t="s">
        <v>3683</v>
      </c>
      <c r="E797" s="29"/>
      <c r="F797" s="29" t="s">
        <v>3686</v>
      </c>
      <c r="G797" s="29"/>
      <c r="H797" s="29" t="s">
        <v>3687</v>
      </c>
      <c r="I797" s="29"/>
      <c r="J797" s="29"/>
      <c r="K797" s="29"/>
      <c r="L797" s="29" t="s">
        <v>3689</v>
      </c>
      <c r="M797" s="29"/>
      <c r="N797" s="29" t="s">
        <v>3447</v>
      </c>
      <c r="O797" s="29"/>
      <c r="P797" s="29" t="s">
        <v>7789</v>
      </c>
      <c r="Q797" t="s">
        <v>2038</v>
      </c>
      <c r="R797" t="s">
        <v>2633</v>
      </c>
      <c r="S797">
        <v>37</v>
      </c>
      <c r="T797" s="43" t="str">
        <f t="shared" si="33"/>
        <v>2021.010B.R.Binomial_names.zip</v>
      </c>
      <c r="U797" s="43" t="str">
        <f>HYPERLINK("https://ictv.global/taxonomy/taxondetails?taxnode_id=202206881","ictv.global=202206881")</f>
        <v>ictv.global=202206881</v>
      </c>
    </row>
    <row r="798" spans="1:21">
      <c r="A798">
        <v>797</v>
      </c>
      <c r="B798" s="29" t="s">
        <v>3682</v>
      </c>
      <c r="C798" s="29"/>
      <c r="D798" s="29" t="s">
        <v>3683</v>
      </c>
      <c r="E798" s="29"/>
      <c r="F798" s="29" t="s">
        <v>3686</v>
      </c>
      <c r="G798" s="29"/>
      <c r="H798" s="29" t="s">
        <v>3687</v>
      </c>
      <c r="I798" s="29"/>
      <c r="J798" s="29"/>
      <c r="K798" s="29"/>
      <c r="L798" s="29" t="s">
        <v>3689</v>
      </c>
      <c r="M798" s="29"/>
      <c r="N798" s="29" t="s">
        <v>3793</v>
      </c>
      <c r="O798" s="29"/>
      <c r="P798" s="29" t="s">
        <v>3794</v>
      </c>
      <c r="Q798" t="s">
        <v>2038</v>
      </c>
      <c r="R798" t="s">
        <v>2634</v>
      </c>
      <c r="S798">
        <v>37</v>
      </c>
      <c r="T798" s="43" t="str">
        <f>HYPERLINK("https://ictv.global/ictv/proposals/2021.001B.R.abolish_Caudovirales.zip","2021.001B.R.abolish_Caudovirales.zip")</f>
        <v>2021.001B.R.abolish_Caudovirales.zip</v>
      </c>
      <c r="U798" s="43" t="str">
        <f>HYPERLINK("https://ictv.global/taxonomy/taxondetails?taxnode_id=202208288","ictv.global=202208288")</f>
        <v>ictv.global=202208288</v>
      </c>
    </row>
    <row r="799" spans="1:21">
      <c r="A799">
        <v>798</v>
      </c>
      <c r="B799" s="29" t="s">
        <v>3682</v>
      </c>
      <c r="C799" s="29"/>
      <c r="D799" s="29" t="s">
        <v>3683</v>
      </c>
      <c r="E799" s="29"/>
      <c r="F799" s="29" t="s">
        <v>3686</v>
      </c>
      <c r="G799" s="29"/>
      <c r="H799" s="29" t="s">
        <v>3687</v>
      </c>
      <c r="I799" s="29"/>
      <c r="J799" s="29"/>
      <c r="K799" s="29"/>
      <c r="L799" s="29" t="s">
        <v>3689</v>
      </c>
      <c r="M799" s="29"/>
      <c r="N799" s="29" t="s">
        <v>3795</v>
      </c>
      <c r="O799" s="29"/>
      <c r="P799" s="29" t="s">
        <v>3796</v>
      </c>
      <c r="Q799" t="s">
        <v>2038</v>
      </c>
      <c r="R799" t="s">
        <v>2634</v>
      </c>
      <c r="S799">
        <v>37</v>
      </c>
      <c r="T799" s="43" t="str">
        <f>HYPERLINK("https://ictv.global/ictv/proposals/2021.001B.R.abolish_Caudovirales.zip","2021.001B.R.abolish_Caudovirales.zip")</f>
        <v>2021.001B.R.abolish_Caudovirales.zip</v>
      </c>
      <c r="U799" s="43" t="str">
        <f>HYPERLINK("https://ictv.global/taxonomy/taxondetails?taxnode_id=202208286","ictv.global=202208286")</f>
        <v>ictv.global=202208286</v>
      </c>
    </row>
    <row r="800" spans="1:21">
      <c r="A800">
        <v>799</v>
      </c>
      <c r="B800" s="29" t="s">
        <v>3682</v>
      </c>
      <c r="C800" s="29"/>
      <c r="D800" s="29" t="s">
        <v>3683</v>
      </c>
      <c r="E800" s="29"/>
      <c r="F800" s="29" t="s">
        <v>3686</v>
      </c>
      <c r="G800" s="29"/>
      <c r="H800" s="29" t="s">
        <v>3687</v>
      </c>
      <c r="I800" s="29"/>
      <c r="J800" s="29"/>
      <c r="K800" s="29"/>
      <c r="L800" s="29" t="s">
        <v>3689</v>
      </c>
      <c r="M800" s="29"/>
      <c r="N800" s="29" t="s">
        <v>3797</v>
      </c>
      <c r="O800" s="29"/>
      <c r="P800" s="29" t="s">
        <v>7790</v>
      </c>
      <c r="Q800" t="s">
        <v>2038</v>
      </c>
      <c r="R800" t="s">
        <v>2633</v>
      </c>
      <c r="S800">
        <v>37</v>
      </c>
      <c r="T800" s="43" t="str">
        <f>HYPERLINK("https://ictv.global/ictv/proposals/2021.010B.R.Binomial_names.zip","2021.010B.R.Binomial_names.zip")</f>
        <v>2021.010B.R.Binomial_names.zip</v>
      </c>
      <c r="U800" s="43" t="str">
        <f>HYPERLINK("https://ictv.global/taxonomy/taxondetails?taxnode_id=202208257","ictv.global=202208257")</f>
        <v>ictv.global=202208257</v>
      </c>
    </row>
    <row r="801" spans="1:21">
      <c r="A801">
        <v>800</v>
      </c>
      <c r="B801" s="29" t="s">
        <v>3682</v>
      </c>
      <c r="C801" s="29"/>
      <c r="D801" s="29" t="s">
        <v>3683</v>
      </c>
      <c r="E801" s="29"/>
      <c r="F801" s="29" t="s">
        <v>3686</v>
      </c>
      <c r="G801" s="29"/>
      <c r="H801" s="29" t="s">
        <v>3687</v>
      </c>
      <c r="I801" s="29"/>
      <c r="J801" s="29"/>
      <c r="K801" s="29"/>
      <c r="L801" s="29" t="s">
        <v>3689</v>
      </c>
      <c r="M801" s="29"/>
      <c r="N801" s="29" t="s">
        <v>3798</v>
      </c>
      <c r="O801" s="29"/>
      <c r="P801" s="29" t="s">
        <v>3799</v>
      </c>
      <c r="Q801" t="s">
        <v>2038</v>
      </c>
      <c r="R801" t="s">
        <v>2634</v>
      </c>
      <c r="S801">
        <v>37</v>
      </c>
      <c r="T801" s="43" t="str">
        <f>HYPERLINK("https://ictv.global/ictv/proposals/2021.001B.R.abolish_Caudovirales.zip","2021.001B.R.abolish_Caudovirales.zip")</f>
        <v>2021.001B.R.abolish_Caudovirales.zip</v>
      </c>
      <c r="U801" s="43" t="str">
        <f>HYPERLINK("https://ictv.global/taxonomy/taxondetails?taxnode_id=202208302","ictv.global=202208302")</f>
        <v>ictv.global=202208302</v>
      </c>
    </row>
    <row r="802" spans="1:21">
      <c r="A802">
        <v>801</v>
      </c>
      <c r="B802" s="29" t="s">
        <v>3682</v>
      </c>
      <c r="C802" s="29"/>
      <c r="D802" s="29" t="s">
        <v>3683</v>
      </c>
      <c r="E802" s="29"/>
      <c r="F802" s="29" t="s">
        <v>3686</v>
      </c>
      <c r="G802" s="29"/>
      <c r="H802" s="29" t="s">
        <v>3687</v>
      </c>
      <c r="I802" s="29"/>
      <c r="J802" s="29"/>
      <c r="K802" s="29"/>
      <c r="L802" s="29" t="s">
        <v>3689</v>
      </c>
      <c r="M802" s="29"/>
      <c r="N802" s="29" t="s">
        <v>3800</v>
      </c>
      <c r="O802" s="29"/>
      <c r="P802" s="29" t="s">
        <v>7791</v>
      </c>
      <c r="Q802" t="s">
        <v>2038</v>
      </c>
      <c r="R802" t="s">
        <v>2633</v>
      </c>
      <c r="S802">
        <v>37</v>
      </c>
      <c r="T802" s="43" t="str">
        <f>HYPERLINK("https://ictv.global/ictv/proposals/2021.010B.R.Binomial_names.zip","2021.010B.R.Binomial_names.zip")</f>
        <v>2021.010B.R.Binomial_names.zip</v>
      </c>
      <c r="U802" s="43" t="str">
        <f>HYPERLINK("https://ictv.global/taxonomy/taxondetails?taxnode_id=202208259","ictv.global=202208259")</f>
        <v>ictv.global=202208259</v>
      </c>
    </row>
    <row r="803" spans="1:21">
      <c r="A803">
        <v>802</v>
      </c>
      <c r="B803" s="29" t="s">
        <v>3682</v>
      </c>
      <c r="C803" s="29"/>
      <c r="D803" s="29" t="s">
        <v>3683</v>
      </c>
      <c r="E803" s="29"/>
      <c r="F803" s="29" t="s">
        <v>3686</v>
      </c>
      <c r="G803" s="29"/>
      <c r="H803" s="29" t="s">
        <v>3687</v>
      </c>
      <c r="I803" s="29"/>
      <c r="J803" s="29"/>
      <c r="K803" s="29"/>
      <c r="L803" s="29" t="s">
        <v>3689</v>
      </c>
      <c r="M803" s="29"/>
      <c r="N803" s="29" t="s">
        <v>3801</v>
      </c>
      <c r="O803" s="29"/>
      <c r="P803" s="29" t="s">
        <v>3802</v>
      </c>
      <c r="Q803" t="s">
        <v>2038</v>
      </c>
      <c r="R803" t="s">
        <v>2634</v>
      </c>
      <c r="S803">
        <v>37</v>
      </c>
      <c r="T803" s="43" t="str">
        <f>HYPERLINK("https://ictv.global/ictv/proposals/2021.001B.R.abolish_Caudovirales.zip","2021.001B.R.abolish_Caudovirales.zip")</f>
        <v>2021.001B.R.abolish_Caudovirales.zip</v>
      </c>
      <c r="U803" s="43" t="str">
        <f>HYPERLINK("https://ictv.global/taxonomy/taxondetails?taxnode_id=202208324","ictv.global=202208324")</f>
        <v>ictv.global=202208324</v>
      </c>
    </row>
    <row r="804" spans="1:21">
      <c r="A804">
        <v>803</v>
      </c>
      <c r="B804" s="29" t="s">
        <v>3682</v>
      </c>
      <c r="C804" s="29"/>
      <c r="D804" s="29" t="s">
        <v>3683</v>
      </c>
      <c r="E804" s="29"/>
      <c r="F804" s="29" t="s">
        <v>3686</v>
      </c>
      <c r="G804" s="29"/>
      <c r="H804" s="29" t="s">
        <v>3687</v>
      </c>
      <c r="I804" s="29"/>
      <c r="J804" s="29"/>
      <c r="K804" s="29"/>
      <c r="L804" s="29" t="s">
        <v>3689</v>
      </c>
      <c r="M804" s="29"/>
      <c r="N804" s="29" t="s">
        <v>3803</v>
      </c>
      <c r="O804" s="29"/>
      <c r="P804" s="29" t="s">
        <v>3804</v>
      </c>
      <c r="Q804" t="s">
        <v>2038</v>
      </c>
      <c r="R804" t="s">
        <v>2634</v>
      </c>
      <c r="S804">
        <v>37</v>
      </c>
      <c r="T804" s="43" t="str">
        <f>HYPERLINK("https://ictv.global/ictv/proposals/2021.001B.R.abolish_Caudovirales.zip","2021.001B.R.abolish_Caudovirales.zip")</f>
        <v>2021.001B.R.abolish_Caudovirales.zip</v>
      </c>
      <c r="U804" s="43" t="str">
        <f>HYPERLINK("https://ictv.global/taxonomy/taxondetails?taxnode_id=202208298","ictv.global=202208298")</f>
        <v>ictv.global=202208298</v>
      </c>
    </row>
    <row r="805" spans="1:21">
      <c r="A805">
        <v>804</v>
      </c>
      <c r="B805" s="29" t="s">
        <v>3682</v>
      </c>
      <c r="C805" s="29"/>
      <c r="D805" s="29" t="s">
        <v>3683</v>
      </c>
      <c r="E805" s="29"/>
      <c r="F805" s="29" t="s">
        <v>3686</v>
      </c>
      <c r="G805" s="29"/>
      <c r="H805" s="29" t="s">
        <v>3687</v>
      </c>
      <c r="I805" s="29"/>
      <c r="J805" s="29"/>
      <c r="K805" s="29"/>
      <c r="L805" s="29" t="s">
        <v>3689</v>
      </c>
      <c r="M805" s="29"/>
      <c r="N805" s="29" t="s">
        <v>3805</v>
      </c>
      <c r="O805" s="29"/>
      <c r="P805" s="29" t="s">
        <v>7792</v>
      </c>
      <c r="Q805" t="s">
        <v>2038</v>
      </c>
      <c r="R805" t="s">
        <v>2633</v>
      </c>
      <c r="S805">
        <v>37</v>
      </c>
      <c r="T805" s="43" t="str">
        <f>HYPERLINK("https://ictv.global/ictv/proposals/2021.010B.R.Binomial_names.zip","2021.010B.R.Binomial_names.zip")</f>
        <v>2021.010B.R.Binomial_names.zip</v>
      </c>
      <c r="U805" s="43" t="str">
        <f>HYPERLINK("https://ictv.global/taxonomy/taxondetails?taxnode_id=202208232","ictv.global=202208232")</f>
        <v>ictv.global=202208232</v>
      </c>
    </row>
    <row r="806" spans="1:21">
      <c r="A806">
        <v>805</v>
      </c>
      <c r="B806" s="29" t="s">
        <v>3682</v>
      </c>
      <c r="C806" s="29"/>
      <c r="D806" s="29" t="s">
        <v>3683</v>
      </c>
      <c r="E806" s="29"/>
      <c r="F806" s="29" t="s">
        <v>3686</v>
      </c>
      <c r="G806" s="29"/>
      <c r="H806" s="29" t="s">
        <v>3687</v>
      </c>
      <c r="I806" s="29"/>
      <c r="J806" s="29"/>
      <c r="K806" s="29"/>
      <c r="L806" s="29" t="s">
        <v>3689</v>
      </c>
      <c r="M806" s="29"/>
      <c r="N806" s="29" t="s">
        <v>3805</v>
      </c>
      <c r="O806" s="29"/>
      <c r="P806" s="29" t="s">
        <v>3806</v>
      </c>
      <c r="Q806" t="s">
        <v>2038</v>
      </c>
      <c r="R806" t="s">
        <v>2634</v>
      </c>
      <c r="S806">
        <v>37</v>
      </c>
      <c r="T806" s="43" t="str">
        <f>HYPERLINK("https://ictv.global/ictv/proposals/2021.001B.R.abolish_Caudovirales.zip","2021.001B.R.abolish_Caudovirales.zip")</f>
        <v>2021.001B.R.abolish_Caudovirales.zip</v>
      </c>
      <c r="U806" s="43" t="str">
        <f>HYPERLINK("https://ictv.global/taxonomy/taxondetails?taxnode_id=202208233","ictv.global=202208233")</f>
        <v>ictv.global=202208233</v>
      </c>
    </row>
    <row r="807" spans="1:21">
      <c r="A807">
        <v>806</v>
      </c>
      <c r="B807" s="29" t="s">
        <v>3682</v>
      </c>
      <c r="C807" s="29"/>
      <c r="D807" s="29" t="s">
        <v>3683</v>
      </c>
      <c r="E807" s="29"/>
      <c r="F807" s="29" t="s">
        <v>3686</v>
      </c>
      <c r="G807" s="29"/>
      <c r="H807" s="29" t="s">
        <v>3687</v>
      </c>
      <c r="I807" s="29"/>
      <c r="J807" s="29"/>
      <c r="K807" s="29"/>
      <c r="L807" s="29" t="s">
        <v>3689</v>
      </c>
      <c r="M807" s="29"/>
      <c r="N807" s="29" t="s">
        <v>3807</v>
      </c>
      <c r="O807" s="29"/>
      <c r="P807" s="29" t="s">
        <v>7793</v>
      </c>
      <c r="Q807" t="s">
        <v>2038</v>
      </c>
      <c r="R807" t="s">
        <v>2633</v>
      </c>
      <c r="S807">
        <v>37</v>
      </c>
      <c r="T807" s="43" t="str">
        <f>HYPERLINK("https://ictv.global/ictv/proposals/2021.010B.R.Binomial_names.zip","2021.010B.R.Binomial_names.zip")</f>
        <v>2021.010B.R.Binomial_names.zip</v>
      </c>
      <c r="U807" s="43" t="str">
        <f>HYPERLINK("https://ictv.global/taxonomy/taxondetails?taxnode_id=202208263","ictv.global=202208263")</f>
        <v>ictv.global=202208263</v>
      </c>
    </row>
    <row r="808" spans="1:21">
      <c r="A808">
        <v>807</v>
      </c>
      <c r="B808" s="29" t="s">
        <v>3682</v>
      </c>
      <c r="C808" s="29"/>
      <c r="D808" s="29" t="s">
        <v>3683</v>
      </c>
      <c r="E808" s="29"/>
      <c r="F808" s="29" t="s">
        <v>3686</v>
      </c>
      <c r="G808" s="29"/>
      <c r="H808" s="29" t="s">
        <v>3687</v>
      </c>
      <c r="I808" s="29"/>
      <c r="J808" s="29"/>
      <c r="K808" s="29"/>
      <c r="L808" s="29" t="s">
        <v>3689</v>
      </c>
      <c r="M808" s="29"/>
      <c r="N808" s="29" t="s">
        <v>3808</v>
      </c>
      <c r="O808" s="29"/>
      <c r="P808" s="29" t="s">
        <v>7794</v>
      </c>
      <c r="Q808" t="s">
        <v>2038</v>
      </c>
      <c r="R808" t="s">
        <v>2633</v>
      </c>
      <c r="S808">
        <v>37</v>
      </c>
      <c r="T808" s="43" t="str">
        <f>HYPERLINK("https://ictv.global/ictv/proposals/2021.010B.R.Binomial_names.zip","2021.010B.R.Binomial_names.zip")</f>
        <v>2021.010B.R.Binomial_names.zip</v>
      </c>
      <c r="U808" s="43" t="str">
        <f>HYPERLINK("https://ictv.global/taxonomy/taxondetails?taxnode_id=202208261","ictv.global=202208261")</f>
        <v>ictv.global=202208261</v>
      </c>
    </row>
    <row r="809" spans="1:21">
      <c r="A809">
        <v>808</v>
      </c>
      <c r="B809" s="29" t="s">
        <v>3682</v>
      </c>
      <c r="C809" s="29"/>
      <c r="D809" s="29" t="s">
        <v>3683</v>
      </c>
      <c r="E809" s="29"/>
      <c r="F809" s="29" t="s">
        <v>3686</v>
      </c>
      <c r="G809" s="29"/>
      <c r="H809" s="29" t="s">
        <v>3687</v>
      </c>
      <c r="I809" s="29"/>
      <c r="J809" s="29"/>
      <c r="K809" s="29"/>
      <c r="L809" s="29" t="s">
        <v>3689</v>
      </c>
      <c r="M809" s="29"/>
      <c r="N809" s="29" t="s">
        <v>3809</v>
      </c>
      <c r="O809" s="29"/>
      <c r="P809" s="29" t="s">
        <v>3810</v>
      </c>
      <c r="Q809" t="s">
        <v>2038</v>
      </c>
      <c r="R809" t="s">
        <v>2634</v>
      </c>
      <c r="S809">
        <v>37</v>
      </c>
      <c r="T809" s="43" t="str">
        <f>HYPERLINK("https://ictv.global/ictv/proposals/2021.001B.R.abolish_Caudovirales.zip","2021.001B.R.abolish_Caudovirales.zip")</f>
        <v>2021.001B.R.abolish_Caudovirales.zip</v>
      </c>
      <c r="U809" s="43" t="str">
        <f>HYPERLINK("https://ictv.global/taxonomy/taxondetails?taxnode_id=202208300","ictv.global=202208300")</f>
        <v>ictv.global=202208300</v>
      </c>
    </row>
    <row r="810" spans="1:21">
      <c r="A810">
        <v>809</v>
      </c>
      <c r="B810" s="29" t="s">
        <v>3682</v>
      </c>
      <c r="C810" s="29"/>
      <c r="D810" s="29" t="s">
        <v>3683</v>
      </c>
      <c r="E810" s="29"/>
      <c r="F810" s="29" t="s">
        <v>3686</v>
      </c>
      <c r="G810" s="29"/>
      <c r="H810" s="29" t="s">
        <v>3687</v>
      </c>
      <c r="I810" s="29"/>
      <c r="J810" s="29"/>
      <c r="K810" s="29"/>
      <c r="L810" s="29" t="s">
        <v>3689</v>
      </c>
      <c r="M810" s="29"/>
      <c r="N810" s="29" t="s">
        <v>3449</v>
      </c>
      <c r="O810" s="29"/>
      <c r="P810" s="29" t="s">
        <v>7795</v>
      </c>
      <c r="Q810" t="s">
        <v>2038</v>
      </c>
      <c r="R810" t="s">
        <v>2633</v>
      </c>
      <c r="S810">
        <v>37</v>
      </c>
      <c r="T810" s="43" t="str">
        <f>HYPERLINK("https://ictv.global/ictv/proposals/2021.010B.R.Binomial_names.zip","2021.010B.R.Binomial_names.zip")</f>
        <v>2021.010B.R.Binomial_names.zip</v>
      </c>
      <c r="U810" s="43" t="str">
        <f>HYPERLINK("https://ictv.global/taxonomy/taxondetails?taxnode_id=202206861","ictv.global=202206861")</f>
        <v>ictv.global=202206861</v>
      </c>
    </row>
    <row r="811" spans="1:21">
      <c r="A811">
        <v>810</v>
      </c>
      <c r="B811" s="29" t="s">
        <v>3682</v>
      </c>
      <c r="C811" s="29"/>
      <c r="D811" s="29" t="s">
        <v>3683</v>
      </c>
      <c r="E811" s="29"/>
      <c r="F811" s="29" t="s">
        <v>3686</v>
      </c>
      <c r="G811" s="29"/>
      <c r="H811" s="29" t="s">
        <v>3687</v>
      </c>
      <c r="I811" s="29"/>
      <c r="J811" s="29"/>
      <c r="K811" s="29"/>
      <c r="L811" s="29" t="s">
        <v>3689</v>
      </c>
      <c r="M811" s="29"/>
      <c r="N811" s="29" t="s">
        <v>3811</v>
      </c>
      <c r="O811" s="29"/>
      <c r="P811" s="29" t="s">
        <v>7796</v>
      </c>
      <c r="Q811" t="s">
        <v>2038</v>
      </c>
      <c r="R811" t="s">
        <v>2633</v>
      </c>
      <c r="S811">
        <v>37</v>
      </c>
      <c r="T811" s="43" t="str">
        <f>HYPERLINK("https://ictv.global/ictv/proposals/2021.010B.R.Binomial_names.zip","2021.010B.R.Binomial_names.zip")</f>
        <v>2021.010B.R.Binomial_names.zip</v>
      </c>
      <c r="U811" s="43" t="str">
        <f>HYPERLINK("https://ictv.global/taxonomy/taxondetails?taxnode_id=202208202","ictv.global=202208202")</f>
        <v>ictv.global=202208202</v>
      </c>
    </row>
    <row r="812" spans="1:21">
      <c r="A812">
        <v>811</v>
      </c>
      <c r="B812" s="29" t="s">
        <v>3682</v>
      </c>
      <c r="C812" s="29"/>
      <c r="D812" s="29" t="s">
        <v>3683</v>
      </c>
      <c r="E812" s="29"/>
      <c r="F812" s="29" t="s">
        <v>3686</v>
      </c>
      <c r="G812" s="29"/>
      <c r="H812" s="29" t="s">
        <v>3687</v>
      </c>
      <c r="I812" s="29"/>
      <c r="J812" s="29"/>
      <c r="K812" s="29"/>
      <c r="L812" s="29" t="s">
        <v>3689</v>
      </c>
      <c r="M812" s="29"/>
      <c r="N812" s="29" t="s">
        <v>3812</v>
      </c>
      <c r="O812" s="29"/>
      <c r="P812" s="29" t="s">
        <v>3813</v>
      </c>
      <c r="Q812" t="s">
        <v>2038</v>
      </c>
      <c r="R812" t="s">
        <v>2634</v>
      </c>
      <c r="S812">
        <v>37</v>
      </c>
      <c r="T812" s="43" t="str">
        <f>HYPERLINK("https://ictv.global/ictv/proposals/2021.001B.R.abolish_Caudovirales.zip","2021.001B.R.abolish_Caudovirales.zip")</f>
        <v>2021.001B.R.abolish_Caudovirales.zip</v>
      </c>
      <c r="U812" s="43" t="str">
        <f>HYPERLINK("https://ictv.global/taxonomy/taxondetails?taxnode_id=202208272","ictv.global=202208272")</f>
        <v>ictv.global=202208272</v>
      </c>
    </row>
    <row r="813" spans="1:21">
      <c r="A813">
        <v>812</v>
      </c>
      <c r="B813" s="29" t="s">
        <v>3682</v>
      </c>
      <c r="C813" s="29"/>
      <c r="D813" s="29" t="s">
        <v>3683</v>
      </c>
      <c r="E813" s="29"/>
      <c r="F813" s="29" t="s">
        <v>3686</v>
      </c>
      <c r="G813" s="29"/>
      <c r="H813" s="29" t="s">
        <v>3687</v>
      </c>
      <c r="I813" s="29"/>
      <c r="J813" s="29"/>
      <c r="K813" s="29"/>
      <c r="L813" s="29" t="s">
        <v>3689</v>
      </c>
      <c r="M813" s="29"/>
      <c r="N813" s="29" t="s">
        <v>2417</v>
      </c>
      <c r="O813" s="29"/>
      <c r="P813" s="29" t="s">
        <v>7797</v>
      </c>
      <c r="Q813" t="s">
        <v>2038</v>
      </c>
      <c r="R813" t="s">
        <v>2633</v>
      </c>
      <c r="S813">
        <v>37</v>
      </c>
      <c r="T813" s="43" t="str">
        <f t="shared" ref="T813:T821" si="34">HYPERLINK("https://ictv.global/ictv/proposals/2021.010B.R.Binomial_names.zip","2021.010B.R.Binomial_names.zip")</f>
        <v>2021.010B.R.Binomial_names.zip</v>
      </c>
      <c r="U813" s="43" t="str">
        <f>HYPERLINK("https://ictv.global/taxonomy/taxondetails?taxnode_id=202200573","ictv.global=202200573")</f>
        <v>ictv.global=202200573</v>
      </c>
    </row>
    <row r="814" spans="1:21">
      <c r="A814">
        <v>813</v>
      </c>
      <c r="B814" s="29" t="s">
        <v>3682</v>
      </c>
      <c r="C814" s="29"/>
      <c r="D814" s="29" t="s">
        <v>3683</v>
      </c>
      <c r="E814" s="29"/>
      <c r="F814" s="29" t="s">
        <v>3686</v>
      </c>
      <c r="G814" s="29"/>
      <c r="H814" s="29" t="s">
        <v>3687</v>
      </c>
      <c r="I814" s="29"/>
      <c r="J814" s="29"/>
      <c r="K814" s="29"/>
      <c r="L814" s="29" t="s">
        <v>3689</v>
      </c>
      <c r="M814" s="29"/>
      <c r="N814" s="29" t="s">
        <v>2417</v>
      </c>
      <c r="O814" s="29"/>
      <c r="P814" s="29" t="s">
        <v>7798</v>
      </c>
      <c r="Q814" t="s">
        <v>2038</v>
      </c>
      <c r="R814" t="s">
        <v>2633</v>
      </c>
      <c r="S814">
        <v>37</v>
      </c>
      <c r="T814" s="43" t="str">
        <f t="shared" si="34"/>
        <v>2021.010B.R.Binomial_names.zip</v>
      </c>
      <c r="U814" s="43" t="str">
        <f>HYPERLINK("https://ictv.global/taxonomy/taxondetails?taxnode_id=202200574","ictv.global=202200574")</f>
        <v>ictv.global=202200574</v>
      </c>
    </row>
    <row r="815" spans="1:21">
      <c r="A815">
        <v>814</v>
      </c>
      <c r="B815" s="29" t="s">
        <v>3682</v>
      </c>
      <c r="C815" s="29"/>
      <c r="D815" s="29" t="s">
        <v>3683</v>
      </c>
      <c r="E815" s="29"/>
      <c r="F815" s="29" t="s">
        <v>3686</v>
      </c>
      <c r="G815" s="29"/>
      <c r="H815" s="29" t="s">
        <v>3687</v>
      </c>
      <c r="I815" s="29"/>
      <c r="J815" s="29"/>
      <c r="K815" s="29"/>
      <c r="L815" s="29" t="s">
        <v>3689</v>
      </c>
      <c r="M815" s="29"/>
      <c r="N815" s="29" t="s">
        <v>2417</v>
      </c>
      <c r="O815" s="29"/>
      <c r="P815" s="29" t="s">
        <v>7799</v>
      </c>
      <c r="Q815" t="s">
        <v>2038</v>
      </c>
      <c r="R815" t="s">
        <v>2633</v>
      </c>
      <c r="S815">
        <v>37</v>
      </c>
      <c r="T815" s="43" t="str">
        <f t="shared" si="34"/>
        <v>2021.010B.R.Binomial_names.zip</v>
      </c>
      <c r="U815" s="43" t="str">
        <f>HYPERLINK("https://ictv.global/taxonomy/taxondetails?taxnode_id=202200575","ictv.global=202200575")</f>
        <v>ictv.global=202200575</v>
      </c>
    </row>
    <row r="816" spans="1:21">
      <c r="A816">
        <v>815</v>
      </c>
      <c r="B816" s="29" t="s">
        <v>3682</v>
      </c>
      <c r="C816" s="29"/>
      <c r="D816" s="29" t="s">
        <v>3683</v>
      </c>
      <c r="E816" s="29"/>
      <c r="F816" s="29" t="s">
        <v>3686</v>
      </c>
      <c r="G816" s="29"/>
      <c r="H816" s="29" t="s">
        <v>3687</v>
      </c>
      <c r="I816" s="29"/>
      <c r="J816" s="29"/>
      <c r="K816" s="29"/>
      <c r="L816" s="29" t="s">
        <v>3689</v>
      </c>
      <c r="M816" s="29"/>
      <c r="N816" s="29" t="s">
        <v>2417</v>
      </c>
      <c r="O816" s="29"/>
      <c r="P816" s="29" t="s">
        <v>7800</v>
      </c>
      <c r="Q816" t="s">
        <v>2038</v>
      </c>
      <c r="R816" t="s">
        <v>2633</v>
      </c>
      <c r="S816">
        <v>37</v>
      </c>
      <c r="T816" s="43" t="str">
        <f t="shared" si="34"/>
        <v>2021.010B.R.Binomial_names.zip</v>
      </c>
      <c r="U816" s="43" t="str">
        <f>HYPERLINK("https://ictv.global/taxonomy/taxondetails?taxnode_id=202208242","ictv.global=202208242")</f>
        <v>ictv.global=202208242</v>
      </c>
    </row>
    <row r="817" spans="1:21">
      <c r="A817">
        <v>816</v>
      </c>
      <c r="B817" s="29" t="s">
        <v>3682</v>
      </c>
      <c r="C817" s="29"/>
      <c r="D817" s="29" t="s">
        <v>3683</v>
      </c>
      <c r="E817" s="29"/>
      <c r="F817" s="29" t="s">
        <v>3686</v>
      </c>
      <c r="G817" s="29"/>
      <c r="H817" s="29" t="s">
        <v>3687</v>
      </c>
      <c r="I817" s="29"/>
      <c r="J817" s="29"/>
      <c r="K817" s="29"/>
      <c r="L817" s="29" t="s">
        <v>3689</v>
      </c>
      <c r="M817" s="29"/>
      <c r="N817" s="29" t="s">
        <v>2417</v>
      </c>
      <c r="O817" s="29"/>
      <c r="P817" s="29" t="s">
        <v>7801</v>
      </c>
      <c r="Q817" t="s">
        <v>2038</v>
      </c>
      <c r="R817" t="s">
        <v>2633</v>
      </c>
      <c r="S817">
        <v>37</v>
      </c>
      <c r="T817" s="43" t="str">
        <f t="shared" si="34"/>
        <v>2021.010B.R.Binomial_names.zip</v>
      </c>
      <c r="U817" s="43" t="str">
        <f>HYPERLINK("https://ictv.global/taxonomy/taxondetails?taxnode_id=202208243","ictv.global=202208243")</f>
        <v>ictv.global=202208243</v>
      </c>
    </row>
    <row r="818" spans="1:21">
      <c r="A818">
        <v>817</v>
      </c>
      <c r="B818" s="29" t="s">
        <v>3682</v>
      </c>
      <c r="C818" s="29"/>
      <c r="D818" s="29" t="s">
        <v>3683</v>
      </c>
      <c r="E818" s="29"/>
      <c r="F818" s="29" t="s">
        <v>3686</v>
      </c>
      <c r="G818" s="29"/>
      <c r="H818" s="29" t="s">
        <v>3687</v>
      </c>
      <c r="I818" s="29"/>
      <c r="J818" s="29"/>
      <c r="K818" s="29"/>
      <c r="L818" s="29" t="s">
        <v>3689</v>
      </c>
      <c r="M818" s="29"/>
      <c r="N818" s="29" t="s">
        <v>3814</v>
      </c>
      <c r="O818" s="29"/>
      <c r="P818" s="29" t="s">
        <v>7802</v>
      </c>
      <c r="Q818" t="s">
        <v>2038</v>
      </c>
      <c r="R818" t="s">
        <v>2633</v>
      </c>
      <c r="S818">
        <v>37</v>
      </c>
      <c r="T818" s="43" t="str">
        <f t="shared" si="34"/>
        <v>2021.010B.R.Binomial_names.zip</v>
      </c>
      <c r="U818" s="43" t="str">
        <f>HYPERLINK("https://ictv.global/taxonomy/taxondetails?taxnode_id=202208280","ictv.global=202208280")</f>
        <v>ictv.global=202208280</v>
      </c>
    </row>
    <row r="819" spans="1:21">
      <c r="A819">
        <v>818</v>
      </c>
      <c r="B819" s="29" t="s">
        <v>3682</v>
      </c>
      <c r="C819" s="29"/>
      <c r="D819" s="29" t="s">
        <v>3683</v>
      </c>
      <c r="E819" s="29"/>
      <c r="F819" s="29" t="s">
        <v>3686</v>
      </c>
      <c r="G819" s="29"/>
      <c r="H819" s="29" t="s">
        <v>3687</v>
      </c>
      <c r="I819" s="29"/>
      <c r="J819" s="29"/>
      <c r="K819" s="29"/>
      <c r="L819" s="29" t="s">
        <v>3689</v>
      </c>
      <c r="M819" s="29"/>
      <c r="N819" s="29" t="s">
        <v>3815</v>
      </c>
      <c r="O819" s="29"/>
      <c r="P819" s="29" t="s">
        <v>7803</v>
      </c>
      <c r="Q819" t="s">
        <v>2038</v>
      </c>
      <c r="R819" t="s">
        <v>2633</v>
      </c>
      <c r="S819">
        <v>37</v>
      </c>
      <c r="T819" s="43" t="str">
        <f t="shared" si="34"/>
        <v>2021.010B.R.Binomial_names.zip</v>
      </c>
      <c r="U819" s="43" t="str">
        <f>HYPERLINK("https://ictv.global/taxonomy/taxondetails?taxnode_id=202208269","ictv.global=202208269")</f>
        <v>ictv.global=202208269</v>
      </c>
    </row>
    <row r="820" spans="1:21">
      <c r="A820">
        <v>819</v>
      </c>
      <c r="B820" s="29" t="s">
        <v>3682</v>
      </c>
      <c r="C820" s="29"/>
      <c r="D820" s="29" t="s">
        <v>3683</v>
      </c>
      <c r="E820" s="29"/>
      <c r="F820" s="29" t="s">
        <v>3686</v>
      </c>
      <c r="G820" s="29"/>
      <c r="H820" s="29" t="s">
        <v>3687</v>
      </c>
      <c r="I820" s="29"/>
      <c r="J820" s="29"/>
      <c r="K820" s="29"/>
      <c r="L820" s="29" t="s">
        <v>3689</v>
      </c>
      <c r="M820" s="29"/>
      <c r="N820" s="29" t="s">
        <v>3816</v>
      </c>
      <c r="O820" s="29"/>
      <c r="P820" s="29" t="s">
        <v>7804</v>
      </c>
      <c r="Q820" t="s">
        <v>2038</v>
      </c>
      <c r="R820" t="s">
        <v>2633</v>
      </c>
      <c r="S820">
        <v>37</v>
      </c>
      <c r="T820" s="43" t="str">
        <f t="shared" si="34"/>
        <v>2021.010B.R.Binomial_names.zip</v>
      </c>
      <c r="U820" s="43" t="str">
        <f>HYPERLINK("https://ictv.global/taxonomy/taxondetails?taxnode_id=202208219","ictv.global=202208219")</f>
        <v>ictv.global=202208219</v>
      </c>
    </row>
    <row r="821" spans="1:21">
      <c r="A821">
        <v>820</v>
      </c>
      <c r="B821" s="29" t="s">
        <v>3682</v>
      </c>
      <c r="C821" s="29"/>
      <c r="D821" s="29" t="s">
        <v>3683</v>
      </c>
      <c r="E821" s="29"/>
      <c r="F821" s="29" t="s">
        <v>3686</v>
      </c>
      <c r="G821" s="29"/>
      <c r="H821" s="29" t="s">
        <v>3687</v>
      </c>
      <c r="I821" s="29"/>
      <c r="J821" s="29"/>
      <c r="K821" s="29"/>
      <c r="L821" s="29" t="s">
        <v>3689</v>
      </c>
      <c r="M821" s="29"/>
      <c r="N821" s="29" t="s">
        <v>3817</v>
      </c>
      <c r="O821" s="29"/>
      <c r="P821" s="29" t="s">
        <v>7805</v>
      </c>
      <c r="Q821" t="s">
        <v>2038</v>
      </c>
      <c r="R821" t="s">
        <v>2633</v>
      </c>
      <c r="S821">
        <v>37</v>
      </c>
      <c r="T821" s="43" t="str">
        <f t="shared" si="34"/>
        <v>2021.010B.R.Binomial_names.zip</v>
      </c>
      <c r="U821" s="43" t="str">
        <f>HYPERLINK("https://ictv.global/taxonomy/taxondetails?taxnode_id=202208499","ictv.global=202208499")</f>
        <v>ictv.global=202208499</v>
      </c>
    </row>
    <row r="822" spans="1:21">
      <c r="A822">
        <v>821</v>
      </c>
      <c r="B822" s="29" t="s">
        <v>3682</v>
      </c>
      <c r="C822" s="29"/>
      <c r="D822" s="29" t="s">
        <v>3683</v>
      </c>
      <c r="E822" s="29"/>
      <c r="F822" s="29" t="s">
        <v>3686</v>
      </c>
      <c r="G822" s="29"/>
      <c r="H822" s="29" t="s">
        <v>3687</v>
      </c>
      <c r="I822" s="29"/>
      <c r="J822" s="29"/>
      <c r="K822" s="29"/>
      <c r="L822" s="29" t="s">
        <v>3689</v>
      </c>
      <c r="M822" s="29"/>
      <c r="N822" s="29" t="s">
        <v>3818</v>
      </c>
      <c r="O822" s="29"/>
      <c r="P822" s="29" t="s">
        <v>3819</v>
      </c>
      <c r="Q822" t="s">
        <v>2038</v>
      </c>
      <c r="R822" t="s">
        <v>2634</v>
      </c>
      <c r="S822">
        <v>37</v>
      </c>
      <c r="T822" s="43" t="str">
        <f>HYPERLINK("https://ictv.global/ictv/proposals/2021.001B.R.abolish_Caudovirales.zip","2021.001B.R.abolish_Caudovirales.zip")</f>
        <v>2021.001B.R.abolish_Caudovirales.zip</v>
      </c>
      <c r="U822" s="43" t="str">
        <f>HYPERLINK("https://ictv.global/taxonomy/taxondetails?taxnode_id=202208328","ictv.global=202208328")</f>
        <v>ictv.global=202208328</v>
      </c>
    </row>
    <row r="823" spans="1:21">
      <c r="A823">
        <v>822</v>
      </c>
      <c r="B823" s="29" t="s">
        <v>3682</v>
      </c>
      <c r="C823" s="29"/>
      <c r="D823" s="29" t="s">
        <v>3683</v>
      </c>
      <c r="E823" s="29"/>
      <c r="F823" s="29" t="s">
        <v>3686</v>
      </c>
      <c r="G823" s="29"/>
      <c r="H823" s="29" t="s">
        <v>3687</v>
      </c>
      <c r="I823" s="29"/>
      <c r="J823" s="29"/>
      <c r="K823" s="29"/>
      <c r="L823" s="29" t="s">
        <v>3689</v>
      </c>
      <c r="M823" s="29"/>
      <c r="N823" s="29" t="s">
        <v>3820</v>
      </c>
      <c r="O823" s="29"/>
      <c r="P823" s="29" t="s">
        <v>7806</v>
      </c>
      <c r="Q823" t="s">
        <v>2038</v>
      </c>
      <c r="R823" t="s">
        <v>2633</v>
      </c>
      <c r="S823">
        <v>37</v>
      </c>
      <c r="T823" s="43" t="str">
        <f>HYPERLINK("https://ictv.global/ictv/proposals/2021.010B.R.Binomial_names.zip","2021.010B.R.Binomial_names.zip")</f>
        <v>2021.010B.R.Binomial_names.zip</v>
      </c>
      <c r="U823" s="43" t="str">
        <f>HYPERLINK("https://ictv.global/taxonomy/taxondetails?taxnode_id=202208503","ictv.global=202208503")</f>
        <v>ictv.global=202208503</v>
      </c>
    </row>
    <row r="824" spans="1:21">
      <c r="A824">
        <v>823</v>
      </c>
      <c r="B824" s="29" t="s">
        <v>3682</v>
      </c>
      <c r="C824" s="29"/>
      <c r="D824" s="29" t="s">
        <v>3683</v>
      </c>
      <c r="E824" s="29"/>
      <c r="F824" s="29" t="s">
        <v>3686</v>
      </c>
      <c r="G824" s="29"/>
      <c r="H824" s="29" t="s">
        <v>3687</v>
      </c>
      <c r="I824" s="29"/>
      <c r="J824" s="29"/>
      <c r="K824" s="29"/>
      <c r="L824" s="29" t="s">
        <v>3689</v>
      </c>
      <c r="M824" s="29"/>
      <c r="N824" s="29" t="s">
        <v>3821</v>
      </c>
      <c r="O824" s="29"/>
      <c r="P824" s="29" t="s">
        <v>3822</v>
      </c>
      <c r="Q824" t="s">
        <v>2038</v>
      </c>
      <c r="R824" t="s">
        <v>2634</v>
      </c>
      <c r="S824">
        <v>37</v>
      </c>
      <c r="T824" s="43" t="str">
        <f>HYPERLINK("https://ictv.global/ictv/proposals/2021.001B.R.abolish_Caudovirales.zip","2021.001B.R.abolish_Caudovirales.zip")</f>
        <v>2021.001B.R.abolish_Caudovirales.zip</v>
      </c>
      <c r="U824" s="43" t="str">
        <f>HYPERLINK("https://ictv.global/taxonomy/taxondetails?taxnode_id=202208290","ictv.global=202208290")</f>
        <v>ictv.global=202208290</v>
      </c>
    </row>
    <row r="825" spans="1:21">
      <c r="A825">
        <v>824</v>
      </c>
      <c r="B825" s="29" t="s">
        <v>3682</v>
      </c>
      <c r="C825" s="29"/>
      <c r="D825" s="29" t="s">
        <v>3683</v>
      </c>
      <c r="E825" s="29"/>
      <c r="F825" s="29" t="s">
        <v>3686</v>
      </c>
      <c r="G825" s="29"/>
      <c r="H825" s="29" t="s">
        <v>3687</v>
      </c>
      <c r="I825" s="29"/>
      <c r="J825" s="29"/>
      <c r="K825" s="29"/>
      <c r="L825" s="29" t="s">
        <v>3689</v>
      </c>
      <c r="M825" s="29"/>
      <c r="N825" s="29" t="s">
        <v>3823</v>
      </c>
      <c r="O825" s="29"/>
      <c r="P825" s="29" t="s">
        <v>7807</v>
      </c>
      <c r="Q825" t="s">
        <v>2038</v>
      </c>
      <c r="R825" t="s">
        <v>2633</v>
      </c>
      <c r="S825">
        <v>37</v>
      </c>
      <c r="T825" s="43" t="str">
        <f>HYPERLINK("https://ictv.global/ictv/proposals/2021.010B.R.Binomial_names.zip","2021.010B.R.Binomial_names.zip")</f>
        <v>2021.010B.R.Binomial_names.zip</v>
      </c>
      <c r="U825" s="43" t="str">
        <f>HYPERLINK("https://ictv.global/taxonomy/taxondetails?taxnode_id=202208251","ictv.global=202208251")</f>
        <v>ictv.global=202208251</v>
      </c>
    </row>
    <row r="826" spans="1:21">
      <c r="A826">
        <v>825</v>
      </c>
      <c r="B826" s="29" t="s">
        <v>3682</v>
      </c>
      <c r="C826" s="29"/>
      <c r="D826" s="29" t="s">
        <v>3683</v>
      </c>
      <c r="E826" s="29"/>
      <c r="F826" s="29" t="s">
        <v>3686</v>
      </c>
      <c r="G826" s="29"/>
      <c r="H826" s="29" t="s">
        <v>3687</v>
      </c>
      <c r="I826" s="29"/>
      <c r="J826" s="29"/>
      <c r="K826" s="29"/>
      <c r="L826" s="29" t="s">
        <v>3689</v>
      </c>
      <c r="M826" s="29"/>
      <c r="N826" s="29" t="s">
        <v>3824</v>
      </c>
      <c r="O826" s="29"/>
      <c r="P826" s="29" t="s">
        <v>3825</v>
      </c>
      <c r="Q826" t="s">
        <v>2038</v>
      </c>
      <c r="R826" t="s">
        <v>2634</v>
      </c>
      <c r="S826">
        <v>37</v>
      </c>
      <c r="T826" s="43" t="str">
        <f>HYPERLINK("https://ictv.global/ictv/proposals/2021.001B.R.abolish_Caudovirales.zip","2021.001B.R.abolish_Caudovirales.zip")</f>
        <v>2021.001B.R.abolish_Caudovirales.zip</v>
      </c>
      <c r="U826" s="43" t="str">
        <f>HYPERLINK("https://ictv.global/taxonomy/taxondetails?taxnode_id=202208255","ictv.global=202208255")</f>
        <v>ictv.global=202208255</v>
      </c>
    </row>
    <row r="827" spans="1:21">
      <c r="A827">
        <v>826</v>
      </c>
      <c r="B827" s="29" t="s">
        <v>3682</v>
      </c>
      <c r="C827" s="29"/>
      <c r="D827" s="29" t="s">
        <v>3683</v>
      </c>
      <c r="E827" s="29"/>
      <c r="F827" s="29" t="s">
        <v>3686</v>
      </c>
      <c r="G827" s="29"/>
      <c r="H827" s="29" t="s">
        <v>3687</v>
      </c>
      <c r="I827" s="29"/>
      <c r="J827" s="29"/>
      <c r="K827" s="29"/>
      <c r="L827" s="29" t="s">
        <v>3689</v>
      </c>
      <c r="M827" s="29"/>
      <c r="N827" s="29" t="s">
        <v>3826</v>
      </c>
      <c r="O827" s="29"/>
      <c r="P827" s="29" t="s">
        <v>7808</v>
      </c>
      <c r="Q827" t="s">
        <v>2038</v>
      </c>
      <c r="R827" t="s">
        <v>2633</v>
      </c>
      <c r="S827">
        <v>37</v>
      </c>
      <c r="T827" s="43" t="str">
        <f t="shared" ref="T827:T835" si="35">HYPERLINK("https://ictv.global/ictv/proposals/2021.010B.R.Binomial_names.zip","2021.010B.R.Binomial_names.zip")</f>
        <v>2021.010B.R.Binomial_names.zip</v>
      </c>
      <c r="U827" s="43" t="str">
        <f>HYPERLINK("https://ictv.global/taxonomy/taxondetails?taxnode_id=202208221","ictv.global=202208221")</f>
        <v>ictv.global=202208221</v>
      </c>
    </row>
    <row r="828" spans="1:21">
      <c r="A828">
        <v>827</v>
      </c>
      <c r="B828" s="29" t="s">
        <v>3682</v>
      </c>
      <c r="C828" s="29"/>
      <c r="D828" s="29" t="s">
        <v>3683</v>
      </c>
      <c r="E828" s="29"/>
      <c r="F828" s="29" t="s">
        <v>3686</v>
      </c>
      <c r="G828" s="29"/>
      <c r="H828" s="29" t="s">
        <v>3687</v>
      </c>
      <c r="I828" s="29"/>
      <c r="J828" s="29"/>
      <c r="K828" s="29"/>
      <c r="L828" s="29" t="s">
        <v>3689</v>
      </c>
      <c r="M828" s="29"/>
      <c r="N828" s="29" t="s">
        <v>3826</v>
      </c>
      <c r="O828" s="29"/>
      <c r="P828" s="29" t="s">
        <v>7809</v>
      </c>
      <c r="Q828" t="s">
        <v>2038</v>
      </c>
      <c r="R828" t="s">
        <v>2633</v>
      </c>
      <c r="S828">
        <v>37</v>
      </c>
      <c r="T828" s="43" t="str">
        <f t="shared" si="35"/>
        <v>2021.010B.R.Binomial_names.zip</v>
      </c>
      <c r="U828" s="43" t="str">
        <f>HYPERLINK("https://ictv.global/taxonomy/taxondetails?taxnode_id=202208222","ictv.global=202208222")</f>
        <v>ictv.global=202208222</v>
      </c>
    </row>
    <row r="829" spans="1:21">
      <c r="A829">
        <v>828</v>
      </c>
      <c r="B829" s="29" t="s">
        <v>3682</v>
      </c>
      <c r="C829" s="29"/>
      <c r="D829" s="29" t="s">
        <v>3683</v>
      </c>
      <c r="E829" s="29"/>
      <c r="F829" s="29" t="s">
        <v>3686</v>
      </c>
      <c r="G829" s="29"/>
      <c r="H829" s="29" t="s">
        <v>3687</v>
      </c>
      <c r="I829" s="29"/>
      <c r="J829" s="29"/>
      <c r="K829" s="29"/>
      <c r="L829" s="29" t="s">
        <v>3689</v>
      </c>
      <c r="M829" s="29"/>
      <c r="N829" s="29" t="s">
        <v>3826</v>
      </c>
      <c r="O829" s="29"/>
      <c r="P829" s="29" t="s">
        <v>7810</v>
      </c>
      <c r="Q829" t="s">
        <v>2038</v>
      </c>
      <c r="R829" t="s">
        <v>2633</v>
      </c>
      <c r="S829">
        <v>37</v>
      </c>
      <c r="T829" s="43" t="str">
        <f t="shared" si="35"/>
        <v>2021.010B.R.Binomial_names.zip</v>
      </c>
      <c r="U829" s="43" t="str">
        <f>HYPERLINK("https://ictv.global/taxonomy/taxondetails?taxnode_id=202208223","ictv.global=202208223")</f>
        <v>ictv.global=202208223</v>
      </c>
    </row>
    <row r="830" spans="1:21">
      <c r="A830">
        <v>829</v>
      </c>
      <c r="B830" s="29" t="s">
        <v>3682</v>
      </c>
      <c r="C830" s="29"/>
      <c r="D830" s="29" t="s">
        <v>3683</v>
      </c>
      <c r="E830" s="29"/>
      <c r="F830" s="29" t="s">
        <v>3686</v>
      </c>
      <c r="G830" s="29"/>
      <c r="H830" s="29" t="s">
        <v>3687</v>
      </c>
      <c r="I830" s="29"/>
      <c r="J830" s="29"/>
      <c r="K830" s="29"/>
      <c r="L830" s="29" t="s">
        <v>3689</v>
      </c>
      <c r="M830" s="29"/>
      <c r="N830" s="29" t="s">
        <v>3827</v>
      </c>
      <c r="O830" s="29"/>
      <c r="P830" s="29" t="s">
        <v>7811</v>
      </c>
      <c r="Q830" t="s">
        <v>2038</v>
      </c>
      <c r="R830" t="s">
        <v>2633</v>
      </c>
      <c r="S830">
        <v>37</v>
      </c>
      <c r="T830" s="43" t="str">
        <f t="shared" si="35"/>
        <v>2021.010B.R.Binomial_names.zip</v>
      </c>
      <c r="U830" s="43" t="str">
        <f>HYPERLINK("https://ictv.global/taxonomy/taxondetails?taxnode_id=202208306","ictv.global=202208306")</f>
        <v>ictv.global=202208306</v>
      </c>
    </row>
    <row r="831" spans="1:21">
      <c r="A831">
        <v>830</v>
      </c>
      <c r="B831" s="29" t="s">
        <v>3682</v>
      </c>
      <c r="C831" s="29"/>
      <c r="D831" s="29" t="s">
        <v>3683</v>
      </c>
      <c r="E831" s="29"/>
      <c r="F831" s="29" t="s">
        <v>3686</v>
      </c>
      <c r="G831" s="29"/>
      <c r="H831" s="29" t="s">
        <v>3687</v>
      </c>
      <c r="I831" s="29"/>
      <c r="J831" s="29"/>
      <c r="K831" s="29"/>
      <c r="L831" s="29" t="s">
        <v>3689</v>
      </c>
      <c r="M831" s="29"/>
      <c r="N831" s="29" t="s">
        <v>3828</v>
      </c>
      <c r="O831" s="29"/>
      <c r="P831" s="29" t="s">
        <v>7812</v>
      </c>
      <c r="Q831" t="s">
        <v>2038</v>
      </c>
      <c r="R831" t="s">
        <v>2633</v>
      </c>
      <c r="S831">
        <v>37</v>
      </c>
      <c r="T831" s="43" t="str">
        <f t="shared" si="35"/>
        <v>2021.010B.R.Binomial_names.zip</v>
      </c>
      <c r="U831" s="43" t="str">
        <f>HYPERLINK("https://ictv.global/taxonomy/taxondetails?taxnode_id=202200587","ictv.global=202200587")</f>
        <v>ictv.global=202200587</v>
      </c>
    </row>
    <row r="832" spans="1:21">
      <c r="A832">
        <v>831</v>
      </c>
      <c r="B832" s="29" t="s">
        <v>3682</v>
      </c>
      <c r="C832" s="29"/>
      <c r="D832" s="29" t="s">
        <v>3683</v>
      </c>
      <c r="E832" s="29"/>
      <c r="F832" s="29" t="s">
        <v>3686</v>
      </c>
      <c r="G832" s="29"/>
      <c r="H832" s="29" t="s">
        <v>3687</v>
      </c>
      <c r="I832" s="29"/>
      <c r="J832" s="29"/>
      <c r="K832" s="29"/>
      <c r="L832" s="29" t="s">
        <v>3689</v>
      </c>
      <c r="M832" s="29"/>
      <c r="N832" s="29" t="s">
        <v>3829</v>
      </c>
      <c r="O832" s="29"/>
      <c r="P832" s="29" t="s">
        <v>7813</v>
      </c>
      <c r="Q832" t="s">
        <v>2038</v>
      </c>
      <c r="R832" t="s">
        <v>2633</v>
      </c>
      <c r="S832">
        <v>37</v>
      </c>
      <c r="T832" s="43" t="str">
        <f t="shared" si="35"/>
        <v>2021.010B.R.Binomial_names.zip</v>
      </c>
      <c r="U832" s="43" t="str">
        <f>HYPERLINK("https://ictv.global/taxonomy/taxondetails?taxnode_id=202200588","ictv.global=202200588")</f>
        <v>ictv.global=202200588</v>
      </c>
    </row>
    <row r="833" spans="1:21">
      <c r="A833">
        <v>832</v>
      </c>
      <c r="B833" s="29" t="s">
        <v>3682</v>
      </c>
      <c r="C833" s="29"/>
      <c r="D833" s="29" t="s">
        <v>3683</v>
      </c>
      <c r="E833" s="29"/>
      <c r="F833" s="29" t="s">
        <v>3686</v>
      </c>
      <c r="G833" s="29"/>
      <c r="H833" s="29" t="s">
        <v>3687</v>
      </c>
      <c r="I833" s="29"/>
      <c r="J833" s="29"/>
      <c r="K833" s="29"/>
      <c r="L833" s="29" t="s">
        <v>3689</v>
      </c>
      <c r="M833" s="29"/>
      <c r="N833" s="29" t="s">
        <v>3830</v>
      </c>
      <c r="O833" s="29"/>
      <c r="P833" s="29" t="s">
        <v>7814</v>
      </c>
      <c r="Q833" t="s">
        <v>2038</v>
      </c>
      <c r="R833" t="s">
        <v>2633</v>
      </c>
      <c r="S833">
        <v>37</v>
      </c>
      <c r="T833" s="43" t="str">
        <f t="shared" si="35"/>
        <v>2021.010B.R.Binomial_names.zip</v>
      </c>
      <c r="U833" s="43" t="str">
        <f>HYPERLINK("https://ictv.global/taxonomy/taxondetails?taxnode_id=202208205","ictv.global=202208205")</f>
        <v>ictv.global=202208205</v>
      </c>
    </row>
    <row r="834" spans="1:21">
      <c r="A834">
        <v>833</v>
      </c>
      <c r="B834" s="29" t="s">
        <v>3682</v>
      </c>
      <c r="C834" s="29"/>
      <c r="D834" s="29" t="s">
        <v>3683</v>
      </c>
      <c r="E834" s="29"/>
      <c r="F834" s="29" t="s">
        <v>3686</v>
      </c>
      <c r="G834" s="29"/>
      <c r="H834" s="29" t="s">
        <v>3687</v>
      </c>
      <c r="I834" s="29"/>
      <c r="J834" s="29"/>
      <c r="K834" s="29"/>
      <c r="L834" s="29" t="s">
        <v>3689</v>
      </c>
      <c r="M834" s="29"/>
      <c r="N834" s="29" t="s">
        <v>3830</v>
      </c>
      <c r="O834" s="29"/>
      <c r="P834" s="29" t="s">
        <v>7815</v>
      </c>
      <c r="Q834" t="s">
        <v>2038</v>
      </c>
      <c r="R834" t="s">
        <v>2633</v>
      </c>
      <c r="S834">
        <v>37</v>
      </c>
      <c r="T834" s="43" t="str">
        <f t="shared" si="35"/>
        <v>2021.010B.R.Binomial_names.zip</v>
      </c>
      <c r="U834" s="43" t="str">
        <f>HYPERLINK("https://ictv.global/taxonomy/taxondetails?taxnode_id=202208204","ictv.global=202208204")</f>
        <v>ictv.global=202208204</v>
      </c>
    </row>
    <row r="835" spans="1:21">
      <c r="A835">
        <v>834</v>
      </c>
      <c r="B835" s="29" t="s">
        <v>3682</v>
      </c>
      <c r="C835" s="29"/>
      <c r="D835" s="29" t="s">
        <v>3683</v>
      </c>
      <c r="E835" s="29"/>
      <c r="F835" s="29" t="s">
        <v>3686</v>
      </c>
      <c r="G835" s="29"/>
      <c r="H835" s="29" t="s">
        <v>3687</v>
      </c>
      <c r="I835" s="29"/>
      <c r="J835" s="29"/>
      <c r="K835" s="29"/>
      <c r="L835" s="29" t="s">
        <v>3689</v>
      </c>
      <c r="M835" s="29"/>
      <c r="N835" s="29" t="s">
        <v>3831</v>
      </c>
      <c r="O835" s="29"/>
      <c r="P835" s="29" t="s">
        <v>7816</v>
      </c>
      <c r="Q835" t="s">
        <v>2038</v>
      </c>
      <c r="R835" t="s">
        <v>2633</v>
      </c>
      <c r="S835">
        <v>37</v>
      </c>
      <c r="T835" s="43" t="str">
        <f t="shared" si="35"/>
        <v>2021.010B.R.Binomial_names.zip</v>
      </c>
      <c r="U835" s="43" t="str">
        <f>HYPERLINK("https://ictv.global/taxonomy/taxondetails?taxnode_id=202200589","ictv.global=202200589")</f>
        <v>ictv.global=202200589</v>
      </c>
    </row>
    <row r="836" spans="1:21">
      <c r="A836">
        <v>835</v>
      </c>
      <c r="B836" s="29" t="s">
        <v>3682</v>
      </c>
      <c r="C836" s="29"/>
      <c r="D836" s="29" t="s">
        <v>3683</v>
      </c>
      <c r="E836" s="29"/>
      <c r="F836" s="29" t="s">
        <v>3686</v>
      </c>
      <c r="G836" s="29"/>
      <c r="H836" s="29" t="s">
        <v>3687</v>
      </c>
      <c r="I836" s="29"/>
      <c r="J836" s="29"/>
      <c r="K836" s="29"/>
      <c r="L836" s="29" t="s">
        <v>3689</v>
      </c>
      <c r="M836" s="29"/>
      <c r="N836" s="29" t="s">
        <v>3832</v>
      </c>
      <c r="O836" s="29"/>
      <c r="P836" s="29" t="s">
        <v>3833</v>
      </c>
      <c r="Q836" t="s">
        <v>2038</v>
      </c>
      <c r="R836" t="s">
        <v>2634</v>
      </c>
      <c r="S836">
        <v>37</v>
      </c>
      <c r="T836" s="43" t="str">
        <f>HYPERLINK("https://ictv.global/ictv/proposals/2021.001B.R.abolish_Caudovirales.zip","2021.001B.R.abolish_Caudovirales.zip")</f>
        <v>2021.001B.R.abolish_Caudovirales.zip</v>
      </c>
      <c r="U836" s="43" t="str">
        <f>HYPERLINK("https://ictv.global/taxonomy/taxondetails?taxnode_id=202208282","ictv.global=202208282")</f>
        <v>ictv.global=202208282</v>
      </c>
    </row>
    <row r="837" spans="1:21">
      <c r="A837">
        <v>836</v>
      </c>
      <c r="B837" s="29" t="s">
        <v>3682</v>
      </c>
      <c r="C837" s="29"/>
      <c r="D837" s="29" t="s">
        <v>3683</v>
      </c>
      <c r="E837" s="29"/>
      <c r="F837" s="29" t="s">
        <v>3686</v>
      </c>
      <c r="G837" s="29"/>
      <c r="H837" s="29" t="s">
        <v>3687</v>
      </c>
      <c r="I837" s="29"/>
      <c r="J837" s="29"/>
      <c r="K837" s="29"/>
      <c r="L837" s="29" t="s">
        <v>3689</v>
      </c>
      <c r="M837" s="29"/>
      <c r="N837" s="29" t="s">
        <v>3834</v>
      </c>
      <c r="O837" s="29"/>
      <c r="P837" s="29" t="s">
        <v>7817</v>
      </c>
      <c r="Q837" t="s">
        <v>2038</v>
      </c>
      <c r="R837" t="s">
        <v>2633</v>
      </c>
      <c r="S837">
        <v>37</v>
      </c>
      <c r="T837" s="43" t="str">
        <f>HYPERLINK("https://ictv.global/ictv/proposals/2021.010B.R.Binomial_names.zip","2021.010B.R.Binomial_names.zip")</f>
        <v>2021.010B.R.Binomial_names.zip</v>
      </c>
      <c r="U837" s="43" t="str">
        <f>HYPERLINK("https://ictv.global/taxonomy/taxondetails?taxnode_id=202200569","ictv.global=202200569")</f>
        <v>ictv.global=202200569</v>
      </c>
    </row>
    <row r="838" spans="1:21">
      <c r="A838">
        <v>837</v>
      </c>
      <c r="B838" s="29" t="s">
        <v>3682</v>
      </c>
      <c r="C838" s="29"/>
      <c r="D838" s="29" t="s">
        <v>3683</v>
      </c>
      <c r="E838" s="29"/>
      <c r="F838" s="29" t="s">
        <v>3686</v>
      </c>
      <c r="G838" s="29"/>
      <c r="H838" s="29" t="s">
        <v>3687</v>
      </c>
      <c r="I838" s="29"/>
      <c r="J838" s="29"/>
      <c r="K838" s="29"/>
      <c r="L838" s="29" t="s">
        <v>3689</v>
      </c>
      <c r="M838" s="29"/>
      <c r="N838" s="29" t="s">
        <v>3835</v>
      </c>
      <c r="O838" s="29"/>
      <c r="P838" s="29" t="s">
        <v>7818</v>
      </c>
      <c r="Q838" t="s">
        <v>2038</v>
      </c>
      <c r="R838" t="s">
        <v>2633</v>
      </c>
      <c r="S838">
        <v>37</v>
      </c>
      <c r="T838" s="43" t="str">
        <f>HYPERLINK("https://ictv.global/ictv/proposals/2021.010B.R.Binomial_names.zip","2021.010B.R.Binomial_names.zip")</f>
        <v>2021.010B.R.Binomial_names.zip</v>
      </c>
      <c r="U838" s="43" t="str">
        <f>HYPERLINK("https://ictv.global/taxonomy/taxondetails?taxnode_id=202208195","ictv.global=202208195")</f>
        <v>ictv.global=202208195</v>
      </c>
    </row>
    <row r="839" spans="1:21">
      <c r="A839">
        <v>838</v>
      </c>
      <c r="B839" s="29" t="s">
        <v>3682</v>
      </c>
      <c r="C839" s="29"/>
      <c r="D839" s="29" t="s">
        <v>3683</v>
      </c>
      <c r="E839" s="29"/>
      <c r="F839" s="29" t="s">
        <v>3686</v>
      </c>
      <c r="G839" s="29"/>
      <c r="H839" s="29" t="s">
        <v>3687</v>
      </c>
      <c r="I839" s="29"/>
      <c r="J839" s="29"/>
      <c r="K839" s="29"/>
      <c r="L839" s="29" t="s">
        <v>3689</v>
      </c>
      <c r="M839" s="29"/>
      <c r="N839" s="29" t="s">
        <v>3835</v>
      </c>
      <c r="O839" s="29"/>
      <c r="P839" s="29" t="s">
        <v>7819</v>
      </c>
      <c r="Q839" t="s">
        <v>2038</v>
      </c>
      <c r="R839" t="s">
        <v>2633</v>
      </c>
      <c r="S839">
        <v>37</v>
      </c>
      <c r="T839" s="43" t="str">
        <f>HYPERLINK("https://ictv.global/ictv/proposals/2021.010B.R.Binomial_names.zip","2021.010B.R.Binomial_names.zip")</f>
        <v>2021.010B.R.Binomial_names.zip</v>
      </c>
      <c r="U839" s="43" t="str">
        <f>HYPERLINK("https://ictv.global/taxonomy/taxondetails?taxnode_id=202208194","ictv.global=202208194")</f>
        <v>ictv.global=202208194</v>
      </c>
    </row>
    <row r="840" spans="1:21">
      <c r="A840">
        <v>839</v>
      </c>
      <c r="B840" s="29" t="s">
        <v>3682</v>
      </c>
      <c r="C840" s="29"/>
      <c r="D840" s="29" t="s">
        <v>3683</v>
      </c>
      <c r="E840" s="29"/>
      <c r="F840" s="29" t="s">
        <v>3686</v>
      </c>
      <c r="G840" s="29"/>
      <c r="H840" s="29" t="s">
        <v>3687</v>
      </c>
      <c r="I840" s="29"/>
      <c r="J840" s="29"/>
      <c r="K840" s="29"/>
      <c r="L840" s="29" t="s">
        <v>3689</v>
      </c>
      <c r="M840" s="29"/>
      <c r="N840" s="29" t="s">
        <v>7820</v>
      </c>
      <c r="O840" s="29"/>
      <c r="P840" s="29" t="s">
        <v>7821</v>
      </c>
      <c r="Q840" t="s">
        <v>2038</v>
      </c>
      <c r="R840" t="s">
        <v>2632</v>
      </c>
      <c r="S840">
        <v>38</v>
      </c>
      <c r="T840" s="43" t="str">
        <f>HYPERLINK("https://ictv.global/ictv/proposals/2022.095B.Youngvirus_ng.zip","2022.095B.Youngvirus_ng.zip")</f>
        <v>2022.095B.Youngvirus_ng.zip</v>
      </c>
      <c r="U840" s="43" t="str">
        <f>HYPERLINK("https://ictv.global/taxonomy/taxondetails?taxnode_id=202214978","ictv.global=202214978")</f>
        <v>ictv.global=202214978</v>
      </c>
    </row>
    <row r="841" spans="1:21">
      <c r="A841">
        <v>840</v>
      </c>
      <c r="B841" s="29" t="s">
        <v>3682</v>
      </c>
      <c r="C841" s="29"/>
      <c r="D841" s="29" t="s">
        <v>3683</v>
      </c>
      <c r="E841" s="29"/>
      <c r="F841" s="29" t="s">
        <v>3686</v>
      </c>
      <c r="G841" s="29"/>
      <c r="H841" s="29" t="s">
        <v>3687</v>
      </c>
      <c r="I841" s="29"/>
      <c r="J841" s="29"/>
      <c r="K841" s="29"/>
      <c r="L841" s="29" t="s">
        <v>7822</v>
      </c>
      <c r="M841" s="29"/>
      <c r="N841" s="29" t="s">
        <v>3502</v>
      </c>
      <c r="O841" s="29"/>
      <c r="P841" s="29" t="s">
        <v>3503</v>
      </c>
      <c r="Q841" t="s">
        <v>2038</v>
      </c>
      <c r="R841" t="s">
        <v>2634</v>
      </c>
      <c r="S841">
        <v>37</v>
      </c>
      <c r="T841" s="43" t="str">
        <f>HYPERLINK("https://ictv.global/ictv/proposals/2021.001B.R.abolish_Caudovirales.zip","2021.001B.R.abolish_Caudovirales.zip;2021.015B.A.v1.Casjensviridae.zip")</f>
        <v>2021.001B.R.abolish_Caudovirales.zip;2021.015B.A.v1.Casjensviridae.zip</v>
      </c>
      <c r="U841" s="43" t="str">
        <f>HYPERLINK("https://ictv.global/taxonomy/taxondetails?taxnode_id=202206759","ictv.global=202206759")</f>
        <v>ictv.global=202206759</v>
      </c>
    </row>
    <row r="842" spans="1:21">
      <c r="A842">
        <v>841</v>
      </c>
      <c r="B842" s="29" t="s">
        <v>3682</v>
      </c>
      <c r="C842" s="29"/>
      <c r="D842" s="29" t="s">
        <v>3683</v>
      </c>
      <c r="E842" s="29"/>
      <c r="F842" s="29" t="s">
        <v>3686</v>
      </c>
      <c r="G842" s="29"/>
      <c r="H842" s="29" t="s">
        <v>3687</v>
      </c>
      <c r="I842" s="29"/>
      <c r="J842" s="29"/>
      <c r="K842" s="29"/>
      <c r="L842" s="29" t="s">
        <v>7822</v>
      </c>
      <c r="M842" s="29"/>
      <c r="N842" s="29" t="s">
        <v>7823</v>
      </c>
      <c r="O842" s="29"/>
      <c r="P842" s="29" t="s">
        <v>7824</v>
      </c>
      <c r="Q842" t="s">
        <v>2038</v>
      </c>
      <c r="R842" t="s">
        <v>2632</v>
      </c>
      <c r="S842">
        <v>37</v>
      </c>
      <c r="T842" s="43" t="str">
        <f>HYPERLINK("https://ictv.global/ictv/proposals/2021.015B.R.Casjensviridae.zip","2021.015B.R.Casjensviridae.zip")</f>
        <v>2021.015B.R.Casjensviridae.zip</v>
      </c>
      <c r="U842" s="43" t="str">
        <f>HYPERLINK("https://ictv.global/taxonomy/taxondetails?taxnode_id=202212990","ictv.global=202212990")</f>
        <v>ictv.global=202212990</v>
      </c>
    </row>
    <row r="843" spans="1:21">
      <c r="A843">
        <v>842</v>
      </c>
      <c r="B843" s="29" t="s">
        <v>3682</v>
      </c>
      <c r="C843" s="29"/>
      <c r="D843" s="29" t="s">
        <v>3683</v>
      </c>
      <c r="E843" s="29"/>
      <c r="F843" s="29" t="s">
        <v>3686</v>
      </c>
      <c r="G843" s="29"/>
      <c r="H843" s="29" t="s">
        <v>3687</v>
      </c>
      <c r="I843" s="29"/>
      <c r="J843" s="29"/>
      <c r="K843" s="29"/>
      <c r="L843" s="29" t="s">
        <v>7822</v>
      </c>
      <c r="M843" s="29"/>
      <c r="N843" s="29" t="s">
        <v>7825</v>
      </c>
      <c r="O843" s="29"/>
      <c r="P843" s="29" t="s">
        <v>7826</v>
      </c>
      <c r="Q843" t="s">
        <v>2038</v>
      </c>
      <c r="R843" t="s">
        <v>2632</v>
      </c>
      <c r="S843">
        <v>37</v>
      </c>
      <c r="T843" s="43" t="str">
        <f>HYPERLINK("https://ictv.global/ictv/proposals/2021.015B.R.Casjensviridae.zip","2021.015B.R.Casjensviridae.zip")</f>
        <v>2021.015B.R.Casjensviridae.zip</v>
      </c>
      <c r="U843" s="43" t="str">
        <f>HYPERLINK("https://ictv.global/taxonomy/taxondetails?taxnode_id=202213003","ictv.global=202213003")</f>
        <v>ictv.global=202213003</v>
      </c>
    </row>
    <row r="844" spans="1:21">
      <c r="A844">
        <v>843</v>
      </c>
      <c r="B844" s="29" t="s">
        <v>3682</v>
      </c>
      <c r="C844" s="29"/>
      <c r="D844" s="29" t="s">
        <v>3683</v>
      </c>
      <c r="E844" s="29"/>
      <c r="F844" s="29" t="s">
        <v>3686</v>
      </c>
      <c r="G844" s="29"/>
      <c r="H844" s="29" t="s">
        <v>3687</v>
      </c>
      <c r="I844" s="29"/>
      <c r="J844" s="29"/>
      <c r="K844" s="29"/>
      <c r="L844" s="29" t="s">
        <v>7822</v>
      </c>
      <c r="M844" s="29"/>
      <c r="N844" s="29" t="s">
        <v>2108</v>
      </c>
      <c r="O844" s="29"/>
      <c r="P844" s="29" t="s">
        <v>7827</v>
      </c>
      <c r="Q844" t="s">
        <v>2038</v>
      </c>
      <c r="R844" t="s">
        <v>2633</v>
      </c>
      <c r="S844">
        <v>37</v>
      </c>
      <c r="T844" s="43" t="str">
        <f>HYPERLINK("https://ictv.global/ictv/proposals/2021.010B.R.Binomial_names.zip","2021.010B.R.Binomial_names.zip")</f>
        <v>2021.010B.R.Binomial_names.zip</v>
      </c>
      <c r="U844" s="43" t="str">
        <f>HYPERLINK("https://ictv.global/taxonomy/taxondetails?taxnode_id=202209872","ictv.global=202209872")</f>
        <v>ictv.global=202209872</v>
      </c>
    </row>
    <row r="845" spans="1:21">
      <c r="A845">
        <v>844</v>
      </c>
      <c r="B845" s="29" t="s">
        <v>3682</v>
      </c>
      <c r="C845" s="29"/>
      <c r="D845" s="29" t="s">
        <v>3683</v>
      </c>
      <c r="E845" s="29"/>
      <c r="F845" s="29" t="s">
        <v>3686</v>
      </c>
      <c r="G845" s="29"/>
      <c r="H845" s="29" t="s">
        <v>3687</v>
      </c>
      <c r="I845" s="29"/>
      <c r="J845" s="29"/>
      <c r="K845" s="29"/>
      <c r="L845" s="29" t="s">
        <v>7822</v>
      </c>
      <c r="M845" s="29"/>
      <c r="N845" s="29" t="s">
        <v>2108</v>
      </c>
      <c r="O845" s="29"/>
      <c r="P845" s="29" t="s">
        <v>7828</v>
      </c>
      <c r="Q845" t="s">
        <v>2038</v>
      </c>
      <c r="R845" t="s">
        <v>2633</v>
      </c>
      <c r="S845">
        <v>37</v>
      </c>
      <c r="T845" s="43" t="str">
        <f>HYPERLINK("https://ictv.global/ictv/proposals/2021.010B.R.Binomial_names.zip","2021.010B.R.Binomial_names.zip")</f>
        <v>2021.010B.R.Binomial_names.zip</v>
      </c>
      <c r="U845" s="43" t="str">
        <f>HYPERLINK("https://ictv.global/taxonomy/taxondetails?taxnode_id=202200924","ictv.global=202200924")</f>
        <v>ictv.global=202200924</v>
      </c>
    </row>
    <row r="846" spans="1:21">
      <c r="A846">
        <v>845</v>
      </c>
      <c r="B846" s="29" t="s">
        <v>3682</v>
      </c>
      <c r="C846" s="29"/>
      <c r="D846" s="29" t="s">
        <v>3683</v>
      </c>
      <c r="E846" s="29"/>
      <c r="F846" s="29" t="s">
        <v>3686</v>
      </c>
      <c r="G846" s="29"/>
      <c r="H846" s="29" t="s">
        <v>3687</v>
      </c>
      <c r="I846" s="29"/>
      <c r="J846" s="29"/>
      <c r="K846" s="29"/>
      <c r="L846" s="29" t="s">
        <v>7822</v>
      </c>
      <c r="M846" s="29"/>
      <c r="N846" s="29" t="s">
        <v>2108</v>
      </c>
      <c r="O846" s="29"/>
      <c r="P846" s="29" t="s">
        <v>7829</v>
      </c>
      <c r="Q846" t="s">
        <v>2038</v>
      </c>
      <c r="R846" t="s">
        <v>2633</v>
      </c>
      <c r="S846">
        <v>37</v>
      </c>
      <c r="T846" s="43" t="str">
        <f>HYPERLINK("https://ictv.global/ictv/proposals/2021.010B.R.Binomial_names.zip","2021.010B.R.Binomial_names.zip")</f>
        <v>2021.010B.R.Binomial_names.zip</v>
      </c>
      <c r="U846" s="43" t="str">
        <f>HYPERLINK("https://ictv.global/taxonomy/taxondetails?taxnode_id=202209868","ictv.global=202209868")</f>
        <v>ictv.global=202209868</v>
      </c>
    </row>
    <row r="847" spans="1:21">
      <c r="A847">
        <v>846</v>
      </c>
      <c r="B847" s="29" t="s">
        <v>3682</v>
      </c>
      <c r="C847" s="29"/>
      <c r="D847" s="29" t="s">
        <v>3683</v>
      </c>
      <c r="E847" s="29"/>
      <c r="F847" s="29" t="s">
        <v>3686</v>
      </c>
      <c r="G847" s="29"/>
      <c r="H847" s="29" t="s">
        <v>3687</v>
      </c>
      <c r="I847" s="29"/>
      <c r="J847" s="29"/>
      <c r="K847" s="29"/>
      <c r="L847" s="29" t="s">
        <v>7822</v>
      </c>
      <c r="M847" s="29"/>
      <c r="N847" s="29" t="s">
        <v>2108</v>
      </c>
      <c r="O847" s="29"/>
      <c r="P847" s="29" t="s">
        <v>7830</v>
      </c>
      <c r="Q847" t="s">
        <v>2038</v>
      </c>
      <c r="R847" t="s">
        <v>2633</v>
      </c>
      <c r="S847">
        <v>37</v>
      </c>
      <c r="T847" s="43" t="str">
        <f>HYPERLINK("https://ictv.global/ictv/proposals/2021.010B.R.Binomial_names.zip","2021.010B.R.Binomial_names.zip")</f>
        <v>2021.010B.R.Binomial_names.zip</v>
      </c>
      <c r="U847" s="43" t="str">
        <f>HYPERLINK("https://ictv.global/taxonomy/taxondetails?taxnode_id=202209866","ictv.global=202209866")</f>
        <v>ictv.global=202209866</v>
      </c>
    </row>
    <row r="848" spans="1:21">
      <c r="A848">
        <v>847</v>
      </c>
      <c r="B848" s="29" t="s">
        <v>3682</v>
      </c>
      <c r="C848" s="29"/>
      <c r="D848" s="29" t="s">
        <v>3683</v>
      </c>
      <c r="E848" s="29"/>
      <c r="F848" s="29" t="s">
        <v>3686</v>
      </c>
      <c r="G848" s="29"/>
      <c r="H848" s="29" t="s">
        <v>3687</v>
      </c>
      <c r="I848" s="29"/>
      <c r="J848" s="29"/>
      <c r="K848" s="29"/>
      <c r="L848" s="29" t="s">
        <v>7822</v>
      </c>
      <c r="M848" s="29"/>
      <c r="N848" s="29" t="s">
        <v>2108</v>
      </c>
      <c r="O848" s="29"/>
      <c r="P848" s="29" t="s">
        <v>7831</v>
      </c>
      <c r="Q848" t="s">
        <v>2038</v>
      </c>
      <c r="R848" t="s">
        <v>2633</v>
      </c>
      <c r="S848">
        <v>37</v>
      </c>
      <c r="T848" s="43" t="str">
        <f>HYPERLINK("https://ictv.global/ictv/proposals/2021.010B.R.Binomial_names.zip","2021.010B.R.Binomial_names.zip")</f>
        <v>2021.010B.R.Binomial_names.zip</v>
      </c>
      <c r="U848" s="43" t="str">
        <f>HYPERLINK("https://ictv.global/taxonomy/taxondetails?taxnode_id=202209871","ictv.global=202209871")</f>
        <v>ictv.global=202209871</v>
      </c>
    </row>
    <row r="849" spans="1:21">
      <c r="A849">
        <v>848</v>
      </c>
      <c r="B849" s="29" t="s">
        <v>3682</v>
      </c>
      <c r="C849" s="29"/>
      <c r="D849" s="29" t="s">
        <v>3683</v>
      </c>
      <c r="E849" s="29"/>
      <c r="F849" s="29" t="s">
        <v>3686</v>
      </c>
      <c r="G849" s="29"/>
      <c r="H849" s="29" t="s">
        <v>3687</v>
      </c>
      <c r="I849" s="29"/>
      <c r="J849" s="29"/>
      <c r="K849" s="29"/>
      <c r="L849" s="29" t="s">
        <v>7822</v>
      </c>
      <c r="M849" s="29"/>
      <c r="N849" s="29" t="s">
        <v>2108</v>
      </c>
      <c r="O849" s="29"/>
      <c r="P849" s="29" t="s">
        <v>7832</v>
      </c>
      <c r="Q849" t="s">
        <v>2038</v>
      </c>
      <c r="R849" t="s">
        <v>2632</v>
      </c>
      <c r="S849">
        <v>37</v>
      </c>
      <c r="T849" s="43" t="str">
        <f>HYPERLINK("https://ictv.global/ictv/proposals/2021.015B.R.Casjensviridae.zip","2021.015B.R.Casjensviridae.zip")</f>
        <v>2021.015B.R.Casjensviridae.zip</v>
      </c>
      <c r="U849" s="43" t="str">
        <f>HYPERLINK("https://ictv.global/taxonomy/taxondetails?taxnode_id=202212987","ictv.global=202212987")</f>
        <v>ictv.global=202212987</v>
      </c>
    </row>
    <row r="850" spans="1:21">
      <c r="A850">
        <v>849</v>
      </c>
      <c r="B850" s="29" t="s">
        <v>3682</v>
      </c>
      <c r="C850" s="29"/>
      <c r="D850" s="29" t="s">
        <v>3683</v>
      </c>
      <c r="E850" s="29"/>
      <c r="F850" s="29" t="s">
        <v>3686</v>
      </c>
      <c r="G850" s="29"/>
      <c r="H850" s="29" t="s">
        <v>3687</v>
      </c>
      <c r="I850" s="29"/>
      <c r="J850" s="29"/>
      <c r="K850" s="29"/>
      <c r="L850" s="29" t="s">
        <v>7822</v>
      </c>
      <c r="M850" s="29"/>
      <c r="N850" s="29" t="s">
        <v>2108</v>
      </c>
      <c r="O850" s="29"/>
      <c r="P850" s="29" t="s">
        <v>7833</v>
      </c>
      <c r="Q850" t="s">
        <v>2038</v>
      </c>
      <c r="R850" t="s">
        <v>2633</v>
      </c>
      <c r="S850">
        <v>37</v>
      </c>
      <c r="T850" s="43" t="str">
        <f>HYPERLINK("https://ictv.global/ictv/proposals/2021.010B.R.Binomial_names.zip","2021.010B.R.Binomial_names.zip")</f>
        <v>2021.010B.R.Binomial_names.zip</v>
      </c>
      <c r="U850" s="43" t="str">
        <f>HYPERLINK("https://ictv.global/taxonomy/taxondetails?taxnode_id=202200925","ictv.global=202200925")</f>
        <v>ictv.global=202200925</v>
      </c>
    </row>
    <row r="851" spans="1:21">
      <c r="A851">
        <v>850</v>
      </c>
      <c r="B851" s="29" t="s">
        <v>3682</v>
      </c>
      <c r="C851" s="29"/>
      <c r="D851" s="29" t="s">
        <v>3683</v>
      </c>
      <c r="E851" s="29"/>
      <c r="F851" s="29" t="s">
        <v>3686</v>
      </c>
      <c r="G851" s="29"/>
      <c r="H851" s="29" t="s">
        <v>3687</v>
      </c>
      <c r="I851" s="29"/>
      <c r="J851" s="29"/>
      <c r="K851" s="29"/>
      <c r="L851" s="29" t="s">
        <v>7822</v>
      </c>
      <c r="M851" s="29"/>
      <c r="N851" s="29" t="s">
        <v>2108</v>
      </c>
      <c r="O851" s="29"/>
      <c r="P851" s="29" t="s">
        <v>7834</v>
      </c>
      <c r="Q851" t="s">
        <v>2038</v>
      </c>
      <c r="R851" t="s">
        <v>2633</v>
      </c>
      <c r="S851">
        <v>37</v>
      </c>
      <c r="T851" s="43" t="str">
        <f>HYPERLINK("https://ictv.global/ictv/proposals/2021.010B.R.Binomial_names.zip","2021.010B.R.Binomial_names.zip")</f>
        <v>2021.010B.R.Binomial_names.zip</v>
      </c>
      <c r="U851" s="43" t="str">
        <f>HYPERLINK("https://ictv.global/taxonomy/taxondetails?taxnode_id=202200926","ictv.global=202200926")</f>
        <v>ictv.global=202200926</v>
      </c>
    </row>
    <row r="852" spans="1:21">
      <c r="A852">
        <v>851</v>
      </c>
      <c r="B852" s="29" t="s">
        <v>3682</v>
      </c>
      <c r="C852" s="29"/>
      <c r="D852" s="29" t="s">
        <v>3683</v>
      </c>
      <c r="E852" s="29"/>
      <c r="F852" s="29" t="s">
        <v>3686</v>
      </c>
      <c r="G852" s="29"/>
      <c r="H852" s="29" t="s">
        <v>3687</v>
      </c>
      <c r="I852" s="29"/>
      <c r="J852" s="29"/>
      <c r="K852" s="29"/>
      <c r="L852" s="29" t="s">
        <v>7822</v>
      </c>
      <c r="M852" s="29"/>
      <c r="N852" s="29" t="s">
        <v>2108</v>
      </c>
      <c r="O852" s="29"/>
      <c r="P852" s="29" t="s">
        <v>7835</v>
      </c>
      <c r="Q852" t="s">
        <v>2038</v>
      </c>
      <c r="R852" t="s">
        <v>2633</v>
      </c>
      <c r="S852">
        <v>37</v>
      </c>
      <c r="T852" s="43" t="str">
        <f>HYPERLINK("https://ictv.global/ictv/proposals/2021.010B.R.Binomial_names.zip","2021.010B.R.Binomial_names.zip")</f>
        <v>2021.010B.R.Binomial_names.zip</v>
      </c>
      <c r="U852" s="43" t="str">
        <f>HYPERLINK("https://ictv.global/taxonomy/taxondetails?taxnode_id=202200927","ictv.global=202200927")</f>
        <v>ictv.global=202200927</v>
      </c>
    </row>
    <row r="853" spans="1:21">
      <c r="A853">
        <v>852</v>
      </c>
      <c r="B853" s="29" t="s">
        <v>3682</v>
      </c>
      <c r="C853" s="29"/>
      <c r="D853" s="29" t="s">
        <v>3683</v>
      </c>
      <c r="E853" s="29"/>
      <c r="F853" s="29" t="s">
        <v>3686</v>
      </c>
      <c r="G853" s="29"/>
      <c r="H853" s="29" t="s">
        <v>3687</v>
      </c>
      <c r="I853" s="29"/>
      <c r="J853" s="29"/>
      <c r="K853" s="29"/>
      <c r="L853" s="29" t="s">
        <v>7822</v>
      </c>
      <c r="M853" s="29"/>
      <c r="N853" s="29" t="s">
        <v>2108</v>
      </c>
      <c r="O853" s="29"/>
      <c r="P853" s="29" t="s">
        <v>7836</v>
      </c>
      <c r="Q853" t="s">
        <v>2038</v>
      </c>
      <c r="R853" t="s">
        <v>2633</v>
      </c>
      <c r="S853">
        <v>37</v>
      </c>
      <c r="T853" s="43" t="str">
        <f>HYPERLINK("https://ictv.global/ictv/proposals/2021.010B.R.Binomial_names.zip","2021.010B.R.Binomial_names.zip")</f>
        <v>2021.010B.R.Binomial_names.zip</v>
      </c>
      <c r="U853" s="43" t="str">
        <f>HYPERLINK("https://ictv.global/taxonomy/taxondetails?taxnode_id=202209869","ictv.global=202209869")</f>
        <v>ictv.global=202209869</v>
      </c>
    </row>
    <row r="854" spans="1:21">
      <c r="A854">
        <v>853</v>
      </c>
      <c r="B854" s="29" t="s">
        <v>3682</v>
      </c>
      <c r="C854" s="29"/>
      <c r="D854" s="29" t="s">
        <v>3683</v>
      </c>
      <c r="E854" s="29"/>
      <c r="F854" s="29" t="s">
        <v>3686</v>
      </c>
      <c r="G854" s="29"/>
      <c r="H854" s="29" t="s">
        <v>3687</v>
      </c>
      <c r="I854" s="29"/>
      <c r="J854" s="29"/>
      <c r="K854" s="29"/>
      <c r="L854" s="29" t="s">
        <v>7822</v>
      </c>
      <c r="M854" s="29"/>
      <c r="N854" s="29" t="s">
        <v>2108</v>
      </c>
      <c r="O854" s="29"/>
      <c r="P854" s="29" t="s">
        <v>7837</v>
      </c>
      <c r="Q854" t="s">
        <v>2038</v>
      </c>
      <c r="R854" t="s">
        <v>2632</v>
      </c>
      <c r="S854">
        <v>37</v>
      </c>
      <c r="T854" s="43" t="str">
        <f>HYPERLINK("https://ictv.global/ictv/proposals/2021.015B.R.Casjensviridae.zip","2021.015B.R.Casjensviridae.zip")</f>
        <v>2021.015B.R.Casjensviridae.zip</v>
      </c>
      <c r="U854" s="43" t="str">
        <f>HYPERLINK("https://ictv.global/taxonomy/taxondetails?taxnode_id=202212986","ictv.global=202212986")</f>
        <v>ictv.global=202212986</v>
      </c>
    </row>
    <row r="855" spans="1:21">
      <c r="A855">
        <v>854</v>
      </c>
      <c r="B855" s="29" t="s">
        <v>3682</v>
      </c>
      <c r="C855" s="29"/>
      <c r="D855" s="29" t="s">
        <v>3683</v>
      </c>
      <c r="E855" s="29"/>
      <c r="F855" s="29" t="s">
        <v>3686</v>
      </c>
      <c r="G855" s="29"/>
      <c r="H855" s="29" t="s">
        <v>3687</v>
      </c>
      <c r="I855" s="29"/>
      <c r="J855" s="29"/>
      <c r="K855" s="29"/>
      <c r="L855" s="29" t="s">
        <v>7822</v>
      </c>
      <c r="M855" s="29"/>
      <c r="N855" s="29" t="s">
        <v>2108</v>
      </c>
      <c r="O855" s="29"/>
      <c r="P855" s="29" t="s">
        <v>7838</v>
      </c>
      <c r="Q855" t="s">
        <v>2038</v>
      </c>
      <c r="R855" t="s">
        <v>2632</v>
      </c>
      <c r="S855">
        <v>37</v>
      </c>
      <c r="T855" s="43" t="str">
        <f>HYPERLINK("https://ictv.global/ictv/proposals/2021.015B.R.Casjensviridae.zip","2021.015B.R.Casjensviridae.zip")</f>
        <v>2021.015B.R.Casjensviridae.zip</v>
      </c>
      <c r="U855" s="43" t="str">
        <f>HYPERLINK("https://ictv.global/taxonomy/taxondetails?taxnode_id=202212988","ictv.global=202212988")</f>
        <v>ictv.global=202212988</v>
      </c>
    </row>
    <row r="856" spans="1:21">
      <c r="A856">
        <v>855</v>
      </c>
      <c r="B856" s="29" t="s">
        <v>3682</v>
      </c>
      <c r="C856" s="29"/>
      <c r="D856" s="29" t="s">
        <v>3683</v>
      </c>
      <c r="E856" s="29"/>
      <c r="F856" s="29" t="s">
        <v>3686</v>
      </c>
      <c r="G856" s="29"/>
      <c r="H856" s="29" t="s">
        <v>3687</v>
      </c>
      <c r="I856" s="29"/>
      <c r="J856" s="29"/>
      <c r="K856" s="29"/>
      <c r="L856" s="29" t="s">
        <v>7822</v>
      </c>
      <c r="M856" s="29"/>
      <c r="N856" s="29" t="s">
        <v>2108</v>
      </c>
      <c r="O856" s="29"/>
      <c r="P856" s="29" t="s">
        <v>7839</v>
      </c>
      <c r="Q856" t="s">
        <v>2038</v>
      </c>
      <c r="R856" t="s">
        <v>2633</v>
      </c>
      <c r="S856">
        <v>37</v>
      </c>
      <c r="T856" s="43" t="str">
        <f>HYPERLINK("https://ictv.global/ictv/proposals/2021.010B.R.Binomial_names.zip","2021.010B.R.Binomial_names.zip")</f>
        <v>2021.010B.R.Binomial_names.zip</v>
      </c>
      <c r="U856" s="43" t="str">
        <f>HYPERLINK("https://ictv.global/taxonomy/taxondetails?taxnode_id=202209873","ictv.global=202209873")</f>
        <v>ictv.global=202209873</v>
      </c>
    </row>
    <row r="857" spans="1:21">
      <c r="A857">
        <v>856</v>
      </c>
      <c r="B857" s="29" t="s">
        <v>3682</v>
      </c>
      <c r="C857" s="29"/>
      <c r="D857" s="29" t="s">
        <v>3683</v>
      </c>
      <c r="E857" s="29"/>
      <c r="F857" s="29" t="s">
        <v>3686</v>
      </c>
      <c r="G857" s="29"/>
      <c r="H857" s="29" t="s">
        <v>3687</v>
      </c>
      <c r="I857" s="29"/>
      <c r="J857" s="29"/>
      <c r="K857" s="29"/>
      <c r="L857" s="29" t="s">
        <v>7822</v>
      </c>
      <c r="M857" s="29"/>
      <c r="N857" s="29" t="s">
        <v>2108</v>
      </c>
      <c r="O857" s="29"/>
      <c r="P857" s="29" t="s">
        <v>7840</v>
      </c>
      <c r="Q857" t="s">
        <v>2038</v>
      </c>
      <c r="R857" t="s">
        <v>2633</v>
      </c>
      <c r="S857">
        <v>37</v>
      </c>
      <c r="T857" s="43" t="str">
        <f>HYPERLINK("https://ictv.global/ictv/proposals/2021.010B.R.Binomial_names.zip","2021.010B.R.Binomial_names.zip")</f>
        <v>2021.010B.R.Binomial_names.zip</v>
      </c>
      <c r="U857" s="43" t="str">
        <f>HYPERLINK("https://ictv.global/taxonomy/taxondetails?taxnode_id=202200928","ictv.global=202200928")</f>
        <v>ictv.global=202200928</v>
      </c>
    </row>
    <row r="858" spans="1:21">
      <c r="A858">
        <v>857</v>
      </c>
      <c r="B858" s="29" t="s">
        <v>3682</v>
      </c>
      <c r="C858" s="29"/>
      <c r="D858" s="29" t="s">
        <v>3683</v>
      </c>
      <c r="E858" s="29"/>
      <c r="F858" s="29" t="s">
        <v>3686</v>
      </c>
      <c r="G858" s="29"/>
      <c r="H858" s="29" t="s">
        <v>3687</v>
      </c>
      <c r="I858" s="29"/>
      <c r="J858" s="29"/>
      <c r="K858" s="29"/>
      <c r="L858" s="29" t="s">
        <v>7822</v>
      </c>
      <c r="M858" s="29"/>
      <c r="N858" s="29" t="s">
        <v>2108</v>
      </c>
      <c r="O858" s="29"/>
      <c r="P858" s="29" t="s">
        <v>7841</v>
      </c>
      <c r="Q858" t="s">
        <v>2038</v>
      </c>
      <c r="R858" t="s">
        <v>2633</v>
      </c>
      <c r="S858">
        <v>37</v>
      </c>
      <c r="T858" s="43" t="str">
        <f>HYPERLINK("https://ictv.global/ictv/proposals/2021.010B.R.Binomial_names.zip","2021.010B.R.Binomial_names.zip")</f>
        <v>2021.010B.R.Binomial_names.zip</v>
      </c>
      <c r="U858" s="43" t="str">
        <f>HYPERLINK("https://ictv.global/taxonomy/taxondetails?taxnode_id=202209867","ictv.global=202209867")</f>
        <v>ictv.global=202209867</v>
      </c>
    </row>
    <row r="859" spans="1:21">
      <c r="A859">
        <v>858</v>
      </c>
      <c r="B859" s="29" t="s">
        <v>3682</v>
      </c>
      <c r="C859" s="29"/>
      <c r="D859" s="29" t="s">
        <v>3683</v>
      </c>
      <c r="E859" s="29"/>
      <c r="F859" s="29" t="s">
        <v>3686</v>
      </c>
      <c r="G859" s="29"/>
      <c r="H859" s="29" t="s">
        <v>3687</v>
      </c>
      <c r="I859" s="29"/>
      <c r="J859" s="29"/>
      <c r="K859" s="29"/>
      <c r="L859" s="29" t="s">
        <v>7822</v>
      </c>
      <c r="M859" s="29"/>
      <c r="N859" s="29" t="s">
        <v>2108</v>
      </c>
      <c r="O859" s="29"/>
      <c r="P859" s="29" t="s">
        <v>7842</v>
      </c>
      <c r="Q859" t="s">
        <v>2038</v>
      </c>
      <c r="R859" t="s">
        <v>2633</v>
      </c>
      <c r="S859">
        <v>37</v>
      </c>
      <c r="T859" s="43" t="str">
        <f>HYPERLINK("https://ictv.global/ictv/proposals/2021.010B.R.Binomial_names.zip","2021.010B.R.Binomial_names.zip")</f>
        <v>2021.010B.R.Binomial_names.zip</v>
      </c>
      <c r="U859" s="43" t="str">
        <f>HYPERLINK("https://ictv.global/taxonomy/taxondetails?taxnode_id=202209874","ictv.global=202209874")</f>
        <v>ictv.global=202209874</v>
      </c>
    </row>
    <row r="860" spans="1:21">
      <c r="A860">
        <v>859</v>
      </c>
      <c r="B860" s="29" t="s">
        <v>3682</v>
      </c>
      <c r="C860" s="29"/>
      <c r="D860" s="29" t="s">
        <v>3683</v>
      </c>
      <c r="E860" s="29"/>
      <c r="F860" s="29" t="s">
        <v>3686</v>
      </c>
      <c r="G860" s="29"/>
      <c r="H860" s="29" t="s">
        <v>3687</v>
      </c>
      <c r="I860" s="29"/>
      <c r="J860" s="29"/>
      <c r="K860" s="29"/>
      <c r="L860" s="29" t="s">
        <v>7822</v>
      </c>
      <c r="M860" s="29"/>
      <c r="N860" s="29" t="s">
        <v>2108</v>
      </c>
      <c r="O860" s="29"/>
      <c r="P860" s="29" t="s">
        <v>4714</v>
      </c>
      <c r="Q860" t="s">
        <v>2038</v>
      </c>
      <c r="R860" t="s">
        <v>2634</v>
      </c>
      <c r="S860">
        <v>37</v>
      </c>
      <c r="T860" s="43" t="str">
        <f>HYPERLINK("https://ictv.global/ictv/proposals/2021.001B.R.abolish_Caudovirales.zip","2021.001B.R.abolish_Caudovirales.zip;2021.015B.A.v1.Casjensviridae.zip")</f>
        <v>2021.001B.R.abolish_Caudovirales.zip;2021.015B.A.v1.Casjensviridae.zip</v>
      </c>
      <c r="U860" s="43" t="str">
        <f>HYPERLINK("https://ictv.global/taxonomy/taxondetails?taxnode_id=202209870","ictv.global=202209870")</f>
        <v>ictv.global=202209870</v>
      </c>
    </row>
    <row r="861" spans="1:21">
      <c r="A861">
        <v>860</v>
      </c>
      <c r="B861" s="29" t="s">
        <v>3682</v>
      </c>
      <c r="C861" s="29"/>
      <c r="D861" s="29" t="s">
        <v>3683</v>
      </c>
      <c r="E861" s="29"/>
      <c r="F861" s="29" t="s">
        <v>3686</v>
      </c>
      <c r="G861" s="29"/>
      <c r="H861" s="29" t="s">
        <v>3687</v>
      </c>
      <c r="I861" s="29"/>
      <c r="J861" s="29"/>
      <c r="K861" s="29"/>
      <c r="L861" s="29" t="s">
        <v>7822</v>
      </c>
      <c r="M861" s="29"/>
      <c r="N861" s="29" t="s">
        <v>7843</v>
      </c>
      <c r="O861" s="29"/>
      <c r="P861" s="29" t="s">
        <v>7844</v>
      </c>
      <c r="Q861" t="s">
        <v>2038</v>
      </c>
      <c r="R861" t="s">
        <v>2632</v>
      </c>
      <c r="S861">
        <v>37</v>
      </c>
      <c r="T861" s="43" t="str">
        <f t="shared" ref="T861:T871" si="36">HYPERLINK("https://ictv.global/ictv/proposals/2021.015B.R.Casjensviridae.zip","2021.015B.R.Casjensviridae.zip")</f>
        <v>2021.015B.R.Casjensviridae.zip</v>
      </c>
      <c r="U861" s="43" t="str">
        <f>HYPERLINK("https://ictv.global/taxonomy/taxondetails?taxnode_id=202213023","ictv.global=202213023")</f>
        <v>ictv.global=202213023</v>
      </c>
    </row>
    <row r="862" spans="1:21">
      <c r="A862">
        <v>861</v>
      </c>
      <c r="B862" s="29" t="s">
        <v>3682</v>
      </c>
      <c r="C862" s="29"/>
      <c r="D862" s="29" t="s">
        <v>3683</v>
      </c>
      <c r="E862" s="29"/>
      <c r="F862" s="29" t="s">
        <v>3686</v>
      </c>
      <c r="G862" s="29"/>
      <c r="H862" s="29" t="s">
        <v>3687</v>
      </c>
      <c r="I862" s="29"/>
      <c r="J862" s="29"/>
      <c r="K862" s="29"/>
      <c r="L862" s="29" t="s">
        <v>7822</v>
      </c>
      <c r="M862" s="29"/>
      <c r="N862" s="29" t="s">
        <v>7845</v>
      </c>
      <c r="O862" s="29"/>
      <c r="P862" s="29" t="s">
        <v>7846</v>
      </c>
      <c r="Q862" t="s">
        <v>2038</v>
      </c>
      <c r="R862" t="s">
        <v>2632</v>
      </c>
      <c r="S862">
        <v>37</v>
      </c>
      <c r="T862" s="43" t="str">
        <f t="shared" si="36"/>
        <v>2021.015B.R.Casjensviridae.zip</v>
      </c>
      <c r="U862" s="43" t="str">
        <f>HYPERLINK("https://ictv.global/taxonomy/taxondetails?taxnode_id=202213033","ictv.global=202213033")</f>
        <v>ictv.global=202213033</v>
      </c>
    </row>
    <row r="863" spans="1:21">
      <c r="A863">
        <v>862</v>
      </c>
      <c r="B863" s="29" t="s">
        <v>3682</v>
      </c>
      <c r="C863" s="29"/>
      <c r="D863" s="29" t="s">
        <v>3683</v>
      </c>
      <c r="E863" s="29"/>
      <c r="F863" s="29" t="s">
        <v>3686</v>
      </c>
      <c r="G863" s="29"/>
      <c r="H863" s="29" t="s">
        <v>3687</v>
      </c>
      <c r="I863" s="29"/>
      <c r="J863" s="29"/>
      <c r="K863" s="29"/>
      <c r="L863" s="29" t="s">
        <v>7822</v>
      </c>
      <c r="M863" s="29"/>
      <c r="N863" s="29" t="s">
        <v>7847</v>
      </c>
      <c r="O863" s="29"/>
      <c r="P863" s="29" t="s">
        <v>7848</v>
      </c>
      <c r="Q863" t="s">
        <v>2038</v>
      </c>
      <c r="R863" t="s">
        <v>2632</v>
      </c>
      <c r="S863">
        <v>37</v>
      </c>
      <c r="T863" s="43" t="str">
        <f t="shared" si="36"/>
        <v>2021.015B.R.Casjensviridae.zip</v>
      </c>
      <c r="U863" s="43" t="str">
        <f>HYPERLINK("https://ictv.global/taxonomy/taxondetails?taxnode_id=202213027","ictv.global=202213027")</f>
        <v>ictv.global=202213027</v>
      </c>
    </row>
    <row r="864" spans="1:21">
      <c r="A864">
        <v>863</v>
      </c>
      <c r="B864" s="29" t="s">
        <v>3682</v>
      </c>
      <c r="C864" s="29"/>
      <c r="D864" s="29" t="s">
        <v>3683</v>
      </c>
      <c r="E864" s="29"/>
      <c r="F864" s="29" t="s">
        <v>3686</v>
      </c>
      <c r="G864" s="29"/>
      <c r="H864" s="29" t="s">
        <v>3687</v>
      </c>
      <c r="I864" s="29"/>
      <c r="J864" s="29"/>
      <c r="K864" s="29"/>
      <c r="L864" s="29" t="s">
        <v>7822</v>
      </c>
      <c r="M864" s="29"/>
      <c r="N864" s="29" t="s">
        <v>7849</v>
      </c>
      <c r="O864" s="29"/>
      <c r="P864" s="29" t="s">
        <v>7850</v>
      </c>
      <c r="Q864" t="s">
        <v>2038</v>
      </c>
      <c r="R864" t="s">
        <v>2632</v>
      </c>
      <c r="S864">
        <v>37</v>
      </c>
      <c r="T864" s="43" t="str">
        <f t="shared" si="36"/>
        <v>2021.015B.R.Casjensviridae.zip</v>
      </c>
      <c r="U864" s="43" t="str">
        <f>HYPERLINK("https://ictv.global/taxonomy/taxondetails?taxnode_id=202212996","ictv.global=202212996")</f>
        <v>ictv.global=202212996</v>
      </c>
    </row>
    <row r="865" spans="1:21">
      <c r="A865">
        <v>864</v>
      </c>
      <c r="B865" s="29" t="s">
        <v>3682</v>
      </c>
      <c r="C865" s="29"/>
      <c r="D865" s="29" t="s">
        <v>3683</v>
      </c>
      <c r="E865" s="29"/>
      <c r="F865" s="29" t="s">
        <v>3686</v>
      </c>
      <c r="G865" s="29"/>
      <c r="H865" s="29" t="s">
        <v>3687</v>
      </c>
      <c r="I865" s="29"/>
      <c r="J865" s="29"/>
      <c r="K865" s="29"/>
      <c r="L865" s="29" t="s">
        <v>7822</v>
      </c>
      <c r="M865" s="29"/>
      <c r="N865" s="29" t="s">
        <v>7851</v>
      </c>
      <c r="O865" s="29"/>
      <c r="P865" s="29" t="s">
        <v>7852</v>
      </c>
      <c r="Q865" t="s">
        <v>2038</v>
      </c>
      <c r="R865" t="s">
        <v>2632</v>
      </c>
      <c r="S865">
        <v>37</v>
      </c>
      <c r="T865" s="43" t="str">
        <f t="shared" si="36"/>
        <v>2021.015B.R.Casjensviridae.zip</v>
      </c>
      <c r="U865" s="43" t="str">
        <f>HYPERLINK("https://ictv.global/taxonomy/taxondetails?taxnode_id=202213025","ictv.global=202213025")</f>
        <v>ictv.global=202213025</v>
      </c>
    </row>
    <row r="866" spans="1:21">
      <c r="A866">
        <v>865</v>
      </c>
      <c r="B866" s="29" t="s">
        <v>3682</v>
      </c>
      <c r="C866" s="29"/>
      <c r="D866" s="29" t="s">
        <v>3683</v>
      </c>
      <c r="E866" s="29"/>
      <c r="F866" s="29" t="s">
        <v>3686</v>
      </c>
      <c r="G866" s="29"/>
      <c r="H866" s="29" t="s">
        <v>3687</v>
      </c>
      <c r="I866" s="29"/>
      <c r="J866" s="29"/>
      <c r="K866" s="29"/>
      <c r="L866" s="29" t="s">
        <v>7822</v>
      </c>
      <c r="M866" s="29"/>
      <c r="N866" s="29" t="s">
        <v>7853</v>
      </c>
      <c r="O866" s="29"/>
      <c r="P866" s="29" t="s">
        <v>7854</v>
      </c>
      <c r="Q866" t="s">
        <v>2038</v>
      </c>
      <c r="R866" t="s">
        <v>2632</v>
      </c>
      <c r="S866">
        <v>37</v>
      </c>
      <c r="T866" s="43" t="str">
        <f t="shared" si="36"/>
        <v>2021.015B.R.Casjensviridae.zip</v>
      </c>
      <c r="U866" s="43" t="str">
        <f>HYPERLINK("https://ictv.global/taxonomy/taxondetails?taxnode_id=202213015","ictv.global=202213015")</f>
        <v>ictv.global=202213015</v>
      </c>
    </row>
    <row r="867" spans="1:21">
      <c r="A867">
        <v>866</v>
      </c>
      <c r="B867" s="29" t="s">
        <v>3682</v>
      </c>
      <c r="C867" s="29"/>
      <c r="D867" s="29" t="s">
        <v>3683</v>
      </c>
      <c r="E867" s="29"/>
      <c r="F867" s="29" t="s">
        <v>3686</v>
      </c>
      <c r="G867" s="29"/>
      <c r="H867" s="29" t="s">
        <v>3687</v>
      </c>
      <c r="I867" s="29"/>
      <c r="J867" s="29"/>
      <c r="K867" s="29"/>
      <c r="L867" s="29" t="s">
        <v>7822</v>
      </c>
      <c r="M867" s="29"/>
      <c r="N867" s="29" t="s">
        <v>7855</v>
      </c>
      <c r="O867" s="29"/>
      <c r="P867" s="29" t="s">
        <v>7856</v>
      </c>
      <c r="Q867" t="s">
        <v>2038</v>
      </c>
      <c r="R867" t="s">
        <v>2632</v>
      </c>
      <c r="S867">
        <v>37</v>
      </c>
      <c r="T867" s="43" t="str">
        <f t="shared" si="36"/>
        <v>2021.015B.R.Casjensviridae.zip</v>
      </c>
      <c r="U867" s="43" t="str">
        <f>HYPERLINK("https://ictv.global/taxonomy/taxondetails?taxnode_id=202213005","ictv.global=202213005")</f>
        <v>ictv.global=202213005</v>
      </c>
    </row>
    <row r="868" spans="1:21">
      <c r="A868">
        <v>867</v>
      </c>
      <c r="B868" s="29" t="s">
        <v>3682</v>
      </c>
      <c r="C868" s="29"/>
      <c r="D868" s="29" t="s">
        <v>3683</v>
      </c>
      <c r="E868" s="29"/>
      <c r="F868" s="29" t="s">
        <v>3686</v>
      </c>
      <c r="G868" s="29"/>
      <c r="H868" s="29" t="s">
        <v>3687</v>
      </c>
      <c r="I868" s="29"/>
      <c r="J868" s="29"/>
      <c r="K868" s="29"/>
      <c r="L868" s="29" t="s">
        <v>7822</v>
      </c>
      <c r="M868" s="29"/>
      <c r="N868" s="29" t="s">
        <v>7857</v>
      </c>
      <c r="O868" s="29"/>
      <c r="P868" s="29" t="s">
        <v>7858</v>
      </c>
      <c r="Q868" t="s">
        <v>2038</v>
      </c>
      <c r="R868" t="s">
        <v>2632</v>
      </c>
      <c r="S868">
        <v>37</v>
      </c>
      <c r="T868" s="43" t="str">
        <f t="shared" si="36"/>
        <v>2021.015B.R.Casjensviridae.zip</v>
      </c>
      <c r="U868" s="43" t="str">
        <f>HYPERLINK("https://ictv.global/taxonomy/taxondetails?taxnode_id=202213009","ictv.global=202213009")</f>
        <v>ictv.global=202213009</v>
      </c>
    </row>
    <row r="869" spans="1:21">
      <c r="A869">
        <v>868</v>
      </c>
      <c r="B869" s="29" t="s">
        <v>3682</v>
      </c>
      <c r="C869" s="29"/>
      <c r="D869" s="29" t="s">
        <v>3683</v>
      </c>
      <c r="E869" s="29"/>
      <c r="F869" s="29" t="s">
        <v>3686</v>
      </c>
      <c r="G869" s="29"/>
      <c r="H869" s="29" t="s">
        <v>3687</v>
      </c>
      <c r="I869" s="29"/>
      <c r="J869" s="29"/>
      <c r="K869" s="29"/>
      <c r="L869" s="29" t="s">
        <v>7822</v>
      </c>
      <c r="M869" s="29"/>
      <c r="N869" s="29" t="s">
        <v>7857</v>
      </c>
      <c r="O869" s="29"/>
      <c r="P869" s="29" t="s">
        <v>7859</v>
      </c>
      <c r="Q869" t="s">
        <v>2038</v>
      </c>
      <c r="R869" t="s">
        <v>2632</v>
      </c>
      <c r="S869">
        <v>37</v>
      </c>
      <c r="T869" s="43" t="str">
        <f t="shared" si="36"/>
        <v>2021.015B.R.Casjensviridae.zip</v>
      </c>
      <c r="U869" s="43" t="str">
        <f>HYPERLINK("https://ictv.global/taxonomy/taxondetails?taxnode_id=202213007","ictv.global=202213007")</f>
        <v>ictv.global=202213007</v>
      </c>
    </row>
    <row r="870" spans="1:21">
      <c r="A870">
        <v>869</v>
      </c>
      <c r="B870" s="29" t="s">
        <v>3682</v>
      </c>
      <c r="C870" s="29"/>
      <c r="D870" s="29" t="s">
        <v>3683</v>
      </c>
      <c r="E870" s="29"/>
      <c r="F870" s="29" t="s">
        <v>3686</v>
      </c>
      <c r="G870" s="29"/>
      <c r="H870" s="29" t="s">
        <v>3687</v>
      </c>
      <c r="I870" s="29"/>
      <c r="J870" s="29"/>
      <c r="K870" s="29"/>
      <c r="L870" s="29" t="s">
        <v>7822</v>
      </c>
      <c r="M870" s="29"/>
      <c r="N870" s="29" t="s">
        <v>7857</v>
      </c>
      <c r="O870" s="29"/>
      <c r="P870" s="29" t="s">
        <v>7860</v>
      </c>
      <c r="Q870" t="s">
        <v>2038</v>
      </c>
      <c r="R870" t="s">
        <v>2632</v>
      </c>
      <c r="S870">
        <v>37</v>
      </c>
      <c r="T870" s="43" t="str">
        <f t="shared" si="36"/>
        <v>2021.015B.R.Casjensviridae.zip</v>
      </c>
      <c r="U870" s="43" t="str">
        <f>HYPERLINK("https://ictv.global/taxonomy/taxondetails?taxnode_id=202213008","ictv.global=202213008")</f>
        <v>ictv.global=202213008</v>
      </c>
    </row>
    <row r="871" spans="1:21">
      <c r="A871">
        <v>870</v>
      </c>
      <c r="B871" s="29" t="s">
        <v>3682</v>
      </c>
      <c r="C871" s="29"/>
      <c r="D871" s="29" t="s">
        <v>3683</v>
      </c>
      <c r="E871" s="29"/>
      <c r="F871" s="29" t="s">
        <v>3686</v>
      </c>
      <c r="G871" s="29"/>
      <c r="H871" s="29" t="s">
        <v>3687</v>
      </c>
      <c r="I871" s="29"/>
      <c r="J871" s="29"/>
      <c r="K871" s="29"/>
      <c r="L871" s="29" t="s">
        <v>7822</v>
      </c>
      <c r="M871" s="29"/>
      <c r="N871" s="29" t="s">
        <v>7861</v>
      </c>
      <c r="O871" s="29"/>
      <c r="P871" s="29" t="s">
        <v>7862</v>
      </c>
      <c r="Q871" t="s">
        <v>2038</v>
      </c>
      <c r="R871" t="s">
        <v>2632</v>
      </c>
      <c r="S871">
        <v>37</v>
      </c>
      <c r="T871" s="43" t="str">
        <f t="shared" si="36"/>
        <v>2021.015B.R.Casjensviridae.zip</v>
      </c>
      <c r="U871" s="43" t="str">
        <f>HYPERLINK("https://ictv.global/taxonomy/taxondetails?taxnode_id=202213029","ictv.global=202213029")</f>
        <v>ictv.global=202213029</v>
      </c>
    </row>
    <row r="872" spans="1:21">
      <c r="A872">
        <v>871</v>
      </c>
      <c r="B872" s="29" t="s">
        <v>3682</v>
      </c>
      <c r="C872" s="29"/>
      <c r="D872" s="29" t="s">
        <v>3683</v>
      </c>
      <c r="E872" s="29"/>
      <c r="F872" s="29" t="s">
        <v>3686</v>
      </c>
      <c r="G872" s="29"/>
      <c r="H872" s="29" t="s">
        <v>3687</v>
      </c>
      <c r="I872" s="29"/>
      <c r="J872" s="29"/>
      <c r="K872" s="29"/>
      <c r="L872" s="29" t="s">
        <v>7822</v>
      </c>
      <c r="M872" s="29"/>
      <c r="N872" s="29" t="s">
        <v>3420</v>
      </c>
      <c r="O872" s="29"/>
      <c r="P872" s="29" t="s">
        <v>3421</v>
      </c>
      <c r="Q872" t="s">
        <v>2038</v>
      </c>
      <c r="R872" t="s">
        <v>2634</v>
      </c>
      <c r="S872">
        <v>37</v>
      </c>
      <c r="T872" s="43" t="str">
        <f>HYPERLINK("https://ictv.global/ictv/proposals/2021.001B.R.abolish_Caudovirales.zip","2021.001B.R.abolish_Caudovirales.zip;2021.015B.A.v1.Casjensviridae.zip")</f>
        <v>2021.001B.R.abolish_Caudovirales.zip;2021.015B.A.v1.Casjensviridae.zip</v>
      </c>
      <c r="U872" s="43" t="str">
        <f>HYPERLINK("https://ictv.global/taxonomy/taxondetails?taxnode_id=202206776","ictv.global=202206776")</f>
        <v>ictv.global=202206776</v>
      </c>
    </row>
    <row r="873" spans="1:21">
      <c r="A873">
        <v>872</v>
      </c>
      <c r="B873" s="29" t="s">
        <v>3682</v>
      </c>
      <c r="C873" s="29"/>
      <c r="D873" s="29" t="s">
        <v>3683</v>
      </c>
      <c r="E873" s="29"/>
      <c r="F873" s="29" t="s">
        <v>3686</v>
      </c>
      <c r="G873" s="29"/>
      <c r="H873" s="29" t="s">
        <v>3687</v>
      </c>
      <c r="I873" s="29"/>
      <c r="J873" s="29"/>
      <c r="K873" s="29"/>
      <c r="L873" s="29" t="s">
        <v>7822</v>
      </c>
      <c r="M873" s="29"/>
      <c r="N873" s="29" t="s">
        <v>7863</v>
      </c>
      <c r="O873" s="29"/>
      <c r="P873" s="29" t="s">
        <v>7864</v>
      </c>
      <c r="Q873" t="s">
        <v>2038</v>
      </c>
      <c r="R873" t="s">
        <v>2632</v>
      </c>
      <c r="S873">
        <v>37</v>
      </c>
      <c r="T873" s="43" t="str">
        <f t="shared" ref="T873:T880" si="37">HYPERLINK("https://ictv.global/ictv/proposals/2021.015B.R.Casjensviridae.zip","2021.015B.R.Casjensviridae.zip")</f>
        <v>2021.015B.R.Casjensviridae.zip</v>
      </c>
      <c r="U873" s="43" t="str">
        <f>HYPERLINK("https://ictv.global/taxonomy/taxondetails?taxnode_id=202213031","ictv.global=202213031")</f>
        <v>ictv.global=202213031</v>
      </c>
    </row>
    <row r="874" spans="1:21">
      <c r="A874">
        <v>873</v>
      </c>
      <c r="B874" s="29" t="s">
        <v>3682</v>
      </c>
      <c r="C874" s="29"/>
      <c r="D874" s="29" t="s">
        <v>3683</v>
      </c>
      <c r="E874" s="29"/>
      <c r="F874" s="29" t="s">
        <v>3686</v>
      </c>
      <c r="G874" s="29"/>
      <c r="H874" s="29" t="s">
        <v>3687</v>
      </c>
      <c r="I874" s="29"/>
      <c r="J874" s="29"/>
      <c r="K874" s="29"/>
      <c r="L874" s="29" t="s">
        <v>7822</v>
      </c>
      <c r="M874" s="29"/>
      <c r="N874" s="29" t="s">
        <v>7865</v>
      </c>
      <c r="O874" s="29"/>
      <c r="P874" s="29" t="s">
        <v>7866</v>
      </c>
      <c r="Q874" t="s">
        <v>2038</v>
      </c>
      <c r="R874" t="s">
        <v>2632</v>
      </c>
      <c r="S874">
        <v>37</v>
      </c>
      <c r="T874" s="43" t="str">
        <f t="shared" si="37"/>
        <v>2021.015B.R.Casjensviridae.zip</v>
      </c>
      <c r="U874" s="43" t="str">
        <f>HYPERLINK("https://ictv.global/taxonomy/taxondetails?taxnode_id=202213000","ictv.global=202213000")</f>
        <v>ictv.global=202213000</v>
      </c>
    </row>
    <row r="875" spans="1:21">
      <c r="A875">
        <v>874</v>
      </c>
      <c r="B875" s="29" t="s">
        <v>3682</v>
      </c>
      <c r="C875" s="29"/>
      <c r="D875" s="29" t="s">
        <v>3683</v>
      </c>
      <c r="E875" s="29"/>
      <c r="F875" s="29" t="s">
        <v>3686</v>
      </c>
      <c r="G875" s="29"/>
      <c r="H875" s="29" t="s">
        <v>3687</v>
      </c>
      <c r="I875" s="29"/>
      <c r="J875" s="29"/>
      <c r="K875" s="29"/>
      <c r="L875" s="29" t="s">
        <v>7822</v>
      </c>
      <c r="M875" s="29"/>
      <c r="N875" s="29" t="s">
        <v>7865</v>
      </c>
      <c r="O875" s="29"/>
      <c r="P875" s="29" t="s">
        <v>7867</v>
      </c>
      <c r="Q875" t="s">
        <v>2038</v>
      </c>
      <c r="R875" t="s">
        <v>2632</v>
      </c>
      <c r="S875">
        <v>37</v>
      </c>
      <c r="T875" s="43" t="str">
        <f t="shared" si="37"/>
        <v>2021.015B.R.Casjensviridae.zip</v>
      </c>
      <c r="U875" s="43" t="str">
        <f>HYPERLINK("https://ictv.global/taxonomy/taxondetails?taxnode_id=202213001","ictv.global=202213001")</f>
        <v>ictv.global=202213001</v>
      </c>
    </row>
    <row r="876" spans="1:21">
      <c r="A876">
        <v>875</v>
      </c>
      <c r="B876" s="29" t="s">
        <v>3682</v>
      </c>
      <c r="C876" s="29"/>
      <c r="D876" s="29" t="s">
        <v>3683</v>
      </c>
      <c r="E876" s="29"/>
      <c r="F876" s="29" t="s">
        <v>3686</v>
      </c>
      <c r="G876" s="29"/>
      <c r="H876" s="29" t="s">
        <v>3687</v>
      </c>
      <c r="I876" s="29"/>
      <c r="J876" s="29"/>
      <c r="K876" s="29"/>
      <c r="L876" s="29" t="s">
        <v>7822</v>
      </c>
      <c r="M876" s="29"/>
      <c r="N876" s="29" t="s">
        <v>7868</v>
      </c>
      <c r="O876" s="29"/>
      <c r="P876" s="29" t="s">
        <v>7869</v>
      </c>
      <c r="Q876" t="s">
        <v>2038</v>
      </c>
      <c r="R876" t="s">
        <v>2632</v>
      </c>
      <c r="S876">
        <v>37</v>
      </c>
      <c r="T876" s="43" t="str">
        <f t="shared" si="37"/>
        <v>2021.015B.R.Casjensviridae.zip</v>
      </c>
      <c r="U876" s="43" t="str">
        <f>HYPERLINK("https://ictv.global/taxonomy/taxondetails?taxnode_id=202213020","ictv.global=202213020")</f>
        <v>ictv.global=202213020</v>
      </c>
    </row>
    <row r="877" spans="1:21">
      <c r="A877">
        <v>876</v>
      </c>
      <c r="B877" s="29" t="s">
        <v>3682</v>
      </c>
      <c r="C877" s="29"/>
      <c r="D877" s="29" t="s">
        <v>3683</v>
      </c>
      <c r="E877" s="29"/>
      <c r="F877" s="29" t="s">
        <v>3686</v>
      </c>
      <c r="G877" s="29"/>
      <c r="H877" s="29" t="s">
        <v>3687</v>
      </c>
      <c r="I877" s="29"/>
      <c r="J877" s="29"/>
      <c r="K877" s="29"/>
      <c r="L877" s="29" t="s">
        <v>7822</v>
      </c>
      <c r="M877" s="29"/>
      <c r="N877" s="29" t="s">
        <v>7868</v>
      </c>
      <c r="O877" s="29"/>
      <c r="P877" s="29" t="s">
        <v>7870</v>
      </c>
      <c r="Q877" t="s">
        <v>2038</v>
      </c>
      <c r="R877" t="s">
        <v>2632</v>
      </c>
      <c r="S877">
        <v>37</v>
      </c>
      <c r="T877" s="43" t="str">
        <f t="shared" si="37"/>
        <v>2021.015B.R.Casjensviridae.zip</v>
      </c>
      <c r="U877" s="43" t="str">
        <f>HYPERLINK("https://ictv.global/taxonomy/taxondetails?taxnode_id=202213019","ictv.global=202213019")</f>
        <v>ictv.global=202213019</v>
      </c>
    </row>
    <row r="878" spans="1:21">
      <c r="A878">
        <v>877</v>
      </c>
      <c r="B878" s="29" t="s">
        <v>3682</v>
      </c>
      <c r="C878" s="29"/>
      <c r="D878" s="29" t="s">
        <v>3683</v>
      </c>
      <c r="E878" s="29"/>
      <c r="F878" s="29" t="s">
        <v>3686</v>
      </c>
      <c r="G878" s="29"/>
      <c r="H878" s="29" t="s">
        <v>3687</v>
      </c>
      <c r="I878" s="29"/>
      <c r="J878" s="29"/>
      <c r="K878" s="29"/>
      <c r="L878" s="29" t="s">
        <v>7822</v>
      </c>
      <c r="M878" s="29"/>
      <c r="N878" s="29" t="s">
        <v>7868</v>
      </c>
      <c r="O878" s="29"/>
      <c r="P878" s="29" t="s">
        <v>7871</v>
      </c>
      <c r="Q878" t="s">
        <v>2038</v>
      </c>
      <c r="R878" t="s">
        <v>2632</v>
      </c>
      <c r="S878">
        <v>37</v>
      </c>
      <c r="T878" s="43" t="str">
        <f t="shared" si="37"/>
        <v>2021.015B.R.Casjensviridae.zip</v>
      </c>
      <c r="U878" s="43" t="str">
        <f>HYPERLINK("https://ictv.global/taxonomy/taxondetails?taxnode_id=202213021","ictv.global=202213021")</f>
        <v>ictv.global=202213021</v>
      </c>
    </row>
    <row r="879" spans="1:21">
      <c r="A879">
        <v>878</v>
      </c>
      <c r="B879" s="29" t="s">
        <v>3682</v>
      </c>
      <c r="C879" s="29"/>
      <c r="D879" s="29" t="s">
        <v>3683</v>
      </c>
      <c r="E879" s="29"/>
      <c r="F879" s="29" t="s">
        <v>3686</v>
      </c>
      <c r="G879" s="29"/>
      <c r="H879" s="29" t="s">
        <v>3687</v>
      </c>
      <c r="I879" s="29"/>
      <c r="J879" s="29"/>
      <c r="K879" s="29"/>
      <c r="L879" s="29" t="s">
        <v>7822</v>
      </c>
      <c r="M879" s="29"/>
      <c r="N879" s="29" t="s">
        <v>7872</v>
      </c>
      <c r="O879" s="29"/>
      <c r="P879" s="29" t="s">
        <v>7873</v>
      </c>
      <c r="Q879" t="s">
        <v>2038</v>
      </c>
      <c r="R879" t="s">
        <v>2632</v>
      </c>
      <c r="S879">
        <v>37</v>
      </c>
      <c r="T879" s="43" t="str">
        <f t="shared" si="37"/>
        <v>2021.015B.R.Casjensviridae.zip</v>
      </c>
      <c r="U879" s="43" t="str">
        <f>HYPERLINK("https://ictv.global/taxonomy/taxondetails?taxnode_id=202212994","ictv.global=202212994")</f>
        <v>ictv.global=202212994</v>
      </c>
    </row>
    <row r="880" spans="1:21">
      <c r="A880">
        <v>879</v>
      </c>
      <c r="B880" s="29" t="s">
        <v>3682</v>
      </c>
      <c r="C880" s="29"/>
      <c r="D880" s="29" t="s">
        <v>3683</v>
      </c>
      <c r="E880" s="29"/>
      <c r="F880" s="29" t="s">
        <v>3686</v>
      </c>
      <c r="G880" s="29"/>
      <c r="H880" s="29" t="s">
        <v>3687</v>
      </c>
      <c r="I880" s="29"/>
      <c r="J880" s="29"/>
      <c r="K880" s="29"/>
      <c r="L880" s="29" t="s">
        <v>7822</v>
      </c>
      <c r="M880" s="29"/>
      <c r="N880" s="29" t="s">
        <v>7872</v>
      </c>
      <c r="O880" s="29"/>
      <c r="P880" s="29" t="s">
        <v>7874</v>
      </c>
      <c r="Q880" t="s">
        <v>2038</v>
      </c>
      <c r="R880" t="s">
        <v>2633</v>
      </c>
      <c r="S880">
        <v>37</v>
      </c>
      <c r="T880" s="43" t="str">
        <f t="shared" si="37"/>
        <v>2021.015B.R.Casjensviridae.zip</v>
      </c>
      <c r="U880" s="43" t="str">
        <f>HYPERLINK("https://ictv.global/taxonomy/taxondetails?taxnode_id=202206884","ictv.global=202206884")</f>
        <v>ictv.global=202206884</v>
      </c>
    </row>
    <row r="881" spans="1:21">
      <c r="A881">
        <v>880</v>
      </c>
      <c r="B881" s="29" t="s">
        <v>3682</v>
      </c>
      <c r="C881" s="29"/>
      <c r="D881" s="29" t="s">
        <v>3683</v>
      </c>
      <c r="E881" s="29"/>
      <c r="F881" s="29" t="s">
        <v>3686</v>
      </c>
      <c r="G881" s="29"/>
      <c r="H881" s="29" t="s">
        <v>3687</v>
      </c>
      <c r="I881" s="29"/>
      <c r="J881" s="29"/>
      <c r="K881" s="29"/>
      <c r="L881" s="29" t="s">
        <v>7822</v>
      </c>
      <c r="M881" s="29"/>
      <c r="N881" s="29" t="s">
        <v>3594</v>
      </c>
      <c r="O881" s="29"/>
      <c r="P881" s="29" t="s">
        <v>3595</v>
      </c>
      <c r="Q881" t="s">
        <v>2038</v>
      </c>
      <c r="R881" t="s">
        <v>2634</v>
      </c>
      <c r="S881">
        <v>37</v>
      </c>
      <c r="T881" s="43" t="str">
        <f>HYPERLINK("https://ictv.global/ictv/proposals/2021.001B.R.abolish_Caudovirales.zip","2021.001B.R.abolish_Caudovirales.zip;2021.015B.A.v1.Casjensviridae.zip")</f>
        <v>2021.001B.R.abolish_Caudovirales.zip;2021.015B.A.v1.Casjensviridae.zip</v>
      </c>
      <c r="U881" s="43" t="str">
        <f>HYPERLINK("https://ictv.global/taxonomy/taxondetails?taxnode_id=202206883","ictv.global=202206883")</f>
        <v>ictv.global=202206883</v>
      </c>
    </row>
    <row r="882" spans="1:21">
      <c r="A882">
        <v>881</v>
      </c>
      <c r="B882" s="29" t="s">
        <v>3682</v>
      </c>
      <c r="C882" s="29"/>
      <c r="D882" s="29" t="s">
        <v>3683</v>
      </c>
      <c r="E882" s="29"/>
      <c r="F882" s="29" t="s">
        <v>3686</v>
      </c>
      <c r="G882" s="29"/>
      <c r="H882" s="29" t="s">
        <v>3687</v>
      </c>
      <c r="I882" s="29"/>
      <c r="J882" s="29"/>
      <c r="K882" s="29"/>
      <c r="L882" s="29" t="s">
        <v>7822</v>
      </c>
      <c r="M882" s="29"/>
      <c r="N882" s="29" t="s">
        <v>7875</v>
      </c>
      <c r="O882" s="29"/>
      <c r="P882" s="29" t="s">
        <v>7876</v>
      </c>
      <c r="Q882" t="s">
        <v>2038</v>
      </c>
      <c r="R882" t="s">
        <v>2632</v>
      </c>
      <c r="S882">
        <v>37</v>
      </c>
      <c r="T882" s="43" t="str">
        <f t="shared" ref="T882:T890" si="38">HYPERLINK("https://ictv.global/ictv/proposals/2021.015B.R.Casjensviridae.zip","2021.015B.R.Casjensviridae.zip")</f>
        <v>2021.015B.R.Casjensviridae.zip</v>
      </c>
      <c r="U882" s="43" t="str">
        <f>HYPERLINK("https://ictv.global/taxonomy/taxondetails?taxnode_id=202212998","ictv.global=202212998")</f>
        <v>ictv.global=202212998</v>
      </c>
    </row>
    <row r="883" spans="1:21">
      <c r="A883">
        <v>882</v>
      </c>
      <c r="B883" s="29" t="s">
        <v>3682</v>
      </c>
      <c r="C883" s="29"/>
      <c r="D883" s="29" t="s">
        <v>3683</v>
      </c>
      <c r="E883" s="29"/>
      <c r="F883" s="29" t="s">
        <v>3686</v>
      </c>
      <c r="G883" s="29"/>
      <c r="H883" s="29" t="s">
        <v>3687</v>
      </c>
      <c r="I883" s="29"/>
      <c r="J883" s="29"/>
      <c r="K883" s="29"/>
      <c r="L883" s="29" t="s">
        <v>7822</v>
      </c>
      <c r="M883" s="29"/>
      <c r="N883" s="29" t="s">
        <v>7877</v>
      </c>
      <c r="O883" s="29"/>
      <c r="P883" s="29" t="s">
        <v>7878</v>
      </c>
      <c r="Q883" t="s">
        <v>2038</v>
      </c>
      <c r="R883" t="s">
        <v>2632</v>
      </c>
      <c r="S883">
        <v>37</v>
      </c>
      <c r="T883" s="43" t="str">
        <f t="shared" si="38"/>
        <v>2021.015B.R.Casjensviridae.zip</v>
      </c>
      <c r="U883" s="43" t="str">
        <f>HYPERLINK("https://ictv.global/taxonomy/taxondetails?taxnode_id=202212992","ictv.global=202212992")</f>
        <v>ictv.global=202212992</v>
      </c>
    </row>
    <row r="884" spans="1:21">
      <c r="A884">
        <v>883</v>
      </c>
      <c r="B884" s="29" t="s">
        <v>3682</v>
      </c>
      <c r="C884" s="29"/>
      <c r="D884" s="29" t="s">
        <v>3683</v>
      </c>
      <c r="E884" s="29"/>
      <c r="F884" s="29" t="s">
        <v>3686</v>
      </c>
      <c r="G884" s="29"/>
      <c r="H884" s="29" t="s">
        <v>3687</v>
      </c>
      <c r="I884" s="29"/>
      <c r="J884" s="29"/>
      <c r="K884" s="29"/>
      <c r="L884" s="29" t="s">
        <v>7822</v>
      </c>
      <c r="M884" s="29"/>
      <c r="N884" s="29" t="s">
        <v>7879</v>
      </c>
      <c r="O884" s="29"/>
      <c r="P884" s="29" t="s">
        <v>7880</v>
      </c>
      <c r="Q884" t="s">
        <v>2038</v>
      </c>
      <c r="R884" t="s">
        <v>2632</v>
      </c>
      <c r="S884">
        <v>37</v>
      </c>
      <c r="T884" s="43" t="str">
        <f t="shared" si="38"/>
        <v>2021.015B.R.Casjensviridae.zip</v>
      </c>
      <c r="U884" s="43" t="str">
        <f>HYPERLINK("https://ictv.global/taxonomy/taxondetails?taxnode_id=202213013","ictv.global=202213013")</f>
        <v>ictv.global=202213013</v>
      </c>
    </row>
    <row r="885" spans="1:21">
      <c r="A885">
        <v>884</v>
      </c>
      <c r="B885" s="29" t="s">
        <v>3682</v>
      </c>
      <c r="C885" s="29"/>
      <c r="D885" s="29" t="s">
        <v>3683</v>
      </c>
      <c r="E885" s="29"/>
      <c r="F885" s="29" t="s">
        <v>3686</v>
      </c>
      <c r="G885" s="29"/>
      <c r="H885" s="29" t="s">
        <v>3687</v>
      </c>
      <c r="I885" s="29"/>
      <c r="J885" s="29"/>
      <c r="K885" s="29"/>
      <c r="L885" s="29" t="s">
        <v>7822</v>
      </c>
      <c r="M885" s="29"/>
      <c r="N885" s="29" t="s">
        <v>7879</v>
      </c>
      <c r="O885" s="29"/>
      <c r="P885" s="29" t="s">
        <v>7881</v>
      </c>
      <c r="Q885" t="s">
        <v>2038</v>
      </c>
      <c r="R885" t="s">
        <v>2632</v>
      </c>
      <c r="S885">
        <v>37</v>
      </c>
      <c r="T885" s="43" t="str">
        <f t="shared" si="38"/>
        <v>2021.015B.R.Casjensviridae.zip</v>
      </c>
      <c r="U885" s="43" t="str">
        <f>HYPERLINK("https://ictv.global/taxonomy/taxondetails?taxnode_id=202213012","ictv.global=202213012")</f>
        <v>ictv.global=202213012</v>
      </c>
    </row>
    <row r="886" spans="1:21">
      <c r="A886">
        <v>885</v>
      </c>
      <c r="B886" s="29" t="s">
        <v>3682</v>
      </c>
      <c r="C886" s="29"/>
      <c r="D886" s="29" t="s">
        <v>3683</v>
      </c>
      <c r="E886" s="29"/>
      <c r="F886" s="29" t="s">
        <v>3686</v>
      </c>
      <c r="G886" s="29"/>
      <c r="H886" s="29" t="s">
        <v>3687</v>
      </c>
      <c r="I886" s="29"/>
      <c r="J886" s="29"/>
      <c r="K886" s="29"/>
      <c r="L886" s="29" t="s">
        <v>7822</v>
      </c>
      <c r="M886" s="29"/>
      <c r="N886" s="29" t="s">
        <v>7879</v>
      </c>
      <c r="O886" s="29"/>
      <c r="P886" s="29" t="s">
        <v>7882</v>
      </c>
      <c r="Q886" t="s">
        <v>2038</v>
      </c>
      <c r="R886" t="s">
        <v>2632</v>
      </c>
      <c r="S886">
        <v>37</v>
      </c>
      <c r="T886" s="43" t="str">
        <f t="shared" si="38"/>
        <v>2021.015B.R.Casjensviridae.zip</v>
      </c>
      <c r="U886" s="43" t="str">
        <f>HYPERLINK("https://ictv.global/taxonomy/taxondetails?taxnode_id=202213011","ictv.global=202213011")</f>
        <v>ictv.global=202213011</v>
      </c>
    </row>
    <row r="887" spans="1:21">
      <c r="A887">
        <v>886</v>
      </c>
      <c r="B887" s="29" t="s">
        <v>3682</v>
      </c>
      <c r="C887" s="29"/>
      <c r="D887" s="29" t="s">
        <v>3683</v>
      </c>
      <c r="E887" s="29"/>
      <c r="F887" s="29" t="s">
        <v>3686</v>
      </c>
      <c r="G887" s="29"/>
      <c r="H887" s="29" t="s">
        <v>3687</v>
      </c>
      <c r="I887" s="29"/>
      <c r="J887" s="29"/>
      <c r="K887" s="29"/>
      <c r="L887" s="29" t="s">
        <v>7822</v>
      </c>
      <c r="M887" s="29"/>
      <c r="N887" s="29" t="s">
        <v>4793</v>
      </c>
      <c r="O887" s="29"/>
      <c r="P887" s="29" t="s">
        <v>7883</v>
      </c>
      <c r="Q887" t="s">
        <v>2038</v>
      </c>
      <c r="R887" t="s">
        <v>2633</v>
      </c>
      <c r="S887">
        <v>37</v>
      </c>
      <c r="T887" s="43" t="str">
        <f t="shared" si="38"/>
        <v>2021.015B.R.Casjensviridae.zip</v>
      </c>
      <c r="U887" s="43" t="str">
        <f>HYPERLINK("https://ictv.global/taxonomy/taxondetails?taxnode_id=202212126","ictv.global=202212126")</f>
        <v>ictv.global=202212126</v>
      </c>
    </row>
    <row r="888" spans="1:21">
      <c r="A888">
        <v>887</v>
      </c>
      <c r="B888" s="29" t="s">
        <v>3682</v>
      </c>
      <c r="C888" s="29"/>
      <c r="D888" s="29" t="s">
        <v>3683</v>
      </c>
      <c r="E888" s="29"/>
      <c r="F888" s="29" t="s">
        <v>3686</v>
      </c>
      <c r="G888" s="29"/>
      <c r="H888" s="29" t="s">
        <v>3687</v>
      </c>
      <c r="I888" s="29"/>
      <c r="J888" s="29"/>
      <c r="K888" s="29"/>
      <c r="L888" s="29" t="s">
        <v>7822</v>
      </c>
      <c r="M888" s="29"/>
      <c r="N888" s="29" t="s">
        <v>4793</v>
      </c>
      <c r="O888" s="29"/>
      <c r="P888" s="29" t="s">
        <v>7884</v>
      </c>
      <c r="Q888" t="s">
        <v>2038</v>
      </c>
      <c r="R888" t="s">
        <v>2633</v>
      </c>
      <c r="S888">
        <v>37</v>
      </c>
      <c r="T888" s="43" t="str">
        <f t="shared" si="38"/>
        <v>2021.015B.R.Casjensviridae.zip</v>
      </c>
      <c r="U888" s="43" t="str">
        <f>HYPERLINK("https://ictv.global/taxonomy/taxondetails?taxnode_id=202212127","ictv.global=202212127")</f>
        <v>ictv.global=202212127</v>
      </c>
    </row>
    <row r="889" spans="1:21">
      <c r="A889">
        <v>888</v>
      </c>
      <c r="B889" s="29" t="s">
        <v>3682</v>
      </c>
      <c r="C889" s="29"/>
      <c r="D889" s="29" t="s">
        <v>3683</v>
      </c>
      <c r="E889" s="29"/>
      <c r="F889" s="29" t="s">
        <v>3686</v>
      </c>
      <c r="G889" s="29"/>
      <c r="H889" s="29" t="s">
        <v>3687</v>
      </c>
      <c r="I889" s="29"/>
      <c r="J889" s="29"/>
      <c r="K889" s="29"/>
      <c r="L889" s="29" t="s">
        <v>7822</v>
      </c>
      <c r="M889" s="29"/>
      <c r="N889" s="29" t="s">
        <v>4793</v>
      </c>
      <c r="O889" s="29"/>
      <c r="P889" s="29" t="s">
        <v>7885</v>
      </c>
      <c r="Q889" t="s">
        <v>2038</v>
      </c>
      <c r="R889" t="s">
        <v>2633</v>
      </c>
      <c r="S889">
        <v>37</v>
      </c>
      <c r="T889" s="43" t="str">
        <f t="shared" si="38"/>
        <v>2021.015B.R.Casjensviridae.zip</v>
      </c>
      <c r="U889" s="43" t="str">
        <f>HYPERLINK("https://ictv.global/taxonomy/taxondetails?taxnode_id=202212128","ictv.global=202212128")</f>
        <v>ictv.global=202212128</v>
      </c>
    </row>
    <row r="890" spans="1:21">
      <c r="A890">
        <v>889</v>
      </c>
      <c r="B890" s="29" t="s">
        <v>3682</v>
      </c>
      <c r="C890" s="29"/>
      <c r="D890" s="29" t="s">
        <v>3683</v>
      </c>
      <c r="E890" s="29"/>
      <c r="F890" s="29" t="s">
        <v>3686</v>
      </c>
      <c r="G890" s="29"/>
      <c r="H890" s="29" t="s">
        <v>3687</v>
      </c>
      <c r="I890" s="29"/>
      <c r="J890" s="29"/>
      <c r="K890" s="29"/>
      <c r="L890" s="29" t="s">
        <v>7822</v>
      </c>
      <c r="M890" s="29"/>
      <c r="N890" s="29" t="s">
        <v>7886</v>
      </c>
      <c r="O890" s="29"/>
      <c r="P890" s="29" t="s">
        <v>7887</v>
      </c>
      <c r="Q890" t="s">
        <v>2038</v>
      </c>
      <c r="R890" t="s">
        <v>2632</v>
      </c>
      <c r="S890">
        <v>37</v>
      </c>
      <c r="T890" s="43" t="str">
        <f t="shared" si="38"/>
        <v>2021.015B.R.Casjensviridae.zip</v>
      </c>
      <c r="U890" s="43" t="str">
        <f>HYPERLINK("https://ictv.global/taxonomy/taxondetails?taxnode_id=202213017","ictv.global=202213017")</f>
        <v>ictv.global=202213017</v>
      </c>
    </row>
    <row r="891" spans="1:21">
      <c r="A891">
        <v>890</v>
      </c>
      <c r="B891" s="29" t="s">
        <v>3682</v>
      </c>
      <c r="C891" s="29"/>
      <c r="D891" s="29" t="s">
        <v>3683</v>
      </c>
      <c r="E891" s="29"/>
      <c r="F891" s="29" t="s">
        <v>3686</v>
      </c>
      <c r="G891" s="29"/>
      <c r="H891" s="29" t="s">
        <v>3687</v>
      </c>
      <c r="I891" s="29"/>
      <c r="J891" s="29"/>
      <c r="K891" s="29"/>
      <c r="L891" s="29" t="s">
        <v>3836</v>
      </c>
      <c r="M891" s="29" t="s">
        <v>4502</v>
      </c>
      <c r="N891" s="29" t="s">
        <v>3837</v>
      </c>
      <c r="O891" s="29"/>
      <c r="P891" s="29" t="s">
        <v>7888</v>
      </c>
      <c r="Q891" t="s">
        <v>2038</v>
      </c>
      <c r="R891" t="s">
        <v>2633</v>
      </c>
      <c r="S891">
        <v>37</v>
      </c>
      <c r="T891" s="43" t="str">
        <f t="shared" ref="T891:T904" si="39">HYPERLINK("https://ictv.global/ictv/proposals/2021.010B.R.Binomial_names.zip","2021.010B.R.Binomial_names.zip")</f>
        <v>2021.010B.R.Binomial_names.zip</v>
      </c>
      <c r="U891" s="43" t="str">
        <f>HYPERLINK("https://ictv.global/taxonomy/taxondetails?taxnode_id=202209855","ictv.global=202209855")</f>
        <v>ictv.global=202209855</v>
      </c>
    </row>
    <row r="892" spans="1:21">
      <c r="A892">
        <v>891</v>
      </c>
      <c r="B892" s="29" t="s">
        <v>3682</v>
      </c>
      <c r="C892" s="29"/>
      <c r="D892" s="29" t="s">
        <v>3683</v>
      </c>
      <c r="E892" s="29"/>
      <c r="F892" s="29" t="s">
        <v>3686</v>
      </c>
      <c r="G892" s="29"/>
      <c r="H892" s="29" t="s">
        <v>3687</v>
      </c>
      <c r="I892" s="29"/>
      <c r="J892" s="29"/>
      <c r="K892" s="29"/>
      <c r="L892" s="29" t="s">
        <v>3836</v>
      </c>
      <c r="M892" s="29" t="s">
        <v>4502</v>
      </c>
      <c r="N892" s="29" t="s">
        <v>3837</v>
      </c>
      <c r="O892" s="29"/>
      <c r="P892" s="29" t="s">
        <v>7889</v>
      </c>
      <c r="Q892" t="s">
        <v>2038</v>
      </c>
      <c r="R892" t="s">
        <v>2633</v>
      </c>
      <c r="S892">
        <v>37</v>
      </c>
      <c r="T892" s="43" t="str">
        <f t="shared" si="39"/>
        <v>2021.010B.R.Binomial_names.zip</v>
      </c>
      <c r="U892" s="43" t="str">
        <f>HYPERLINK("https://ictv.global/taxonomy/taxondetails?taxnode_id=202207739","ictv.global=202207739")</f>
        <v>ictv.global=202207739</v>
      </c>
    </row>
    <row r="893" spans="1:21">
      <c r="A893">
        <v>892</v>
      </c>
      <c r="B893" s="29" t="s">
        <v>3682</v>
      </c>
      <c r="C893" s="29"/>
      <c r="D893" s="29" t="s">
        <v>3683</v>
      </c>
      <c r="E893" s="29"/>
      <c r="F893" s="29" t="s">
        <v>3686</v>
      </c>
      <c r="G893" s="29"/>
      <c r="H893" s="29" t="s">
        <v>3687</v>
      </c>
      <c r="I893" s="29"/>
      <c r="J893" s="29"/>
      <c r="K893" s="29"/>
      <c r="L893" s="29" t="s">
        <v>3836</v>
      </c>
      <c r="M893" s="29" t="s">
        <v>4502</v>
      </c>
      <c r="N893" s="29" t="s">
        <v>3837</v>
      </c>
      <c r="O893" s="29"/>
      <c r="P893" s="29" t="s">
        <v>7890</v>
      </c>
      <c r="Q893" t="s">
        <v>2038</v>
      </c>
      <c r="R893" t="s">
        <v>2633</v>
      </c>
      <c r="S893">
        <v>37</v>
      </c>
      <c r="T893" s="43" t="str">
        <f t="shared" si="39"/>
        <v>2021.010B.R.Binomial_names.zip</v>
      </c>
      <c r="U893" s="43" t="str">
        <f>HYPERLINK("https://ictv.global/taxonomy/taxondetails?taxnode_id=202209854","ictv.global=202209854")</f>
        <v>ictv.global=202209854</v>
      </c>
    </row>
    <row r="894" spans="1:21">
      <c r="A894">
        <v>893</v>
      </c>
      <c r="B894" s="29" t="s">
        <v>3682</v>
      </c>
      <c r="C894" s="29"/>
      <c r="D894" s="29" t="s">
        <v>3683</v>
      </c>
      <c r="E894" s="29"/>
      <c r="F894" s="29" t="s">
        <v>3686</v>
      </c>
      <c r="G894" s="29"/>
      <c r="H894" s="29" t="s">
        <v>3687</v>
      </c>
      <c r="I894" s="29"/>
      <c r="J894" s="29"/>
      <c r="K894" s="29"/>
      <c r="L894" s="29" t="s">
        <v>3836</v>
      </c>
      <c r="M894" s="29" t="s">
        <v>4502</v>
      </c>
      <c r="N894" s="29" t="s">
        <v>3837</v>
      </c>
      <c r="O894" s="29"/>
      <c r="P894" s="29" t="s">
        <v>7891</v>
      </c>
      <c r="Q894" t="s">
        <v>2038</v>
      </c>
      <c r="R894" t="s">
        <v>2633</v>
      </c>
      <c r="S894">
        <v>37</v>
      </c>
      <c r="T894" s="43" t="str">
        <f t="shared" si="39"/>
        <v>2021.010B.R.Binomial_names.zip</v>
      </c>
      <c r="U894" s="43" t="str">
        <f>HYPERLINK("https://ictv.global/taxonomy/taxondetails?taxnode_id=202207740","ictv.global=202207740")</f>
        <v>ictv.global=202207740</v>
      </c>
    </row>
    <row r="895" spans="1:21">
      <c r="A895">
        <v>894</v>
      </c>
      <c r="B895" s="29" t="s">
        <v>3682</v>
      </c>
      <c r="C895" s="29"/>
      <c r="D895" s="29" t="s">
        <v>3683</v>
      </c>
      <c r="E895" s="29"/>
      <c r="F895" s="29" t="s">
        <v>3686</v>
      </c>
      <c r="G895" s="29"/>
      <c r="H895" s="29" t="s">
        <v>3687</v>
      </c>
      <c r="I895" s="29"/>
      <c r="J895" s="29"/>
      <c r="K895" s="29"/>
      <c r="L895" s="29" t="s">
        <v>3836</v>
      </c>
      <c r="M895" s="29" t="s">
        <v>4502</v>
      </c>
      <c r="N895" s="29" t="s">
        <v>3838</v>
      </c>
      <c r="O895" s="29"/>
      <c r="P895" s="29" t="s">
        <v>7892</v>
      </c>
      <c r="Q895" t="s">
        <v>2038</v>
      </c>
      <c r="R895" t="s">
        <v>2633</v>
      </c>
      <c r="S895">
        <v>37</v>
      </c>
      <c r="T895" s="43" t="str">
        <f t="shared" si="39"/>
        <v>2021.010B.R.Binomial_names.zip</v>
      </c>
      <c r="U895" s="43" t="str">
        <f>HYPERLINK("https://ictv.global/taxonomy/taxondetails?taxnode_id=202207742","ictv.global=202207742")</f>
        <v>ictv.global=202207742</v>
      </c>
    </row>
    <row r="896" spans="1:21">
      <c r="A896">
        <v>895</v>
      </c>
      <c r="B896" s="29" t="s">
        <v>3682</v>
      </c>
      <c r="C896" s="29"/>
      <c r="D896" s="29" t="s">
        <v>3683</v>
      </c>
      <c r="E896" s="29"/>
      <c r="F896" s="29" t="s">
        <v>3686</v>
      </c>
      <c r="G896" s="29"/>
      <c r="H896" s="29" t="s">
        <v>3687</v>
      </c>
      <c r="I896" s="29"/>
      <c r="J896" s="29"/>
      <c r="K896" s="29"/>
      <c r="L896" s="29" t="s">
        <v>3836</v>
      </c>
      <c r="M896" s="29" t="s">
        <v>4502</v>
      </c>
      <c r="N896" s="29" t="s">
        <v>3839</v>
      </c>
      <c r="O896" s="29"/>
      <c r="P896" s="29" t="s">
        <v>7893</v>
      </c>
      <c r="Q896" t="s">
        <v>2038</v>
      </c>
      <c r="R896" t="s">
        <v>2633</v>
      </c>
      <c r="S896">
        <v>37</v>
      </c>
      <c r="T896" s="43" t="str">
        <f t="shared" si="39"/>
        <v>2021.010B.R.Binomial_names.zip</v>
      </c>
      <c r="U896" s="43" t="str">
        <f>HYPERLINK("https://ictv.global/taxonomy/taxondetails?taxnode_id=202209858","ictv.global=202209858")</f>
        <v>ictv.global=202209858</v>
      </c>
    </row>
    <row r="897" spans="1:21">
      <c r="A897">
        <v>896</v>
      </c>
      <c r="B897" s="29" t="s">
        <v>3682</v>
      </c>
      <c r="C897" s="29"/>
      <c r="D897" s="29" t="s">
        <v>3683</v>
      </c>
      <c r="E897" s="29"/>
      <c r="F897" s="29" t="s">
        <v>3686</v>
      </c>
      <c r="G897" s="29"/>
      <c r="H897" s="29" t="s">
        <v>3687</v>
      </c>
      <c r="I897" s="29"/>
      <c r="J897" s="29"/>
      <c r="K897" s="29"/>
      <c r="L897" s="29" t="s">
        <v>3836</v>
      </c>
      <c r="M897" s="29" t="s">
        <v>4502</v>
      </c>
      <c r="N897" s="29" t="s">
        <v>3839</v>
      </c>
      <c r="O897" s="29"/>
      <c r="P897" s="29" t="s">
        <v>7894</v>
      </c>
      <c r="Q897" t="s">
        <v>2038</v>
      </c>
      <c r="R897" t="s">
        <v>2633</v>
      </c>
      <c r="S897">
        <v>37</v>
      </c>
      <c r="T897" s="43" t="str">
        <f t="shared" si="39"/>
        <v>2021.010B.R.Binomial_names.zip</v>
      </c>
      <c r="U897" s="43" t="str">
        <f>HYPERLINK("https://ictv.global/taxonomy/taxondetails?taxnode_id=202207752","ictv.global=202207752")</f>
        <v>ictv.global=202207752</v>
      </c>
    </row>
    <row r="898" spans="1:21">
      <c r="A898">
        <v>897</v>
      </c>
      <c r="B898" s="29" t="s">
        <v>3682</v>
      </c>
      <c r="C898" s="29"/>
      <c r="D898" s="29" t="s">
        <v>3683</v>
      </c>
      <c r="E898" s="29"/>
      <c r="F898" s="29" t="s">
        <v>3686</v>
      </c>
      <c r="G898" s="29"/>
      <c r="H898" s="29" t="s">
        <v>3687</v>
      </c>
      <c r="I898" s="29"/>
      <c r="J898" s="29"/>
      <c r="K898" s="29"/>
      <c r="L898" s="29" t="s">
        <v>3836</v>
      </c>
      <c r="M898" s="29" t="s">
        <v>4502</v>
      </c>
      <c r="N898" s="29" t="s">
        <v>4503</v>
      </c>
      <c r="O898" s="29"/>
      <c r="P898" s="29" t="s">
        <v>7895</v>
      </c>
      <c r="Q898" t="s">
        <v>2038</v>
      </c>
      <c r="R898" t="s">
        <v>2633</v>
      </c>
      <c r="S898">
        <v>37</v>
      </c>
      <c r="T898" s="43" t="str">
        <f t="shared" si="39"/>
        <v>2021.010B.R.Binomial_names.zip</v>
      </c>
      <c r="U898" s="43" t="str">
        <f>HYPERLINK("https://ictv.global/taxonomy/taxondetails?taxnode_id=202209857","ictv.global=202209857")</f>
        <v>ictv.global=202209857</v>
      </c>
    </row>
    <row r="899" spans="1:21">
      <c r="A899">
        <v>898</v>
      </c>
      <c r="B899" s="29" t="s">
        <v>3682</v>
      </c>
      <c r="C899" s="29"/>
      <c r="D899" s="29" t="s">
        <v>3683</v>
      </c>
      <c r="E899" s="29"/>
      <c r="F899" s="29" t="s">
        <v>3686</v>
      </c>
      <c r="G899" s="29"/>
      <c r="H899" s="29" t="s">
        <v>3687</v>
      </c>
      <c r="I899" s="29"/>
      <c r="J899" s="29"/>
      <c r="K899" s="29"/>
      <c r="L899" s="29" t="s">
        <v>3836</v>
      </c>
      <c r="M899" s="29" t="s">
        <v>4502</v>
      </c>
      <c r="N899" s="29" t="s">
        <v>4504</v>
      </c>
      <c r="O899" s="29"/>
      <c r="P899" s="29" t="s">
        <v>7896</v>
      </c>
      <c r="Q899" t="s">
        <v>2038</v>
      </c>
      <c r="R899" t="s">
        <v>2633</v>
      </c>
      <c r="S899">
        <v>37</v>
      </c>
      <c r="T899" s="43" t="str">
        <f t="shared" si="39"/>
        <v>2021.010B.R.Binomial_names.zip</v>
      </c>
      <c r="U899" s="43" t="str">
        <f>HYPERLINK("https://ictv.global/taxonomy/taxondetails?taxnode_id=202209860","ictv.global=202209860")</f>
        <v>ictv.global=202209860</v>
      </c>
    </row>
    <row r="900" spans="1:21">
      <c r="A900">
        <v>899</v>
      </c>
      <c r="B900" s="29" t="s">
        <v>3682</v>
      </c>
      <c r="C900" s="29"/>
      <c r="D900" s="29" t="s">
        <v>3683</v>
      </c>
      <c r="E900" s="29"/>
      <c r="F900" s="29" t="s">
        <v>3686</v>
      </c>
      <c r="G900" s="29"/>
      <c r="H900" s="29" t="s">
        <v>3687</v>
      </c>
      <c r="I900" s="29"/>
      <c r="J900" s="29"/>
      <c r="K900" s="29"/>
      <c r="L900" s="29" t="s">
        <v>3836</v>
      </c>
      <c r="M900" s="29" t="s">
        <v>4502</v>
      </c>
      <c r="N900" s="29" t="s">
        <v>3841</v>
      </c>
      <c r="O900" s="29"/>
      <c r="P900" s="29" t="s">
        <v>7897</v>
      </c>
      <c r="Q900" t="s">
        <v>2038</v>
      </c>
      <c r="R900" t="s">
        <v>2633</v>
      </c>
      <c r="S900">
        <v>37</v>
      </c>
      <c r="T900" s="43" t="str">
        <f t="shared" si="39"/>
        <v>2021.010B.R.Binomial_names.zip</v>
      </c>
      <c r="U900" s="43" t="str">
        <f>HYPERLINK("https://ictv.global/taxonomy/taxondetails?taxnode_id=202207744","ictv.global=202207744")</f>
        <v>ictv.global=202207744</v>
      </c>
    </row>
    <row r="901" spans="1:21">
      <c r="A901">
        <v>900</v>
      </c>
      <c r="B901" s="29" t="s">
        <v>3682</v>
      </c>
      <c r="C901" s="29"/>
      <c r="D901" s="29" t="s">
        <v>3683</v>
      </c>
      <c r="E901" s="29"/>
      <c r="F901" s="29" t="s">
        <v>3686</v>
      </c>
      <c r="G901" s="29"/>
      <c r="H901" s="29" t="s">
        <v>3687</v>
      </c>
      <c r="I901" s="29"/>
      <c r="J901" s="29"/>
      <c r="K901" s="29"/>
      <c r="L901" s="29" t="s">
        <v>3836</v>
      </c>
      <c r="M901" s="29" t="s">
        <v>4502</v>
      </c>
      <c r="N901" s="29" t="s">
        <v>3841</v>
      </c>
      <c r="O901" s="29"/>
      <c r="P901" s="29" t="s">
        <v>7898</v>
      </c>
      <c r="Q901" t="s">
        <v>2038</v>
      </c>
      <c r="R901" t="s">
        <v>2633</v>
      </c>
      <c r="S901">
        <v>37</v>
      </c>
      <c r="T901" s="43" t="str">
        <f t="shared" si="39"/>
        <v>2021.010B.R.Binomial_names.zip</v>
      </c>
      <c r="U901" s="43" t="str">
        <f>HYPERLINK("https://ictv.global/taxonomy/taxondetails?taxnode_id=202207745","ictv.global=202207745")</f>
        <v>ictv.global=202207745</v>
      </c>
    </row>
    <row r="902" spans="1:21">
      <c r="A902">
        <v>901</v>
      </c>
      <c r="B902" s="29" t="s">
        <v>3682</v>
      </c>
      <c r="C902" s="29"/>
      <c r="D902" s="29" t="s">
        <v>3683</v>
      </c>
      <c r="E902" s="29"/>
      <c r="F902" s="29" t="s">
        <v>3686</v>
      </c>
      <c r="G902" s="29"/>
      <c r="H902" s="29" t="s">
        <v>3687</v>
      </c>
      <c r="I902" s="29"/>
      <c r="J902" s="29"/>
      <c r="K902" s="29"/>
      <c r="L902" s="29" t="s">
        <v>3836</v>
      </c>
      <c r="M902" s="29" t="s">
        <v>4505</v>
      </c>
      <c r="N902" s="29" t="s">
        <v>3840</v>
      </c>
      <c r="O902" s="29"/>
      <c r="P902" s="29" t="s">
        <v>7899</v>
      </c>
      <c r="Q902" t="s">
        <v>2038</v>
      </c>
      <c r="R902" t="s">
        <v>2633</v>
      </c>
      <c r="S902">
        <v>37</v>
      </c>
      <c r="T902" s="43" t="str">
        <f t="shared" si="39"/>
        <v>2021.010B.R.Binomial_names.zip</v>
      </c>
      <c r="U902" s="43" t="str">
        <f>HYPERLINK("https://ictv.global/taxonomy/taxondetails?taxnode_id=202207750","ictv.global=202207750")</f>
        <v>ictv.global=202207750</v>
      </c>
    </row>
    <row r="903" spans="1:21">
      <c r="A903">
        <v>902</v>
      </c>
      <c r="B903" s="29" t="s">
        <v>3682</v>
      </c>
      <c r="C903" s="29"/>
      <c r="D903" s="29" t="s">
        <v>3683</v>
      </c>
      <c r="E903" s="29"/>
      <c r="F903" s="29" t="s">
        <v>3686</v>
      </c>
      <c r="G903" s="29"/>
      <c r="H903" s="29" t="s">
        <v>3687</v>
      </c>
      <c r="I903" s="29"/>
      <c r="J903" s="29"/>
      <c r="K903" s="29"/>
      <c r="L903" s="29" t="s">
        <v>3836</v>
      </c>
      <c r="M903" s="29" t="s">
        <v>4505</v>
      </c>
      <c r="N903" s="29" t="s">
        <v>3842</v>
      </c>
      <c r="O903" s="29"/>
      <c r="P903" s="29" t="s">
        <v>7900</v>
      </c>
      <c r="Q903" t="s">
        <v>2038</v>
      </c>
      <c r="R903" t="s">
        <v>2633</v>
      </c>
      <c r="S903">
        <v>37</v>
      </c>
      <c r="T903" s="43" t="str">
        <f t="shared" si="39"/>
        <v>2021.010B.R.Binomial_names.zip</v>
      </c>
      <c r="U903" s="43" t="str">
        <f>HYPERLINK("https://ictv.global/taxonomy/taxondetails?taxnode_id=202207747","ictv.global=202207747")</f>
        <v>ictv.global=202207747</v>
      </c>
    </row>
    <row r="904" spans="1:21">
      <c r="A904">
        <v>903</v>
      </c>
      <c r="B904" s="29" t="s">
        <v>3682</v>
      </c>
      <c r="C904" s="29"/>
      <c r="D904" s="29" t="s">
        <v>3683</v>
      </c>
      <c r="E904" s="29"/>
      <c r="F904" s="29" t="s">
        <v>3686</v>
      </c>
      <c r="G904" s="29"/>
      <c r="H904" s="29" t="s">
        <v>3687</v>
      </c>
      <c r="I904" s="29"/>
      <c r="J904" s="29"/>
      <c r="K904" s="29"/>
      <c r="L904" s="29" t="s">
        <v>3836</v>
      </c>
      <c r="M904" s="29" t="s">
        <v>4505</v>
      </c>
      <c r="N904" s="29" t="s">
        <v>3842</v>
      </c>
      <c r="O904" s="29"/>
      <c r="P904" s="29" t="s">
        <v>7901</v>
      </c>
      <c r="Q904" t="s">
        <v>2038</v>
      </c>
      <c r="R904" t="s">
        <v>2633</v>
      </c>
      <c r="S904">
        <v>37</v>
      </c>
      <c r="T904" s="43" t="str">
        <f t="shared" si="39"/>
        <v>2021.010B.R.Binomial_names.zip</v>
      </c>
      <c r="U904" s="43" t="str">
        <f>HYPERLINK("https://ictv.global/taxonomy/taxondetails?taxnode_id=202207748","ictv.global=202207748")</f>
        <v>ictv.global=202207748</v>
      </c>
    </row>
    <row r="905" spans="1:21">
      <c r="A905">
        <v>904</v>
      </c>
      <c r="B905" s="29" t="s">
        <v>3682</v>
      </c>
      <c r="C905" s="29"/>
      <c r="D905" s="29" t="s">
        <v>3683</v>
      </c>
      <c r="E905" s="29"/>
      <c r="F905" s="29" t="s">
        <v>3686</v>
      </c>
      <c r="G905" s="29"/>
      <c r="H905" s="29" t="s">
        <v>3687</v>
      </c>
      <c r="I905" s="29"/>
      <c r="J905" s="29"/>
      <c r="K905" s="29"/>
      <c r="L905" s="29" t="s">
        <v>3836</v>
      </c>
      <c r="M905" s="29"/>
      <c r="N905" s="29" t="s">
        <v>7902</v>
      </c>
      <c r="O905" s="29"/>
      <c r="P905" s="29" t="s">
        <v>7903</v>
      </c>
      <c r="Q905" t="s">
        <v>2038</v>
      </c>
      <c r="R905" t="s">
        <v>2632</v>
      </c>
      <c r="S905">
        <v>38</v>
      </c>
      <c r="T905" s="43" t="str">
        <f>HYPERLINK("https://ictv.global/ictv/proposals/2022.076B.Shantouvirus_ng.zip","2022.076B.Shantouvirus_ng.zip")</f>
        <v>2022.076B.Shantouvirus_ng.zip</v>
      </c>
      <c r="U905" s="43" t="str">
        <f>HYPERLINK("https://ictv.global/taxonomy/taxondetails?taxnode_id=202214850","ictv.global=202214850")</f>
        <v>ictv.global=202214850</v>
      </c>
    </row>
    <row r="906" spans="1:21">
      <c r="A906">
        <v>905</v>
      </c>
      <c r="B906" s="29" t="s">
        <v>3682</v>
      </c>
      <c r="C906" s="29"/>
      <c r="D906" s="29" t="s">
        <v>3683</v>
      </c>
      <c r="E906" s="29"/>
      <c r="F906" s="29" t="s">
        <v>3686</v>
      </c>
      <c r="G906" s="29"/>
      <c r="H906" s="29" t="s">
        <v>3687</v>
      </c>
      <c r="I906" s="29"/>
      <c r="J906" s="29"/>
      <c r="K906" s="29"/>
      <c r="L906" s="29" t="s">
        <v>3843</v>
      </c>
      <c r="M906" s="29" t="s">
        <v>3844</v>
      </c>
      <c r="N906" s="29" t="s">
        <v>3520</v>
      </c>
      <c r="O906" s="29"/>
      <c r="P906" s="29" t="s">
        <v>7904</v>
      </c>
      <c r="Q906" t="s">
        <v>2038</v>
      </c>
      <c r="R906" t="s">
        <v>2633</v>
      </c>
      <c r="S906">
        <v>37</v>
      </c>
      <c r="T906" s="43" t="str">
        <f>HYPERLINK("https://ictv.global/ictv/proposals/2021.010B.R.Binomial_names.zip","2021.010B.R.Binomial_names.zip")</f>
        <v>2021.010B.R.Binomial_names.zip</v>
      </c>
      <c r="U906" s="43" t="str">
        <f>HYPERLINK("https://ictv.global/taxonomy/taxondetails?taxnode_id=202207086","ictv.global=202207086")</f>
        <v>ictv.global=202207086</v>
      </c>
    </row>
    <row r="907" spans="1:21">
      <c r="A907">
        <v>906</v>
      </c>
      <c r="B907" s="29" t="s">
        <v>3682</v>
      </c>
      <c r="C907" s="29"/>
      <c r="D907" s="29" t="s">
        <v>3683</v>
      </c>
      <c r="E907" s="29"/>
      <c r="F907" s="29" t="s">
        <v>3686</v>
      </c>
      <c r="G907" s="29"/>
      <c r="H907" s="29" t="s">
        <v>3687</v>
      </c>
      <c r="I907" s="29"/>
      <c r="J907" s="29"/>
      <c r="K907" s="29"/>
      <c r="L907" s="29" t="s">
        <v>3843</v>
      </c>
      <c r="M907" s="29" t="s">
        <v>3844</v>
      </c>
      <c r="N907" s="29" t="s">
        <v>3555</v>
      </c>
      <c r="O907" s="29"/>
      <c r="P907" s="29" t="s">
        <v>7905</v>
      </c>
      <c r="Q907" t="s">
        <v>2038</v>
      </c>
      <c r="R907" t="s">
        <v>2633</v>
      </c>
      <c r="S907">
        <v>37</v>
      </c>
      <c r="T907" s="43" t="str">
        <f>HYPERLINK("https://ictv.global/ictv/proposals/2021.010B.R.Binomial_names.zip","2021.010B.R.Binomial_names.zip")</f>
        <v>2021.010B.R.Binomial_names.zip</v>
      </c>
      <c r="U907" s="43" t="str">
        <f>HYPERLINK("https://ictv.global/taxonomy/taxondetails?taxnode_id=202206955","ictv.global=202206955")</f>
        <v>ictv.global=202206955</v>
      </c>
    </row>
    <row r="908" spans="1:21">
      <c r="A908">
        <v>907</v>
      </c>
      <c r="B908" s="29" t="s">
        <v>3682</v>
      </c>
      <c r="C908" s="29"/>
      <c r="D908" s="29" t="s">
        <v>3683</v>
      </c>
      <c r="E908" s="29"/>
      <c r="F908" s="29" t="s">
        <v>3686</v>
      </c>
      <c r="G908" s="29"/>
      <c r="H908" s="29" t="s">
        <v>3687</v>
      </c>
      <c r="I908" s="29"/>
      <c r="J908" s="29"/>
      <c r="K908" s="29"/>
      <c r="L908" s="29" t="s">
        <v>3843</v>
      </c>
      <c r="M908" s="29" t="s">
        <v>3844</v>
      </c>
      <c r="N908" s="29" t="s">
        <v>3555</v>
      </c>
      <c r="O908" s="29"/>
      <c r="P908" s="29" t="s">
        <v>7906</v>
      </c>
      <c r="Q908" t="s">
        <v>2038</v>
      </c>
      <c r="R908" t="s">
        <v>2633</v>
      </c>
      <c r="S908">
        <v>37</v>
      </c>
      <c r="T908" s="43" t="str">
        <f>HYPERLINK("https://ictv.global/ictv/proposals/2021.010B.R.Binomial_names.zip","2021.010B.R.Binomial_names.zip")</f>
        <v>2021.010B.R.Binomial_names.zip</v>
      </c>
      <c r="U908" s="43" t="str">
        <f>HYPERLINK("https://ictv.global/taxonomy/taxondetails?taxnode_id=202208127","ictv.global=202208127")</f>
        <v>ictv.global=202208127</v>
      </c>
    </row>
    <row r="909" spans="1:21">
      <c r="A909">
        <v>908</v>
      </c>
      <c r="B909" s="29" t="s">
        <v>3682</v>
      </c>
      <c r="C909" s="29"/>
      <c r="D909" s="29" t="s">
        <v>3683</v>
      </c>
      <c r="E909" s="29"/>
      <c r="F909" s="29" t="s">
        <v>3686</v>
      </c>
      <c r="G909" s="29"/>
      <c r="H909" s="29" t="s">
        <v>3687</v>
      </c>
      <c r="I909" s="29"/>
      <c r="J909" s="29"/>
      <c r="K909" s="29"/>
      <c r="L909" s="29" t="s">
        <v>3843</v>
      </c>
      <c r="M909" s="29" t="s">
        <v>3844</v>
      </c>
      <c r="N909" s="29" t="s">
        <v>3555</v>
      </c>
      <c r="O909" s="29"/>
      <c r="P909" s="29" t="s">
        <v>7907</v>
      </c>
      <c r="Q909" t="s">
        <v>2038</v>
      </c>
      <c r="R909" t="s">
        <v>2633</v>
      </c>
      <c r="S909">
        <v>37</v>
      </c>
      <c r="T909" s="43" t="str">
        <f>HYPERLINK("https://ictv.global/ictv/proposals/2021.010B.R.Binomial_names.zip","2021.010B.R.Binomial_names.zip")</f>
        <v>2021.010B.R.Binomial_names.zip</v>
      </c>
      <c r="U909" s="43" t="str">
        <f>HYPERLINK("https://ictv.global/taxonomy/taxondetails?taxnode_id=202206956","ictv.global=202206956")</f>
        <v>ictv.global=202206956</v>
      </c>
    </row>
    <row r="910" spans="1:21">
      <c r="A910">
        <v>909</v>
      </c>
      <c r="B910" s="29" t="s">
        <v>3682</v>
      </c>
      <c r="C910" s="29"/>
      <c r="D910" s="29" t="s">
        <v>3683</v>
      </c>
      <c r="E910" s="29"/>
      <c r="F910" s="29" t="s">
        <v>3686</v>
      </c>
      <c r="G910" s="29"/>
      <c r="H910" s="29" t="s">
        <v>3687</v>
      </c>
      <c r="I910" s="29"/>
      <c r="J910" s="29"/>
      <c r="K910" s="29"/>
      <c r="L910" s="29" t="s">
        <v>3843</v>
      </c>
      <c r="M910" s="29" t="s">
        <v>3844</v>
      </c>
      <c r="N910" s="29" t="s">
        <v>7908</v>
      </c>
      <c r="O910" s="29"/>
      <c r="P910" s="29" t="s">
        <v>7909</v>
      </c>
      <c r="Q910" t="s">
        <v>2038</v>
      </c>
      <c r="R910" t="s">
        <v>2632</v>
      </c>
      <c r="S910">
        <v>37</v>
      </c>
      <c r="T910" s="43" t="str">
        <f t="shared" ref="T910:T921" si="40">HYPERLINK("https://ictv.global/ictv/proposals/2021.023B.R.Demerecviridae_new_genera.zip","2021.023B.R.Demerecviridae_new_genera.zip")</f>
        <v>2021.023B.R.Demerecviridae_new_genera.zip</v>
      </c>
      <c r="U910" s="43" t="str">
        <f>HYPERLINK("https://ictv.global/taxonomy/taxondetails?taxnode_id=202213507","ictv.global=202213507")</f>
        <v>ictv.global=202213507</v>
      </c>
    </row>
    <row r="911" spans="1:21">
      <c r="A911">
        <v>910</v>
      </c>
      <c r="B911" s="29" t="s">
        <v>3682</v>
      </c>
      <c r="C911" s="29"/>
      <c r="D911" s="29" t="s">
        <v>3683</v>
      </c>
      <c r="E911" s="29"/>
      <c r="F911" s="29" t="s">
        <v>3686</v>
      </c>
      <c r="G911" s="29"/>
      <c r="H911" s="29" t="s">
        <v>3687</v>
      </c>
      <c r="I911" s="29"/>
      <c r="J911" s="29"/>
      <c r="K911" s="29"/>
      <c r="L911" s="29" t="s">
        <v>3843</v>
      </c>
      <c r="M911" s="29" t="s">
        <v>3844</v>
      </c>
      <c r="N911" s="29" t="s">
        <v>7908</v>
      </c>
      <c r="O911" s="29"/>
      <c r="P911" s="29" t="s">
        <v>7910</v>
      </c>
      <c r="Q911" t="s">
        <v>2038</v>
      </c>
      <c r="R911" t="s">
        <v>2632</v>
      </c>
      <c r="S911">
        <v>37</v>
      </c>
      <c r="T911" s="43" t="str">
        <f t="shared" si="40"/>
        <v>2021.023B.R.Demerecviridae_new_genera.zip</v>
      </c>
      <c r="U911" s="43" t="str">
        <f>HYPERLINK("https://ictv.global/taxonomy/taxondetails?taxnode_id=202213512","ictv.global=202213512")</f>
        <v>ictv.global=202213512</v>
      </c>
    </row>
    <row r="912" spans="1:21">
      <c r="A912">
        <v>911</v>
      </c>
      <c r="B912" s="29" t="s">
        <v>3682</v>
      </c>
      <c r="C912" s="29"/>
      <c r="D912" s="29" t="s">
        <v>3683</v>
      </c>
      <c r="E912" s="29"/>
      <c r="F912" s="29" t="s">
        <v>3686</v>
      </c>
      <c r="G912" s="29"/>
      <c r="H912" s="29" t="s">
        <v>3687</v>
      </c>
      <c r="I912" s="29"/>
      <c r="J912" s="29"/>
      <c r="K912" s="29"/>
      <c r="L912" s="29" t="s">
        <v>3843</v>
      </c>
      <c r="M912" s="29" t="s">
        <v>3844</v>
      </c>
      <c r="N912" s="29" t="s">
        <v>7908</v>
      </c>
      <c r="O912" s="29"/>
      <c r="P912" s="29" t="s">
        <v>7911</v>
      </c>
      <c r="Q912" t="s">
        <v>2038</v>
      </c>
      <c r="R912" t="s">
        <v>2632</v>
      </c>
      <c r="S912">
        <v>37</v>
      </c>
      <c r="T912" s="43" t="str">
        <f t="shared" si="40"/>
        <v>2021.023B.R.Demerecviridae_new_genera.zip</v>
      </c>
      <c r="U912" s="43" t="str">
        <f>HYPERLINK("https://ictv.global/taxonomy/taxondetails?taxnode_id=202213510","ictv.global=202213510")</f>
        <v>ictv.global=202213510</v>
      </c>
    </row>
    <row r="913" spans="1:21">
      <c r="A913">
        <v>912</v>
      </c>
      <c r="B913" s="29" t="s">
        <v>3682</v>
      </c>
      <c r="C913" s="29"/>
      <c r="D913" s="29" t="s">
        <v>3683</v>
      </c>
      <c r="E913" s="29"/>
      <c r="F913" s="29" t="s">
        <v>3686</v>
      </c>
      <c r="G913" s="29"/>
      <c r="H913" s="29" t="s">
        <v>3687</v>
      </c>
      <c r="I913" s="29"/>
      <c r="J913" s="29"/>
      <c r="K913" s="29"/>
      <c r="L913" s="29" t="s">
        <v>3843</v>
      </c>
      <c r="M913" s="29" t="s">
        <v>3844</v>
      </c>
      <c r="N913" s="29" t="s">
        <v>7908</v>
      </c>
      <c r="O913" s="29"/>
      <c r="P913" s="29" t="s">
        <v>7912</v>
      </c>
      <c r="Q913" t="s">
        <v>2038</v>
      </c>
      <c r="R913" t="s">
        <v>2632</v>
      </c>
      <c r="S913">
        <v>37</v>
      </c>
      <c r="T913" s="43" t="str">
        <f t="shared" si="40"/>
        <v>2021.023B.R.Demerecviridae_new_genera.zip</v>
      </c>
      <c r="U913" s="43" t="str">
        <f>HYPERLINK("https://ictv.global/taxonomy/taxondetails?taxnode_id=202213511","ictv.global=202213511")</f>
        <v>ictv.global=202213511</v>
      </c>
    </row>
    <row r="914" spans="1:21">
      <c r="A914">
        <v>913</v>
      </c>
      <c r="B914" s="29" t="s">
        <v>3682</v>
      </c>
      <c r="C914" s="29"/>
      <c r="D914" s="29" t="s">
        <v>3683</v>
      </c>
      <c r="E914" s="29"/>
      <c r="F914" s="29" t="s">
        <v>3686</v>
      </c>
      <c r="G914" s="29"/>
      <c r="H914" s="29" t="s">
        <v>3687</v>
      </c>
      <c r="I914" s="29"/>
      <c r="J914" s="29"/>
      <c r="K914" s="29"/>
      <c r="L914" s="29" t="s">
        <v>3843</v>
      </c>
      <c r="M914" s="29" t="s">
        <v>3844</v>
      </c>
      <c r="N914" s="29" t="s">
        <v>7908</v>
      </c>
      <c r="O914" s="29"/>
      <c r="P914" s="29" t="s">
        <v>7913</v>
      </c>
      <c r="Q914" t="s">
        <v>2038</v>
      </c>
      <c r="R914" t="s">
        <v>2632</v>
      </c>
      <c r="S914">
        <v>37</v>
      </c>
      <c r="T914" s="43" t="str">
        <f t="shared" si="40"/>
        <v>2021.023B.R.Demerecviridae_new_genera.zip</v>
      </c>
      <c r="U914" s="43" t="str">
        <f>HYPERLINK("https://ictv.global/taxonomy/taxondetails?taxnode_id=202213508","ictv.global=202213508")</f>
        <v>ictv.global=202213508</v>
      </c>
    </row>
    <row r="915" spans="1:21">
      <c r="A915">
        <v>914</v>
      </c>
      <c r="B915" s="29" t="s">
        <v>3682</v>
      </c>
      <c r="C915" s="29"/>
      <c r="D915" s="29" t="s">
        <v>3683</v>
      </c>
      <c r="E915" s="29"/>
      <c r="F915" s="29" t="s">
        <v>3686</v>
      </c>
      <c r="G915" s="29"/>
      <c r="H915" s="29" t="s">
        <v>3687</v>
      </c>
      <c r="I915" s="29"/>
      <c r="J915" s="29"/>
      <c r="K915" s="29"/>
      <c r="L915" s="29" t="s">
        <v>3843</v>
      </c>
      <c r="M915" s="29" t="s">
        <v>3844</v>
      </c>
      <c r="N915" s="29" t="s">
        <v>7908</v>
      </c>
      <c r="O915" s="29"/>
      <c r="P915" s="29" t="s">
        <v>7914</v>
      </c>
      <c r="Q915" t="s">
        <v>2038</v>
      </c>
      <c r="R915" t="s">
        <v>2632</v>
      </c>
      <c r="S915">
        <v>37</v>
      </c>
      <c r="T915" s="43" t="str">
        <f t="shared" si="40"/>
        <v>2021.023B.R.Demerecviridae_new_genera.zip</v>
      </c>
      <c r="U915" s="43" t="str">
        <f>HYPERLINK("https://ictv.global/taxonomy/taxondetails?taxnode_id=202213513","ictv.global=202213513")</f>
        <v>ictv.global=202213513</v>
      </c>
    </row>
    <row r="916" spans="1:21">
      <c r="A916">
        <v>915</v>
      </c>
      <c r="B916" s="29" t="s">
        <v>3682</v>
      </c>
      <c r="C916" s="29"/>
      <c r="D916" s="29" t="s">
        <v>3683</v>
      </c>
      <c r="E916" s="29"/>
      <c r="F916" s="29" t="s">
        <v>3686</v>
      </c>
      <c r="G916" s="29"/>
      <c r="H916" s="29" t="s">
        <v>3687</v>
      </c>
      <c r="I916" s="29"/>
      <c r="J916" s="29"/>
      <c r="K916" s="29"/>
      <c r="L916" s="29" t="s">
        <v>3843</v>
      </c>
      <c r="M916" s="29" t="s">
        <v>3844</v>
      </c>
      <c r="N916" s="29" t="s">
        <v>7908</v>
      </c>
      <c r="O916" s="29"/>
      <c r="P916" s="29" t="s">
        <v>7915</v>
      </c>
      <c r="Q916" t="s">
        <v>2038</v>
      </c>
      <c r="R916" t="s">
        <v>2632</v>
      </c>
      <c r="S916">
        <v>37</v>
      </c>
      <c r="T916" s="43" t="str">
        <f t="shared" si="40"/>
        <v>2021.023B.R.Demerecviridae_new_genera.zip</v>
      </c>
      <c r="U916" s="43" t="str">
        <f>HYPERLINK("https://ictv.global/taxonomy/taxondetails?taxnode_id=202213515","ictv.global=202213515")</f>
        <v>ictv.global=202213515</v>
      </c>
    </row>
    <row r="917" spans="1:21">
      <c r="A917">
        <v>916</v>
      </c>
      <c r="B917" s="29" t="s">
        <v>3682</v>
      </c>
      <c r="C917" s="29"/>
      <c r="D917" s="29" t="s">
        <v>3683</v>
      </c>
      <c r="E917" s="29"/>
      <c r="F917" s="29" t="s">
        <v>3686</v>
      </c>
      <c r="G917" s="29"/>
      <c r="H917" s="29" t="s">
        <v>3687</v>
      </c>
      <c r="I917" s="29"/>
      <c r="J917" s="29"/>
      <c r="K917" s="29"/>
      <c r="L917" s="29" t="s">
        <v>3843</v>
      </c>
      <c r="M917" s="29" t="s">
        <v>3844</v>
      </c>
      <c r="N917" s="29" t="s">
        <v>7908</v>
      </c>
      <c r="O917" s="29"/>
      <c r="P917" s="29" t="s">
        <v>7916</v>
      </c>
      <c r="Q917" t="s">
        <v>2038</v>
      </c>
      <c r="R917" t="s">
        <v>2632</v>
      </c>
      <c r="S917">
        <v>37</v>
      </c>
      <c r="T917" s="43" t="str">
        <f t="shared" si="40"/>
        <v>2021.023B.R.Demerecviridae_new_genera.zip</v>
      </c>
      <c r="U917" s="43" t="str">
        <f>HYPERLINK("https://ictv.global/taxonomy/taxondetails?taxnode_id=202213509","ictv.global=202213509")</f>
        <v>ictv.global=202213509</v>
      </c>
    </row>
    <row r="918" spans="1:21">
      <c r="A918">
        <v>917</v>
      </c>
      <c r="B918" s="29" t="s">
        <v>3682</v>
      </c>
      <c r="C918" s="29"/>
      <c r="D918" s="29" t="s">
        <v>3683</v>
      </c>
      <c r="E918" s="29"/>
      <c r="F918" s="29" t="s">
        <v>3686</v>
      </c>
      <c r="G918" s="29"/>
      <c r="H918" s="29" t="s">
        <v>3687</v>
      </c>
      <c r="I918" s="29"/>
      <c r="J918" s="29"/>
      <c r="K918" s="29"/>
      <c r="L918" s="29" t="s">
        <v>3843</v>
      </c>
      <c r="M918" s="29" t="s">
        <v>3844</v>
      </c>
      <c r="N918" s="29" t="s">
        <v>7908</v>
      </c>
      <c r="O918" s="29"/>
      <c r="P918" s="29" t="s">
        <v>7917</v>
      </c>
      <c r="Q918" t="s">
        <v>2038</v>
      </c>
      <c r="R918" t="s">
        <v>2632</v>
      </c>
      <c r="S918">
        <v>37</v>
      </c>
      <c r="T918" s="43" t="str">
        <f t="shared" si="40"/>
        <v>2021.023B.R.Demerecviridae_new_genera.zip</v>
      </c>
      <c r="U918" s="43" t="str">
        <f>HYPERLINK("https://ictv.global/taxonomy/taxondetails?taxnode_id=202213506","ictv.global=202213506")</f>
        <v>ictv.global=202213506</v>
      </c>
    </row>
    <row r="919" spans="1:21">
      <c r="A919">
        <v>918</v>
      </c>
      <c r="B919" s="29" t="s">
        <v>3682</v>
      </c>
      <c r="C919" s="29"/>
      <c r="D919" s="29" t="s">
        <v>3683</v>
      </c>
      <c r="E919" s="29"/>
      <c r="F919" s="29" t="s">
        <v>3686</v>
      </c>
      <c r="G919" s="29"/>
      <c r="H919" s="29" t="s">
        <v>3687</v>
      </c>
      <c r="I919" s="29"/>
      <c r="J919" s="29"/>
      <c r="K919" s="29"/>
      <c r="L919" s="29" t="s">
        <v>3843</v>
      </c>
      <c r="M919" s="29" t="s">
        <v>3844</v>
      </c>
      <c r="N919" s="29" t="s">
        <v>7908</v>
      </c>
      <c r="O919" s="29"/>
      <c r="P919" s="29" t="s">
        <v>7918</v>
      </c>
      <c r="Q919" t="s">
        <v>2038</v>
      </c>
      <c r="R919" t="s">
        <v>2632</v>
      </c>
      <c r="S919">
        <v>37</v>
      </c>
      <c r="T919" s="43" t="str">
        <f t="shared" si="40"/>
        <v>2021.023B.R.Demerecviridae_new_genera.zip</v>
      </c>
      <c r="U919" s="43" t="str">
        <f>HYPERLINK("https://ictv.global/taxonomy/taxondetails?taxnode_id=202213514","ictv.global=202213514")</f>
        <v>ictv.global=202213514</v>
      </c>
    </row>
    <row r="920" spans="1:21">
      <c r="A920">
        <v>919</v>
      </c>
      <c r="B920" s="29" t="s">
        <v>3682</v>
      </c>
      <c r="C920" s="29"/>
      <c r="D920" s="29" t="s">
        <v>3683</v>
      </c>
      <c r="E920" s="29"/>
      <c r="F920" s="29" t="s">
        <v>3686</v>
      </c>
      <c r="G920" s="29"/>
      <c r="H920" s="29" t="s">
        <v>3687</v>
      </c>
      <c r="I920" s="29"/>
      <c r="J920" s="29"/>
      <c r="K920" s="29"/>
      <c r="L920" s="29" t="s">
        <v>3843</v>
      </c>
      <c r="M920" s="29" t="s">
        <v>3844</v>
      </c>
      <c r="N920" s="29" t="s">
        <v>7908</v>
      </c>
      <c r="O920" s="29"/>
      <c r="P920" s="29" t="s">
        <v>7919</v>
      </c>
      <c r="Q920" t="s">
        <v>2038</v>
      </c>
      <c r="R920" t="s">
        <v>2632</v>
      </c>
      <c r="S920">
        <v>37</v>
      </c>
      <c r="T920" s="43" t="str">
        <f t="shared" si="40"/>
        <v>2021.023B.R.Demerecviridae_new_genera.zip</v>
      </c>
      <c r="U920" s="43" t="str">
        <f>HYPERLINK("https://ictv.global/taxonomy/taxondetails?taxnode_id=202213505","ictv.global=202213505")</f>
        <v>ictv.global=202213505</v>
      </c>
    </row>
    <row r="921" spans="1:21">
      <c r="A921">
        <v>920</v>
      </c>
      <c r="B921" s="29" t="s">
        <v>3682</v>
      </c>
      <c r="C921" s="29"/>
      <c r="D921" s="29" t="s">
        <v>3683</v>
      </c>
      <c r="E921" s="29"/>
      <c r="F921" s="29" t="s">
        <v>3686</v>
      </c>
      <c r="G921" s="29"/>
      <c r="H921" s="29" t="s">
        <v>3687</v>
      </c>
      <c r="I921" s="29"/>
      <c r="J921" s="29"/>
      <c r="K921" s="29"/>
      <c r="L921" s="29" t="s">
        <v>3843</v>
      </c>
      <c r="M921" s="29" t="s">
        <v>3844</v>
      </c>
      <c r="N921" s="29" t="s">
        <v>7908</v>
      </c>
      <c r="O921" s="29"/>
      <c r="P921" s="29" t="s">
        <v>7920</v>
      </c>
      <c r="Q921" t="s">
        <v>2038</v>
      </c>
      <c r="R921" t="s">
        <v>2633</v>
      </c>
      <c r="S921">
        <v>37</v>
      </c>
      <c r="T921" s="43" t="str">
        <f t="shared" si="40"/>
        <v>2021.023B.R.Demerecviridae_new_genera.zip</v>
      </c>
      <c r="U921" s="43" t="str">
        <f>HYPERLINK("https://ictv.global/taxonomy/taxondetails?taxnode_id=202207087","ictv.global=202207087")</f>
        <v>ictv.global=202207087</v>
      </c>
    </row>
    <row r="922" spans="1:21">
      <c r="A922">
        <v>921</v>
      </c>
      <c r="B922" s="29" t="s">
        <v>3682</v>
      </c>
      <c r="C922" s="29"/>
      <c r="D922" s="29" t="s">
        <v>3683</v>
      </c>
      <c r="E922" s="29"/>
      <c r="F922" s="29" t="s">
        <v>3686</v>
      </c>
      <c r="G922" s="29"/>
      <c r="H922" s="29" t="s">
        <v>3687</v>
      </c>
      <c r="I922" s="29"/>
      <c r="J922" s="29"/>
      <c r="K922" s="29"/>
      <c r="L922" s="29" t="s">
        <v>3843</v>
      </c>
      <c r="M922" s="29" t="s">
        <v>3844</v>
      </c>
      <c r="N922" s="29" t="s">
        <v>3845</v>
      </c>
      <c r="O922" s="29"/>
      <c r="P922" s="29" t="s">
        <v>7921</v>
      </c>
      <c r="Q922" t="s">
        <v>2038</v>
      </c>
      <c r="R922" t="s">
        <v>2633</v>
      </c>
      <c r="S922">
        <v>37</v>
      </c>
      <c r="T922" s="43" t="str">
        <f t="shared" ref="T922:T939" si="41">HYPERLINK("https://ictv.global/ictv/proposals/2021.010B.R.Binomial_names.zip","2021.010B.R.Binomial_names.zip")</f>
        <v>2021.010B.R.Binomial_names.zip</v>
      </c>
      <c r="U922" s="43" t="str">
        <f>HYPERLINK("https://ictv.global/taxonomy/taxondetails?taxnode_id=202207088","ictv.global=202207088")</f>
        <v>ictv.global=202207088</v>
      </c>
    </row>
    <row r="923" spans="1:21">
      <c r="A923">
        <v>922</v>
      </c>
      <c r="B923" s="29" t="s">
        <v>3682</v>
      </c>
      <c r="C923" s="29"/>
      <c r="D923" s="29" t="s">
        <v>3683</v>
      </c>
      <c r="E923" s="29"/>
      <c r="F923" s="29" t="s">
        <v>3686</v>
      </c>
      <c r="G923" s="29"/>
      <c r="H923" s="29" t="s">
        <v>3687</v>
      </c>
      <c r="I923" s="29"/>
      <c r="J923" s="29"/>
      <c r="K923" s="29"/>
      <c r="L923" s="29" t="s">
        <v>3843</v>
      </c>
      <c r="M923" s="29" t="s">
        <v>3846</v>
      </c>
      <c r="N923" s="29" t="s">
        <v>3847</v>
      </c>
      <c r="O923" s="29"/>
      <c r="P923" s="29" t="s">
        <v>7922</v>
      </c>
      <c r="Q923" t="s">
        <v>2038</v>
      </c>
      <c r="R923" t="s">
        <v>2633</v>
      </c>
      <c r="S923">
        <v>37</v>
      </c>
      <c r="T923" s="43" t="str">
        <f t="shared" si="41"/>
        <v>2021.010B.R.Binomial_names.zip</v>
      </c>
      <c r="U923" s="43" t="str">
        <f>HYPERLINK("https://ictv.global/taxonomy/taxondetails?taxnode_id=202209944","ictv.global=202209944")</f>
        <v>ictv.global=202209944</v>
      </c>
    </row>
    <row r="924" spans="1:21">
      <c r="A924">
        <v>923</v>
      </c>
      <c r="B924" s="29" t="s">
        <v>3682</v>
      </c>
      <c r="C924" s="29"/>
      <c r="D924" s="29" t="s">
        <v>3683</v>
      </c>
      <c r="E924" s="29"/>
      <c r="F924" s="29" t="s">
        <v>3686</v>
      </c>
      <c r="G924" s="29"/>
      <c r="H924" s="29" t="s">
        <v>3687</v>
      </c>
      <c r="I924" s="29"/>
      <c r="J924" s="29"/>
      <c r="K924" s="29"/>
      <c r="L924" s="29" t="s">
        <v>3843</v>
      </c>
      <c r="M924" s="29" t="s">
        <v>3846</v>
      </c>
      <c r="N924" s="29" t="s">
        <v>3847</v>
      </c>
      <c r="O924" s="29"/>
      <c r="P924" s="29" t="s">
        <v>7923</v>
      </c>
      <c r="Q924" t="s">
        <v>2038</v>
      </c>
      <c r="R924" t="s">
        <v>2633</v>
      </c>
      <c r="S924">
        <v>37</v>
      </c>
      <c r="T924" s="43" t="str">
        <f t="shared" si="41"/>
        <v>2021.010B.R.Binomial_names.zip</v>
      </c>
      <c r="U924" s="43" t="str">
        <f>HYPERLINK("https://ictv.global/taxonomy/taxondetails?taxnode_id=202201329","ictv.global=202201329")</f>
        <v>ictv.global=202201329</v>
      </c>
    </row>
    <row r="925" spans="1:21">
      <c r="A925">
        <v>924</v>
      </c>
      <c r="B925" s="29" t="s">
        <v>3682</v>
      </c>
      <c r="C925" s="29"/>
      <c r="D925" s="29" t="s">
        <v>3683</v>
      </c>
      <c r="E925" s="29"/>
      <c r="F925" s="29" t="s">
        <v>3686</v>
      </c>
      <c r="G925" s="29"/>
      <c r="H925" s="29" t="s">
        <v>3687</v>
      </c>
      <c r="I925" s="29"/>
      <c r="J925" s="29"/>
      <c r="K925" s="29"/>
      <c r="L925" s="29" t="s">
        <v>3843</v>
      </c>
      <c r="M925" s="29" t="s">
        <v>3846</v>
      </c>
      <c r="N925" s="29" t="s">
        <v>3847</v>
      </c>
      <c r="O925" s="29"/>
      <c r="P925" s="29" t="s">
        <v>7924</v>
      </c>
      <c r="Q925" t="s">
        <v>2038</v>
      </c>
      <c r="R925" t="s">
        <v>2633</v>
      </c>
      <c r="S925">
        <v>37</v>
      </c>
      <c r="T925" s="43" t="str">
        <f t="shared" si="41"/>
        <v>2021.010B.R.Binomial_names.zip</v>
      </c>
      <c r="U925" s="43" t="str">
        <f>HYPERLINK("https://ictv.global/taxonomy/taxondetails?taxnode_id=202209949","ictv.global=202209949")</f>
        <v>ictv.global=202209949</v>
      </c>
    </row>
    <row r="926" spans="1:21">
      <c r="A926">
        <v>925</v>
      </c>
      <c r="B926" s="29" t="s">
        <v>3682</v>
      </c>
      <c r="C926" s="29"/>
      <c r="D926" s="29" t="s">
        <v>3683</v>
      </c>
      <c r="E926" s="29"/>
      <c r="F926" s="29" t="s">
        <v>3686</v>
      </c>
      <c r="G926" s="29"/>
      <c r="H926" s="29" t="s">
        <v>3687</v>
      </c>
      <c r="I926" s="29"/>
      <c r="J926" s="29"/>
      <c r="K926" s="29"/>
      <c r="L926" s="29" t="s">
        <v>3843</v>
      </c>
      <c r="M926" s="29" t="s">
        <v>3846</v>
      </c>
      <c r="N926" s="29" t="s">
        <v>3847</v>
      </c>
      <c r="O926" s="29"/>
      <c r="P926" s="29" t="s">
        <v>7925</v>
      </c>
      <c r="Q926" t="s">
        <v>2038</v>
      </c>
      <c r="R926" t="s">
        <v>2633</v>
      </c>
      <c r="S926">
        <v>37</v>
      </c>
      <c r="T926" s="43" t="str">
        <f t="shared" si="41"/>
        <v>2021.010B.R.Binomial_names.zip</v>
      </c>
      <c r="U926" s="43" t="str">
        <f>HYPERLINK("https://ictv.global/taxonomy/taxondetails?taxnode_id=202209948","ictv.global=202209948")</f>
        <v>ictv.global=202209948</v>
      </c>
    </row>
    <row r="927" spans="1:21">
      <c r="A927">
        <v>926</v>
      </c>
      <c r="B927" s="29" t="s">
        <v>3682</v>
      </c>
      <c r="C927" s="29"/>
      <c r="D927" s="29" t="s">
        <v>3683</v>
      </c>
      <c r="E927" s="29"/>
      <c r="F927" s="29" t="s">
        <v>3686</v>
      </c>
      <c r="G927" s="29"/>
      <c r="H927" s="29" t="s">
        <v>3687</v>
      </c>
      <c r="I927" s="29"/>
      <c r="J927" s="29"/>
      <c r="K927" s="29"/>
      <c r="L927" s="29" t="s">
        <v>3843</v>
      </c>
      <c r="M927" s="29" t="s">
        <v>3846</v>
      </c>
      <c r="N927" s="29" t="s">
        <v>3847</v>
      </c>
      <c r="O927" s="29"/>
      <c r="P927" s="29" t="s">
        <v>7926</v>
      </c>
      <c r="Q927" t="s">
        <v>2038</v>
      </c>
      <c r="R927" t="s">
        <v>2633</v>
      </c>
      <c r="S927">
        <v>37</v>
      </c>
      <c r="T927" s="43" t="str">
        <f t="shared" si="41"/>
        <v>2021.010B.R.Binomial_names.zip</v>
      </c>
      <c r="U927" s="43" t="str">
        <f>HYPERLINK("https://ictv.global/taxonomy/taxondetails?taxnode_id=202209943","ictv.global=202209943")</f>
        <v>ictv.global=202209943</v>
      </c>
    </row>
    <row r="928" spans="1:21">
      <c r="A928">
        <v>927</v>
      </c>
      <c r="B928" s="29" t="s">
        <v>3682</v>
      </c>
      <c r="C928" s="29"/>
      <c r="D928" s="29" t="s">
        <v>3683</v>
      </c>
      <c r="E928" s="29"/>
      <c r="F928" s="29" t="s">
        <v>3686</v>
      </c>
      <c r="G928" s="29"/>
      <c r="H928" s="29" t="s">
        <v>3687</v>
      </c>
      <c r="I928" s="29"/>
      <c r="J928" s="29"/>
      <c r="K928" s="29"/>
      <c r="L928" s="29" t="s">
        <v>3843</v>
      </c>
      <c r="M928" s="29" t="s">
        <v>3846</v>
      </c>
      <c r="N928" s="29" t="s">
        <v>3847</v>
      </c>
      <c r="O928" s="29"/>
      <c r="P928" s="29" t="s">
        <v>7927</v>
      </c>
      <c r="Q928" t="s">
        <v>2038</v>
      </c>
      <c r="R928" t="s">
        <v>2633</v>
      </c>
      <c r="S928">
        <v>37</v>
      </c>
      <c r="T928" s="43" t="str">
        <f t="shared" si="41"/>
        <v>2021.010B.R.Binomial_names.zip</v>
      </c>
      <c r="U928" s="43" t="str">
        <f>HYPERLINK("https://ictv.global/taxonomy/taxondetails?taxnode_id=202201324","ictv.global=202201324")</f>
        <v>ictv.global=202201324</v>
      </c>
    </row>
    <row r="929" spans="1:21">
      <c r="A929">
        <v>928</v>
      </c>
      <c r="B929" s="29" t="s">
        <v>3682</v>
      </c>
      <c r="C929" s="29"/>
      <c r="D929" s="29" t="s">
        <v>3683</v>
      </c>
      <c r="E929" s="29"/>
      <c r="F929" s="29" t="s">
        <v>3686</v>
      </c>
      <c r="G929" s="29"/>
      <c r="H929" s="29" t="s">
        <v>3687</v>
      </c>
      <c r="I929" s="29"/>
      <c r="J929" s="29"/>
      <c r="K929" s="29"/>
      <c r="L929" s="29" t="s">
        <v>3843</v>
      </c>
      <c r="M929" s="29" t="s">
        <v>3846</v>
      </c>
      <c r="N929" s="29" t="s">
        <v>3847</v>
      </c>
      <c r="O929" s="29"/>
      <c r="P929" s="29" t="s">
        <v>7928</v>
      </c>
      <c r="Q929" t="s">
        <v>2038</v>
      </c>
      <c r="R929" t="s">
        <v>2633</v>
      </c>
      <c r="S929">
        <v>37</v>
      </c>
      <c r="T929" s="43" t="str">
        <f t="shared" si="41"/>
        <v>2021.010B.R.Binomial_names.zip</v>
      </c>
      <c r="U929" s="43" t="str">
        <f>HYPERLINK("https://ictv.global/taxonomy/taxondetails?taxnode_id=202209950","ictv.global=202209950")</f>
        <v>ictv.global=202209950</v>
      </c>
    </row>
    <row r="930" spans="1:21">
      <c r="A930">
        <v>929</v>
      </c>
      <c r="B930" s="29" t="s">
        <v>3682</v>
      </c>
      <c r="C930" s="29"/>
      <c r="D930" s="29" t="s">
        <v>3683</v>
      </c>
      <c r="E930" s="29"/>
      <c r="F930" s="29" t="s">
        <v>3686</v>
      </c>
      <c r="G930" s="29"/>
      <c r="H930" s="29" t="s">
        <v>3687</v>
      </c>
      <c r="I930" s="29"/>
      <c r="J930" s="29"/>
      <c r="K930" s="29"/>
      <c r="L930" s="29" t="s">
        <v>3843</v>
      </c>
      <c r="M930" s="29" t="s">
        <v>3846</v>
      </c>
      <c r="N930" s="29" t="s">
        <v>3847</v>
      </c>
      <c r="O930" s="29"/>
      <c r="P930" s="29" t="s">
        <v>7929</v>
      </c>
      <c r="Q930" t="s">
        <v>2038</v>
      </c>
      <c r="R930" t="s">
        <v>2633</v>
      </c>
      <c r="S930">
        <v>37</v>
      </c>
      <c r="T930" s="43" t="str">
        <f t="shared" si="41"/>
        <v>2021.010B.R.Binomial_names.zip</v>
      </c>
      <c r="U930" s="43" t="str">
        <f>HYPERLINK("https://ictv.global/taxonomy/taxondetails?taxnode_id=202209938","ictv.global=202209938")</f>
        <v>ictv.global=202209938</v>
      </c>
    </row>
    <row r="931" spans="1:21">
      <c r="A931">
        <v>930</v>
      </c>
      <c r="B931" s="29" t="s">
        <v>3682</v>
      </c>
      <c r="C931" s="29"/>
      <c r="D931" s="29" t="s">
        <v>3683</v>
      </c>
      <c r="E931" s="29"/>
      <c r="F931" s="29" t="s">
        <v>3686</v>
      </c>
      <c r="G931" s="29"/>
      <c r="H931" s="29" t="s">
        <v>3687</v>
      </c>
      <c r="I931" s="29"/>
      <c r="J931" s="29"/>
      <c r="K931" s="29"/>
      <c r="L931" s="29" t="s">
        <v>3843</v>
      </c>
      <c r="M931" s="29" t="s">
        <v>3846</v>
      </c>
      <c r="N931" s="29" t="s">
        <v>3847</v>
      </c>
      <c r="O931" s="29"/>
      <c r="P931" s="29" t="s">
        <v>7930</v>
      </c>
      <c r="Q931" t="s">
        <v>2038</v>
      </c>
      <c r="R931" t="s">
        <v>2633</v>
      </c>
      <c r="S931">
        <v>37</v>
      </c>
      <c r="T931" s="43" t="str">
        <f t="shared" si="41"/>
        <v>2021.010B.R.Binomial_names.zip</v>
      </c>
      <c r="U931" s="43" t="str">
        <f>HYPERLINK("https://ictv.global/taxonomy/taxondetails?taxnode_id=202208098","ictv.global=202208098")</f>
        <v>ictv.global=202208098</v>
      </c>
    </row>
    <row r="932" spans="1:21">
      <c r="A932">
        <v>931</v>
      </c>
      <c r="B932" s="29" t="s">
        <v>3682</v>
      </c>
      <c r="C932" s="29"/>
      <c r="D932" s="29" t="s">
        <v>3683</v>
      </c>
      <c r="E932" s="29"/>
      <c r="F932" s="29" t="s">
        <v>3686</v>
      </c>
      <c r="G932" s="29"/>
      <c r="H932" s="29" t="s">
        <v>3687</v>
      </c>
      <c r="I932" s="29"/>
      <c r="J932" s="29"/>
      <c r="K932" s="29"/>
      <c r="L932" s="29" t="s">
        <v>3843</v>
      </c>
      <c r="M932" s="29" t="s">
        <v>3846</v>
      </c>
      <c r="N932" s="29" t="s">
        <v>3847</v>
      </c>
      <c r="O932" s="29"/>
      <c r="P932" s="29" t="s">
        <v>7931</v>
      </c>
      <c r="Q932" t="s">
        <v>2038</v>
      </c>
      <c r="R932" t="s">
        <v>2633</v>
      </c>
      <c r="S932">
        <v>37</v>
      </c>
      <c r="T932" s="43" t="str">
        <f t="shared" si="41"/>
        <v>2021.010B.R.Binomial_names.zip</v>
      </c>
      <c r="U932" s="43" t="str">
        <f>HYPERLINK("https://ictv.global/taxonomy/taxondetails?taxnode_id=202209937","ictv.global=202209937")</f>
        <v>ictv.global=202209937</v>
      </c>
    </row>
    <row r="933" spans="1:21">
      <c r="A933">
        <v>932</v>
      </c>
      <c r="B933" s="29" t="s">
        <v>3682</v>
      </c>
      <c r="C933" s="29"/>
      <c r="D933" s="29" t="s">
        <v>3683</v>
      </c>
      <c r="E933" s="29"/>
      <c r="F933" s="29" t="s">
        <v>3686</v>
      </c>
      <c r="G933" s="29"/>
      <c r="H933" s="29" t="s">
        <v>3687</v>
      </c>
      <c r="I933" s="29"/>
      <c r="J933" s="29"/>
      <c r="K933" s="29"/>
      <c r="L933" s="29" t="s">
        <v>3843</v>
      </c>
      <c r="M933" s="29" t="s">
        <v>3846</v>
      </c>
      <c r="N933" s="29" t="s">
        <v>3847</v>
      </c>
      <c r="O933" s="29"/>
      <c r="P933" s="29" t="s">
        <v>7932</v>
      </c>
      <c r="Q933" t="s">
        <v>2038</v>
      </c>
      <c r="R933" t="s">
        <v>2633</v>
      </c>
      <c r="S933">
        <v>37</v>
      </c>
      <c r="T933" s="43" t="str">
        <f t="shared" si="41"/>
        <v>2021.010B.R.Binomial_names.zip</v>
      </c>
      <c r="U933" s="43" t="str">
        <f>HYPERLINK("https://ictv.global/taxonomy/taxondetails?taxnode_id=202209936","ictv.global=202209936")</f>
        <v>ictv.global=202209936</v>
      </c>
    </row>
    <row r="934" spans="1:21">
      <c r="A934">
        <v>933</v>
      </c>
      <c r="B934" s="29" t="s">
        <v>3682</v>
      </c>
      <c r="C934" s="29"/>
      <c r="D934" s="29" t="s">
        <v>3683</v>
      </c>
      <c r="E934" s="29"/>
      <c r="F934" s="29" t="s">
        <v>3686</v>
      </c>
      <c r="G934" s="29"/>
      <c r="H934" s="29" t="s">
        <v>3687</v>
      </c>
      <c r="I934" s="29"/>
      <c r="J934" s="29"/>
      <c r="K934" s="29"/>
      <c r="L934" s="29" t="s">
        <v>3843</v>
      </c>
      <c r="M934" s="29" t="s">
        <v>3846</v>
      </c>
      <c r="N934" s="29" t="s">
        <v>3847</v>
      </c>
      <c r="O934" s="29"/>
      <c r="P934" s="29" t="s">
        <v>7933</v>
      </c>
      <c r="Q934" t="s">
        <v>2038</v>
      </c>
      <c r="R934" t="s">
        <v>2633</v>
      </c>
      <c r="S934">
        <v>37</v>
      </c>
      <c r="T934" s="43" t="str">
        <f t="shared" si="41"/>
        <v>2021.010B.R.Binomial_names.zip</v>
      </c>
      <c r="U934" s="43" t="str">
        <f>HYPERLINK("https://ictv.global/taxonomy/taxondetails?taxnode_id=202209941","ictv.global=202209941")</f>
        <v>ictv.global=202209941</v>
      </c>
    </row>
    <row r="935" spans="1:21">
      <c r="A935">
        <v>934</v>
      </c>
      <c r="B935" s="29" t="s">
        <v>3682</v>
      </c>
      <c r="C935" s="29"/>
      <c r="D935" s="29" t="s">
        <v>3683</v>
      </c>
      <c r="E935" s="29"/>
      <c r="F935" s="29" t="s">
        <v>3686</v>
      </c>
      <c r="G935" s="29"/>
      <c r="H935" s="29" t="s">
        <v>3687</v>
      </c>
      <c r="I935" s="29"/>
      <c r="J935" s="29"/>
      <c r="K935" s="29"/>
      <c r="L935" s="29" t="s">
        <v>3843</v>
      </c>
      <c r="M935" s="29" t="s">
        <v>3846</v>
      </c>
      <c r="N935" s="29" t="s">
        <v>3847</v>
      </c>
      <c r="O935" s="29"/>
      <c r="P935" s="29" t="s">
        <v>7934</v>
      </c>
      <c r="Q935" t="s">
        <v>2038</v>
      </c>
      <c r="R935" t="s">
        <v>2633</v>
      </c>
      <c r="S935">
        <v>37</v>
      </c>
      <c r="T935" s="43" t="str">
        <f t="shared" si="41"/>
        <v>2021.010B.R.Binomial_names.zip</v>
      </c>
      <c r="U935" s="43" t="str">
        <f>HYPERLINK("https://ictv.global/taxonomy/taxondetails?taxnode_id=202209940","ictv.global=202209940")</f>
        <v>ictv.global=202209940</v>
      </c>
    </row>
    <row r="936" spans="1:21">
      <c r="A936">
        <v>935</v>
      </c>
      <c r="B936" s="29" t="s">
        <v>3682</v>
      </c>
      <c r="C936" s="29"/>
      <c r="D936" s="29" t="s">
        <v>3683</v>
      </c>
      <c r="E936" s="29"/>
      <c r="F936" s="29" t="s">
        <v>3686</v>
      </c>
      <c r="G936" s="29"/>
      <c r="H936" s="29" t="s">
        <v>3687</v>
      </c>
      <c r="I936" s="29"/>
      <c r="J936" s="29"/>
      <c r="K936" s="29"/>
      <c r="L936" s="29" t="s">
        <v>3843</v>
      </c>
      <c r="M936" s="29" t="s">
        <v>3846</v>
      </c>
      <c r="N936" s="29" t="s">
        <v>3847</v>
      </c>
      <c r="O936" s="29"/>
      <c r="P936" s="29" t="s">
        <v>7935</v>
      </c>
      <c r="Q936" t="s">
        <v>2038</v>
      </c>
      <c r="R936" t="s">
        <v>2633</v>
      </c>
      <c r="S936">
        <v>37</v>
      </c>
      <c r="T936" s="43" t="str">
        <f t="shared" si="41"/>
        <v>2021.010B.R.Binomial_names.zip</v>
      </c>
      <c r="U936" s="43" t="str">
        <f>HYPERLINK("https://ictv.global/taxonomy/taxondetails?taxnode_id=202208112","ictv.global=202208112")</f>
        <v>ictv.global=202208112</v>
      </c>
    </row>
    <row r="937" spans="1:21">
      <c r="A937">
        <v>936</v>
      </c>
      <c r="B937" s="29" t="s">
        <v>3682</v>
      </c>
      <c r="C937" s="29"/>
      <c r="D937" s="29" t="s">
        <v>3683</v>
      </c>
      <c r="E937" s="29"/>
      <c r="F937" s="29" t="s">
        <v>3686</v>
      </c>
      <c r="G937" s="29"/>
      <c r="H937" s="29" t="s">
        <v>3687</v>
      </c>
      <c r="I937" s="29"/>
      <c r="J937" s="29"/>
      <c r="K937" s="29"/>
      <c r="L937" s="29" t="s">
        <v>3843</v>
      </c>
      <c r="M937" s="29" t="s">
        <v>3846</v>
      </c>
      <c r="N937" s="29" t="s">
        <v>3847</v>
      </c>
      <c r="O937" s="29"/>
      <c r="P937" s="29" t="s">
        <v>7936</v>
      </c>
      <c r="Q937" t="s">
        <v>2038</v>
      </c>
      <c r="R937" t="s">
        <v>2633</v>
      </c>
      <c r="S937">
        <v>37</v>
      </c>
      <c r="T937" s="43" t="str">
        <f t="shared" si="41"/>
        <v>2021.010B.R.Binomial_names.zip</v>
      </c>
      <c r="U937" s="43" t="str">
        <f>HYPERLINK("https://ictv.global/taxonomy/taxondetails?taxnode_id=202208097","ictv.global=202208097")</f>
        <v>ictv.global=202208097</v>
      </c>
    </row>
    <row r="938" spans="1:21">
      <c r="A938">
        <v>937</v>
      </c>
      <c r="B938" s="29" t="s">
        <v>3682</v>
      </c>
      <c r="C938" s="29"/>
      <c r="D938" s="29" t="s">
        <v>3683</v>
      </c>
      <c r="E938" s="29"/>
      <c r="F938" s="29" t="s">
        <v>3686</v>
      </c>
      <c r="G938" s="29"/>
      <c r="H938" s="29" t="s">
        <v>3687</v>
      </c>
      <c r="I938" s="29"/>
      <c r="J938" s="29"/>
      <c r="K938" s="29"/>
      <c r="L938" s="29" t="s">
        <v>3843</v>
      </c>
      <c r="M938" s="29" t="s">
        <v>3846</v>
      </c>
      <c r="N938" s="29" t="s">
        <v>3847</v>
      </c>
      <c r="O938" s="29"/>
      <c r="P938" s="29" t="s">
        <v>7937</v>
      </c>
      <c r="Q938" t="s">
        <v>2038</v>
      </c>
      <c r="R938" t="s">
        <v>2633</v>
      </c>
      <c r="S938">
        <v>37</v>
      </c>
      <c r="T938" s="43" t="str">
        <f t="shared" si="41"/>
        <v>2021.010B.R.Binomial_names.zip</v>
      </c>
      <c r="U938" s="43" t="str">
        <f>HYPERLINK("https://ictv.global/taxonomy/taxondetails?taxnode_id=202209939","ictv.global=202209939")</f>
        <v>ictv.global=202209939</v>
      </c>
    </row>
    <row r="939" spans="1:21">
      <c r="A939">
        <v>938</v>
      </c>
      <c r="B939" s="29" t="s">
        <v>3682</v>
      </c>
      <c r="C939" s="29"/>
      <c r="D939" s="29" t="s">
        <v>3683</v>
      </c>
      <c r="E939" s="29"/>
      <c r="F939" s="29" t="s">
        <v>3686</v>
      </c>
      <c r="G939" s="29"/>
      <c r="H939" s="29" t="s">
        <v>3687</v>
      </c>
      <c r="I939" s="29"/>
      <c r="J939" s="29"/>
      <c r="K939" s="29"/>
      <c r="L939" s="29" t="s">
        <v>3843</v>
      </c>
      <c r="M939" s="29" t="s">
        <v>3846</v>
      </c>
      <c r="N939" s="29" t="s">
        <v>3847</v>
      </c>
      <c r="O939" s="29"/>
      <c r="P939" s="29" t="s">
        <v>7938</v>
      </c>
      <c r="Q939" t="s">
        <v>2038</v>
      </c>
      <c r="R939" t="s">
        <v>2633</v>
      </c>
      <c r="S939">
        <v>37</v>
      </c>
      <c r="T939" s="43" t="str">
        <f t="shared" si="41"/>
        <v>2021.010B.R.Binomial_names.zip</v>
      </c>
      <c r="U939" s="43" t="str">
        <f>HYPERLINK("https://ictv.global/taxonomy/taxondetails?taxnode_id=202209935","ictv.global=202209935")</f>
        <v>ictv.global=202209935</v>
      </c>
    </row>
    <row r="940" spans="1:21">
      <c r="A940">
        <v>939</v>
      </c>
      <c r="B940" s="29" t="s">
        <v>3682</v>
      </c>
      <c r="C940" s="29"/>
      <c r="D940" s="29" t="s">
        <v>3683</v>
      </c>
      <c r="E940" s="29"/>
      <c r="F940" s="29" t="s">
        <v>3686</v>
      </c>
      <c r="G940" s="29"/>
      <c r="H940" s="29" t="s">
        <v>3687</v>
      </c>
      <c r="I940" s="29"/>
      <c r="J940" s="29"/>
      <c r="K940" s="29"/>
      <c r="L940" s="29" t="s">
        <v>3843</v>
      </c>
      <c r="M940" s="29" t="s">
        <v>3846</v>
      </c>
      <c r="N940" s="29" t="s">
        <v>3847</v>
      </c>
      <c r="O940" s="29"/>
      <c r="P940" s="29" t="s">
        <v>7939</v>
      </c>
      <c r="Q940" t="s">
        <v>2038</v>
      </c>
      <c r="R940" t="s">
        <v>2633</v>
      </c>
      <c r="S940">
        <v>38</v>
      </c>
      <c r="T940" s="43" t="str">
        <f>HYPERLINK("https://ictv.global/ictv/proposals/2022.003B.Abolish_Haartmanvirus.zip","2022.003B.Abolish_Haartmanvirus.zip")</f>
        <v>2022.003B.Abolish_Haartmanvirus.zip</v>
      </c>
      <c r="U940" s="43" t="str">
        <f>HYPERLINK("https://ictv.global/taxonomy/taxondetails?taxnode_id=202208114","ictv.global=202208114")</f>
        <v>ictv.global=202208114</v>
      </c>
    </row>
    <row r="941" spans="1:21">
      <c r="A941">
        <v>940</v>
      </c>
      <c r="B941" s="29" t="s">
        <v>3682</v>
      </c>
      <c r="C941" s="29"/>
      <c r="D941" s="29" t="s">
        <v>3683</v>
      </c>
      <c r="E941" s="29"/>
      <c r="F941" s="29" t="s">
        <v>3686</v>
      </c>
      <c r="G941" s="29"/>
      <c r="H941" s="29" t="s">
        <v>3687</v>
      </c>
      <c r="I941" s="29"/>
      <c r="J941" s="29"/>
      <c r="K941" s="29"/>
      <c r="L941" s="29" t="s">
        <v>3843</v>
      </c>
      <c r="M941" s="29" t="s">
        <v>3846</v>
      </c>
      <c r="N941" s="29" t="s">
        <v>3847</v>
      </c>
      <c r="O941" s="29"/>
      <c r="P941" s="29" t="s">
        <v>7940</v>
      </c>
      <c r="Q941" t="s">
        <v>2038</v>
      </c>
      <c r="R941" t="s">
        <v>2632</v>
      </c>
      <c r="S941">
        <v>38</v>
      </c>
      <c r="T941" s="43" t="str">
        <f>HYPERLINK("https://ictv.global/ictv/proposals/2022.008B.Autographiviridae_2nsp.zip","2022.008B.Autographiviridae_2nsp.zip")</f>
        <v>2022.008B.Autographiviridae_2nsp.zip</v>
      </c>
      <c r="U941" s="43" t="str">
        <f>HYPERLINK("https://ictv.global/taxonomy/taxondetails?taxnode_id=202214493","ictv.global=202214493")</f>
        <v>ictv.global=202214493</v>
      </c>
    </row>
    <row r="942" spans="1:21">
      <c r="A942">
        <v>941</v>
      </c>
      <c r="B942" s="29" t="s">
        <v>3682</v>
      </c>
      <c r="C942" s="29"/>
      <c r="D942" s="29" t="s">
        <v>3683</v>
      </c>
      <c r="E942" s="29"/>
      <c r="F942" s="29" t="s">
        <v>3686</v>
      </c>
      <c r="G942" s="29"/>
      <c r="H942" s="29" t="s">
        <v>3687</v>
      </c>
      <c r="I942" s="29"/>
      <c r="J942" s="29"/>
      <c r="K942" s="29"/>
      <c r="L942" s="29" t="s">
        <v>3843</v>
      </c>
      <c r="M942" s="29" t="s">
        <v>3846</v>
      </c>
      <c r="N942" s="29" t="s">
        <v>3847</v>
      </c>
      <c r="O942" s="29"/>
      <c r="P942" s="29" t="s">
        <v>7941</v>
      </c>
      <c r="Q942" t="s">
        <v>2038</v>
      </c>
      <c r="R942" t="s">
        <v>2633</v>
      </c>
      <c r="S942">
        <v>37</v>
      </c>
      <c r="T942" s="43" t="str">
        <f t="shared" ref="T942:T973" si="42">HYPERLINK("https://ictv.global/ictv/proposals/2021.010B.R.Binomial_names.zip","2021.010B.R.Binomial_names.zip")</f>
        <v>2021.010B.R.Binomial_names.zip</v>
      </c>
      <c r="U942" s="43" t="str">
        <f>HYPERLINK("https://ictv.global/taxonomy/taxondetails?taxnode_id=202209946","ictv.global=202209946")</f>
        <v>ictv.global=202209946</v>
      </c>
    </row>
    <row r="943" spans="1:21">
      <c r="A943">
        <v>942</v>
      </c>
      <c r="B943" s="29" t="s">
        <v>3682</v>
      </c>
      <c r="C943" s="29"/>
      <c r="D943" s="29" t="s">
        <v>3683</v>
      </c>
      <c r="E943" s="29"/>
      <c r="F943" s="29" t="s">
        <v>3686</v>
      </c>
      <c r="G943" s="29"/>
      <c r="H943" s="29" t="s">
        <v>3687</v>
      </c>
      <c r="I943" s="29"/>
      <c r="J943" s="29"/>
      <c r="K943" s="29"/>
      <c r="L943" s="29" t="s">
        <v>3843</v>
      </c>
      <c r="M943" s="29" t="s">
        <v>3846</v>
      </c>
      <c r="N943" s="29" t="s">
        <v>3847</v>
      </c>
      <c r="O943" s="29"/>
      <c r="P943" s="29" t="s">
        <v>7942</v>
      </c>
      <c r="Q943" t="s">
        <v>2038</v>
      </c>
      <c r="R943" t="s">
        <v>2633</v>
      </c>
      <c r="S943">
        <v>37</v>
      </c>
      <c r="T943" s="43" t="str">
        <f t="shared" si="42"/>
        <v>2021.010B.R.Binomial_names.zip</v>
      </c>
      <c r="U943" s="43" t="str">
        <f>HYPERLINK("https://ictv.global/taxonomy/taxondetails?taxnode_id=202208100","ictv.global=202208100")</f>
        <v>ictv.global=202208100</v>
      </c>
    </row>
    <row r="944" spans="1:21">
      <c r="A944">
        <v>943</v>
      </c>
      <c r="B944" s="29" t="s">
        <v>3682</v>
      </c>
      <c r="C944" s="29"/>
      <c r="D944" s="29" t="s">
        <v>3683</v>
      </c>
      <c r="E944" s="29"/>
      <c r="F944" s="29" t="s">
        <v>3686</v>
      </c>
      <c r="G944" s="29"/>
      <c r="H944" s="29" t="s">
        <v>3687</v>
      </c>
      <c r="I944" s="29"/>
      <c r="J944" s="29"/>
      <c r="K944" s="29"/>
      <c r="L944" s="29" t="s">
        <v>3843</v>
      </c>
      <c r="M944" s="29" t="s">
        <v>3846</v>
      </c>
      <c r="N944" s="29" t="s">
        <v>3847</v>
      </c>
      <c r="O944" s="29"/>
      <c r="P944" s="29" t="s">
        <v>7943</v>
      </c>
      <c r="Q944" t="s">
        <v>2038</v>
      </c>
      <c r="R944" t="s">
        <v>2633</v>
      </c>
      <c r="S944">
        <v>37</v>
      </c>
      <c r="T944" s="43" t="str">
        <f t="shared" si="42"/>
        <v>2021.010B.R.Binomial_names.zip</v>
      </c>
      <c r="U944" s="43" t="str">
        <f>HYPERLINK("https://ictv.global/taxonomy/taxondetails?taxnode_id=202208102","ictv.global=202208102")</f>
        <v>ictv.global=202208102</v>
      </c>
    </row>
    <row r="945" spans="1:21">
      <c r="A945">
        <v>944</v>
      </c>
      <c r="B945" s="29" t="s">
        <v>3682</v>
      </c>
      <c r="C945" s="29"/>
      <c r="D945" s="29" t="s">
        <v>3683</v>
      </c>
      <c r="E945" s="29"/>
      <c r="F945" s="29" t="s">
        <v>3686</v>
      </c>
      <c r="G945" s="29"/>
      <c r="H945" s="29" t="s">
        <v>3687</v>
      </c>
      <c r="I945" s="29"/>
      <c r="J945" s="29"/>
      <c r="K945" s="29"/>
      <c r="L945" s="29" t="s">
        <v>3843</v>
      </c>
      <c r="M945" s="29" t="s">
        <v>3846</v>
      </c>
      <c r="N945" s="29" t="s">
        <v>3847</v>
      </c>
      <c r="O945" s="29"/>
      <c r="P945" s="29" t="s">
        <v>7944</v>
      </c>
      <c r="Q945" t="s">
        <v>2038</v>
      </c>
      <c r="R945" t="s">
        <v>2633</v>
      </c>
      <c r="S945">
        <v>37</v>
      </c>
      <c r="T945" s="43" t="str">
        <f t="shared" si="42"/>
        <v>2021.010B.R.Binomial_names.zip</v>
      </c>
      <c r="U945" s="43" t="str">
        <f>HYPERLINK("https://ictv.global/taxonomy/taxondetails?taxnode_id=202208106","ictv.global=202208106")</f>
        <v>ictv.global=202208106</v>
      </c>
    </row>
    <row r="946" spans="1:21">
      <c r="A946">
        <v>945</v>
      </c>
      <c r="B946" s="29" t="s">
        <v>3682</v>
      </c>
      <c r="C946" s="29"/>
      <c r="D946" s="29" t="s">
        <v>3683</v>
      </c>
      <c r="E946" s="29"/>
      <c r="F946" s="29" t="s">
        <v>3686</v>
      </c>
      <c r="G946" s="29"/>
      <c r="H946" s="29" t="s">
        <v>3687</v>
      </c>
      <c r="I946" s="29"/>
      <c r="J946" s="29"/>
      <c r="K946" s="29"/>
      <c r="L946" s="29" t="s">
        <v>3843</v>
      </c>
      <c r="M946" s="29" t="s">
        <v>3846</v>
      </c>
      <c r="N946" s="29" t="s">
        <v>3847</v>
      </c>
      <c r="O946" s="29"/>
      <c r="P946" s="29" t="s">
        <v>7945</v>
      </c>
      <c r="Q946" t="s">
        <v>2038</v>
      </c>
      <c r="R946" t="s">
        <v>2633</v>
      </c>
      <c r="S946">
        <v>37</v>
      </c>
      <c r="T946" s="43" t="str">
        <f t="shared" si="42"/>
        <v>2021.010B.R.Binomial_names.zip</v>
      </c>
      <c r="U946" s="43" t="str">
        <f>HYPERLINK("https://ictv.global/taxonomy/taxondetails?taxnode_id=202208096","ictv.global=202208096")</f>
        <v>ictv.global=202208096</v>
      </c>
    </row>
    <row r="947" spans="1:21">
      <c r="A947">
        <v>946</v>
      </c>
      <c r="B947" s="29" t="s">
        <v>3682</v>
      </c>
      <c r="C947" s="29"/>
      <c r="D947" s="29" t="s">
        <v>3683</v>
      </c>
      <c r="E947" s="29"/>
      <c r="F947" s="29" t="s">
        <v>3686</v>
      </c>
      <c r="G947" s="29"/>
      <c r="H947" s="29" t="s">
        <v>3687</v>
      </c>
      <c r="I947" s="29"/>
      <c r="J947" s="29"/>
      <c r="K947" s="29"/>
      <c r="L947" s="29" t="s">
        <v>3843</v>
      </c>
      <c r="M947" s="29" t="s">
        <v>3846</v>
      </c>
      <c r="N947" s="29" t="s">
        <v>3847</v>
      </c>
      <c r="O947" s="29"/>
      <c r="P947" s="29" t="s">
        <v>7946</v>
      </c>
      <c r="Q947" t="s">
        <v>2038</v>
      </c>
      <c r="R947" t="s">
        <v>2633</v>
      </c>
      <c r="S947">
        <v>37</v>
      </c>
      <c r="T947" s="43" t="str">
        <f t="shared" si="42"/>
        <v>2021.010B.R.Binomial_names.zip</v>
      </c>
      <c r="U947" s="43" t="str">
        <f>HYPERLINK("https://ictv.global/taxonomy/taxondetails?taxnode_id=202208099","ictv.global=202208099")</f>
        <v>ictv.global=202208099</v>
      </c>
    </row>
    <row r="948" spans="1:21">
      <c r="A948">
        <v>947</v>
      </c>
      <c r="B948" s="29" t="s">
        <v>3682</v>
      </c>
      <c r="C948" s="29"/>
      <c r="D948" s="29" t="s">
        <v>3683</v>
      </c>
      <c r="E948" s="29"/>
      <c r="F948" s="29" t="s">
        <v>3686</v>
      </c>
      <c r="G948" s="29"/>
      <c r="H948" s="29" t="s">
        <v>3687</v>
      </c>
      <c r="I948" s="29"/>
      <c r="J948" s="29"/>
      <c r="K948" s="29"/>
      <c r="L948" s="29" t="s">
        <v>3843</v>
      </c>
      <c r="M948" s="29" t="s">
        <v>3846</v>
      </c>
      <c r="N948" s="29" t="s">
        <v>3847</v>
      </c>
      <c r="O948" s="29"/>
      <c r="P948" s="29" t="s">
        <v>7947</v>
      </c>
      <c r="Q948" t="s">
        <v>2038</v>
      </c>
      <c r="R948" t="s">
        <v>2633</v>
      </c>
      <c r="S948">
        <v>37</v>
      </c>
      <c r="T948" s="43" t="str">
        <f t="shared" si="42"/>
        <v>2021.010B.R.Binomial_names.zip</v>
      </c>
      <c r="U948" s="43" t="str">
        <f>HYPERLINK("https://ictv.global/taxonomy/taxondetails?taxnode_id=202208109","ictv.global=202208109")</f>
        <v>ictv.global=202208109</v>
      </c>
    </row>
    <row r="949" spans="1:21">
      <c r="A949">
        <v>948</v>
      </c>
      <c r="B949" s="29" t="s">
        <v>3682</v>
      </c>
      <c r="C949" s="29"/>
      <c r="D949" s="29" t="s">
        <v>3683</v>
      </c>
      <c r="E949" s="29"/>
      <c r="F949" s="29" t="s">
        <v>3686</v>
      </c>
      <c r="G949" s="29"/>
      <c r="H949" s="29" t="s">
        <v>3687</v>
      </c>
      <c r="I949" s="29"/>
      <c r="J949" s="29"/>
      <c r="K949" s="29"/>
      <c r="L949" s="29" t="s">
        <v>3843</v>
      </c>
      <c r="M949" s="29" t="s">
        <v>3846</v>
      </c>
      <c r="N949" s="29" t="s">
        <v>3847</v>
      </c>
      <c r="O949" s="29"/>
      <c r="P949" s="29" t="s">
        <v>7948</v>
      </c>
      <c r="Q949" t="s">
        <v>2038</v>
      </c>
      <c r="R949" t="s">
        <v>2633</v>
      </c>
      <c r="S949">
        <v>37</v>
      </c>
      <c r="T949" s="43" t="str">
        <f t="shared" si="42"/>
        <v>2021.010B.R.Binomial_names.zip</v>
      </c>
      <c r="U949" s="43" t="str">
        <f>HYPERLINK("https://ictv.global/taxonomy/taxondetails?taxnode_id=202208103","ictv.global=202208103")</f>
        <v>ictv.global=202208103</v>
      </c>
    </row>
    <row r="950" spans="1:21">
      <c r="A950">
        <v>949</v>
      </c>
      <c r="B950" s="29" t="s">
        <v>3682</v>
      </c>
      <c r="C950" s="29"/>
      <c r="D950" s="29" t="s">
        <v>3683</v>
      </c>
      <c r="E950" s="29"/>
      <c r="F950" s="29" t="s">
        <v>3686</v>
      </c>
      <c r="G950" s="29"/>
      <c r="H950" s="29" t="s">
        <v>3687</v>
      </c>
      <c r="I950" s="29"/>
      <c r="J950" s="29"/>
      <c r="K950" s="29"/>
      <c r="L950" s="29" t="s">
        <v>3843</v>
      </c>
      <c r="M950" s="29" t="s">
        <v>3846</v>
      </c>
      <c r="N950" s="29" t="s">
        <v>3847</v>
      </c>
      <c r="O950" s="29"/>
      <c r="P950" s="29" t="s">
        <v>7949</v>
      </c>
      <c r="Q950" t="s">
        <v>2038</v>
      </c>
      <c r="R950" t="s">
        <v>2633</v>
      </c>
      <c r="S950">
        <v>37</v>
      </c>
      <c r="T950" s="43" t="str">
        <f t="shared" si="42"/>
        <v>2021.010B.R.Binomial_names.zip</v>
      </c>
      <c r="U950" s="43" t="str">
        <f>HYPERLINK("https://ictv.global/taxonomy/taxondetails?taxnode_id=202208101","ictv.global=202208101")</f>
        <v>ictv.global=202208101</v>
      </c>
    </row>
    <row r="951" spans="1:21">
      <c r="A951">
        <v>950</v>
      </c>
      <c r="B951" s="29" t="s">
        <v>3682</v>
      </c>
      <c r="C951" s="29"/>
      <c r="D951" s="29" t="s">
        <v>3683</v>
      </c>
      <c r="E951" s="29"/>
      <c r="F951" s="29" t="s">
        <v>3686</v>
      </c>
      <c r="G951" s="29"/>
      <c r="H951" s="29" t="s">
        <v>3687</v>
      </c>
      <c r="I951" s="29"/>
      <c r="J951" s="29"/>
      <c r="K951" s="29"/>
      <c r="L951" s="29" t="s">
        <v>3843</v>
      </c>
      <c r="M951" s="29" t="s">
        <v>3846</v>
      </c>
      <c r="N951" s="29" t="s">
        <v>3847</v>
      </c>
      <c r="O951" s="29"/>
      <c r="P951" s="29" t="s">
        <v>7950</v>
      </c>
      <c r="Q951" t="s">
        <v>2038</v>
      </c>
      <c r="R951" t="s">
        <v>2633</v>
      </c>
      <c r="S951">
        <v>37</v>
      </c>
      <c r="T951" s="43" t="str">
        <f t="shared" si="42"/>
        <v>2021.010B.R.Binomial_names.zip</v>
      </c>
      <c r="U951" s="43" t="str">
        <f>HYPERLINK("https://ictv.global/taxonomy/taxondetails?taxnode_id=202208111","ictv.global=202208111")</f>
        <v>ictv.global=202208111</v>
      </c>
    </row>
    <row r="952" spans="1:21">
      <c r="A952">
        <v>951</v>
      </c>
      <c r="B952" s="29" t="s">
        <v>3682</v>
      </c>
      <c r="C952" s="29"/>
      <c r="D952" s="29" t="s">
        <v>3683</v>
      </c>
      <c r="E952" s="29"/>
      <c r="F952" s="29" t="s">
        <v>3686</v>
      </c>
      <c r="G952" s="29"/>
      <c r="H952" s="29" t="s">
        <v>3687</v>
      </c>
      <c r="I952" s="29"/>
      <c r="J952" s="29"/>
      <c r="K952" s="29"/>
      <c r="L952" s="29" t="s">
        <v>3843</v>
      </c>
      <c r="M952" s="29" t="s">
        <v>3846</v>
      </c>
      <c r="N952" s="29" t="s">
        <v>3847</v>
      </c>
      <c r="O952" s="29"/>
      <c r="P952" s="29" t="s">
        <v>7951</v>
      </c>
      <c r="Q952" t="s">
        <v>2038</v>
      </c>
      <c r="R952" t="s">
        <v>2633</v>
      </c>
      <c r="S952">
        <v>37</v>
      </c>
      <c r="T952" s="43" t="str">
        <f t="shared" si="42"/>
        <v>2021.010B.R.Binomial_names.zip</v>
      </c>
      <c r="U952" s="43" t="str">
        <f>HYPERLINK("https://ictv.global/taxonomy/taxondetails?taxnode_id=202209942","ictv.global=202209942")</f>
        <v>ictv.global=202209942</v>
      </c>
    </row>
    <row r="953" spans="1:21">
      <c r="A953">
        <v>952</v>
      </c>
      <c r="B953" s="29" t="s">
        <v>3682</v>
      </c>
      <c r="C953" s="29"/>
      <c r="D953" s="29" t="s">
        <v>3683</v>
      </c>
      <c r="E953" s="29"/>
      <c r="F953" s="29" t="s">
        <v>3686</v>
      </c>
      <c r="G953" s="29"/>
      <c r="H953" s="29" t="s">
        <v>3687</v>
      </c>
      <c r="I953" s="29"/>
      <c r="J953" s="29"/>
      <c r="K953" s="29"/>
      <c r="L953" s="29" t="s">
        <v>3843</v>
      </c>
      <c r="M953" s="29" t="s">
        <v>3846</v>
      </c>
      <c r="N953" s="29" t="s">
        <v>3847</v>
      </c>
      <c r="O953" s="29"/>
      <c r="P953" s="29" t="s">
        <v>7952</v>
      </c>
      <c r="Q953" t="s">
        <v>2038</v>
      </c>
      <c r="R953" t="s">
        <v>2633</v>
      </c>
      <c r="S953">
        <v>37</v>
      </c>
      <c r="T953" s="43" t="str">
        <f t="shared" si="42"/>
        <v>2021.010B.R.Binomial_names.zip</v>
      </c>
      <c r="U953" s="43" t="str">
        <f>HYPERLINK("https://ictv.global/taxonomy/taxondetails?taxnode_id=202209947","ictv.global=202209947")</f>
        <v>ictv.global=202209947</v>
      </c>
    </row>
    <row r="954" spans="1:21">
      <c r="A954">
        <v>953</v>
      </c>
      <c r="B954" s="29" t="s">
        <v>3682</v>
      </c>
      <c r="C954" s="29"/>
      <c r="D954" s="29" t="s">
        <v>3683</v>
      </c>
      <c r="E954" s="29"/>
      <c r="F954" s="29" t="s">
        <v>3686</v>
      </c>
      <c r="G954" s="29"/>
      <c r="H954" s="29" t="s">
        <v>3687</v>
      </c>
      <c r="I954" s="29"/>
      <c r="J954" s="29"/>
      <c r="K954" s="29"/>
      <c r="L954" s="29" t="s">
        <v>3843</v>
      </c>
      <c r="M954" s="29" t="s">
        <v>3846</v>
      </c>
      <c r="N954" s="29" t="s">
        <v>3847</v>
      </c>
      <c r="O954" s="29"/>
      <c r="P954" s="29" t="s">
        <v>7953</v>
      </c>
      <c r="Q954" t="s">
        <v>2038</v>
      </c>
      <c r="R954" t="s">
        <v>2633</v>
      </c>
      <c r="S954">
        <v>37</v>
      </c>
      <c r="T954" s="43" t="str">
        <f t="shared" si="42"/>
        <v>2021.010B.R.Binomial_names.zip</v>
      </c>
      <c r="U954" s="43" t="str">
        <f>HYPERLINK("https://ictv.global/taxonomy/taxondetails?taxnode_id=202208104","ictv.global=202208104")</f>
        <v>ictv.global=202208104</v>
      </c>
    </row>
    <row r="955" spans="1:21">
      <c r="A955">
        <v>954</v>
      </c>
      <c r="B955" s="29" t="s">
        <v>3682</v>
      </c>
      <c r="C955" s="29"/>
      <c r="D955" s="29" t="s">
        <v>3683</v>
      </c>
      <c r="E955" s="29"/>
      <c r="F955" s="29" t="s">
        <v>3686</v>
      </c>
      <c r="G955" s="29"/>
      <c r="H955" s="29" t="s">
        <v>3687</v>
      </c>
      <c r="I955" s="29"/>
      <c r="J955" s="29"/>
      <c r="K955" s="29"/>
      <c r="L955" s="29" t="s">
        <v>3843</v>
      </c>
      <c r="M955" s="29" t="s">
        <v>3846</v>
      </c>
      <c r="N955" s="29" t="s">
        <v>3847</v>
      </c>
      <c r="O955" s="29"/>
      <c r="P955" s="29" t="s">
        <v>7954</v>
      </c>
      <c r="Q955" t="s">
        <v>2038</v>
      </c>
      <c r="R955" t="s">
        <v>2633</v>
      </c>
      <c r="S955">
        <v>37</v>
      </c>
      <c r="T955" s="43" t="str">
        <f t="shared" si="42"/>
        <v>2021.010B.R.Binomial_names.zip</v>
      </c>
      <c r="U955" s="43" t="str">
        <f>HYPERLINK("https://ictv.global/taxonomy/taxondetails?taxnode_id=202209945","ictv.global=202209945")</f>
        <v>ictv.global=202209945</v>
      </c>
    </row>
    <row r="956" spans="1:21">
      <c r="A956">
        <v>955</v>
      </c>
      <c r="B956" s="29" t="s">
        <v>3682</v>
      </c>
      <c r="C956" s="29"/>
      <c r="D956" s="29" t="s">
        <v>3683</v>
      </c>
      <c r="E956" s="29"/>
      <c r="F956" s="29" t="s">
        <v>3686</v>
      </c>
      <c r="G956" s="29"/>
      <c r="H956" s="29" t="s">
        <v>3687</v>
      </c>
      <c r="I956" s="29"/>
      <c r="J956" s="29"/>
      <c r="K956" s="29"/>
      <c r="L956" s="29" t="s">
        <v>3843</v>
      </c>
      <c r="M956" s="29" t="s">
        <v>3846</v>
      </c>
      <c r="N956" s="29" t="s">
        <v>3847</v>
      </c>
      <c r="O956" s="29"/>
      <c r="P956" s="29" t="s">
        <v>7955</v>
      </c>
      <c r="Q956" t="s">
        <v>2038</v>
      </c>
      <c r="R956" t="s">
        <v>2633</v>
      </c>
      <c r="S956">
        <v>37</v>
      </c>
      <c r="T956" s="43" t="str">
        <f t="shared" si="42"/>
        <v>2021.010B.R.Binomial_names.zip</v>
      </c>
      <c r="U956" s="43" t="str">
        <f>HYPERLINK("https://ictv.global/taxonomy/taxondetails?taxnode_id=202208107","ictv.global=202208107")</f>
        <v>ictv.global=202208107</v>
      </c>
    </row>
    <row r="957" spans="1:21">
      <c r="A957">
        <v>956</v>
      </c>
      <c r="B957" s="29" t="s">
        <v>3682</v>
      </c>
      <c r="C957" s="29"/>
      <c r="D957" s="29" t="s">
        <v>3683</v>
      </c>
      <c r="E957" s="29"/>
      <c r="F957" s="29" t="s">
        <v>3686</v>
      </c>
      <c r="G957" s="29"/>
      <c r="H957" s="29" t="s">
        <v>3687</v>
      </c>
      <c r="I957" s="29"/>
      <c r="J957" s="29"/>
      <c r="K957" s="29"/>
      <c r="L957" s="29" t="s">
        <v>3843</v>
      </c>
      <c r="M957" s="29" t="s">
        <v>3846</v>
      </c>
      <c r="N957" s="29" t="s">
        <v>3847</v>
      </c>
      <c r="O957" s="29"/>
      <c r="P957" s="29" t="s">
        <v>7956</v>
      </c>
      <c r="Q957" t="s">
        <v>2038</v>
      </c>
      <c r="R957" t="s">
        <v>2633</v>
      </c>
      <c r="S957">
        <v>37</v>
      </c>
      <c r="T957" s="43" t="str">
        <f t="shared" si="42"/>
        <v>2021.010B.R.Binomial_names.zip</v>
      </c>
      <c r="U957" s="43" t="str">
        <f>HYPERLINK("https://ictv.global/taxonomy/taxondetails?taxnode_id=202208110","ictv.global=202208110")</f>
        <v>ictv.global=202208110</v>
      </c>
    </row>
    <row r="958" spans="1:21">
      <c r="A958">
        <v>957</v>
      </c>
      <c r="B958" s="29" t="s">
        <v>3682</v>
      </c>
      <c r="C958" s="29"/>
      <c r="D958" s="29" t="s">
        <v>3683</v>
      </c>
      <c r="E958" s="29"/>
      <c r="F958" s="29" t="s">
        <v>3686</v>
      </c>
      <c r="G958" s="29"/>
      <c r="H958" s="29" t="s">
        <v>3687</v>
      </c>
      <c r="I958" s="29"/>
      <c r="J958" s="29"/>
      <c r="K958" s="29"/>
      <c r="L958" s="29" t="s">
        <v>3843</v>
      </c>
      <c r="M958" s="29" t="s">
        <v>3846</v>
      </c>
      <c r="N958" s="29" t="s">
        <v>3847</v>
      </c>
      <c r="O958" s="29"/>
      <c r="P958" s="29" t="s">
        <v>7957</v>
      </c>
      <c r="Q958" t="s">
        <v>2038</v>
      </c>
      <c r="R958" t="s">
        <v>2633</v>
      </c>
      <c r="S958">
        <v>37</v>
      </c>
      <c r="T958" s="43" t="str">
        <f t="shared" si="42"/>
        <v>2021.010B.R.Binomial_names.zip</v>
      </c>
      <c r="U958" s="43" t="str">
        <f>HYPERLINK("https://ictv.global/taxonomy/taxondetails?taxnode_id=202201332","ictv.global=202201332")</f>
        <v>ictv.global=202201332</v>
      </c>
    </row>
    <row r="959" spans="1:21">
      <c r="A959">
        <v>958</v>
      </c>
      <c r="B959" s="29" t="s">
        <v>3682</v>
      </c>
      <c r="C959" s="29"/>
      <c r="D959" s="29" t="s">
        <v>3683</v>
      </c>
      <c r="E959" s="29"/>
      <c r="F959" s="29" t="s">
        <v>3686</v>
      </c>
      <c r="G959" s="29"/>
      <c r="H959" s="29" t="s">
        <v>3687</v>
      </c>
      <c r="I959" s="29"/>
      <c r="J959" s="29"/>
      <c r="K959" s="29"/>
      <c r="L959" s="29" t="s">
        <v>3843</v>
      </c>
      <c r="M959" s="29" t="s">
        <v>3846</v>
      </c>
      <c r="N959" s="29" t="s">
        <v>3847</v>
      </c>
      <c r="O959" s="29"/>
      <c r="P959" s="29" t="s">
        <v>7958</v>
      </c>
      <c r="Q959" t="s">
        <v>2038</v>
      </c>
      <c r="R959" t="s">
        <v>2633</v>
      </c>
      <c r="S959">
        <v>37</v>
      </c>
      <c r="T959" s="43" t="str">
        <f t="shared" si="42"/>
        <v>2021.010B.R.Binomial_names.zip</v>
      </c>
      <c r="U959" s="43" t="str">
        <f>HYPERLINK("https://ictv.global/taxonomy/taxondetails?taxnode_id=202208108","ictv.global=202208108")</f>
        <v>ictv.global=202208108</v>
      </c>
    </row>
    <row r="960" spans="1:21">
      <c r="A960">
        <v>959</v>
      </c>
      <c r="B960" s="29" t="s">
        <v>3682</v>
      </c>
      <c r="C960" s="29"/>
      <c r="D960" s="29" t="s">
        <v>3683</v>
      </c>
      <c r="E960" s="29"/>
      <c r="F960" s="29" t="s">
        <v>3686</v>
      </c>
      <c r="G960" s="29"/>
      <c r="H960" s="29" t="s">
        <v>3687</v>
      </c>
      <c r="I960" s="29"/>
      <c r="J960" s="29"/>
      <c r="K960" s="29"/>
      <c r="L960" s="29" t="s">
        <v>3843</v>
      </c>
      <c r="M960" s="29" t="s">
        <v>3846</v>
      </c>
      <c r="N960" s="29" t="s">
        <v>3606</v>
      </c>
      <c r="O960" s="29"/>
      <c r="P960" s="29" t="s">
        <v>7959</v>
      </c>
      <c r="Q960" t="s">
        <v>2038</v>
      </c>
      <c r="R960" t="s">
        <v>2633</v>
      </c>
      <c r="S960">
        <v>37</v>
      </c>
      <c r="T960" s="43" t="str">
        <f t="shared" si="42"/>
        <v>2021.010B.R.Binomial_names.zip</v>
      </c>
      <c r="U960" s="43" t="str">
        <f>HYPERLINK("https://ictv.global/taxonomy/taxondetails?taxnode_id=202201321","ictv.global=202201321")</f>
        <v>ictv.global=202201321</v>
      </c>
    </row>
    <row r="961" spans="1:21">
      <c r="A961">
        <v>960</v>
      </c>
      <c r="B961" s="29" t="s">
        <v>3682</v>
      </c>
      <c r="C961" s="29"/>
      <c r="D961" s="29" t="s">
        <v>3683</v>
      </c>
      <c r="E961" s="29"/>
      <c r="F961" s="29" t="s">
        <v>3686</v>
      </c>
      <c r="G961" s="29"/>
      <c r="H961" s="29" t="s">
        <v>3687</v>
      </c>
      <c r="I961" s="29"/>
      <c r="J961" s="29"/>
      <c r="K961" s="29"/>
      <c r="L961" s="29" t="s">
        <v>3843</v>
      </c>
      <c r="M961" s="29" t="s">
        <v>3846</v>
      </c>
      <c r="N961" s="29" t="s">
        <v>3606</v>
      </c>
      <c r="O961" s="29"/>
      <c r="P961" s="29" t="s">
        <v>7960</v>
      </c>
      <c r="Q961" t="s">
        <v>2038</v>
      </c>
      <c r="R961" t="s">
        <v>2633</v>
      </c>
      <c r="S961">
        <v>37</v>
      </c>
      <c r="T961" s="43" t="str">
        <f t="shared" si="42"/>
        <v>2021.010B.R.Binomial_names.zip</v>
      </c>
      <c r="U961" s="43" t="str">
        <f>HYPERLINK("https://ictv.global/taxonomy/taxondetails?taxnode_id=202208092","ictv.global=202208092")</f>
        <v>ictv.global=202208092</v>
      </c>
    </row>
    <row r="962" spans="1:21">
      <c r="A962">
        <v>961</v>
      </c>
      <c r="B962" s="29" t="s">
        <v>3682</v>
      </c>
      <c r="C962" s="29"/>
      <c r="D962" s="29" t="s">
        <v>3683</v>
      </c>
      <c r="E962" s="29"/>
      <c r="F962" s="29" t="s">
        <v>3686</v>
      </c>
      <c r="G962" s="29"/>
      <c r="H962" s="29" t="s">
        <v>3687</v>
      </c>
      <c r="I962" s="29"/>
      <c r="J962" s="29"/>
      <c r="K962" s="29"/>
      <c r="L962" s="29" t="s">
        <v>3843</v>
      </c>
      <c r="M962" s="29" t="s">
        <v>3846</v>
      </c>
      <c r="N962" s="29" t="s">
        <v>3606</v>
      </c>
      <c r="O962" s="29"/>
      <c r="P962" s="29" t="s">
        <v>7961</v>
      </c>
      <c r="Q962" t="s">
        <v>2038</v>
      </c>
      <c r="R962" t="s">
        <v>2633</v>
      </c>
      <c r="S962">
        <v>37</v>
      </c>
      <c r="T962" s="43" t="str">
        <f t="shared" si="42"/>
        <v>2021.010B.R.Binomial_names.zip</v>
      </c>
      <c r="U962" s="43" t="str">
        <f>HYPERLINK("https://ictv.global/taxonomy/taxondetails?taxnode_id=202201322","ictv.global=202201322")</f>
        <v>ictv.global=202201322</v>
      </c>
    </row>
    <row r="963" spans="1:21">
      <c r="A963">
        <v>962</v>
      </c>
      <c r="B963" s="29" t="s">
        <v>3682</v>
      </c>
      <c r="C963" s="29"/>
      <c r="D963" s="29" t="s">
        <v>3683</v>
      </c>
      <c r="E963" s="29"/>
      <c r="F963" s="29" t="s">
        <v>3686</v>
      </c>
      <c r="G963" s="29"/>
      <c r="H963" s="29" t="s">
        <v>3687</v>
      </c>
      <c r="I963" s="29"/>
      <c r="J963" s="29"/>
      <c r="K963" s="29"/>
      <c r="L963" s="29" t="s">
        <v>3843</v>
      </c>
      <c r="M963" s="29" t="s">
        <v>3846</v>
      </c>
      <c r="N963" s="29" t="s">
        <v>3606</v>
      </c>
      <c r="O963" s="29"/>
      <c r="P963" s="29" t="s">
        <v>7962</v>
      </c>
      <c r="Q963" t="s">
        <v>2038</v>
      </c>
      <c r="R963" t="s">
        <v>2633</v>
      </c>
      <c r="S963">
        <v>37</v>
      </c>
      <c r="T963" s="43" t="str">
        <f t="shared" si="42"/>
        <v>2021.010B.R.Binomial_names.zip</v>
      </c>
      <c r="U963" s="43" t="str">
        <f>HYPERLINK("https://ictv.global/taxonomy/taxondetails?taxnode_id=202208093","ictv.global=202208093")</f>
        <v>ictv.global=202208093</v>
      </c>
    </row>
    <row r="964" spans="1:21">
      <c r="A964">
        <v>963</v>
      </c>
      <c r="B964" s="29" t="s">
        <v>3682</v>
      </c>
      <c r="C964" s="29"/>
      <c r="D964" s="29" t="s">
        <v>3683</v>
      </c>
      <c r="E964" s="29"/>
      <c r="F964" s="29" t="s">
        <v>3686</v>
      </c>
      <c r="G964" s="29"/>
      <c r="H964" s="29" t="s">
        <v>3687</v>
      </c>
      <c r="I964" s="29"/>
      <c r="J964" s="29"/>
      <c r="K964" s="29"/>
      <c r="L964" s="29" t="s">
        <v>3843</v>
      </c>
      <c r="M964" s="29" t="s">
        <v>3846</v>
      </c>
      <c r="N964" s="29" t="s">
        <v>3606</v>
      </c>
      <c r="O964" s="29"/>
      <c r="P964" s="29" t="s">
        <v>7963</v>
      </c>
      <c r="Q964" t="s">
        <v>2038</v>
      </c>
      <c r="R964" t="s">
        <v>2633</v>
      </c>
      <c r="S964">
        <v>37</v>
      </c>
      <c r="T964" s="43" t="str">
        <f t="shared" si="42"/>
        <v>2021.010B.R.Binomial_names.zip</v>
      </c>
      <c r="U964" s="43" t="str">
        <f>HYPERLINK("https://ictv.global/taxonomy/taxondetails?taxnode_id=202208083","ictv.global=202208083")</f>
        <v>ictv.global=202208083</v>
      </c>
    </row>
    <row r="965" spans="1:21">
      <c r="A965">
        <v>964</v>
      </c>
      <c r="B965" s="29" t="s">
        <v>3682</v>
      </c>
      <c r="C965" s="29"/>
      <c r="D965" s="29" t="s">
        <v>3683</v>
      </c>
      <c r="E965" s="29"/>
      <c r="F965" s="29" t="s">
        <v>3686</v>
      </c>
      <c r="G965" s="29"/>
      <c r="H965" s="29" t="s">
        <v>3687</v>
      </c>
      <c r="I965" s="29"/>
      <c r="J965" s="29"/>
      <c r="K965" s="29"/>
      <c r="L965" s="29" t="s">
        <v>3843</v>
      </c>
      <c r="M965" s="29" t="s">
        <v>3846</v>
      </c>
      <c r="N965" s="29" t="s">
        <v>3606</v>
      </c>
      <c r="O965" s="29"/>
      <c r="P965" s="29" t="s">
        <v>7964</v>
      </c>
      <c r="Q965" t="s">
        <v>2038</v>
      </c>
      <c r="R965" t="s">
        <v>2633</v>
      </c>
      <c r="S965">
        <v>37</v>
      </c>
      <c r="T965" s="43" t="str">
        <f t="shared" si="42"/>
        <v>2021.010B.R.Binomial_names.zip</v>
      </c>
      <c r="U965" s="43" t="str">
        <f>HYPERLINK("https://ictv.global/taxonomy/taxondetails?taxnode_id=202201323","ictv.global=202201323")</f>
        <v>ictv.global=202201323</v>
      </c>
    </row>
    <row r="966" spans="1:21">
      <c r="A966">
        <v>965</v>
      </c>
      <c r="B966" s="29" t="s">
        <v>3682</v>
      </c>
      <c r="C966" s="29"/>
      <c r="D966" s="29" t="s">
        <v>3683</v>
      </c>
      <c r="E966" s="29"/>
      <c r="F966" s="29" t="s">
        <v>3686</v>
      </c>
      <c r="G966" s="29"/>
      <c r="H966" s="29" t="s">
        <v>3687</v>
      </c>
      <c r="I966" s="29"/>
      <c r="J966" s="29"/>
      <c r="K966" s="29"/>
      <c r="L966" s="29" t="s">
        <v>3843</v>
      </c>
      <c r="M966" s="29" t="s">
        <v>3846</v>
      </c>
      <c r="N966" s="29" t="s">
        <v>3606</v>
      </c>
      <c r="O966" s="29"/>
      <c r="P966" s="29" t="s">
        <v>7965</v>
      </c>
      <c r="Q966" t="s">
        <v>2038</v>
      </c>
      <c r="R966" t="s">
        <v>2633</v>
      </c>
      <c r="S966">
        <v>37</v>
      </c>
      <c r="T966" s="43" t="str">
        <f t="shared" si="42"/>
        <v>2021.010B.R.Binomial_names.zip</v>
      </c>
      <c r="U966" s="43" t="str">
        <f>HYPERLINK("https://ictv.global/taxonomy/taxondetails?taxnode_id=202201325","ictv.global=202201325")</f>
        <v>ictv.global=202201325</v>
      </c>
    </row>
    <row r="967" spans="1:21">
      <c r="A967">
        <v>966</v>
      </c>
      <c r="B967" s="29" t="s">
        <v>3682</v>
      </c>
      <c r="C967" s="29"/>
      <c r="D967" s="29" t="s">
        <v>3683</v>
      </c>
      <c r="E967" s="29"/>
      <c r="F967" s="29" t="s">
        <v>3686</v>
      </c>
      <c r="G967" s="29"/>
      <c r="H967" s="29" t="s">
        <v>3687</v>
      </c>
      <c r="I967" s="29"/>
      <c r="J967" s="29"/>
      <c r="K967" s="29"/>
      <c r="L967" s="29" t="s">
        <v>3843</v>
      </c>
      <c r="M967" s="29" t="s">
        <v>3846</v>
      </c>
      <c r="N967" s="29" t="s">
        <v>3606</v>
      </c>
      <c r="O967" s="29"/>
      <c r="P967" s="29" t="s">
        <v>7966</v>
      </c>
      <c r="Q967" t="s">
        <v>2038</v>
      </c>
      <c r="R967" t="s">
        <v>2633</v>
      </c>
      <c r="S967">
        <v>37</v>
      </c>
      <c r="T967" s="43" t="str">
        <f t="shared" si="42"/>
        <v>2021.010B.R.Binomial_names.zip</v>
      </c>
      <c r="U967" s="43" t="str">
        <f>HYPERLINK("https://ictv.global/taxonomy/taxondetails?taxnode_id=202209961","ictv.global=202209961")</f>
        <v>ictv.global=202209961</v>
      </c>
    </row>
    <row r="968" spans="1:21">
      <c r="A968">
        <v>967</v>
      </c>
      <c r="B968" s="29" t="s">
        <v>3682</v>
      </c>
      <c r="C968" s="29"/>
      <c r="D968" s="29" t="s">
        <v>3683</v>
      </c>
      <c r="E968" s="29"/>
      <c r="F968" s="29" t="s">
        <v>3686</v>
      </c>
      <c r="G968" s="29"/>
      <c r="H968" s="29" t="s">
        <v>3687</v>
      </c>
      <c r="I968" s="29"/>
      <c r="J968" s="29"/>
      <c r="K968" s="29"/>
      <c r="L968" s="29" t="s">
        <v>3843</v>
      </c>
      <c r="M968" s="29" t="s">
        <v>3846</v>
      </c>
      <c r="N968" s="29" t="s">
        <v>3606</v>
      </c>
      <c r="O968" s="29"/>
      <c r="P968" s="29" t="s">
        <v>7967</v>
      </c>
      <c r="Q968" t="s">
        <v>2038</v>
      </c>
      <c r="R968" t="s">
        <v>2633</v>
      </c>
      <c r="S968">
        <v>37</v>
      </c>
      <c r="T968" s="43" t="str">
        <f t="shared" si="42"/>
        <v>2021.010B.R.Binomial_names.zip</v>
      </c>
      <c r="U968" s="43" t="str">
        <f>HYPERLINK("https://ictv.global/taxonomy/taxondetails?taxnode_id=202208082","ictv.global=202208082")</f>
        <v>ictv.global=202208082</v>
      </c>
    </row>
    <row r="969" spans="1:21">
      <c r="A969">
        <v>968</v>
      </c>
      <c r="B969" s="29" t="s">
        <v>3682</v>
      </c>
      <c r="C969" s="29"/>
      <c r="D969" s="29" t="s">
        <v>3683</v>
      </c>
      <c r="E969" s="29"/>
      <c r="F969" s="29" t="s">
        <v>3686</v>
      </c>
      <c r="G969" s="29"/>
      <c r="H969" s="29" t="s">
        <v>3687</v>
      </c>
      <c r="I969" s="29"/>
      <c r="J969" s="29"/>
      <c r="K969" s="29"/>
      <c r="L969" s="29" t="s">
        <v>3843</v>
      </c>
      <c r="M969" s="29" t="s">
        <v>3846</v>
      </c>
      <c r="N969" s="29" t="s">
        <v>3606</v>
      </c>
      <c r="O969" s="29"/>
      <c r="P969" s="29" t="s">
        <v>7968</v>
      </c>
      <c r="Q969" t="s">
        <v>2038</v>
      </c>
      <c r="R969" t="s">
        <v>2633</v>
      </c>
      <c r="S969">
        <v>37</v>
      </c>
      <c r="T969" s="43" t="str">
        <f t="shared" si="42"/>
        <v>2021.010B.R.Binomial_names.zip</v>
      </c>
      <c r="U969" s="43" t="str">
        <f>HYPERLINK("https://ictv.global/taxonomy/taxondetails?taxnode_id=202201326","ictv.global=202201326")</f>
        <v>ictv.global=202201326</v>
      </c>
    </row>
    <row r="970" spans="1:21">
      <c r="A970">
        <v>969</v>
      </c>
      <c r="B970" s="29" t="s">
        <v>3682</v>
      </c>
      <c r="C970" s="29"/>
      <c r="D970" s="29" t="s">
        <v>3683</v>
      </c>
      <c r="E970" s="29"/>
      <c r="F970" s="29" t="s">
        <v>3686</v>
      </c>
      <c r="G970" s="29"/>
      <c r="H970" s="29" t="s">
        <v>3687</v>
      </c>
      <c r="I970" s="29"/>
      <c r="J970" s="29"/>
      <c r="K970" s="29"/>
      <c r="L970" s="29" t="s">
        <v>3843</v>
      </c>
      <c r="M970" s="29" t="s">
        <v>3846</v>
      </c>
      <c r="N970" s="29" t="s">
        <v>3606</v>
      </c>
      <c r="O970" s="29"/>
      <c r="P970" s="29" t="s">
        <v>7969</v>
      </c>
      <c r="Q970" t="s">
        <v>2038</v>
      </c>
      <c r="R970" t="s">
        <v>2633</v>
      </c>
      <c r="S970">
        <v>37</v>
      </c>
      <c r="T970" s="43" t="str">
        <f t="shared" si="42"/>
        <v>2021.010B.R.Binomial_names.zip</v>
      </c>
      <c r="U970" s="43" t="str">
        <f>HYPERLINK("https://ictv.global/taxonomy/taxondetails?taxnode_id=202209954","ictv.global=202209954")</f>
        <v>ictv.global=202209954</v>
      </c>
    </row>
    <row r="971" spans="1:21">
      <c r="A971">
        <v>970</v>
      </c>
      <c r="B971" s="29" t="s">
        <v>3682</v>
      </c>
      <c r="C971" s="29"/>
      <c r="D971" s="29" t="s">
        <v>3683</v>
      </c>
      <c r="E971" s="29"/>
      <c r="F971" s="29" t="s">
        <v>3686</v>
      </c>
      <c r="G971" s="29"/>
      <c r="H971" s="29" t="s">
        <v>3687</v>
      </c>
      <c r="I971" s="29"/>
      <c r="J971" s="29"/>
      <c r="K971" s="29"/>
      <c r="L971" s="29" t="s">
        <v>3843</v>
      </c>
      <c r="M971" s="29" t="s">
        <v>3846</v>
      </c>
      <c r="N971" s="29" t="s">
        <v>3606</v>
      </c>
      <c r="O971" s="29"/>
      <c r="P971" s="29" t="s">
        <v>7970</v>
      </c>
      <c r="Q971" t="s">
        <v>2038</v>
      </c>
      <c r="R971" t="s">
        <v>2633</v>
      </c>
      <c r="S971">
        <v>37</v>
      </c>
      <c r="T971" s="43" t="str">
        <f t="shared" si="42"/>
        <v>2021.010B.R.Binomial_names.zip</v>
      </c>
      <c r="U971" s="43" t="str">
        <f>HYPERLINK("https://ictv.global/taxonomy/taxondetails?taxnode_id=202209959","ictv.global=202209959")</f>
        <v>ictv.global=202209959</v>
      </c>
    </row>
    <row r="972" spans="1:21">
      <c r="A972">
        <v>971</v>
      </c>
      <c r="B972" s="29" t="s">
        <v>3682</v>
      </c>
      <c r="C972" s="29"/>
      <c r="D972" s="29" t="s">
        <v>3683</v>
      </c>
      <c r="E972" s="29"/>
      <c r="F972" s="29" t="s">
        <v>3686</v>
      </c>
      <c r="G972" s="29"/>
      <c r="H972" s="29" t="s">
        <v>3687</v>
      </c>
      <c r="I972" s="29"/>
      <c r="J972" s="29"/>
      <c r="K972" s="29"/>
      <c r="L972" s="29" t="s">
        <v>3843</v>
      </c>
      <c r="M972" s="29" t="s">
        <v>3846</v>
      </c>
      <c r="N972" s="29" t="s">
        <v>3606</v>
      </c>
      <c r="O972" s="29"/>
      <c r="P972" s="29" t="s">
        <v>7971</v>
      </c>
      <c r="Q972" t="s">
        <v>2038</v>
      </c>
      <c r="R972" t="s">
        <v>2633</v>
      </c>
      <c r="S972">
        <v>37</v>
      </c>
      <c r="T972" s="43" t="str">
        <f t="shared" si="42"/>
        <v>2021.010B.R.Binomial_names.zip</v>
      </c>
      <c r="U972" s="43" t="str">
        <f>HYPERLINK("https://ictv.global/taxonomy/taxondetails?taxnode_id=202208089","ictv.global=202208089")</f>
        <v>ictv.global=202208089</v>
      </c>
    </row>
    <row r="973" spans="1:21">
      <c r="A973">
        <v>972</v>
      </c>
      <c r="B973" s="29" t="s">
        <v>3682</v>
      </c>
      <c r="C973" s="29"/>
      <c r="D973" s="29" t="s">
        <v>3683</v>
      </c>
      <c r="E973" s="29"/>
      <c r="F973" s="29" t="s">
        <v>3686</v>
      </c>
      <c r="G973" s="29"/>
      <c r="H973" s="29" t="s">
        <v>3687</v>
      </c>
      <c r="I973" s="29"/>
      <c r="J973" s="29"/>
      <c r="K973" s="29"/>
      <c r="L973" s="29" t="s">
        <v>3843</v>
      </c>
      <c r="M973" s="29" t="s">
        <v>3846</v>
      </c>
      <c r="N973" s="29" t="s">
        <v>3606</v>
      </c>
      <c r="O973" s="29"/>
      <c r="P973" s="29" t="s">
        <v>7972</v>
      </c>
      <c r="Q973" t="s">
        <v>2038</v>
      </c>
      <c r="R973" t="s">
        <v>2633</v>
      </c>
      <c r="S973">
        <v>37</v>
      </c>
      <c r="T973" s="43" t="str">
        <f t="shared" si="42"/>
        <v>2021.010B.R.Binomial_names.zip</v>
      </c>
      <c r="U973" s="43" t="str">
        <f>HYPERLINK("https://ictv.global/taxonomy/taxondetails?taxnode_id=202208088","ictv.global=202208088")</f>
        <v>ictv.global=202208088</v>
      </c>
    </row>
    <row r="974" spans="1:21">
      <c r="A974">
        <v>973</v>
      </c>
      <c r="B974" s="29" t="s">
        <v>3682</v>
      </c>
      <c r="C974" s="29"/>
      <c r="D974" s="29" t="s">
        <v>3683</v>
      </c>
      <c r="E974" s="29"/>
      <c r="F974" s="29" t="s">
        <v>3686</v>
      </c>
      <c r="G974" s="29"/>
      <c r="H974" s="29" t="s">
        <v>3687</v>
      </c>
      <c r="I974" s="29"/>
      <c r="J974" s="29"/>
      <c r="K974" s="29"/>
      <c r="L974" s="29" t="s">
        <v>3843</v>
      </c>
      <c r="M974" s="29" t="s">
        <v>3846</v>
      </c>
      <c r="N974" s="29" t="s">
        <v>3606</v>
      </c>
      <c r="O974" s="29"/>
      <c r="P974" s="29" t="s">
        <v>7973</v>
      </c>
      <c r="Q974" t="s">
        <v>2038</v>
      </c>
      <c r="R974" t="s">
        <v>2633</v>
      </c>
      <c r="S974">
        <v>37</v>
      </c>
      <c r="T974" s="43" t="str">
        <f t="shared" ref="T974:T1000" si="43">HYPERLINK("https://ictv.global/ictv/proposals/2021.010B.R.Binomial_names.zip","2021.010B.R.Binomial_names.zip")</f>
        <v>2021.010B.R.Binomial_names.zip</v>
      </c>
      <c r="U974" s="43" t="str">
        <f>HYPERLINK("https://ictv.global/taxonomy/taxondetails?taxnode_id=202209955","ictv.global=202209955")</f>
        <v>ictv.global=202209955</v>
      </c>
    </row>
    <row r="975" spans="1:21">
      <c r="A975">
        <v>974</v>
      </c>
      <c r="B975" s="29" t="s">
        <v>3682</v>
      </c>
      <c r="C975" s="29"/>
      <c r="D975" s="29" t="s">
        <v>3683</v>
      </c>
      <c r="E975" s="29"/>
      <c r="F975" s="29" t="s">
        <v>3686</v>
      </c>
      <c r="G975" s="29"/>
      <c r="H975" s="29" t="s">
        <v>3687</v>
      </c>
      <c r="I975" s="29"/>
      <c r="J975" s="29"/>
      <c r="K975" s="29"/>
      <c r="L975" s="29" t="s">
        <v>3843</v>
      </c>
      <c r="M975" s="29" t="s">
        <v>3846</v>
      </c>
      <c r="N975" s="29" t="s">
        <v>3606</v>
      </c>
      <c r="O975" s="29"/>
      <c r="P975" s="29" t="s">
        <v>7974</v>
      </c>
      <c r="Q975" t="s">
        <v>2038</v>
      </c>
      <c r="R975" t="s">
        <v>2633</v>
      </c>
      <c r="S975">
        <v>37</v>
      </c>
      <c r="T975" s="43" t="str">
        <f t="shared" si="43"/>
        <v>2021.010B.R.Binomial_names.zip</v>
      </c>
      <c r="U975" s="43" t="str">
        <f>HYPERLINK("https://ictv.global/taxonomy/taxondetails?taxnode_id=202209958","ictv.global=202209958")</f>
        <v>ictv.global=202209958</v>
      </c>
    </row>
    <row r="976" spans="1:21">
      <c r="A976">
        <v>975</v>
      </c>
      <c r="B976" s="29" t="s">
        <v>3682</v>
      </c>
      <c r="C976" s="29"/>
      <c r="D976" s="29" t="s">
        <v>3683</v>
      </c>
      <c r="E976" s="29"/>
      <c r="F976" s="29" t="s">
        <v>3686</v>
      </c>
      <c r="G976" s="29"/>
      <c r="H976" s="29" t="s">
        <v>3687</v>
      </c>
      <c r="I976" s="29"/>
      <c r="J976" s="29"/>
      <c r="K976" s="29"/>
      <c r="L976" s="29" t="s">
        <v>3843</v>
      </c>
      <c r="M976" s="29" t="s">
        <v>3846</v>
      </c>
      <c r="N976" s="29" t="s">
        <v>3606</v>
      </c>
      <c r="O976" s="29"/>
      <c r="P976" s="29" t="s">
        <v>7975</v>
      </c>
      <c r="Q976" t="s">
        <v>2038</v>
      </c>
      <c r="R976" t="s">
        <v>2633</v>
      </c>
      <c r="S976">
        <v>37</v>
      </c>
      <c r="T976" s="43" t="str">
        <f t="shared" si="43"/>
        <v>2021.010B.R.Binomial_names.zip</v>
      </c>
      <c r="U976" s="43" t="str">
        <f>HYPERLINK("https://ictv.global/taxonomy/taxondetails?taxnode_id=202209951","ictv.global=202209951")</f>
        <v>ictv.global=202209951</v>
      </c>
    </row>
    <row r="977" spans="1:21">
      <c r="A977">
        <v>976</v>
      </c>
      <c r="B977" s="29" t="s">
        <v>3682</v>
      </c>
      <c r="C977" s="29"/>
      <c r="D977" s="29" t="s">
        <v>3683</v>
      </c>
      <c r="E977" s="29"/>
      <c r="F977" s="29" t="s">
        <v>3686</v>
      </c>
      <c r="G977" s="29"/>
      <c r="H977" s="29" t="s">
        <v>3687</v>
      </c>
      <c r="I977" s="29"/>
      <c r="J977" s="29"/>
      <c r="K977" s="29"/>
      <c r="L977" s="29" t="s">
        <v>3843</v>
      </c>
      <c r="M977" s="29" t="s">
        <v>3846</v>
      </c>
      <c r="N977" s="29" t="s">
        <v>3606</v>
      </c>
      <c r="O977" s="29"/>
      <c r="P977" s="29" t="s">
        <v>7976</v>
      </c>
      <c r="Q977" t="s">
        <v>2038</v>
      </c>
      <c r="R977" t="s">
        <v>2633</v>
      </c>
      <c r="S977">
        <v>37</v>
      </c>
      <c r="T977" s="43" t="str">
        <f t="shared" si="43"/>
        <v>2021.010B.R.Binomial_names.zip</v>
      </c>
      <c r="U977" s="43" t="str">
        <f>HYPERLINK("https://ictv.global/taxonomy/taxondetails?taxnode_id=202209962","ictv.global=202209962")</f>
        <v>ictv.global=202209962</v>
      </c>
    </row>
    <row r="978" spans="1:21">
      <c r="A978">
        <v>977</v>
      </c>
      <c r="B978" s="29" t="s">
        <v>3682</v>
      </c>
      <c r="C978" s="29"/>
      <c r="D978" s="29" t="s">
        <v>3683</v>
      </c>
      <c r="E978" s="29"/>
      <c r="F978" s="29" t="s">
        <v>3686</v>
      </c>
      <c r="G978" s="29"/>
      <c r="H978" s="29" t="s">
        <v>3687</v>
      </c>
      <c r="I978" s="29"/>
      <c r="J978" s="29"/>
      <c r="K978" s="29"/>
      <c r="L978" s="29" t="s">
        <v>3843</v>
      </c>
      <c r="M978" s="29" t="s">
        <v>3846</v>
      </c>
      <c r="N978" s="29" t="s">
        <v>3606</v>
      </c>
      <c r="O978" s="29"/>
      <c r="P978" s="29" t="s">
        <v>7977</v>
      </c>
      <c r="Q978" t="s">
        <v>2038</v>
      </c>
      <c r="R978" t="s">
        <v>2633</v>
      </c>
      <c r="S978">
        <v>37</v>
      </c>
      <c r="T978" s="43" t="str">
        <f t="shared" si="43"/>
        <v>2021.010B.R.Binomial_names.zip</v>
      </c>
      <c r="U978" s="43" t="str">
        <f>HYPERLINK("https://ictv.global/taxonomy/taxondetails?taxnode_id=202208084","ictv.global=202208084")</f>
        <v>ictv.global=202208084</v>
      </c>
    </row>
    <row r="979" spans="1:21">
      <c r="A979">
        <v>978</v>
      </c>
      <c r="B979" s="29" t="s">
        <v>3682</v>
      </c>
      <c r="C979" s="29"/>
      <c r="D979" s="29" t="s">
        <v>3683</v>
      </c>
      <c r="E979" s="29"/>
      <c r="F979" s="29" t="s">
        <v>3686</v>
      </c>
      <c r="G979" s="29"/>
      <c r="H979" s="29" t="s">
        <v>3687</v>
      </c>
      <c r="I979" s="29"/>
      <c r="J979" s="29"/>
      <c r="K979" s="29"/>
      <c r="L979" s="29" t="s">
        <v>3843</v>
      </c>
      <c r="M979" s="29" t="s">
        <v>3846</v>
      </c>
      <c r="N979" s="29" t="s">
        <v>3606</v>
      </c>
      <c r="O979" s="29"/>
      <c r="P979" s="29" t="s">
        <v>7978</v>
      </c>
      <c r="Q979" t="s">
        <v>2038</v>
      </c>
      <c r="R979" t="s">
        <v>2633</v>
      </c>
      <c r="S979">
        <v>37</v>
      </c>
      <c r="T979" s="43" t="str">
        <f t="shared" si="43"/>
        <v>2021.010B.R.Binomial_names.zip</v>
      </c>
      <c r="U979" s="43" t="str">
        <f>HYPERLINK("https://ictv.global/taxonomy/taxondetails?taxnode_id=202209952","ictv.global=202209952")</f>
        <v>ictv.global=202209952</v>
      </c>
    </row>
    <row r="980" spans="1:21">
      <c r="A980">
        <v>979</v>
      </c>
      <c r="B980" s="29" t="s">
        <v>3682</v>
      </c>
      <c r="C980" s="29"/>
      <c r="D980" s="29" t="s">
        <v>3683</v>
      </c>
      <c r="E980" s="29"/>
      <c r="F980" s="29" t="s">
        <v>3686</v>
      </c>
      <c r="G980" s="29"/>
      <c r="H980" s="29" t="s">
        <v>3687</v>
      </c>
      <c r="I980" s="29"/>
      <c r="J980" s="29"/>
      <c r="K980" s="29"/>
      <c r="L980" s="29" t="s">
        <v>3843</v>
      </c>
      <c r="M980" s="29" t="s">
        <v>3846</v>
      </c>
      <c r="N980" s="29" t="s">
        <v>3606</v>
      </c>
      <c r="O980" s="29"/>
      <c r="P980" s="29" t="s">
        <v>7979</v>
      </c>
      <c r="Q980" t="s">
        <v>2038</v>
      </c>
      <c r="R980" t="s">
        <v>2633</v>
      </c>
      <c r="S980">
        <v>37</v>
      </c>
      <c r="T980" s="43" t="str">
        <f t="shared" si="43"/>
        <v>2021.010B.R.Binomial_names.zip</v>
      </c>
      <c r="U980" s="43" t="str">
        <f>HYPERLINK("https://ictv.global/taxonomy/taxondetails?taxnode_id=202208091","ictv.global=202208091")</f>
        <v>ictv.global=202208091</v>
      </c>
    </row>
    <row r="981" spans="1:21">
      <c r="A981">
        <v>980</v>
      </c>
      <c r="B981" s="29" t="s">
        <v>3682</v>
      </c>
      <c r="C981" s="29"/>
      <c r="D981" s="29" t="s">
        <v>3683</v>
      </c>
      <c r="E981" s="29"/>
      <c r="F981" s="29" t="s">
        <v>3686</v>
      </c>
      <c r="G981" s="29"/>
      <c r="H981" s="29" t="s">
        <v>3687</v>
      </c>
      <c r="I981" s="29"/>
      <c r="J981" s="29"/>
      <c r="K981" s="29"/>
      <c r="L981" s="29" t="s">
        <v>3843</v>
      </c>
      <c r="M981" s="29" t="s">
        <v>3846</v>
      </c>
      <c r="N981" s="29" t="s">
        <v>3606</v>
      </c>
      <c r="O981" s="29"/>
      <c r="P981" s="29" t="s">
        <v>7980</v>
      </c>
      <c r="Q981" t="s">
        <v>2038</v>
      </c>
      <c r="R981" t="s">
        <v>2633</v>
      </c>
      <c r="S981">
        <v>37</v>
      </c>
      <c r="T981" s="43" t="str">
        <f t="shared" si="43"/>
        <v>2021.010B.R.Binomial_names.zip</v>
      </c>
      <c r="U981" s="43" t="str">
        <f>HYPERLINK("https://ictv.global/taxonomy/taxondetails?taxnode_id=202208090","ictv.global=202208090")</f>
        <v>ictv.global=202208090</v>
      </c>
    </row>
    <row r="982" spans="1:21">
      <c r="A982">
        <v>981</v>
      </c>
      <c r="B982" s="29" t="s">
        <v>3682</v>
      </c>
      <c r="C982" s="29"/>
      <c r="D982" s="29" t="s">
        <v>3683</v>
      </c>
      <c r="E982" s="29"/>
      <c r="F982" s="29" t="s">
        <v>3686</v>
      </c>
      <c r="G982" s="29"/>
      <c r="H982" s="29" t="s">
        <v>3687</v>
      </c>
      <c r="I982" s="29"/>
      <c r="J982" s="29"/>
      <c r="K982" s="29"/>
      <c r="L982" s="29" t="s">
        <v>3843</v>
      </c>
      <c r="M982" s="29" t="s">
        <v>3846</v>
      </c>
      <c r="N982" s="29" t="s">
        <v>3606</v>
      </c>
      <c r="O982" s="29"/>
      <c r="P982" s="29" t="s">
        <v>7981</v>
      </c>
      <c r="Q982" t="s">
        <v>2038</v>
      </c>
      <c r="R982" t="s">
        <v>2633</v>
      </c>
      <c r="S982">
        <v>37</v>
      </c>
      <c r="T982" s="43" t="str">
        <f t="shared" si="43"/>
        <v>2021.010B.R.Binomial_names.zip</v>
      </c>
      <c r="U982" s="43" t="str">
        <f>HYPERLINK("https://ictv.global/taxonomy/taxondetails?taxnode_id=202209963","ictv.global=202209963")</f>
        <v>ictv.global=202209963</v>
      </c>
    </row>
    <row r="983" spans="1:21">
      <c r="A983">
        <v>982</v>
      </c>
      <c r="B983" s="29" t="s">
        <v>3682</v>
      </c>
      <c r="C983" s="29"/>
      <c r="D983" s="29" t="s">
        <v>3683</v>
      </c>
      <c r="E983" s="29"/>
      <c r="F983" s="29" t="s">
        <v>3686</v>
      </c>
      <c r="G983" s="29"/>
      <c r="H983" s="29" t="s">
        <v>3687</v>
      </c>
      <c r="I983" s="29"/>
      <c r="J983" s="29"/>
      <c r="K983" s="29"/>
      <c r="L983" s="29" t="s">
        <v>3843</v>
      </c>
      <c r="M983" s="29" t="s">
        <v>3846</v>
      </c>
      <c r="N983" s="29" t="s">
        <v>3606</v>
      </c>
      <c r="O983" s="29"/>
      <c r="P983" s="29" t="s">
        <v>7982</v>
      </c>
      <c r="Q983" t="s">
        <v>2038</v>
      </c>
      <c r="R983" t="s">
        <v>2633</v>
      </c>
      <c r="S983">
        <v>37</v>
      </c>
      <c r="T983" s="43" t="str">
        <f t="shared" si="43"/>
        <v>2021.010B.R.Binomial_names.zip</v>
      </c>
      <c r="U983" s="43" t="str">
        <f>HYPERLINK("https://ictv.global/taxonomy/taxondetails?taxnode_id=202201330","ictv.global=202201330")</f>
        <v>ictv.global=202201330</v>
      </c>
    </row>
    <row r="984" spans="1:21">
      <c r="A984">
        <v>983</v>
      </c>
      <c r="B984" s="29" t="s">
        <v>3682</v>
      </c>
      <c r="C984" s="29"/>
      <c r="D984" s="29" t="s">
        <v>3683</v>
      </c>
      <c r="E984" s="29"/>
      <c r="F984" s="29" t="s">
        <v>3686</v>
      </c>
      <c r="G984" s="29"/>
      <c r="H984" s="29" t="s">
        <v>3687</v>
      </c>
      <c r="I984" s="29"/>
      <c r="J984" s="29"/>
      <c r="K984" s="29"/>
      <c r="L984" s="29" t="s">
        <v>3843</v>
      </c>
      <c r="M984" s="29" t="s">
        <v>3846</v>
      </c>
      <c r="N984" s="29" t="s">
        <v>3606</v>
      </c>
      <c r="O984" s="29"/>
      <c r="P984" s="29" t="s">
        <v>7983</v>
      </c>
      <c r="Q984" t="s">
        <v>2038</v>
      </c>
      <c r="R984" t="s">
        <v>2633</v>
      </c>
      <c r="S984">
        <v>37</v>
      </c>
      <c r="T984" s="43" t="str">
        <f t="shared" si="43"/>
        <v>2021.010B.R.Binomial_names.zip</v>
      </c>
      <c r="U984" s="43" t="str">
        <f>HYPERLINK("https://ictv.global/taxonomy/taxondetails?taxnode_id=202208094","ictv.global=202208094")</f>
        <v>ictv.global=202208094</v>
      </c>
    </row>
    <row r="985" spans="1:21">
      <c r="A985">
        <v>984</v>
      </c>
      <c r="B985" s="29" t="s">
        <v>3682</v>
      </c>
      <c r="C985" s="29"/>
      <c r="D985" s="29" t="s">
        <v>3683</v>
      </c>
      <c r="E985" s="29"/>
      <c r="F985" s="29" t="s">
        <v>3686</v>
      </c>
      <c r="G985" s="29"/>
      <c r="H985" s="29" t="s">
        <v>3687</v>
      </c>
      <c r="I985" s="29"/>
      <c r="J985" s="29"/>
      <c r="K985" s="29"/>
      <c r="L985" s="29" t="s">
        <v>3843</v>
      </c>
      <c r="M985" s="29" t="s">
        <v>3846</v>
      </c>
      <c r="N985" s="29" t="s">
        <v>3606</v>
      </c>
      <c r="O985" s="29"/>
      <c r="P985" s="29" t="s">
        <v>7984</v>
      </c>
      <c r="Q985" t="s">
        <v>2038</v>
      </c>
      <c r="R985" t="s">
        <v>2633</v>
      </c>
      <c r="S985">
        <v>37</v>
      </c>
      <c r="T985" s="43" t="str">
        <f t="shared" si="43"/>
        <v>2021.010B.R.Binomial_names.zip</v>
      </c>
      <c r="U985" s="43" t="str">
        <f>HYPERLINK("https://ictv.global/taxonomy/taxondetails?taxnode_id=202201327","ictv.global=202201327")</f>
        <v>ictv.global=202201327</v>
      </c>
    </row>
    <row r="986" spans="1:21">
      <c r="A986">
        <v>985</v>
      </c>
      <c r="B986" s="29" t="s">
        <v>3682</v>
      </c>
      <c r="C986" s="29"/>
      <c r="D986" s="29" t="s">
        <v>3683</v>
      </c>
      <c r="E986" s="29"/>
      <c r="F986" s="29" t="s">
        <v>3686</v>
      </c>
      <c r="G986" s="29"/>
      <c r="H986" s="29" t="s">
        <v>3687</v>
      </c>
      <c r="I986" s="29"/>
      <c r="J986" s="29"/>
      <c r="K986" s="29"/>
      <c r="L986" s="29" t="s">
        <v>3843</v>
      </c>
      <c r="M986" s="29" t="s">
        <v>3846</v>
      </c>
      <c r="N986" s="29" t="s">
        <v>3606</v>
      </c>
      <c r="O986" s="29"/>
      <c r="P986" s="29" t="s">
        <v>7985</v>
      </c>
      <c r="Q986" t="s">
        <v>2038</v>
      </c>
      <c r="R986" t="s">
        <v>2633</v>
      </c>
      <c r="S986">
        <v>37</v>
      </c>
      <c r="T986" s="43" t="str">
        <f t="shared" si="43"/>
        <v>2021.010B.R.Binomial_names.zip</v>
      </c>
      <c r="U986" s="43" t="str">
        <f>HYPERLINK("https://ictv.global/taxonomy/taxondetails?taxnode_id=202208086","ictv.global=202208086")</f>
        <v>ictv.global=202208086</v>
      </c>
    </row>
    <row r="987" spans="1:21">
      <c r="A987">
        <v>986</v>
      </c>
      <c r="B987" s="29" t="s">
        <v>3682</v>
      </c>
      <c r="C987" s="29"/>
      <c r="D987" s="29" t="s">
        <v>3683</v>
      </c>
      <c r="E987" s="29"/>
      <c r="F987" s="29" t="s">
        <v>3686</v>
      </c>
      <c r="G987" s="29"/>
      <c r="H987" s="29" t="s">
        <v>3687</v>
      </c>
      <c r="I987" s="29"/>
      <c r="J987" s="29"/>
      <c r="K987" s="29"/>
      <c r="L987" s="29" t="s">
        <v>3843</v>
      </c>
      <c r="M987" s="29" t="s">
        <v>3846</v>
      </c>
      <c r="N987" s="29" t="s">
        <v>3606</v>
      </c>
      <c r="O987" s="29"/>
      <c r="P987" s="29" t="s">
        <v>7986</v>
      </c>
      <c r="Q987" t="s">
        <v>2038</v>
      </c>
      <c r="R987" t="s">
        <v>2633</v>
      </c>
      <c r="S987">
        <v>37</v>
      </c>
      <c r="T987" s="43" t="str">
        <f t="shared" si="43"/>
        <v>2021.010B.R.Binomial_names.zip</v>
      </c>
      <c r="U987" s="43" t="str">
        <f>HYPERLINK("https://ictv.global/taxonomy/taxondetails?taxnode_id=202208085","ictv.global=202208085")</f>
        <v>ictv.global=202208085</v>
      </c>
    </row>
    <row r="988" spans="1:21">
      <c r="A988">
        <v>987</v>
      </c>
      <c r="B988" s="29" t="s">
        <v>3682</v>
      </c>
      <c r="C988" s="29"/>
      <c r="D988" s="29" t="s">
        <v>3683</v>
      </c>
      <c r="E988" s="29"/>
      <c r="F988" s="29" t="s">
        <v>3686</v>
      </c>
      <c r="G988" s="29"/>
      <c r="H988" s="29" t="s">
        <v>3687</v>
      </c>
      <c r="I988" s="29"/>
      <c r="J988" s="29"/>
      <c r="K988" s="29"/>
      <c r="L988" s="29" t="s">
        <v>3843</v>
      </c>
      <c r="M988" s="29" t="s">
        <v>3846</v>
      </c>
      <c r="N988" s="29" t="s">
        <v>3606</v>
      </c>
      <c r="O988" s="29"/>
      <c r="P988" s="29" t="s">
        <v>7987</v>
      </c>
      <c r="Q988" t="s">
        <v>2038</v>
      </c>
      <c r="R988" t="s">
        <v>2633</v>
      </c>
      <c r="S988">
        <v>37</v>
      </c>
      <c r="T988" s="43" t="str">
        <f t="shared" si="43"/>
        <v>2021.010B.R.Binomial_names.zip</v>
      </c>
      <c r="U988" s="43" t="str">
        <f>HYPERLINK("https://ictv.global/taxonomy/taxondetails?taxnode_id=202209960","ictv.global=202209960")</f>
        <v>ictv.global=202209960</v>
      </c>
    </row>
    <row r="989" spans="1:21">
      <c r="A989">
        <v>988</v>
      </c>
      <c r="B989" s="29" t="s">
        <v>3682</v>
      </c>
      <c r="C989" s="29"/>
      <c r="D989" s="29" t="s">
        <v>3683</v>
      </c>
      <c r="E989" s="29"/>
      <c r="F989" s="29" t="s">
        <v>3686</v>
      </c>
      <c r="G989" s="29"/>
      <c r="H989" s="29" t="s">
        <v>3687</v>
      </c>
      <c r="I989" s="29"/>
      <c r="J989" s="29"/>
      <c r="K989" s="29"/>
      <c r="L989" s="29" t="s">
        <v>3843</v>
      </c>
      <c r="M989" s="29" t="s">
        <v>3846</v>
      </c>
      <c r="N989" s="29" t="s">
        <v>3606</v>
      </c>
      <c r="O989" s="29"/>
      <c r="P989" s="29" t="s">
        <v>7988</v>
      </c>
      <c r="Q989" t="s">
        <v>2038</v>
      </c>
      <c r="R989" t="s">
        <v>2633</v>
      </c>
      <c r="S989">
        <v>37</v>
      </c>
      <c r="T989" s="43" t="str">
        <f t="shared" si="43"/>
        <v>2021.010B.R.Binomial_names.zip</v>
      </c>
      <c r="U989" s="43" t="str">
        <f>HYPERLINK("https://ictv.global/taxonomy/taxondetails?taxnode_id=202201331","ictv.global=202201331")</f>
        <v>ictv.global=202201331</v>
      </c>
    </row>
    <row r="990" spans="1:21">
      <c r="A990">
        <v>989</v>
      </c>
      <c r="B990" s="29" t="s">
        <v>3682</v>
      </c>
      <c r="C990" s="29"/>
      <c r="D990" s="29" t="s">
        <v>3683</v>
      </c>
      <c r="E990" s="29"/>
      <c r="F990" s="29" t="s">
        <v>3686</v>
      </c>
      <c r="G990" s="29"/>
      <c r="H990" s="29" t="s">
        <v>3687</v>
      </c>
      <c r="I990" s="29"/>
      <c r="J990" s="29"/>
      <c r="K990" s="29"/>
      <c r="L990" s="29" t="s">
        <v>3843</v>
      </c>
      <c r="M990" s="29" t="s">
        <v>3846</v>
      </c>
      <c r="N990" s="29" t="s">
        <v>3606</v>
      </c>
      <c r="O990" s="29"/>
      <c r="P990" s="29" t="s">
        <v>7989</v>
      </c>
      <c r="Q990" t="s">
        <v>2038</v>
      </c>
      <c r="R990" t="s">
        <v>2633</v>
      </c>
      <c r="S990">
        <v>37</v>
      </c>
      <c r="T990" s="43" t="str">
        <f t="shared" si="43"/>
        <v>2021.010B.R.Binomial_names.zip</v>
      </c>
      <c r="U990" s="43" t="str">
        <f>HYPERLINK("https://ictv.global/taxonomy/taxondetails?taxnode_id=202208087","ictv.global=202208087")</f>
        <v>ictv.global=202208087</v>
      </c>
    </row>
    <row r="991" spans="1:21">
      <c r="A991">
        <v>990</v>
      </c>
      <c r="B991" s="29" t="s">
        <v>3682</v>
      </c>
      <c r="C991" s="29"/>
      <c r="D991" s="29" t="s">
        <v>3683</v>
      </c>
      <c r="E991" s="29"/>
      <c r="F991" s="29" t="s">
        <v>3686</v>
      </c>
      <c r="G991" s="29"/>
      <c r="H991" s="29" t="s">
        <v>3687</v>
      </c>
      <c r="I991" s="29"/>
      <c r="J991" s="29"/>
      <c r="K991" s="29"/>
      <c r="L991" s="29" t="s">
        <v>3843</v>
      </c>
      <c r="M991" s="29" t="s">
        <v>3846</v>
      </c>
      <c r="N991" s="29" t="s">
        <v>3606</v>
      </c>
      <c r="O991" s="29"/>
      <c r="P991" s="29" t="s">
        <v>7990</v>
      </c>
      <c r="Q991" t="s">
        <v>2038</v>
      </c>
      <c r="R991" t="s">
        <v>2633</v>
      </c>
      <c r="S991">
        <v>37</v>
      </c>
      <c r="T991" s="43" t="str">
        <f t="shared" si="43"/>
        <v>2021.010B.R.Binomial_names.zip</v>
      </c>
      <c r="U991" s="43" t="str">
        <f>HYPERLINK("https://ictv.global/taxonomy/taxondetails?taxnode_id=202201328","ictv.global=202201328")</f>
        <v>ictv.global=202201328</v>
      </c>
    </row>
    <row r="992" spans="1:21">
      <c r="A992">
        <v>991</v>
      </c>
      <c r="B992" s="29" t="s">
        <v>3682</v>
      </c>
      <c r="C992" s="29"/>
      <c r="D992" s="29" t="s">
        <v>3683</v>
      </c>
      <c r="E992" s="29"/>
      <c r="F992" s="29" t="s">
        <v>3686</v>
      </c>
      <c r="G992" s="29"/>
      <c r="H992" s="29" t="s">
        <v>3687</v>
      </c>
      <c r="I992" s="29"/>
      <c r="J992" s="29"/>
      <c r="K992" s="29"/>
      <c r="L992" s="29" t="s">
        <v>3843</v>
      </c>
      <c r="M992" s="29" t="s">
        <v>3846</v>
      </c>
      <c r="N992" s="29" t="s">
        <v>3606</v>
      </c>
      <c r="O992" s="29"/>
      <c r="P992" s="29" t="s">
        <v>7991</v>
      </c>
      <c r="Q992" t="s">
        <v>2038</v>
      </c>
      <c r="R992" t="s">
        <v>2633</v>
      </c>
      <c r="S992">
        <v>37</v>
      </c>
      <c r="T992" s="43" t="str">
        <f t="shared" si="43"/>
        <v>2021.010B.R.Binomial_names.zip</v>
      </c>
      <c r="U992" s="43" t="str">
        <f>HYPERLINK("https://ictv.global/taxonomy/taxondetails?taxnode_id=202209953","ictv.global=202209953")</f>
        <v>ictv.global=202209953</v>
      </c>
    </row>
    <row r="993" spans="1:21">
      <c r="A993">
        <v>992</v>
      </c>
      <c r="B993" s="29" t="s">
        <v>3682</v>
      </c>
      <c r="C993" s="29"/>
      <c r="D993" s="29" t="s">
        <v>3683</v>
      </c>
      <c r="E993" s="29"/>
      <c r="F993" s="29" t="s">
        <v>3686</v>
      </c>
      <c r="G993" s="29"/>
      <c r="H993" s="29" t="s">
        <v>3687</v>
      </c>
      <c r="I993" s="29"/>
      <c r="J993" s="29"/>
      <c r="K993" s="29"/>
      <c r="L993" s="29" t="s">
        <v>3843</v>
      </c>
      <c r="M993" s="29" t="s">
        <v>3846</v>
      </c>
      <c r="N993" s="29" t="s">
        <v>3606</v>
      </c>
      <c r="O993" s="29"/>
      <c r="P993" s="29" t="s">
        <v>7992</v>
      </c>
      <c r="Q993" t="s">
        <v>2038</v>
      </c>
      <c r="R993" t="s">
        <v>2633</v>
      </c>
      <c r="S993">
        <v>37</v>
      </c>
      <c r="T993" s="43" t="str">
        <f t="shared" si="43"/>
        <v>2021.010B.R.Binomial_names.zip</v>
      </c>
      <c r="U993" s="43" t="str">
        <f>HYPERLINK("https://ictv.global/taxonomy/taxondetails?taxnode_id=202209956","ictv.global=202209956")</f>
        <v>ictv.global=202209956</v>
      </c>
    </row>
    <row r="994" spans="1:21">
      <c r="A994">
        <v>993</v>
      </c>
      <c r="B994" s="29" t="s">
        <v>3682</v>
      </c>
      <c r="C994" s="29"/>
      <c r="D994" s="29" t="s">
        <v>3683</v>
      </c>
      <c r="E994" s="29"/>
      <c r="F994" s="29" t="s">
        <v>3686</v>
      </c>
      <c r="G994" s="29"/>
      <c r="H994" s="29" t="s">
        <v>3687</v>
      </c>
      <c r="I994" s="29"/>
      <c r="J994" s="29"/>
      <c r="K994" s="29"/>
      <c r="L994" s="29" t="s">
        <v>3843</v>
      </c>
      <c r="M994" s="29" t="s">
        <v>3846</v>
      </c>
      <c r="N994" s="29" t="s">
        <v>3606</v>
      </c>
      <c r="O994" s="29"/>
      <c r="P994" s="29" t="s">
        <v>7993</v>
      </c>
      <c r="Q994" t="s">
        <v>2038</v>
      </c>
      <c r="R994" t="s">
        <v>2633</v>
      </c>
      <c r="S994">
        <v>37</v>
      </c>
      <c r="T994" s="43" t="str">
        <f t="shared" si="43"/>
        <v>2021.010B.R.Binomial_names.zip</v>
      </c>
      <c r="U994" s="43" t="str">
        <f>HYPERLINK("https://ictv.global/taxonomy/taxondetails?taxnode_id=202209957","ictv.global=202209957")</f>
        <v>ictv.global=202209957</v>
      </c>
    </row>
    <row r="995" spans="1:21">
      <c r="A995">
        <v>994</v>
      </c>
      <c r="B995" s="29" t="s">
        <v>3682</v>
      </c>
      <c r="C995" s="29"/>
      <c r="D995" s="29" t="s">
        <v>3683</v>
      </c>
      <c r="E995" s="29"/>
      <c r="F995" s="29" t="s">
        <v>3686</v>
      </c>
      <c r="G995" s="29"/>
      <c r="H995" s="29" t="s">
        <v>3687</v>
      </c>
      <c r="I995" s="29"/>
      <c r="J995" s="29"/>
      <c r="K995" s="29"/>
      <c r="L995" s="29" t="s">
        <v>3843</v>
      </c>
      <c r="M995" s="29" t="s">
        <v>3848</v>
      </c>
      <c r="N995" s="29" t="s">
        <v>3849</v>
      </c>
      <c r="O995" s="29"/>
      <c r="P995" s="29" t="s">
        <v>7994</v>
      </c>
      <c r="Q995" t="s">
        <v>2038</v>
      </c>
      <c r="R995" t="s">
        <v>2633</v>
      </c>
      <c r="S995">
        <v>37</v>
      </c>
      <c r="T995" s="43" t="str">
        <f t="shared" si="43"/>
        <v>2021.010B.R.Binomial_names.zip</v>
      </c>
      <c r="U995" s="43" t="str">
        <f>HYPERLINK("https://ictv.global/taxonomy/taxondetails?taxnode_id=202208124","ictv.global=202208124")</f>
        <v>ictv.global=202208124</v>
      </c>
    </row>
    <row r="996" spans="1:21">
      <c r="A996">
        <v>995</v>
      </c>
      <c r="B996" s="29" t="s">
        <v>3682</v>
      </c>
      <c r="C996" s="29"/>
      <c r="D996" s="29" t="s">
        <v>3683</v>
      </c>
      <c r="E996" s="29"/>
      <c r="F996" s="29" t="s">
        <v>3686</v>
      </c>
      <c r="G996" s="29"/>
      <c r="H996" s="29" t="s">
        <v>3687</v>
      </c>
      <c r="I996" s="29"/>
      <c r="J996" s="29"/>
      <c r="K996" s="29"/>
      <c r="L996" s="29" t="s">
        <v>3843</v>
      </c>
      <c r="M996" s="29" t="s">
        <v>3848</v>
      </c>
      <c r="N996" s="29" t="s">
        <v>3571</v>
      </c>
      <c r="O996" s="29"/>
      <c r="P996" s="29" t="s">
        <v>7995</v>
      </c>
      <c r="Q996" t="s">
        <v>2038</v>
      </c>
      <c r="R996" t="s">
        <v>2633</v>
      </c>
      <c r="S996">
        <v>37</v>
      </c>
      <c r="T996" s="43" t="str">
        <f t="shared" si="43"/>
        <v>2021.010B.R.Binomial_names.zip</v>
      </c>
      <c r="U996" s="43" t="str">
        <f>HYPERLINK("https://ictv.global/taxonomy/taxondetails?taxnode_id=202207058","ictv.global=202207058")</f>
        <v>ictv.global=202207058</v>
      </c>
    </row>
    <row r="997" spans="1:21">
      <c r="A997">
        <v>996</v>
      </c>
      <c r="B997" s="29" t="s">
        <v>3682</v>
      </c>
      <c r="C997" s="29"/>
      <c r="D997" s="29" t="s">
        <v>3683</v>
      </c>
      <c r="E997" s="29"/>
      <c r="F997" s="29" t="s">
        <v>3686</v>
      </c>
      <c r="G997" s="29"/>
      <c r="H997" s="29" t="s">
        <v>3687</v>
      </c>
      <c r="I997" s="29"/>
      <c r="J997" s="29"/>
      <c r="K997" s="29"/>
      <c r="L997" s="29" t="s">
        <v>3843</v>
      </c>
      <c r="M997" s="29"/>
      <c r="N997" s="29" t="s">
        <v>3575</v>
      </c>
      <c r="O997" s="29"/>
      <c r="P997" s="29" t="s">
        <v>7996</v>
      </c>
      <c r="Q997" t="s">
        <v>2038</v>
      </c>
      <c r="R997" t="s">
        <v>2633</v>
      </c>
      <c r="S997">
        <v>37</v>
      </c>
      <c r="T997" s="43" t="str">
        <f t="shared" si="43"/>
        <v>2021.010B.R.Binomial_names.zip</v>
      </c>
      <c r="U997" s="43" t="str">
        <f>HYPERLINK("https://ictv.global/taxonomy/taxondetails?taxnode_id=202207060","ictv.global=202207060")</f>
        <v>ictv.global=202207060</v>
      </c>
    </row>
    <row r="998" spans="1:21">
      <c r="A998">
        <v>997</v>
      </c>
      <c r="B998" s="29" t="s">
        <v>3682</v>
      </c>
      <c r="C998" s="29"/>
      <c r="D998" s="29" t="s">
        <v>3683</v>
      </c>
      <c r="E998" s="29"/>
      <c r="F998" s="29" t="s">
        <v>3686</v>
      </c>
      <c r="G998" s="29"/>
      <c r="H998" s="29" t="s">
        <v>3687</v>
      </c>
      <c r="I998" s="29"/>
      <c r="J998" s="29"/>
      <c r="K998" s="29"/>
      <c r="L998" s="29" t="s">
        <v>3843</v>
      </c>
      <c r="M998" s="29"/>
      <c r="N998" s="29" t="s">
        <v>3575</v>
      </c>
      <c r="O998" s="29"/>
      <c r="P998" s="29" t="s">
        <v>7997</v>
      </c>
      <c r="Q998" t="s">
        <v>2038</v>
      </c>
      <c r="R998" t="s">
        <v>2633</v>
      </c>
      <c r="S998">
        <v>37</v>
      </c>
      <c r="T998" s="43" t="str">
        <f t="shared" si="43"/>
        <v>2021.010B.R.Binomial_names.zip</v>
      </c>
      <c r="U998" s="43" t="str">
        <f>HYPERLINK("https://ictv.global/taxonomy/taxondetails?taxnode_id=202208118","ictv.global=202208118")</f>
        <v>ictv.global=202208118</v>
      </c>
    </row>
    <row r="999" spans="1:21">
      <c r="A999">
        <v>998</v>
      </c>
      <c r="B999" s="29" t="s">
        <v>3682</v>
      </c>
      <c r="C999" s="29"/>
      <c r="D999" s="29" t="s">
        <v>3683</v>
      </c>
      <c r="E999" s="29"/>
      <c r="F999" s="29" t="s">
        <v>3686</v>
      </c>
      <c r="G999" s="29"/>
      <c r="H999" s="29" t="s">
        <v>3687</v>
      </c>
      <c r="I999" s="29"/>
      <c r="J999" s="29"/>
      <c r="K999" s="29"/>
      <c r="L999" s="29" t="s">
        <v>3843</v>
      </c>
      <c r="M999" s="29"/>
      <c r="N999" s="29" t="s">
        <v>3850</v>
      </c>
      <c r="O999" s="29"/>
      <c r="P999" s="29" t="s">
        <v>7998</v>
      </c>
      <c r="Q999" t="s">
        <v>2038</v>
      </c>
      <c r="R999" t="s">
        <v>2633</v>
      </c>
      <c r="S999">
        <v>37</v>
      </c>
      <c r="T999" s="43" t="str">
        <f t="shared" si="43"/>
        <v>2021.010B.R.Binomial_names.zip</v>
      </c>
      <c r="U999" s="43" t="str">
        <f>HYPERLINK("https://ictv.global/taxonomy/taxondetails?taxnode_id=202208120","ictv.global=202208120")</f>
        <v>ictv.global=202208120</v>
      </c>
    </row>
    <row r="1000" spans="1:21">
      <c r="A1000">
        <v>999</v>
      </c>
      <c r="B1000" s="29" t="s">
        <v>3682</v>
      </c>
      <c r="C1000" s="29"/>
      <c r="D1000" s="29" t="s">
        <v>3683</v>
      </c>
      <c r="E1000" s="29"/>
      <c r="F1000" s="29" t="s">
        <v>3686</v>
      </c>
      <c r="G1000" s="29"/>
      <c r="H1000" s="29" t="s">
        <v>3687</v>
      </c>
      <c r="I1000" s="29"/>
      <c r="J1000" s="29"/>
      <c r="K1000" s="29"/>
      <c r="L1000" s="29" t="s">
        <v>3843</v>
      </c>
      <c r="M1000" s="29"/>
      <c r="N1000" s="29" t="s">
        <v>3850</v>
      </c>
      <c r="O1000" s="29"/>
      <c r="P1000" s="29" t="s">
        <v>7999</v>
      </c>
      <c r="Q1000" t="s">
        <v>2038</v>
      </c>
      <c r="R1000" t="s">
        <v>2633</v>
      </c>
      <c r="S1000">
        <v>37</v>
      </c>
      <c r="T1000" s="43" t="str">
        <f t="shared" si="43"/>
        <v>2021.010B.R.Binomial_names.zip</v>
      </c>
      <c r="U1000" s="43" t="str">
        <f>HYPERLINK("https://ictv.global/taxonomy/taxondetails?taxnode_id=202208121","ictv.global=202208121")</f>
        <v>ictv.global=202208121</v>
      </c>
    </row>
    <row r="1001" spans="1:21">
      <c r="A1001">
        <v>1000</v>
      </c>
      <c r="B1001" s="29" t="s">
        <v>3682</v>
      </c>
      <c r="C1001" s="29"/>
      <c r="D1001" s="29" t="s">
        <v>3683</v>
      </c>
      <c r="E1001" s="29"/>
      <c r="F1001" s="29" t="s">
        <v>3686</v>
      </c>
      <c r="G1001" s="29"/>
      <c r="H1001" s="29" t="s">
        <v>3687</v>
      </c>
      <c r="I1001" s="29"/>
      <c r="J1001" s="29"/>
      <c r="K1001" s="29"/>
      <c r="L1001" s="29" t="s">
        <v>3843</v>
      </c>
      <c r="M1001" s="29"/>
      <c r="N1001" s="29" t="s">
        <v>3585</v>
      </c>
      <c r="O1001" s="29"/>
      <c r="P1001" s="29" t="s">
        <v>8000</v>
      </c>
      <c r="Q1001" t="s">
        <v>2038</v>
      </c>
      <c r="R1001" t="s">
        <v>2633</v>
      </c>
      <c r="S1001">
        <v>37</v>
      </c>
      <c r="T1001" s="43" t="str">
        <f>HYPERLINK("https://ictv.global/ictv/proposals/2021.023B.R.Demerecviridae_new_genera.zip","2021.023B.R.Demerecviridae_new_genera.zip")</f>
        <v>2021.023B.R.Demerecviridae_new_genera.zip</v>
      </c>
      <c r="U1001" s="43" t="str">
        <f>HYPERLINK("https://ictv.global/taxonomy/taxondetails?taxnode_id=202207062","ictv.global=202207062")</f>
        <v>ictv.global=202207062</v>
      </c>
    </row>
    <row r="1002" spans="1:21">
      <c r="A1002">
        <v>1001</v>
      </c>
      <c r="B1002" s="29" t="s">
        <v>3682</v>
      </c>
      <c r="C1002" s="29"/>
      <c r="D1002" s="29" t="s">
        <v>3683</v>
      </c>
      <c r="E1002" s="29"/>
      <c r="F1002" s="29" t="s">
        <v>3686</v>
      </c>
      <c r="G1002" s="29"/>
      <c r="H1002" s="29" t="s">
        <v>3687</v>
      </c>
      <c r="I1002" s="29"/>
      <c r="J1002" s="29"/>
      <c r="K1002" s="29"/>
      <c r="L1002" s="29" t="s">
        <v>3843</v>
      </c>
      <c r="M1002" s="29"/>
      <c r="N1002" s="29" t="s">
        <v>3585</v>
      </c>
      <c r="O1002" s="29"/>
      <c r="P1002" s="29" t="s">
        <v>8001</v>
      </c>
      <c r="Q1002" t="s">
        <v>2038</v>
      </c>
      <c r="R1002" t="s">
        <v>2632</v>
      </c>
      <c r="S1002">
        <v>37</v>
      </c>
      <c r="T1002" s="43" t="str">
        <f>HYPERLINK("https://ictv.global/ictv/proposals/2021.023B.R.Demerecviridae_new_genera.zip","2021.023B.R.Demerecviridae_new_genera.zip")</f>
        <v>2021.023B.R.Demerecviridae_new_genera.zip</v>
      </c>
      <c r="U1002" s="43" t="str">
        <f>HYPERLINK("https://ictv.global/taxonomy/taxondetails?taxnode_id=202213516","ictv.global=202213516")</f>
        <v>ictv.global=202213516</v>
      </c>
    </row>
    <row r="1003" spans="1:21">
      <c r="A1003">
        <v>1002</v>
      </c>
      <c r="B1003" s="29" t="s">
        <v>3682</v>
      </c>
      <c r="C1003" s="29"/>
      <c r="D1003" s="29" t="s">
        <v>3683</v>
      </c>
      <c r="E1003" s="29"/>
      <c r="F1003" s="29" t="s">
        <v>3686</v>
      </c>
      <c r="G1003" s="29"/>
      <c r="H1003" s="29" t="s">
        <v>3687</v>
      </c>
      <c r="I1003" s="29"/>
      <c r="J1003" s="29"/>
      <c r="K1003" s="29"/>
      <c r="L1003" s="29" t="s">
        <v>3843</v>
      </c>
      <c r="M1003" s="29"/>
      <c r="N1003" s="29" t="s">
        <v>3851</v>
      </c>
      <c r="O1003" s="29"/>
      <c r="P1003" s="29" t="s">
        <v>8002</v>
      </c>
      <c r="Q1003" t="s">
        <v>2038</v>
      </c>
      <c r="R1003" t="s">
        <v>2633</v>
      </c>
      <c r="S1003">
        <v>37</v>
      </c>
      <c r="T1003" s="43" t="str">
        <f t="shared" ref="T1003:T1034" si="44">HYPERLINK("https://ictv.global/ictv/proposals/2021.010B.R.Binomial_names.zip","2021.010B.R.Binomial_names.zip")</f>
        <v>2021.010B.R.Binomial_names.zip</v>
      </c>
      <c r="U1003" s="43" t="str">
        <f>HYPERLINK("https://ictv.global/taxonomy/taxondetails?taxnode_id=202208117","ictv.global=202208117")</f>
        <v>ictv.global=202208117</v>
      </c>
    </row>
    <row r="1004" spans="1:21">
      <c r="A1004">
        <v>1003</v>
      </c>
      <c r="B1004" s="29" t="s">
        <v>3682</v>
      </c>
      <c r="C1004" s="29"/>
      <c r="D1004" s="29" t="s">
        <v>3683</v>
      </c>
      <c r="E1004" s="29"/>
      <c r="F1004" s="29" t="s">
        <v>3686</v>
      </c>
      <c r="G1004" s="29"/>
      <c r="H1004" s="29" t="s">
        <v>3687</v>
      </c>
      <c r="I1004" s="29"/>
      <c r="J1004" s="29"/>
      <c r="K1004" s="29"/>
      <c r="L1004" s="29" t="s">
        <v>3843</v>
      </c>
      <c r="M1004" s="29"/>
      <c r="N1004" s="29" t="s">
        <v>3851</v>
      </c>
      <c r="O1004" s="29"/>
      <c r="P1004" s="29" t="s">
        <v>8003</v>
      </c>
      <c r="Q1004" t="s">
        <v>2038</v>
      </c>
      <c r="R1004" t="s">
        <v>2633</v>
      </c>
      <c r="S1004">
        <v>37</v>
      </c>
      <c r="T1004" s="43" t="str">
        <f t="shared" si="44"/>
        <v>2021.010B.R.Binomial_names.zip</v>
      </c>
      <c r="U1004" s="43" t="str">
        <f>HYPERLINK("https://ictv.global/taxonomy/taxondetails?taxnode_id=202208116","ictv.global=202208116")</f>
        <v>ictv.global=202208116</v>
      </c>
    </row>
    <row r="1005" spans="1:21">
      <c r="A1005">
        <v>1004</v>
      </c>
      <c r="B1005" s="29" t="s">
        <v>3682</v>
      </c>
      <c r="C1005" s="29"/>
      <c r="D1005" s="29" t="s">
        <v>3683</v>
      </c>
      <c r="E1005" s="29"/>
      <c r="F1005" s="29" t="s">
        <v>3686</v>
      </c>
      <c r="G1005" s="29"/>
      <c r="H1005" s="29" t="s">
        <v>3687</v>
      </c>
      <c r="I1005" s="29"/>
      <c r="J1005" s="29"/>
      <c r="K1005" s="29"/>
      <c r="L1005" s="29" t="s">
        <v>3843</v>
      </c>
      <c r="M1005" s="29"/>
      <c r="N1005" s="29" t="s">
        <v>3605</v>
      </c>
      <c r="O1005" s="29"/>
      <c r="P1005" s="29" t="s">
        <v>8004</v>
      </c>
      <c r="Q1005" t="s">
        <v>2038</v>
      </c>
      <c r="R1005" t="s">
        <v>2633</v>
      </c>
      <c r="S1005">
        <v>37</v>
      </c>
      <c r="T1005" s="43" t="str">
        <f t="shared" si="44"/>
        <v>2021.010B.R.Binomial_names.zip</v>
      </c>
      <c r="U1005" s="43" t="str">
        <f>HYPERLINK("https://ictv.global/taxonomy/taxondetails?taxnode_id=202207065","ictv.global=202207065")</f>
        <v>ictv.global=202207065</v>
      </c>
    </row>
    <row r="1006" spans="1:21">
      <c r="A1006">
        <v>1005</v>
      </c>
      <c r="B1006" s="29" t="s">
        <v>3682</v>
      </c>
      <c r="C1006" s="29"/>
      <c r="D1006" s="29" t="s">
        <v>3683</v>
      </c>
      <c r="E1006" s="29"/>
      <c r="F1006" s="29" t="s">
        <v>3686</v>
      </c>
      <c r="G1006" s="29"/>
      <c r="H1006" s="29" t="s">
        <v>3687</v>
      </c>
      <c r="I1006" s="29"/>
      <c r="J1006" s="29"/>
      <c r="K1006" s="29"/>
      <c r="L1006" s="29" t="s">
        <v>3843</v>
      </c>
      <c r="M1006" s="29"/>
      <c r="N1006" s="29" t="s">
        <v>3605</v>
      </c>
      <c r="O1006" s="29"/>
      <c r="P1006" s="29" t="s">
        <v>8005</v>
      </c>
      <c r="Q1006" t="s">
        <v>2038</v>
      </c>
      <c r="R1006" t="s">
        <v>2633</v>
      </c>
      <c r="S1006">
        <v>37</v>
      </c>
      <c r="T1006" s="43" t="str">
        <f t="shared" si="44"/>
        <v>2021.010B.R.Binomial_names.zip</v>
      </c>
      <c r="U1006" s="43" t="str">
        <f>HYPERLINK("https://ictv.global/taxonomy/taxondetails?taxnode_id=202207064","ictv.global=202207064")</f>
        <v>ictv.global=202207064</v>
      </c>
    </row>
    <row r="1007" spans="1:21">
      <c r="A1007">
        <v>1006</v>
      </c>
      <c r="B1007" s="29" t="s">
        <v>3682</v>
      </c>
      <c r="C1007" s="29"/>
      <c r="D1007" s="29" t="s">
        <v>3683</v>
      </c>
      <c r="E1007" s="29"/>
      <c r="F1007" s="29" t="s">
        <v>3686</v>
      </c>
      <c r="G1007" s="29"/>
      <c r="H1007" s="29" t="s">
        <v>3687</v>
      </c>
      <c r="I1007" s="29"/>
      <c r="J1007" s="29"/>
      <c r="K1007" s="29"/>
      <c r="L1007" s="29" t="s">
        <v>3852</v>
      </c>
      <c r="M1007" s="29" t="s">
        <v>3853</v>
      </c>
      <c r="N1007" s="29" t="s">
        <v>3854</v>
      </c>
      <c r="O1007" s="29"/>
      <c r="P1007" s="29" t="s">
        <v>8006</v>
      </c>
      <c r="Q1007" t="s">
        <v>2038</v>
      </c>
      <c r="R1007" t="s">
        <v>2633</v>
      </c>
      <c r="S1007">
        <v>37</v>
      </c>
      <c r="T1007" s="43" t="str">
        <f t="shared" si="44"/>
        <v>2021.010B.R.Binomial_names.zip</v>
      </c>
      <c r="U1007" s="43" t="str">
        <f>HYPERLINK("https://ictv.global/taxonomy/taxondetails?taxnode_id=202208146","ictv.global=202208146")</f>
        <v>ictv.global=202208146</v>
      </c>
    </row>
    <row r="1008" spans="1:21">
      <c r="A1008">
        <v>1007</v>
      </c>
      <c r="B1008" s="29" t="s">
        <v>3682</v>
      </c>
      <c r="C1008" s="29"/>
      <c r="D1008" s="29" t="s">
        <v>3683</v>
      </c>
      <c r="E1008" s="29"/>
      <c r="F1008" s="29" t="s">
        <v>3686</v>
      </c>
      <c r="G1008" s="29"/>
      <c r="H1008" s="29" t="s">
        <v>3687</v>
      </c>
      <c r="I1008" s="29"/>
      <c r="J1008" s="29"/>
      <c r="K1008" s="29"/>
      <c r="L1008" s="29" t="s">
        <v>3852</v>
      </c>
      <c r="M1008" s="29" t="s">
        <v>3853</v>
      </c>
      <c r="N1008" s="29" t="s">
        <v>3855</v>
      </c>
      <c r="O1008" s="29"/>
      <c r="P1008" s="29" t="s">
        <v>8007</v>
      </c>
      <c r="Q1008" t="s">
        <v>2038</v>
      </c>
      <c r="R1008" t="s">
        <v>2633</v>
      </c>
      <c r="S1008">
        <v>37</v>
      </c>
      <c r="T1008" s="43" t="str">
        <f t="shared" si="44"/>
        <v>2021.010B.R.Binomial_names.zip</v>
      </c>
      <c r="U1008" s="43" t="str">
        <f>HYPERLINK("https://ictv.global/taxonomy/taxondetails?taxnode_id=202200822","ictv.global=202200822")</f>
        <v>ictv.global=202200822</v>
      </c>
    </row>
    <row r="1009" spans="1:21">
      <c r="A1009">
        <v>1008</v>
      </c>
      <c r="B1009" s="29" t="s">
        <v>3682</v>
      </c>
      <c r="C1009" s="29"/>
      <c r="D1009" s="29" t="s">
        <v>3683</v>
      </c>
      <c r="E1009" s="29"/>
      <c r="F1009" s="29" t="s">
        <v>3686</v>
      </c>
      <c r="G1009" s="29"/>
      <c r="H1009" s="29" t="s">
        <v>3687</v>
      </c>
      <c r="I1009" s="29"/>
      <c r="J1009" s="29"/>
      <c r="K1009" s="29"/>
      <c r="L1009" s="29" t="s">
        <v>3852</v>
      </c>
      <c r="M1009" s="29" t="s">
        <v>3853</v>
      </c>
      <c r="N1009" s="29" t="s">
        <v>3855</v>
      </c>
      <c r="O1009" s="29"/>
      <c r="P1009" s="29" t="s">
        <v>8008</v>
      </c>
      <c r="Q1009" t="s">
        <v>2038</v>
      </c>
      <c r="R1009" t="s">
        <v>2633</v>
      </c>
      <c r="S1009">
        <v>37</v>
      </c>
      <c r="T1009" s="43" t="str">
        <f t="shared" si="44"/>
        <v>2021.010B.R.Binomial_names.zip</v>
      </c>
      <c r="U1009" s="43" t="str">
        <f>HYPERLINK("https://ictv.global/taxonomy/taxondetails?taxnode_id=202208150","ictv.global=202208150")</f>
        <v>ictv.global=202208150</v>
      </c>
    </row>
    <row r="1010" spans="1:21">
      <c r="A1010">
        <v>1009</v>
      </c>
      <c r="B1010" s="29" t="s">
        <v>3682</v>
      </c>
      <c r="C1010" s="29"/>
      <c r="D1010" s="29" t="s">
        <v>3683</v>
      </c>
      <c r="E1010" s="29"/>
      <c r="F1010" s="29" t="s">
        <v>3686</v>
      </c>
      <c r="G1010" s="29"/>
      <c r="H1010" s="29" t="s">
        <v>3687</v>
      </c>
      <c r="I1010" s="29"/>
      <c r="J1010" s="29"/>
      <c r="K1010" s="29"/>
      <c r="L1010" s="29" t="s">
        <v>3852</v>
      </c>
      <c r="M1010" s="29" t="s">
        <v>3853</v>
      </c>
      <c r="N1010" s="29" t="s">
        <v>3856</v>
      </c>
      <c r="O1010" s="29"/>
      <c r="P1010" s="29" t="s">
        <v>8009</v>
      </c>
      <c r="Q1010" t="s">
        <v>2038</v>
      </c>
      <c r="R1010" t="s">
        <v>2633</v>
      </c>
      <c r="S1010">
        <v>37</v>
      </c>
      <c r="T1010" s="43" t="str">
        <f t="shared" si="44"/>
        <v>2021.010B.R.Binomial_names.zip</v>
      </c>
      <c r="U1010" s="43" t="str">
        <f>HYPERLINK("https://ictv.global/taxonomy/taxondetails?taxnode_id=202208148","ictv.global=202208148")</f>
        <v>ictv.global=202208148</v>
      </c>
    </row>
    <row r="1011" spans="1:21">
      <c r="A1011">
        <v>1010</v>
      </c>
      <c r="B1011" s="29" t="s">
        <v>3682</v>
      </c>
      <c r="C1011" s="29"/>
      <c r="D1011" s="29" t="s">
        <v>3683</v>
      </c>
      <c r="E1011" s="29"/>
      <c r="F1011" s="29" t="s">
        <v>3686</v>
      </c>
      <c r="G1011" s="29"/>
      <c r="H1011" s="29" t="s">
        <v>3687</v>
      </c>
      <c r="I1011" s="29"/>
      <c r="J1011" s="29"/>
      <c r="K1011" s="29"/>
      <c r="L1011" s="29" t="s">
        <v>3852</v>
      </c>
      <c r="M1011" s="29" t="s">
        <v>3853</v>
      </c>
      <c r="N1011" s="29" t="s">
        <v>2076</v>
      </c>
      <c r="O1011" s="29"/>
      <c r="P1011" s="29" t="s">
        <v>8010</v>
      </c>
      <c r="Q1011" t="s">
        <v>2038</v>
      </c>
      <c r="R1011" t="s">
        <v>2633</v>
      </c>
      <c r="S1011">
        <v>37</v>
      </c>
      <c r="T1011" s="43" t="str">
        <f t="shared" si="44"/>
        <v>2021.010B.R.Binomial_names.zip</v>
      </c>
      <c r="U1011" s="43" t="str">
        <f>HYPERLINK("https://ictv.global/taxonomy/taxondetails?taxnode_id=202208144","ictv.global=202208144")</f>
        <v>ictv.global=202208144</v>
      </c>
    </row>
    <row r="1012" spans="1:21">
      <c r="A1012">
        <v>1011</v>
      </c>
      <c r="B1012" s="29" t="s">
        <v>3682</v>
      </c>
      <c r="C1012" s="29"/>
      <c r="D1012" s="29" t="s">
        <v>3683</v>
      </c>
      <c r="E1012" s="29"/>
      <c r="F1012" s="29" t="s">
        <v>3686</v>
      </c>
      <c r="G1012" s="29"/>
      <c r="H1012" s="29" t="s">
        <v>3687</v>
      </c>
      <c r="I1012" s="29"/>
      <c r="J1012" s="29"/>
      <c r="K1012" s="29"/>
      <c r="L1012" s="29" t="s">
        <v>3852</v>
      </c>
      <c r="M1012" s="29" t="s">
        <v>3853</v>
      </c>
      <c r="N1012" s="29" t="s">
        <v>2076</v>
      </c>
      <c r="O1012" s="29"/>
      <c r="P1012" s="29" t="s">
        <v>8011</v>
      </c>
      <c r="Q1012" t="s">
        <v>2038</v>
      </c>
      <c r="R1012" t="s">
        <v>2633</v>
      </c>
      <c r="S1012">
        <v>37</v>
      </c>
      <c r="T1012" s="43" t="str">
        <f t="shared" si="44"/>
        <v>2021.010B.R.Binomial_names.zip</v>
      </c>
      <c r="U1012" s="43" t="str">
        <f>HYPERLINK("https://ictv.global/taxonomy/taxondetails?taxnode_id=202200823","ictv.global=202200823")</f>
        <v>ictv.global=202200823</v>
      </c>
    </row>
    <row r="1013" spans="1:21">
      <c r="A1013">
        <v>1012</v>
      </c>
      <c r="B1013" s="29" t="s">
        <v>3682</v>
      </c>
      <c r="C1013" s="29"/>
      <c r="D1013" s="29" t="s">
        <v>3683</v>
      </c>
      <c r="E1013" s="29"/>
      <c r="F1013" s="29" t="s">
        <v>3686</v>
      </c>
      <c r="G1013" s="29"/>
      <c r="H1013" s="29" t="s">
        <v>3687</v>
      </c>
      <c r="I1013" s="29"/>
      <c r="J1013" s="29"/>
      <c r="K1013" s="29"/>
      <c r="L1013" s="29" t="s">
        <v>3852</v>
      </c>
      <c r="M1013" s="29" t="s">
        <v>3853</v>
      </c>
      <c r="N1013" s="29" t="s">
        <v>4506</v>
      </c>
      <c r="O1013" s="29"/>
      <c r="P1013" s="29" t="s">
        <v>8012</v>
      </c>
      <c r="Q1013" t="s">
        <v>2038</v>
      </c>
      <c r="R1013" t="s">
        <v>2633</v>
      </c>
      <c r="S1013">
        <v>37</v>
      </c>
      <c r="T1013" s="43" t="str">
        <f t="shared" si="44"/>
        <v>2021.010B.R.Binomial_names.zip</v>
      </c>
      <c r="U1013" s="43" t="str">
        <f>HYPERLINK("https://ictv.global/taxonomy/taxondetails?taxnode_id=202212086","ictv.global=202212086")</f>
        <v>ictv.global=202212086</v>
      </c>
    </row>
    <row r="1014" spans="1:21">
      <c r="A1014">
        <v>1013</v>
      </c>
      <c r="B1014" s="29" t="s">
        <v>3682</v>
      </c>
      <c r="C1014" s="29"/>
      <c r="D1014" s="29" t="s">
        <v>3683</v>
      </c>
      <c r="E1014" s="29"/>
      <c r="F1014" s="29" t="s">
        <v>3686</v>
      </c>
      <c r="G1014" s="29"/>
      <c r="H1014" s="29" t="s">
        <v>3687</v>
      </c>
      <c r="I1014" s="29"/>
      <c r="J1014" s="29"/>
      <c r="K1014" s="29"/>
      <c r="L1014" s="29" t="s">
        <v>3852</v>
      </c>
      <c r="M1014" s="29" t="s">
        <v>3857</v>
      </c>
      <c r="N1014" s="29" t="s">
        <v>3858</v>
      </c>
      <c r="O1014" s="29"/>
      <c r="P1014" s="29" t="s">
        <v>8013</v>
      </c>
      <c r="Q1014" t="s">
        <v>2038</v>
      </c>
      <c r="R1014" t="s">
        <v>2633</v>
      </c>
      <c r="S1014">
        <v>37</v>
      </c>
      <c r="T1014" s="43" t="str">
        <f t="shared" si="44"/>
        <v>2021.010B.R.Binomial_names.zip</v>
      </c>
      <c r="U1014" s="43" t="str">
        <f>HYPERLINK("https://ictv.global/taxonomy/taxondetails?taxnode_id=202208154","ictv.global=202208154")</f>
        <v>ictv.global=202208154</v>
      </c>
    </row>
    <row r="1015" spans="1:21">
      <c r="A1015">
        <v>1014</v>
      </c>
      <c r="B1015" s="29" t="s">
        <v>3682</v>
      </c>
      <c r="C1015" s="29"/>
      <c r="D1015" s="29" t="s">
        <v>3683</v>
      </c>
      <c r="E1015" s="29"/>
      <c r="F1015" s="29" t="s">
        <v>3686</v>
      </c>
      <c r="G1015" s="29"/>
      <c r="H1015" s="29" t="s">
        <v>3687</v>
      </c>
      <c r="I1015" s="29"/>
      <c r="J1015" s="29"/>
      <c r="K1015" s="29"/>
      <c r="L1015" s="29" t="s">
        <v>3852</v>
      </c>
      <c r="M1015" s="29" t="s">
        <v>3857</v>
      </c>
      <c r="N1015" s="29" t="s">
        <v>3859</v>
      </c>
      <c r="O1015" s="29"/>
      <c r="P1015" s="29" t="s">
        <v>8014</v>
      </c>
      <c r="Q1015" t="s">
        <v>2038</v>
      </c>
      <c r="R1015" t="s">
        <v>2633</v>
      </c>
      <c r="S1015">
        <v>37</v>
      </c>
      <c r="T1015" s="43" t="str">
        <f t="shared" si="44"/>
        <v>2021.010B.R.Binomial_names.zip</v>
      </c>
      <c r="U1015" s="43" t="str">
        <f>HYPERLINK("https://ictv.global/taxonomy/taxondetails?taxnode_id=202208158","ictv.global=202208158")</f>
        <v>ictv.global=202208158</v>
      </c>
    </row>
    <row r="1016" spans="1:21">
      <c r="A1016">
        <v>1015</v>
      </c>
      <c r="B1016" s="29" t="s">
        <v>3682</v>
      </c>
      <c r="C1016" s="29"/>
      <c r="D1016" s="29" t="s">
        <v>3683</v>
      </c>
      <c r="E1016" s="29"/>
      <c r="F1016" s="29" t="s">
        <v>3686</v>
      </c>
      <c r="G1016" s="29"/>
      <c r="H1016" s="29" t="s">
        <v>3687</v>
      </c>
      <c r="I1016" s="29"/>
      <c r="J1016" s="29"/>
      <c r="K1016" s="29"/>
      <c r="L1016" s="29" t="s">
        <v>3852</v>
      </c>
      <c r="M1016" s="29" t="s">
        <v>3857</v>
      </c>
      <c r="N1016" s="29" t="s">
        <v>3497</v>
      </c>
      <c r="O1016" s="29"/>
      <c r="P1016" s="29" t="s">
        <v>8015</v>
      </c>
      <c r="Q1016" t="s">
        <v>2038</v>
      </c>
      <c r="R1016" t="s">
        <v>2633</v>
      </c>
      <c r="S1016">
        <v>37</v>
      </c>
      <c r="T1016" s="43" t="str">
        <f t="shared" si="44"/>
        <v>2021.010B.R.Binomial_names.zip</v>
      </c>
      <c r="U1016" s="43" t="str">
        <f>HYPERLINK("https://ictv.global/taxonomy/taxondetails?taxnode_id=202200812","ictv.global=202200812")</f>
        <v>ictv.global=202200812</v>
      </c>
    </row>
    <row r="1017" spans="1:21">
      <c r="A1017">
        <v>1016</v>
      </c>
      <c r="B1017" s="29" t="s">
        <v>3682</v>
      </c>
      <c r="C1017" s="29"/>
      <c r="D1017" s="29" t="s">
        <v>3683</v>
      </c>
      <c r="E1017" s="29"/>
      <c r="F1017" s="29" t="s">
        <v>3686</v>
      </c>
      <c r="G1017" s="29"/>
      <c r="H1017" s="29" t="s">
        <v>3687</v>
      </c>
      <c r="I1017" s="29"/>
      <c r="J1017" s="29"/>
      <c r="K1017" s="29"/>
      <c r="L1017" s="29" t="s">
        <v>3852</v>
      </c>
      <c r="M1017" s="29" t="s">
        <v>3857</v>
      </c>
      <c r="N1017" s="29" t="s">
        <v>3497</v>
      </c>
      <c r="O1017" s="29"/>
      <c r="P1017" s="29" t="s">
        <v>8016</v>
      </c>
      <c r="Q1017" t="s">
        <v>2038</v>
      </c>
      <c r="R1017" t="s">
        <v>2633</v>
      </c>
      <c r="S1017">
        <v>37</v>
      </c>
      <c r="T1017" s="43" t="str">
        <f t="shared" si="44"/>
        <v>2021.010B.R.Binomial_names.zip</v>
      </c>
      <c r="U1017" s="43" t="str">
        <f>HYPERLINK("https://ictv.global/taxonomy/taxondetails?taxnode_id=202200813","ictv.global=202200813")</f>
        <v>ictv.global=202200813</v>
      </c>
    </row>
    <row r="1018" spans="1:21">
      <c r="A1018">
        <v>1017</v>
      </c>
      <c r="B1018" s="29" t="s">
        <v>3682</v>
      </c>
      <c r="C1018" s="29"/>
      <c r="D1018" s="29" t="s">
        <v>3683</v>
      </c>
      <c r="E1018" s="29"/>
      <c r="F1018" s="29" t="s">
        <v>3686</v>
      </c>
      <c r="G1018" s="29"/>
      <c r="H1018" s="29" t="s">
        <v>3687</v>
      </c>
      <c r="I1018" s="29"/>
      <c r="J1018" s="29"/>
      <c r="K1018" s="29"/>
      <c r="L1018" s="29" t="s">
        <v>3852</v>
      </c>
      <c r="M1018" s="29" t="s">
        <v>3857</v>
      </c>
      <c r="N1018" s="29" t="s">
        <v>3497</v>
      </c>
      <c r="O1018" s="29"/>
      <c r="P1018" s="29" t="s">
        <v>8017</v>
      </c>
      <c r="Q1018" t="s">
        <v>2038</v>
      </c>
      <c r="R1018" t="s">
        <v>2633</v>
      </c>
      <c r="S1018">
        <v>37</v>
      </c>
      <c r="T1018" s="43" t="str">
        <f t="shared" si="44"/>
        <v>2021.010B.R.Binomial_names.zip</v>
      </c>
      <c r="U1018" s="43" t="str">
        <f>HYPERLINK("https://ictv.global/taxonomy/taxondetails?taxnode_id=202200814","ictv.global=202200814")</f>
        <v>ictv.global=202200814</v>
      </c>
    </row>
    <row r="1019" spans="1:21">
      <c r="A1019">
        <v>1018</v>
      </c>
      <c r="B1019" s="29" t="s">
        <v>3682</v>
      </c>
      <c r="C1019" s="29"/>
      <c r="D1019" s="29" t="s">
        <v>3683</v>
      </c>
      <c r="E1019" s="29"/>
      <c r="F1019" s="29" t="s">
        <v>3686</v>
      </c>
      <c r="G1019" s="29"/>
      <c r="H1019" s="29" t="s">
        <v>3687</v>
      </c>
      <c r="I1019" s="29"/>
      <c r="J1019" s="29"/>
      <c r="K1019" s="29"/>
      <c r="L1019" s="29" t="s">
        <v>3852</v>
      </c>
      <c r="M1019" s="29" t="s">
        <v>3857</v>
      </c>
      <c r="N1019" s="29" t="s">
        <v>3497</v>
      </c>
      <c r="O1019" s="29"/>
      <c r="P1019" s="29" t="s">
        <v>8018</v>
      </c>
      <c r="Q1019" t="s">
        <v>2038</v>
      </c>
      <c r="R1019" t="s">
        <v>2633</v>
      </c>
      <c r="S1019">
        <v>37</v>
      </c>
      <c r="T1019" s="43" t="str">
        <f t="shared" si="44"/>
        <v>2021.010B.R.Binomial_names.zip</v>
      </c>
      <c r="U1019" s="43" t="str">
        <f>HYPERLINK("https://ictv.global/taxonomy/taxondetails?taxnode_id=202200815","ictv.global=202200815")</f>
        <v>ictv.global=202200815</v>
      </c>
    </row>
    <row r="1020" spans="1:21">
      <c r="A1020">
        <v>1019</v>
      </c>
      <c r="B1020" s="29" t="s">
        <v>3682</v>
      </c>
      <c r="C1020" s="29"/>
      <c r="D1020" s="29" t="s">
        <v>3683</v>
      </c>
      <c r="E1020" s="29"/>
      <c r="F1020" s="29" t="s">
        <v>3686</v>
      </c>
      <c r="G1020" s="29"/>
      <c r="H1020" s="29" t="s">
        <v>3687</v>
      </c>
      <c r="I1020" s="29"/>
      <c r="J1020" s="29"/>
      <c r="K1020" s="29"/>
      <c r="L1020" s="29" t="s">
        <v>3852</v>
      </c>
      <c r="M1020" s="29" t="s">
        <v>3857</v>
      </c>
      <c r="N1020" s="29" t="s">
        <v>3497</v>
      </c>
      <c r="O1020" s="29"/>
      <c r="P1020" s="29" t="s">
        <v>8019</v>
      </c>
      <c r="Q1020" t="s">
        <v>2038</v>
      </c>
      <c r="R1020" t="s">
        <v>2633</v>
      </c>
      <c r="S1020">
        <v>37</v>
      </c>
      <c r="T1020" s="43" t="str">
        <f t="shared" si="44"/>
        <v>2021.010B.R.Binomial_names.zip</v>
      </c>
      <c r="U1020" s="43" t="str">
        <f>HYPERLINK("https://ictv.global/taxonomy/taxondetails?taxnode_id=202200816","ictv.global=202200816")</f>
        <v>ictv.global=202200816</v>
      </c>
    </row>
    <row r="1021" spans="1:21">
      <c r="A1021">
        <v>1020</v>
      </c>
      <c r="B1021" s="29" t="s">
        <v>3682</v>
      </c>
      <c r="C1021" s="29"/>
      <c r="D1021" s="29" t="s">
        <v>3683</v>
      </c>
      <c r="E1021" s="29"/>
      <c r="F1021" s="29" t="s">
        <v>3686</v>
      </c>
      <c r="G1021" s="29"/>
      <c r="H1021" s="29" t="s">
        <v>3687</v>
      </c>
      <c r="I1021" s="29"/>
      <c r="J1021" s="29"/>
      <c r="K1021" s="29"/>
      <c r="L1021" s="29" t="s">
        <v>3852</v>
      </c>
      <c r="M1021" s="29" t="s">
        <v>3857</v>
      </c>
      <c r="N1021" s="29" t="s">
        <v>3497</v>
      </c>
      <c r="O1021" s="29"/>
      <c r="P1021" s="29" t="s">
        <v>8020</v>
      </c>
      <c r="Q1021" t="s">
        <v>2038</v>
      </c>
      <c r="R1021" t="s">
        <v>2633</v>
      </c>
      <c r="S1021">
        <v>37</v>
      </c>
      <c r="T1021" s="43" t="str">
        <f t="shared" si="44"/>
        <v>2021.010B.R.Binomial_names.zip</v>
      </c>
      <c r="U1021" s="43" t="str">
        <f>HYPERLINK("https://ictv.global/taxonomy/taxondetails?taxnode_id=202200818","ictv.global=202200818")</f>
        <v>ictv.global=202200818</v>
      </c>
    </row>
    <row r="1022" spans="1:21">
      <c r="A1022">
        <v>1021</v>
      </c>
      <c r="B1022" s="29" t="s">
        <v>3682</v>
      </c>
      <c r="C1022" s="29"/>
      <c r="D1022" s="29" t="s">
        <v>3683</v>
      </c>
      <c r="E1022" s="29"/>
      <c r="F1022" s="29" t="s">
        <v>3686</v>
      </c>
      <c r="G1022" s="29"/>
      <c r="H1022" s="29" t="s">
        <v>3687</v>
      </c>
      <c r="I1022" s="29"/>
      <c r="J1022" s="29"/>
      <c r="K1022" s="29"/>
      <c r="L1022" s="29" t="s">
        <v>3852</v>
      </c>
      <c r="M1022" s="29" t="s">
        <v>3857</v>
      </c>
      <c r="N1022" s="29" t="s">
        <v>3497</v>
      </c>
      <c r="O1022" s="29"/>
      <c r="P1022" s="29" t="s">
        <v>8021</v>
      </c>
      <c r="Q1022" t="s">
        <v>2038</v>
      </c>
      <c r="R1022" t="s">
        <v>2633</v>
      </c>
      <c r="S1022">
        <v>37</v>
      </c>
      <c r="T1022" s="43" t="str">
        <f t="shared" si="44"/>
        <v>2021.010B.R.Binomial_names.zip</v>
      </c>
      <c r="U1022" s="43" t="str">
        <f>HYPERLINK("https://ictv.global/taxonomy/taxondetails?taxnode_id=202208152","ictv.global=202208152")</f>
        <v>ictv.global=202208152</v>
      </c>
    </row>
    <row r="1023" spans="1:21">
      <c r="A1023">
        <v>1022</v>
      </c>
      <c r="B1023" s="29" t="s">
        <v>3682</v>
      </c>
      <c r="C1023" s="29"/>
      <c r="D1023" s="29" t="s">
        <v>3683</v>
      </c>
      <c r="E1023" s="29"/>
      <c r="F1023" s="29" t="s">
        <v>3686</v>
      </c>
      <c r="G1023" s="29"/>
      <c r="H1023" s="29" t="s">
        <v>3687</v>
      </c>
      <c r="I1023" s="29"/>
      <c r="J1023" s="29"/>
      <c r="K1023" s="29"/>
      <c r="L1023" s="29" t="s">
        <v>3852</v>
      </c>
      <c r="M1023" s="29" t="s">
        <v>3857</v>
      </c>
      <c r="N1023" s="29" t="s">
        <v>3497</v>
      </c>
      <c r="O1023" s="29"/>
      <c r="P1023" s="29" t="s">
        <v>8022</v>
      </c>
      <c r="Q1023" t="s">
        <v>2038</v>
      </c>
      <c r="R1023" t="s">
        <v>2633</v>
      </c>
      <c r="S1023">
        <v>37</v>
      </c>
      <c r="T1023" s="43" t="str">
        <f t="shared" si="44"/>
        <v>2021.010B.R.Binomial_names.zip</v>
      </c>
      <c r="U1023" s="43" t="str">
        <f>HYPERLINK("https://ictv.global/taxonomy/taxondetails?taxnode_id=202200819","ictv.global=202200819")</f>
        <v>ictv.global=202200819</v>
      </c>
    </row>
    <row r="1024" spans="1:21">
      <c r="A1024">
        <v>1023</v>
      </c>
      <c r="B1024" s="29" t="s">
        <v>3682</v>
      </c>
      <c r="C1024" s="29"/>
      <c r="D1024" s="29" t="s">
        <v>3683</v>
      </c>
      <c r="E1024" s="29"/>
      <c r="F1024" s="29" t="s">
        <v>3686</v>
      </c>
      <c r="G1024" s="29"/>
      <c r="H1024" s="29" t="s">
        <v>3687</v>
      </c>
      <c r="I1024" s="29"/>
      <c r="J1024" s="29"/>
      <c r="K1024" s="29"/>
      <c r="L1024" s="29" t="s">
        <v>3852</v>
      </c>
      <c r="M1024" s="29" t="s">
        <v>3857</v>
      </c>
      <c r="N1024" s="29" t="s">
        <v>3497</v>
      </c>
      <c r="O1024" s="29"/>
      <c r="P1024" s="29" t="s">
        <v>8023</v>
      </c>
      <c r="Q1024" t="s">
        <v>2038</v>
      </c>
      <c r="R1024" t="s">
        <v>2633</v>
      </c>
      <c r="S1024">
        <v>37</v>
      </c>
      <c r="T1024" s="43" t="str">
        <f t="shared" si="44"/>
        <v>2021.010B.R.Binomial_names.zip</v>
      </c>
      <c r="U1024" s="43" t="str">
        <f>HYPERLINK("https://ictv.global/taxonomy/taxondetails?taxnode_id=202200820","ictv.global=202200820")</f>
        <v>ictv.global=202200820</v>
      </c>
    </row>
    <row r="1025" spans="1:21">
      <c r="A1025">
        <v>1024</v>
      </c>
      <c r="B1025" s="29" t="s">
        <v>3682</v>
      </c>
      <c r="C1025" s="29"/>
      <c r="D1025" s="29" t="s">
        <v>3683</v>
      </c>
      <c r="E1025" s="29"/>
      <c r="F1025" s="29" t="s">
        <v>3686</v>
      </c>
      <c r="G1025" s="29"/>
      <c r="H1025" s="29" t="s">
        <v>3687</v>
      </c>
      <c r="I1025" s="29"/>
      <c r="J1025" s="29"/>
      <c r="K1025" s="29"/>
      <c r="L1025" s="29" t="s">
        <v>3852</v>
      </c>
      <c r="M1025" s="29" t="s">
        <v>3857</v>
      </c>
      <c r="N1025" s="29" t="s">
        <v>3860</v>
      </c>
      <c r="O1025" s="29"/>
      <c r="P1025" s="29" t="s">
        <v>8024</v>
      </c>
      <c r="Q1025" t="s">
        <v>2038</v>
      </c>
      <c r="R1025" t="s">
        <v>2633</v>
      </c>
      <c r="S1025">
        <v>37</v>
      </c>
      <c r="T1025" s="43" t="str">
        <f t="shared" si="44"/>
        <v>2021.010B.R.Binomial_names.zip</v>
      </c>
      <c r="U1025" s="43" t="str">
        <f>HYPERLINK("https://ictv.global/taxonomy/taxondetails?taxnode_id=202208156","ictv.global=202208156")</f>
        <v>ictv.global=202208156</v>
      </c>
    </row>
    <row r="1026" spans="1:21">
      <c r="A1026">
        <v>1025</v>
      </c>
      <c r="B1026" s="29" t="s">
        <v>3682</v>
      </c>
      <c r="C1026" s="29"/>
      <c r="D1026" s="29" t="s">
        <v>3683</v>
      </c>
      <c r="E1026" s="29"/>
      <c r="F1026" s="29" t="s">
        <v>3686</v>
      </c>
      <c r="G1026" s="29"/>
      <c r="H1026" s="29" t="s">
        <v>3687</v>
      </c>
      <c r="I1026" s="29"/>
      <c r="J1026" s="29"/>
      <c r="K1026" s="29"/>
      <c r="L1026" s="29" t="s">
        <v>3852</v>
      </c>
      <c r="M1026" s="29" t="s">
        <v>3861</v>
      </c>
      <c r="N1026" s="29" t="s">
        <v>4507</v>
      </c>
      <c r="O1026" s="29"/>
      <c r="P1026" s="29" t="s">
        <v>8025</v>
      </c>
      <c r="Q1026" t="s">
        <v>2038</v>
      </c>
      <c r="R1026" t="s">
        <v>2633</v>
      </c>
      <c r="S1026">
        <v>37</v>
      </c>
      <c r="T1026" s="43" t="str">
        <f t="shared" si="44"/>
        <v>2021.010B.R.Binomial_names.zip</v>
      </c>
      <c r="U1026" s="43" t="str">
        <f>HYPERLINK("https://ictv.global/taxonomy/taxondetails?taxnode_id=202209975","ictv.global=202209975")</f>
        <v>ictv.global=202209975</v>
      </c>
    </row>
    <row r="1027" spans="1:21">
      <c r="A1027">
        <v>1026</v>
      </c>
      <c r="B1027" s="29" t="s">
        <v>3682</v>
      </c>
      <c r="C1027" s="29"/>
      <c r="D1027" s="29" t="s">
        <v>3683</v>
      </c>
      <c r="E1027" s="29"/>
      <c r="F1027" s="29" t="s">
        <v>3686</v>
      </c>
      <c r="G1027" s="29"/>
      <c r="H1027" s="29" t="s">
        <v>3687</v>
      </c>
      <c r="I1027" s="29"/>
      <c r="J1027" s="29"/>
      <c r="K1027" s="29"/>
      <c r="L1027" s="29" t="s">
        <v>3852</v>
      </c>
      <c r="M1027" s="29" t="s">
        <v>3861</v>
      </c>
      <c r="N1027" s="29" t="s">
        <v>4507</v>
      </c>
      <c r="O1027" s="29"/>
      <c r="P1027" s="29" t="s">
        <v>8026</v>
      </c>
      <c r="Q1027" t="s">
        <v>2038</v>
      </c>
      <c r="R1027" t="s">
        <v>2633</v>
      </c>
      <c r="S1027">
        <v>37</v>
      </c>
      <c r="T1027" s="43" t="str">
        <f t="shared" si="44"/>
        <v>2021.010B.R.Binomial_names.zip</v>
      </c>
      <c r="U1027" s="43" t="str">
        <f>HYPERLINK("https://ictv.global/taxonomy/taxondetails?taxnode_id=202209974","ictv.global=202209974")</f>
        <v>ictv.global=202209974</v>
      </c>
    </row>
    <row r="1028" spans="1:21">
      <c r="A1028">
        <v>1027</v>
      </c>
      <c r="B1028" s="29" t="s">
        <v>3682</v>
      </c>
      <c r="C1028" s="29"/>
      <c r="D1028" s="29" t="s">
        <v>3683</v>
      </c>
      <c r="E1028" s="29"/>
      <c r="F1028" s="29" t="s">
        <v>3686</v>
      </c>
      <c r="G1028" s="29"/>
      <c r="H1028" s="29" t="s">
        <v>3687</v>
      </c>
      <c r="I1028" s="29"/>
      <c r="J1028" s="29"/>
      <c r="K1028" s="29"/>
      <c r="L1028" s="29" t="s">
        <v>3852</v>
      </c>
      <c r="M1028" s="29" t="s">
        <v>3861</v>
      </c>
      <c r="N1028" s="29" t="s">
        <v>3496</v>
      </c>
      <c r="O1028" s="29"/>
      <c r="P1028" s="29" t="s">
        <v>8027</v>
      </c>
      <c r="Q1028" t="s">
        <v>2038</v>
      </c>
      <c r="R1028" t="s">
        <v>2633</v>
      </c>
      <c r="S1028">
        <v>37</v>
      </c>
      <c r="T1028" s="43" t="str">
        <f t="shared" si="44"/>
        <v>2021.010B.R.Binomial_names.zip</v>
      </c>
      <c r="U1028" s="43" t="str">
        <f>HYPERLINK("https://ictv.global/taxonomy/taxondetails?taxnode_id=202210090","ictv.global=202210090")</f>
        <v>ictv.global=202210090</v>
      </c>
    </row>
    <row r="1029" spans="1:21">
      <c r="A1029">
        <v>1028</v>
      </c>
      <c r="B1029" s="29" t="s">
        <v>3682</v>
      </c>
      <c r="C1029" s="29"/>
      <c r="D1029" s="29" t="s">
        <v>3683</v>
      </c>
      <c r="E1029" s="29"/>
      <c r="F1029" s="29" t="s">
        <v>3686</v>
      </c>
      <c r="G1029" s="29"/>
      <c r="H1029" s="29" t="s">
        <v>3687</v>
      </c>
      <c r="I1029" s="29"/>
      <c r="J1029" s="29"/>
      <c r="K1029" s="29"/>
      <c r="L1029" s="29" t="s">
        <v>3852</v>
      </c>
      <c r="M1029" s="29" t="s">
        <v>3861</v>
      </c>
      <c r="N1029" s="29" t="s">
        <v>3496</v>
      </c>
      <c r="O1029" s="29"/>
      <c r="P1029" s="29" t="s">
        <v>8028</v>
      </c>
      <c r="Q1029" t="s">
        <v>2038</v>
      </c>
      <c r="R1029" t="s">
        <v>2633</v>
      </c>
      <c r="S1029">
        <v>37</v>
      </c>
      <c r="T1029" s="43" t="str">
        <f t="shared" si="44"/>
        <v>2021.010B.R.Binomial_names.zip</v>
      </c>
      <c r="U1029" s="43" t="str">
        <f>HYPERLINK("https://ictv.global/taxonomy/taxondetails?taxnode_id=202210087","ictv.global=202210087")</f>
        <v>ictv.global=202210087</v>
      </c>
    </row>
    <row r="1030" spans="1:21">
      <c r="A1030">
        <v>1029</v>
      </c>
      <c r="B1030" s="29" t="s">
        <v>3682</v>
      </c>
      <c r="C1030" s="29"/>
      <c r="D1030" s="29" t="s">
        <v>3683</v>
      </c>
      <c r="E1030" s="29"/>
      <c r="F1030" s="29" t="s">
        <v>3686</v>
      </c>
      <c r="G1030" s="29"/>
      <c r="H1030" s="29" t="s">
        <v>3687</v>
      </c>
      <c r="I1030" s="29"/>
      <c r="J1030" s="29"/>
      <c r="K1030" s="29"/>
      <c r="L1030" s="29" t="s">
        <v>3852</v>
      </c>
      <c r="M1030" s="29" t="s">
        <v>3861</v>
      </c>
      <c r="N1030" s="29" t="s">
        <v>3496</v>
      </c>
      <c r="O1030" s="29"/>
      <c r="P1030" s="29" t="s">
        <v>8029</v>
      </c>
      <c r="Q1030" t="s">
        <v>2038</v>
      </c>
      <c r="R1030" t="s">
        <v>2633</v>
      </c>
      <c r="S1030">
        <v>37</v>
      </c>
      <c r="T1030" s="43" t="str">
        <f t="shared" si="44"/>
        <v>2021.010B.R.Binomial_names.zip</v>
      </c>
      <c r="U1030" s="43" t="str">
        <f>HYPERLINK("https://ictv.global/taxonomy/taxondetails?taxnode_id=202210088","ictv.global=202210088")</f>
        <v>ictv.global=202210088</v>
      </c>
    </row>
    <row r="1031" spans="1:21">
      <c r="A1031">
        <v>1030</v>
      </c>
      <c r="B1031" s="29" t="s">
        <v>3682</v>
      </c>
      <c r="C1031" s="29"/>
      <c r="D1031" s="29" t="s">
        <v>3683</v>
      </c>
      <c r="E1031" s="29"/>
      <c r="F1031" s="29" t="s">
        <v>3686</v>
      </c>
      <c r="G1031" s="29"/>
      <c r="H1031" s="29" t="s">
        <v>3687</v>
      </c>
      <c r="I1031" s="29"/>
      <c r="J1031" s="29"/>
      <c r="K1031" s="29"/>
      <c r="L1031" s="29" t="s">
        <v>3852</v>
      </c>
      <c r="M1031" s="29" t="s">
        <v>3861</v>
      </c>
      <c r="N1031" s="29" t="s">
        <v>3496</v>
      </c>
      <c r="O1031" s="29"/>
      <c r="P1031" s="29" t="s">
        <v>8030</v>
      </c>
      <c r="Q1031" t="s">
        <v>2038</v>
      </c>
      <c r="R1031" t="s">
        <v>2633</v>
      </c>
      <c r="S1031">
        <v>37</v>
      </c>
      <c r="T1031" s="43" t="str">
        <f t="shared" si="44"/>
        <v>2021.010B.R.Binomial_names.zip</v>
      </c>
      <c r="U1031" s="43" t="str">
        <f>HYPERLINK("https://ictv.global/taxonomy/taxondetails?taxnode_id=202210084","ictv.global=202210084")</f>
        <v>ictv.global=202210084</v>
      </c>
    </row>
    <row r="1032" spans="1:21">
      <c r="A1032">
        <v>1031</v>
      </c>
      <c r="B1032" s="29" t="s">
        <v>3682</v>
      </c>
      <c r="C1032" s="29"/>
      <c r="D1032" s="29" t="s">
        <v>3683</v>
      </c>
      <c r="E1032" s="29"/>
      <c r="F1032" s="29" t="s">
        <v>3686</v>
      </c>
      <c r="G1032" s="29"/>
      <c r="H1032" s="29" t="s">
        <v>3687</v>
      </c>
      <c r="I1032" s="29"/>
      <c r="J1032" s="29"/>
      <c r="K1032" s="29"/>
      <c r="L1032" s="29" t="s">
        <v>3852</v>
      </c>
      <c r="M1032" s="29" t="s">
        <v>3861</v>
      </c>
      <c r="N1032" s="29" t="s">
        <v>3496</v>
      </c>
      <c r="O1032" s="29"/>
      <c r="P1032" s="29" t="s">
        <v>8031</v>
      </c>
      <c r="Q1032" t="s">
        <v>2038</v>
      </c>
      <c r="R1032" t="s">
        <v>2633</v>
      </c>
      <c r="S1032">
        <v>37</v>
      </c>
      <c r="T1032" s="43" t="str">
        <f t="shared" si="44"/>
        <v>2021.010B.R.Binomial_names.zip</v>
      </c>
      <c r="U1032" s="43" t="str">
        <f>HYPERLINK("https://ictv.global/taxonomy/taxondetails?taxnode_id=202210081","ictv.global=202210081")</f>
        <v>ictv.global=202210081</v>
      </c>
    </row>
    <row r="1033" spans="1:21">
      <c r="A1033">
        <v>1032</v>
      </c>
      <c r="B1033" s="29" t="s">
        <v>3682</v>
      </c>
      <c r="C1033" s="29"/>
      <c r="D1033" s="29" t="s">
        <v>3683</v>
      </c>
      <c r="E1033" s="29"/>
      <c r="F1033" s="29" t="s">
        <v>3686</v>
      </c>
      <c r="G1033" s="29"/>
      <c r="H1033" s="29" t="s">
        <v>3687</v>
      </c>
      <c r="I1033" s="29"/>
      <c r="J1033" s="29"/>
      <c r="K1033" s="29"/>
      <c r="L1033" s="29" t="s">
        <v>3852</v>
      </c>
      <c r="M1033" s="29" t="s">
        <v>3861</v>
      </c>
      <c r="N1033" s="29" t="s">
        <v>3496</v>
      </c>
      <c r="O1033" s="29"/>
      <c r="P1033" s="29" t="s">
        <v>8032</v>
      </c>
      <c r="Q1033" t="s">
        <v>2038</v>
      </c>
      <c r="R1033" t="s">
        <v>2633</v>
      </c>
      <c r="S1033">
        <v>37</v>
      </c>
      <c r="T1033" s="43" t="str">
        <f t="shared" si="44"/>
        <v>2021.010B.R.Binomial_names.zip</v>
      </c>
      <c r="U1033" s="43" t="str">
        <f>HYPERLINK("https://ictv.global/taxonomy/taxondetails?taxnode_id=202210086","ictv.global=202210086")</f>
        <v>ictv.global=202210086</v>
      </c>
    </row>
    <row r="1034" spans="1:21">
      <c r="A1034">
        <v>1033</v>
      </c>
      <c r="B1034" s="29" t="s">
        <v>3682</v>
      </c>
      <c r="C1034" s="29"/>
      <c r="D1034" s="29" t="s">
        <v>3683</v>
      </c>
      <c r="E1034" s="29"/>
      <c r="F1034" s="29" t="s">
        <v>3686</v>
      </c>
      <c r="G1034" s="29"/>
      <c r="H1034" s="29" t="s">
        <v>3687</v>
      </c>
      <c r="I1034" s="29"/>
      <c r="J1034" s="29"/>
      <c r="K1034" s="29"/>
      <c r="L1034" s="29" t="s">
        <v>3852</v>
      </c>
      <c r="M1034" s="29" t="s">
        <v>3861</v>
      </c>
      <c r="N1034" s="29" t="s">
        <v>3496</v>
      </c>
      <c r="O1034" s="29"/>
      <c r="P1034" s="29" t="s">
        <v>8033</v>
      </c>
      <c r="Q1034" t="s">
        <v>2038</v>
      </c>
      <c r="R1034" t="s">
        <v>2633</v>
      </c>
      <c r="S1034">
        <v>37</v>
      </c>
      <c r="T1034" s="43" t="str">
        <f t="shared" si="44"/>
        <v>2021.010B.R.Binomial_names.zip</v>
      </c>
      <c r="U1034" s="43" t="str">
        <f>HYPERLINK("https://ictv.global/taxonomy/taxondetails?taxnode_id=202210089","ictv.global=202210089")</f>
        <v>ictv.global=202210089</v>
      </c>
    </row>
    <row r="1035" spans="1:21">
      <c r="A1035">
        <v>1034</v>
      </c>
      <c r="B1035" s="29" t="s">
        <v>3682</v>
      </c>
      <c r="C1035" s="29"/>
      <c r="D1035" s="29" t="s">
        <v>3683</v>
      </c>
      <c r="E1035" s="29"/>
      <c r="F1035" s="29" t="s">
        <v>3686</v>
      </c>
      <c r="G1035" s="29"/>
      <c r="H1035" s="29" t="s">
        <v>3687</v>
      </c>
      <c r="I1035" s="29"/>
      <c r="J1035" s="29"/>
      <c r="K1035" s="29"/>
      <c r="L1035" s="29" t="s">
        <v>3852</v>
      </c>
      <c r="M1035" s="29" t="s">
        <v>3861</v>
      </c>
      <c r="N1035" s="29" t="s">
        <v>3496</v>
      </c>
      <c r="O1035" s="29"/>
      <c r="P1035" s="29" t="s">
        <v>8034</v>
      </c>
      <c r="Q1035" t="s">
        <v>2038</v>
      </c>
      <c r="R1035" t="s">
        <v>2633</v>
      </c>
      <c r="S1035">
        <v>37</v>
      </c>
      <c r="T1035" s="43" t="str">
        <f t="shared" ref="T1035:T1066" si="45">HYPERLINK("https://ictv.global/ictv/proposals/2021.010B.R.Binomial_names.zip","2021.010B.R.Binomial_names.zip")</f>
        <v>2021.010B.R.Binomial_names.zip</v>
      </c>
      <c r="U1035" s="43" t="str">
        <f>HYPERLINK("https://ictv.global/taxonomy/taxondetails?taxnode_id=202210085","ictv.global=202210085")</f>
        <v>ictv.global=202210085</v>
      </c>
    </row>
    <row r="1036" spans="1:21">
      <c r="A1036">
        <v>1035</v>
      </c>
      <c r="B1036" s="29" t="s">
        <v>3682</v>
      </c>
      <c r="C1036" s="29"/>
      <c r="D1036" s="29" t="s">
        <v>3683</v>
      </c>
      <c r="E1036" s="29"/>
      <c r="F1036" s="29" t="s">
        <v>3686</v>
      </c>
      <c r="G1036" s="29"/>
      <c r="H1036" s="29" t="s">
        <v>3687</v>
      </c>
      <c r="I1036" s="29"/>
      <c r="J1036" s="29"/>
      <c r="K1036" s="29"/>
      <c r="L1036" s="29" t="s">
        <v>3852</v>
      </c>
      <c r="M1036" s="29" t="s">
        <v>3861</v>
      </c>
      <c r="N1036" s="29" t="s">
        <v>3496</v>
      </c>
      <c r="O1036" s="29"/>
      <c r="P1036" s="29" t="s">
        <v>8035</v>
      </c>
      <c r="Q1036" t="s">
        <v>2038</v>
      </c>
      <c r="R1036" t="s">
        <v>2633</v>
      </c>
      <c r="S1036">
        <v>37</v>
      </c>
      <c r="T1036" s="43" t="str">
        <f t="shared" si="45"/>
        <v>2021.010B.R.Binomial_names.zip</v>
      </c>
      <c r="U1036" s="43" t="str">
        <f>HYPERLINK("https://ictv.global/taxonomy/taxondetails?taxnode_id=202210082","ictv.global=202210082")</f>
        <v>ictv.global=202210082</v>
      </c>
    </row>
    <row r="1037" spans="1:21">
      <c r="A1037">
        <v>1036</v>
      </c>
      <c r="B1037" s="29" t="s">
        <v>3682</v>
      </c>
      <c r="C1037" s="29"/>
      <c r="D1037" s="29" t="s">
        <v>3683</v>
      </c>
      <c r="E1037" s="29"/>
      <c r="F1037" s="29" t="s">
        <v>3686</v>
      </c>
      <c r="G1037" s="29"/>
      <c r="H1037" s="29" t="s">
        <v>3687</v>
      </c>
      <c r="I1037" s="29"/>
      <c r="J1037" s="29"/>
      <c r="K1037" s="29"/>
      <c r="L1037" s="29" t="s">
        <v>3852</v>
      </c>
      <c r="M1037" s="29" t="s">
        <v>3861</v>
      </c>
      <c r="N1037" s="29" t="s">
        <v>3496</v>
      </c>
      <c r="O1037" s="29"/>
      <c r="P1037" s="29" t="s">
        <v>8036</v>
      </c>
      <c r="Q1037" t="s">
        <v>2038</v>
      </c>
      <c r="R1037" t="s">
        <v>2633</v>
      </c>
      <c r="S1037">
        <v>37</v>
      </c>
      <c r="T1037" s="43" t="str">
        <f t="shared" si="45"/>
        <v>2021.010B.R.Binomial_names.zip</v>
      </c>
      <c r="U1037" s="43" t="str">
        <f>HYPERLINK("https://ictv.global/taxonomy/taxondetails?taxnode_id=202210079","ictv.global=202210079")</f>
        <v>ictv.global=202210079</v>
      </c>
    </row>
    <row r="1038" spans="1:21">
      <c r="A1038">
        <v>1037</v>
      </c>
      <c r="B1038" s="29" t="s">
        <v>3682</v>
      </c>
      <c r="C1038" s="29"/>
      <c r="D1038" s="29" t="s">
        <v>3683</v>
      </c>
      <c r="E1038" s="29"/>
      <c r="F1038" s="29" t="s">
        <v>3686</v>
      </c>
      <c r="G1038" s="29"/>
      <c r="H1038" s="29" t="s">
        <v>3687</v>
      </c>
      <c r="I1038" s="29"/>
      <c r="J1038" s="29"/>
      <c r="K1038" s="29"/>
      <c r="L1038" s="29" t="s">
        <v>3852</v>
      </c>
      <c r="M1038" s="29" t="s">
        <v>3861</v>
      </c>
      <c r="N1038" s="29" t="s">
        <v>3496</v>
      </c>
      <c r="O1038" s="29"/>
      <c r="P1038" s="29" t="s">
        <v>8037</v>
      </c>
      <c r="Q1038" t="s">
        <v>2038</v>
      </c>
      <c r="R1038" t="s">
        <v>2633</v>
      </c>
      <c r="S1038">
        <v>37</v>
      </c>
      <c r="T1038" s="43" t="str">
        <f t="shared" si="45"/>
        <v>2021.010B.R.Binomial_names.zip</v>
      </c>
      <c r="U1038" s="43" t="str">
        <f>HYPERLINK("https://ictv.global/taxonomy/taxondetails?taxnode_id=202210091","ictv.global=202210091")</f>
        <v>ictv.global=202210091</v>
      </c>
    </row>
    <row r="1039" spans="1:21">
      <c r="A1039">
        <v>1038</v>
      </c>
      <c r="B1039" s="29" t="s">
        <v>3682</v>
      </c>
      <c r="C1039" s="29"/>
      <c r="D1039" s="29" t="s">
        <v>3683</v>
      </c>
      <c r="E1039" s="29"/>
      <c r="F1039" s="29" t="s">
        <v>3686</v>
      </c>
      <c r="G1039" s="29"/>
      <c r="H1039" s="29" t="s">
        <v>3687</v>
      </c>
      <c r="I1039" s="29"/>
      <c r="J1039" s="29"/>
      <c r="K1039" s="29"/>
      <c r="L1039" s="29" t="s">
        <v>3852</v>
      </c>
      <c r="M1039" s="29" t="s">
        <v>3861</v>
      </c>
      <c r="N1039" s="29" t="s">
        <v>3496</v>
      </c>
      <c r="O1039" s="29"/>
      <c r="P1039" s="29" t="s">
        <v>8038</v>
      </c>
      <c r="Q1039" t="s">
        <v>2038</v>
      </c>
      <c r="R1039" t="s">
        <v>2633</v>
      </c>
      <c r="S1039">
        <v>37</v>
      </c>
      <c r="T1039" s="43" t="str">
        <f t="shared" si="45"/>
        <v>2021.010B.R.Binomial_names.zip</v>
      </c>
      <c r="U1039" s="43" t="str">
        <f>HYPERLINK("https://ictv.global/taxonomy/taxondetails?taxnode_id=202207069","ictv.global=202207069")</f>
        <v>ictv.global=202207069</v>
      </c>
    </row>
    <row r="1040" spans="1:21">
      <c r="A1040">
        <v>1039</v>
      </c>
      <c r="B1040" s="29" t="s">
        <v>3682</v>
      </c>
      <c r="C1040" s="29"/>
      <c r="D1040" s="29" t="s">
        <v>3683</v>
      </c>
      <c r="E1040" s="29"/>
      <c r="F1040" s="29" t="s">
        <v>3686</v>
      </c>
      <c r="G1040" s="29"/>
      <c r="H1040" s="29" t="s">
        <v>3687</v>
      </c>
      <c r="I1040" s="29"/>
      <c r="J1040" s="29"/>
      <c r="K1040" s="29"/>
      <c r="L1040" s="29" t="s">
        <v>3852</v>
      </c>
      <c r="M1040" s="29" t="s">
        <v>3861</v>
      </c>
      <c r="N1040" s="29" t="s">
        <v>3496</v>
      </c>
      <c r="O1040" s="29"/>
      <c r="P1040" s="29" t="s">
        <v>8039</v>
      </c>
      <c r="Q1040" t="s">
        <v>2038</v>
      </c>
      <c r="R1040" t="s">
        <v>2633</v>
      </c>
      <c r="S1040">
        <v>37</v>
      </c>
      <c r="T1040" s="43" t="str">
        <f t="shared" si="45"/>
        <v>2021.010B.R.Binomial_names.zip</v>
      </c>
      <c r="U1040" s="43" t="str">
        <f>HYPERLINK("https://ictv.global/taxonomy/taxondetails?taxnode_id=202210080","ictv.global=202210080")</f>
        <v>ictv.global=202210080</v>
      </c>
    </row>
    <row r="1041" spans="1:21">
      <c r="A1041">
        <v>1040</v>
      </c>
      <c r="B1041" s="29" t="s">
        <v>3682</v>
      </c>
      <c r="C1041" s="29"/>
      <c r="D1041" s="29" t="s">
        <v>3683</v>
      </c>
      <c r="E1041" s="29"/>
      <c r="F1041" s="29" t="s">
        <v>3686</v>
      </c>
      <c r="G1041" s="29"/>
      <c r="H1041" s="29" t="s">
        <v>3687</v>
      </c>
      <c r="I1041" s="29"/>
      <c r="J1041" s="29"/>
      <c r="K1041" s="29"/>
      <c r="L1041" s="29" t="s">
        <v>3852</v>
      </c>
      <c r="M1041" s="29" t="s">
        <v>3861</v>
      </c>
      <c r="N1041" s="29" t="s">
        <v>3496</v>
      </c>
      <c r="O1041" s="29"/>
      <c r="P1041" s="29" t="s">
        <v>8040</v>
      </c>
      <c r="Q1041" t="s">
        <v>2038</v>
      </c>
      <c r="R1041" t="s">
        <v>2633</v>
      </c>
      <c r="S1041">
        <v>37</v>
      </c>
      <c r="T1041" s="43" t="str">
        <f t="shared" si="45"/>
        <v>2021.010B.R.Binomial_names.zip</v>
      </c>
      <c r="U1041" s="43" t="str">
        <f>HYPERLINK("https://ictv.global/taxonomy/taxondetails?taxnode_id=202210083","ictv.global=202210083")</f>
        <v>ictv.global=202210083</v>
      </c>
    </row>
    <row r="1042" spans="1:21">
      <c r="A1042">
        <v>1041</v>
      </c>
      <c r="B1042" s="29" t="s">
        <v>3682</v>
      </c>
      <c r="C1042" s="29"/>
      <c r="D1042" s="29" t="s">
        <v>3683</v>
      </c>
      <c r="E1042" s="29"/>
      <c r="F1042" s="29" t="s">
        <v>3686</v>
      </c>
      <c r="G1042" s="29"/>
      <c r="H1042" s="29" t="s">
        <v>3687</v>
      </c>
      <c r="I1042" s="29"/>
      <c r="J1042" s="29"/>
      <c r="K1042" s="29"/>
      <c r="L1042" s="29" t="s">
        <v>3852</v>
      </c>
      <c r="M1042" s="29" t="s">
        <v>3861</v>
      </c>
      <c r="N1042" s="29" t="s">
        <v>4508</v>
      </c>
      <c r="O1042" s="29"/>
      <c r="P1042" s="29" t="s">
        <v>8041</v>
      </c>
      <c r="Q1042" t="s">
        <v>2038</v>
      </c>
      <c r="R1042" t="s">
        <v>2633</v>
      </c>
      <c r="S1042">
        <v>37</v>
      </c>
      <c r="T1042" s="43" t="str">
        <f t="shared" si="45"/>
        <v>2021.010B.R.Binomial_names.zip</v>
      </c>
      <c r="U1042" s="43" t="str">
        <f>HYPERLINK("https://ictv.global/taxonomy/taxondetails?taxnode_id=202209972","ictv.global=202209972")</f>
        <v>ictv.global=202209972</v>
      </c>
    </row>
    <row r="1043" spans="1:21">
      <c r="A1043">
        <v>1042</v>
      </c>
      <c r="B1043" s="29" t="s">
        <v>3682</v>
      </c>
      <c r="C1043" s="29"/>
      <c r="D1043" s="29" t="s">
        <v>3683</v>
      </c>
      <c r="E1043" s="29"/>
      <c r="F1043" s="29" t="s">
        <v>3686</v>
      </c>
      <c r="G1043" s="29"/>
      <c r="H1043" s="29" t="s">
        <v>3687</v>
      </c>
      <c r="I1043" s="29"/>
      <c r="J1043" s="29"/>
      <c r="K1043" s="29"/>
      <c r="L1043" s="29" t="s">
        <v>3852</v>
      </c>
      <c r="M1043" s="29" t="s">
        <v>3861</v>
      </c>
      <c r="N1043" s="29" t="s">
        <v>2077</v>
      </c>
      <c r="O1043" s="29"/>
      <c r="P1043" s="29" t="s">
        <v>8042</v>
      </c>
      <c r="Q1043" t="s">
        <v>2038</v>
      </c>
      <c r="R1043" t="s">
        <v>2633</v>
      </c>
      <c r="S1043">
        <v>37</v>
      </c>
      <c r="T1043" s="43" t="str">
        <f t="shared" si="45"/>
        <v>2021.010B.R.Binomial_names.zip</v>
      </c>
      <c r="U1043" s="43" t="str">
        <f>HYPERLINK("https://ictv.global/taxonomy/taxondetails?taxnode_id=202208140","ictv.global=202208140")</f>
        <v>ictv.global=202208140</v>
      </c>
    </row>
    <row r="1044" spans="1:21">
      <c r="A1044">
        <v>1043</v>
      </c>
      <c r="B1044" s="29" t="s">
        <v>3682</v>
      </c>
      <c r="C1044" s="29"/>
      <c r="D1044" s="29" t="s">
        <v>3683</v>
      </c>
      <c r="E1044" s="29"/>
      <c r="F1044" s="29" t="s">
        <v>3686</v>
      </c>
      <c r="G1044" s="29"/>
      <c r="H1044" s="29" t="s">
        <v>3687</v>
      </c>
      <c r="I1044" s="29"/>
      <c r="J1044" s="29"/>
      <c r="K1044" s="29"/>
      <c r="L1044" s="29" t="s">
        <v>3852</v>
      </c>
      <c r="M1044" s="29" t="s">
        <v>3861</v>
      </c>
      <c r="N1044" s="29" t="s">
        <v>2077</v>
      </c>
      <c r="O1044" s="29"/>
      <c r="P1044" s="29" t="s">
        <v>8043</v>
      </c>
      <c r="Q1044" t="s">
        <v>2038</v>
      </c>
      <c r="R1044" t="s">
        <v>2633</v>
      </c>
      <c r="S1044">
        <v>37</v>
      </c>
      <c r="T1044" s="43" t="str">
        <f t="shared" si="45"/>
        <v>2021.010B.R.Binomial_names.zip</v>
      </c>
      <c r="U1044" s="43" t="str">
        <f>HYPERLINK("https://ictv.global/taxonomy/taxondetails?taxnode_id=202208139","ictv.global=202208139")</f>
        <v>ictv.global=202208139</v>
      </c>
    </row>
    <row r="1045" spans="1:21">
      <c r="A1045">
        <v>1044</v>
      </c>
      <c r="B1045" s="29" t="s">
        <v>3682</v>
      </c>
      <c r="C1045" s="29"/>
      <c r="D1045" s="29" t="s">
        <v>3683</v>
      </c>
      <c r="E1045" s="29"/>
      <c r="F1045" s="29" t="s">
        <v>3686</v>
      </c>
      <c r="G1045" s="29"/>
      <c r="H1045" s="29" t="s">
        <v>3687</v>
      </c>
      <c r="I1045" s="29"/>
      <c r="J1045" s="29"/>
      <c r="K1045" s="29"/>
      <c r="L1045" s="29" t="s">
        <v>3852</v>
      </c>
      <c r="M1045" s="29" t="s">
        <v>3861</v>
      </c>
      <c r="N1045" s="29" t="s">
        <v>2077</v>
      </c>
      <c r="O1045" s="29"/>
      <c r="P1045" s="29" t="s">
        <v>8044</v>
      </c>
      <c r="Q1045" t="s">
        <v>2038</v>
      </c>
      <c r="R1045" t="s">
        <v>2633</v>
      </c>
      <c r="S1045">
        <v>37</v>
      </c>
      <c r="T1045" s="43" t="str">
        <f t="shared" si="45"/>
        <v>2021.010B.R.Binomial_names.zip</v>
      </c>
      <c r="U1045" s="43" t="str">
        <f>HYPERLINK("https://ictv.global/taxonomy/taxondetails?taxnode_id=202208137","ictv.global=202208137")</f>
        <v>ictv.global=202208137</v>
      </c>
    </row>
    <row r="1046" spans="1:21">
      <c r="A1046">
        <v>1045</v>
      </c>
      <c r="B1046" s="29" t="s">
        <v>3682</v>
      </c>
      <c r="C1046" s="29"/>
      <c r="D1046" s="29" t="s">
        <v>3683</v>
      </c>
      <c r="E1046" s="29"/>
      <c r="F1046" s="29" t="s">
        <v>3686</v>
      </c>
      <c r="G1046" s="29"/>
      <c r="H1046" s="29" t="s">
        <v>3687</v>
      </c>
      <c r="I1046" s="29"/>
      <c r="J1046" s="29"/>
      <c r="K1046" s="29"/>
      <c r="L1046" s="29" t="s">
        <v>3852</v>
      </c>
      <c r="M1046" s="29" t="s">
        <v>3861</v>
      </c>
      <c r="N1046" s="29" t="s">
        <v>2077</v>
      </c>
      <c r="O1046" s="29"/>
      <c r="P1046" s="29" t="s">
        <v>8045</v>
      </c>
      <c r="Q1046" t="s">
        <v>2038</v>
      </c>
      <c r="R1046" t="s">
        <v>2633</v>
      </c>
      <c r="S1046">
        <v>37</v>
      </c>
      <c r="T1046" s="43" t="str">
        <f t="shared" si="45"/>
        <v>2021.010B.R.Binomial_names.zip</v>
      </c>
      <c r="U1046" s="43" t="str">
        <f>HYPERLINK("https://ictv.global/taxonomy/taxondetails?taxnode_id=202208141","ictv.global=202208141")</f>
        <v>ictv.global=202208141</v>
      </c>
    </row>
    <row r="1047" spans="1:21">
      <c r="A1047">
        <v>1046</v>
      </c>
      <c r="B1047" s="29" t="s">
        <v>3682</v>
      </c>
      <c r="C1047" s="29"/>
      <c r="D1047" s="29" t="s">
        <v>3683</v>
      </c>
      <c r="E1047" s="29"/>
      <c r="F1047" s="29" t="s">
        <v>3686</v>
      </c>
      <c r="G1047" s="29"/>
      <c r="H1047" s="29" t="s">
        <v>3687</v>
      </c>
      <c r="I1047" s="29"/>
      <c r="J1047" s="29"/>
      <c r="K1047" s="29"/>
      <c r="L1047" s="29" t="s">
        <v>3852</v>
      </c>
      <c r="M1047" s="29" t="s">
        <v>3861</v>
      </c>
      <c r="N1047" s="29" t="s">
        <v>2077</v>
      </c>
      <c r="O1047" s="29"/>
      <c r="P1047" s="29" t="s">
        <v>8046</v>
      </c>
      <c r="Q1047" t="s">
        <v>2038</v>
      </c>
      <c r="R1047" t="s">
        <v>2633</v>
      </c>
      <c r="S1047">
        <v>37</v>
      </c>
      <c r="T1047" s="43" t="str">
        <f t="shared" si="45"/>
        <v>2021.010B.R.Binomial_names.zip</v>
      </c>
      <c r="U1047" s="43" t="str">
        <f>HYPERLINK("https://ictv.global/taxonomy/taxondetails?taxnode_id=202208142","ictv.global=202208142")</f>
        <v>ictv.global=202208142</v>
      </c>
    </row>
    <row r="1048" spans="1:21">
      <c r="A1048">
        <v>1047</v>
      </c>
      <c r="B1048" s="29" t="s">
        <v>3682</v>
      </c>
      <c r="C1048" s="29"/>
      <c r="D1048" s="29" t="s">
        <v>3683</v>
      </c>
      <c r="E1048" s="29"/>
      <c r="F1048" s="29" t="s">
        <v>3686</v>
      </c>
      <c r="G1048" s="29"/>
      <c r="H1048" s="29" t="s">
        <v>3687</v>
      </c>
      <c r="I1048" s="29"/>
      <c r="J1048" s="29"/>
      <c r="K1048" s="29"/>
      <c r="L1048" s="29" t="s">
        <v>3852</v>
      </c>
      <c r="M1048" s="29" t="s">
        <v>3861</v>
      </c>
      <c r="N1048" s="29" t="s">
        <v>2077</v>
      </c>
      <c r="O1048" s="29"/>
      <c r="P1048" s="29" t="s">
        <v>8047</v>
      </c>
      <c r="Q1048" t="s">
        <v>2038</v>
      </c>
      <c r="R1048" t="s">
        <v>2633</v>
      </c>
      <c r="S1048">
        <v>37</v>
      </c>
      <c r="T1048" s="43" t="str">
        <f t="shared" si="45"/>
        <v>2021.010B.R.Binomial_names.zip</v>
      </c>
      <c r="U1048" s="43" t="str">
        <f>HYPERLINK("https://ictv.global/taxonomy/taxondetails?taxnode_id=202200834","ictv.global=202200834")</f>
        <v>ictv.global=202200834</v>
      </c>
    </row>
    <row r="1049" spans="1:21">
      <c r="A1049">
        <v>1048</v>
      </c>
      <c r="B1049" s="29" t="s">
        <v>3682</v>
      </c>
      <c r="C1049" s="29"/>
      <c r="D1049" s="29" t="s">
        <v>3683</v>
      </c>
      <c r="E1049" s="29"/>
      <c r="F1049" s="29" t="s">
        <v>3686</v>
      </c>
      <c r="G1049" s="29"/>
      <c r="H1049" s="29" t="s">
        <v>3687</v>
      </c>
      <c r="I1049" s="29"/>
      <c r="J1049" s="29"/>
      <c r="K1049" s="29"/>
      <c r="L1049" s="29" t="s">
        <v>3852</v>
      </c>
      <c r="M1049" s="29" t="s">
        <v>3861</v>
      </c>
      <c r="N1049" s="29" t="s">
        <v>2077</v>
      </c>
      <c r="O1049" s="29"/>
      <c r="P1049" s="29" t="s">
        <v>8048</v>
      </c>
      <c r="Q1049" t="s">
        <v>2038</v>
      </c>
      <c r="R1049" t="s">
        <v>2633</v>
      </c>
      <c r="S1049">
        <v>37</v>
      </c>
      <c r="T1049" s="43" t="str">
        <f t="shared" si="45"/>
        <v>2021.010B.R.Binomial_names.zip</v>
      </c>
      <c r="U1049" s="43" t="str">
        <f>HYPERLINK("https://ictv.global/taxonomy/taxondetails?taxnode_id=202200832","ictv.global=202200832")</f>
        <v>ictv.global=202200832</v>
      </c>
    </row>
    <row r="1050" spans="1:21">
      <c r="A1050">
        <v>1049</v>
      </c>
      <c r="B1050" s="29" t="s">
        <v>3682</v>
      </c>
      <c r="C1050" s="29"/>
      <c r="D1050" s="29" t="s">
        <v>3683</v>
      </c>
      <c r="E1050" s="29"/>
      <c r="F1050" s="29" t="s">
        <v>3686</v>
      </c>
      <c r="G1050" s="29"/>
      <c r="H1050" s="29" t="s">
        <v>3687</v>
      </c>
      <c r="I1050" s="29"/>
      <c r="J1050" s="29"/>
      <c r="K1050" s="29"/>
      <c r="L1050" s="29" t="s">
        <v>3852</v>
      </c>
      <c r="M1050" s="29" t="s">
        <v>3861</v>
      </c>
      <c r="N1050" s="29" t="s">
        <v>2077</v>
      </c>
      <c r="O1050" s="29"/>
      <c r="P1050" s="29" t="s">
        <v>8049</v>
      </c>
      <c r="Q1050" t="s">
        <v>2038</v>
      </c>
      <c r="R1050" t="s">
        <v>2633</v>
      </c>
      <c r="S1050">
        <v>37</v>
      </c>
      <c r="T1050" s="43" t="str">
        <f t="shared" si="45"/>
        <v>2021.010B.R.Binomial_names.zip</v>
      </c>
      <c r="U1050" s="43" t="str">
        <f>HYPERLINK("https://ictv.global/taxonomy/taxondetails?taxnode_id=202200833","ictv.global=202200833")</f>
        <v>ictv.global=202200833</v>
      </c>
    </row>
    <row r="1051" spans="1:21">
      <c r="A1051">
        <v>1050</v>
      </c>
      <c r="B1051" s="29" t="s">
        <v>3682</v>
      </c>
      <c r="C1051" s="29"/>
      <c r="D1051" s="29" t="s">
        <v>3683</v>
      </c>
      <c r="E1051" s="29"/>
      <c r="F1051" s="29" t="s">
        <v>3686</v>
      </c>
      <c r="G1051" s="29"/>
      <c r="H1051" s="29" t="s">
        <v>3687</v>
      </c>
      <c r="I1051" s="29"/>
      <c r="J1051" s="29"/>
      <c r="K1051" s="29"/>
      <c r="L1051" s="29" t="s">
        <v>3852</v>
      </c>
      <c r="M1051" s="29" t="s">
        <v>3861</v>
      </c>
      <c r="N1051" s="29" t="s">
        <v>2077</v>
      </c>
      <c r="O1051" s="29"/>
      <c r="P1051" s="29" t="s">
        <v>8050</v>
      </c>
      <c r="Q1051" t="s">
        <v>2038</v>
      </c>
      <c r="R1051" t="s">
        <v>2633</v>
      </c>
      <c r="S1051">
        <v>37</v>
      </c>
      <c r="T1051" s="43" t="str">
        <f t="shared" si="45"/>
        <v>2021.010B.R.Binomial_names.zip</v>
      </c>
      <c r="U1051" s="43" t="str">
        <f>HYPERLINK("https://ictv.global/taxonomy/taxondetails?taxnode_id=202208136","ictv.global=202208136")</f>
        <v>ictv.global=202208136</v>
      </c>
    </row>
    <row r="1052" spans="1:21">
      <c r="A1052">
        <v>1051</v>
      </c>
      <c r="B1052" s="29" t="s">
        <v>3682</v>
      </c>
      <c r="C1052" s="29"/>
      <c r="D1052" s="29" t="s">
        <v>3683</v>
      </c>
      <c r="E1052" s="29"/>
      <c r="F1052" s="29" t="s">
        <v>3686</v>
      </c>
      <c r="G1052" s="29"/>
      <c r="H1052" s="29" t="s">
        <v>3687</v>
      </c>
      <c r="I1052" s="29"/>
      <c r="J1052" s="29"/>
      <c r="K1052" s="29"/>
      <c r="L1052" s="29" t="s">
        <v>3852</v>
      </c>
      <c r="M1052" s="29" t="s">
        <v>3861</v>
      </c>
      <c r="N1052" s="29" t="s">
        <v>2077</v>
      </c>
      <c r="O1052" s="29"/>
      <c r="P1052" s="29" t="s">
        <v>8051</v>
      </c>
      <c r="Q1052" t="s">
        <v>2038</v>
      </c>
      <c r="R1052" t="s">
        <v>2633</v>
      </c>
      <c r="S1052">
        <v>37</v>
      </c>
      <c r="T1052" s="43" t="str">
        <f t="shared" si="45"/>
        <v>2021.010B.R.Binomial_names.zip</v>
      </c>
      <c r="U1052" s="43" t="str">
        <f>HYPERLINK("https://ictv.global/taxonomy/taxondetails?taxnode_id=202208138","ictv.global=202208138")</f>
        <v>ictv.global=202208138</v>
      </c>
    </row>
    <row r="1053" spans="1:21">
      <c r="A1053">
        <v>1052</v>
      </c>
      <c r="B1053" s="29" t="s">
        <v>3682</v>
      </c>
      <c r="C1053" s="29"/>
      <c r="D1053" s="29" t="s">
        <v>3683</v>
      </c>
      <c r="E1053" s="29"/>
      <c r="F1053" s="29" t="s">
        <v>3686</v>
      </c>
      <c r="G1053" s="29"/>
      <c r="H1053" s="29" t="s">
        <v>3687</v>
      </c>
      <c r="I1053" s="29"/>
      <c r="J1053" s="29"/>
      <c r="K1053" s="29"/>
      <c r="L1053" s="29" t="s">
        <v>3852</v>
      </c>
      <c r="M1053" s="29" t="s">
        <v>3861</v>
      </c>
      <c r="N1053" s="29" t="s">
        <v>3862</v>
      </c>
      <c r="O1053" s="29"/>
      <c r="P1053" s="29" t="s">
        <v>8052</v>
      </c>
      <c r="Q1053" t="s">
        <v>2038</v>
      </c>
      <c r="R1053" t="s">
        <v>2633</v>
      </c>
      <c r="S1053">
        <v>37</v>
      </c>
      <c r="T1053" s="43" t="str">
        <f t="shared" si="45"/>
        <v>2021.010B.R.Binomial_names.zip</v>
      </c>
      <c r="U1053" s="43" t="str">
        <f>HYPERLINK("https://ictv.global/taxonomy/taxondetails?taxnode_id=202212096","ictv.global=202212096")</f>
        <v>ictv.global=202212096</v>
      </c>
    </row>
    <row r="1054" spans="1:21">
      <c r="A1054">
        <v>1053</v>
      </c>
      <c r="B1054" s="29" t="s">
        <v>3682</v>
      </c>
      <c r="C1054" s="29"/>
      <c r="D1054" s="29" t="s">
        <v>3683</v>
      </c>
      <c r="E1054" s="29"/>
      <c r="F1054" s="29" t="s">
        <v>3686</v>
      </c>
      <c r="G1054" s="29"/>
      <c r="H1054" s="29" t="s">
        <v>3687</v>
      </c>
      <c r="I1054" s="29"/>
      <c r="J1054" s="29"/>
      <c r="K1054" s="29"/>
      <c r="L1054" s="29" t="s">
        <v>3852</v>
      </c>
      <c r="M1054" s="29" t="s">
        <v>3861</v>
      </c>
      <c r="N1054" s="29" t="s">
        <v>3862</v>
      </c>
      <c r="O1054" s="29"/>
      <c r="P1054" s="29" t="s">
        <v>8053</v>
      </c>
      <c r="Q1054" t="s">
        <v>2038</v>
      </c>
      <c r="R1054" t="s">
        <v>2633</v>
      </c>
      <c r="S1054">
        <v>37</v>
      </c>
      <c r="T1054" s="43" t="str">
        <f t="shared" si="45"/>
        <v>2021.010B.R.Binomial_names.zip</v>
      </c>
      <c r="U1054" s="43" t="str">
        <f>HYPERLINK("https://ictv.global/taxonomy/taxondetails?taxnode_id=202212091","ictv.global=202212091")</f>
        <v>ictv.global=202212091</v>
      </c>
    </row>
    <row r="1055" spans="1:21">
      <c r="A1055">
        <v>1054</v>
      </c>
      <c r="B1055" s="29" t="s">
        <v>3682</v>
      </c>
      <c r="C1055" s="29"/>
      <c r="D1055" s="29" t="s">
        <v>3683</v>
      </c>
      <c r="E1055" s="29"/>
      <c r="F1055" s="29" t="s">
        <v>3686</v>
      </c>
      <c r="G1055" s="29"/>
      <c r="H1055" s="29" t="s">
        <v>3687</v>
      </c>
      <c r="I1055" s="29"/>
      <c r="J1055" s="29"/>
      <c r="K1055" s="29"/>
      <c r="L1055" s="29" t="s">
        <v>3852</v>
      </c>
      <c r="M1055" s="29" t="s">
        <v>3861</v>
      </c>
      <c r="N1055" s="29" t="s">
        <v>3862</v>
      </c>
      <c r="O1055" s="29"/>
      <c r="P1055" s="29" t="s">
        <v>8054</v>
      </c>
      <c r="Q1055" t="s">
        <v>2038</v>
      </c>
      <c r="R1055" t="s">
        <v>2633</v>
      </c>
      <c r="S1055">
        <v>37</v>
      </c>
      <c r="T1055" s="43" t="str">
        <f t="shared" si="45"/>
        <v>2021.010B.R.Binomial_names.zip</v>
      </c>
      <c r="U1055" s="43" t="str">
        <f>HYPERLINK("https://ictv.global/taxonomy/taxondetails?taxnode_id=202208134","ictv.global=202208134")</f>
        <v>ictv.global=202208134</v>
      </c>
    </row>
    <row r="1056" spans="1:21">
      <c r="A1056">
        <v>1055</v>
      </c>
      <c r="B1056" s="29" t="s">
        <v>3682</v>
      </c>
      <c r="C1056" s="29"/>
      <c r="D1056" s="29" t="s">
        <v>3683</v>
      </c>
      <c r="E1056" s="29"/>
      <c r="F1056" s="29" t="s">
        <v>3686</v>
      </c>
      <c r="G1056" s="29"/>
      <c r="H1056" s="29" t="s">
        <v>3687</v>
      </c>
      <c r="I1056" s="29"/>
      <c r="J1056" s="29"/>
      <c r="K1056" s="29"/>
      <c r="L1056" s="29" t="s">
        <v>3852</v>
      </c>
      <c r="M1056" s="29" t="s">
        <v>3861</v>
      </c>
      <c r="N1056" s="29" t="s">
        <v>3862</v>
      </c>
      <c r="O1056" s="29"/>
      <c r="P1056" s="29" t="s">
        <v>8055</v>
      </c>
      <c r="Q1056" t="s">
        <v>2038</v>
      </c>
      <c r="R1056" t="s">
        <v>2633</v>
      </c>
      <c r="S1056">
        <v>37</v>
      </c>
      <c r="T1056" s="43" t="str">
        <f t="shared" si="45"/>
        <v>2021.010B.R.Binomial_names.zip</v>
      </c>
      <c r="U1056" s="43" t="str">
        <f>HYPERLINK("https://ictv.global/taxonomy/taxondetails?taxnode_id=202208133","ictv.global=202208133")</f>
        <v>ictv.global=202208133</v>
      </c>
    </row>
    <row r="1057" spans="1:21">
      <c r="A1057">
        <v>1056</v>
      </c>
      <c r="B1057" s="29" t="s">
        <v>3682</v>
      </c>
      <c r="C1057" s="29"/>
      <c r="D1057" s="29" t="s">
        <v>3683</v>
      </c>
      <c r="E1057" s="29"/>
      <c r="F1057" s="29" t="s">
        <v>3686</v>
      </c>
      <c r="G1057" s="29"/>
      <c r="H1057" s="29" t="s">
        <v>3687</v>
      </c>
      <c r="I1057" s="29"/>
      <c r="J1057" s="29"/>
      <c r="K1057" s="29"/>
      <c r="L1057" s="29" t="s">
        <v>3852</v>
      </c>
      <c r="M1057" s="29" t="s">
        <v>3861</v>
      </c>
      <c r="N1057" s="29" t="s">
        <v>3862</v>
      </c>
      <c r="O1057" s="29"/>
      <c r="P1057" s="29" t="s">
        <v>8056</v>
      </c>
      <c r="Q1057" t="s">
        <v>2038</v>
      </c>
      <c r="R1057" t="s">
        <v>2633</v>
      </c>
      <c r="S1057">
        <v>37</v>
      </c>
      <c r="T1057" s="43" t="str">
        <f t="shared" si="45"/>
        <v>2021.010B.R.Binomial_names.zip</v>
      </c>
      <c r="U1057" s="43" t="str">
        <f>HYPERLINK("https://ictv.global/taxonomy/taxondetails?taxnode_id=202212098","ictv.global=202212098")</f>
        <v>ictv.global=202212098</v>
      </c>
    </row>
    <row r="1058" spans="1:21">
      <c r="A1058">
        <v>1057</v>
      </c>
      <c r="B1058" s="29" t="s">
        <v>3682</v>
      </c>
      <c r="C1058" s="29"/>
      <c r="D1058" s="29" t="s">
        <v>3683</v>
      </c>
      <c r="E1058" s="29"/>
      <c r="F1058" s="29" t="s">
        <v>3686</v>
      </c>
      <c r="G1058" s="29"/>
      <c r="H1058" s="29" t="s">
        <v>3687</v>
      </c>
      <c r="I1058" s="29"/>
      <c r="J1058" s="29"/>
      <c r="K1058" s="29"/>
      <c r="L1058" s="29" t="s">
        <v>3852</v>
      </c>
      <c r="M1058" s="29" t="s">
        <v>3861</v>
      </c>
      <c r="N1058" s="29" t="s">
        <v>3862</v>
      </c>
      <c r="O1058" s="29"/>
      <c r="P1058" s="29" t="s">
        <v>8057</v>
      </c>
      <c r="Q1058" t="s">
        <v>2038</v>
      </c>
      <c r="R1058" t="s">
        <v>2633</v>
      </c>
      <c r="S1058">
        <v>37</v>
      </c>
      <c r="T1058" s="43" t="str">
        <f t="shared" si="45"/>
        <v>2021.010B.R.Binomial_names.zip</v>
      </c>
      <c r="U1058" s="43" t="str">
        <f>HYPERLINK("https://ictv.global/taxonomy/taxondetails?taxnode_id=202208131","ictv.global=202208131")</f>
        <v>ictv.global=202208131</v>
      </c>
    </row>
    <row r="1059" spans="1:21">
      <c r="A1059">
        <v>1058</v>
      </c>
      <c r="B1059" s="29" t="s">
        <v>3682</v>
      </c>
      <c r="C1059" s="29"/>
      <c r="D1059" s="29" t="s">
        <v>3683</v>
      </c>
      <c r="E1059" s="29"/>
      <c r="F1059" s="29" t="s">
        <v>3686</v>
      </c>
      <c r="G1059" s="29"/>
      <c r="H1059" s="29" t="s">
        <v>3687</v>
      </c>
      <c r="I1059" s="29"/>
      <c r="J1059" s="29"/>
      <c r="K1059" s="29"/>
      <c r="L1059" s="29" t="s">
        <v>3852</v>
      </c>
      <c r="M1059" s="29" t="s">
        <v>3861</v>
      </c>
      <c r="N1059" s="29" t="s">
        <v>3862</v>
      </c>
      <c r="O1059" s="29"/>
      <c r="P1059" s="29" t="s">
        <v>8058</v>
      </c>
      <c r="Q1059" t="s">
        <v>2038</v>
      </c>
      <c r="R1059" t="s">
        <v>2633</v>
      </c>
      <c r="S1059">
        <v>37</v>
      </c>
      <c r="T1059" s="43" t="str">
        <f t="shared" si="45"/>
        <v>2021.010B.R.Binomial_names.zip</v>
      </c>
      <c r="U1059" s="43" t="str">
        <f>HYPERLINK("https://ictv.global/taxonomy/taxondetails?taxnode_id=202212097","ictv.global=202212097")</f>
        <v>ictv.global=202212097</v>
      </c>
    </row>
    <row r="1060" spans="1:21">
      <c r="A1060">
        <v>1059</v>
      </c>
      <c r="B1060" s="29" t="s">
        <v>3682</v>
      </c>
      <c r="C1060" s="29"/>
      <c r="D1060" s="29" t="s">
        <v>3683</v>
      </c>
      <c r="E1060" s="29"/>
      <c r="F1060" s="29" t="s">
        <v>3686</v>
      </c>
      <c r="G1060" s="29"/>
      <c r="H1060" s="29" t="s">
        <v>3687</v>
      </c>
      <c r="I1060" s="29"/>
      <c r="J1060" s="29"/>
      <c r="K1060" s="29"/>
      <c r="L1060" s="29" t="s">
        <v>3852</v>
      </c>
      <c r="M1060" s="29" t="s">
        <v>3861</v>
      </c>
      <c r="N1060" s="29" t="s">
        <v>3862</v>
      </c>
      <c r="O1060" s="29"/>
      <c r="P1060" s="29" t="s">
        <v>8059</v>
      </c>
      <c r="Q1060" t="s">
        <v>2038</v>
      </c>
      <c r="R1060" t="s">
        <v>2633</v>
      </c>
      <c r="S1060">
        <v>37</v>
      </c>
      <c r="T1060" s="43" t="str">
        <f t="shared" si="45"/>
        <v>2021.010B.R.Binomial_names.zip</v>
      </c>
      <c r="U1060" s="43" t="str">
        <f>HYPERLINK("https://ictv.global/taxonomy/taxondetails?taxnode_id=202212095","ictv.global=202212095")</f>
        <v>ictv.global=202212095</v>
      </c>
    </row>
    <row r="1061" spans="1:21">
      <c r="A1061">
        <v>1060</v>
      </c>
      <c r="B1061" s="29" t="s">
        <v>3682</v>
      </c>
      <c r="C1061" s="29"/>
      <c r="D1061" s="29" t="s">
        <v>3683</v>
      </c>
      <c r="E1061" s="29"/>
      <c r="F1061" s="29" t="s">
        <v>3686</v>
      </c>
      <c r="G1061" s="29"/>
      <c r="H1061" s="29" t="s">
        <v>3687</v>
      </c>
      <c r="I1061" s="29"/>
      <c r="J1061" s="29"/>
      <c r="K1061" s="29"/>
      <c r="L1061" s="29" t="s">
        <v>3852</v>
      </c>
      <c r="M1061" s="29" t="s">
        <v>3861</v>
      </c>
      <c r="N1061" s="29" t="s">
        <v>3862</v>
      </c>
      <c r="O1061" s="29"/>
      <c r="P1061" s="29" t="s">
        <v>8060</v>
      </c>
      <c r="Q1061" t="s">
        <v>2038</v>
      </c>
      <c r="R1061" t="s">
        <v>2633</v>
      </c>
      <c r="S1061">
        <v>37</v>
      </c>
      <c r="T1061" s="43" t="str">
        <f t="shared" si="45"/>
        <v>2021.010B.R.Binomial_names.zip</v>
      </c>
      <c r="U1061" s="43" t="str">
        <f>HYPERLINK("https://ictv.global/taxonomy/taxondetails?taxnode_id=202212092","ictv.global=202212092")</f>
        <v>ictv.global=202212092</v>
      </c>
    </row>
    <row r="1062" spans="1:21">
      <c r="A1062">
        <v>1061</v>
      </c>
      <c r="B1062" s="29" t="s">
        <v>3682</v>
      </c>
      <c r="C1062" s="29"/>
      <c r="D1062" s="29" t="s">
        <v>3683</v>
      </c>
      <c r="E1062" s="29"/>
      <c r="F1062" s="29" t="s">
        <v>3686</v>
      </c>
      <c r="G1062" s="29"/>
      <c r="H1062" s="29" t="s">
        <v>3687</v>
      </c>
      <c r="I1062" s="29"/>
      <c r="J1062" s="29"/>
      <c r="K1062" s="29"/>
      <c r="L1062" s="29" t="s">
        <v>3852</v>
      </c>
      <c r="M1062" s="29" t="s">
        <v>3861</v>
      </c>
      <c r="N1062" s="29" t="s">
        <v>3862</v>
      </c>
      <c r="O1062" s="29"/>
      <c r="P1062" s="29" t="s">
        <v>8061</v>
      </c>
      <c r="Q1062" t="s">
        <v>2038</v>
      </c>
      <c r="R1062" t="s">
        <v>2633</v>
      </c>
      <c r="S1062">
        <v>37</v>
      </c>
      <c r="T1062" s="43" t="str">
        <f t="shared" si="45"/>
        <v>2021.010B.R.Binomial_names.zip</v>
      </c>
      <c r="U1062" s="43" t="str">
        <f>HYPERLINK("https://ictv.global/taxonomy/taxondetails?taxnode_id=202212094","ictv.global=202212094")</f>
        <v>ictv.global=202212094</v>
      </c>
    </row>
    <row r="1063" spans="1:21">
      <c r="A1063">
        <v>1062</v>
      </c>
      <c r="B1063" s="29" t="s">
        <v>3682</v>
      </c>
      <c r="C1063" s="29"/>
      <c r="D1063" s="29" t="s">
        <v>3683</v>
      </c>
      <c r="E1063" s="29"/>
      <c r="F1063" s="29" t="s">
        <v>3686</v>
      </c>
      <c r="G1063" s="29"/>
      <c r="H1063" s="29" t="s">
        <v>3687</v>
      </c>
      <c r="I1063" s="29"/>
      <c r="J1063" s="29"/>
      <c r="K1063" s="29"/>
      <c r="L1063" s="29" t="s">
        <v>3852</v>
      </c>
      <c r="M1063" s="29" t="s">
        <v>3861</v>
      </c>
      <c r="N1063" s="29" t="s">
        <v>3862</v>
      </c>
      <c r="O1063" s="29"/>
      <c r="P1063" s="29" t="s">
        <v>8062</v>
      </c>
      <c r="Q1063" t="s">
        <v>2038</v>
      </c>
      <c r="R1063" t="s">
        <v>2633</v>
      </c>
      <c r="S1063">
        <v>37</v>
      </c>
      <c r="T1063" s="43" t="str">
        <f t="shared" si="45"/>
        <v>2021.010B.R.Binomial_names.zip</v>
      </c>
      <c r="U1063" s="43" t="str">
        <f>HYPERLINK("https://ictv.global/taxonomy/taxondetails?taxnode_id=202212093","ictv.global=202212093")</f>
        <v>ictv.global=202212093</v>
      </c>
    </row>
    <row r="1064" spans="1:21">
      <c r="A1064">
        <v>1063</v>
      </c>
      <c r="B1064" s="29" t="s">
        <v>3682</v>
      </c>
      <c r="C1064" s="29"/>
      <c r="D1064" s="29" t="s">
        <v>3683</v>
      </c>
      <c r="E1064" s="29"/>
      <c r="F1064" s="29" t="s">
        <v>3686</v>
      </c>
      <c r="G1064" s="29"/>
      <c r="H1064" s="29" t="s">
        <v>3687</v>
      </c>
      <c r="I1064" s="29"/>
      <c r="J1064" s="29"/>
      <c r="K1064" s="29"/>
      <c r="L1064" s="29" t="s">
        <v>3852</v>
      </c>
      <c r="M1064" s="29" t="s">
        <v>3861</v>
      </c>
      <c r="N1064" s="29" t="s">
        <v>3862</v>
      </c>
      <c r="O1064" s="29"/>
      <c r="P1064" s="29" t="s">
        <v>8063</v>
      </c>
      <c r="Q1064" t="s">
        <v>2038</v>
      </c>
      <c r="R1064" t="s">
        <v>2633</v>
      </c>
      <c r="S1064">
        <v>37</v>
      </c>
      <c r="T1064" s="43" t="str">
        <f t="shared" si="45"/>
        <v>2021.010B.R.Binomial_names.zip</v>
      </c>
      <c r="U1064" s="43" t="str">
        <f>HYPERLINK("https://ictv.global/taxonomy/taxondetails?taxnode_id=202208132","ictv.global=202208132")</f>
        <v>ictv.global=202208132</v>
      </c>
    </row>
    <row r="1065" spans="1:21">
      <c r="A1065">
        <v>1064</v>
      </c>
      <c r="B1065" s="29" t="s">
        <v>3682</v>
      </c>
      <c r="C1065" s="29"/>
      <c r="D1065" s="29" t="s">
        <v>3683</v>
      </c>
      <c r="E1065" s="29"/>
      <c r="F1065" s="29" t="s">
        <v>3686</v>
      </c>
      <c r="G1065" s="29"/>
      <c r="H1065" s="29" t="s">
        <v>3687</v>
      </c>
      <c r="I1065" s="29"/>
      <c r="J1065" s="29"/>
      <c r="K1065" s="29"/>
      <c r="L1065" s="29" t="s">
        <v>3852</v>
      </c>
      <c r="M1065" s="29" t="s">
        <v>2075</v>
      </c>
      <c r="N1065" s="29" t="s">
        <v>3863</v>
      </c>
      <c r="O1065" s="29"/>
      <c r="P1065" s="29" t="s">
        <v>8064</v>
      </c>
      <c r="Q1065" t="s">
        <v>2038</v>
      </c>
      <c r="R1065" t="s">
        <v>2633</v>
      </c>
      <c r="S1065">
        <v>37</v>
      </c>
      <c r="T1065" s="43" t="str">
        <f t="shared" si="45"/>
        <v>2021.010B.R.Binomial_names.zip</v>
      </c>
      <c r="U1065" s="43" t="str">
        <f>HYPERLINK("https://ictv.global/taxonomy/taxondetails?taxnode_id=202208167","ictv.global=202208167")</f>
        <v>ictv.global=202208167</v>
      </c>
    </row>
    <row r="1066" spans="1:21">
      <c r="A1066">
        <v>1065</v>
      </c>
      <c r="B1066" s="29" t="s">
        <v>3682</v>
      </c>
      <c r="C1066" s="29"/>
      <c r="D1066" s="29" t="s">
        <v>3683</v>
      </c>
      <c r="E1066" s="29"/>
      <c r="F1066" s="29" t="s">
        <v>3686</v>
      </c>
      <c r="G1066" s="29"/>
      <c r="H1066" s="29" t="s">
        <v>3687</v>
      </c>
      <c r="I1066" s="29"/>
      <c r="J1066" s="29"/>
      <c r="K1066" s="29"/>
      <c r="L1066" s="29" t="s">
        <v>3852</v>
      </c>
      <c r="M1066" s="29" t="s">
        <v>2075</v>
      </c>
      <c r="N1066" s="29" t="s">
        <v>3498</v>
      </c>
      <c r="O1066" s="29"/>
      <c r="P1066" s="29" t="s">
        <v>8065</v>
      </c>
      <c r="Q1066" t="s">
        <v>2038</v>
      </c>
      <c r="R1066" t="s">
        <v>2633</v>
      </c>
      <c r="S1066">
        <v>37</v>
      </c>
      <c r="T1066" s="43" t="str">
        <f t="shared" si="45"/>
        <v>2021.010B.R.Binomial_names.zip</v>
      </c>
      <c r="U1066" s="43" t="str">
        <f>HYPERLINK("https://ictv.global/taxonomy/taxondetails?taxnode_id=202207071","ictv.global=202207071")</f>
        <v>ictv.global=202207071</v>
      </c>
    </row>
    <row r="1067" spans="1:21">
      <c r="A1067">
        <v>1066</v>
      </c>
      <c r="B1067" s="29" t="s">
        <v>3682</v>
      </c>
      <c r="C1067" s="29"/>
      <c r="D1067" s="29" t="s">
        <v>3683</v>
      </c>
      <c r="E1067" s="29"/>
      <c r="F1067" s="29" t="s">
        <v>3686</v>
      </c>
      <c r="G1067" s="29"/>
      <c r="H1067" s="29" t="s">
        <v>3687</v>
      </c>
      <c r="I1067" s="29"/>
      <c r="J1067" s="29"/>
      <c r="K1067" s="29"/>
      <c r="L1067" s="29" t="s">
        <v>3852</v>
      </c>
      <c r="M1067" s="29" t="s">
        <v>2075</v>
      </c>
      <c r="N1067" s="29" t="s">
        <v>3499</v>
      </c>
      <c r="O1067" s="29"/>
      <c r="P1067" s="29" t="s">
        <v>8066</v>
      </c>
      <c r="Q1067" t="s">
        <v>2038</v>
      </c>
      <c r="R1067" t="s">
        <v>2633</v>
      </c>
      <c r="S1067">
        <v>37</v>
      </c>
      <c r="T1067" s="43" t="str">
        <f t="shared" ref="T1067:T1098" si="46">HYPERLINK("https://ictv.global/ictv/proposals/2021.010B.R.Binomial_names.zip","2021.010B.R.Binomial_names.zip")</f>
        <v>2021.010B.R.Binomial_names.zip</v>
      </c>
      <c r="U1067" s="43" t="str">
        <f>HYPERLINK("https://ictv.global/taxonomy/taxondetails?taxnode_id=202200825","ictv.global=202200825")</f>
        <v>ictv.global=202200825</v>
      </c>
    </row>
    <row r="1068" spans="1:21">
      <c r="A1068">
        <v>1067</v>
      </c>
      <c r="B1068" s="29" t="s">
        <v>3682</v>
      </c>
      <c r="C1068" s="29"/>
      <c r="D1068" s="29" t="s">
        <v>3683</v>
      </c>
      <c r="E1068" s="29"/>
      <c r="F1068" s="29" t="s">
        <v>3686</v>
      </c>
      <c r="G1068" s="29"/>
      <c r="H1068" s="29" t="s">
        <v>3687</v>
      </c>
      <c r="I1068" s="29"/>
      <c r="J1068" s="29"/>
      <c r="K1068" s="29"/>
      <c r="L1068" s="29" t="s">
        <v>3852</v>
      </c>
      <c r="M1068" s="29" t="s">
        <v>2075</v>
      </c>
      <c r="N1068" s="29" t="s">
        <v>3499</v>
      </c>
      <c r="O1068" s="29"/>
      <c r="P1068" s="29" t="s">
        <v>8067</v>
      </c>
      <c r="Q1068" t="s">
        <v>2038</v>
      </c>
      <c r="R1068" t="s">
        <v>2633</v>
      </c>
      <c r="S1068">
        <v>37</v>
      </c>
      <c r="T1068" s="43" t="str">
        <f t="shared" si="46"/>
        <v>2021.010B.R.Binomial_names.zip</v>
      </c>
      <c r="U1068" s="43" t="str">
        <f>HYPERLINK("https://ictv.global/taxonomy/taxondetails?taxnode_id=202208160","ictv.global=202208160")</f>
        <v>ictv.global=202208160</v>
      </c>
    </row>
    <row r="1069" spans="1:21">
      <c r="A1069">
        <v>1068</v>
      </c>
      <c r="B1069" s="29" t="s">
        <v>3682</v>
      </c>
      <c r="C1069" s="29"/>
      <c r="D1069" s="29" t="s">
        <v>3683</v>
      </c>
      <c r="E1069" s="29"/>
      <c r="F1069" s="29" t="s">
        <v>3686</v>
      </c>
      <c r="G1069" s="29"/>
      <c r="H1069" s="29" t="s">
        <v>3687</v>
      </c>
      <c r="I1069" s="29"/>
      <c r="J1069" s="29"/>
      <c r="K1069" s="29"/>
      <c r="L1069" s="29" t="s">
        <v>3852</v>
      </c>
      <c r="M1069" s="29" t="s">
        <v>2075</v>
      </c>
      <c r="N1069" s="29" t="s">
        <v>3499</v>
      </c>
      <c r="O1069" s="29"/>
      <c r="P1069" s="29" t="s">
        <v>8068</v>
      </c>
      <c r="Q1069" t="s">
        <v>2038</v>
      </c>
      <c r="R1069" t="s">
        <v>2633</v>
      </c>
      <c r="S1069">
        <v>37</v>
      </c>
      <c r="T1069" s="43" t="str">
        <f t="shared" si="46"/>
        <v>2021.010B.R.Binomial_names.zip</v>
      </c>
      <c r="U1069" s="43" t="str">
        <f>HYPERLINK("https://ictv.global/taxonomy/taxondetails?taxnode_id=202212057","ictv.global=202212057")</f>
        <v>ictv.global=202212057</v>
      </c>
    </row>
    <row r="1070" spans="1:21">
      <c r="A1070">
        <v>1069</v>
      </c>
      <c r="B1070" s="29" t="s">
        <v>3682</v>
      </c>
      <c r="C1070" s="29"/>
      <c r="D1070" s="29" t="s">
        <v>3683</v>
      </c>
      <c r="E1070" s="29"/>
      <c r="F1070" s="29" t="s">
        <v>3686</v>
      </c>
      <c r="G1070" s="29"/>
      <c r="H1070" s="29" t="s">
        <v>3687</v>
      </c>
      <c r="I1070" s="29"/>
      <c r="J1070" s="29"/>
      <c r="K1070" s="29"/>
      <c r="L1070" s="29" t="s">
        <v>3852</v>
      </c>
      <c r="M1070" s="29" t="s">
        <v>2075</v>
      </c>
      <c r="N1070" s="29" t="s">
        <v>3499</v>
      </c>
      <c r="O1070" s="29"/>
      <c r="P1070" s="29" t="s">
        <v>8069</v>
      </c>
      <c r="Q1070" t="s">
        <v>2038</v>
      </c>
      <c r="R1070" t="s">
        <v>2633</v>
      </c>
      <c r="S1070">
        <v>37</v>
      </c>
      <c r="T1070" s="43" t="str">
        <f t="shared" si="46"/>
        <v>2021.010B.R.Binomial_names.zip</v>
      </c>
      <c r="U1070" s="43" t="str">
        <f>HYPERLINK("https://ictv.global/taxonomy/taxondetails?taxnode_id=202208164","ictv.global=202208164")</f>
        <v>ictv.global=202208164</v>
      </c>
    </row>
    <row r="1071" spans="1:21">
      <c r="A1071">
        <v>1070</v>
      </c>
      <c r="B1071" s="29" t="s">
        <v>3682</v>
      </c>
      <c r="C1071" s="29"/>
      <c r="D1071" s="29" t="s">
        <v>3683</v>
      </c>
      <c r="E1071" s="29"/>
      <c r="F1071" s="29" t="s">
        <v>3686</v>
      </c>
      <c r="G1071" s="29"/>
      <c r="H1071" s="29" t="s">
        <v>3687</v>
      </c>
      <c r="I1071" s="29"/>
      <c r="J1071" s="29"/>
      <c r="K1071" s="29"/>
      <c r="L1071" s="29" t="s">
        <v>3852</v>
      </c>
      <c r="M1071" s="29" t="s">
        <v>2075</v>
      </c>
      <c r="N1071" s="29" t="s">
        <v>3499</v>
      </c>
      <c r="O1071" s="29"/>
      <c r="P1071" s="29" t="s">
        <v>8070</v>
      </c>
      <c r="Q1071" t="s">
        <v>2038</v>
      </c>
      <c r="R1071" t="s">
        <v>2633</v>
      </c>
      <c r="S1071">
        <v>37</v>
      </c>
      <c r="T1071" s="43" t="str">
        <f t="shared" si="46"/>
        <v>2021.010B.R.Binomial_names.zip</v>
      </c>
      <c r="U1071" s="43" t="str">
        <f>HYPERLINK("https://ictv.global/taxonomy/taxondetails?taxnode_id=202208161","ictv.global=202208161")</f>
        <v>ictv.global=202208161</v>
      </c>
    </row>
    <row r="1072" spans="1:21">
      <c r="A1072">
        <v>1071</v>
      </c>
      <c r="B1072" s="29" t="s">
        <v>3682</v>
      </c>
      <c r="C1072" s="29"/>
      <c r="D1072" s="29" t="s">
        <v>3683</v>
      </c>
      <c r="E1072" s="29"/>
      <c r="F1072" s="29" t="s">
        <v>3686</v>
      </c>
      <c r="G1072" s="29"/>
      <c r="H1072" s="29" t="s">
        <v>3687</v>
      </c>
      <c r="I1072" s="29"/>
      <c r="J1072" s="29"/>
      <c r="K1072" s="29"/>
      <c r="L1072" s="29" t="s">
        <v>3852</v>
      </c>
      <c r="M1072" s="29" t="s">
        <v>2075</v>
      </c>
      <c r="N1072" s="29" t="s">
        <v>3499</v>
      </c>
      <c r="O1072" s="29"/>
      <c r="P1072" s="29" t="s">
        <v>8071</v>
      </c>
      <c r="Q1072" t="s">
        <v>2038</v>
      </c>
      <c r="R1072" t="s">
        <v>2633</v>
      </c>
      <c r="S1072">
        <v>37</v>
      </c>
      <c r="T1072" s="43" t="str">
        <f t="shared" si="46"/>
        <v>2021.010B.R.Binomial_names.zip</v>
      </c>
      <c r="U1072" s="43" t="str">
        <f>HYPERLINK("https://ictv.global/taxonomy/taxondetails?taxnode_id=202207089","ictv.global=202207089")</f>
        <v>ictv.global=202207089</v>
      </c>
    </row>
    <row r="1073" spans="1:21">
      <c r="A1073">
        <v>1072</v>
      </c>
      <c r="B1073" s="29" t="s">
        <v>3682</v>
      </c>
      <c r="C1073" s="29"/>
      <c r="D1073" s="29" t="s">
        <v>3683</v>
      </c>
      <c r="E1073" s="29"/>
      <c r="F1073" s="29" t="s">
        <v>3686</v>
      </c>
      <c r="G1073" s="29"/>
      <c r="H1073" s="29" t="s">
        <v>3687</v>
      </c>
      <c r="I1073" s="29"/>
      <c r="J1073" s="29"/>
      <c r="K1073" s="29"/>
      <c r="L1073" s="29" t="s">
        <v>3852</v>
      </c>
      <c r="M1073" s="29" t="s">
        <v>2075</v>
      </c>
      <c r="N1073" s="29" t="s">
        <v>3499</v>
      </c>
      <c r="O1073" s="29"/>
      <c r="P1073" s="29" t="s">
        <v>8072</v>
      </c>
      <c r="Q1073" t="s">
        <v>2038</v>
      </c>
      <c r="R1073" t="s">
        <v>2633</v>
      </c>
      <c r="S1073">
        <v>37</v>
      </c>
      <c r="T1073" s="43" t="str">
        <f t="shared" si="46"/>
        <v>2021.010B.R.Binomial_names.zip</v>
      </c>
      <c r="U1073" s="43" t="str">
        <f>HYPERLINK("https://ictv.global/taxonomy/taxondetails?taxnode_id=202200826","ictv.global=202200826")</f>
        <v>ictv.global=202200826</v>
      </c>
    </row>
    <row r="1074" spans="1:21">
      <c r="A1074">
        <v>1073</v>
      </c>
      <c r="B1074" s="29" t="s">
        <v>3682</v>
      </c>
      <c r="C1074" s="29"/>
      <c r="D1074" s="29" t="s">
        <v>3683</v>
      </c>
      <c r="E1074" s="29"/>
      <c r="F1074" s="29" t="s">
        <v>3686</v>
      </c>
      <c r="G1074" s="29"/>
      <c r="H1074" s="29" t="s">
        <v>3687</v>
      </c>
      <c r="I1074" s="29"/>
      <c r="J1074" s="29"/>
      <c r="K1074" s="29"/>
      <c r="L1074" s="29" t="s">
        <v>3852</v>
      </c>
      <c r="M1074" s="29" t="s">
        <v>2075</v>
      </c>
      <c r="N1074" s="29" t="s">
        <v>3499</v>
      </c>
      <c r="O1074" s="29"/>
      <c r="P1074" s="29" t="s">
        <v>8073</v>
      </c>
      <c r="Q1074" t="s">
        <v>2038</v>
      </c>
      <c r="R1074" t="s">
        <v>2633</v>
      </c>
      <c r="S1074">
        <v>37</v>
      </c>
      <c r="T1074" s="43" t="str">
        <f t="shared" si="46"/>
        <v>2021.010B.R.Binomial_names.zip</v>
      </c>
      <c r="U1074" s="43" t="str">
        <f>HYPERLINK("https://ictv.global/taxonomy/taxondetails?taxnode_id=202200827","ictv.global=202200827")</f>
        <v>ictv.global=202200827</v>
      </c>
    </row>
    <row r="1075" spans="1:21">
      <c r="A1075">
        <v>1074</v>
      </c>
      <c r="B1075" s="29" t="s">
        <v>3682</v>
      </c>
      <c r="C1075" s="29"/>
      <c r="D1075" s="29" t="s">
        <v>3683</v>
      </c>
      <c r="E1075" s="29"/>
      <c r="F1075" s="29" t="s">
        <v>3686</v>
      </c>
      <c r="G1075" s="29"/>
      <c r="H1075" s="29" t="s">
        <v>3687</v>
      </c>
      <c r="I1075" s="29"/>
      <c r="J1075" s="29"/>
      <c r="K1075" s="29"/>
      <c r="L1075" s="29" t="s">
        <v>3852</v>
      </c>
      <c r="M1075" s="29" t="s">
        <v>2075</v>
      </c>
      <c r="N1075" s="29" t="s">
        <v>3499</v>
      </c>
      <c r="O1075" s="29"/>
      <c r="P1075" s="29" t="s">
        <v>8074</v>
      </c>
      <c r="Q1075" t="s">
        <v>2038</v>
      </c>
      <c r="R1075" t="s">
        <v>2633</v>
      </c>
      <c r="S1075">
        <v>37</v>
      </c>
      <c r="T1075" s="43" t="str">
        <f t="shared" si="46"/>
        <v>2021.010B.R.Binomial_names.zip</v>
      </c>
      <c r="U1075" s="43" t="str">
        <f>HYPERLINK("https://ictv.global/taxonomy/taxondetails?taxnode_id=202200829","ictv.global=202200829")</f>
        <v>ictv.global=202200829</v>
      </c>
    </row>
    <row r="1076" spans="1:21">
      <c r="A1076">
        <v>1075</v>
      </c>
      <c r="B1076" s="29" t="s">
        <v>3682</v>
      </c>
      <c r="C1076" s="29"/>
      <c r="D1076" s="29" t="s">
        <v>3683</v>
      </c>
      <c r="E1076" s="29"/>
      <c r="F1076" s="29" t="s">
        <v>3686</v>
      </c>
      <c r="G1076" s="29"/>
      <c r="H1076" s="29" t="s">
        <v>3687</v>
      </c>
      <c r="I1076" s="29"/>
      <c r="J1076" s="29"/>
      <c r="K1076" s="29"/>
      <c r="L1076" s="29" t="s">
        <v>3852</v>
      </c>
      <c r="M1076" s="29" t="s">
        <v>2075</v>
      </c>
      <c r="N1076" s="29" t="s">
        <v>3499</v>
      </c>
      <c r="O1076" s="29"/>
      <c r="P1076" s="29" t="s">
        <v>8075</v>
      </c>
      <c r="Q1076" t="s">
        <v>2038</v>
      </c>
      <c r="R1076" t="s">
        <v>2633</v>
      </c>
      <c r="S1076">
        <v>37</v>
      </c>
      <c r="T1076" s="43" t="str">
        <f t="shared" si="46"/>
        <v>2021.010B.R.Binomial_names.zip</v>
      </c>
      <c r="U1076" s="43" t="str">
        <f>HYPERLINK("https://ictv.global/taxonomy/taxondetails?taxnode_id=202208163","ictv.global=202208163")</f>
        <v>ictv.global=202208163</v>
      </c>
    </row>
    <row r="1077" spans="1:21">
      <c r="A1077">
        <v>1076</v>
      </c>
      <c r="B1077" s="29" t="s">
        <v>3682</v>
      </c>
      <c r="C1077" s="29"/>
      <c r="D1077" s="29" t="s">
        <v>3683</v>
      </c>
      <c r="E1077" s="29"/>
      <c r="F1077" s="29" t="s">
        <v>3686</v>
      </c>
      <c r="G1077" s="29"/>
      <c r="H1077" s="29" t="s">
        <v>3687</v>
      </c>
      <c r="I1077" s="29"/>
      <c r="J1077" s="29"/>
      <c r="K1077" s="29"/>
      <c r="L1077" s="29" t="s">
        <v>3852</v>
      </c>
      <c r="M1077" s="29" t="s">
        <v>2075</v>
      </c>
      <c r="N1077" s="29" t="s">
        <v>3499</v>
      </c>
      <c r="O1077" s="29"/>
      <c r="P1077" s="29" t="s">
        <v>8076</v>
      </c>
      <c r="Q1077" t="s">
        <v>2038</v>
      </c>
      <c r="R1077" t="s">
        <v>2633</v>
      </c>
      <c r="S1077">
        <v>37</v>
      </c>
      <c r="T1077" s="43" t="str">
        <f t="shared" si="46"/>
        <v>2021.010B.R.Binomial_names.zip</v>
      </c>
      <c r="U1077" s="43" t="str">
        <f>HYPERLINK("https://ictv.global/taxonomy/taxondetails?taxnode_id=202212056","ictv.global=202212056")</f>
        <v>ictv.global=202212056</v>
      </c>
    </row>
    <row r="1078" spans="1:21">
      <c r="A1078">
        <v>1077</v>
      </c>
      <c r="B1078" s="29" t="s">
        <v>3682</v>
      </c>
      <c r="C1078" s="29"/>
      <c r="D1078" s="29" t="s">
        <v>3683</v>
      </c>
      <c r="E1078" s="29"/>
      <c r="F1078" s="29" t="s">
        <v>3686</v>
      </c>
      <c r="G1078" s="29"/>
      <c r="H1078" s="29" t="s">
        <v>3687</v>
      </c>
      <c r="I1078" s="29"/>
      <c r="J1078" s="29"/>
      <c r="K1078" s="29"/>
      <c r="L1078" s="29" t="s">
        <v>3852</v>
      </c>
      <c r="M1078" s="29" t="s">
        <v>2075</v>
      </c>
      <c r="N1078" s="29" t="s">
        <v>3499</v>
      </c>
      <c r="O1078" s="29"/>
      <c r="P1078" s="29" t="s">
        <v>8077</v>
      </c>
      <c r="Q1078" t="s">
        <v>2038</v>
      </c>
      <c r="R1078" t="s">
        <v>2633</v>
      </c>
      <c r="S1078">
        <v>37</v>
      </c>
      <c r="T1078" s="43" t="str">
        <f t="shared" si="46"/>
        <v>2021.010B.R.Binomial_names.zip</v>
      </c>
      <c r="U1078" s="43" t="str">
        <f>HYPERLINK("https://ictv.global/taxonomy/taxondetails?taxnode_id=202208165","ictv.global=202208165")</f>
        <v>ictv.global=202208165</v>
      </c>
    </row>
    <row r="1079" spans="1:21">
      <c r="A1079">
        <v>1078</v>
      </c>
      <c r="B1079" s="29" t="s">
        <v>3682</v>
      </c>
      <c r="C1079" s="29"/>
      <c r="D1079" s="29" t="s">
        <v>3683</v>
      </c>
      <c r="E1079" s="29"/>
      <c r="F1079" s="29" t="s">
        <v>3686</v>
      </c>
      <c r="G1079" s="29"/>
      <c r="H1079" s="29" t="s">
        <v>3687</v>
      </c>
      <c r="I1079" s="29"/>
      <c r="J1079" s="29"/>
      <c r="K1079" s="29"/>
      <c r="L1079" s="29" t="s">
        <v>3852</v>
      </c>
      <c r="M1079" s="29" t="s">
        <v>2075</v>
      </c>
      <c r="N1079" s="29" t="s">
        <v>3499</v>
      </c>
      <c r="O1079" s="29"/>
      <c r="P1079" s="29" t="s">
        <v>8078</v>
      </c>
      <c r="Q1079" t="s">
        <v>2038</v>
      </c>
      <c r="R1079" t="s">
        <v>2633</v>
      </c>
      <c r="S1079">
        <v>37</v>
      </c>
      <c r="T1079" s="43" t="str">
        <f t="shared" si="46"/>
        <v>2021.010B.R.Binomial_names.zip</v>
      </c>
      <c r="U1079" s="43" t="str">
        <f>HYPERLINK("https://ictv.global/taxonomy/taxondetails?taxnode_id=202208159","ictv.global=202208159")</f>
        <v>ictv.global=202208159</v>
      </c>
    </row>
    <row r="1080" spans="1:21">
      <c r="A1080">
        <v>1079</v>
      </c>
      <c r="B1080" s="29" t="s">
        <v>3682</v>
      </c>
      <c r="C1080" s="29"/>
      <c r="D1080" s="29" t="s">
        <v>3683</v>
      </c>
      <c r="E1080" s="29"/>
      <c r="F1080" s="29" t="s">
        <v>3686</v>
      </c>
      <c r="G1080" s="29"/>
      <c r="H1080" s="29" t="s">
        <v>3687</v>
      </c>
      <c r="I1080" s="29"/>
      <c r="J1080" s="29"/>
      <c r="K1080" s="29"/>
      <c r="L1080" s="29" t="s">
        <v>3852</v>
      </c>
      <c r="M1080" s="29" t="s">
        <v>2075</v>
      </c>
      <c r="N1080" s="29" t="s">
        <v>3499</v>
      </c>
      <c r="O1080" s="29"/>
      <c r="P1080" s="29" t="s">
        <v>8079</v>
      </c>
      <c r="Q1080" t="s">
        <v>2038</v>
      </c>
      <c r="R1080" t="s">
        <v>2633</v>
      </c>
      <c r="S1080">
        <v>37</v>
      </c>
      <c r="T1080" s="43" t="str">
        <f t="shared" si="46"/>
        <v>2021.010B.R.Binomial_names.zip</v>
      </c>
      <c r="U1080" s="43" t="str">
        <f>HYPERLINK("https://ictv.global/taxonomy/taxondetails?taxnode_id=202200830","ictv.global=202200830")</f>
        <v>ictv.global=202200830</v>
      </c>
    </row>
    <row r="1081" spans="1:21">
      <c r="A1081">
        <v>1080</v>
      </c>
      <c r="B1081" s="29" t="s">
        <v>3682</v>
      </c>
      <c r="C1081" s="29"/>
      <c r="D1081" s="29" t="s">
        <v>3683</v>
      </c>
      <c r="E1081" s="29"/>
      <c r="F1081" s="29" t="s">
        <v>3686</v>
      </c>
      <c r="G1081" s="29"/>
      <c r="H1081" s="29" t="s">
        <v>3687</v>
      </c>
      <c r="I1081" s="29"/>
      <c r="J1081" s="29"/>
      <c r="K1081" s="29"/>
      <c r="L1081" s="29" t="s">
        <v>3852</v>
      </c>
      <c r="M1081" s="29" t="s">
        <v>2075</v>
      </c>
      <c r="N1081" s="29" t="s">
        <v>3499</v>
      </c>
      <c r="O1081" s="29"/>
      <c r="P1081" s="29" t="s">
        <v>8080</v>
      </c>
      <c r="Q1081" t="s">
        <v>2038</v>
      </c>
      <c r="R1081" t="s">
        <v>2633</v>
      </c>
      <c r="S1081">
        <v>37</v>
      </c>
      <c r="T1081" s="43" t="str">
        <f t="shared" si="46"/>
        <v>2021.010B.R.Binomial_names.zip</v>
      </c>
      <c r="U1081" s="43" t="str">
        <f>HYPERLINK("https://ictv.global/taxonomy/taxondetails?taxnode_id=202200828","ictv.global=202200828")</f>
        <v>ictv.global=202200828</v>
      </c>
    </row>
    <row r="1082" spans="1:21">
      <c r="A1082">
        <v>1081</v>
      </c>
      <c r="B1082" s="29" t="s">
        <v>3682</v>
      </c>
      <c r="C1082" s="29"/>
      <c r="D1082" s="29" t="s">
        <v>3683</v>
      </c>
      <c r="E1082" s="29"/>
      <c r="F1082" s="29" t="s">
        <v>3686</v>
      </c>
      <c r="G1082" s="29"/>
      <c r="H1082" s="29" t="s">
        <v>3687</v>
      </c>
      <c r="I1082" s="29"/>
      <c r="J1082" s="29"/>
      <c r="K1082" s="29"/>
      <c r="L1082" s="29" t="s">
        <v>3852</v>
      </c>
      <c r="M1082" s="29" t="s">
        <v>2075</v>
      </c>
      <c r="N1082" s="29" t="s">
        <v>3499</v>
      </c>
      <c r="O1082" s="29"/>
      <c r="P1082" s="29" t="s">
        <v>8081</v>
      </c>
      <c r="Q1082" t="s">
        <v>2038</v>
      </c>
      <c r="R1082" t="s">
        <v>2633</v>
      </c>
      <c r="S1082">
        <v>37</v>
      </c>
      <c r="T1082" s="43" t="str">
        <f t="shared" si="46"/>
        <v>2021.010B.R.Binomial_names.zip</v>
      </c>
      <c r="U1082" s="43" t="str">
        <f>HYPERLINK("https://ictv.global/taxonomy/taxondetails?taxnode_id=202208162","ictv.global=202208162")</f>
        <v>ictv.global=202208162</v>
      </c>
    </row>
    <row r="1083" spans="1:21">
      <c r="A1083">
        <v>1082</v>
      </c>
      <c r="B1083" s="29" t="s">
        <v>3682</v>
      </c>
      <c r="C1083" s="29"/>
      <c r="D1083" s="29" t="s">
        <v>3683</v>
      </c>
      <c r="E1083" s="29"/>
      <c r="F1083" s="29" t="s">
        <v>3686</v>
      </c>
      <c r="G1083" s="29"/>
      <c r="H1083" s="29" t="s">
        <v>3687</v>
      </c>
      <c r="I1083" s="29"/>
      <c r="J1083" s="29"/>
      <c r="K1083" s="29"/>
      <c r="L1083" s="29" t="s">
        <v>3852</v>
      </c>
      <c r="M1083" s="29"/>
      <c r="N1083" s="29" t="s">
        <v>3495</v>
      </c>
      <c r="O1083" s="29"/>
      <c r="P1083" s="29" t="s">
        <v>8082</v>
      </c>
      <c r="Q1083" t="s">
        <v>2038</v>
      </c>
      <c r="R1083" t="s">
        <v>2633</v>
      </c>
      <c r="S1083">
        <v>37</v>
      </c>
      <c r="T1083" s="43" t="str">
        <f t="shared" si="46"/>
        <v>2021.010B.R.Binomial_names.zip</v>
      </c>
      <c r="U1083" s="43" t="str">
        <f>HYPERLINK("https://ictv.global/taxonomy/taxondetails?taxnode_id=202207067","ictv.global=202207067")</f>
        <v>ictv.global=202207067</v>
      </c>
    </row>
    <row r="1084" spans="1:21">
      <c r="A1084">
        <v>1083</v>
      </c>
      <c r="B1084" s="29" t="s">
        <v>3682</v>
      </c>
      <c r="C1084" s="29"/>
      <c r="D1084" s="29" t="s">
        <v>3683</v>
      </c>
      <c r="E1084" s="29"/>
      <c r="F1084" s="29" t="s">
        <v>3686</v>
      </c>
      <c r="G1084" s="29"/>
      <c r="H1084" s="29" t="s">
        <v>3687</v>
      </c>
      <c r="I1084" s="29"/>
      <c r="J1084" s="29"/>
      <c r="K1084" s="29"/>
      <c r="L1084" s="29" t="s">
        <v>3852</v>
      </c>
      <c r="M1084" s="29"/>
      <c r="N1084" s="29" t="s">
        <v>4509</v>
      </c>
      <c r="O1084" s="29"/>
      <c r="P1084" s="29" t="s">
        <v>8083</v>
      </c>
      <c r="Q1084" t="s">
        <v>2038</v>
      </c>
      <c r="R1084" t="s">
        <v>2633</v>
      </c>
      <c r="S1084">
        <v>37</v>
      </c>
      <c r="T1084" s="43" t="str">
        <f t="shared" si="46"/>
        <v>2021.010B.R.Binomial_names.zip</v>
      </c>
      <c r="U1084" s="43" t="str">
        <f>HYPERLINK("https://ictv.global/taxonomy/taxondetails?taxnode_id=202209977","ictv.global=202209977")</f>
        <v>ictv.global=202209977</v>
      </c>
    </row>
    <row r="1085" spans="1:21">
      <c r="A1085">
        <v>1084</v>
      </c>
      <c r="B1085" s="29" t="s">
        <v>3682</v>
      </c>
      <c r="C1085" s="29"/>
      <c r="D1085" s="29" t="s">
        <v>3683</v>
      </c>
      <c r="E1085" s="29"/>
      <c r="F1085" s="29" t="s">
        <v>3686</v>
      </c>
      <c r="G1085" s="29"/>
      <c r="H1085" s="29" t="s">
        <v>3687</v>
      </c>
      <c r="I1085" s="29"/>
      <c r="J1085" s="29"/>
      <c r="K1085" s="29"/>
      <c r="L1085" s="29" t="s">
        <v>3852</v>
      </c>
      <c r="M1085" s="29"/>
      <c r="N1085" s="29" t="s">
        <v>4510</v>
      </c>
      <c r="O1085" s="29"/>
      <c r="P1085" s="29" t="s">
        <v>8084</v>
      </c>
      <c r="Q1085" t="s">
        <v>2038</v>
      </c>
      <c r="R1085" t="s">
        <v>2633</v>
      </c>
      <c r="S1085">
        <v>37</v>
      </c>
      <c r="T1085" s="43" t="str">
        <f t="shared" si="46"/>
        <v>2021.010B.R.Binomial_names.zip</v>
      </c>
      <c r="U1085" s="43" t="str">
        <f>HYPERLINK("https://ictv.global/taxonomy/taxondetails?taxnode_id=202209979","ictv.global=202209979")</f>
        <v>ictv.global=202209979</v>
      </c>
    </row>
    <row r="1086" spans="1:21">
      <c r="A1086">
        <v>1085</v>
      </c>
      <c r="B1086" s="29" t="s">
        <v>3682</v>
      </c>
      <c r="C1086" s="29"/>
      <c r="D1086" s="29" t="s">
        <v>3683</v>
      </c>
      <c r="E1086" s="29"/>
      <c r="F1086" s="29" t="s">
        <v>3686</v>
      </c>
      <c r="G1086" s="29"/>
      <c r="H1086" s="29" t="s">
        <v>3687</v>
      </c>
      <c r="I1086" s="29"/>
      <c r="J1086" s="29"/>
      <c r="K1086" s="29"/>
      <c r="L1086" s="29" t="s">
        <v>3852</v>
      </c>
      <c r="M1086" s="29"/>
      <c r="N1086" s="29" t="s">
        <v>4511</v>
      </c>
      <c r="O1086" s="29"/>
      <c r="P1086" s="29" t="s">
        <v>8085</v>
      </c>
      <c r="Q1086" t="s">
        <v>2038</v>
      </c>
      <c r="R1086" t="s">
        <v>2633</v>
      </c>
      <c r="S1086">
        <v>37</v>
      </c>
      <c r="T1086" s="43" t="str">
        <f t="shared" si="46"/>
        <v>2021.010B.R.Binomial_names.zip</v>
      </c>
      <c r="U1086" s="43" t="str">
        <f>HYPERLINK("https://ictv.global/taxonomy/taxondetails?taxnode_id=202209981","ictv.global=202209981")</f>
        <v>ictv.global=202209981</v>
      </c>
    </row>
    <row r="1087" spans="1:21">
      <c r="A1087">
        <v>1086</v>
      </c>
      <c r="B1087" s="29" t="s">
        <v>3682</v>
      </c>
      <c r="C1087" s="29"/>
      <c r="D1087" s="29" t="s">
        <v>3683</v>
      </c>
      <c r="E1087" s="29"/>
      <c r="F1087" s="29" t="s">
        <v>3686</v>
      </c>
      <c r="G1087" s="29"/>
      <c r="H1087" s="29" t="s">
        <v>3687</v>
      </c>
      <c r="I1087" s="29"/>
      <c r="J1087" s="29"/>
      <c r="K1087" s="29"/>
      <c r="L1087" s="29" t="s">
        <v>3852</v>
      </c>
      <c r="M1087" s="29"/>
      <c r="N1087" s="29" t="s">
        <v>4511</v>
      </c>
      <c r="O1087" s="29"/>
      <c r="P1087" s="29" t="s">
        <v>8086</v>
      </c>
      <c r="Q1087" t="s">
        <v>2038</v>
      </c>
      <c r="R1087" t="s">
        <v>2633</v>
      </c>
      <c r="S1087">
        <v>37</v>
      </c>
      <c r="T1087" s="43" t="str">
        <f t="shared" si="46"/>
        <v>2021.010B.R.Binomial_names.zip</v>
      </c>
      <c r="U1087" s="43" t="str">
        <f>HYPERLINK("https://ictv.global/taxonomy/taxondetails?taxnode_id=202200836","ictv.global=202200836")</f>
        <v>ictv.global=202200836</v>
      </c>
    </row>
    <row r="1088" spans="1:21">
      <c r="A1088">
        <v>1087</v>
      </c>
      <c r="B1088" s="29" t="s">
        <v>3682</v>
      </c>
      <c r="C1088" s="29"/>
      <c r="D1088" s="29" t="s">
        <v>3683</v>
      </c>
      <c r="E1088" s="29"/>
      <c r="F1088" s="29" t="s">
        <v>3686</v>
      </c>
      <c r="G1088" s="29"/>
      <c r="H1088" s="29" t="s">
        <v>3687</v>
      </c>
      <c r="I1088" s="29"/>
      <c r="J1088" s="29"/>
      <c r="K1088" s="29"/>
      <c r="L1088" s="29" t="s">
        <v>3852</v>
      </c>
      <c r="M1088" s="29"/>
      <c r="N1088" s="29" t="s">
        <v>3864</v>
      </c>
      <c r="O1088" s="29"/>
      <c r="P1088" s="29" t="s">
        <v>8087</v>
      </c>
      <c r="Q1088" t="s">
        <v>2038</v>
      </c>
      <c r="R1088" t="s">
        <v>2633</v>
      </c>
      <c r="S1088">
        <v>37</v>
      </c>
      <c r="T1088" s="43" t="str">
        <f t="shared" si="46"/>
        <v>2021.010B.R.Binomial_names.zip</v>
      </c>
      <c r="U1088" s="43" t="str">
        <f>HYPERLINK("https://ictv.global/taxonomy/taxondetails?taxnode_id=202208172","ictv.global=202208172")</f>
        <v>ictv.global=202208172</v>
      </c>
    </row>
    <row r="1089" spans="1:21">
      <c r="A1089">
        <v>1088</v>
      </c>
      <c r="B1089" s="29" t="s">
        <v>3682</v>
      </c>
      <c r="C1089" s="29"/>
      <c r="D1089" s="29" t="s">
        <v>3683</v>
      </c>
      <c r="E1089" s="29"/>
      <c r="F1089" s="29" t="s">
        <v>3686</v>
      </c>
      <c r="G1089" s="29"/>
      <c r="H1089" s="29" t="s">
        <v>3687</v>
      </c>
      <c r="I1089" s="29"/>
      <c r="J1089" s="29"/>
      <c r="K1089" s="29"/>
      <c r="L1089" s="29" t="s">
        <v>3852</v>
      </c>
      <c r="M1089" s="29"/>
      <c r="N1089" s="29" t="s">
        <v>3865</v>
      </c>
      <c r="O1089" s="29"/>
      <c r="P1089" s="29" t="s">
        <v>8088</v>
      </c>
      <c r="Q1089" t="s">
        <v>2038</v>
      </c>
      <c r="R1089" t="s">
        <v>2633</v>
      </c>
      <c r="S1089">
        <v>37</v>
      </c>
      <c r="T1089" s="43" t="str">
        <f t="shared" si="46"/>
        <v>2021.010B.R.Binomial_names.zip</v>
      </c>
      <c r="U1089" s="43" t="str">
        <f>HYPERLINK("https://ictv.global/taxonomy/taxondetails?taxnode_id=202208174","ictv.global=202208174")</f>
        <v>ictv.global=202208174</v>
      </c>
    </row>
    <row r="1090" spans="1:21">
      <c r="A1090">
        <v>1089</v>
      </c>
      <c r="B1090" s="29" t="s">
        <v>3682</v>
      </c>
      <c r="C1090" s="29"/>
      <c r="D1090" s="29" t="s">
        <v>3683</v>
      </c>
      <c r="E1090" s="29"/>
      <c r="F1090" s="29" t="s">
        <v>3686</v>
      </c>
      <c r="G1090" s="29"/>
      <c r="H1090" s="29" t="s">
        <v>3687</v>
      </c>
      <c r="I1090" s="29"/>
      <c r="J1090" s="29"/>
      <c r="K1090" s="29"/>
      <c r="L1090" s="29" t="s">
        <v>3852</v>
      </c>
      <c r="M1090" s="29"/>
      <c r="N1090" s="29" t="s">
        <v>3866</v>
      </c>
      <c r="O1090" s="29"/>
      <c r="P1090" s="29" t="s">
        <v>8089</v>
      </c>
      <c r="Q1090" t="s">
        <v>2038</v>
      </c>
      <c r="R1090" t="s">
        <v>2633</v>
      </c>
      <c r="S1090">
        <v>37</v>
      </c>
      <c r="T1090" s="43" t="str">
        <f t="shared" si="46"/>
        <v>2021.010B.R.Binomial_names.zip</v>
      </c>
      <c r="U1090" s="43" t="str">
        <f>HYPERLINK("https://ictv.global/taxonomy/taxondetails?taxnode_id=202208717","ictv.global=202208717")</f>
        <v>ictv.global=202208717</v>
      </c>
    </row>
    <row r="1091" spans="1:21">
      <c r="A1091">
        <v>1090</v>
      </c>
      <c r="B1091" s="29" t="s">
        <v>3682</v>
      </c>
      <c r="C1091" s="29"/>
      <c r="D1091" s="29" t="s">
        <v>3683</v>
      </c>
      <c r="E1091" s="29"/>
      <c r="F1091" s="29" t="s">
        <v>3686</v>
      </c>
      <c r="G1091" s="29"/>
      <c r="H1091" s="29" t="s">
        <v>3687</v>
      </c>
      <c r="I1091" s="29"/>
      <c r="J1091" s="29"/>
      <c r="K1091" s="29"/>
      <c r="L1091" s="29" t="s">
        <v>3852</v>
      </c>
      <c r="M1091" s="29"/>
      <c r="N1091" s="29" t="s">
        <v>3500</v>
      </c>
      <c r="O1091" s="29"/>
      <c r="P1091" s="29" t="s">
        <v>8090</v>
      </c>
      <c r="Q1091" t="s">
        <v>2038</v>
      </c>
      <c r="R1091" t="s">
        <v>2633</v>
      </c>
      <c r="S1091">
        <v>37</v>
      </c>
      <c r="T1091" s="43" t="str">
        <f t="shared" si="46"/>
        <v>2021.010B.R.Binomial_names.zip</v>
      </c>
      <c r="U1091" s="43" t="str">
        <f>HYPERLINK("https://ictv.global/taxonomy/taxondetails?taxnode_id=202212106","ictv.global=202212106")</f>
        <v>ictv.global=202212106</v>
      </c>
    </row>
    <row r="1092" spans="1:21">
      <c r="A1092">
        <v>1091</v>
      </c>
      <c r="B1092" s="29" t="s">
        <v>3682</v>
      </c>
      <c r="C1092" s="29"/>
      <c r="D1092" s="29" t="s">
        <v>3683</v>
      </c>
      <c r="E1092" s="29"/>
      <c r="F1092" s="29" t="s">
        <v>3686</v>
      </c>
      <c r="G1092" s="29"/>
      <c r="H1092" s="29" t="s">
        <v>3687</v>
      </c>
      <c r="I1092" s="29"/>
      <c r="J1092" s="29"/>
      <c r="K1092" s="29"/>
      <c r="L1092" s="29" t="s">
        <v>3852</v>
      </c>
      <c r="M1092" s="29"/>
      <c r="N1092" s="29" t="s">
        <v>3500</v>
      </c>
      <c r="O1092" s="29"/>
      <c r="P1092" s="29" t="s">
        <v>8091</v>
      </c>
      <c r="Q1092" t="s">
        <v>2038</v>
      </c>
      <c r="R1092" t="s">
        <v>2633</v>
      </c>
      <c r="S1092">
        <v>37</v>
      </c>
      <c r="T1092" s="43" t="str">
        <f t="shared" si="46"/>
        <v>2021.010B.R.Binomial_names.zip</v>
      </c>
      <c r="U1092" s="43" t="str">
        <f>HYPERLINK("https://ictv.global/taxonomy/taxondetails?taxnode_id=202212105","ictv.global=202212105")</f>
        <v>ictv.global=202212105</v>
      </c>
    </row>
    <row r="1093" spans="1:21">
      <c r="A1093">
        <v>1092</v>
      </c>
      <c r="B1093" s="29" t="s">
        <v>3682</v>
      </c>
      <c r="C1093" s="29"/>
      <c r="D1093" s="29" t="s">
        <v>3683</v>
      </c>
      <c r="E1093" s="29"/>
      <c r="F1093" s="29" t="s">
        <v>3686</v>
      </c>
      <c r="G1093" s="29"/>
      <c r="H1093" s="29" t="s">
        <v>3687</v>
      </c>
      <c r="I1093" s="29"/>
      <c r="J1093" s="29"/>
      <c r="K1093" s="29"/>
      <c r="L1093" s="29" t="s">
        <v>3852</v>
      </c>
      <c r="M1093" s="29"/>
      <c r="N1093" s="29" t="s">
        <v>3500</v>
      </c>
      <c r="O1093" s="29"/>
      <c r="P1093" s="29" t="s">
        <v>8092</v>
      </c>
      <c r="Q1093" t="s">
        <v>2038</v>
      </c>
      <c r="R1093" t="s">
        <v>2633</v>
      </c>
      <c r="S1093">
        <v>37</v>
      </c>
      <c r="T1093" s="43" t="str">
        <f t="shared" si="46"/>
        <v>2021.010B.R.Binomial_names.zip</v>
      </c>
      <c r="U1093" s="43" t="str">
        <f>HYPERLINK("https://ictv.global/taxonomy/taxondetails?taxnode_id=202212104","ictv.global=202212104")</f>
        <v>ictv.global=202212104</v>
      </c>
    </row>
    <row r="1094" spans="1:21">
      <c r="A1094">
        <v>1093</v>
      </c>
      <c r="B1094" s="29" t="s">
        <v>3682</v>
      </c>
      <c r="C1094" s="29"/>
      <c r="D1094" s="29" t="s">
        <v>3683</v>
      </c>
      <c r="E1094" s="29"/>
      <c r="F1094" s="29" t="s">
        <v>3686</v>
      </c>
      <c r="G1094" s="29"/>
      <c r="H1094" s="29" t="s">
        <v>3687</v>
      </c>
      <c r="I1094" s="29"/>
      <c r="J1094" s="29"/>
      <c r="K1094" s="29"/>
      <c r="L1094" s="29" t="s">
        <v>3852</v>
      </c>
      <c r="M1094" s="29"/>
      <c r="N1094" s="29" t="s">
        <v>3500</v>
      </c>
      <c r="O1094" s="29"/>
      <c r="P1094" s="29" t="s">
        <v>8093</v>
      </c>
      <c r="Q1094" t="s">
        <v>2038</v>
      </c>
      <c r="R1094" t="s">
        <v>2633</v>
      </c>
      <c r="S1094">
        <v>37</v>
      </c>
      <c r="T1094" s="43" t="str">
        <f t="shared" si="46"/>
        <v>2021.010B.R.Binomial_names.zip</v>
      </c>
      <c r="U1094" s="43" t="str">
        <f>HYPERLINK("https://ictv.global/taxonomy/taxondetails?taxnode_id=202200805","ictv.global=202200805")</f>
        <v>ictv.global=202200805</v>
      </c>
    </row>
    <row r="1095" spans="1:21">
      <c r="A1095">
        <v>1094</v>
      </c>
      <c r="B1095" s="29" t="s">
        <v>3682</v>
      </c>
      <c r="C1095" s="29"/>
      <c r="D1095" s="29" t="s">
        <v>3683</v>
      </c>
      <c r="E1095" s="29"/>
      <c r="F1095" s="29" t="s">
        <v>3686</v>
      </c>
      <c r="G1095" s="29"/>
      <c r="H1095" s="29" t="s">
        <v>3687</v>
      </c>
      <c r="I1095" s="29"/>
      <c r="J1095" s="29"/>
      <c r="K1095" s="29"/>
      <c r="L1095" s="29" t="s">
        <v>3852</v>
      </c>
      <c r="M1095" s="29"/>
      <c r="N1095" s="29" t="s">
        <v>3500</v>
      </c>
      <c r="O1095" s="29"/>
      <c r="P1095" s="29" t="s">
        <v>8094</v>
      </c>
      <c r="Q1095" t="s">
        <v>2038</v>
      </c>
      <c r="R1095" t="s">
        <v>2633</v>
      </c>
      <c r="S1095">
        <v>37</v>
      </c>
      <c r="T1095" s="43" t="str">
        <f t="shared" si="46"/>
        <v>2021.010B.R.Binomial_names.zip</v>
      </c>
      <c r="U1095" s="43" t="str">
        <f>HYPERLINK("https://ictv.global/taxonomy/taxondetails?taxnode_id=202212109","ictv.global=202212109")</f>
        <v>ictv.global=202212109</v>
      </c>
    </row>
    <row r="1096" spans="1:21">
      <c r="A1096">
        <v>1095</v>
      </c>
      <c r="B1096" s="29" t="s">
        <v>3682</v>
      </c>
      <c r="C1096" s="29"/>
      <c r="D1096" s="29" t="s">
        <v>3683</v>
      </c>
      <c r="E1096" s="29"/>
      <c r="F1096" s="29" t="s">
        <v>3686</v>
      </c>
      <c r="G1096" s="29"/>
      <c r="H1096" s="29" t="s">
        <v>3687</v>
      </c>
      <c r="I1096" s="29"/>
      <c r="J1096" s="29"/>
      <c r="K1096" s="29"/>
      <c r="L1096" s="29" t="s">
        <v>3852</v>
      </c>
      <c r="M1096" s="29"/>
      <c r="N1096" s="29" t="s">
        <v>3500</v>
      </c>
      <c r="O1096" s="29"/>
      <c r="P1096" s="29" t="s">
        <v>8095</v>
      </c>
      <c r="Q1096" t="s">
        <v>2038</v>
      </c>
      <c r="R1096" t="s">
        <v>2633</v>
      </c>
      <c r="S1096">
        <v>37</v>
      </c>
      <c r="T1096" s="43" t="str">
        <f t="shared" si="46"/>
        <v>2021.010B.R.Binomial_names.zip</v>
      </c>
      <c r="U1096" s="43" t="str">
        <f>HYPERLINK("https://ictv.global/taxonomy/taxondetails?taxnode_id=202208186","ictv.global=202208186")</f>
        <v>ictv.global=202208186</v>
      </c>
    </row>
    <row r="1097" spans="1:21">
      <c r="A1097">
        <v>1096</v>
      </c>
      <c r="B1097" s="29" t="s">
        <v>3682</v>
      </c>
      <c r="C1097" s="29"/>
      <c r="D1097" s="29" t="s">
        <v>3683</v>
      </c>
      <c r="E1097" s="29"/>
      <c r="F1097" s="29" t="s">
        <v>3686</v>
      </c>
      <c r="G1097" s="29"/>
      <c r="H1097" s="29" t="s">
        <v>3687</v>
      </c>
      <c r="I1097" s="29"/>
      <c r="J1097" s="29"/>
      <c r="K1097" s="29"/>
      <c r="L1097" s="29" t="s">
        <v>3852</v>
      </c>
      <c r="M1097" s="29"/>
      <c r="N1097" s="29" t="s">
        <v>3500</v>
      </c>
      <c r="O1097" s="29"/>
      <c r="P1097" s="29" t="s">
        <v>8096</v>
      </c>
      <c r="Q1097" t="s">
        <v>2038</v>
      </c>
      <c r="R1097" t="s">
        <v>2633</v>
      </c>
      <c r="S1097">
        <v>37</v>
      </c>
      <c r="T1097" s="43" t="str">
        <f t="shared" si="46"/>
        <v>2021.010B.R.Binomial_names.zip</v>
      </c>
      <c r="U1097" s="43" t="str">
        <f>HYPERLINK("https://ictv.global/taxonomy/taxondetails?taxnode_id=202212103","ictv.global=202212103")</f>
        <v>ictv.global=202212103</v>
      </c>
    </row>
    <row r="1098" spans="1:21">
      <c r="A1098">
        <v>1097</v>
      </c>
      <c r="B1098" s="29" t="s">
        <v>3682</v>
      </c>
      <c r="C1098" s="29"/>
      <c r="D1098" s="29" t="s">
        <v>3683</v>
      </c>
      <c r="E1098" s="29"/>
      <c r="F1098" s="29" t="s">
        <v>3686</v>
      </c>
      <c r="G1098" s="29"/>
      <c r="H1098" s="29" t="s">
        <v>3687</v>
      </c>
      <c r="I1098" s="29"/>
      <c r="J1098" s="29"/>
      <c r="K1098" s="29"/>
      <c r="L1098" s="29" t="s">
        <v>3852</v>
      </c>
      <c r="M1098" s="29"/>
      <c r="N1098" s="29" t="s">
        <v>3500</v>
      </c>
      <c r="O1098" s="29"/>
      <c r="P1098" s="29" t="s">
        <v>8097</v>
      </c>
      <c r="Q1098" t="s">
        <v>2038</v>
      </c>
      <c r="R1098" t="s">
        <v>2633</v>
      </c>
      <c r="S1098">
        <v>37</v>
      </c>
      <c r="T1098" s="43" t="str">
        <f t="shared" si="46"/>
        <v>2021.010B.R.Binomial_names.zip</v>
      </c>
      <c r="U1098" s="43" t="str">
        <f>HYPERLINK("https://ictv.global/taxonomy/taxondetails?taxnode_id=202212112","ictv.global=202212112")</f>
        <v>ictv.global=202212112</v>
      </c>
    </row>
    <row r="1099" spans="1:21">
      <c r="A1099">
        <v>1098</v>
      </c>
      <c r="B1099" s="29" t="s">
        <v>3682</v>
      </c>
      <c r="C1099" s="29"/>
      <c r="D1099" s="29" t="s">
        <v>3683</v>
      </c>
      <c r="E1099" s="29"/>
      <c r="F1099" s="29" t="s">
        <v>3686</v>
      </c>
      <c r="G1099" s="29"/>
      <c r="H1099" s="29" t="s">
        <v>3687</v>
      </c>
      <c r="I1099" s="29"/>
      <c r="J1099" s="29"/>
      <c r="K1099" s="29"/>
      <c r="L1099" s="29" t="s">
        <v>3852</v>
      </c>
      <c r="M1099" s="29"/>
      <c r="N1099" s="29" t="s">
        <v>3500</v>
      </c>
      <c r="O1099" s="29"/>
      <c r="P1099" s="29" t="s">
        <v>8098</v>
      </c>
      <c r="Q1099" t="s">
        <v>2038</v>
      </c>
      <c r="R1099" t="s">
        <v>2633</v>
      </c>
      <c r="S1099">
        <v>37</v>
      </c>
      <c r="T1099" s="43" t="str">
        <f t="shared" ref="T1099:T1122" si="47">HYPERLINK("https://ictv.global/ictv/proposals/2021.010B.R.Binomial_names.zip","2021.010B.R.Binomial_names.zip")</f>
        <v>2021.010B.R.Binomial_names.zip</v>
      </c>
      <c r="U1099" s="43" t="str">
        <f>HYPERLINK("https://ictv.global/taxonomy/taxondetails?taxnode_id=202212107","ictv.global=202212107")</f>
        <v>ictv.global=202212107</v>
      </c>
    </row>
    <row r="1100" spans="1:21">
      <c r="A1100">
        <v>1099</v>
      </c>
      <c r="B1100" s="29" t="s">
        <v>3682</v>
      </c>
      <c r="C1100" s="29"/>
      <c r="D1100" s="29" t="s">
        <v>3683</v>
      </c>
      <c r="E1100" s="29"/>
      <c r="F1100" s="29" t="s">
        <v>3686</v>
      </c>
      <c r="G1100" s="29"/>
      <c r="H1100" s="29" t="s">
        <v>3687</v>
      </c>
      <c r="I1100" s="29"/>
      <c r="J1100" s="29"/>
      <c r="K1100" s="29"/>
      <c r="L1100" s="29" t="s">
        <v>3852</v>
      </c>
      <c r="M1100" s="29"/>
      <c r="N1100" s="29" t="s">
        <v>3500</v>
      </c>
      <c r="O1100" s="29"/>
      <c r="P1100" s="29" t="s">
        <v>8099</v>
      </c>
      <c r="Q1100" t="s">
        <v>2038</v>
      </c>
      <c r="R1100" t="s">
        <v>2633</v>
      </c>
      <c r="S1100">
        <v>37</v>
      </c>
      <c r="T1100" s="43" t="str">
        <f t="shared" si="47"/>
        <v>2021.010B.R.Binomial_names.zip</v>
      </c>
      <c r="U1100" s="43" t="str">
        <f>HYPERLINK("https://ictv.global/taxonomy/taxondetails?taxnode_id=202200807","ictv.global=202200807")</f>
        <v>ictv.global=202200807</v>
      </c>
    </row>
    <row r="1101" spans="1:21">
      <c r="A1101">
        <v>1100</v>
      </c>
      <c r="B1101" s="29" t="s">
        <v>3682</v>
      </c>
      <c r="C1101" s="29"/>
      <c r="D1101" s="29" t="s">
        <v>3683</v>
      </c>
      <c r="E1101" s="29"/>
      <c r="F1101" s="29" t="s">
        <v>3686</v>
      </c>
      <c r="G1101" s="29"/>
      <c r="H1101" s="29" t="s">
        <v>3687</v>
      </c>
      <c r="I1101" s="29"/>
      <c r="J1101" s="29"/>
      <c r="K1101" s="29"/>
      <c r="L1101" s="29" t="s">
        <v>3852</v>
      </c>
      <c r="M1101" s="29"/>
      <c r="N1101" s="29" t="s">
        <v>3500</v>
      </c>
      <c r="O1101" s="29"/>
      <c r="P1101" s="29" t="s">
        <v>8100</v>
      </c>
      <c r="Q1101" t="s">
        <v>2038</v>
      </c>
      <c r="R1101" t="s">
        <v>2633</v>
      </c>
      <c r="S1101">
        <v>37</v>
      </c>
      <c r="T1101" s="43" t="str">
        <f t="shared" si="47"/>
        <v>2021.010B.R.Binomial_names.zip</v>
      </c>
      <c r="U1101" s="43" t="str">
        <f>HYPERLINK("https://ictv.global/taxonomy/taxondetails?taxnode_id=202212111","ictv.global=202212111")</f>
        <v>ictv.global=202212111</v>
      </c>
    </row>
    <row r="1102" spans="1:21">
      <c r="A1102">
        <v>1101</v>
      </c>
      <c r="B1102" s="29" t="s">
        <v>3682</v>
      </c>
      <c r="C1102" s="29"/>
      <c r="D1102" s="29" t="s">
        <v>3683</v>
      </c>
      <c r="E1102" s="29"/>
      <c r="F1102" s="29" t="s">
        <v>3686</v>
      </c>
      <c r="G1102" s="29"/>
      <c r="H1102" s="29" t="s">
        <v>3687</v>
      </c>
      <c r="I1102" s="29"/>
      <c r="J1102" s="29"/>
      <c r="K1102" s="29"/>
      <c r="L1102" s="29" t="s">
        <v>3852</v>
      </c>
      <c r="M1102" s="29"/>
      <c r="N1102" s="29" t="s">
        <v>3500</v>
      </c>
      <c r="O1102" s="29"/>
      <c r="P1102" s="29" t="s">
        <v>8101</v>
      </c>
      <c r="Q1102" t="s">
        <v>2038</v>
      </c>
      <c r="R1102" t="s">
        <v>2633</v>
      </c>
      <c r="S1102">
        <v>37</v>
      </c>
      <c r="T1102" s="43" t="str">
        <f t="shared" si="47"/>
        <v>2021.010B.R.Binomial_names.zip</v>
      </c>
      <c r="U1102" s="43" t="str">
        <f>HYPERLINK("https://ictv.global/taxonomy/taxondetails?taxnode_id=202208176","ictv.global=202208176")</f>
        <v>ictv.global=202208176</v>
      </c>
    </row>
    <row r="1103" spans="1:21">
      <c r="A1103">
        <v>1102</v>
      </c>
      <c r="B1103" s="29" t="s">
        <v>3682</v>
      </c>
      <c r="C1103" s="29"/>
      <c r="D1103" s="29" t="s">
        <v>3683</v>
      </c>
      <c r="E1103" s="29"/>
      <c r="F1103" s="29" t="s">
        <v>3686</v>
      </c>
      <c r="G1103" s="29"/>
      <c r="H1103" s="29" t="s">
        <v>3687</v>
      </c>
      <c r="I1103" s="29"/>
      <c r="J1103" s="29"/>
      <c r="K1103" s="29"/>
      <c r="L1103" s="29" t="s">
        <v>3852</v>
      </c>
      <c r="M1103" s="29"/>
      <c r="N1103" s="29" t="s">
        <v>3500</v>
      </c>
      <c r="O1103" s="29"/>
      <c r="P1103" s="29" t="s">
        <v>8102</v>
      </c>
      <c r="Q1103" t="s">
        <v>2038</v>
      </c>
      <c r="R1103" t="s">
        <v>2633</v>
      </c>
      <c r="S1103">
        <v>37</v>
      </c>
      <c r="T1103" s="43" t="str">
        <f t="shared" si="47"/>
        <v>2021.010B.R.Binomial_names.zip</v>
      </c>
      <c r="U1103" s="43" t="str">
        <f>HYPERLINK("https://ictv.global/taxonomy/taxondetails?taxnode_id=202200808","ictv.global=202200808")</f>
        <v>ictv.global=202200808</v>
      </c>
    </row>
    <row r="1104" spans="1:21">
      <c r="A1104">
        <v>1103</v>
      </c>
      <c r="B1104" s="29" t="s">
        <v>3682</v>
      </c>
      <c r="C1104" s="29"/>
      <c r="D1104" s="29" t="s">
        <v>3683</v>
      </c>
      <c r="E1104" s="29"/>
      <c r="F1104" s="29" t="s">
        <v>3686</v>
      </c>
      <c r="G1104" s="29"/>
      <c r="H1104" s="29" t="s">
        <v>3687</v>
      </c>
      <c r="I1104" s="29"/>
      <c r="J1104" s="29"/>
      <c r="K1104" s="29"/>
      <c r="L1104" s="29" t="s">
        <v>3852</v>
      </c>
      <c r="M1104" s="29"/>
      <c r="N1104" s="29" t="s">
        <v>3500</v>
      </c>
      <c r="O1104" s="29"/>
      <c r="P1104" s="29" t="s">
        <v>8103</v>
      </c>
      <c r="Q1104" t="s">
        <v>2038</v>
      </c>
      <c r="R1104" t="s">
        <v>2633</v>
      </c>
      <c r="S1104">
        <v>37</v>
      </c>
      <c r="T1104" s="43" t="str">
        <f t="shared" si="47"/>
        <v>2021.010B.R.Binomial_names.zip</v>
      </c>
      <c r="U1104" s="43" t="str">
        <f>HYPERLINK("https://ictv.global/taxonomy/taxondetails?taxnode_id=202212117","ictv.global=202212117")</f>
        <v>ictv.global=202212117</v>
      </c>
    </row>
    <row r="1105" spans="1:21">
      <c r="A1105">
        <v>1104</v>
      </c>
      <c r="B1105" s="29" t="s">
        <v>3682</v>
      </c>
      <c r="C1105" s="29"/>
      <c r="D1105" s="29" t="s">
        <v>3683</v>
      </c>
      <c r="E1105" s="29"/>
      <c r="F1105" s="29" t="s">
        <v>3686</v>
      </c>
      <c r="G1105" s="29"/>
      <c r="H1105" s="29" t="s">
        <v>3687</v>
      </c>
      <c r="I1105" s="29"/>
      <c r="J1105" s="29"/>
      <c r="K1105" s="29"/>
      <c r="L1105" s="29" t="s">
        <v>3852</v>
      </c>
      <c r="M1105" s="29"/>
      <c r="N1105" s="29" t="s">
        <v>3500</v>
      </c>
      <c r="O1105" s="29"/>
      <c r="P1105" s="29" t="s">
        <v>8104</v>
      </c>
      <c r="Q1105" t="s">
        <v>2038</v>
      </c>
      <c r="R1105" t="s">
        <v>2633</v>
      </c>
      <c r="S1105">
        <v>37</v>
      </c>
      <c r="T1105" s="43" t="str">
        <f t="shared" si="47"/>
        <v>2021.010B.R.Binomial_names.zip</v>
      </c>
      <c r="U1105" s="43" t="str">
        <f>HYPERLINK("https://ictv.global/taxonomy/taxondetails?taxnode_id=202208183","ictv.global=202208183")</f>
        <v>ictv.global=202208183</v>
      </c>
    </row>
    <row r="1106" spans="1:21">
      <c r="A1106">
        <v>1105</v>
      </c>
      <c r="B1106" s="29" t="s">
        <v>3682</v>
      </c>
      <c r="C1106" s="29"/>
      <c r="D1106" s="29" t="s">
        <v>3683</v>
      </c>
      <c r="E1106" s="29"/>
      <c r="F1106" s="29" t="s">
        <v>3686</v>
      </c>
      <c r="G1106" s="29"/>
      <c r="H1106" s="29" t="s">
        <v>3687</v>
      </c>
      <c r="I1106" s="29"/>
      <c r="J1106" s="29"/>
      <c r="K1106" s="29"/>
      <c r="L1106" s="29" t="s">
        <v>3852</v>
      </c>
      <c r="M1106" s="29"/>
      <c r="N1106" s="29" t="s">
        <v>3500</v>
      </c>
      <c r="O1106" s="29"/>
      <c r="P1106" s="29" t="s">
        <v>8105</v>
      </c>
      <c r="Q1106" t="s">
        <v>2038</v>
      </c>
      <c r="R1106" t="s">
        <v>2633</v>
      </c>
      <c r="S1106">
        <v>37</v>
      </c>
      <c r="T1106" s="43" t="str">
        <f t="shared" si="47"/>
        <v>2021.010B.R.Binomial_names.zip</v>
      </c>
      <c r="U1106" s="43" t="str">
        <f>HYPERLINK("https://ictv.global/taxonomy/taxondetails?taxnode_id=202208185","ictv.global=202208185")</f>
        <v>ictv.global=202208185</v>
      </c>
    </row>
    <row r="1107" spans="1:21">
      <c r="A1107">
        <v>1106</v>
      </c>
      <c r="B1107" s="29" t="s">
        <v>3682</v>
      </c>
      <c r="C1107" s="29"/>
      <c r="D1107" s="29" t="s">
        <v>3683</v>
      </c>
      <c r="E1107" s="29"/>
      <c r="F1107" s="29" t="s">
        <v>3686</v>
      </c>
      <c r="G1107" s="29"/>
      <c r="H1107" s="29" t="s">
        <v>3687</v>
      </c>
      <c r="I1107" s="29"/>
      <c r="J1107" s="29"/>
      <c r="K1107" s="29"/>
      <c r="L1107" s="29" t="s">
        <v>3852</v>
      </c>
      <c r="M1107" s="29"/>
      <c r="N1107" s="29" t="s">
        <v>3500</v>
      </c>
      <c r="O1107" s="29"/>
      <c r="P1107" s="29" t="s">
        <v>8106</v>
      </c>
      <c r="Q1107" t="s">
        <v>2038</v>
      </c>
      <c r="R1107" t="s">
        <v>2633</v>
      </c>
      <c r="S1107">
        <v>37</v>
      </c>
      <c r="T1107" s="43" t="str">
        <f t="shared" si="47"/>
        <v>2021.010B.R.Binomial_names.zip</v>
      </c>
      <c r="U1107" s="43" t="str">
        <f>HYPERLINK("https://ictv.global/taxonomy/taxondetails?taxnode_id=202212114","ictv.global=202212114")</f>
        <v>ictv.global=202212114</v>
      </c>
    </row>
    <row r="1108" spans="1:21">
      <c r="A1108">
        <v>1107</v>
      </c>
      <c r="B1108" s="29" t="s">
        <v>3682</v>
      </c>
      <c r="C1108" s="29"/>
      <c r="D1108" s="29" t="s">
        <v>3683</v>
      </c>
      <c r="E1108" s="29"/>
      <c r="F1108" s="29" t="s">
        <v>3686</v>
      </c>
      <c r="G1108" s="29"/>
      <c r="H1108" s="29" t="s">
        <v>3687</v>
      </c>
      <c r="I1108" s="29"/>
      <c r="J1108" s="29"/>
      <c r="K1108" s="29"/>
      <c r="L1108" s="29" t="s">
        <v>3852</v>
      </c>
      <c r="M1108" s="29"/>
      <c r="N1108" s="29" t="s">
        <v>3500</v>
      </c>
      <c r="O1108" s="29"/>
      <c r="P1108" s="29" t="s">
        <v>8107</v>
      </c>
      <c r="Q1108" t="s">
        <v>2038</v>
      </c>
      <c r="R1108" t="s">
        <v>2633</v>
      </c>
      <c r="S1108">
        <v>37</v>
      </c>
      <c r="T1108" s="43" t="str">
        <f t="shared" si="47"/>
        <v>2021.010B.R.Binomial_names.zip</v>
      </c>
      <c r="U1108" s="43" t="str">
        <f>HYPERLINK("https://ictv.global/taxonomy/taxondetails?taxnode_id=202208175","ictv.global=202208175")</f>
        <v>ictv.global=202208175</v>
      </c>
    </row>
    <row r="1109" spans="1:21">
      <c r="A1109">
        <v>1108</v>
      </c>
      <c r="B1109" s="29" t="s">
        <v>3682</v>
      </c>
      <c r="C1109" s="29"/>
      <c r="D1109" s="29" t="s">
        <v>3683</v>
      </c>
      <c r="E1109" s="29"/>
      <c r="F1109" s="29" t="s">
        <v>3686</v>
      </c>
      <c r="G1109" s="29"/>
      <c r="H1109" s="29" t="s">
        <v>3687</v>
      </c>
      <c r="I1109" s="29"/>
      <c r="J1109" s="29"/>
      <c r="K1109" s="29"/>
      <c r="L1109" s="29" t="s">
        <v>3852</v>
      </c>
      <c r="M1109" s="29"/>
      <c r="N1109" s="29" t="s">
        <v>3500</v>
      </c>
      <c r="O1109" s="29"/>
      <c r="P1109" s="29" t="s">
        <v>8108</v>
      </c>
      <c r="Q1109" t="s">
        <v>2038</v>
      </c>
      <c r="R1109" t="s">
        <v>2633</v>
      </c>
      <c r="S1109">
        <v>37</v>
      </c>
      <c r="T1109" s="43" t="str">
        <f t="shared" si="47"/>
        <v>2021.010B.R.Binomial_names.zip</v>
      </c>
      <c r="U1109" s="43" t="str">
        <f>HYPERLINK("https://ictv.global/taxonomy/taxondetails?taxnode_id=202208182","ictv.global=202208182")</f>
        <v>ictv.global=202208182</v>
      </c>
    </row>
    <row r="1110" spans="1:21">
      <c r="A1110">
        <v>1109</v>
      </c>
      <c r="B1110" s="29" t="s">
        <v>3682</v>
      </c>
      <c r="C1110" s="29"/>
      <c r="D1110" s="29" t="s">
        <v>3683</v>
      </c>
      <c r="E1110" s="29"/>
      <c r="F1110" s="29" t="s">
        <v>3686</v>
      </c>
      <c r="G1110" s="29"/>
      <c r="H1110" s="29" t="s">
        <v>3687</v>
      </c>
      <c r="I1110" s="29"/>
      <c r="J1110" s="29"/>
      <c r="K1110" s="29"/>
      <c r="L1110" s="29" t="s">
        <v>3852</v>
      </c>
      <c r="M1110" s="29"/>
      <c r="N1110" s="29" t="s">
        <v>3500</v>
      </c>
      <c r="O1110" s="29"/>
      <c r="P1110" s="29" t="s">
        <v>8109</v>
      </c>
      <c r="Q1110" t="s">
        <v>2038</v>
      </c>
      <c r="R1110" t="s">
        <v>2633</v>
      </c>
      <c r="S1110">
        <v>37</v>
      </c>
      <c r="T1110" s="43" t="str">
        <f t="shared" si="47"/>
        <v>2021.010B.R.Binomial_names.zip</v>
      </c>
      <c r="U1110" s="43" t="str">
        <f>HYPERLINK("https://ictv.global/taxonomy/taxondetails?taxnode_id=202208184","ictv.global=202208184")</f>
        <v>ictv.global=202208184</v>
      </c>
    </row>
    <row r="1111" spans="1:21">
      <c r="A1111">
        <v>1110</v>
      </c>
      <c r="B1111" s="29" t="s">
        <v>3682</v>
      </c>
      <c r="C1111" s="29"/>
      <c r="D1111" s="29" t="s">
        <v>3683</v>
      </c>
      <c r="E1111" s="29"/>
      <c r="F1111" s="29" t="s">
        <v>3686</v>
      </c>
      <c r="G1111" s="29"/>
      <c r="H1111" s="29" t="s">
        <v>3687</v>
      </c>
      <c r="I1111" s="29"/>
      <c r="J1111" s="29"/>
      <c r="K1111" s="29"/>
      <c r="L1111" s="29" t="s">
        <v>3852</v>
      </c>
      <c r="M1111" s="29"/>
      <c r="N1111" s="29" t="s">
        <v>3500</v>
      </c>
      <c r="O1111" s="29"/>
      <c r="P1111" s="29" t="s">
        <v>8110</v>
      </c>
      <c r="Q1111" t="s">
        <v>2038</v>
      </c>
      <c r="R1111" t="s">
        <v>2633</v>
      </c>
      <c r="S1111">
        <v>37</v>
      </c>
      <c r="T1111" s="43" t="str">
        <f t="shared" si="47"/>
        <v>2021.010B.R.Binomial_names.zip</v>
      </c>
      <c r="U1111" s="43" t="str">
        <f>HYPERLINK("https://ictv.global/taxonomy/taxondetails?taxnode_id=202208178","ictv.global=202208178")</f>
        <v>ictv.global=202208178</v>
      </c>
    </row>
    <row r="1112" spans="1:21">
      <c r="A1112">
        <v>1111</v>
      </c>
      <c r="B1112" s="29" t="s">
        <v>3682</v>
      </c>
      <c r="C1112" s="29"/>
      <c r="D1112" s="29" t="s">
        <v>3683</v>
      </c>
      <c r="E1112" s="29"/>
      <c r="F1112" s="29" t="s">
        <v>3686</v>
      </c>
      <c r="G1112" s="29"/>
      <c r="H1112" s="29" t="s">
        <v>3687</v>
      </c>
      <c r="I1112" s="29"/>
      <c r="J1112" s="29"/>
      <c r="K1112" s="29"/>
      <c r="L1112" s="29" t="s">
        <v>3852</v>
      </c>
      <c r="M1112" s="29"/>
      <c r="N1112" s="29" t="s">
        <v>3500</v>
      </c>
      <c r="O1112" s="29"/>
      <c r="P1112" s="29" t="s">
        <v>8111</v>
      </c>
      <c r="Q1112" t="s">
        <v>2038</v>
      </c>
      <c r="R1112" t="s">
        <v>2633</v>
      </c>
      <c r="S1112">
        <v>37</v>
      </c>
      <c r="T1112" s="43" t="str">
        <f t="shared" si="47"/>
        <v>2021.010B.R.Binomial_names.zip</v>
      </c>
      <c r="U1112" s="43" t="str">
        <f>HYPERLINK("https://ictv.global/taxonomy/taxondetails?taxnode_id=202200809","ictv.global=202200809")</f>
        <v>ictv.global=202200809</v>
      </c>
    </row>
    <row r="1113" spans="1:21">
      <c r="A1113">
        <v>1112</v>
      </c>
      <c r="B1113" s="29" t="s">
        <v>3682</v>
      </c>
      <c r="C1113" s="29"/>
      <c r="D1113" s="29" t="s">
        <v>3683</v>
      </c>
      <c r="E1113" s="29"/>
      <c r="F1113" s="29" t="s">
        <v>3686</v>
      </c>
      <c r="G1113" s="29"/>
      <c r="H1113" s="29" t="s">
        <v>3687</v>
      </c>
      <c r="I1113" s="29"/>
      <c r="J1113" s="29"/>
      <c r="K1113" s="29"/>
      <c r="L1113" s="29" t="s">
        <v>3852</v>
      </c>
      <c r="M1113" s="29"/>
      <c r="N1113" s="29" t="s">
        <v>3500</v>
      </c>
      <c r="O1113" s="29"/>
      <c r="P1113" s="29" t="s">
        <v>8112</v>
      </c>
      <c r="Q1113" t="s">
        <v>2038</v>
      </c>
      <c r="R1113" t="s">
        <v>2633</v>
      </c>
      <c r="S1113">
        <v>37</v>
      </c>
      <c r="T1113" s="43" t="str">
        <f t="shared" si="47"/>
        <v>2021.010B.R.Binomial_names.zip</v>
      </c>
      <c r="U1113" s="43" t="str">
        <f>HYPERLINK("https://ictv.global/taxonomy/taxondetails?taxnode_id=202212102","ictv.global=202212102")</f>
        <v>ictv.global=202212102</v>
      </c>
    </row>
    <row r="1114" spans="1:21">
      <c r="A1114">
        <v>1113</v>
      </c>
      <c r="B1114" s="29" t="s">
        <v>3682</v>
      </c>
      <c r="C1114" s="29"/>
      <c r="D1114" s="29" t="s">
        <v>3683</v>
      </c>
      <c r="E1114" s="29"/>
      <c r="F1114" s="29" t="s">
        <v>3686</v>
      </c>
      <c r="G1114" s="29"/>
      <c r="H1114" s="29" t="s">
        <v>3687</v>
      </c>
      <c r="I1114" s="29"/>
      <c r="J1114" s="29"/>
      <c r="K1114" s="29"/>
      <c r="L1114" s="29" t="s">
        <v>3852</v>
      </c>
      <c r="M1114" s="29"/>
      <c r="N1114" s="29" t="s">
        <v>3500</v>
      </c>
      <c r="O1114" s="29"/>
      <c r="P1114" s="29" t="s">
        <v>8113</v>
      </c>
      <c r="Q1114" t="s">
        <v>2038</v>
      </c>
      <c r="R1114" t="s">
        <v>2633</v>
      </c>
      <c r="S1114">
        <v>37</v>
      </c>
      <c r="T1114" s="43" t="str">
        <f t="shared" si="47"/>
        <v>2021.010B.R.Binomial_names.zip</v>
      </c>
      <c r="U1114" s="43" t="str">
        <f>HYPERLINK("https://ictv.global/taxonomy/taxondetails?taxnode_id=202212115","ictv.global=202212115")</f>
        <v>ictv.global=202212115</v>
      </c>
    </row>
    <row r="1115" spans="1:21">
      <c r="A1115">
        <v>1114</v>
      </c>
      <c r="B1115" s="29" t="s">
        <v>3682</v>
      </c>
      <c r="C1115" s="29"/>
      <c r="D1115" s="29" t="s">
        <v>3683</v>
      </c>
      <c r="E1115" s="29"/>
      <c r="F1115" s="29" t="s">
        <v>3686</v>
      </c>
      <c r="G1115" s="29"/>
      <c r="H1115" s="29" t="s">
        <v>3687</v>
      </c>
      <c r="I1115" s="29"/>
      <c r="J1115" s="29"/>
      <c r="K1115" s="29"/>
      <c r="L1115" s="29" t="s">
        <v>3852</v>
      </c>
      <c r="M1115" s="29"/>
      <c r="N1115" s="29" t="s">
        <v>3500</v>
      </c>
      <c r="O1115" s="29"/>
      <c r="P1115" s="29" t="s">
        <v>8114</v>
      </c>
      <c r="Q1115" t="s">
        <v>2038</v>
      </c>
      <c r="R1115" t="s">
        <v>2633</v>
      </c>
      <c r="S1115">
        <v>37</v>
      </c>
      <c r="T1115" s="43" t="str">
        <f t="shared" si="47"/>
        <v>2021.010B.R.Binomial_names.zip</v>
      </c>
      <c r="U1115" s="43" t="str">
        <f>HYPERLINK("https://ictv.global/taxonomy/taxondetails?taxnode_id=202212116","ictv.global=202212116")</f>
        <v>ictv.global=202212116</v>
      </c>
    </row>
    <row r="1116" spans="1:21">
      <c r="A1116">
        <v>1115</v>
      </c>
      <c r="B1116" s="29" t="s">
        <v>3682</v>
      </c>
      <c r="C1116" s="29"/>
      <c r="D1116" s="29" t="s">
        <v>3683</v>
      </c>
      <c r="E1116" s="29"/>
      <c r="F1116" s="29" t="s">
        <v>3686</v>
      </c>
      <c r="G1116" s="29"/>
      <c r="H1116" s="29" t="s">
        <v>3687</v>
      </c>
      <c r="I1116" s="29"/>
      <c r="J1116" s="29"/>
      <c r="K1116" s="29"/>
      <c r="L1116" s="29" t="s">
        <v>3852</v>
      </c>
      <c r="M1116" s="29"/>
      <c r="N1116" s="29" t="s">
        <v>3500</v>
      </c>
      <c r="O1116" s="29"/>
      <c r="P1116" s="29" t="s">
        <v>8115</v>
      </c>
      <c r="Q1116" t="s">
        <v>2038</v>
      </c>
      <c r="R1116" t="s">
        <v>2633</v>
      </c>
      <c r="S1116">
        <v>37</v>
      </c>
      <c r="T1116" s="43" t="str">
        <f t="shared" si="47"/>
        <v>2021.010B.R.Binomial_names.zip</v>
      </c>
      <c r="U1116" s="43" t="str">
        <f>HYPERLINK("https://ictv.global/taxonomy/taxondetails?taxnode_id=202212110","ictv.global=202212110")</f>
        <v>ictv.global=202212110</v>
      </c>
    </row>
    <row r="1117" spans="1:21">
      <c r="A1117">
        <v>1116</v>
      </c>
      <c r="B1117" s="29" t="s">
        <v>3682</v>
      </c>
      <c r="C1117" s="29"/>
      <c r="D1117" s="29" t="s">
        <v>3683</v>
      </c>
      <c r="E1117" s="29"/>
      <c r="F1117" s="29" t="s">
        <v>3686</v>
      </c>
      <c r="G1117" s="29"/>
      <c r="H1117" s="29" t="s">
        <v>3687</v>
      </c>
      <c r="I1117" s="29"/>
      <c r="J1117" s="29"/>
      <c r="K1117" s="29"/>
      <c r="L1117" s="29" t="s">
        <v>3852</v>
      </c>
      <c r="M1117" s="29"/>
      <c r="N1117" s="29" t="s">
        <v>3500</v>
      </c>
      <c r="O1117" s="29"/>
      <c r="P1117" s="29" t="s">
        <v>8116</v>
      </c>
      <c r="Q1117" t="s">
        <v>2038</v>
      </c>
      <c r="R1117" t="s">
        <v>2633</v>
      </c>
      <c r="S1117">
        <v>37</v>
      </c>
      <c r="T1117" s="43" t="str">
        <f t="shared" si="47"/>
        <v>2021.010B.R.Binomial_names.zip</v>
      </c>
      <c r="U1117" s="43" t="str">
        <f>HYPERLINK("https://ictv.global/taxonomy/taxondetails?taxnode_id=202200810","ictv.global=202200810")</f>
        <v>ictv.global=202200810</v>
      </c>
    </row>
    <row r="1118" spans="1:21">
      <c r="A1118">
        <v>1117</v>
      </c>
      <c r="B1118" s="29" t="s">
        <v>3682</v>
      </c>
      <c r="C1118" s="29"/>
      <c r="D1118" s="29" t="s">
        <v>3683</v>
      </c>
      <c r="E1118" s="29"/>
      <c r="F1118" s="29" t="s">
        <v>3686</v>
      </c>
      <c r="G1118" s="29"/>
      <c r="H1118" s="29" t="s">
        <v>3687</v>
      </c>
      <c r="I1118" s="29"/>
      <c r="J1118" s="29"/>
      <c r="K1118" s="29"/>
      <c r="L1118" s="29" t="s">
        <v>3852</v>
      </c>
      <c r="M1118" s="29"/>
      <c r="N1118" s="29" t="s">
        <v>3500</v>
      </c>
      <c r="O1118" s="29"/>
      <c r="P1118" s="29" t="s">
        <v>8117</v>
      </c>
      <c r="Q1118" t="s">
        <v>2038</v>
      </c>
      <c r="R1118" t="s">
        <v>2633</v>
      </c>
      <c r="S1118">
        <v>37</v>
      </c>
      <c r="T1118" s="43" t="str">
        <f t="shared" si="47"/>
        <v>2021.010B.R.Binomial_names.zip</v>
      </c>
      <c r="U1118" s="43" t="str">
        <f>HYPERLINK("https://ictv.global/taxonomy/taxondetails?taxnode_id=202212108","ictv.global=202212108")</f>
        <v>ictv.global=202212108</v>
      </c>
    </row>
    <row r="1119" spans="1:21">
      <c r="A1119">
        <v>1118</v>
      </c>
      <c r="B1119" s="29" t="s">
        <v>3682</v>
      </c>
      <c r="C1119" s="29"/>
      <c r="D1119" s="29" t="s">
        <v>3683</v>
      </c>
      <c r="E1119" s="29"/>
      <c r="F1119" s="29" t="s">
        <v>3686</v>
      </c>
      <c r="G1119" s="29"/>
      <c r="H1119" s="29" t="s">
        <v>3687</v>
      </c>
      <c r="I1119" s="29"/>
      <c r="J1119" s="29"/>
      <c r="K1119" s="29"/>
      <c r="L1119" s="29" t="s">
        <v>3852</v>
      </c>
      <c r="M1119" s="29"/>
      <c r="N1119" s="29" t="s">
        <v>3500</v>
      </c>
      <c r="O1119" s="29"/>
      <c r="P1119" s="29" t="s">
        <v>8118</v>
      </c>
      <c r="Q1119" t="s">
        <v>2038</v>
      </c>
      <c r="R1119" t="s">
        <v>2633</v>
      </c>
      <c r="S1119">
        <v>37</v>
      </c>
      <c r="T1119" s="43" t="str">
        <f t="shared" si="47"/>
        <v>2021.010B.R.Binomial_names.zip</v>
      </c>
      <c r="U1119" s="43" t="str">
        <f>HYPERLINK("https://ictv.global/taxonomy/taxondetails?taxnode_id=202208180","ictv.global=202208180")</f>
        <v>ictv.global=202208180</v>
      </c>
    </row>
    <row r="1120" spans="1:21">
      <c r="A1120">
        <v>1119</v>
      </c>
      <c r="B1120" s="29" t="s">
        <v>3682</v>
      </c>
      <c r="C1120" s="29"/>
      <c r="D1120" s="29" t="s">
        <v>3683</v>
      </c>
      <c r="E1120" s="29"/>
      <c r="F1120" s="29" t="s">
        <v>3686</v>
      </c>
      <c r="G1120" s="29"/>
      <c r="H1120" s="29" t="s">
        <v>3687</v>
      </c>
      <c r="I1120" s="29"/>
      <c r="J1120" s="29"/>
      <c r="K1120" s="29"/>
      <c r="L1120" s="29" t="s">
        <v>3852</v>
      </c>
      <c r="M1120" s="29"/>
      <c r="N1120" s="29" t="s">
        <v>3500</v>
      </c>
      <c r="O1120" s="29"/>
      <c r="P1120" s="29" t="s">
        <v>8119</v>
      </c>
      <c r="Q1120" t="s">
        <v>2038</v>
      </c>
      <c r="R1120" t="s">
        <v>2633</v>
      </c>
      <c r="S1120">
        <v>37</v>
      </c>
      <c r="T1120" s="43" t="str">
        <f t="shared" si="47"/>
        <v>2021.010B.R.Binomial_names.zip</v>
      </c>
      <c r="U1120" s="43" t="str">
        <f>HYPERLINK("https://ictv.global/taxonomy/taxondetails?taxnode_id=202208177","ictv.global=202208177")</f>
        <v>ictv.global=202208177</v>
      </c>
    </row>
    <row r="1121" spans="1:21">
      <c r="A1121">
        <v>1120</v>
      </c>
      <c r="B1121" s="29" t="s">
        <v>3682</v>
      </c>
      <c r="C1121" s="29"/>
      <c r="D1121" s="29" t="s">
        <v>3683</v>
      </c>
      <c r="E1121" s="29"/>
      <c r="F1121" s="29" t="s">
        <v>3686</v>
      </c>
      <c r="G1121" s="29"/>
      <c r="H1121" s="29" t="s">
        <v>3687</v>
      </c>
      <c r="I1121" s="29"/>
      <c r="J1121" s="29"/>
      <c r="K1121" s="29"/>
      <c r="L1121" s="29" t="s">
        <v>3852</v>
      </c>
      <c r="M1121" s="29"/>
      <c r="N1121" s="29" t="s">
        <v>3500</v>
      </c>
      <c r="O1121" s="29"/>
      <c r="P1121" s="29" t="s">
        <v>8120</v>
      </c>
      <c r="Q1121" t="s">
        <v>2038</v>
      </c>
      <c r="R1121" t="s">
        <v>2633</v>
      </c>
      <c r="S1121">
        <v>37</v>
      </c>
      <c r="T1121" s="43" t="str">
        <f t="shared" si="47"/>
        <v>2021.010B.R.Binomial_names.zip</v>
      </c>
      <c r="U1121" s="43" t="str">
        <f>HYPERLINK("https://ictv.global/taxonomy/taxondetails?taxnode_id=202212113","ictv.global=202212113")</f>
        <v>ictv.global=202212113</v>
      </c>
    </row>
    <row r="1122" spans="1:21">
      <c r="A1122">
        <v>1121</v>
      </c>
      <c r="B1122" s="29" t="s">
        <v>3682</v>
      </c>
      <c r="C1122" s="29"/>
      <c r="D1122" s="29" t="s">
        <v>3683</v>
      </c>
      <c r="E1122" s="29"/>
      <c r="F1122" s="29" t="s">
        <v>3686</v>
      </c>
      <c r="G1122" s="29"/>
      <c r="H1122" s="29" t="s">
        <v>3687</v>
      </c>
      <c r="I1122" s="29"/>
      <c r="J1122" s="29"/>
      <c r="K1122" s="29"/>
      <c r="L1122" s="29" t="s">
        <v>3852</v>
      </c>
      <c r="M1122" s="29"/>
      <c r="N1122" s="29" t="s">
        <v>3500</v>
      </c>
      <c r="O1122" s="29"/>
      <c r="P1122" s="29" t="s">
        <v>8121</v>
      </c>
      <c r="Q1122" t="s">
        <v>2038</v>
      </c>
      <c r="R1122" t="s">
        <v>2633</v>
      </c>
      <c r="S1122">
        <v>37</v>
      </c>
      <c r="T1122" s="43" t="str">
        <f t="shared" si="47"/>
        <v>2021.010B.R.Binomial_names.zip</v>
      </c>
      <c r="U1122" s="43" t="str">
        <f>HYPERLINK("https://ictv.global/taxonomy/taxondetails?taxnode_id=202200806","ictv.global=202200806")</f>
        <v>ictv.global=202200806</v>
      </c>
    </row>
    <row r="1123" spans="1:21">
      <c r="A1123">
        <v>1122</v>
      </c>
      <c r="B1123" s="29" t="s">
        <v>3682</v>
      </c>
      <c r="C1123" s="29"/>
      <c r="D1123" s="29" t="s">
        <v>3683</v>
      </c>
      <c r="E1123" s="29"/>
      <c r="F1123" s="29" t="s">
        <v>3686</v>
      </c>
      <c r="G1123" s="29"/>
      <c r="H1123" s="29" t="s">
        <v>3687</v>
      </c>
      <c r="I1123" s="29"/>
      <c r="J1123" s="29"/>
      <c r="K1123" s="29"/>
      <c r="L1123" s="29" t="s">
        <v>8122</v>
      </c>
      <c r="M1123" s="29"/>
      <c r="N1123" s="29" t="s">
        <v>8123</v>
      </c>
      <c r="O1123" s="29"/>
      <c r="P1123" s="29" t="s">
        <v>8124</v>
      </c>
      <c r="Q1123" t="s">
        <v>2038</v>
      </c>
      <c r="R1123" t="s">
        <v>2632</v>
      </c>
      <c r="S1123">
        <v>37</v>
      </c>
      <c r="T1123" s="43" t="str">
        <f t="shared" ref="T1123:T1128" si="48">HYPERLINK("https://ictv.global/ictv/proposals/2021.029B.R.Flavophages_9_families.zip","2021.029B.R.Flavophages_9_families.zip")</f>
        <v>2021.029B.R.Flavophages_9_families.zip</v>
      </c>
      <c r="U1123" s="43" t="str">
        <f>HYPERLINK("https://ictv.global/taxonomy/taxondetails?taxnode_id=202213561","ictv.global=202213561")</f>
        <v>ictv.global=202213561</v>
      </c>
    </row>
    <row r="1124" spans="1:21">
      <c r="A1124">
        <v>1123</v>
      </c>
      <c r="B1124" s="29" t="s">
        <v>3682</v>
      </c>
      <c r="C1124" s="29"/>
      <c r="D1124" s="29" t="s">
        <v>3683</v>
      </c>
      <c r="E1124" s="29"/>
      <c r="F1124" s="29" t="s">
        <v>3686</v>
      </c>
      <c r="G1124" s="29"/>
      <c r="H1124" s="29" t="s">
        <v>3687</v>
      </c>
      <c r="I1124" s="29"/>
      <c r="J1124" s="29"/>
      <c r="K1124" s="29"/>
      <c r="L1124" s="29" t="s">
        <v>8122</v>
      </c>
      <c r="M1124" s="29"/>
      <c r="N1124" s="29" t="s">
        <v>4747</v>
      </c>
      <c r="O1124" s="29"/>
      <c r="P1124" s="29" t="s">
        <v>8125</v>
      </c>
      <c r="Q1124" t="s">
        <v>2038</v>
      </c>
      <c r="R1124" t="s">
        <v>2633</v>
      </c>
      <c r="S1124">
        <v>37</v>
      </c>
      <c r="T1124" s="43" t="str">
        <f t="shared" si="48"/>
        <v>2021.029B.R.Flavophages_9_families.zip</v>
      </c>
      <c r="U1124" s="43" t="str">
        <f>HYPERLINK("https://ictv.global/taxonomy/taxondetails?taxnode_id=202210034","ictv.global=202210034")</f>
        <v>ictv.global=202210034</v>
      </c>
    </row>
    <row r="1125" spans="1:21">
      <c r="A1125">
        <v>1124</v>
      </c>
      <c r="B1125" s="29" t="s">
        <v>3682</v>
      </c>
      <c r="C1125" s="29"/>
      <c r="D1125" s="29" t="s">
        <v>3683</v>
      </c>
      <c r="E1125" s="29"/>
      <c r="F1125" s="29" t="s">
        <v>3686</v>
      </c>
      <c r="G1125" s="29"/>
      <c r="H1125" s="29" t="s">
        <v>3687</v>
      </c>
      <c r="I1125" s="29"/>
      <c r="J1125" s="29"/>
      <c r="K1125" s="29"/>
      <c r="L1125" s="29" t="s">
        <v>8122</v>
      </c>
      <c r="M1125" s="29"/>
      <c r="N1125" s="29" t="s">
        <v>3612</v>
      </c>
      <c r="O1125" s="29"/>
      <c r="P1125" s="29" t="s">
        <v>8126</v>
      </c>
      <c r="Q1125" t="s">
        <v>2038</v>
      </c>
      <c r="R1125" t="s">
        <v>2633</v>
      </c>
      <c r="S1125">
        <v>37</v>
      </c>
      <c r="T1125" s="43" t="str">
        <f t="shared" si="48"/>
        <v>2021.029B.R.Flavophages_9_families.zip</v>
      </c>
      <c r="U1125" s="43" t="str">
        <f>HYPERLINK("https://ictv.global/taxonomy/taxondetails?taxnode_id=202207073","ictv.global=202207073")</f>
        <v>ictv.global=202207073</v>
      </c>
    </row>
    <row r="1126" spans="1:21">
      <c r="A1126">
        <v>1125</v>
      </c>
      <c r="B1126" s="29" t="s">
        <v>3682</v>
      </c>
      <c r="C1126" s="29"/>
      <c r="D1126" s="29" t="s">
        <v>3683</v>
      </c>
      <c r="E1126" s="29"/>
      <c r="F1126" s="29" t="s">
        <v>3686</v>
      </c>
      <c r="G1126" s="29"/>
      <c r="H1126" s="29" t="s">
        <v>3687</v>
      </c>
      <c r="I1126" s="29"/>
      <c r="J1126" s="29"/>
      <c r="K1126" s="29"/>
      <c r="L1126" s="29" t="s">
        <v>8122</v>
      </c>
      <c r="M1126" s="29"/>
      <c r="N1126" s="29" t="s">
        <v>3612</v>
      </c>
      <c r="O1126" s="29"/>
      <c r="P1126" s="29" t="s">
        <v>8127</v>
      </c>
      <c r="Q1126" t="s">
        <v>2038</v>
      </c>
      <c r="R1126" t="s">
        <v>2633</v>
      </c>
      <c r="S1126">
        <v>37</v>
      </c>
      <c r="T1126" s="43" t="str">
        <f t="shared" si="48"/>
        <v>2021.029B.R.Flavophages_9_families.zip</v>
      </c>
      <c r="U1126" s="43" t="str">
        <f>HYPERLINK("https://ictv.global/taxonomy/taxondetails?taxnode_id=202207076","ictv.global=202207076")</f>
        <v>ictv.global=202207076</v>
      </c>
    </row>
    <row r="1127" spans="1:21">
      <c r="A1127">
        <v>1126</v>
      </c>
      <c r="B1127" s="29" t="s">
        <v>3682</v>
      </c>
      <c r="C1127" s="29"/>
      <c r="D1127" s="29" t="s">
        <v>3683</v>
      </c>
      <c r="E1127" s="29"/>
      <c r="F1127" s="29" t="s">
        <v>3686</v>
      </c>
      <c r="G1127" s="29"/>
      <c r="H1127" s="29" t="s">
        <v>3687</v>
      </c>
      <c r="I1127" s="29"/>
      <c r="J1127" s="29"/>
      <c r="K1127" s="29"/>
      <c r="L1127" s="29" t="s">
        <v>8122</v>
      </c>
      <c r="M1127" s="29"/>
      <c r="N1127" s="29" t="s">
        <v>3612</v>
      </c>
      <c r="O1127" s="29"/>
      <c r="P1127" s="29" t="s">
        <v>8128</v>
      </c>
      <c r="Q1127" t="s">
        <v>2038</v>
      </c>
      <c r="R1127" t="s">
        <v>2633</v>
      </c>
      <c r="S1127">
        <v>37</v>
      </c>
      <c r="T1127" s="43" t="str">
        <f t="shared" si="48"/>
        <v>2021.029B.R.Flavophages_9_families.zip</v>
      </c>
      <c r="U1127" s="43" t="str">
        <f>HYPERLINK("https://ictv.global/taxonomy/taxondetails?taxnode_id=202207075","ictv.global=202207075")</f>
        <v>ictv.global=202207075</v>
      </c>
    </row>
    <row r="1128" spans="1:21">
      <c r="A1128">
        <v>1127</v>
      </c>
      <c r="B1128" s="29" t="s">
        <v>3682</v>
      </c>
      <c r="C1128" s="29"/>
      <c r="D1128" s="29" t="s">
        <v>3683</v>
      </c>
      <c r="E1128" s="29"/>
      <c r="F1128" s="29" t="s">
        <v>3686</v>
      </c>
      <c r="G1128" s="29"/>
      <c r="H1128" s="29" t="s">
        <v>3687</v>
      </c>
      <c r="I1128" s="29"/>
      <c r="J1128" s="29"/>
      <c r="K1128" s="29"/>
      <c r="L1128" s="29" t="s">
        <v>8122</v>
      </c>
      <c r="M1128" s="29"/>
      <c r="N1128" s="29" t="s">
        <v>3612</v>
      </c>
      <c r="O1128" s="29"/>
      <c r="P1128" s="29" t="s">
        <v>8129</v>
      </c>
      <c r="Q1128" t="s">
        <v>2038</v>
      </c>
      <c r="R1128" t="s">
        <v>2633</v>
      </c>
      <c r="S1128">
        <v>37</v>
      </c>
      <c r="T1128" s="43" t="str">
        <f t="shared" si="48"/>
        <v>2021.029B.R.Flavophages_9_families.zip</v>
      </c>
      <c r="U1128" s="43" t="str">
        <f>HYPERLINK("https://ictv.global/taxonomy/taxondetails?taxnode_id=202207074","ictv.global=202207074")</f>
        <v>ictv.global=202207074</v>
      </c>
    </row>
    <row r="1129" spans="1:21">
      <c r="A1129">
        <v>1128</v>
      </c>
      <c r="B1129" s="29" t="s">
        <v>3682</v>
      </c>
      <c r="C1129" s="29"/>
      <c r="D1129" s="29" t="s">
        <v>3683</v>
      </c>
      <c r="E1129" s="29"/>
      <c r="F1129" s="29" t="s">
        <v>3686</v>
      </c>
      <c r="G1129" s="29"/>
      <c r="H1129" s="29" t="s">
        <v>3687</v>
      </c>
      <c r="I1129" s="29"/>
      <c r="J1129" s="29"/>
      <c r="K1129" s="29"/>
      <c r="L1129" s="29" t="s">
        <v>8130</v>
      </c>
      <c r="M1129" s="29"/>
      <c r="N1129" s="29" t="s">
        <v>8131</v>
      </c>
      <c r="O1129" s="29"/>
      <c r="P1129" s="29" t="s">
        <v>8132</v>
      </c>
      <c r="Q1129" t="s">
        <v>2038</v>
      </c>
      <c r="R1129" t="s">
        <v>2632</v>
      </c>
      <c r="S1129">
        <v>38</v>
      </c>
      <c r="T1129" s="43" t="str">
        <f>HYPERLINK("https://ictv.global/ictv/proposals/2022.004A.Caudoviricetes_3nf.zip","2022.004A.Caudoviricetes_3nf.zip")</f>
        <v>2022.004A.Caudoviricetes_3nf.zip</v>
      </c>
      <c r="U1129" s="43" t="str">
        <f>HYPERLINK("https://ictv.global/taxonomy/taxondetails?taxnode_id=202214333","ictv.global=202214333")</f>
        <v>ictv.global=202214333</v>
      </c>
    </row>
    <row r="1130" spans="1:21">
      <c r="A1130">
        <v>1129</v>
      </c>
      <c r="B1130" s="29" t="s">
        <v>3682</v>
      </c>
      <c r="C1130" s="29"/>
      <c r="D1130" s="29" t="s">
        <v>3683</v>
      </c>
      <c r="E1130" s="29"/>
      <c r="F1130" s="29" t="s">
        <v>3686</v>
      </c>
      <c r="G1130" s="29"/>
      <c r="H1130" s="29" t="s">
        <v>3687</v>
      </c>
      <c r="I1130" s="29"/>
      <c r="J1130" s="29"/>
      <c r="K1130" s="29"/>
      <c r="L1130" s="29" t="s">
        <v>8133</v>
      </c>
      <c r="M1130" s="29"/>
      <c r="N1130" s="29" t="s">
        <v>8134</v>
      </c>
      <c r="O1130" s="29"/>
      <c r="P1130" s="29" t="s">
        <v>8135</v>
      </c>
      <c r="Q1130" t="s">
        <v>2038</v>
      </c>
      <c r="R1130" t="s">
        <v>2632</v>
      </c>
      <c r="S1130">
        <v>37</v>
      </c>
      <c r="T1130" s="43" t="str">
        <f>HYPERLINK("https://ictv.global/ictv/proposals/2021.029B.R.Flavophages_9_families.zip","2021.029B.R.Flavophages_9_families.zip")</f>
        <v>2021.029B.R.Flavophages_9_families.zip</v>
      </c>
      <c r="U1130" s="43" t="str">
        <f>HYPERLINK("https://ictv.global/taxonomy/taxondetails?taxnode_id=202213572","ictv.global=202213572")</f>
        <v>ictv.global=202213572</v>
      </c>
    </row>
    <row r="1131" spans="1:21">
      <c r="A1131">
        <v>1130</v>
      </c>
      <c r="B1131" s="29" t="s">
        <v>3682</v>
      </c>
      <c r="C1131" s="29"/>
      <c r="D1131" s="29" t="s">
        <v>3683</v>
      </c>
      <c r="E1131" s="29"/>
      <c r="F1131" s="29" t="s">
        <v>3686</v>
      </c>
      <c r="G1131" s="29"/>
      <c r="H1131" s="29" t="s">
        <v>3687</v>
      </c>
      <c r="I1131" s="29"/>
      <c r="J1131" s="29"/>
      <c r="K1131" s="29"/>
      <c r="L1131" s="29" t="s">
        <v>8133</v>
      </c>
      <c r="M1131" s="29"/>
      <c r="N1131" s="29" t="s">
        <v>8134</v>
      </c>
      <c r="O1131" s="29"/>
      <c r="P1131" s="29" t="s">
        <v>8136</v>
      </c>
      <c r="Q1131" t="s">
        <v>2038</v>
      </c>
      <c r="R1131" t="s">
        <v>2632</v>
      </c>
      <c r="S1131">
        <v>37</v>
      </c>
      <c r="T1131" s="43" t="str">
        <f>HYPERLINK("https://ictv.global/ictv/proposals/2021.029B.R.Flavophages_9_families.zip","2021.029B.R.Flavophages_9_families.zip")</f>
        <v>2021.029B.R.Flavophages_9_families.zip</v>
      </c>
      <c r="U1131" s="43" t="str">
        <f>HYPERLINK("https://ictv.global/taxonomy/taxondetails?taxnode_id=202213571","ictv.global=202213571")</f>
        <v>ictv.global=202213571</v>
      </c>
    </row>
    <row r="1132" spans="1:21">
      <c r="A1132">
        <v>1131</v>
      </c>
      <c r="B1132" s="29" t="s">
        <v>3682</v>
      </c>
      <c r="C1132" s="29"/>
      <c r="D1132" s="29" t="s">
        <v>3683</v>
      </c>
      <c r="E1132" s="29"/>
      <c r="F1132" s="29" t="s">
        <v>3686</v>
      </c>
      <c r="G1132" s="29"/>
      <c r="H1132" s="29" t="s">
        <v>3687</v>
      </c>
      <c r="I1132" s="29"/>
      <c r="J1132" s="29"/>
      <c r="K1132" s="29"/>
      <c r="L1132" s="29" t="s">
        <v>8137</v>
      </c>
      <c r="M1132" s="29"/>
      <c r="N1132" s="29" t="s">
        <v>8138</v>
      </c>
      <c r="O1132" s="29"/>
      <c r="P1132" s="29" t="s">
        <v>8139</v>
      </c>
      <c r="Q1132" t="s">
        <v>2038</v>
      </c>
      <c r="R1132" t="s">
        <v>2634</v>
      </c>
      <c r="S1132">
        <v>38</v>
      </c>
      <c r="T1132" s="43" t="str">
        <f>HYPERLINK("https://ictv.global/ictv/proposals/2022.033B.Fredfastierviridae_nf.zip","2022.033B.Fredfastierviridae_nf.zip")</f>
        <v>2022.033B.Fredfastierviridae_nf.zip</v>
      </c>
      <c r="U1132" s="43" t="str">
        <f>HYPERLINK("https://ictv.global/taxonomy/taxondetails?taxnode_id=202200706","ictv.global=202200706")</f>
        <v>ictv.global=202200706</v>
      </c>
    </row>
    <row r="1133" spans="1:21">
      <c r="A1133">
        <v>1132</v>
      </c>
      <c r="B1133" s="29" t="s">
        <v>3682</v>
      </c>
      <c r="C1133" s="29"/>
      <c r="D1133" s="29" t="s">
        <v>3683</v>
      </c>
      <c r="E1133" s="29"/>
      <c r="F1133" s="29" t="s">
        <v>3686</v>
      </c>
      <c r="G1133" s="29"/>
      <c r="H1133" s="29" t="s">
        <v>3687</v>
      </c>
      <c r="I1133" s="29"/>
      <c r="J1133" s="29"/>
      <c r="K1133" s="29"/>
      <c r="L1133" s="29" t="s">
        <v>8137</v>
      </c>
      <c r="M1133" s="29"/>
      <c r="N1133" s="29" t="s">
        <v>8138</v>
      </c>
      <c r="O1133" s="29"/>
      <c r="P1133" s="29" t="s">
        <v>8140</v>
      </c>
      <c r="Q1133" t="s">
        <v>2038</v>
      </c>
      <c r="R1133" t="s">
        <v>2634</v>
      </c>
      <c r="S1133">
        <v>38</v>
      </c>
      <c r="T1133" s="43" t="str">
        <f>HYPERLINK("https://ictv.global/ictv/proposals/2022.033B.Fredfastierviridae_nf.zip","2022.033B.Fredfastierviridae_nf.zip")</f>
        <v>2022.033B.Fredfastierviridae_nf.zip</v>
      </c>
      <c r="U1133" s="43" t="str">
        <f>HYPERLINK("https://ictv.global/taxonomy/taxondetails?taxnode_id=202212357","ictv.global=202212357")</f>
        <v>ictv.global=202212357</v>
      </c>
    </row>
    <row r="1134" spans="1:21">
      <c r="A1134">
        <v>1133</v>
      </c>
      <c r="B1134" s="29" t="s">
        <v>3682</v>
      </c>
      <c r="C1134" s="29"/>
      <c r="D1134" s="29" t="s">
        <v>3683</v>
      </c>
      <c r="E1134" s="29"/>
      <c r="F1134" s="29" t="s">
        <v>3686</v>
      </c>
      <c r="G1134" s="29"/>
      <c r="H1134" s="29" t="s">
        <v>3687</v>
      </c>
      <c r="I1134" s="29"/>
      <c r="J1134" s="29"/>
      <c r="K1134" s="29"/>
      <c r="L1134" s="29" t="s">
        <v>8141</v>
      </c>
      <c r="M1134" s="29"/>
      <c r="N1134" s="29" t="s">
        <v>8142</v>
      </c>
      <c r="O1134" s="29"/>
      <c r="P1134" s="29" t="s">
        <v>8143</v>
      </c>
      <c r="Q1134" t="s">
        <v>2038</v>
      </c>
      <c r="R1134" t="s">
        <v>2632</v>
      </c>
      <c r="S1134">
        <v>38</v>
      </c>
      <c r="T1134" s="43" t="str">
        <f t="shared" ref="T1134:T1143" si="49">HYPERLINK("https://ictv.global/ictv/proposals/2022.035B.Grimontviridae_nf.zip","2022.035B.Grimontviridae_nf.zip")</f>
        <v>2022.035B.Grimontviridae_nf.zip</v>
      </c>
      <c r="U1134" s="43" t="str">
        <f>HYPERLINK("https://ictv.global/taxonomy/taxondetails?taxnode_id=202214620","ictv.global=202214620")</f>
        <v>ictv.global=202214620</v>
      </c>
    </row>
    <row r="1135" spans="1:21">
      <c r="A1135">
        <v>1134</v>
      </c>
      <c r="B1135" s="29" t="s">
        <v>3682</v>
      </c>
      <c r="C1135" s="29"/>
      <c r="D1135" s="29" t="s">
        <v>3683</v>
      </c>
      <c r="E1135" s="29"/>
      <c r="F1135" s="29" t="s">
        <v>3686</v>
      </c>
      <c r="G1135" s="29"/>
      <c r="H1135" s="29" t="s">
        <v>3687</v>
      </c>
      <c r="I1135" s="29"/>
      <c r="J1135" s="29"/>
      <c r="K1135" s="29"/>
      <c r="L1135" s="29" t="s">
        <v>8141</v>
      </c>
      <c r="M1135" s="29"/>
      <c r="N1135" s="29" t="s">
        <v>8142</v>
      </c>
      <c r="O1135" s="29"/>
      <c r="P1135" s="29" t="s">
        <v>8144</v>
      </c>
      <c r="Q1135" t="s">
        <v>2038</v>
      </c>
      <c r="R1135" t="s">
        <v>2632</v>
      </c>
      <c r="S1135">
        <v>38</v>
      </c>
      <c r="T1135" s="43" t="str">
        <f t="shared" si="49"/>
        <v>2022.035B.Grimontviridae_nf.zip</v>
      </c>
      <c r="U1135" s="43" t="str">
        <f>HYPERLINK("https://ictv.global/taxonomy/taxondetails?taxnode_id=202214619","ictv.global=202214619")</f>
        <v>ictv.global=202214619</v>
      </c>
    </row>
    <row r="1136" spans="1:21">
      <c r="A1136">
        <v>1135</v>
      </c>
      <c r="B1136" s="29" t="s">
        <v>3682</v>
      </c>
      <c r="C1136" s="29"/>
      <c r="D1136" s="29" t="s">
        <v>3683</v>
      </c>
      <c r="E1136" s="29"/>
      <c r="F1136" s="29" t="s">
        <v>3686</v>
      </c>
      <c r="G1136" s="29"/>
      <c r="H1136" s="29" t="s">
        <v>3687</v>
      </c>
      <c r="I1136" s="29"/>
      <c r="J1136" s="29"/>
      <c r="K1136" s="29"/>
      <c r="L1136" s="29" t="s">
        <v>8141</v>
      </c>
      <c r="M1136" s="29"/>
      <c r="N1136" s="29" t="s">
        <v>8145</v>
      </c>
      <c r="O1136" s="29"/>
      <c r="P1136" s="29" t="s">
        <v>8146</v>
      </c>
      <c r="Q1136" t="s">
        <v>2038</v>
      </c>
      <c r="R1136" t="s">
        <v>2632</v>
      </c>
      <c r="S1136">
        <v>38</v>
      </c>
      <c r="T1136" s="43" t="str">
        <f t="shared" si="49"/>
        <v>2022.035B.Grimontviridae_nf.zip</v>
      </c>
      <c r="U1136" s="43" t="str">
        <f>HYPERLINK("https://ictv.global/taxonomy/taxondetails?taxnode_id=202214626","ictv.global=202214626")</f>
        <v>ictv.global=202214626</v>
      </c>
    </row>
    <row r="1137" spans="1:21">
      <c r="A1137">
        <v>1136</v>
      </c>
      <c r="B1137" s="29" t="s">
        <v>3682</v>
      </c>
      <c r="C1137" s="29"/>
      <c r="D1137" s="29" t="s">
        <v>3683</v>
      </c>
      <c r="E1137" s="29"/>
      <c r="F1137" s="29" t="s">
        <v>3686</v>
      </c>
      <c r="G1137" s="29"/>
      <c r="H1137" s="29" t="s">
        <v>3687</v>
      </c>
      <c r="I1137" s="29"/>
      <c r="J1137" s="29"/>
      <c r="K1137" s="29"/>
      <c r="L1137" s="29" t="s">
        <v>8141</v>
      </c>
      <c r="M1137" s="29"/>
      <c r="N1137" s="29" t="s">
        <v>8147</v>
      </c>
      <c r="O1137" s="29"/>
      <c r="P1137" s="29" t="s">
        <v>8148</v>
      </c>
      <c r="Q1137" t="s">
        <v>2038</v>
      </c>
      <c r="R1137" t="s">
        <v>2632</v>
      </c>
      <c r="S1137">
        <v>38</v>
      </c>
      <c r="T1137" s="43" t="str">
        <f t="shared" si="49"/>
        <v>2022.035B.Grimontviridae_nf.zip</v>
      </c>
      <c r="U1137" s="43" t="str">
        <f>HYPERLINK("https://ictv.global/taxonomy/taxondetails?taxnode_id=202214625","ictv.global=202214625")</f>
        <v>ictv.global=202214625</v>
      </c>
    </row>
    <row r="1138" spans="1:21">
      <c r="A1138">
        <v>1137</v>
      </c>
      <c r="B1138" s="29" t="s">
        <v>3682</v>
      </c>
      <c r="C1138" s="29"/>
      <c r="D1138" s="29" t="s">
        <v>3683</v>
      </c>
      <c r="E1138" s="29"/>
      <c r="F1138" s="29" t="s">
        <v>3686</v>
      </c>
      <c r="G1138" s="29"/>
      <c r="H1138" s="29" t="s">
        <v>3687</v>
      </c>
      <c r="I1138" s="29"/>
      <c r="J1138" s="29"/>
      <c r="K1138" s="29"/>
      <c r="L1138" s="29" t="s">
        <v>8141</v>
      </c>
      <c r="M1138" s="29"/>
      <c r="N1138" s="29" t="s">
        <v>8149</v>
      </c>
      <c r="O1138" s="29"/>
      <c r="P1138" s="29" t="s">
        <v>8150</v>
      </c>
      <c r="Q1138" t="s">
        <v>2038</v>
      </c>
      <c r="R1138" t="s">
        <v>2632</v>
      </c>
      <c r="S1138">
        <v>38</v>
      </c>
      <c r="T1138" s="43" t="str">
        <f t="shared" si="49"/>
        <v>2022.035B.Grimontviridae_nf.zip</v>
      </c>
      <c r="U1138" s="43" t="str">
        <f>HYPERLINK("https://ictv.global/taxonomy/taxondetails?taxnode_id=202214621","ictv.global=202214621")</f>
        <v>ictv.global=202214621</v>
      </c>
    </row>
    <row r="1139" spans="1:21">
      <c r="A1139">
        <v>1138</v>
      </c>
      <c r="B1139" s="29" t="s">
        <v>3682</v>
      </c>
      <c r="C1139" s="29"/>
      <c r="D1139" s="29" t="s">
        <v>3683</v>
      </c>
      <c r="E1139" s="29"/>
      <c r="F1139" s="29" t="s">
        <v>3686</v>
      </c>
      <c r="G1139" s="29"/>
      <c r="H1139" s="29" t="s">
        <v>3687</v>
      </c>
      <c r="I1139" s="29"/>
      <c r="J1139" s="29"/>
      <c r="K1139" s="29"/>
      <c r="L1139" s="29" t="s">
        <v>8141</v>
      </c>
      <c r="M1139" s="29"/>
      <c r="N1139" s="29" t="s">
        <v>8149</v>
      </c>
      <c r="O1139" s="29"/>
      <c r="P1139" s="29" t="s">
        <v>8151</v>
      </c>
      <c r="Q1139" t="s">
        <v>2038</v>
      </c>
      <c r="R1139" t="s">
        <v>2632</v>
      </c>
      <c r="S1139">
        <v>38</v>
      </c>
      <c r="T1139" s="43" t="str">
        <f t="shared" si="49"/>
        <v>2022.035B.Grimontviridae_nf.zip</v>
      </c>
      <c r="U1139" s="43" t="str">
        <f>HYPERLINK("https://ictv.global/taxonomy/taxondetails?taxnode_id=202214622","ictv.global=202214622")</f>
        <v>ictv.global=202214622</v>
      </c>
    </row>
    <row r="1140" spans="1:21">
      <c r="A1140">
        <v>1139</v>
      </c>
      <c r="B1140" s="29" t="s">
        <v>3682</v>
      </c>
      <c r="C1140" s="29"/>
      <c r="D1140" s="29" t="s">
        <v>3683</v>
      </c>
      <c r="E1140" s="29"/>
      <c r="F1140" s="29" t="s">
        <v>3686</v>
      </c>
      <c r="G1140" s="29"/>
      <c r="H1140" s="29" t="s">
        <v>3687</v>
      </c>
      <c r="I1140" s="29"/>
      <c r="J1140" s="29"/>
      <c r="K1140" s="29"/>
      <c r="L1140" s="29" t="s">
        <v>8141</v>
      </c>
      <c r="M1140" s="29"/>
      <c r="N1140" s="29" t="s">
        <v>4609</v>
      </c>
      <c r="O1140" s="29"/>
      <c r="P1140" s="29" t="s">
        <v>8152</v>
      </c>
      <c r="Q1140" t="s">
        <v>2038</v>
      </c>
      <c r="R1140" t="s">
        <v>2632</v>
      </c>
      <c r="S1140">
        <v>38</v>
      </c>
      <c r="T1140" s="43" t="str">
        <f t="shared" si="49"/>
        <v>2022.035B.Grimontviridae_nf.zip</v>
      </c>
      <c r="U1140" s="43" t="str">
        <f>HYPERLINK("https://ictv.global/taxonomy/taxondetails?taxnode_id=202214624","ictv.global=202214624")</f>
        <v>ictv.global=202214624</v>
      </c>
    </row>
    <row r="1141" spans="1:21">
      <c r="A1141">
        <v>1140</v>
      </c>
      <c r="B1141" s="29" t="s">
        <v>3682</v>
      </c>
      <c r="C1141" s="29"/>
      <c r="D1141" s="29" t="s">
        <v>3683</v>
      </c>
      <c r="E1141" s="29"/>
      <c r="F1141" s="29" t="s">
        <v>3686</v>
      </c>
      <c r="G1141" s="29"/>
      <c r="H1141" s="29" t="s">
        <v>3687</v>
      </c>
      <c r="I1141" s="29"/>
      <c r="J1141" s="29"/>
      <c r="K1141" s="29"/>
      <c r="L1141" s="29" t="s">
        <v>8141</v>
      </c>
      <c r="M1141" s="29"/>
      <c r="N1141" s="29" t="s">
        <v>4609</v>
      </c>
      <c r="O1141" s="29"/>
      <c r="P1141" s="29" t="s">
        <v>8153</v>
      </c>
      <c r="Q1141" t="s">
        <v>2038</v>
      </c>
      <c r="R1141" t="s">
        <v>2632</v>
      </c>
      <c r="S1141">
        <v>38</v>
      </c>
      <c r="T1141" s="43" t="str">
        <f t="shared" si="49"/>
        <v>2022.035B.Grimontviridae_nf.zip</v>
      </c>
      <c r="U1141" s="43" t="str">
        <f>HYPERLINK("https://ictv.global/taxonomy/taxondetails?taxnode_id=202214623","ictv.global=202214623")</f>
        <v>ictv.global=202214623</v>
      </c>
    </row>
    <row r="1142" spans="1:21">
      <c r="A1142">
        <v>1141</v>
      </c>
      <c r="B1142" s="29" t="s">
        <v>3682</v>
      </c>
      <c r="C1142" s="29"/>
      <c r="D1142" s="29" t="s">
        <v>3683</v>
      </c>
      <c r="E1142" s="29"/>
      <c r="F1142" s="29" t="s">
        <v>3686</v>
      </c>
      <c r="G1142" s="29"/>
      <c r="H1142" s="29" t="s">
        <v>3687</v>
      </c>
      <c r="I1142" s="29"/>
      <c r="J1142" s="29"/>
      <c r="K1142" s="29"/>
      <c r="L1142" s="29" t="s">
        <v>8141</v>
      </c>
      <c r="M1142" s="29"/>
      <c r="N1142" s="29" t="s">
        <v>4609</v>
      </c>
      <c r="O1142" s="29"/>
      <c r="P1142" s="29" t="s">
        <v>8154</v>
      </c>
      <c r="Q1142" t="s">
        <v>2038</v>
      </c>
      <c r="R1142" t="s">
        <v>2634</v>
      </c>
      <c r="S1142">
        <v>38</v>
      </c>
      <c r="T1142" s="43" t="str">
        <f t="shared" si="49"/>
        <v>2022.035B.Grimontviridae_nf.zip</v>
      </c>
      <c r="U1142" s="43" t="str">
        <f>HYPERLINK("https://ictv.global/taxonomy/taxondetails?taxnode_id=202211625","ictv.global=202211625")</f>
        <v>ictv.global=202211625</v>
      </c>
    </row>
    <row r="1143" spans="1:21">
      <c r="A1143">
        <v>1142</v>
      </c>
      <c r="B1143" s="29" t="s">
        <v>3682</v>
      </c>
      <c r="C1143" s="29"/>
      <c r="D1143" s="29" t="s">
        <v>3683</v>
      </c>
      <c r="E1143" s="29"/>
      <c r="F1143" s="29" t="s">
        <v>3686</v>
      </c>
      <c r="G1143" s="29"/>
      <c r="H1143" s="29" t="s">
        <v>3687</v>
      </c>
      <c r="I1143" s="29"/>
      <c r="J1143" s="29"/>
      <c r="K1143" s="29"/>
      <c r="L1143" s="29" t="s">
        <v>8141</v>
      </c>
      <c r="M1143" s="29"/>
      <c r="N1143" s="29" t="s">
        <v>4609</v>
      </c>
      <c r="O1143" s="29"/>
      <c r="P1143" s="29" t="s">
        <v>8155</v>
      </c>
      <c r="Q1143" t="s">
        <v>2038</v>
      </c>
      <c r="R1143" t="s">
        <v>2634</v>
      </c>
      <c r="S1143">
        <v>38</v>
      </c>
      <c r="T1143" s="43" t="str">
        <f t="shared" si="49"/>
        <v>2022.035B.Grimontviridae_nf.zip</v>
      </c>
      <c r="U1143" s="43" t="str">
        <f>HYPERLINK("https://ictv.global/taxonomy/taxondetails?taxnode_id=202211626","ictv.global=202211626")</f>
        <v>ictv.global=202211626</v>
      </c>
    </row>
    <row r="1144" spans="1:21">
      <c r="A1144">
        <v>1143</v>
      </c>
      <c r="B1144" s="29" t="s">
        <v>3682</v>
      </c>
      <c r="C1144" s="29"/>
      <c r="D1144" s="29" t="s">
        <v>3683</v>
      </c>
      <c r="E1144" s="29"/>
      <c r="F1144" s="29" t="s">
        <v>3686</v>
      </c>
      <c r="G1144" s="29"/>
      <c r="H1144" s="29" t="s">
        <v>3687</v>
      </c>
      <c r="I1144" s="29"/>
      <c r="J1144" s="29"/>
      <c r="K1144" s="29"/>
      <c r="L1144" s="29" t="s">
        <v>4512</v>
      </c>
      <c r="M1144" s="29" t="s">
        <v>4513</v>
      </c>
      <c r="N1144" s="29" t="s">
        <v>4514</v>
      </c>
      <c r="O1144" s="29"/>
      <c r="P1144" s="29" t="s">
        <v>8156</v>
      </c>
      <c r="Q1144" t="s">
        <v>2038</v>
      </c>
      <c r="R1144" t="s">
        <v>2633</v>
      </c>
      <c r="S1144">
        <v>37</v>
      </c>
      <c r="T1144" s="43" t="str">
        <f t="shared" ref="T1144:T1151" si="50">HYPERLINK("https://ictv.global/ictv/proposals/2021.010B.R.Binomial_names.zip","2021.010B.R.Binomial_names.zip")</f>
        <v>2021.010B.R.Binomial_names.zip</v>
      </c>
      <c r="U1144" s="43" t="str">
        <f>HYPERLINK("https://ictv.global/taxonomy/taxondetails?taxnode_id=202210061","ictv.global=202210061")</f>
        <v>ictv.global=202210061</v>
      </c>
    </row>
    <row r="1145" spans="1:21">
      <c r="A1145">
        <v>1144</v>
      </c>
      <c r="B1145" s="29" t="s">
        <v>3682</v>
      </c>
      <c r="C1145" s="29"/>
      <c r="D1145" s="29" t="s">
        <v>3683</v>
      </c>
      <c r="E1145" s="29"/>
      <c r="F1145" s="29" t="s">
        <v>3686</v>
      </c>
      <c r="G1145" s="29"/>
      <c r="H1145" s="29" t="s">
        <v>3687</v>
      </c>
      <c r="I1145" s="29"/>
      <c r="J1145" s="29"/>
      <c r="K1145" s="29"/>
      <c r="L1145" s="29" t="s">
        <v>4512</v>
      </c>
      <c r="M1145" s="29" t="s">
        <v>4513</v>
      </c>
      <c r="N1145" s="29" t="s">
        <v>4515</v>
      </c>
      <c r="O1145" s="29"/>
      <c r="P1145" s="29" t="s">
        <v>8157</v>
      </c>
      <c r="Q1145" t="s">
        <v>2038</v>
      </c>
      <c r="R1145" t="s">
        <v>2633</v>
      </c>
      <c r="S1145">
        <v>37</v>
      </c>
      <c r="T1145" s="43" t="str">
        <f t="shared" si="50"/>
        <v>2021.010B.R.Binomial_names.zip</v>
      </c>
      <c r="U1145" s="43" t="str">
        <f>HYPERLINK("https://ictv.global/taxonomy/taxondetails?taxnode_id=202210059","ictv.global=202210059")</f>
        <v>ictv.global=202210059</v>
      </c>
    </row>
    <row r="1146" spans="1:21">
      <c r="A1146">
        <v>1145</v>
      </c>
      <c r="B1146" s="29" t="s">
        <v>3682</v>
      </c>
      <c r="C1146" s="29"/>
      <c r="D1146" s="29" t="s">
        <v>3683</v>
      </c>
      <c r="E1146" s="29"/>
      <c r="F1146" s="29" t="s">
        <v>3686</v>
      </c>
      <c r="G1146" s="29"/>
      <c r="H1146" s="29" t="s">
        <v>3687</v>
      </c>
      <c r="I1146" s="29"/>
      <c r="J1146" s="29"/>
      <c r="K1146" s="29"/>
      <c r="L1146" s="29" t="s">
        <v>4512</v>
      </c>
      <c r="M1146" s="29" t="s">
        <v>4513</v>
      </c>
      <c r="N1146" s="29" t="s">
        <v>4515</v>
      </c>
      <c r="O1146" s="29"/>
      <c r="P1146" s="29" t="s">
        <v>8158</v>
      </c>
      <c r="Q1146" t="s">
        <v>2038</v>
      </c>
      <c r="R1146" t="s">
        <v>2633</v>
      </c>
      <c r="S1146">
        <v>37</v>
      </c>
      <c r="T1146" s="43" t="str">
        <f t="shared" si="50"/>
        <v>2021.010B.R.Binomial_names.zip</v>
      </c>
      <c r="U1146" s="43" t="str">
        <f>HYPERLINK("https://ictv.global/taxonomy/taxondetails?taxnode_id=202210058","ictv.global=202210058")</f>
        <v>ictv.global=202210058</v>
      </c>
    </row>
    <row r="1147" spans="1:21">
      <c r="A1147">
        <v>1146</v>
      </c>
      <c r="B1147" s="29" t="s">
        <v>3682</v>
      </c>
      <c r="C1147" s="29"/>
      <c r="D1147" s="29" t="s">
        <v>3683</v>
      </c>
      <c r="E1147" s="29"/>
      <c r="F1147" s="29" t="s">
        <v>3686</v>
      </c>
      <c r="G1147" s="29"/>
      <c r="H1147" s="29" t="s">
        <v>3687</v>
      </c>
      <c r="I1147" s="29"/>
      <c r="J1147" s="29"/>
      <c r="K1147" s="29"/>
      <c r="L1147" s="29" t="s">
        <v>4512</v>
      </c>
      <c r="M1147" s="29" t="s">
        <v>4513</v>
      </c>
      <c r="N1147" s="29" t="s">
        <v>4515</v>
      </c>
      <c r="O1147" s="29"/>
      <c r="P1147" s="29" t="s">
        <v>8159</v>
      </c>
      <c r="Q1147" t="s">
        <v>2038</v>
      </c>
      <c r="R1147" t="s">
        <v>2633</v>
      </c>
      <c r="S1147">
        <v>37</v>
      </c>
      <c r="T1147" s="43" t="str">
        <f t="shared" si="50"/>
        <v>2021.010B.R.Binomial_names.zip</v>
      </c>
      <c r="U1147" s="43" t="str">
        <f>HYPERLINK("https://ictv.global/taxonomy/taxondetails?taxnode_id=202210057","ictv.global=202210057")</f>
        <v>ictv.global=202210057</v>
      </c>
    </row>
    <row r="1148" spans="1:21">
      <c r="A1148">
        <v>1147</v>
      </c>
      <c r="B1148" s="29" t="s">
        <v>3682</v>
      </c>
      <c r="C1148" s="29"/>
      <c r="D1148" s="29" t="s">
        <v>3683</v>
      </c>
      <c r="E1148" s="29"/>
      <c r="F1148" s="29" t="s">
        <v>3686</v>
      </c>
      <c r="G1148" s="29"/>
      <c r="H1148" s="29" t="s">
        <v>3687</v>
      </c>
      <c r="I1148" s="29"/>
      <c r="J1148" s="29"/>
      <c r="K1148" s="29"/>
      <c r="L1148" s="29" t="s">
        <v>4512</v>
      </c>
      <c r="M1148" s="29"/>
      <c r="N1148" s="29" t="s">
        <v>4516</v>
      </c>
      <c r="O1148" s="29"/>
      <c r="P1148" s="29" t="s">
        <v>8160</v>
      </c>
      <c r="Q1148" t="s">
        <v>2038</v>
      </c>
      <c r="R1148" t="s">
        <v>2633</v>
      </c>
      <c r="S1148">
        <v>37</v>
      </c>
      <c r="T1148" s="43" t="str">
        <f t="shared" si="50"/>
        <v>2021.010B.R.Binomial_names.zip</v>
      </c>
      <c r="U1148" s="43" t="str">
        <f>HYPERLINK("https://ictv.global/taxonomy/taxondetails?taxnode_id=202210063","ictv.global=202210063")</f>
        <v>ictv.global=202210063</v>
      </c>
    </row>
    <row r="1149" spans="1:21">
      <c r="A1149">
        <v>1148</v>
      </c>
      <c r="B1149" s="29" t="s">
        <v>3682</v>
      </c>
      <c r="C1149" s="29"/>
      <c r="D1149" s="29" t="s">
        <v>3683</v>
      </c>
      <c r="E1149" s="29"/>
      <c r="F1149" s="29" t="s">
        <v>3686</v>
      </c>
      <c r="G1149" s="29"/>
      <c r="H1149" s="29" t="s">
        <v>3687</v>
      </c>
      <c r="I1149" s="29"/>
      <c r="J1149" s="29"/>
      <c r="K1149" s="29"/>
      <c r="L1149" s="29" t="s">
        <v>4512</v>
      </c>
      <c r="M1149" s="29"/>
      <c r="N1149" s="29" t="s">
        <v>4516</v>
      </c>
      <c r="O1149" s="29"/>
      <c r="P1149" s="29" t="s">
        <v>8161</v>
      </c>
      <c r="Q1149" t="s">
        <v>2038</v>
      </c>
      <c r="R1149" t="s">
        <v>2633</v>
      </c>
      <c r="S1149">
        <v>37</v>
      </c>
      <c r="T1149" s="43" t="str">
        <f t="shared" si="50"/>
        <v>2021.010B.R.Binomial_names.zip</v>
      </c>
      <c r="U1149" s="43" t="str">
        <f>HYPERLINK("https://ictv.global/taxonomy/taxondetails?taxnode_id=202210066","ictv.global=202210066")</f>
        <v>ictv.global=202210066</v>
      </c>
    </row>
    <row r="1150" spans="1:21">
      <c r="A1150">
        <v>1149</v>
      </c>
      <c r="B1150" s="29" t="s">
        <v>3682</v>
      </c>
      <c r="C1150" s="29"/>
      <c r="D1150" s="29" t="s">
        <v>3683</v>
      </c>
      <c r="E1150" s="29"/>
      <c r="F1150" s="29" t="s">
        <v>3686</v>
      </c>
      <c r="G1150" s="29"/>
      <c r="H1150" s="29" t="s">
        <v>3687</v>
      </c>
      <c r="I1150" s="29"/>
      <c r="J1150" s="29"/>
      <c r="K1150" s="29"/>
      <c r="L1150" s="29" t="s">
        <v>4512</v>
      </c>
      <c r="M1150" s="29"/>
      <c r="N1150" s="29" t="s">
        <v>4516</v>
      </c>
      <c r="O1150" s="29"/>
      <c r="P1150" s="29" t="s">
        <v>8162</v>
      </c>
      <c r="Q1150" t="s">
        <v>2038</v>
      </c>
      <c r="R1150" t="s">
        <v>2633</v>
      </c>
      <c r="S1150">
        <v>37</v>
      </c>
      <c r="T1150" s="43" t="str">
        <f t="shared" si="50"/>
        <v>2021.010B.R.Binomial_names.zip</v>
      </c>
      <c r="U1150" s="43" t="str">
        <f>HYPERLINK("https://ictv.global/taxonomy/taxondetails?taxnode_id=202210065","ictv.global=202210065")</f>
        <v>ictv.global=202210065</v>
      </c>
    </row>
    <row r="1151" spans="1:21">
      <c r="A1151">
        <v>1150</v>
      </c>
      <c r="B1151" s="29" t="s">
        <v>3682</v>
      </c>
      <c r="C1151" s="29"/>
      <c r="D1151" s="29" t="s">
        <v>3683</v>
      </c>
      <c r="E1151" s="29"/>
      <c r="F1151" s="29" t="s">
        <v>3686</v>
      </c>
      <c r="G1151" s="29"/>
      <c r="H1151" s="29" t="s">
        <v>3687</v>
      </c>
      <c r="I1151" s="29"/>
      <c r="J1151" s="29"/>
      <c r="K1151" s="29"/>
      <c r="L1151" s="29" t="s">
        <v>4512</v>
      </c>
      <c r="M1151" s="29"/>
      <c r="N1151" s="29" t="s">
        <v>4516</v>
      </c>
      <c r="O1151" s="29"/>
      <c r="P1151" s="29" t="s">
        <v>8163</v>
      </c>
      <c r="Q1151" t="s">
        <v>2038</v>
      </c>
      <c r="R1151" t="s">
        <v>2633</v>
      </c>
      <c r="S1151">
        <v>37</v>
      </c>
      <c r="T1151" s="43" t="str">
        <f t="shared" si="50"/>
        <v>2021.010B.R.Binomial_names.zip</v>
      </c>
      <c r="U1151" s="43" t="str">
        <f>HYPERLINK("https://ictv.global/taxonomy/taxondetails?taxnode_id=202210064","ictv.global=202210064")</f>
        <v>ictv.global=202210064</v>
      </c>
    </row>
    <row r="1152" spans="1:21">
      <c r="A1152">
        <v>1151</v>
      </c>
      <c r="B1152" s="29" t="s">
        <v>3682</v>
      </c>
      <c r="C1152" s="29"/>
      <c r="D1152" s="29" t="s">
        <v>3683</v>
      </c>
      <c r="E1152" s="29"/>
      <c r="F1152" s="29" t="s">
        <v>3686</v>
      </c>
      <c r="G1152" s="29"/>
      <c r="H1152" s="29" t="s">
        <v>3687</v>
      </c>
      <c r="I1152" s="29"/>
      <c r="J1152" s="29"/>
      <c r="K1152" s="29"/>
      <c r="L1152" s="29" t="s">
        <v>4512</v>
      </c>
      <c r="M1152" s="29"/>
      <c r="N1152" s="29" t="s">
        <v>8164</v>
      </c>
      <c r="O1152" s="29"/>
      <c r="P1152" s="29" t="s">
        <v>8165</v>
      </c>
      <c r="Q1152" t="s">
        <v>2038</v>
      </c>
      <c r="R1152" t="s">
        <v>2632</v>
      </c>
      <c r="S1152">
        <v>38</v>
      </c>
      <c r="T1152" s="43" t="str">
        <f>HYPERLINK("https://ictv.global/ictv/proposals/2022.037B.Hzauvirus_ng.zip","2022.037B.Hzauvirus_ng.zip")</f>
        <v>2022.037B.Hzauvirus_ng.zip</v>
      </c>
      <c r="U1152" s="43" t="str">
        <f>HYPERLINK("https://ictv.global/taxonomy/taxondetails?taxnode_id=202214630","ictv.global=202214630")</f>
        <v>ictv.global=202214630</v>
      </c>
    </row>
    <row r="1153" spans="1:21">
      <c r="A1153">
        <v>1152</v>
      </c>
      <c r="B1153" s="29" t="s">
        <v>3682</v>
      </c>
      <c r="C1153" s="29"/>
      <c r="D1153" s="29" t="s">
        <v>3683</v>
      </c>
      <c r="E1153" s="29"/>
      <c r="F1153" s="29" t="s">
        <v>3686</v>
      </c>
      <c r="G1153" s="29"/>
      <c r="H1153" s="29" t="s">
        <v>3687</v>
      </c>
      <c r="I1153" s="29"/>
      <c r="J1153" s="29"/>
      <c r="K1153" s="29"/>
      <c r="L1153" s="29" t="s">
        <v>4512</v>
      </c>
      <c r="M1153" s="29"/>
      <c r="N1153" s="29" t="s">
        <v>4517</v>
      </c>
      <c r="O1153" s="29"/>
      <c r="P1153" s="29" t="s">
        <v>8166</v>
      </c>
      <c r="Q1153" t="s">
        <v>2038</v>
      </c>
      <c r="R1153" t="s">
        <v>2633</v>
      </c>
      <c r="S1153">
        <v>37</v>
      </c>
      <c r="T1153" s="43" t="str">
        <f>HYPERLINK("https://ictv.global/ictv/proposals/2021.010B.R.Binomial_names.zip","2021.010B.R.Binomial_names.zip")</f>
        <v>2021.010B.R.Binomial_names.zip</v>
      </c>
      <c r="U1153" s="43" t="str">
        <f>HYPERLINK("https://ictv.global/taxonomy/taxondetails?taxnode_id=202210068","ictv.global=202210068")</f>
        <v>ictv.global=202210068</v>
      </c>
    </row>
    <row r="1154" spans="1:21">
      <c r="A1154">
        <v>1153</v>
      </c>
      <c r="B1154" s="29" t="s">
        <v>3682</v>
      </c>
      <c r="C1154" s="29"/>
      <c r="D1154" s="29" t="s">
        <v>3683</v>
      </c>
      <c r="E1154" s="29"/>
      <c r="F1154" s="29" t="s">
        <v>3686</v>
      </c>
      <c r="G1154" s="29"/>
      <c r="H1154" s="29" t="s">
        <v>3687</v>
      </c>
      <c r="I1154" s="29"/>
      <c r="J1154" s="29"/>
      <c r="K1154" s="29"/>
      <c r="L1154" s="29" t="s">
        <v>8167</v>
      </c>
      <c r="M1154" s="29"/>
      <c r="N1154" s="29" t="s">
        <v>8168</v>
      </c>
      <c r="O1154" s="29"/>
      <c r="P1154" s="29" t="s">
        <v>8169</v>
      </c>
      <c r="Q1154" t="s">
        <v>2038</v>
      </c>
      <c r="R1154" t="s">
        <v>2632</v>
      </c>
      <c r="S1154">
        <v>37</v>
      </c>
      <c r="T1154" s="43" t="str">
        <f>HYPERLINK("https://ictv.global/ictv/proposals/2021.029B.R.Flavophages_9_families.zip","2021.029B.R.Flavophages_9_families.zip")</f>
        <v>2021.029B.R.Flavophages_9_families.zip</v>
      </c>
      <c r="U1154" s="43" t="str">
        <f>HYPERLINK("https://ictv.global/taxonomy/taxondetails?taxnode_id=202213558","ictv.global=202213558")</f>
        <v>ictv.global=202213558</v>
      </c>
    </row>
    <row r="1155" spans="1:21">
      <c r="A1155">
        <v>1154</v>
      </c>
      <c r="B1155" s="29" t="s">
        <v>3682</v>
      </c>
      <c r="C1155" s="29"/>
      <c r="D1155" s="29" t="s">
        <v>3683</v>
      </c>
      <c r="E1155" s="29"/>
      <c r="F1155" s="29" t="s">
        <v>3686</v>
      </c>
      <c r="G1155" s="29"/>
      <c r="H1155" s="29" t="s">
        <v>3687</v>
      </c>
      <c r="I1155" s="29"/>
      <c r="J1155" s="29"/>
      <c r="K1155" s="29"/>
      <c r="L1155" s="29" t="s">
        <v>3363</v>
      </c>
      <c r="M1155" s="29" t="s">
        <v>3364</v>
      </c>
      <c r="N1155" s="29" t="s">
        <v>2055</v>
      </c>
      <c r="O1155" s="29"/>
      <c r="P1155" s="29" t="s">
        <v>8170</v>
      </c>
      <c r="Q1155" t="s">
        <v>2038</v>
      </c>
      <c r="R1155" t="s">
        <v>2633</v>
      </c>
      <c r="S1155">
        <v>37</v>
      </c>
      <c r="T1155" s="43" t="str">
        <f t="shared" ref="T1155:T1186" si="51">HYPERLINK("https://ictv.global/ictv/proposals/2021.010B.R.Binomial_names.zip","2021.010B.R.Binomial_names.zip")</f>
        <v>2021.010B.R.Binomial_names.zip</v>
      </c>
      <c r="U1155" s="43" t="str">
        <f>HYPERLINK("https://ictv.global/taxonomy/taxondetails?taxnode_id=202200367","ictv.global=202200367")</f>
        <v>ictv.global=202200367</v>
      </c>
    </row>
    <row r="1156" spans="1:21">
      <c r="A1156">
        <v>1155</v>
      </c>
      <c r="B1156" s="29" t="s">
        <v>3682</v>
      </c>
      <c r="C1156" s="29"/>
      <c r="D1156" s="29" t="s">
        <v>3683</v>
      </c>
      <c r="E1156" s="29"/>
      <c r="F1156" s="29" t="s">
        <v>3686</v>
      </c>
      <c r="G1156" s="29"/>
      <c r="H1156" s="29" t="s">
        <v>3687</v>
      </c>
      <c r="I1156" s="29"/>
      <c r="J1156" s="29"/>
      <c r="K1156" s="29"/>
      <c r="L1156" s="29" t="s">
        <v>3363</v>
      </c>
      <c r="M1156" s="29" t="s">
        <v>3364</v>
      </c>
      <c r="N1156" s="29" t="s">
        <v>2055</v>
      </c>
      <c r="O1156" s="29"/>
      <c r="P1156" s="29" t="s">
        <v>8171</v>
      </c>
      <c r="Q1156" t="s">
        <v>2038</v>
      </c>
      <c r="R1156" t="s">
        <v>2633</v>
      </c>
      <c r="S1156">
        <v>37</v>
      </c>
      <c r="T1156" s="43" t="str">
        <f t="shared" si="51"/>
        <v>2021.010B.R.Binomial_names.zip</v>
      </c>
      <c r="U1156" s="43" t="str">
        <f>HYPERLINK("https://ictv.global/taxonomy/taxondetails?taxnode_id=202200368","ictv.global=202200368")</f>
        <v>ictv.global=202200368</v>
      </c>
    </row>
    <row r="1157" spans="1:21">
      <c r="A1157">
        <v>1156</v>
      </c>
      <c r="B1157" s="29" t="s">
        <v>3682</v>
      </c>
      <c r="C1157" s="29"/>
      <c r="D1157" s="29" t="s">
        <v>3683</v>
      </c>
      <c r="E1157" s="29"/>
      <c r="F1157" s="29" t="s">
        <v>3686</v>
      </c>
      <c r="G1157" s="29"/>
      <c r="H1157" s="29" t="s">
        <v>3687</v>
      </c>
      <c r="I1157" s="29"/>
      <c r="J1157" s="29"/>
      <c r="K1157" s="29"/>
      <c r="L1157" s="29" t="s">
        <v>3363</v>
      </c>
      <c r="M1157" s="29" t="s">
        <v>3364</v>
      </c>
      <c r="N1157" s="29" t="s">
        <v>2055</v>
      </c>
      <c r="O1157" s="29"/>
      <c r="P1157" s="29" t="s">
        <v>8172</v>
      </c>
      <c r="Q1157" t="s">
        <v>2038</v>
      </c>
      <c r="R1157" t="s">
        <v>2633</v>
      </c>
      <c r="S1157">
        <v>37</v>
      </c>
      <c r="T1157" s="43" t="str">
        <f t="shared" si="51"/>
        <v>2021.010B.R.Binomial_names.zip</v>
      </c>
      <c r="U1157" s="43" t="str">
        <f>HYPERLINK("https://ictv.global/taxonomy/taxondetails?taxnode_id=202200369","ictv.global=202200369")</f>
        <v>ictv.global=202200369</v>
      </c>
    </row>
    <row r="1158" spans="1:21">
      <c r="A1158">
        <v>1157</v>
      </c>
      <c r="B1158" s="29" t="s">
        <v>3682</v>
      </c>
      <c r="C1158" s="29"/>
      <c r="D1158" s="29" t="s">
        <v>3683</v>
      </c>
      <c r="E1158" s="29"/>
      <c r="F1158" s="29" t="s">
        <v>3686</v>
      </c>
      <c r="G1158" s="29"/>
      <c r="H1158" s="29" t="s">
        <v>3687</v>
      </c>
      <c r="I1158" s="29"/>
      <c r="J1158" s="29"/>
      <c r="K1158" s="29"/>
      <c r="L1158" s="29" t="s">
        <v>3363</v>
      </c>
      <c r="M1158" s="29" t="s">
        <v>3364</v>
      </c>
      <c r="N1158" s="29" t="s">
        <v>2056</v>
      </c>
      <c r="O1158" s="29"/>
      <c r="P1158" s="29" t="s">
        <v>8173</v>
      </c>
      <c r="Q1158" t="s">
        <v>2038</v>
      </c>
      <c r="R1158" t="s">
        <v>2633</v>
      </c>
      <c r="S1158">
        <v>37</v>
      </c>
      <c r="T1158" s="43" t="str">
        <f t="shared" si="51"/>
        <v>2021.010B.R.Binomial_names.zip</v>
      </c>
      <c r="U1158" s="43" t="str">
        <f>HYPERLINK("https://ictv.global/taxonomy/taxondetails?taxnode_id=202200392","ictv.global=202200392")</f>
        <v>ictv.global=202200392</v>
      </c>
    </row>
    <row r="1159" spans="1:21">
      <c r="A1159">
        <v>1158</v>
      </c>
      <c r="B1159" s="29" t="s">
        <v>3682</v>
      </c>
      <c r="C1159" s="29"/>
      <c r="D1159" s="29" t="s">
        <v>3683</v>
      </c>
      <c r="E1159" s="29"/>
      <c r="F1159" s="29" t="s">
        <v>3686</v>
      </c>
      <c r="G1159" s="29"/>
      <c r="H1159" s="29" t="s">
        <v>3687</v>
      </c>
      <c r="I1159" s="29"/>
      <c r="J1159" s="29"/>
      <c r="K1159" s="29"/>
      <c r="L1159" s="29" t="s">
        <v>3363</v>
      </c>
      <c r="M1159" s="29" t="s">
        <v>3364</v>
      </c>
      <c r="N1159" s="29" t="s">
        <v>2056</v>
      </c>
      <c r="O1159" s="29"/>
      <c r="P1159" s="29" t="s">
        <v>8174</v>
      </c>
      <c r="Q1159" t="s">
        <v>2038</v>
      </c>
      <c r="R1159" t="s">
        <v>2633</v>
      </c>
      <c r="S1159">
        <v>37</v>
      </c>
      <c r="T1159" s="43" t="str">
        <f t="shared" si="51"/>
        <v>2021.010B.R.Binomial_names.zip</v>
      </c>
      <c r="U1159" s="43" t="str">
        <f>HYPERLINK("https://ictv.global/taxonomy/taxondetails?taxnode_id=202200393","ictv.global=202200393")</f>
        <v>ictv.global=202200393</v>
      </c>
    </row>
    <row r="1160" spans="1:21">
      <c r="A1160">
        <v>1159</v>
      </c>
      <c r="B1160" s="29" t="s">
        <v>3682</v>
      </c>
      <c r="C1160" s="29"/>
      <c r="D1160" s="29" t="s">
        <v>3683</v>
      </c>
      <c r="E1160" s="29"/>
      <c r="F1160" s="29" t="s">
        <v>3686</v>
      </c>
      <c r="G1160" s="29"/>
      <c r="H1160" s="29" t="s">
        <v>3687</v>
      </c>
      <c r="I1160" s="29"/>
      <c r="J1160" s="29"/>
      <c r="K1160" s="29"/>
      <c r="L1160" s="29" t="s">
        <v>3363</v>
      </c>
      <c r="M1160" s="29" t="s">
        <v>3364</v>
      </c>
      <c r="N1160" s="29" t="s">
        <v>2056</v>
      </c>
      <c r="O1160" s="29"/>
      <c r="P1160" s="29" t="s">
        <v>8175</v>
      </c>
      <c r="Q1160" t="s">
        <v>2038</v>
      </c>
      <c r="R1160" t="s">
        <v>2633</v>
      </c>
      <c r="S1160">
        <v>37</v>
      </c>
      <c r="T1160" s="43" t="str">
        <f t="shared" si="51"/>
        <v>2021.010B.R.Binomial_names.zip</v>
      </c>
      <c r="U1160" s="43" t="str">
        <f>HYPERLINK("https://ictv.global/taxonomy/taxondetails?taxnode_id=202206960","ictv.global=202206960")</f>
        <v>ictv.global=202206960</v>
      </c>
    </row>
    <row r="1161" spans="1:21">
      <c r="A1161">
        <v>1160</v>
      </c>
      <c r="B1161" s="29" t="s">
        <v>3682</v>
      </c>
      <c r="C1161" s="29"/>
      <c r="D1161" s="29" t="s">
        <v>3683</v>
      </c>
      <c r="E1161" s="29"/>
      <c r="F1161" s="29" t="s">
        <v>3686</v>
      </c>
      <c r="G1161" s="29"/>
      <c r="H1161" s="29" t="s">
        <v>3687</v>
      </c>
      <c r="I1161" s="29"/>
      <c r="J1161" s="29"/>
      <c r="K1161" s="29"/>
      <c r="L1161" s="29" t="s">
        <v>3363</v>
      </c>
      <c r="M1161" s="29" t="s">
        <v>3364</v>
      </c>
      <c r="N1161" s="29" t="s">
        <v>2056</v>
      </c>
      <c r="O1161" s="29"/>
      <c r="P1161" s="29" t="s">
        <v>8176</v>
      </c>
      <c r="Q1161" t="s">
        <v>2038</v>
      </c>
      <c r="R1161" t="s">
        <v>2633</v>
      </c>
      <c r="S1161">
        <v>37</v>
      </c>
      <c r="T1161" s="43" t="str">
        <f t="shared" si="51"/>
        <v>2021.010B.R.Binomial_names.zip</v>
      </c>
      <c r="U1161" s="43" t="str">
        <f>HYPERLINK("https://ictv.global/taxonomy/taxondetails?taxnode_id=202206961","ictv.global=202206961")</f>
        <v>ictv.global=202206961</v>
      </c>
    </row>
    <row r="1162" spans="1:21">
      <c r="A1162">
        <v>1161</v>
      </c>
      <c r="B1162" s="29" t="s">
        <v>3682</v>
      </c>
      <c r="C1162" s="29"/>
      <c r="D1162" s="29" t="s">
        <v>3683</v>
      </c>
      <c r="E1162" s="29"/>
      <c r="F1162" s="29" t="s">
        <v>3686</v>
      </c>
      <c r="G1162" s="29"/>
      <c r="H1162" s="29" t="s">
        <v>3687</v>
      </c>
      <c r="I1162" s="29"/>
      <c r="J1162" s="29"/>
      <c r="K1162" s="29"/>
      <c r="L1162" s="29" t="s">
        <v>3363</v>
      </c>
      <c r="M1162" s="29" t="s">
        <v>3364</v>
      </c>
      <c r="N1162" s="29" t="s">
        <v>3397</v>
      </c>
      <c r="O1162" s="29"/>
      <c r="P1162" s="29" t="s">
        <v>8177</v>
      </c>
      <c r="Q1162" t="s">
        <v>2038</v>
      </c>
      <c r="R1162" t="s">
        <v>2633</v>
      </c>
      <c r="S1162">
        <v>37</v>
      </c>
      <c r="T1162" s="43" t="str">
        <f t="shared" si="51"/>
        <v>2021.010B.R.Binomial_names.zip</v>
      </c>
      <c r="U1162" s="43" t="str">
        <f>HYPERLINK("https://ictv.global/taxonomy/taxondetails?taxnode_id=202200385","ictv.global=202200385")</f>
        <v>ictv.global=202200385</v>
      </c>
    </row>
    <row r="1163" spans="1:21">
      <c r="A1163">
        <v>1162</v>
      </c>
      <c r="B1163" s="29" t="s">
        <v>3682</v>
      </c>
      <c r="C1163" s="29"/>
      <c r="D1163" s="29" t="s">
        <v>3683</v>
      </c>
      <c r="E1163" s="29"/>
      <c r="F1163" s="29" t="s">
        <v>3686</v>
      </c>
      <c r="G1163" s="29"/>
      <c r="H1163" s="29" t="s">
        <v>3687</v>
      </c>
      <c r="I1163" s="29"/>
      <c r="J1163" s="29"/>
      <c r="K1163" s="29"/>
      <c r="L1163" s="29" t="s">
        <v>3363</v>
      </c>
      <c r="M1163" s="29" t="s">
        <v>3364</v>
      </c>
      <c r="N1163" s="29" t="s">
        <v>3397</v>
      </c>
      <c r="O1163" s="29"/>
      <c r="P1163" s="29" t="s">
        <v>8178</v>
      </c>
      <c r="Q1163" t="s">
        <v>2038</v>
      </c>
      <c r="R1163" t="s">
        <v>2633</v>
      </c>
      <c r="S1163">
        <v>37</v>
      </c>
      <c r="T1163" s="43" t="str">
        <f t="shared" si="51"/>
        <v>2021.010B.R.Binomial_names.zip</v>
      </c>
      <c r="U1163" s="43" t="str">
        <f>HYPERLINK("https://ictv.global/taxonomy/taxondetails?taxnode_id=202200386","ictv.global=202200386")</f>
        <v>ictv.global=202200386</v>
      </c>
    </row>
    <row r="1164" spans="1:21">
      <c r="A1164">
        <v>1163</v>
      </c>
      <c r="B1164" s="29" t="s">
        <v>3682</v>
      </c>
      <c r="C1164" s="29"/>
      <c r="D1164" s="29" t="s">
        <v>3683</v>
      </c>
      <c r="E1164" s="29"/>
      <c r="F1164" s="29" t="s">
        <v>3686</v>
      </c>
      <c r="G1164" s="29"/>
      <c r="H1164" s="29" t="s">
        <v>3687</v>
      </c>
      <c r="I1164" s="29"/>
      <c r="J1164" s="29"/>
      <c r="K1164" s="29"/>
      <c r="L1164" s="29" t="s">
        <v>3363</v>
      </c>
      <c r="M1164" s="29" t="s">
        <v>3364</v>
      </c>
      <c r="N1164" s="29" t="s">
        <v>3397</v>
      </c>
      <c r="O1164" s="29"/>
      <c r="P1164" s="29" t="s">
        <v>8179</v>
      </c>
      <c r="Q1164" t="s">
        <v>2038</v>
      </c>
      <c r="R1164" t="s">
        <v>2633</v>
      </c>
      <c r="S1164">
        <v>37</v>
      </c>
      <c r="T1164" s="43" t="str">
        <f t="shared" si="51"/>
        <v>2021.010B.R.Binomial_names.zip</v>
      </c>
      <c r="U1164" s="43" t="str">
        <f>HYPERLINK("https://ictv.global/taxonomy/taxondetails?taxnode_id=202200387","ictv.global=202200387")</f>
        <v>ictv.global=202200387</v>
      </c>
    </row>
    <row r="1165" spans="1:21">
      <c r="A1165">
        <v>1164</v>
      </c>
      <c r="B1165" s="29" t="s">
        <v>3682</v>
      </c>
      <c r="C1165" s="29"/>
      <c r="D1165" s="29" t="s">
        <v>3683</v>
      </c>
      <c r="E1165" s="29"/>
      <c r="F1165" s="29" t="s">
        <v>3686</v>
      </c>
      <c r="G1165" s="29"/>
      <c r="H1165" s="29" t="s">
        <v>3687</v>
      </c>
      <c r="I1165" s="29"/>
      <c r="J1165" s="29"/>
      <c r="K1165" s="29"/>
      <c r="L1165" s="29" t="s">
        <v>3363</v>
      </c>
      <c r="M1165" s="29" t="s">
        <v>3364</v>
      </c>
      <c r="N1165" s="29" t="s">
        <v>3397</v>
      </c>
      <c r="O1165" s="29"/>
      <c r="P1165" s="29" t="s">
        <v>8180</v>
      </c>
      <c r="Q1165" t="s">
        <v>2038</v>
      </c>
      <c r="R1165" t="s">
        <v>2633</v>
      </c>
      <c r="S1165">
        <v>37</v>
      </c>
      <c r="T1165" s="43" t="str">
        <f t="shared" si="51"/>
        <v>2021.010B.R.Binomial_names.zip</v>
      </c>
      <c r="U1165" s="43" t="str">
        <f>HYPERLINK("https://ictv.global/taxonomy/taxondetails?taxnode_id=202200388","ictv.global=202200388")</f>
        <v>ictv.global=202200388</v>
      </c>
    </row>
    <row r="1166" spans="1:21">
      <c r="A1166">
        <v>1165</v>
      </c>
      <c r="B1166" s="29" t="s">
        <v>3682</v>
      </c>
      <c r="C1166" s="29"/>
      <c r="D1166" s="29" t="s">
        <v>3683</v>
      </c>
      <c r="E1166" s="29"/>
      <c r="F1166" s="29" t="s">
        <v>3686</v>
      </c>
      <c r="G1166" s="29"/>
      <c r="H1166" s="29" t="s">
        <v>3687</v>
      </c>
      <c r="I1166" s="29"/>
      <c r="J1166" s="29"/>
      <c r="K1166" s="29"/>
      <c r="L1166" s="29" t="s">
        <v>3363</v>
      </c>
      <c r="M1166" s="29" t="s">
        <v>3364</v>
      </c>
      <c r="N1166" s="29" t="s">
        <v>3397</v>
      </c>
      <c r="O1166" s="29"/>
      <c r="P1166" s="29" t="s">
        <v>8181</v>
      </c>
      <c r="Q1166" t="s">
        <v>2038</v>
      </c>
      <c r="R1166" t="s">
        <v>2633</v>
      </c>
      <c r="S1166">
        <v>37</v>
      </c>
      <c r="T1166" s="43" t="str">
        <f t="shared" si="51"/>
        <v>2021.010B.R.Binomial_names.zip</v>
      </c>
      <c r="U1166" s="43" t="str">
        <f>HYPERLINK("https://ictv.global/taxonomy/taxondetails?taxnode_id=202200389","ictv.global=202200389")</f>
        <v>ictv.global=202200389</v>
      </c>
    </row>
    <row r="1167" spans="1:21">
      <c r="A1167">
        <v>1166</v>
      </c>
      <c r="B1167" s="29" t="s">
        <v>3682</v>
      </c>
      <c r="C1167" s="29"/>
      <c r="D1167" s="29" t="s">
        <v>3683</v>
      </c>
      <c r="E1167" s="29"/>
      <c r="F1167" s="29" t="s">
        <v>3686</v>
      </c>
      <c r="G1167" s="29"/>
      <c r="H1167" s="29" t="s">
        <v>3687</v>
      </c>
      <c r="I1167" s="29"/>
      <c r="J1167" s="29"/>
      <c r="K1167" s="29"/>
      <c r="L1167" s="29" t="s">
        <v>3363</v>
      </c>
      <c r="M1167" s="29" t="s">
        <v>3364</v>
      </c>
      <c r="N1167" s="29" t="s">
        <v>3397</v>
      </c>
      <c r="O1167" s="29"/>
      <c r="P1167" s="29" t="s">
        <v>8182</v>
      </c>
      <c r="Q1167" t="s">
        <v>2038</v>
      </c>
      <c r="R1167" t="s">
        <v>2633</v>
      </c>
      <c r="S1167">
        <v>37</v>
      </c>
      <c r="T1167" s="43" t="str">
        <f t="shared" si="51"/>
        <v>2021.010B.R.Binomial_names.zip</v>
      </c>
      <c r="U1167" s="43" t="str">
        <f>HYPERLINK("https://ictv.global/taxonomy/taxondetails?taxnode_id=202200390","ictv.global=202200390")</f>
        <v>ictv.global=202200390</v>
      </c>
    </row>
    <row r="1168" spans="1:21">
      <c r="A1168">
        <v>1167</v>
      </c>
      <c r="B1168" s="29" t="s">
        <v>3682</v>
      </c>
      <c r="C1168" s="29"/>
      <c r="D1168" s="29" t="s">
        <v>3683</v>
      </c>
      <c r="E1168" s="29"/>
      <c r="F1168" s="29" t="s">
        <v>3686</v>
      </c>
      <c r="G1168" s="29"/>
      <c r="H1168" s="29" t="s">
        <v>3687</v>
      </c>
      <c r="I1168" s="29"/>
      <c r="J1168" s="29"/>
      <c r="K1168" s="29"/>
      <c r="L1168" s="29" t="s">
        <v>3363</v>
      </c>
      <c r="M1168" s="29" t="s">
        <v>3364</v>
      </c>
      <c r="N1168" s="29" t="s">
        <v>3365</v>
      </c>
      <c r="O1168" s="29"/>
      <c r="P1168" s="29" t="s">
        <v>8183</v>
      </c>
      <c r="Q1168" t="s">
        <v>2038</v>
      </c>
      <c r="R1168" t="s">
        <v>2633</v>
      </c>
      <c r="S1168">
        <v>37</v>
      </c>
      <c r="T1168" s="43" t="str">
        <f t="shared" si="51"/>
        <v>2021.010B.R.Binomial_names.zip</v>
      </c>
      <c r="U1168" s="43" t="str">
        <f>HYPERLINK("https://ictv.global/taxonomy/taxondetails?taxnode_id=202200395","ictv.global=202200395")</f>
        <v>ictv.global=202200395</v>
      </c>
    </row>
    <row r="1169" spans="1:21">
      <c r="A1169">
        <v>1168</v>
      </c>
      <c r="B1169" s="29" t="s">
        <v>3682</v>
      </c>
      <c r="C1169" s="29"/>
      <c r="D1169" s="29" t="s">
        <v>3683</v>
      </c>
      <c r="E1169" s="29"/>
      <c r="F1169" s="29" t="s">
        <v>3686</v>
      </c>
      <c r="G1169" s="29"/>
      <c r="H1169" s="29" t="s">
        <v>3687</v>
      </c>
      <c r="I1169" s="29"/>
      <c r="J1169" s="29"/>
      <c r="K1169" s="29"/>
      <c r="L1169" s="29" t="s">
        <v>3363</v>
      </c>
      <c r="M1169" s="29" t="s">
        <v>3364</v>
      </c>
      <c r="N1169" s="29" t="s">
        <v>3365</v>
      </c>
      <c r="O1169" s="29"/>
      <c r="P1169" s="29" t="s">
        <v>8184</v>
      </c>
      <c r="Q1169" t="s">
        <v>2038</v>
      </c>
      <c r="R1169" t="s">
        <v>2633</v>
      </c>
      <c r="S1169">
        <v>37</v>
      </c>
      <c r="T1169" s="43" t="str">
        <f t="shared" si="51"/>
        <v>2021.010B.R.Binomial_names.zip</v>
      </c>
      <c r="U1169" s="43" t="str">
        <f>HYPERLINK("https://ictv.global/taxonomy/taxondetails?taxnode_id=202200396","ictv.global=202200396")</f>
        <v>ictv.global=202200396</v>
      </c>
    </row>
    <row r="1170" spans="1:21">
      <c r="A1170">
        <v>1169</v>
      </c>
      <c r="B1170" s="29" t="s">
        <v>3682</v>
      </c>
      <c r="C1170" s="29"/>
      <c r="D1170" s="29" t="s">
        <v>3683</v>
      </c>
      <c r="E1170" s="29"/>
      <c r="F1170" s="29" t="s">
        <v>3686</v>
      </c>
      <c r="G1170" s="29"/>
      <c r="H1170" s="29" t="s">
        <v>3687</v>
      </c>
      <c r="I1170" s="29"/>
      <c r="J1170" s="29"/>
      <c r="K1170" s="29"/>
      <c r="L1170" s="29" t="s">
        <v>3363</v>
      </c>
      <c r="M1170" s="29" t="s">
        <v>3364</v>
      </c>
      <c r="N1170" s="29" t="s">
        <v>3365</v>
      </c>
      <c r="O1170" s="29"/>
      <c r="P1170" s="29" t="s">
        <v>8185</v>
      </c>
      <c r="Q1170" t="s">
        <v>2038</v>
      </c>
      <c r="R1170" t="s">
        <v>2633</v>
      </c>
      <c r="S1170">
        <v>37</v>
      </c>
      <c r="T1170" s="43" t="str">
        <f t="shared" si="51"/>
        <v>2021.010B.R.Binomial_names.zip</v>
      </c>
      <c r="U1170" s="43" t="str">
        <f>HYPERLINK("https://ictv.global/taxonomy/taxondetails?taxnode_id=202200397","ictv.global=202200397")</f>
        <v>ictv.global=202200397</v>
      </c>
    </row>
    <row r="1171" spans="1:21">
      <c r="A1171">
        <v>1170</v>
      </c>
      <c r="B1171" s="29" t="s">
        <v>3682</v>
      </c>
      <c r="C1171" s="29"/>
      <c r="D1171" s="29" t="s">
        <v>3683</v>
      </c>
      <c r="E1171" s="29"/>
      <c r="F1171" s="29" t="s">
        <v>3686</v>
      </c>
      <c r="G1171" s="29"/>
      <c r="H1171" s="29" t="s">
        <v>3687</v>
      </c>
      <c r="I1171" s="29"/>
      <c r="J1171" s="29"/>
      <c r="K1171" s="29"/>
      <c r="L1171" s="29" t="s">
        <v>3363</v>
      </c>
      <c r="M1171" s="29" t="s">
        <v>3364</v>
      </c>
      <c r="N1171" s="29" t="s">
        <v>3365</v>
      </c>
      <c r="O1171" s="29"/>
      <c r="P1171" s="29" t="s">
        <v>8186</v>
      </c>
      <c r="Q1171" t="s">
        <v>2038</v>
      </c>
      <c r="R1171" t="s">
        <v>2633</v>
      </c>
      <c r="S1171">
        <v>37</v>
      </c>
      <c r="T1171" s="43" t="str">
        <f t="shared" si="51"/>
        <v>2021.010B.R.Binomial_names.zip</v>
      </c>
      <c r="U1171" s="43" t="str">
        <f>HYPERLINK("https://ictv.global/taxonomy/taxondetails?taxnode_id=202200398","ictv.global=202200398")</f>
        <v>ictv.global=202200398</v>
      </c>
    </row>
    <row r="1172" spans="1:21">
      <c r="A1172">
        <v>1171</v>
      </c>
      <c r="B1172" s="29" t="s">
        <v>3682</v>
      </c>
      <c r="C1172" s="29"/>
      <c r="D1172" s="29" t="s">
        <v>3683</v>
      </c>
      <c r="E1172" s="29"/>
      <c r="F1172" s="29" t="s">
        <v>3686</v>
      </c>
      <c r="G1172" s="29"/>
      <c r="H1172" s="29" t="s">
        <v>3687</v>
      </c>
      <c r="I1172" s="29"/>
      <c r="J1172" s="29"/>
      <c r="K1172" s="29"/>
      <c r="L1172" s="29" t="s">
        <v>3363</v>
      </c>
      <c r="M1172" s="29" t="s">
        <v>3364</v>
      </c>
      <c r="N1172" s="29" t="s">
        <v>3365</v>
      </c>
      <c r="O1172" s="29"/>
      <c r="P1172" s="29" t="s">
        <v>8187</v>
      </c>
      <c r="Q1172" t="s">
        <v>2038</v>
      </c>
      <c r="R1172" t="s">
        <v>2633</v>
      </c>
      <c r="S1172">
        <v>37</v>
      </c>
      <c r="T1172" s="43" t="str">
        <f t="shared" si="51"/>
        <v>2021.010B.R.Binomial_names.zip</v>
      </c>
      <c r="U1172" s="43" t="str">
        <f>HYPERLINK("https://ictv.global/taxonomy/taxondetails?taxnode_id=202200399","ictv.global=202200399")</f>
        <v>ictv.global=202200399</v>
      </c>
    </row>
    <row r="1173" spans="1:21">
      <c r="A1173">
        <v>1172</v>
      </c>
      <c r="B1173" s="29" t="s">
        <v>3682</v>
      </c>
      <c r="C1173" s="29"/>
      <c r="D1173" s="29" t="s">
        <v>3683</v>
      </c>
      <c r="E1173" s="29"/>
      <c r="F1173" s="29" t="s">
        <v>3686</v>
      </c>
      <c r="G1173" s="29"/>
      <c r="H1173" s="29" t="s">
        <v>3687</v>
      </c>
      <c r="I1173" s="29"/>
      <c r="J1173" s="29"/>
      <c r="K1173" s="29"/>
      <c r="L1173" s="29" t="s">
        <v>3363</v>
      </c>
      <c r="M1173" s="29" t="s">
        <v>3364</v>
      </c>
      <c r="N1173" s="29" t="s">
        <v>3365</v>
      </c>
      <c r="O1173" s="29"/>
      <c r="P1173" s="29" t="s">
        <v>8188</v>
      </c>
      <c r="Q1173" t="s">
        <v>2038</v>
      </c>
      <c r="R1173" t="s">
        <v>2633</v>
      </c>
      <c r="S1173">
        <v>37</v>
      </c>
      <c r="T1173" s="43" t="str">
        <f t="shared" si="51"/>
        <v>2021.010B.R.Binomial_names.zip</v>
      </c>
      <c r="U1173" s="43" t="str">
        <f>HYPERLINK("https://ictv.global/taxonomy/taxondetails?taxnode_id=202200400","ictv.global=202200400")</f>
        <v>ictv.global=202200400</v>
      </c>
    </row>
    <row r="1174" spans="1:21">
      <c r="A1174">
        <v>1173</v>
      </c>
      <c r="B1174" s="29" t="s">
        <v>3682</v>
      </c>
      <c r="C1174" s="29"/>
      <c r="D1174" s="29" t="s">
        <v>3683</v>
      </c>
      <c r="E1174" s="29"/>
      <c r="F1174" s="29" t="s">
        <v>3686</v>
      </c>
      <c r="G1174" s="29"/>
      <c r="H1174" s="29" t="s">
        <v>3687</v>
      </c>
      <c r="I1174" s="29"/>
      <c r="J1174" s="29"/>
      <c r="K1174" s="29"/>
      <c r="L1174" s="29" t="s">
        <v>3363</v>
      </c>
      <c r="M1174" s="29" t="s">
        <v>3364</v>
      </c>
      <c r="N1174" s="29" t="s">
        <v>4518</v>
      </c>
      <c r="O1174" s="29"/>
      <c r="P1174" s="29" t="s">
        <v>8189</v>
      </c>
      <c r="Q1174" t="s">
        <v>2038</v>
      </c>
      <c r="R1174" t="s">
        <v>2633</v>
      </c>
      <c r="S1174">
        <v>37</v>
      </c>
      <c r="T1174" s="43" t="str">
        <f t="shared" si="51"/>
        <v>2021.010B.R.Binomial_names.zip</v>
      </c>
      <c r="U1174" s="43" t="str">
        <f>HYPERLINK("https://ictv.global/taxonomy/taxondetails?taxnode_id=202210113","ictv.global=202210113")</f>
        <v>ictv.global=202210113</v>
      </c>
    </row>
    <row r="1175" spans="1:21">
      <c r="A1175">
        <v>1174</v>
      </c>
      <c r="B1175" s="29" t="s">
        <v>3682</v>
      </c>
      <c r="C1175" s="29"/>
      <c r="D1175" s="29" t="s">
        <v>3683</v>
      </c>
      <c r="E1175" s="29"/>
      <c r="F1175" s="29" t="s">
        <v>3686</v>
      </c>
      <c r="G1175" s="29"/>
      <c r="H1175" s="29" t="s">
        <v>3687</v>
      </c>
      <c r="I1175" s="29"/>
      <c r="J1175" s="29"/>
      <c r="K1175" s="29"/>
      <c r="L1175" s="29" t="s">
        <v>3363</v>
      </c>
      <c r="M1175" s="29" t="s">
        <v>3364</v>
      </c>
      <c r="N1175" s="29" t="s">
        <v>4519</v>
      </c>
      <c r="O1175" s="29"/>
      <c r="P1175" s="29" t="s">
        <v>8190</v>
      </c>
      <c r="Q1175" t="s">
        <v>2038</v>
      </c>
      <c r="R1175" t="s">
        <v>2633</v>
      </c>
      <c r="S1175">
        <v>37</v>
      </c>
      <c r="T1175" s="43" t="str">
        <f t="shared" si="51"/>
        <v>2021.010B.R.Binomial_names.zip</v>
      </c>
      <c r="U1175" s="43" t="str">
        <f>HYPERLINK("https://ictv.global/taxonomy/taxondetails?taxnode_id=202210117","ictv.global=202210117")</f>
        <v>ictv.global=202210117</v>
      </c>
    </row>
    <row r="1176" spans="1:21">
      <c r="A1176">
        <v>1175</v>
      </c>
      <c r="B1176" s="29" t="s">
        <v>3682</v>
      </c>
      <c r="C1176" s="29"/>
      <c r="D1176" s="29" t="s">
        <v>3683</v>
      </c>
      <c r="E1176" s="29"/>
      <c r="F1176" s="29" t="s">
        <v>3686</v>
      </c>
      <c r="G1176" s="29"/>
      <c r="H1176" s="29" t="s">
        <v>3687</v>
      </c>
      <c r="I1176" s="29"/>
      <c r="J1176" s="29"/>
      <c r="K1176" s="29"/>
      <c r="L1176" s="29" t="s">
        <v>3363</v>
      </c>
      <c r="M1176" s="29" t="s">
        <v>3364</v>
      </c>
      <c r="N1176" s="29" t="s">
        <v>4520</v>
      </c>
      <c r="O1176" s="29"/>
      <c r="P1176" s="29" t="s">
        <v>8191</v>
      </c>
      <c r="Q1176" t="s">
        <v>2038</v>
      </c>
      <c r="R1176" t="s">
        <v>2633</v>
      </c>
      <c r="S1176">
        <v>37</v>
      </c>
      <c r="T1176" s="43" t="str">
        <f t="shared" si="51"/>
        <v>2021.010B.R.Binomial_names.zip</v>
      </c>
      <c r="U1176" s="43" t="str">
        <f>HYPERLINK("https://ictv.global/taxonomy/taxondetails?taxnode_id=202210111","ictv.global=202210111")</f>
        <v>ictv.global=202210111</v>
      </c>
    </row>
    <row r="1177" spans="1:21">
      <c r="A1177">
        <v>1176</v>
      </c>
      <c r="B1177" s="29" t="s">
        <v>3682</v>
      </c>
      <c r="C1177" s="29"/>
      <c r="D1177" s="29" t="s">
        <v>3683</v>
      </c>
      <c r="E1177" s="29"/>
      <c r="F1177" s="29" t="s">
        <v>3686</v>
      </c>
      <c r="G1177" s="29"/>
      <c r="H1177" s="29" t="s">
        <v>3687</v>
      </c>
      <c r="I1177" s="29"/>
      <c r="J1177" s="29"/>
      <c r="K1177" s="29"/>
      <c r="L1177" s="29" t="s">
        <v>3363</v>
      </c>
      <c r="M1177" s="29" t="s">
        <v>3364</v>
      </c>
      <c r="N1177" s="29" t="s">
        <v>4521</v>
      </c>
      <c r="O1177" s="29"/>
      <c r="P1177" s="29" t="s">
        <v>8192</v>
      </c>
      <c r="Q1177" t="s">
        <v>2038</v>
      </c>
      <c r="R1177" t="s">
        <v>2633</v>
      </c>
      <c r="S1177">
        <v>37</v>
      </c>
      <c r="T1177" s="43" t="str">
        <f t="shared" si="51"/>
        <v>2021.010B.R.Binomial_names.zip</v>
      </c>
      <c r="U1177" s="43" t="str">
        <f>HYPERLINK("https://ictv.global/taxonomy/taxondetails?taxnode_id=202210115","ictv.global=202210115")</f>
        <v>ictv.global=202210115</v>
      </c>
    </row>
    <row r="1178" spans="1:21">
      <c r="A1178">
        <v>1177</v>
      </c>
      <c r="B1178" s="29" t="s">
        <v>3682</v>
      </c>
      <c r="C1178" s="29"/>
      <c r="D1178" s="29" t="s">
        <v>3683</v>
      </c>
      <c r="E1178" s="29"/>
      <c r="F1178" s="29" t="s">
        <v>3686</v>
      </c>
      <c r="G1178" s="29"/>
      <c r="H1178" s="29" t="s">
        <v>3687</v>
      </c>
      <c r="I1178" s="29"/>
      <c r="J1178" s="29"/>
      <c r="K1178" s="29"/>
      <c r="L1178" s="29" t="s">
        <v>3363</v>
      </c>
      <c r="M1178" s="29" t="s">
        <v>3364</v>
      </c>
      <c r="N1178" s="29" t="s">
        <v>4522</v>
      </c>
      <c r="O1178" s="29"/>
      <c r="P1178" s="29" t="s">
        <v>8193</v>
      </c>
      <c r="Q1178" t="s">
        <v>2038</v>
      </c>
      <c r="R1178" t="s">
        <v>2633</v>
      </c>
      <c r="S1178">
        <v>37</v>
      </c>
      <c r="T1178" s="43" t="str">
        <f t="shared" si="51"/>
        <v>2021.010B.R.Binomial_names.zip</v>
      </c>
      <c r="U1178" s="43" t="str">
        <f>HYPERLINK("https://ictv.global/taxonomy/taxondetails?taxnode_id=202206963","ictv.global=202206963")</f>
        <v>ictv.global=202206963</v>
      </c>
    </row>
    <row r="1179" spans="1:21">
      <c r="A1179">
        <v>1178</v>
      </c>
      <c r="B1179" s="29" t="s">
        <v>3682</v>
      </c>
      <c r="C1179" s="29"/>
      <c r="D1179" s="29" t="s">
        <v>3683</v>
      </c>
      <c r="E1179" s="29"/>
      <c r="F1179" s="29" t="s">
        <v>3686</v>
      </c>
      <c r="G1179" s="29"/>
      <c r="H1179" s="29" t="s">
        <v>3687</v>
      </c>
      <c r="I1179" s="29"/>
      <c r="J1179" s="29"/>
      <c r="K1179" s="29"/>
      <c r="L1179" s="29" t="s">
        <v>3363</v>
      </c>
      <c r="M1179" s="29" t="s">
        <v>3364</v>
      </c>
      <c r="N1179" s="29" t="s">
        <v>4523</v>
      </c>
      <c r="O1179" s="29"/>
      <c r="P1179" s="29" t="s">
        <v>8194</v>
      </c>
      <c r="Q1179" t="s">
        <v>2038</v>
      </c>
      <c r="R1179" t="s">
        <v>2633</v>
      </c>
      <c r="S1179">
        <v>37</v>
      </c>
      <c r="T1179" s="43" t="str">
        <f t="shared" si="51"/>
        <v>2021.010B.R.Binomial_names.zip</v>
      </c>
      <c r="U1179" s="43" t="str">
        <f>HYPERLINK("https://ictv.global/taxonomy/taxondetails?taxnode_id=202206964","ictv.global=202206964")</f>
        <v>ictv.global=202206964</v>
      </c>
    </row>
    <row r="1180" spans="1:21">
      <c r="A1180">
        <v>1179</v>
      </c>
      <c r="B1180" s="29" t="s">
        <v>3682</v>
      </c>
      <c r="C1180" s="29"/>
      <c r="D1180" s="29" t="s">
        <v>3683</v>
      </c>
      <c r="E1180" s="29"/>
      <c r="F1180" s="29" t="s">
        <v>3686</v>
      </c>
      <c r="G1180" s="29"/>
      <c r="H1180" s="29" t="s">
        <v>3687</v>
      </c>
      <c r="I1180" s="29"/>
      <c r="J1180" s="29"/>
      <c r="K1180" s="29"/>
      <c r="L1180" s="29" t="s">
        <v>3363</v>
      </c>
      <c r="M1180" s="29" t="s">
        <v>3364</v>
      </c>
      <c r="N1180" s="29" t="s">
        <v>3422</v>
      </c>
      <c r="O1180" s="29"/>
      <c r="P1180" s="29" t="s">
        <v>8195</v>
      </c>
      <c r="Q1180" t="s">
        <v>2038</v>
      </c>
      <c r="R1180" t="s">
        <v>2633</v>
      </c>
      <c r="S1180">
        <v>37</v>
      </c>
      <c r="T1180" s="43" t="str">
        <f t="shared" si="51"/>
        <v>2021.010B.R.Binomial_names.zip</v>
      </c>
      <c r="U1180" s="43" t="str">
        <f>HYPERLINK("https://ictv.global/taxonomy/taxondetails?taxnode_id=202200461","ictv.global=202200461")</f>
        <v>ictv.global=202200461</v>
      </c>
    </row>
    <row r="1181" spans="1:21">
      <c r="A1181">
        <v>1180</v>
      </c>
      <c r="B1181" s="29" t="s">
        <v>3682</v>
      </c>
      <c r="C1181" s="29"/>
      <c r="D1181" s="29" t="s">
        <v>3683</v>
      </c>
      <c r="E1181" s="29"/>
      <c r="F1181" s="29" t="s">
        <v>3686</v>
      </c>
      <c r="G1181" s="29"/>
      <c r="H1181" s="29" t="s">
        <v>3687</v>
      </c>
      <c r="I1181" s="29"/>
      <c r="J1181" s="29"/>
      <c r="K1181" s="29"/>
      <c r="L1181" s="29" t="s">
        <v>3363</v>
      </c>
      <c r="M1181" s="29" t="s">
        <v>3364</v>
      </c>
      <c r="N1181" s="29" t="s">
        <v>3422</v>
      </c>
      <c r="O1181" s="29"/>
      <c r="P1181" s="29" t="s">
        <v>8196</v>
      </c>
      <c r="Q1181" t="s">
        <v>2038</v>
      </c>
      <c r="R1181" t="s">
        <v>2633</v>
      </c>
      <c r="S1181">
        <v>37</v>
      </c>
      <c r="T1181" s="43" t="str">
        <f t="shared" si="51"/>
        <v>2021.010B.R.Binomial_names.zip</v>
      </c>
      <c r="U1181" s="43" t="str">
        <f>HYPERLINK("https://ictv.global/taxonomy/taxondetails?taxnode_id=202200462","ictv.global=202200462")</f>
        <v>ictv.global=202200462</v>
      </c>
    </row>
    <row r="1182" spans="1:21">
      <c r="A1182">
        <v>1181</v>
      </c>
      <c r="B1182" s="29" t="s">
        <v>3682</v>
      </c>
      <c r="C1182" s="29"/>
      <c r="D1182" s="29" t="s">
        <v>3683</v>
      </c>
      <c r="E1182" s="29"/>
      <c r="F1182" s="29" t="s">
        <v>3686</v>
      </c>
      <c r="G1182" s="29"/>
      <c r="H1182" s="29" t="s">
        <v>3687</v>
      </c>
      <c r="I1182" s="29"/>
      <c r="J1182" s="29"/>
      <c r="K1182" s="29"/>
      <c r="L1182" s="29" t="s">
        <v>3363</v>
      </c>
      <c r="M1182" s="29" t="s">
        <v>3364</v>
      </c>
      <c r="N1182" s="29" t="s">
        <v>3422</v>
      </c>
      <c r="O1182" s="29"/>
      <c r="P1182" s="29" t="s">
        <v>8197</v>
      </c>
      <c r="Q1182" t="s">
        <v>2038</v>
      </c>
      <c r="R1182" t="s">
        <v>2633</v>
      </c>
      <c r="S1182">
        <v>37</v>
      </c>
      <c r="T1182" s="43" t="str">
        <f t="shared" si="51"/>
        <v>2021.010B.R.Binomial_names.zip</v>
      </c>
      <c r="U1182" s="43" t="str">
        <f>HYPERLINK("https://ictv.global/taxonomy/taxondetails?taxnode_id=202200463","ictv.global=202200463")</f>
        <v>ictv.global=202200463</v>
      </c>
    </row>
    <row r="1183" spans="1:21">
      <c r="A1183">
        <v>1182</v>
      </c>
      <c r="B1183" s="29" t="s">
        <v>3682</v>
      </c>
      <c r="C1183" s="29"/>
      <c r="D1183" s="29" t="s">
        <v>3683</v>
      </c>
      <c r="E1183" s="29"/>
      <c r="F1183" s="29" t="s">
        <v>3686</v>
      </c>
      <c r="G1183" s="29"/>
      <c r="H1183" s="29" t="s">
        <v>3687</v>
      </c>
      <c r="I1183" s="29"/>
      <c r="J1183" s="29"/>
      <c r="K1183" s="29"/>
      <c r="L1183" s="29" t="s">
        <v>3363</v>
      </c>
      <c r="M1183" s="29" t="s">
        <v>3364</v>
      </c>
      <c r="N1183" s="29" t="s">
        <v>3436</v>
      </c>
      <c r="O1183" s="29"/>
      <c r="P1183" s="29" t="s">
        <v>8198</v>
      </c>
      <c r="Q1183" t="s">
        <v>2038</v>
      </c>
      <c r="R1183" t="s">
        <v>2633</v>
      </c>
      <c r="S1183">
        <v>37</v>
      </c>
      <c r="T1183" s="43" t="str">
        <f t="shared" si="51"/>
        <v>2021.010B.R.Binomial_names.zip</v>
      </c>
      <c r="U1183" s="43" t="str">
        <f>HYPERLINK("https://ictv.global/taxonomy/taxondetails?taxnode_id=202206989","ictv.global=202206989")</f>
        <v>ictv.global=202206989</v>
      </c>
    </row>
    <row r="1184" spans="1:21">
      <c r="A1184">
        <v>1183</v>
      </c>
      <c r="B1184" s="29" t="s">
        <v>3682</v>
      </c>
      <c r="C1184" s="29"/>
      <c r="D1184" s="29" t="s">
        <v>3683</v>
      </c>
      <c r="E1184" s="29"/>
      <c r="F1184" s="29" t="s">
        <v>3686</v>
      </c>
      <c r="G1184" s="29"/>
      <c r="H1184" s="29" t="s">
        <v>3687</v>
      </c>
      <c r="I1184" s="29"/>
      <c r="J1184" s="29"/>
      <c r="K1184" s="29"/>
      <c r="L1184" s="29" t="s">
        <v>3363</v>
      </c>
      <c r="M1184" s="29" t="s">
        <v>3364</v>
      </c>
      <c r="N1184" s="29" t="s">
        <v>4524</v>
      </c>
      <c r="O1184" s="29"/>
      <c r="P1184" s="29" t="s">
        <v>8199</v>
      </c>
      <c r="Q1184" t="s">
        <v>2038</v>
      </c>
      <c r="R1184" t="s">
        <v>2633</v>
      </c>
      <c r="S1184">
        <v>37</v>
      </c>
      <c r="T1184" s="43" t="str">
        <f t="shared" si="51"/>
        <v>2021.010B.R.Binomial_names.zip</v>
      </c>
      <c r="U1184" s="43" t="str">
        <f>HYPERLINK("https://ictv.global/taxonomy/taxondetails?taxnode_id=202206965","ictv.global=202206965")</f>
        <v>ictv.global=202206965</v>
      </c>
    </row>
    <row r="1185" spans="1:21">
      <c r="A1185">
        <v>1184</v>
      </c>
      <c r="B1185" s="29" t="s">
        <v>3682</v>
      </c>
      <c r="C1185" s="29"/>
      <c r="D1185" s="29" t="s">
        <v>3683</v>
      </c>
      <c r="E1185" s="29"/>
      <c r="F1185" s="29" t="s">
        <v>3686</v>
      </c>
      <c r="G1185" s="29"/>
      <c r="H1185" s="29" t="s">
        <v>3687</v>
      </c>
      <c r="I1185" s="29"/>
      <c r="J1185" s="29"/>
      <c r="K1185" s="29"/>
      <c r="L1185" s="29" t="s">
        <v>3363</v>
      </c>
      <c r="M1185" s="29" t="s">
        <v>3364</v>
      </c>
      <c r="N1185" s="29" t="s">
        <v>2412</v>
      </c>
      <c r="O1185" s="29"/>
      <c r="P1185" s="29" t="s">
        <v>8200</v>
      </c>
      <c r="Q1185" t="s">
        <v>2038</v>
      </c>
      <c r="R1185" t="s">
        <v>2633</v>
      </c>
      <c r="S1185">
        <v>37</v>
      </c>
      <c r="T1185" s="43" t="str">
        <f t="shared" si="51"/>
        <v>2021.010B.R.Binomial_names.zip</v>
      </c>
      <c r="U1185" s="43" t="str">
        <f>HYPERLINK("https://ictv.global/taxonomy/taxondetails?taxnode_id=202200270","ictv.global=202200270")</f>
        <v>ictv.global=202200270</v>
      </c>
    </row>
    <row r="1186" spans="1:21">
      <c r="A1186">
        <v>1185</v>
      </c>
      <c r="B1186" s="29" t="s">
        <v>3682</v>
      </c>
      <c r="C1186" s="29"/>
      <c r="D1186" s="29" t="s">
        <v>3683</v>
      </c>
      <c r="E1186" s="29"/>
      <c r="F1186" s="29" t="s">
        <v>3686</v>
      </c>
      <c r="G1186" s="29"/>
      <c r="H1186" s="29" t="s">
        <v>3687</v>
      </c>
      <c r="I1186" s="29"/>
      <c r="J1186" s="29"/>
      <c r="K1186" s="29"/>
      <c r="L1186" s="29" t="s">
        <v>3363</v>
      </c>
      <c r="M1186" s="29" t="s">
        <v>3364</v>
      </c>
      <c r="N1186" s="29" t="s">
        <v>2412</v>
      </c>
      <c r="O1186" s="29"/>
      <c r="P1186" s="29" t="s">
        <v>8201</v>
      </c>
      <c r="Q1186" t="s">
        <v>2038</v>
      </c>
      <c r="R1186" t="s">
        <v>2633</v>
      </c>
      <c r="S1186">
        <v>37</v>
      </c>
      <c r="T1186" s="43" t="str">
        <f t="shared" si="51"/>
        <v>2021.010B.R.Binomial_names.zip</v>
      </c>
      <c r="U1186" s="43" t="str">
        <f>HYPERLINK("https://ictv.global/taxonomy/taxondetails?taxnode_id=202200271","ictv.global=202200271")</f>
        <v>ictv.global=202200271</v>
      </c>
    </row>
    <row r="1187" spans="1:21">
      <c r="A1187">
        <v>1186</v>
      </c>
      <c r="B1187" s="29" t="s">
        <v>3682</v>
      </c>
      <c r="C1187" s="29"/>
      <c r="D1187" s="29" t="s">
        <v>3683</v>
      </c>
      <c r="E1187" s="29"/>
      <c r="F1187" s="29" t="s">
        <v>3686</v>
      </c>
      <c r="G1187" s="29"/>
      <c r="H1187" s="29" t="s">
        <v>3687</v>
      </c>
      <c r="I1187" s="29"/>
      <c r="J1187" s="29"/>
      <c r="K1187" s="29"/>
      <c r="L1187" s="29" t="s">
        <v>3363</v>
      </c>
      <c r="M1187" s="29" t="s">
        <v>3364</v>
      </c>
      <c r="N1187" s="29" t="s">
        <v>2069</v>
      </c>
      <c r="O1187" s="29"/>
      <c r="P1187" s="29" t="s">
        <v>8202</v>
      </c>
      <c r="Q1187" t="s">
        <v>2038</v>
      </c>
      <c r="R1187" t="s">
        <v>2633</v>
      </c>
      <c r="S1187">
        <v>37</v>
      </c>
      <c r="T1187" s="43" t="str">
        <f t="shared" ref="T1187:T1218" si="52">HYPERLINK("https://ictv.global/ictv/proposals/2021.010B.R.Binomial_names.zip","2021.010B.R.Binomial_names.zip")</f>
        <v>2021.010B.R.Binomial_names.zip</v>
      </c>
      <c r="U1187" s="43" t="str">
        <f>HYPERLINK("https://ictv.global/taxonomy/taxondetails?taxnode_id=202200536","ictv.global=202200536")</f>
        <v>ictv.global=202200536</v>
      </c>
    </row>
    <row r="1188" spans="1:21">
      <c r="A1188">
        <v>1187</v>
      </c>
      <c r="B1188" s="29" t="s">
        <v>3682</v>
      </c>
      <c r="C1188" s="29"/>
      <c r="D1188" s="29" t="s">
        <v>3683</v>
      </c>
      <c r="E1188" s="29"/>
      <c r="F1188" s="29" t="s">
        <v>3686</v>
      </c>
      <c r="G1188" s="29"/>
      <c r="H1188" s="29" t="s">
        <v>3687</v>
      </c>
      <c r="I1188" s="29"/>
      <c r="J1188" s="29"/>
      <c r="K1188" s="29"/>
      <c r="L1188" s="29" t="s">
        <v>3363</v>
      </c>
      <c r="M1188" s="29" t="s">
        <v>3364</v>
      </c>
      <c r="N1188" s="29" t="s">
        <v>2069</v>
      </c>
      <c r="O1188" s="29"/>
      <c r="P1188" s="29" t="s">
        <v>8203</v>
      </c>
      <c r="Q1188" t="s">
        <v>2038</v>
      </c>
      <c r="R1188" t="s">
        <v>2633</v>
      </c>
      <c r="S1188">
        <v>37</v>
      </c>
      <c r="T1188" s="43" t="str">
        <f t="shared" si="52"/>
        <v>2021.010B.R.Binomial_names.zip</v>
      </c>
      <c r="U1188" s="43" t="str">
        <f>HYPERLINK("https://ictv.global/taxonomy/taxondetails?taxnode_id=202206962","ictv.global=202206962")</f>
        <v>ictv.global=202206962</v>
      </c>
    </row>
    <row r="1189" spans="1:21">
      <c r="A1189">
        <v>1188</v>
      </c>
      <c r="B1189" s="29" t="s">
        <v>3682</v>
      </c>
      <c r="C1189" s="29"/>
      <c r="D1189" s="29" t="s">
        <v>3683</v>
      </c>
      <c r="E1189" s="29"/>
      <c r="F1189" s="29" t="s">
        <v>3686</v>
      </c>
      <c r="G1189" s="29"/>
      <c r="H1189" s="29" t="s">
        <v>3687</v>
      </c>
      <c r="I1189" s="29"/>
      <c r="J1189" s="29"/>
      <c r="K1189" s="29"/>
      <c r="L1189" s="29" t="s">
        <v>3363</v>
      </c>
      <c r="M1189" s="29" t="s">
        <v>3364</v>
      </c>
      <c r="N1189" s="29" t="s">
        <v>2069</v>
      </c>
      <c r="O1189" s="29"/>
      <c r="P1189" s="29" t="s">
        <v>8204</v>
      </c>
      <c r="Q1189" t="s">
        <v>2038</v>
      </c>
      <c r="R1189" t="s">
        <v>2633</v>
      </c>
      <c r="S1189">
        <v>37</v>
      </c>
      <c r="T1189" s="43" t="str">
        <f t="shared" si="52"/>
        <v>2021.010B.R.Binomial_names.zip</v>
      </c>
      <c r="U1189" s="43" t="str">
        <f>HYPERLINK("https://ictv.global/taxonomy/taxondetails?taxnode_id=202200537","ictv.global=202200537")</f>
        <v>ictv.global=202200537</v>
      </c>
    </row>
    <row r="1190" spans="1:21">
      <c r="A1190">
        <v>1189</v>
      </c>
      <c r="B1190" s="29" t="s">
        <v>3682</v>
      </c>
      <c r="C1190" s="29"/>
      <c r="D1190" s="29" t="s">
        <v>3683</v>
      </c>
      <c r="E1190" s="29"/>
      <c r="F1190" s="29" t="s">
        <v>3686</v>
      </c>
      <c r="G1190" s="29"/>
      <c r="H1190" s="29" t="s">
        <v>3687</v>
      </c>
      <c r="I1190" s="29"/>
      <c r="J1190" s="29"/>
      <c r="K1190" s="29"/>
      <c r="L1190" s="29" t="s">
        <v>3363</v>
      </c>
      <c r="M1190" s="29" t="s">
        <v>3364</v>
      </c>
      <c r="N1190" s="29" t="s">
        <v>2069</v>
      </c>
      <c r="O1190" s="29"/>
      <c r="P1190" s="29" t="s">
        <v>8205</v>
      </c>
      <c r="Q1190" t="s">
        <v>2038</v>
      </c>
      <c r="R1190" t="s">
        <v>2633</v>
      </c>
      <c r="S1190">
        <v>37</v>
      </c>
      <c r="T1190" s="43" t="str">
        <f t="shared" si="52"/>
        <v>2021.010B.R.Binomial_names.zip</v>
      </c>
      <c r="U1190" s="43" t="str">
        <f>HYPERLINK("https://ictv.global/taxonomy/taxondetails?taxnode_id=202200538","ictv.global=202200538")</f>
        <v>ictv.global=202200538</v>
      </c>
    </row>
    <row r="1191" spans="1:21">
      <c r="A1191">
        <v>1190</v>
      </c>
      <c r="B1191" s="29" t="s">
        <v>3682</v>
      </c>
      <c r="C1191" s="29"/>
      <c r="D1191" s="29" t="s">
        <v>3683</v>
      </c>
      <c r="E1191" s="29"/>
      <c r="F1191" s="29" t="s">
        <v>3686</v>
      </c>
      <c r="G1191" s="29"/>
      <c r="H1191" s="29" t="s">
        <v>3687</v>
      </c>
      <c r="I1191" s="29"/>
      <c r="J1191" s="29"/>
      <c r="K1191" s="29"/>
      <c r="L1191" s="29" t="s">
        <v>3363</v>
      </c>
      <c r="M1191" s="29" t="s">
        <v>3364</v>
      </c>
      <c r="N1191" s="29" t="s">
        <v>2069</v>
      </c>
      <c r="O1191" s="29"/>
      <c r="P1191" s="29" t="s">
        <v>8206</v>
      </c>
      <c r="Q1191" t="s">
        <v>2038</v>
      </c>
      <c r="R1191" t="s">
        <v>2633</v>
      </c>
      <c r="S1191">
        <v>37</v>
      </c>
      <c r="T1191" s="43" t="str">
        <f t="shared" si="52"/>
        <v>2021.010B.R.Binomial_names.zip</v>
      </c>
      <c r="U1191" s="43" t="str">
        <f>HYPERLINK("https://ictv.global/taxonomy/taxondetails?taxnode_id=202200539","ictv.global=202200539")</f>
        <v>ictv.global=202200539</v>
      </c>
    </row>
    <row r="1192" spans="1:21">
      <c r="A1192">
        <v>1191</v>
      </c>
      <c r="B1192" s="29" t="s">
        <v>3682</v>
      </c>
      <c r="C1192" s="29"/>
      <c r="D1192" s="29" t="s">
        <v>3683</v>
      </c>
      <c r="E1192" s="29"/>
      <c r="F1192" s="29" t="s">
        <v>3686</v>
      </c>
      <c r="G1192" s="29"/>
      <c r="H1192" s="29" t="s">
        <v>3687</v>
      </c>
      <c r="I1192" s="29"/>
      <c r="J1192" s="29"/>
      <c r="K1192" s="29"/>
      <c r="L1192" s="29" t="s">
        <v>3363</v>
      </c>
      <c r="M1192" s="29" t="s">
        <v>3366</v>
      </c>
      <c r="N1192" s="29" t="s">
        <v>3367</v>
      </c>
      <c r="O1192" s="29"/>
      <c r="P1192" s="29" t="s">
        <v>8207</v>
      </c>
      <c r="Q1192" t="s">
        <v>2038</v>
      </c>
      <c r="R1192" t="s">
        <v>2633</v>
      </c>
      <c r="S1192">
        <v>37</v>
      </c>
      <c r="T1192" s="43" t="str">
        <f t="shared" si="52"/>
        <v>2021.010B.R.Binomial_names.zip</v>
      </c>
      <c r="U1192" s="43" t="str">
        <f>HYPERLINK("https://ictv.global/taxonomy/taxondetails?taxnode_id=202206968","ictv.global=202206968")</f>
        <v>ictv.global=202206968</v>
      </c>
    </row>
    <row r="1193" spans="1:21">
      <c r="A1193">
        <v>1192</v>
      </c>
      <c r="B1193" s="29" t="s">
        <v>3682</v>
      </c>
      <c r="C1193" s="29"/>
      <c r="D1193" s="29" t="s">
        <v>3683</v>
      </c>
      <c r="E1193" s="29"/>
      <c r="F1193" s="29" t="s">
        <v>3686</v>
      </c>
      <c r="G1193" s="29"/>
      <c r="H1193" s="29" t="s">
        <v>3687</v>
      </c>
      <c r="I1193" s="29"/>
      <c r="J1193" s="29"/>
      <c r="K1193" s="29"/>
      <c r="L1193" s="29" t="s">
        <v>3363</v>
      </c>
      <c r="M1193" s="29" t="s">
        <v>3366</v>
      </c>
      <c r="N1193" s="29" t="s">
        <v>3367</v>
      </c>
      <c r="O1193" s="29"/>
      <c r="P1193" s="29" t="s">
        <v>8208</v>
      </c>
      <c r="Q1193" t="s">
        <v>2038</v>
      </c>
      <c r="R1193" t="s">
        <v>2633</v>
      </c>
      <c r="S1193">
        <v>37</v>
      </c>
      <c r="T1193" s="43" t="str">
        <f t="shared" si="52"/>
        <v>2021.010B.R.Binomial_names.zip</v>
      </c>
      <c r="U1193" s="43" t="str">
        <f>HYPERLINK("https://ictv.global/taxonomy/taxondetails?taxnode_id=202200275","ictv.global=202200275")</f>
        <v>ictv.global=202200275</v>
      </c>
    </row>
    <row r="1194" spans="1:21">
      <c r="A1194">
        <v>1193</v>
      </c>
      <c r="B1194" s="29" t="s">
        <v>3682</v>
      </c>
      <c r="C1194" s="29"/>
      <c r="D1194" s="29" t="s">
        <v>3683</v>
      </c>
      <c r="E1194" s="29"/>
      <c r="F1194" s="29" t="s">
        <v>3686</v>
      </c>
      <c r="G1194" s="29"/>
      <c r="H1194" s="29" t="s">
        <v>3687</v>
      </c>
      <c r="I1194" s="29"/>
      <c r="J1194" s="29"/>
      <c r="K1194" s="29"/>
      <c r="L1194" s="29" t="s">
        <v>3363</v>
      </c>
      <c r="M1194" s="29" t="s">
        <v>3366</v>
      </c>
      <c r="N1194" s="29" t="s">
        <v>3367</v>
      </c>
      <c r="O1194" s="29"/>
      <c r="P1194" s="29" t="s">
        <v>8209</v>
      </c>
      <c r="Q1194" t="s">
        <v>2038</v>
      </c>
      <c r="R1194" t="s">
        <v>2633</v>
      </c>
      <c r="S1194">
        <v>37</v>
      </c>
      <c r="T1194" s="43" t="str">
        <f t="shared" si="52"/>
        <v>2021.010B.R.Binomial_names.zip</v>
      </c>
      <c r="U1194" s="43" t="str">
        <f>HYPERLINK("https://ictv.global/taxonomy/taxondetails?taxnode_id=202206969","ictv.global=202206969")</f>
        <v>ictv.global=202206969</v>
      </c>
    </row>
    <row r="1195" spans="1:21">
      <c r="A1195">
        <v>1194</v>
      </c>
      <c r="B1195" s="29" t="s">
        <v>3682</v>
      </c>
      <c r="C1195" s="29"/>
      <c r="D1195" s="29" t="s">
        <v>3683</v>
      </c>
      <c r="E1195" s="29"/>
      <c r="F1195" s="29" t="s">
        <v>3686</v>
      </c>
      <c r="G1195" s="29"/>
      <c r="H1195" s="29" t="s">
        <v>3687</v>
      </c>
      <c r="I1195" s="29"/>
      <c r="J1195" s="29"/>
      <c r="K1195" s="29"/>
      <c r="L1195" s="29" t="s">
        <v>3363</v>
      </c>
      <c r="M1195" s="29" t="s">
        <v>3366</v>
      </c>
      <c r="N1195" s="29" t="s">
        <v>3867</v>
      </c>
      <c r="O1195" s="29"/>
      <c r="P1195" s="29" t="s">
        <v>8210</v>
      </c>
      <c r="Q1195" t="s">
        <v>2038</v>
      </c>
      <c r="R1195" t="s">
        <v>2633</v>
      </c>
      <c r="S1195">
        <v>37</v>
      </c>
      <c r="T1195" s="43" t="str">
        <f t="shared" si="52"/>
        <v>2021.010B.R.Binomial_names.zip</v>
      </c>
      <c r="U1195" s="43" t="str">
        <f>HYPERLINK("https://ictv.global/taxonomy/taxondetails?taxnode_id=202206970","ictv.global=202206970")</f>
        <v>ictv.global=202206970</v>
      </c>
    </row>
    <row r="1196" spans="1:21">
      <c r="A1196">
        <v>1195</v>
      </c>
      <c r="B1196" s="29" t="s">
        <v>3682</v>
      </c>
      <c r="C1196" s="29"/>
      <c r="D1196" s="29" t="s">
        <v>3683</v>
      </c>
      <c r="E1196" s="29"/>
      <c r="F1196" s="29" t="s">
        <v>3686</v>
      </c>
      <c r="G1196" s="29"/>
      <c r="H1196" s="29" t="s">
        <v>3687</v>
      </c>
      <c r="I1196" s="29"/>
      <c r="J1196" s="29"/>
      <c r="K1196" s="29"/>
      <c r="L1196" s="29" t="s">
        <v>3363</v>
      </c>
      <c r="M1196" s="29" t="s">
        <v>3366</v>
      </c>
      <c r="N1196" s="29" t="s">
        <v>3867</v>
      </c>
      <c r="O1196" s="29"/>
      <c r="P1196" s="29" t="s">
        <v>8211</v>
      </c>
      <c r="Q1196" t="s">
        <v>2038</v>
      </c>
      <c r="R1196" t="s">
        <v>2633</v>
      </c>
      <c r="S1196">
        <v>37</v>
      </c>
      <c r="T1196" s="43" t="str">
        <f t="shared" si="52"/>
        <v>2021.010B.R.Binomial_names.zip</v>
      </c>
      <c r="U1196" s="43" t="str">
        <f>HYPERLINK("https://ictv.global/taxonomy/taxondetails?taxnode_id=202207662","ictv.global=202207662")</f>
        <v>ictv.global=202207662</v>
      </c>
    </row>
    <row r="1197" spans="1:21">
      <c r="A1197">
        <v>1196</v>
      </c>
      <c r="B1197" s="29" t="s">
        <v>3682</v>
      </c>
      <c r="C1197" s="29"/>
      <c r="D1197" s="29" t="s">
        <v>3683</v>
      </c>
      <c r="E1197" s="29"/>
      <c r="F1197" s="29" t="s">
        <v>3686</v>
      </c>
      <c r="G1197" s="29"/>
      <c r="H1197" s="29" t="s">
        <v>3687</v>
      </c>
      <c r="I1197" s="29"/>
      <c r="J1197" s="29"/>
      <c r="K1197" s="29"/>
      <c r="L1197" s="29" t="s">
        <v>3363</v>
      </c>
      <c r="M1197" s="29" t="s">
        <v>3366</v>
      </c>
      <c r="N1197" s="29" t="s">
        <v>3867</v>
      </c>
      <c r="O1197" s="29"/>
      <c r="P1197" s="29" t="s">
        <v>8212</v>
      </c>
      <c r="Q1197" t="s">
        <v>2038</v>
      </c>
      <c r="R1197" t="s">
        <v>2633</v>
      </c>
      <c r="S1197">
        <v>37</v>
      </c>
      <c r="T1197" s="43" t="str">
        <f t="shared" si="52"/>
        <v>2021.010B.R.Binomial_names.zip</v>
      </c>
      <c r="U1197" s="43" t="str">
        <f>HYPERLINK("https://ictv.global/taxonomy/taxondetails?taxnode_id=202207661","ictv.global=202207661")</f>
        <v>ictv.global=202207661</v>
      </c>
    </row>
    <row r="1198" spans="1:21">
      <c r="A1198">
        <v>1197</v>
      </c>
      <c r="B1198" s="29" t="s">
        <v>3682</v>
      </c>
      <c r="C1198" s="29"/>
      <c r="D1198" s="29" t="s">
        <v>3683</v>
      </c>
      <c r="E1198" s="29"/>
      <c r="F1198" s="29" t="s">
        <v>3686</v>
      </c>
      <c r="G1198" s="29"/>
      <c r="H1198" s="29" t="s">
        <v>3687</v>
      </c>
      <c r="I1198" s="29"/>
      <c r="J1198" s="29"/>
      <c r="K1198" s="29"/>
      <c r="L1198" s="29" t="s">
        <v>3363</v>
      </c>
      <c r="M1198" s="29" t="s">
        <v>3368</v>
      </c>
      <c r="N1198" s="29" t="s">
        <v>3369</v>
      </c>
      <c r="O1198" s="29"/>
      <c r="P1198" s="29" t="s">
        <v>8213</v>
      </c>
      <c r="Q1198" t="s">
        <v>2038</v>
      </c>
      <c r="R1198" t="s">
        <v>2633</v>
      </c>
      <c r="S1198">
        <v>37</v>
      </c>
      <c r="T1198" s="43" t="str">
        <f t="shared" si="52"/>
        <v>2021.010B.R.Binomial_names.zip</v>
      </c>
      <c r="U1198" s="43" t="str">
        <f>HYPERLINK("https://ictv.global/taxonomy/taxondetails?taxnode_id=202200260","ictv.global=202200260")</f>
        <v>ictv.global=202200260</v>
      </c>
    </row>
    <row r="1199" spans="1:21">
      <c r="A1199">
        <v>1198</v>
      </c>
      <c r="B1199" s="29" t="s">
        <v>3682</v>
      </c>
      <c r="C1199" s="29"/>
      <c r="D1199" s="29" t="s">
        <v>3683</v>
      </c>
      <c r="E1199" s="29"/>
      <c r="F1199" s="29" t="s">
        <v>3686</v>
      </c>
      <c r="G1199" s="29"/>
      <c r="H1199" s="29" t="s">
        <v>3687</v>
      </c>
      <c r="I1199" s="29"/>
      <c r="J1199" s="29"/>
      <c r="K1199" s="29"/>
      <c r="L1199" s="29" t="s">
        <v>3363</v>
      </c>
      <c r="M1199" s="29" t="s">
        <v>3368</v>
      </c>
      <c r="N1199" s="29" t="s">
        <v>3369</v>
      </c>
      <c r="O1199" s="29"/>
      <c r="P1199" s="29" t="s">
        <v>8214</v>
      </c>
      <c r="Q1199" t="s">
        <v>2038</v>
      </c>
      <c r="R1199" t="s">
        <v>2633</v>
      </c>
      <c r="S1199">
        <v>37</v>
      </c>
      <c r="T1199" s="43" t="str">
        <f t="shared" si="52"/>
        <v>2021.010B.R.Binomial_names.zip</v>
      </c>
      <c r="U1199" s="43" t="str">
        <f>HYPERLINK("https://ictv.global/taxonomy/taxondetails?taxnode_id=202206979","ictv.global=202206979")</f>
        <v>ictv.global=202206979</v>
      </c>
    </row>
    <row r="1200" spans="1:21">
      <c r="A1200">
        <v>1199</v>
      </c>
      <c r="B1200" s="29" t="s">
        <v>3682</v>
      </c>
      <c r="C1200" s="29"/>
      <c r="D1200" s="29" t="s">
        <v>3683</v>
      </c>
      <c r="E1200" s="29"/>
      <c r="F1200" s="29" t="s">
        <v>3686</v>
      </c>
      <c r="G1200" s="29"/>
      <c r="H1200" s="29" t="s">
        <v>3687</v>
      </c>
      <c r="I1200" s="29"/>
      <c r="J1200" s="29"/>
      <c r="K1200" s="29"/>
      <c r="L1200" s="29" t="s">
        <v>3363</v>
      </c>
      <c r="M1200" s="29" t="s">
        <v>3368</v>
      </c>
      <c r="N1200" s="29" t="s">
        <v>3369</v>
      </c>
      <c r="O1200" s="29"/>
      <c r="P1200" s="29" t="s">
        <v>8215</v>
      </c>
      <c r="Q1200" t="s">
        <v>2038</v>
      </c>
      <c r="R1200" t="s">
        <v>2633</v>
      </c>
      <c r="S1200">
        <v>37</v>
      </c>
      <c r="T1200" s="43" t="str">
        <f t="shared" si="52"/>
        <v>2021.010B.R.Binomial_names.zip</v>
      </c>
      <c r="U1200" s="43" t="str">
        <f>HYPERLINK("https://ictv.global/taxonomy/taxondetails?taxnode_id=202206972","ictv.global=202206972")</f>
        <v>ictv.global=202206972</v>
      </c>
    </row>
    <row r="1201" spans="1:21">
      <c r="A1201">
        <v>1200</v>
      </c>
      <c r="B1201" s="29" t="s">
        <v>3682</v>
      </c>
      <c r="C1201" s="29"/>
      <c r="D1201" s="29" t="s">
        <v>3683</v>
      </c>
      <c r="E1201" s="29"/>
      <c r="F1201" s="29" t="s">
        <v>3686</v>
      </c>
      <c r="G1201" s="29"/>
      <c r="H1201" s="29" t="s">
        <v>3687</v>
      </c>
      <c r="I1201" s="29"/>
      <c r="J1201" s="29"/>
      <c r="K1201" s="29"/>
      <c r="L1201" s="29" t="s">
        <v>3363</v>
      </c>
      <c r="M1201" s="29" t="s">
        <v>3368</v>
      </c>
      <c r="N1201" s="29" t="s">
        <v>3369</v>
      </c>
      <c r="O1201" s="29"/>
      <c r="P1201" s="29" t="s">
        <v>8216</v>
      </c>
      <c r="Q1201" t="s">
        <v>2038</v>
      </c>
      <c r="R1201" t="s">
        <v>2633</v>
      </c>
      <c r="S1201">
        <v>37</v>
      </c>
      <c r="T1201" s="43" t="str">
        <f t="shared" si="52"/>
        <v>2021.010B.R.Binomial_names.zip</v>
      </c>
      <c r="U1201" s="43" t="str">
        <f>HYPERLINK("https://ictv.global/taxonomy/taxondetails?taxnode_id=202206973","ictv.global=202206973")</f>
        <v>ictv.global=202206973</v>
      </c>
    </row>
    <row r="1202" spans="1:21">
      <c r="A1202">
        <v>1201</v>
      </c>
      <c r="B1202" s="29" t="s">
        <v>3682</v>
      </c>
      <c r="C1202" s="29"/>
      <c r="D1202" s="29" t="s">
        <v>3683</v>
      </c>
      <c r="E1202" s="29"/>
      <c r="F1202" s="29" t="s">
        <v>3686</v>
      </c>
      <c r="G1202" s="29"/>
      <c r="H1202" s="29" t="s">
        <v>3687</v>
      </c>
      <c r="I1202" s="29"/>
      <c r="J1202" s="29"/>
      <c r="K1202" s="29"/>
      <c r="L1202" s="29" t="s">
        <v>3363</v>
      </c>
      <c r="M1202" s="29" t="s">
        <v>3368</v>
      </c>
      <c r="N1202" s="29" t="s">
        <v>3369</v>
      </c>
      <c r="O1202" s="29"/>
      <c r="P1202" s="29" t="s">
        <v>8217</v>
      </c>
      <c r="Q1202" t="s">
        <v>2038</v>
      </c>
      <c r="R1202" t="s">
        <v>2633</v>
      </c>
      <c r="S1202">
        <v>37</v>
      </c>
      <c r="T1202" s="43" t="str">
        <f t="shared" si="52"/>
        <v>2021.010B.R.Binomial_names.zip</v>
      </c>
      <c r="U1202" s="43" t="str">
        <f>HYPERLINK("https://ictv.global/taxonomy/taxondetails?taxnode_id=202206975","ictv.global=202206975")</f>
        <v>ictv.global=202206975</v>
      </c>
    </row>
    <row r="1203" spans="1:21">
      <c r="A1203">
        <v>1202</v>
      </c>
      <c r="B1203" s="29" t="s">
        <v>3682</v>
      </c>
      <c r="C1203" s="29"/>
      <c r="D1203" s="29" t="s">
        <v>3683</v>
      </c>
      <c r="E1203" s="29"/>
      <c r="F1203" s="29" t="s">
        <v>3686</v>
      </c>
      <c r="G1203" s="29"/>
      <c r="H1203" s="29" t="s">
        <v>3687</v>
      </c>
      <c r="I1203" s="29"/>
      <c r="J1203" s="29"/>
      <c r="K1203" s="29"/>
      <c r="L1203" s="29" t="s">
        <v>3363</v>
      </c>
      <c r="M1203" s="29" t="s">
        <v>3368</v>
      </c>
      <c r="N1203" s="29" t="s">
        <v>3369</v>
      </c>
      <c r="O1203" s="29"/>
      <c r="P1203" s="29" t="s">
        <v>8218</v>
      </c>
      <c r="Q1203" t="s">
        <v>2038</v>
      </c>
      <c r="R1203" t="s">
        <v>2633</v>
      </c>
      <c r="S1203">
        <v>37</v>
      </c>
      <c r="T1203" s="43" t="str">
        <f t="shared" si="52"/>
        <v>2021.010B.R.Binomial_names.zip</v>
      </c>
      <c r="U1203" s="43" t="str">
        <f>HYPERLINK("https://ictv.global/taxonomy/taxondetails?taxnode_id=202206974","ictv.global=202206974")</f>
        <v>ictv.global=202206974</v>
      </c>
    </row>
    <row r="1204" spans="1:21">
      <c r="A1204">
        <v>1203</v>
      </c>
      <c r="B1204" s="29" t="s">
        <v>3682</v>
      </c>
      <c r="C1204" s="29"/>
      <c r="D1204" s="29" t="s">
        <v>3683</v>
      </c>
      <c r="E1204" s="29"/>
      <c r="F1204" s="29" t="s">
        <v>3686</v>
      </c>
      <c r="G1204" s="29"/>
      <c r="H1204" s="29" t="s">
        <v>3687</v>
      </c>
      <c r="I1204" s="29"/>
      <c r="J1204" s="29"/>
      <c r="K1204" s="29"/>
      <c r="L1204" s="29" t="s">
        <v>3363</v>
      </c>
      <c r="M1204" s="29" t="s">
        <v>3368</v>
      </c>
      <c r="N1204" s="29" t="s">
        <v>3369</v>
      </c>
      <c r="O1204" s="29"/>
      <c r="P1204" s="29" t="s">
        <v>8219</v>
      </c>
      <c r="Q1204" t="s">
        <v>2038</v>
      </c>
      <c r="R1204" t="s">
        <v>2633</v>
      </c>
      <c r="S1204">
        <v>37</v>
      </c>
      <c r="T1204" s="43" t="str">
        <f t="shared" si="52"/>
        <v>2021.010B.R.Binomial_names.zip</v>
      </c>
      <c r="U1204" s="43" t="str">
        <f>HYPERLINK("https://ictv.global/taxonomy/taxondetails?taxnode_id=202206976","ictv.global=202206976")</f>
        <v>ictv.global=202206976</v>
      </c>
    </row>
    <row r="1205" spans="1:21">
      <c r="A1205">
        <v>1204</v>
      </c>
      <c r="B1205" s="29" t="s">
        <v>3682</v>
      </c>
      <c r="C1205" s="29"/>
      <c r="D1205" s="29" t="s">
        <v>3683</v>
      </c>
      <c r="E1205" s="29"/>
      <c r="F1205" s="29" t="s">
        <v>3686</v>
      </c>
      <c r="G1205" s="29"/>
      <c r="H1205" s="29" t="s">
        <v>3687</v>
      </c>
      <c r="I1205" s="29"/>
      <c r="J1205" s="29"/>
      <c r="K1205" s="29"/>
      <c r="L1205" s="29" t="s">
        <v>3363</v>
      </c>
      <c r="M1205" s="29" t="s">
        <v>3368</v>
      </c>
      <c r="N1205" s="29" t="s">
        <v>3369</v>
      </c>
      <c r="O1205" s="29"/>
      <c r="P1205" s="29" t="s">
        <v>8220</v>
      </c>
      <c r="Q1205" t="s">
        <v>2038</v>
      </c>
      <c r="R1205" t="s">
        <v>2633</v>
      </c>
      <c r="S1205">
        <v>37</v>
      </c>
      <c r="T1205" s="43" t="str">
        <f t="shared" si="52"/>
        <v>2021.010B.R.Binomial_names.zip</v>
      </c>
      <c r="U1205" s="43" t="str">
        <f>HYPERLINK("https://ictv.global/taxonomy/taxondetails?taxnode_id=202206977","ictv.global=202206977")</f>
        <v>ictv.global=202206977</v>
      </c>
    </row>
    <row r="1206" spans="1:21">
      <c r="A1206">
        <v>1205</v>
      </c>
      <c r="B1206" s="29" t="s">
        <v>3682</v>
      </c>
      <c r="C1206" s="29"/>
      <c r="D1206" s="29" t="s">
        <v>3683</v>
      </c>
      <c r="E1206" s="29"/>
      <c r="F1206" s="29" t="s">
        <v>3686</v>
      </c>
      <c r="G1206" s="29"/>
      <c r="H1206" s="29" t="s">
        <v>3687</v>
      </c>
      <c r="I1206" s="29"/>
      <c r="J1206" s="29"/>
      <c r="K1206" s="29"/>
      <c r="L1206" s="29" t="s">
        <v>3363</v>
      </c>
      <c r="M1206" s="29" t="s">
        <v>3368</v>
      </c>
      <c r="N1206" s="29" t="s">
        <v>3369</v>
      </c>
      <c r="O1206" s="29"/>
      <c r="P1206" s="29" t="s">
        <v>8221</v>
      </c>
      <c r="Q1206" t="s">
        <v>2038</v>
      </c>
      <c r="R1206" t="s">
        <v>2633</v>
      </c>
      <c r="S1206">
        <v>37</v>
      </c>
      <c r="T1206" s="43" t="str">
        <f t="shared" si="52"/>
        <v>2021.010B.R.Binomial_names.zip</v>
      </c>
      <c r="U1206" s="43" t="str">
        <f>HYPERLINK("https://ictv.global/taxonomy/taxondetails?taxnode_id=202206978","ictv.global=202206978")</f>
        <v>ictv.global=202206978</v>
      </c>
    </row>
    <row r="1207" spans="1:21">
      <c r="A1207">
        <v>1206</v>
      </c>
      <c r="B1207" s="29" t="s">
        <v>3682</v>
      </c>
      <c r="C1207" s="29"/>
      <c r="D1207" s="29" t="s">
        <v>3683</v>
      </c>
      <c r="E1207" s="29"/>
      <c r="F1207" s="29" t="s">
        <v>3686</v>
      </c>
      <c r="G1207" s="29"/>
      <c r="H1207" s="29" t="s">
        <v>3687</v>
      </c>
      <c r="I1207" s="29"/>
      <c r="J1207" s="29"/>
      <c r="K1207" s="29"/>
      <c r="L1207" s="29" t="s">
        <v>3363</v>
      </c>
      <c r="M1207" s="29" t="s">
        <v>3368</v>
      </c>
      <c r="N1207" s="29" t="s">
        <v>3369</v>
      </c>
      <c r="O1207" s="29"/>
      <c r="P1207" s="29" t="s">
        <v>8222</v>
      </c>
      <c r="Q1207" t="s">
        <v>2038</v>
      </c>
      <c r="R1207" t="s">
        <v>2633</v>
      </c>
      <c r="S1207">
        <v>37</v>
      </c>
      <c r="T1207" s="43" t="str">
        <f t="shared" si="52"/>
        <v>2021.010B.R.Binomial_names.zip</v>
      </c>
      <c r="U1207" s="43" t="str">
        <f>HYPERLINK("https://ictv.global/taxonomy/taxondetails?taxnode_id=202200261","ictv.global=202200261")</f>
        <v>ictv.global=202200261</v>
      </c>
    </row>
    <row r="1208" spans="1:21">
      <c r="A1208">
        <v>1207</v>
      </c>
      <c r="B1208" s="29" t="s">
        <v>3682</v>
      </c>
      <c r="C1208" s="29"/>
      <c r="D1208" s="29" t="s">
        <v>3683</v>
      </c>
      <c r="E1208" s="29"/>
      <c r="F1208" s="29" t="s">
        <v>3686</v>
      </c>
      <c r="G1208" s="29"/>
      <c r="H1208" s="29" t="s">
        <v>3687</v>
      </c>
      <c r="I1208" s="29"/>
      <c r="J1208" s="29"/>
      <c r="K1208" s="29"/>
      <c r="L1208" s="29" t="s">
        <v>3363</v>
      </c>
      <c r="M1208" s="29" t="s">
        <v>3368</v>
      </c>
      <c r="N1208" s="29" t="s">
        <v>3369</v>
      </c>
      <c r="O1208" s="29"/>
      <c r="P1208" s="29" t="s">
        <v>8223</v>
      </c>
      <c r="Q1208" t="s">
        <v>2038</v>
      </c>
      <c r="R1208" t="s">
        <v>2633</v>
      </c>
      <c r="S1208">
        <v>37</v>
      </c>
      <c r="T1208" s="43" t="str">
        <f t="shared" si="52"/>
        <v>2021.010B.R.Binomial_names.zip</v>
      </c>
      <c r="U1208" s="43" t="str">
        <f>HYPERLINK("https://ictv.global/taxonomy/taxondetails?taxnode_id=202206980","ictv.global=202206980")</f>
        <v>ictv.global=202206980</v>
      </c>
    </row>
    <row r="1209" spans="1:21">
      <c r="A1209">
        <v>1208</v>
      </c>
      <c r="B1209" s="29" t="s">
        <v>3682</v>
      </c>
      <c r="C1209" s="29"/>
      <c r="D1209" s="29" t="s">
        <v>3683</v>
      </c>
      <c r="E1209" s="29"/>
      <c r="F1209" s="29" t="s">
        <v>3686</v>
      </c>
      <c r="G1209" s="29"/>
      <c r="H1209" s="29" t="s">
        <v>3687</v>
      </c>
      <c r="I1209" s="29"/>
      <c r="J1209" s="29"/>
      <c r="K1209" s="29"/>
      <c r="L1209" s="29" t="s">
        <v>3363</v>
      </c>
      <c r="M1209" s="29" t="s">
        <v>998</v>
      </c>
      <c r="N1209" s="29" t="s">
        <v>3370</v>
      </c>
      <c r="O1209" s="29"/>
      <c r="P1209" s="29" t="s">
        <v>8224</v>
      </c>
      <c r="Q1209" t="s">
        <v>2038</v>
      </c>
      <c r="R1209" t="s">
        <v>2633</v>
      </c>
      <c r="S1209">
        <v>37</v>
      </c>
      <c r="T1209" s="43" t="str">
        <f t="shared" si="52"/>
        <v>2021.010B.R.Binomial_names.zip</v>
      </c>
      <c r="U1209" s="43" t="str">
        <f>HYPERLINK("https://ictv.global/taxonomy/taxondetails?taxnode_id=202200267","ictv.global=202200267")</f>
        <v>ictv.global=202200267</v>
      </c>
    </row>
    <row r="1210" spans="1:21">
      <c r="A1210">
        <v>1209</v>
      </c>
      <c r="B1210" s="29" t="s">
        <v>3682</v>
      </c>
      <c r="C1210" s="29"/>
      <c r="D1210" s="29" t="s">
        <v>3683</v>
      </c>
      <c r="E1210" s="29"/>
      <c r="F1210" s="29" t="s">
        <v>3686</v>
      </c>
      <c r="G1210" s="29"/>
      <c r="H1210" s="29" t="s">
        <v>3687</v>
      </c>
      <c r="I1210" s="29"/>
      <c r="J1210" s="29"/>
      <c r="K1210" s="29"/>
      <c r="L1210" s="29" t="s">
        <v>3363</v>
      </c>
      <c r="M1210" s="29" t="s">
        <v>998</v>
      </c>
      <c r="N1210" s="29" t="s">
        <v>3370</v>
      </c>
      <c r="O1210" s="29"/>
      <c r="P1210" s="29" t="s">
        <v>8225</v>
      </c>
      <c r="Q1210" t="s">
        <v>2038</v>
      </c>
      <c r="R1210" t="s">
        <v>2633</v>
      </c>
      <c r="S1210">
        <v>37</v>
      </c>
      <c r="T1210" s="43" t="str">
        <f t="shared" si="52"/>
        <v>2021.010B.R.Binomial_names.zip</v>
      </c>
      <c r="U1210" s="43" t="str">
        <f>HYPERLINK("https://ictv.global/taxonomy/taxondetails?taxnode_id=202200268","ictv.global=202200268")</f>
        <v>ictv.global=202200268</v>
      </c>
    </row>
    <row r="1211" spans="1:21">
      <c r="A1211">
        <v>1210</v>
      </c>
      <c r="B1211" s="29" t="s">
        <v>3682</v>
      </c>
      <c r="C1211" s="29"/>
      <c r="D1211" s="29" t="s">
        <v>3683</v>
      </c>
      <c r="E1211" s="29"/>
      <c r="F1211" s="29" t="s">
        <v>3686</v>
      </c>
      <c r="G1211" s="29"/>
      <c r="H1211" s="29" t="s">
        <v>3687</v>
      </c>
      <c r="I1211" s="29"/>
      <c r="J1211" s="29"/>
      <c r="K1211" s="29"/>
      <c r="L1211" s="29" t="s">
        <v>3363</v>
      </c>
      <c r="M1211" s="29" t="s">
        <v>998</v>
      </c>
      <c r="N1211" s="29" t="s">
        <v>3437</v>
      </c>
      <c r="O1211" s="29"/>
      <c r="P1211" s="29" t="s">
        <v>8226</v>
      </c>
      <c r="Q1211" t="s">
        <v>2038</v>
      </c>
      <c r="R1211" t="s">
        <v>2633</v>
      </c>
      <c r="S1211">
        <v>37</v>
      </c>
      <c r="T1211" s="43" t="str">
        <f t="shared" si="52"/>
        <v>2021.010B.R.Binomial_names.zip</v>
      </c>
      <c r="U1211" s="43" t="str">
        <f>HYPERLINK("https://ictv.global/taxonomy/taxondetails?taxnode_id=202200425","ictv.global=202200425")</f>
        <v>ictv.global=202200425</v>
      </c>
    </row>
    <row r="1212" spans="1:21">
      <c r="A1212">
        <v>1211</v>
      </c>
      <c r="B1212" s="29" t="s">
        <v>3682</v>
      </c>
      <c r="C1212" s="29"/>
      <c r="D1212" s="29" t="s">
        <v>3683</v>
      </c>
      <c r="E1212" s="29"/>
      <c r="F1212" s="29" t="s">
        <v>3686</v>
      </c>
      <c r="G1212" s="29"/>
      <c r="H1212" s="29" t="s">
        <v>3687</v>
      </c>
      <c r="I1212" s="29"/>
      <c r="J1212" s="29"/>
      <c r="K1212" s="29"/>
      <c r="L1212" s="29" t="s">
        <v>3363</v>
      </c>
      <c r="M1212" s="29" t="s">
        <v>998</v>
      </c>
      <c r="N1212" s="29" t="s">
        <v>3437</v>
      </c>
      <c r="O1212" s="29"/>
      <c r="P1212" s="29" t="s">
        <v>8227</v>
      </c>
      <c r="Q1212" t="s">
        <v>2038</v>
      </c>
      <c r="R1212" t="s">
        <v>2633</v>
      </c>
      <c r="S1212">
        <v>37</v>
      </c>
      <c r="T1212" s="43" t="str">
        <f t="shared" si="52"/>
        <v>2021.010B.R.Binomial_names.zip</v>
      </c>
      <c r="U1212" s="43" t="str">
        <f>HYPERLINK("https://ictv.global/taxonomy/taxondetails?taxnode_id=202200426","ictv.global=202200426")</f>
        <v>ictv.global=202200426</v>
      </c>
    </row>
    <row r="1213" spans="1:21">
      <c r="A1213">
        <v>1212</v>
      </c>
      <c r="B1213" s="29" t="s">
        <v>3682</v>
      </c>
      <c r="C1213" s="29"/>
      <c r="D1213" s="29" t="s">
        <v>3683</v>
      </c>
      <c r="E1213" s="29"/>
      <c r="F1213" s="29" t="s">
        <v>3686</v>
      </c>
      <c r="G1213" s="29"/>
      <c r="H1213" s="29" t="s">
        <v>3687</v>
      </c>
      <c r="I1213" s="29"/>
      <c r="J1213" s="29"/>
      <c r="K1213" s="29"/>
      <c r="L1213" s="29" t="s">
        <v>3363</v>
      </c>
      <c r="M1213" s="29" t="s">
        <v>998</v>
      </c>
      <c r="N1213" s="29" t="s">
        <v>3437</v>
      </c>
      <c r="O1213" s="29"/>
      <c r="P1213" s="29" t="s">
        <v>8228</v>
      </c>
      <c r="Q1213" t="s">
        <v>2038</v>
      </c>
      <c r="R1213" t="s">
        <v>2633</v>
      </c>
      <c r="S1213">
        <v>37</v>
      </c>
      <c r="T1213" s="43" t="str">
        <f t="shared" si="52"/>
        <v>2021.010B.R.Binomial_names.zip</v>
      </c>
      <c r="U1213" s="43" t="str">
        <f>HYPERLINK("https://ictv.global/taxonomy/taxondetails?taxnode_id=202200427","ictv.global=202200427")</f>
        <v>ictv.global=202200427</v>
      </c>
    </row>
    <row r="1214" spans="1:21">
      <c r="A1214">
        <v>1213</v>
      </c>
      <c r="B1214" s="29" t="s">
        <v>3682</v>
      </c>
      <c r="C1214" s="29"/>
      <c r="D1214" s="29" t="s">
        <v>3683</v>
      </c>
      <c r="E1214" s="29"/>
      <c r="F1214" s="29" t="s">
        <v>3686</v>
      </c>
      <c r="G1214" s="29"/>
      <c r="H1214" s="29" t="s">
        <v>3687</v>
      </c>
      <c r="I1214" s="29"/>
      <c r="J1214" s="29"/>
      <c r="K1214" s="29"/>
      <c r="L1214" s="29" t="s">
        <v>3363</v>
      </c>
      <c r="M1214" s="29" t="s">
        <v>3371</v>
      </c>
      <c r="N1214" s="29" t="s">
        <v>3868</v>
      </c>
      <c r="O1214" s="29"/>
      <c r="P1214" s="29" t="s">
        <v>8229</v>
      </c>
      <c r="Q1214" t="s">
        <v>2038</v>
      </c>
      <c r="R1214" t="s">
        <v>2633</v>
      </c>
      <c r="S1214">
        <v>37</v>
      </c>
      <c r="T1214" s="43" t="str">
        <f t="shared" si="52"/>
        <v>2021.010B.R.Binomial_names.zip</v>
      </c>
      <c r="U1214" s="43" t="str">
        <f>HYPERLINK("https://ictv.global/taxonomy/taxondetails?taxnode_id=202207732","ictv.global=202207732")</f>
        <v>ictv.global=202207732</v>
      </c>
    </row>
    <row r="1215" spans="1:21">
      <c r="A1215">
        <v>1214</v>
      </c>
      <c r="B1215" s="29" t="s">
        <v>3682</v>
      </c>
      <c r="C1215" s="29"/>
      <c r="D1215" s="29" t="s">
        <v>3683</v>
      </c>
      <c r="E1215" s="29"/>
      <c r="F1215" s="29" t="s">
        <v>3686</v>
      </c>
      <c r="G1215" s="29"/>
      <c r="H1215" s="29" t="s">
        <v>3687</v>
      </c>
      <c r="I1215" s="29"/>
      <c r="J1215" s="29"/>
      <c r="K1215" s="29"/>
      <c r="L1215" s="29" t="s">
        <v>3363</v>
      </c>
      <c r="M1215" s="29" t="s">
        <v>3371</v>
      </c>
      <c r="N1215" s="29" t="s">
        <v>3868</v>
      </c>
      <c r="O1215" s="29"/>
      <c r="P1215" s="29" t="s">
        <v>8230</v>
      </c>
      <c r="Q1215" t="s">
        <v>2038</v>
      </c>
      <c r="R1215" t="s">
        <v>2633</v>
      </c>
      <c r="S1215">
        <v>37</v>
      </c>
      <c r="T1215" s="43" t="str">
        <f t="shared" si="52"/>
        <v>2021.010B.R.Binomial_names.zip</v>
      </c>
      <c r="U1215" s="43" t="str">
        <f>HYPERLINK("https://ictv.global/taxonomy/taxondetails?taxnode_id=202207731","ictv.global=202207731")</f>
        <v>ictv.global=202207731</v>
      </c>
    </row>
    <row r="1216" spans="1:21">
      <c r="A1216">
        <v>1215</v>
      </c>
      <c r="B1216" s="29" t="s">
        <v>3682</v>
      </c>
      <c r="C1216" s="29"/>
      <c r="D1216" s="29" t="s">
        <v>3683</v>
      </c>
      <c r="E1216" s="29"/>
      <c r="F1216" s="29" t="s">
        <v>3686</v>
      </c>
      <c r="G1216" s="29"/>
      <c r="H1216" s="29" t="s">
        <v>3687</v>
      </c>
      <c r="I1216" s="29"/>
      <c r="J1216" s="29"/>
      <c r="K1216" s="29"/>
      <c r="L1216" s="29" t="s">
        <v>3363</v>
      </c>
      <c r="M1216" s="29" t="s">
        <v>3371</v>
      </c>
      <c r="N1216" s="29" t="s">
        <v>2050</v>
      </c>
      <c r="O1216" s="29"/>
      <c r="P1216" s="29" t="s">
        <v>8231</v>
      </c>
      <c r="Q1216" t="s">
        <v>2038</v>
      </c>
      <c r="R1216" t="s">
        <v>2633</v>
      </c>
      <c r="S1216">
        <v>37</v>
      </c>
      <c r="T1216" s="43" t="str">
        <f t="shared" si="52"/>
        <v>2021.010B.R.Binomial_names.zip</v>
      </c>
      <c r="U1216" s="43" t="str">
        <f>HYPERLINK("https://ictv.global/taxonomy/taxondetails?taxnode_id=202200249","ictv.global=202200249")</f>
        <v>ictv.global=202200249</v>
      </c>
    </row>
    <row r="1217" spans="1:21">
      <c r="A1217">
        <v>1216</v>
      </c>
      <c r="B1217" s="29" t="s">
        <v>3682</v>
      </c>
      <c r="C1217" s="29"/>
      <c r="D1217" s="29" t="s">
        <v>3683</v>
      </c>
      <c r="E1217" s="29"/>
      <c r="F1217" s="29" t="s">
        <v>3686</v>
      </c>
      <c r="G1217" s="29"/>
      <c r="H1217" s="29" t="s">
        <v>3687</v>
      </c>
      <c r="I1217" s="29"/>
      <c r="J1217" s="29"/>
      <c r="K1217" s="29"/>
      <c r="L1217" s="29" t="s">
        <v>3363</v>
      </c>
      <c r="M1217" s="29" t="s">
        <v>3371</v>
      </c>
      <c r="N1217" s="29" t="s">
        <v>2050</v>
      </c>
      <c r="O1217" s="29"/>
      <c r="P1217" s="29" t="s">
        <v>8232</v>
      </c>
      <c r="Q1217" t="s">
        <v>2038</v>
      </c>
      <c r="R1217" t="s">
        <v>2633</v>
      </c>
      <c r="S1217">
        <v>37</v>
      </c>
      <c r="T1217" s="43" t="str">
        <f t="shared" si="52"/>
        <v>2021.010B.R.Binomial_names.zip</v>
      </c>
      <c r="U1217" s="43" t="str">
        <f>HYPERLINK("https://ictv.global/taxonomy/taxondetails?taxnode_id=202200250","ictv.global=202200250")</f>
        <v>ictv.global=202200250</v>
      </c>
    </row>
    <row r="1218" spans="1:21">
      <c r="A1218">
        <v>1217</v>
      </c>
      <c r="B1218" s="29" t="s">
        <v>3682</v>
      </c>
      <c r="C1218" s="29"/>
      <c r="D1218" s="29" t="s">
        <v>3683</v>
      </c>
      <c r="E1218" s="29"/>
      <c r="F1218" s="29" t="s">
        <v>3686</v>
      </c>
      <c r="G1218" s="29"/>
      <c r="H1218" s="29" t="s">
        <v>3687</v>
      </c>
      <c r="I1218" s="29"/>
      <c r="J1218" s="29"/>
      <c r="K1218" s="29"/>
      <c r="L1218" s="29" t="s">
        <v>3363</v>
      </c>
      <c r="M1218" s="29" t="s">
        <v>3371</v>
      </c>
      <c r="N1218" s="29" t="s">
        <v>2050</v>
      </c>
      <c r="O1218" s="29"/>
      <c r="P1218" s="29" t="s">
        <v>8233</v>
      </c>
      <c r="Q1218" t="s">
        <v>2038</v>
      </c>
      <c r="R1218" t="s">
        <v>2633</v>
      </c>
      <c r="S1218">
        <v>37</v>
      </c>
      <c r="T1218" s="43" t="str">
        <f t="shared" si="52"/>
        <v>2021.010B.R.Binomial_names.zip</v>
      </c>
      <c r="U1218" s="43" t="str">
        <f>HYPERLINK("https://ictv.global/taxonomy/taxondetails?taxnode_id=202200251","ictv.global=202200251")</f>
        <v>ictv.global=202200251</v>
      </c>
    </row>
    <row r="1219" spans="1:21">
      <c r="A1219">
        <v>1218</v>
      </c>
      <c r="B1219" s="29" t="s">
        <v>3682</v>
      </c>
      <c r="C1219" s="29"/>
      <c r="D1219" s="29" t="s">
        <v>3683</v>
      </c>
      <c r="E1219" s="29"/>
      <c r="F1219" s="29" t="s">
        <v>3686</v>
      </c>
      <c r="G1219" s="29"/>
      <c r="H1219" s="29" t="s">
        <v>3687</v>
      </c>
      <c r="I1219" s="29"/>
      <c r="J1219" s="29"/>
      <c r="K1219" s="29"/>
      <c r="L1219" s="29" t="s">
        <v>3363</v>
      </c>
      <c r="M1219" s="29" t="s">
        <v>3371</v>
      </c>
      <c r="N1219" s="29" t="s">
        <v>2050</v>
      </c>
      <c r="O1219" s="29"/>
      <c r="P1219" s="29" t="s">
        <v>8234</v>
      </c>
      <c r="Q1219" t="s">
        <v>2038</v>
      </c>
      <c r="R1219" t="s">
        <v>2633</v>
      </c>
      <c r="S1219">
        <v>37</v>
      </c>
      <c r="T1219" s="43" t="str">
        <f t="shared" ref="T1219:T1240" si="53">HYPERLINK("https://ictv.global/ictv/proposals/2021.010B.R.Binomial_names.zip","2021.010B.R.Binomial_names.zip")</f>
        <v>2021.010B.R.Binomial_names.zip</v>
      </c>
      <c r="U1219" s="43" t="str">
        <f>HYPERLINK("https://ictv.global/taxonomy/taxondetails?taxnode_id=202200252","ictv.global=202200252")</f>
        <v>ictv.global=202200252</v>
      </c>
    </row>
    <row r="1220" spans="1:21">
      <c r="A1220">
        <v>1219</v>
      </c>
      <c r="B1220" s="29" t="s">
        <v>3682</v>
      </c>
      <c r="C1220" s="29"/>
      <c r="D1220" s="29" t="s">
        <v>3683</v>
      </c>
      <c r="E1220" s="29"/>
      <c r="F1220" s="29" t="s">
        <v>3686</v>
      </c>
      <c r="G1220" s="29"/>
      <c r="H1220" s="29" t="s">
        <v>3687</v>
      </c>
      <c r="I1220" s="29"/>
      <c r="J1220" s="29"/>
      <c r="K1220" s="29"/>
      <c r="L1220" s="29" t="s">
        <v>3363</v>
      </c>
      <c r="M1220" s="29" t="s">
        <v>3371</v>
      </c>
      <c r="N1220" s="29" t="s">
        <v>2050</v>
      </c>
      <c r="O1220" s="29"/>
      <c r="P1220" s="29" t="s">
        <v>8235</v>
      </c>
      <c r="Q1220" t="s">
        <v>2038</v>
      </c>
      <c r="R1220" t="s">
        <v>2633</v>
      </c>
      <c r="S1220">
        <v>37</v>
      </c>
      <c r="T1220" s="43" t="str">
        <f t="shared" si="53"/>
        <v>2021.010B.R.Binomial_names.zip</v>
      </c>
      <c r="U1220" s="43" t="str">
        <f>HYPERLINK("https://ictv.global/taxonomy/taxondetails?taxnode_id=202200253","ictv.global=202200253")</f>
        <v>ictv.global=202200253</v>
      </c>
    </row>
    <row r="1221" spans="1:21">
      <c r="A1221">
        <v>1220</v>
      </c>
      <c r="B1221" s="29" t="s">
        <v>3682</v>
      </c>
      <c r="C1221" s="29"/>
      <c r="D1221" s="29" t="s">
        <v>3683</v>
      </c>
      <c r="E1221" s="29"/>
      <c r="F1221" s="29" t="s">
        <v>3686</v>
      </c>
      <c r="G1221" s="29"/>
      <c r="H1221" s="29" t="s">
        <v>3687</v>
      </c>
      <c r="I1221" s="29"/>
      <c r="J1221" s="29"/>
      <c r="K1221" s="29"/>
      <c r="L1221" s="29" t="s">
        <v>3363</v>
      </c>
      <c r="M1221" s="29" t="s">
        <v>3371</v>
      </c>
      <c r="N1221" s="29" t="s">
        <v>2050</v>
      </c>
      <c r="O1221" s="29"/>
      <c r="P1221" s="29" t="s">
        <v>8236</v>
      </c>
      <c r="Q1221" t="s">
        <v>2038</v>
      </c>
      <c r="R1221" t="s">
        <v>2633</v>
      </c>
      <c r="S1221">
        <v>37</v>
      </c>
      <c r="T1221" s="43" t="str">
        <f t="shared" si="53"/>
        <v>2021.010B.R.Binomial_names.zip</v>
      </c>
      <c r="U1221" s="43" t="str">
        <f>HYPERLINK("https://ictv.global/taxonomy/taxondetails?taxnode_id=202200254","ictv.global=202200254")</f>
        <v>ictv.global=202200254</v>
      </c>
    </row>
    <row r="1222" spans="1:21">
      <c r="A1222">
        <v>1221</v>
      </c>
      <c r="B1222" s="29" t="s">
        <v>3682</v>
      </c>
      <c r="C1222" s="29"/>
      <c r="D1222" s="29" t="s">
        <v>3683</v>
      </c>
      <c r="E1222" s="29"/>
      <c r="F1222" s="29" t="s">
        <v>3686</v>
      </c>
      <c r="G1222" s="29"/>
      <c r="H1222" s="29" t="s">
        <v>3687</v>
      </c>
      <c r="I1222" s="29"/>
      <c r="J1222" s="29"/>
      <c r="K1222" s="29"/>
      <c r="L1222" s="29" t="s">
        <v>3363</v>
      </c>
      <c r="M1222" s="29" t="s">
        <v>3371</v>
      </c>
      <c r="N1222" s="29" t="s">
        <v>2050</v>
      </c>
      <c r="O1222" s="29"/>
      <c r="P1222" s="29" t="s">
        <v>8237</v>
      </c>
      <c r="Q1222" t="s">
        <v>2038</v>
      </c>
      <c r="R1222" t="s">
        <v>2633</v>
      </c>
      <c r="S1222">
        <v>37</v>
      </c>
      <c r="T1222" s="43" t="str">
        <f t="shared" si="53"/>
        <v>2021.010B.R.Binomial_names.zip</v>
      </c>
      <c r="U1222" s="43" t="str">
        <f>HYPERLINK("https://ictv.global/taxonomy/taxondetails?taxnode_id=202200255","ictv.global=202200255")</f>
        <v>ictv.global=202200255</v>
      </c>
    </row>
    <row r="1223" spans="1:21">
      <c r="A1223">
        <v>1222</v>
      </c>
      <c r="B1223" s="29" t="s">
        <v>3682</v>
      </c>
      <c r="C1223" s="29"/>
      <c r="D1223" s="29" t="s">
        <v>3683</v>
      </c>
      <c r="E1223" s="29"/>
      <c r="F1223" s="29" t="s">
        <v>3686</v>
      </c>
      <c r="G1223" s="29"/>
      <c r="H1223" s="29" t="s">
        <v>3687</v>
      </c>
      <c r="I1223" s="29"/>
      <c r="J1223" s="29"/>
      <c r="K1223" s="29"/>
      <c r="L1223" s="29" t="s">
        <v>3363</v>
      </c>
      <c r="M1223" s="29" t="s">
        <v>3371</v>
      </c>
      <c r="N1223" s="29" t="s">
        <v>2050</v>
      </c>
      <c r="O1223" s="29"/>
      <c r="P1223" s="29" t="s">
        <v>8238</v>
      </c>
      <c r="Q1223" t="s">
        <v>2038</v>
      </c>
      <c r="R1223" t="s">
        <v>2633</v>
      </c>
      <c r="S1223">
        <v>37</v>
      </c>
      <c r="T1223" s="43" t="str">
        <f t="shared" si="53"/>
        <v>2021.010B.R.Binomial_names.zip</v>
      </c>
      <c r="U1223" s="43" t="str">
        <f>HYPERLINK("https://ictv.global/taxonomy/taxondetails?taxnode_id=202200256","ictv.global=202200256")</f>
        <v>ictv.global=202200256</v>
      </c>
    </row>
    <row r="1224" spans="1:21">
      <c r="A1224">
        <v>1223</v>
      </c>
      <c r="B1224" s="29" t="s">
        <v>3682</v>
      </c>
      <c r="C1224" s="29"/>
      <c r="D1224" s="29" t="s">
        <v>3683</v>
      </c>
      <c r="E1224" s="29"/>
      <c r="F1224" s="29" t="s">
        <v>3686</v>
      </c>
      <c r="G1224" s="29"/>
      <c r="H1224" s="29" t="s">
        <v>3687</v>
      </c>
      <c r="I1224" s="29"/>
      <c r="J1224" s="29"/>
      <c r="K1224" s="29"/>
      <c r="L1224" s="29" t="s">
        <v>3363</v>
      </c>
      <c r="M1224" s="29" t="s">
        <v>3371</v>
      </c>
      <c r="N1224" s="29" t="s">
        <v>2050</v>
      </c>
      <c r="O1224" s="29"/>
      <c r="P1224" s="29" t="s">
        <v>8239</v>
      </c>
      <c r="Q1224" t="s">
        <v>2038</v>
      </c>
      <c r="R1224" t="s">
        <v>2633</v>
      </c>
      <c r="S1224">
        <v>37</v>
      </c>
      <c r="T1224" s="43" t="str">
        <f t="shared" si="53"/>
        <v>2021.010B.R.Binomial_names.zip</v>
      </c>
      <c r="U1224" s="43" t="str">
        <f>HYPERLINK("https://ictv.global/taxonomy/taxondetails?taxnode_id=202200257","ictv.global=202200257")</f>
        <v>ictv.global=202200257</v>
      </c>
    </row>
    <row r="1225" spans="1:21">
      <c r="A1225">
        <v>1224</v>
      </c>
      <c r="B1225" s="29" t="s">
        <v>3682</v>
      </c>
      <c r="C1225" s="29"/>
      <c r="D1225" s="29" t="s">
        <v>3683</v>
      </c>
      <c r="E1225" s="29"/>
      <c r="F1225" s="29" t="s">
        <v>3686</v>
      </c>
      <c r="G1225" s="29"/>
      <c r="H1225" s="29" t="s">
        <v>3687</v>
      </c>
      <c r="I1225" s="29"/>
      <c r="J1225" s="29"/>
      <c r="K1225" s="29"/>
      <c r="L1225" s="29" t="s">
        <v>3363</v>
      </c>
      <c r="M1225" s="29" t="s">
        <v>3371</v>
      </c>
      <c r="N1225" s="29" t="s">
        <v>2050</v>
      </c>
      <c r="O1225" s="29"/>
      <c r="P1225" s="29" t="s">
        <v>8240</v>
      </c>
      <c r="Q1225" t="s">
        <v>2038</v>
      </c>
      <c r="R1225" t="s">
        <v>2633</v>
      </c>
      <c r="S1225">
        <v>37</v>
      </c>
      <c r="T1225" s="43" t="str">
        <f t="shared" si="53"/>
        <v>2021.010B.R.Binomial_names.zip</v>
      </c>
      <c r="U1225" s="43" t="str">
        <f>HYPERLINK("https://ictv.global/taxonomy/taxondetails?taxnode_id=202200258","ictv.global=202200258")</f>
        <v>ictv.global=202200258</v>
      </c>
    </row>
    <row r="1226" spans="1:21">
      <c r="A1226">
        <v>1225</v>
      </c>
      <c r="B1226" s="29" t="s">
        <v>3682</v>
      </c>
      <c r="C1226" s="29"/>
      <c r="D1226" s="29" t="s">
        <v>3683</v>
      </c>
      <c r="E1226" s="29"/>
      <c r="F1226" s="29" t="s">
        <v>3686</v>
      </c>
      <c r="G1226" s="29"/>
      <c r="H1226" s="29" t="s">
        <v>3687</v>
      </c>
      <c r="I1226" s="29"/>
      <c r="J1226" s="29"/>
      <c r="K1226" s="29"/>
      <c r="L1226" s="29" t="s">
        <v>3363</v>
      </c>
      <c r="M1226" s="29" t="s">
        <v>3371</v>
      </c>
      <c r="N1226" s="29" t="s">
        <v>2050</v>
      </c>
      <c r="O1226" s="29"/>
      <c r="P1226" s="29" t="s">
        <v>8241</v>
      </c>
      <c r="Q1226" t="s">
        <v>2038</v>
      </c>
      <c r="R1226" t="s">
        <v>2633</v>
      </c>
      <c r="S1226">
        <v>37</v>
      </c>
      <c r="T1226" s="43" t="str">
        <f t="shared" si="53"/>
        <v>2021.010B.R.Binomial_names.zip</v>
      </c>
      <c r="U1226" s="43" t="str">
        <f>HYPERLINK("https://ictv.global/taxonomy/taxondetails?taxnode_id=202206982","ictv.global=202206982")</f>
        <v>ictv.global=202206982</v>
      </c>
    </row>
    <row r="1227" spans="1:21">
      <c r="A1227">
        <v>1226</v>
      </c>
      <c r="B1227" s="29" t="s">
        <v>3682</v>
      </c>
      <c r="C1227" s="29"/>
      <c r="D1227" s="29" t="s">
        <v>3683</v>
      </c>
      <c r="E1227" s="29"/>
      <c r="F1227" s="29" t="s">
        <v>3686</v>
      </c>
      <c r="G1227" s="29"/>
      <c r="H1227" s="29" t="s">
        <v>3687</v>
      </c>
      <c r="I1227" s="29"/>
      <c r="J1227" s="29"/>
      <c r="K1227" s="29"/>
      <c r="L1227" s="29" t="s">
        <v>3363</v>
      </c>
      <c r="M1227" s="29" t="s">
        <v>3371</v>
      </c>
      <c r="N1227" s="29" t="s">
        <v>3870</v>
      </c>
      <c r="O1227" s="29"/>
      <c r="P1227" s="29" t="s">
        <v>8242</v>
      </c>
      <c r="Q1227" t="s">
        <v>2038</v>
      </c>
      <c r="R1227" t="s">
        <v>2633</v>
      </c>
      <c r="S1227">
        <v>37</v>
      </c>
      <c r="T1227" s="43" t="str">
        <f t="shared" si="53"/>
        <v>2021.010B.R.Binomial_names.zip</v>
      </c>
      <c r="U1227" s="43" t="str">
        <f>HYPERLINK("https://ictv.global/taxonomy/taxondetails?taxnode_id=202208033","ictv.global=202208033")</f>
        <v>ictv.global=202208033</v>
      </c>
    </row>
    <row r="1228" spans="1:21">
      <c r="A1228">
        <v>1227</v>
      </c>
      <c r="B1228" s="29" t="s">
        <v>3682</v>
      </c>
      <c r="C1228" s="29"/>
      <c r="D1228" s="29" t="s">
        <v>3683</v>
      </c>
      <c r="E1228" s="29"/>
      <c r="F1228" s="29" t="s">
        <v>3686</v>
      </c>
      <c r="G1228" s="29"/>
      <c r="H1228" s="29" t="s">
        <v>3687</v>
      </c>
      <c r="I1228" s="29"/>
      <c r="J1228" s="29"/>
      <c r="K1228" s="29"/>
      <c r="L1228" s="29" t="s">
        <v>3363</v>
      </c>
      <c r="M1228" s="29" t="s">
        <v>3371</v>
      </c>
      <c r="N1228" s="29" t="s">
        <v>3435</v>
      </c>
      <c r="O1228" s="29"/>
      <c r="P1228" s="29" t="s">
        <v>8243</v>
      </c>
      <c r="Q1228" t="s">
        <v>2038</v>
      </c>
      <c r="R1228" t="s">
        <v>2633</v>
      </c>
      <c r="S1228">
        <v>37</v>
      </c>
      <c r="T1228" s="43" t="str">
        <f t="shared" si="53"/>
        <v>2021.010B.R.Binomial_names.zip</v>
      </c>
      <c r="U1228" s="43" t="str">
        <f>HYPERLINK("https://ictv.global/taxonomy/taxondetails?taxnode_id=202200505","ictv.global=202200505")</f>
        <v>ictv.global=202200505</v>
      </c>
    </row>
    <row r="1229" spans="1:21">
      <c r="A1229">
        <v>1228</v>
      </c>
      <c r="B1229" s="29" t="s">
        <v>3682</v>
      </c>
      <c r="C1229" s="29"/>
      <c r="D1229" s="29" t="s">
        <v>3683</v>
      </c>
      <c r="E1229" s="29"/>
      <c r="F1229" s="29" t="s">
        <v>3686</v>
      </c>
      <c r="G1229" s="29"/>
      <c r="H1229" s="29" t="s">
        <v>3687</v>
      </c>
      <c r="I1229" s="29"/>
      <c r="J1229" s="29"/>
      <c r="K1229" s="29"/>
      <c r="L1229" s="29" t="s">
        <v>3363</v>
      </c>
      <c r="M1229" s="29" t="s">
        <v>3371</v>
      </c>
      <c r="N1229" s="29" t="s">
        <v>3435</v>
      </c>
      <c r="O1229" s="29"/>
      <c r="P1229" s="29" t="s">
        <v>8244</v>
      </c>
      <c r="Q1229" t="s">
        <v>2038</v>
      </c>
      <c r="R1229" t="s">
        <v>2633</v>
      </c>
      <c r="S1229">
        <v>37</v>
      </c>
      <c r="T1229" s="43" t="str">
        <f t="shared" si="53"/>
        <v>2021.010B.R.Binomial_names.zip</v>
      </c>
      <c r="U1229" s="43" t="str">
        <f>HYPERLINK("https://ictv.global/taxonomy/taxondetails?taxnode_id=202200506","ictv.global=202200506")</f>
        <v>ictv.global=202200506</v>
      </c>
    </row>
    <row r="1230" spans="1:21">
      <c r="A1230">
        <v>1229</v>
      </c>
      <c r="B1230" s="29" t="s">
        <v>3682</v>
      </c>
      <c r="C1230" s="29"/>
      <c r="D1230" s="29" t="s">
        <v>3683</v>
      </c>
      <c r="E1230" s="29"/>
      <c r="F1230" s="29" t="s">
        <v>3686</v>
      </c>
      <c r="G1230" s="29"/>
      <c r="H1230" s="29" t="s">
        <v>3687</v>
      </c>
      <c r="I1230" s="29"/>
      <c r="J1230" s="29"/>
      <c r="K1230" s="29"/>
      <c r="L1230" s="29" t="s">
        <v>3363</v>
      </c>
      <c r="M1230" s="29" t="s">
        <v>3371</v>
      </c>
      <c r="N1230" s="29" t="s">
        <v>2051</v>
      </c>
      <c r="O1230" s="29"/>
      <c r="P1230" s="29" t="s">
        <v>8245</v>
      </c>
      <c r="Q1230" t="s">
        <v>2038</v>
      </c>
      <c r="R1230" t="s">
        <v>2633</v>
      </c>
      <c r="S1230">
        <v>37</v>
      </c>
      <c r="T1230" s="43" t="str">
        <f t="shared" si="53"/>
        <v>2021.010B.R.Binomial_names.zip</v>
      </c>
      <c r="U1230" s="43" t="str">
        <f>HYPERLINK("https://ictv.global/taxonomy/taxondetails?taxnode_id=202200263","ictv.global=202200263")</f>
        <v>ictv.global=202200263</v>
      </c>
    </row>
    <row r="1231" spans="1:21">
      <c r="A1231">
        <v>1230</v>
      </c>
      <c r="B1231" s="29" t="s">
        <v>3682</v>
      </c>
      <c r="C1231" s="29"/>
      <c r="D1231" s="29" t="s">
        <v>3683</v>
      </c>
      <c r="E1231" s="29"/>
      <c r="F1231" s="29" t="s">
        <v>3686</v>
      </c>
      <c r="G1231" s="29"/>
      <c r="H1231" s="29" t="s">
        <v>3687</v>
      </c>
      <c r="I1231" s="29"/>
      <c r="J1231" s="29"/>
      <c r="K1231" s="29"/>
      <c r="L1231" s="29" t="s">
        <v>3363</v>
      </c>
      <c r="M1231" s="29" t="s">
        <v>3371</v>
      </c>
      <c r="N1231" s="29" t="s">
        <v>2051</v>
      </c>
      <c r="O1231" s="29"/>
      <c r="P1231" s="29" t="s">
        <v>8246</v>
      </c>
      <c r="Q1231" t="s">
        <v>2038</v>
      </c>
      <c r="R1231" t="s">
        <v>2633</v>
      </c>
      <c r="S1231">
        <v>37</v>
      </c>
      <c r="T1231" s="43" t="str">
        <f t="shared" si="53"/>
        <v>2021.010B.R.Binomial_names.zip</v>
      </c>
      <c r="U1231" s="43" t="str">
        <f>HYPERLINK("https://ictv.global/taxonomy/taxondetails?taxnode_id=202200264","ictv.global=202200264")</f>
        <v>ictv.global=202200264</v>
      </c>
    </row>
    <row r="1232" spans="1:21">
      <c r="A1232">
        <v>1231</v>
      </c>
      <c r="B1232" s="29" t="s">
        <v>3682</v>
      </c>
      <c r="C1232" s="29"/>
      <c r="D1232" s="29" t="s">
        <v>3683</v>
      </c>
      <c r="E1232" s="29"/>
      <c r="F1232" s="29" t="s">
        <v>3686</v>
      </c>
      <c r="G1232" s="29"/>
      <c r="H1232" s="29" t="s">
        <v>3687</v>
      </c>
      <c r="I1232" s="29"/>
      <c r="J1232" s="29"/>
      <c r="K1232" s="29"/>
      <c r="L1232" s="29" t="s">
        <v>3363</v>
      </c>
      <c r="M1232" s="29" t="s">
        <v>3371</v>
      </c>
      <c r="N1232" s="29" t="s">
        <v>2051</v>
      </c>
      <c r="O1232" s="29"/>
      <c r="P1232" s="29" t="s">
        <v>8247</v>
      </c>
      <c r="Q1232" t="s">
        <v>2038</v>
      </c>
      <c r="R1232" t="s">
        <v>2633</v>
      </c>
      <c r="S1232">
        <v>37</v>
      </c>
      <c r="T1232" s="43" t="str">
        <f t="shared" si="53"/>
        <v>2021.010B.R.Binomial_names.zip</v>
      </c>
      <c r="U1232" s="43" t="str">
        <f>HYPERLINK("https://ictv.global/taxonomy/taxondetails?taxnode_id=202200265","ictv.global=202200265")</f>
        <v>ictv.global=202200265</v>
      </c>
    </row>
    <row r="1233" spans="1:21">
      <c r="A1233">
        <v>1232</v>
      </c>
      <c r="B1233" s="29" t="s">
        <v>3682</v>
      </c>
      <c r="C1233" s="29"/>
      <c r="D1233" s="29" t="s">
        <v>3683</v>
      </c>
      <c r="E1233" s="29"/>
      <c r="F1233" s="29" t="s">
        <v>3686</v>
      </c>
      <c r="G1233" s="29"/>
      <c r="H1233" s="29" t="s">
        <v>3687</v>
      </c>
      <c r="I1233" s="29"/>
      <c r="J1233" s="29"/>
      <c r="K1233" s="29"/>
      <c r="L1233" s="29" t="s">
        <v>3363</v>
      </c>
      <c r="M1233" s="29" t="s">
        <v>3371</v>
      </c>
      <c r="N1233" s="29" t="s">
        <v>2052</v>
      </c>
      <c r="O1233" s="29"/>
      <c r="P1233" s="29" t="s">
        <v>8248</v>
      </c>
      <c r="Q1233" t="s">
        <v>2038</v>
      </c>
      <c r="R1233" t="s">
        <v>2633</v>
      </c>
      <c r="S1233">
        <v>37</v>
      </c>
      <c r="T1233" s="43" t="str">
        <f t="shared" si="53"/>
        <v>2021.010B.R.Binomial_names.zip</v>
      </c>
      <c r="U1233" s="43" t="str">
        <f>HYPERLINK("https://ictv.global/taxonomy/taxondetails?taxnode_id=202200273","ictv.global=202200273")</f>
        <v>ictv.global=202200273</v>
      </c>
    </row>
    <row r="1234" spans="1:21">
      <c r="A1234">
        <v>1233</v>
      </c>
      <c r="B1234" s="29" t="s">
        <v>3682</v>
      </c>
      <c r="C1234" s="29"/>
      <c r="D1234" s="29" t="s">
        <v>3683</v>
      </c>
      <c r="E1234" s="29"/>
      <c r="F1234" s="29" t="s">
        <v>3686</v>
      </c>
      <c r="G1234" s="29"/>
      <c r="H1234" s="29" t="s">
        <v>3687</v>
      </c>
      <c r="I1234" s="29"/>
      <c r="J1234" s="29"/>
      <c r="K1234" s="29"/>
      <c r="L1234" s="29" t="s">
        <v>3363</v>
      </c>
      <c r="M1234" s="29"/>
      <c r="N1234" s="29" t="s">
        <v>4525</v>
      </c>
      <c r="O1234" s="29"/>
      <c r="P1234" s="29" t="s">
        <v>8249</v>
      </c>
      <c r="Q1234" t="s">
        <v>2038</v>
      </c>
      <c r="R1234" t="s">
        <v>2633</v>
      </c>
      <c r="S1234">
        <v>37</v>
      </c>
      <c r="T1234" s="43" t="str">
        <f t="shared" si="53"/>
        <v>2021.010B.R.Binomial_names.zip</v>
      </c>
      <c r="U1234" s="43" t="str">
        <f>HYPERLINK("https://ictv.global/taxonomy/taxondetails?taxnode_id=202210119","ictv.global=202210119")</f>
        <v>ictv.global=202210119</v>
      </c>
    </row>
    <row r="1235" spans="1:21">
      <c r="A1235">
        <v>1234</v>
      </c>
      <c r="B1235" s="29" t="s">
        <v>3682</v>
      </c>
      <c r="C1235" s="29"/>
      <c r="D1235" s="29" t="s">
        <v>3683</v>
      </c>
      <c r="E1235" s="29"/>
      <c r="F1235" s="29" t="s">
        <v>3686</v>
      </c>
      <c r="G1235" s="29"/>
      <c r="H1235" s="29" t="s">
        <v>3687</v>
      </c>
      <c r="I1235" s="29"/>
      <c r="J1235" s="29"/>
      <c r="K1235" s="29"/>
      <c r="L1235" s="29" t="s">
        <v>3363</v>
      </c>
      <c r="M1235" s="29"/>
      <c r="N1235" s="29" t="s">
        <v>3869</v>
      </c>
      <c r="O1235" s="29"/>
      <c r="P1235" s="29" t="s">
        <v>8250</v>
      </c>
      <c r="Q1235" t="s">
        <v>2038</v>
      </c>
      <c r="R1235" t="s">
        <v>2633</v>
      </c>
      <c r="S1235">
        <v>37</v>
      </c>
      <c r="T1235" s="43" t="str">
        <f t="shared" si="53"/>
        <v>2021.010B.R.Binomial_names.zip</v>
      </c>
      <c r="U1235" s="43" t="str">
        <f>HYPERLINK("https://ictv.global/taxonomy/taxondetails?taxnode_id=202207402","ictv.global=202207402")</f>
        <v>ictv.global=202207402</v>
      </c>
    </row>
    <row r="1236" spans="1:21">
      <c r="A1236">
        <v>1235</v>
      </c>
      <c r="B1236" s="29" t="s">
        <v>3682</v>
      </c>
      <c r="C1236" s="29"/>
      <c r="D1236" s="29" t="s">
        <v>3683</v>
      </c>
      <c r="E1236" s="29"/>
      <c r="F1236" s="29" t="s">
        <v>3686</v>
      </c>
      <c r="G1236" s="29"/>
      <c r="H1236" s="29" t="s">
        <v>3687</v>
      </c>
      <c r="I1236" s="29"/>
      <c r="J1236" s="29"/>
      <c r="K1236" s="29"/>
      <c r="L1236" s="29" t="s">
        <v>3363</v>
      </c>
      <c r="M1236" s="29"/>
      <c r="N1236" s="29" t="s">
        <v>3869</v>
      </c>
      <c r="O1236" s="29"/>
      <c r="P1236" s="29" t="s">
        <v>8251</v>
      </c>
      <c r="Q1236" t="s">
        <v>2038</v>
      </c>
      <c r="R1236" t="s">
        <v>2633</v>
      </c>
      <c r="S1236">
        <v>37</v>
      </c>
      <c r="T1236" s="43" t="str">
        <f t="shared" si="53"/>
        <v>2021.010B.R.Binomial_names.zip</v>
      </c>
      <c r="U1236" s="43" t="str">
        <f>HYPERLINK("https://ictv.global/taxonomy/taxondetails?taxnode_id=202207401","ictv.global=202207401")</f>
        <v>ictv.global=202207401</v>
      </c>
    </row>
    <row r="1237" spans="1:21">
      <c r="A1237">
        <v>1236</v>
      </c>
      <c r="B1237" s="29" t="s">
        <v>3682</v>
      </c>
      <c r="C1237" s="29"/>
      <c r="D1237" s="29" t="s">
        <v>3683</v>
      </c>
      <c r="E1237" s="29"/>
      <c r="F1237" s="29" t="s">
        <v>3686</v>
      </c>
      <c r="G1237" s="29"/>
      <c r="H1237" s="29" t="s">
        <v>3687</v>
      </c>
      <c r="I1237" s="29"/>
      <c r="J1237" s="29"/>
      <c r="K1237" s="29"/>
      <c r="L1237" s="29" t="s">
        <v>3363</v>
      </c>
      <c r="M1237" s="29"/>
      <c r="N1237" s="29" t="s">
        <v>3869</v>
      </c>
      <c r="O1237" s="29"/>
      <c r="P1237" s="29" t="s">
        <v>8252</v>
      </c>
      <c r="Q1237" t="s">
        <v>2038</v>
      </c>
      <c r="R1237" t="s">
        <v>2633</v>
      </c>
      <c r="S1237">
        <v>37</v>
      </c>
      <c r="T1237" s="43" t="str">
        <f t="shared" si="53"/>
        <v>2021.010B.R.Binomial_names.zip</v>
      </c>
      <c r="U1237" s="43" t="str">
        <f>HYPERLINK("https://ictv.global/taxonomy/taxondetails?taxnode_id=202207403","ictv.global=202207403")</f>
        <v>ictv.global=202207403</v>
      </c>
    </row>
    <row r="1238" spans="1:21">
      <c r="A1238">
        <v>1237</v>
      </c>
      <c r="B1238" s="29" t="s">
        <v>3682</v>
      </c>
      <c r="C1238" s="29"/>
      <c r="D1238" s="29" t="s">
        <v>3683</v>
      </c>
      <c r="E1238" s="29"/>
      <c r="F1238" s="29" t="s">
        <v>3686</v>
      </c>
      <c r="G1238" s="29"/>
      <c r="H1238" s="29" t="s">
        <v>3687</v>
      </c>
      <c r="I1238" s="29"/>
      <c r="J1238" s="29"/>
      <c r="K1238" s="29"/>
      <c r="L1238" s="29" t="s">
        <v>3363</v>
      </c>
      <c r="M1238" s="29"/>
      <c r="N1238" s="29" t="s">
        <v>3869</v>
      </c>
      <c r="O1238" s="29"/>
      <c r="P1238" s="29" t="s">
        <v>8253</v>
      </c>
      <c r="Q1238" t="s">
        <v>2038</v>
      </c>
      <c r="R1238" t="s">
        <v>2633</v>
      </c>
      <c r="S1238">
        <v>37</v>
      </c>
      <c r="T1238" s="43" t="str">
        <f t="shared" si="53"/>
        <v>2021.010B.R.Binomial_names.zip</v>
      </c>
      <c r="U1238" s="43" t="str">
        <f>HYPERLINK("https://ictv.global/taxonomy/taxondetails?taxnode_id=202207400","ictv.global=202207400")</f>
        <v>ictv.global=202207400</v>
      </c>
    </row>
    <row r="1239" spans="1:21">
      <c r="A1239">
        <v>1238</v>
      </c>
      <c r="B1239" s="29" t="s">
        <v>3682</v>
      </c>
      <c r="C1239" s="29"/>
      <c r="D1239" s="29" t="s">
        <v>3683</v>
      </c>
      <c r="E1239" s="29"/>
      <c r="F1239" s="29" t="s">
        <v>3686</v>
      </c>
      <c r="G1239" s="29"/>
      <c r="H1239" s="29" t="s">
        <v>3687</v>
      </c>
      <c r="I1239" s="29"/>
      <c r="J1239" s="29"/>
      <c r="K1239" s="29"/>
      <c r="L1239" s="29" t="s">
        <v>3363</v>
      </c>
      <c r="M1239" s="29"/>
      <c r="N1239" s="29" t="s">
        <v>3869</v>
      </c>
      <c r="O1239" s="29"/>
      <c r="P1239" s="29" t="s">
        <v>8254</v>
      </c>
      <c r="Q1239" t="s">
        <v>2038</v>
      </c>
      <c r="R1239" t="s">
        <v>2633</v>
      </c>
      <c r="S1239">
        <v>37</v>
      </c>
      <c r="T1239" s="43" t="str">
        <f t="shared" si="53"/>
        <v>2021.010B.R.Binomial_names.zip</v>
      </c>
      <c r="U1239" s="43" t="str">
        <f>HYPERLINK("https://ictv.global/taxonomy/taxondetails?taxnode_id=202207404","ictv.global=202207404")</f>
        <v>ictv.global=202207404</v>
      </c>
    </row>
    <row r="1240" spans="1:21">
      <c r="A1240">
        <v>1239</v>
      </c>
      <c r="B1240" s="29" t="s">
        <v>3682</v>
      </c>
      <c r="C1240" s="29"/>
      <c r="D1240" s="29" t="s">
        <v>3683</v>
      </c>
      <c r="E1240" s="29"/>
      <c r="F1240" s="29" t="s">
        <v>3686</v>
      </c>
      <c r="G1240" s="29"/>
      <c r="H1240" s="29" t="s">
        <v>3687</v>
      </c>
      <c r="I1240" s="29"/>
      <c r="J1240" s="29"/>
      <c r="K1240" s="29"/>
      <c r="L1240" s="29" t="s">
        <v>3363</v>
      </c>
      <c r="M1240" s="29"/>
      <c r="N1240" s="29" t="s">
        <v>4526</v>
      </c>
      <c r="O1240" s="29"/>
      <c r="P1240" s="29" t="s">
        <v>8255</v>
      </c>
      <c r="Q1240" t="s">
        <v>2038</v>
      </c>
      <c r="R1240" t="s">
        <v>2633</v>
      </c>
      <c r="S1240">
        <v>37</v>
      </c>
      <c r="T1240" s="43" t="str">
        <f t="shared" si="53"/>
        <v>2021.010B.R.Binomial_names.zip</v>
      </c>
      <c r="U1240" s="43" t="str">
        <f>HYPERLINK("https://ictv.global/taxonomy/taxondetails?taxnode_id=202210127","ictv.global=202210127")</f>
        <v>ictv.global=202210127</v>
      </c>
    </row>
    <row r="1241" spans="1:21">
      <c r="A1241">
        <v>1240</v>
      </c>
      <c r="B1241" s="29" t="s">
        <v>3682</v>
      </c>
      <c r="C1241" s="29"/>
      <c r="D1241" s="29" t="s">
        <v>3683</v>
      </c>
      <c r="E1241" s="29"/>
      <c r="F1241" s="29" t="s">
        <v>3686</v>
      </c>
      <c r="G1241" s="29"/>
      <c r="H1241" s="29" t="s">
        <v>3687</v>
      </c>
      <c r="I1241" s="29"/>
      <c r="J1241" s="29"/>
      <c r="K1241" s="29"/>
      <c r="L1241" s="29" t="s">
        <v>3363</v>
      </c>
      <c r="M1241" s="29"/>
      <c r="N1241" s="29" t="s">
        <v>8256</v>
      </c>
      <c r="O1241" s="29"/>
      <c r="P1241" s="29" t="s">
        <v>8257</v>
      </c>
      <c r="Q1241" t="s">
        <v>2038</v>
      </c>
      <c r="R1241" t="s">
        <v>2633</v>
      </c>
      <c r="S1241">
        <v>37</v>
      </c>
      <c r="T1241" s="43" t="str">
        <f>HYPERLINK("https://ictv.global/ictv/proposals/2021.043B.R.Klumppvirus.zip","2021.043B.R.Klumppvirus.zip")</f>
        <v>2021.043B.R.Klumppvirus.zip</v>
      </c>
      <c r="U1241" s="43" t="str">
        <f>HYPERLINK("https://ictv.global/taxonomy/taxondetails?taxnode_id=202206983","ictv.global=202206983")</f>
        <v>ictv.global=202206983</v>
      </c>
    </row>
    <row r="1242" spans="1:21">
      <c r="A1242">
        <v>1241</v>
      </c>
      <c r="B1242" s="29" t="s">
        <v>3682</v>
      </c>
      <c r="C1242" s="29"/>
      <c r="D1242" s="29" t="s">
        <v>3683</v>
      </c>
      <c r="E1242" s="29"/>
      <c r="F1242" s="29" t="s">
        <v>3686</v>
      </c>
      <c r="G1242" s="29"/>
      <c r="H1242" s="29" t="s">
        <v>3687</v>
      </c>
      <c r="I1242" s="29"/>
      <c r="J1242" s="29"/>
      <c r="K1242" s="29"/>
      <c r="L1242" s="29" t="s">
        <v>3363</v>
      </c>
      <c r="M1242" s="29"/>
      <c r="N1242" s="29" t="s">
        <v>4527</v>
      </c>
      <c r="O1242" s="29"/>
      <c r="P1242" s="29" t="s">
        <v>8258</v>
      </c>
      <c r="Q1242" t="s">
        <v>2038</v>
      </c>
      <c r="R1242" t="s">
        <v>2633</v>
      </c>
      <c r="S1242">
        <v>37</v>
      </c>
      <c r="T1242" s="43" t="str">
        <f>HYPERLINK("https://ictv.global/ictv/proposals/2021.010B.R.Binomial_names.zip","2021.010B.R.Binomial_names.zip")</f>
        <v>2021.010B.R.Binomial_names.zip</v>
      </c>
      <c r="U1242" s="43" t="str">
        <f>HYPERLINK("https://ictv.global/taxonomy/taxondetails?taxnode_id=202200276","ictv.global=202200276")</f>
        <v>ictv.global=202200276</v>
      </c>
    </row>
    <row r="1243" spans="1:21">
      <c r="A1243">
        <v>1242</v>
      </c>
      <c r="B1243" s="29" t="s">
        <v>3682</v>
      </c>
      <c r="C1243" s="29"/>
      <c r="D1243" s="29" t="s">
        <v>3683</v>
      </c>
      <c r="E1243" s="29"/>
      <c r="F1243" s="29" t="s">
        <v>3686</v>
      </c>
      <c r="G1243" s="29"/>
      <c r="H1243" s="29" t="s">
        <v>3687</v>
      </c>
      <c r="I1243" s="29"/>
      <c r="J1243" s="29"/>
      <c r="K1243" s="29"/>
      <c r="L1243" s="29" t="s">
        <v>3363</v>
      </c>
      <c r="M1243" s="29"/>
      <c r="N1243" s="29" t="s">
        <v>4528</v>
      </c>
      <c r="O1243" s="29"/>
      <c r="P1243" s="29" t="s">
        <v>8259</v>
      </c>
      <c r="Q1243" t="s">
        <v>2038</v>
      </c>
      <c r="R1243" t="s">
        <v>2633</v>
      </c>
      <c r="S1243">
        <v>37</v>
      </c>
      <c r="T1243" s="43" t="str">
        <f>HYPERLINK("https://ictv.global/ictv/proposals/2021.010B.R.Binomial_names.zip","2021.010B.R.Binomial_names.zip")</f>
        <v>2021.010B.R.Binomial_names.zip</v>
      </c>
      <c r="U1243" s="43" t="str">
        <f>HYPERLINK("https://ictv.global/taxonomy/taxondetails?taxnode_id=202200277","ictv.global=202200277")</f>
        <v>ictv.global=202200277</v>
      </c>
    </row>
    <row r="1244" spans="1:21">
      <c r="A1244">
        <v>1243</v>
      </c>
      <c r="B1244" s="29" t="s">
        <v>3682</v>
      </c>
      <c r="C1244" s="29"/>
      <c r="D1244" s="29" t="s">
        <v>3683</v>
      </c>
      <c r="E1244" s="29"/>
      <c r="F1244" s="29" t="s">
        <v>3686</v>
      </c>
      <c r="G1244" s="29"/>
      <c r="H1244" s="29" t="s">
        <v>3687</v>
      </c>
      <c r="I1244" s="29"/>
      <c r="J1244" s="29"/>
      <c r="K1244" s="29"/>
      <c r="L1244" s="29" t="s">
        <v>3363</v>
      </c>
      <c r="M1244" s="29"/>
      <c r="N1244" s="29" t="s">
        <v>4529</v>
      </c>
      <c r="O1244" s="29"/>
      <c r="P1244" s="29" t="s">
        <v>8260</v>
      </c>
      <c r="Q1244" t="s">
        <v>2038</v>
      </c>
      <c r="R1244" t="s">
        <v>2633</v>
      </c>
      <c r="S1244">
        <v>37</v>
      </c>
      <c r="T1244" s="43" t="str">
        <f>HYPERLINK("https://ictv.global/ictv/proposals/2021.010B.R.Binomial_names.zip","2021.010B.R.Binomial_names.zip")</f>
        <v>2021.010B.R.Binomial_names.zip</v>
      </c>
      <c r="U1244" s="43" t="str">
        <f>HYPERLINK("https://ictv.global/taxonomy/taxondetails?taxnode_id=202210125","ictv.global=202210125")</f>
        <v>ictv.global=202210125</v>
      </c>
    </row>
    <row r="1245" spans="1:21">
      <c r="A1245">
        <v>1244</v>
      </c>
      <c r="B1245" s="29" t="s">
        <v>3682</v>
      </c>
      <c r="C1245" s="29"/>
      <c r="D1245" s="29" t="s">
        <v>3683</v>
      </c>
      <c r="E1245" s="29"/>
      <c r="F1245" s="29" t="s">
        <v>3686</v>
      </c>
      <c r="G1245" s="29"/>
      <c r="H1245" s="29" t="s">
        <v>3687</v>
      </c>
      <c r="I1245" s="29"/>
      <c r="J1245" s="29"/>
      <c r="K1245" s="29"/>
      <c r="L1245" s="29" t="s">
        <v>3363</v>
      </c>
      <c r="M1245" s="29"/>
      <c r="N1245" s="29" t="s">
        <v>4529</v>
      </c>
      <c r="O1245" s="29"/>
      <c r="P1245" s="29" t="s">
        <v>8261</v>
      </c>
      <c r="Q1245" t="s">
        <v>2038</v>
      </c>
      <c r="R1245" t="s">
        <v>2633</v>
      </c>
      <c r="S1245">
        <v>37</v>
      </c>
      <c r="T1245" s="43" t="str">
        <f>HYPERLINK("https://ictv.global/ictv/proposals/2021.010B.R.Binomial_names.zip","2021.010B.R.Binomial_names.zip")</f>
        <v>2021.010B.R.Binomial_names.zip</v>
      </c>
      <c r="U1245" s="43" t="str">
        <f>HYPERLINK("https://ictv.global/taxonomy/taxondetails?taxnode_id=202210124","ictv.global=202210124")</f>
        <v>ictv.global=202210124</v>
      </c>
    </row>
    <row r="1246" spans="1:21">
      <c r="A1246">
        <v>1245</v>
      </c>
      <c r="B1246" s="29" t="s">
        <v>3682</v>
      </c>
      <c r="C1246" s="29"/>
      <c r="D1246" s="29" t="s">
        <v>3683</v>
      </c>
      <c r="E1246" s="29"/>
      <c r="F1246" s="29" t="s">
        <v>3686</v>
      </c>
      <c r="G1246" s="29"/>
      <c r="H1246" s="29" t="s">
        <v>3687</v>
      </c>
      <c r="I1246" s="29"/>
      <c r="J1246" s="29"/>
      <c r="K1246" s="29"/>
      <c r="L1246" s="29" t="s">
        <v>3363</v>
      </c>
      <c r="M1246" s="29"/>
      <c r="N1246" s="29" t="s">
        <v>4530</v>
      </c>
      <c r="O1246" s="29"/>
      <c r="P1246" s="29" t="s">
        <v>8262</v>
      </c>
      <c r="Q1246" t="s">
        <v>2038</v>
      </c>
      <c r="R1246" t="s">
        <v>2633</v>
      </c>
      <c r="S1246">
        <v>37</v>
      </c>
      <c r="T1246" s="43" t="str">
        <f>HYPERLINK("https://ictv.global/ictv/proposals/2021.010B.R.Binomial_names.zip","2021.010B.R.Binomial_names.zip")</f>
        <v>2021.010B.R.Binomial_names.zip</v>
      </c>
      <c r="U1246" s="43" t="str">
        <f>HYPERLINK("https://ictv.global/taxonomy/taxondetails?taxnode_id=202210122","ictv.global=202210122")</f>
        <v>ictv.global=202210122</v>
      </c>
    </row>
    <row r="1247" spans="1:21">
      <c r="A1247">
        <v>1246</v>
      </c>
      <c r="B1247" s="29" t="s">
        <v>3682</v>
      </c>
      <c r="C1247" s="29"/>
      <c r="D1247" s="29" t="s">
        <v>3683</v>
      </c>
      <c r="E1247" s="29"/>
      <c r="F1247" s="29" t="s">
        <v>3686</v>
      </c>
      <c r="G1247" s="29"/>
      <c r="H1247" s="29" t="s">
        <v>3687</v>
      </c>
      <c r="I1247" s="29"/>
      <c r="J1247" s="29"/>
      <c r="K1247" s="29"/>
      <c r="L1247" s="29" t="s">
        <v>8263</v>
      </c>
      <c r="M1247" s="29"/>
      <c r="N1247" s="29" t="s">
        <v>8264</v>
      </c>
      <c r="O1247" s="29"/>
      <c r="P1247" s="29" t="s">
        <v>8265</v>
      </c>
      <c r="Q1247" t="s">
        <v>2038</v>
      </c>
      <c r="R1247" t="s">
        <v>2632</v>
      </c>
      <c r="S1247">
        <v>38</v>
      </c>
      <c r="T1247" s="43" t="str">
        <f>HYPERLINK("https://ictv.global/ictv/proposals/2022.042B.Kleczkowskaviridae_nf.zip","2022.042B.Kleczkowskaviridae_nf.zip")</f>
        <v>2022.042B.Kleczkowskaviridae_nf.zip</v>
      </c>
      <c r="U1247" s="43" t="str">
        <f>HYPERLINK("https://ictv.global/taxonomy/taxondetails?taxnode_id=202214642","ictv.global=202214642")</f>
        <v>ictv.global=202214642</v>
      </c>
    </row>
    <row r="1248" spans="1:21">
      <c r="A1248">
        <v>1247</v>
      </c>
      <c r="B1248" s="29" t="s">
        <v>3682</v>
      </c>
      <c r="C1248" s="29"/>
      <c r="D1248" s="29" t="s">
        <v>3683</v>
      </c>
      <c r="E1248" s="29"/>
      <c r="F1248" s="29" t="s">
        <v>3686</v>
      </c>
      <c r="G1248" s="29"/>
      <c r="H1248" s="29" t="s">
        <v>3687</v>
      </c>
      <c r="I1248" s="29"/>
      <c r="J1248" s="29"/>
      <c r="K1248" s="29"/>
      <c r="L1248" s="29" t="s">
        <v>8263</v>
      </c>
      <c r="M1248" s="29"/>
      <c r="N1248" s="29" t="s">
        <v>8264</v>
      </c>
      <c r="O1248" s="29"/>
      <c r="P1248" s="29" t="s">
        <v>8266</v>
      </c>
      <c r="Q1248" t="s">
        <v>2038</v>
      </c>
      <c r="R1248" t="s">
        <v>2632</v>
      </c>
      <c r="S1248">
        <v>38</v>
      </c>
      <c r="T1248" s="43" t="str">
        <f>HYPERLINK("https://ictv.global/ictv/proposals/2022.042B.Kleczkowskaviridae_nf.zip","2022.042B.Kleczkowskaviridae_nf.zip")</f>
        <v>2022.042B.Kleczkowskaviridae_nf.zip</v>
      </c>
      <c r="U1248" s="43" t="str">
        <f>HYPERLINK("https://ictv.global/taxonomy/taxondetails?taxnode_id=202214643","ictv.global=202214643")</f>
        <v>ictv.global=202214643</v>
      </c>
    </row>
    <row r="1249" spans="1:21">
      <c r="A1249">
        <v>1248</v>
      </c>
      <c r="B1249" s="29" t="s">
        <v>3682</v>
      </c>
      <c r="C1249" s="29"/>
      <c r="D1249" s="29" t="s">
        <v>3683</v>
      </c>
      <c r="E1249" s="29"/>
      <c r="F1249" s="29" t="s">
        <v>3686</v>
      </c>
      <c r="G1249" s="29"/>
      <c r="H1249" s="29" t="s">
        <v>3687</v>
      </c>
      <c r="I1249" s="29"/>
      <c r="J1249" s="29"/>
      <c r="K1249" s="29"/>
      <c r="L1249" s="29" t="s">
        <v>8267</v>
      </c>
      <c r="M1249" s="29"/>
      <c r="N1249" s="29" t="s">
        <v>3895</v>
      </c>
      <c r="O1249" s="29"/>
      <c r="P1249" s="29" t="s">
        <v>8268</v>
      </c>
      <c r="Q1249" t="s">
        <v>2038</v>
      </c>
      <c r="R1249" t="s">
        <v>2633</v>
      </c>
      <c r="S1249">
        <v>37</v>
      </c>
      <c r="T1249" s="43" t="str">
        <f t="shared" ref="T1249:T1270" si="54">HYPERLINK("https://ictv.global/ictv/proposals/2021.082B.R.Tevens_new_families.zip","2021.082B.R.Tevens_new_families.zip")</f>
        <v>2021.082B.R.Tevens_new_families.zip</v>
      </c>
      <c r="U1249" s="43" t="str">
        <f>HYPERLINK("https://ictv.global/taxonomy/taxondetails?taxnode_id=202207799","ictv.global=202207799")</f>
        <v>ictv.global=202207799</v>
      </c>
    </row>
    <row r="1250" spans="1:21">
      <c r="A1250">
        <v>1249</v>
      </c>
      <c r="B1250" s="29" t="s">
        <v>3682</v>
      </c>
      <c r="C1250" s="29"/>
      <c r="D1250" s="29" t="s">
        <v>3683</v>
      </c>
      <c r="E1250" s="29"/>
      <c r="F1250" s="29" t="s">
        <v>3686</v>
      </c>
      <c r="G1250" s="29"/>
      <c r="H1250" s="29" t="s">
        <v>3687</v>
      </c>
      <c r="I1250" s="29"/>
      <c r="J1250" s="29"/>
      <c r="K1250" s="29"/>
      <c r="L1250" s="29" t="s">
        <v>8267</v>
      </c>
      <c r="M1250" s="29"/>
      <c r="N1250" s="29" t="s">
        <v>3896</v>
      </c>
      <c r="O1250" s="29"/>
      <c r="P1250" s="29" t="s">
        <v>8269</v>
      </c>
      <c r="Q1250" t="s">
        <v>2038</v>
      </c>
      <c r="R1250" t="s">
        <v>2633</v>
      </c>
      <c r="S1250">
        <v>37</v>
      </c>
      <c r="T1250" s="43" t="str">
        <f t="shared" si="54"/>
        <v>2021.082B.R.Tevens_new_families.zip</v>
      </c>
      <c r="U1250" s="43" t="str">
        <f>HYPERLINK("https://ictv.global/taxonomy/taxondetails?taxnode_id=202207803","ictv.global=202207803")</f>
        <v>ictv.global=202207803</v>
      </c>
    </row>
    <row r="1251" spans="1:21">
      <c r="A1251">
        <v>1250</v>
      </c>
      <c r="B1251" s="29" t="s">
        <v>3682</v>
      </c>
      <c r="C1251" s="29"/>
      <c r="D1251" s="29" t="s">
        <v>3683</v>
      </c>
      <c r="E1251" s="29"/>
      <c r="F1251" s="29" t="s">
        <v>3686</v>
      </c>
      <c r="G1251" s="29"/>
      <c r="H1251" s="29" t="s">
        <v>3687</v>
      </c>
      <c r="I1251" s="29"/>
      <c r="J1251" s="29"/>
      <c r="K1251" s="29"/>
      <c r="L1251" s="29" t="s">
        <v>8267</v>
      </c>
      <c r="M1251" s="29"/>
      <c r="N1251" s="29" t="s">
        <v>8270</v>
      </c>
      <c r="O1251" s="29"/>
      <c r="P1251" s="29" t="s">
        <v>8271</v>
      </c>
      <c r="Q1251" t="s">
        <v>2038</v>
      </c>
      <c r="R1251" t="s">
        <v>2632</v>
      </c>
      <c r="S1251">
        <v>37</v>
      </c>
      <c r="T1251" s="43" t="str">
        <f t="shared" si="54"/>
        <v>2021.082B.R.Tevens_new_families.zip</v>
      </c>
      <c r="U1251" s="43" t="str">
        <f>HYPERLINK("https://ictv.global/taxonomy/taxondetails?taxnode_id=202213997","ictv.global=202213997")</f>
        <v>ictv.global=202213997</v>
      </c>
    </row>
    <row r="1252" spans="1:21">
      <c r="A1252">
        <v>1251</v>
      </c>
      <c r="B1252" s="29" t="s">
        <v>3682</v>
      </c>
      <c r="C1252" s="29"/>
      <c r="D1252" s="29" t="s">
        <v>3683</v>
      </c>
      <c r="E1252" s="29"/>
      <c r="F1252" s="29" t="s">
        <v>3686</v>
      </c>
      <c r="G1252" s="29"/>
      <c r="H1252" s="29" t="s">
        <v>3687</v>
      </c>
      <c r="I1252" s="29"/>
      <c r="J1252" s="29"/>
      <c r="K1252" s="29"/>
      <c r="L1252" s="29" t="s">
        <v>8267</v>
      </c>
      <c r="M1252" s="29"/>
      <c r="N1252" s="29" t="s">
        <v>3899</v>
      </c>
      <c r="O1252" s="29"/>
      <c r="P1252" s="29" t="s">
        <v>8272</v>
      </c>
      <c r="Q1252" t="s">
        <v>2038</v>
      </c>
      <c r="R1252" t="s">
        <v>2633</v>
      </c>
      <c r="S1252">
        <v>37</v>
      </c>
      <c r="T1252" s="43" t="str">
        <f t="shared" si="54"/>
        <v>2021.082B.R.Tevens_new_families.zip</v>
      </c>
      <c r="U1252" s="43" t="str">
        <f>HYPERLINK("https://ictv.global/taxonomy/taxondetails?taxnode_id=202207772","ictv.global=202207772")</f>
        <v>ictv.global=202207772</v>
      </c>
    </row>
    <row r="1253" spans="1:21">
      <c r="A1253">
        <v>1252</v>
      </c>
      <c r="B1253" s="29" t="s">
        <v>3682</v>
      </c>
      <c r="C1253" s="29"/>
      <c r="D1253" s="29" t="s">
        <v>3683</v>
      </c>
      <c r="E1253" s="29"/>
      <c r="F1253" s="29" t="s">
        <v>3686</v>
      </c>
      <c r="G1253" s="29"/>
      <c r="H1253" s="29" t="s">
        <v>3687</v>
      </c>
      <c r="I1253" s="29"/>
      <c r="J1253" s="29"/>
      <c r="K1253" s="29"/>
      <c r="L1253" s="29" t="s">
        <v>8267</v>
      </c>
      <c r="M1253" s="29"/>
      <c r="N1253" s="29" t="s">
        <v>3901</v>
      </c>
      <c r="O1253" s="29"/>
      <c r="P1253" s="29" t="s">
        <v>8273</v>
      </c>
      <c r="Q1253" t="s">
        <v>2038</v>
      </c>
      <c r="R1253" t="s">
        <v>2633</v>
      </c>
      <c r="S1253">
        <v>37</v>
      </c>
      <c r="T1253" s="43" t="str">
        <f t="shared" si="54"/>
        <v>2021.082B.R.Tevens_new_families.zip</v>
      </c>
      <c r="U1253" s="43" t="str">
        <f>HYPERLINK("https://ictv.global/taxonomy/taxondetails?taxnode_id=202207754","ictv.global=202207754")</f>
        <v>ictv.global=202207754</v>
      </c>
    </row>
    <row r="1254" spans="1:21">
      <c r="A1254">
        <v>1253</v>
      </c>
      <c r="B1254" s="29" t="s">
        <v>3682</v>
      </c>
      <c r="C1254" s="29"/>
      <c r="D1254" s="29" t="s">
        <v>3683</v>
      </c>
      <c r="E1254" s="29"/>
      <c r="F1254" s="29" t="s">
        <v>3686</v>
      </c>
      <c r="G1254" s="29"/>
      <c r="H1254" s="29" t="s">
        <v>3687</v>
      </c>
      <c r="I1254" s="29"/>
      <c r="J1254" s="29"/>
      <c r="K1254" s="29"/>
      <c r="L1254" s="29" t="s">
        <v>8267</v>
      </c>
      <c r="M1254" s="29"/>
      <c r="N1254" s="29" t="s">
        <v>3901</v>
      </c>
      <c r="O1254" s="29"/>
      <c r="P1254" s="29" t="s">
        <v>8274</v>
      </c>
      <c r="Q1254" t="s">
        <v>2038</v>
      </c>
      <c r="R1254" t="s">
        <v>2633</v>
      </c>
      <c r="S1254">
        <v>37</v>
      </c>
      <c r="T1254" s="43" t="str">
        <f t="shared" si="54"/>
        <v>2021.082B.R.Tevens_new_families.zip</v>
      </c>
      <c r="U1254" s="43" t="str">
        <f>HYPERLINK("https://ictv.global/taxonomy/taxondetails?taxnode_id=202207756","ictv.global=202207756")</f>
        <v>ictv.global=202207756</v>
      </c>
    </row>
    <row r="1255" spans="1:21">
      <c r="A1255">
        <v>1254</v>
      </c>
      <c r="B1255" s="29" t="s">
        <v>3682</v>
      </c>
      <c r="C1255" s="29"/>
      <c r="D1255" s="29" t="s">
        <v>3683</v>
      </c>
      <c r="E1255" s="29"/>
      <c r="F1255" s="29" t="s">
        <v>3686</v>
      </c>
      <c r="G1255" s="29"/>
      <c r="H1255" s="29" t="s">
        <v>3687</v>
      </c>
      <c r="I1255" s="29"/>
      <c r="J1255" s="29"/>
      <c r="K1255" s="29"/>
      <c r="L1255" s="29" t="s">
        <v>8267</v>
      </c>
      <c r="M1255" s="29"/>
      <c r="N1255" s="29" t="s">
        <v>3901</v>
      </c>
      <c r="O1255" s="29"/>
      <c r="P1255" s="29" t="s">
        <v>8275</v>
      </c>
      <c r="Q1255" t="s">
        <v>2038</v>
      </c>
      <c r="R1255" t="s">
        <v>2633</v>
      </c>
      <c r="S1255">
        <v>37</v>
      </c>
      <c r="T1255" s="43" t="str">
        <f t="shared" si="54"/>
        <v>2021.082B.R.Tevens_new_families.zip</v>
      </c>
      <c r="U1255" s="43" t="str">
        <f>HYPERLINK("https://ictv.global/taxonomy/taxondetails?taxnode_id=202207755","ictv.global=202207755")</f>
        <v>ictv.global=202207755</v>
      </c>
    </row>
    <row r="1256" spans="1:21">
      <c r="A1256">
        <v>1255</v>
      </c>
      <c r="B1256" s="29" t="s">
        <v>3682</v>
      </c>
      <c r="C1256" s="29"/>
      <c r="D1256" s="29" t="s">
        <v>3683</v>
      </c>
      <c r="E1256" s="29"/>
      <c r="F1256" s="29" t="s">
        <v>3686</v>
      </c>
      <c r="G1256" s="29"/>
      <c r="H1256" s="29" t="s">
        <v>3687</v>
      </c>
      <c r="I1256" s="29"/>
      <c r="J1256" s="29"/>
      <c r="K1256" s="29"/>
      <c r="L1256" s="29" t="s">
        <v>8267</v>
      </c>
      <c r="M1256" s="29"/>
      <c r="N1256" s="29" t="s">
        <v>3905</v>
      </c>
      <c r="O1256" s="29"/>
      <c r="P1256" s="29" t="s">
        <v>8276</v>
      </c>
      <c r="Q1256" t="s">
        <v>2038</v>
      </c>
      <c r="R1256" t="s">
        <v>2633</v>
      </c>
      <c r="S1256">
        <v>37</v>
      </c>
      <c r="T1256" s="43" t="str">
        <f t="shared" si="54"/>
        <v>2021.082B.R.Tevens_new_families.zip</v>
      </c>
      <c r="U1256" s="43" t="str">
        <f>HYPERLINK("https://ictv.global/taxonomy/taxondetails?taxnode_id=202207785","ictv.global=202207785")</f>
        <v>ictv.global=202207785</v>
      </c>
    </row>
    <row r="1257" spans="1:21">
      <c r="A1257">
        <v>1256</v>
      </c>
      <c r="B1257" s="29" t="s">
        <v>3682</v>
      </c>
      <c r="C1257" s="29"/>
      <c r="D1257" s="29" t="s">
        <v>3683</v>
      </c>
      <c r="E1257" s="29"/>
      <c r="F1257" s="29" t="s">
        <v>3686</v>
      </c>
      <c r="G1257" s="29"/>
      <c r="H1257" s="29" t="s">
        <v>3687</v>
      </c>
      <c r="I1257" s="29"/>
      <c r="J1257" s="29"/>
      <c r="K1257" s="29"/>
      <c r="L1257" s="29" t="s">
        <v>8267</v>
      </c>
      <c r="M1257" s="29"/>
      <c r="N1257" s="29" t="s">
        <v>8277</v>
      </c>
      <c r="O1257" s="29"/>
      <c r="P1257" s="29" t="s">
        <v>8278</v>
      </c>
      <c r="Q1257" t="s">
        <v>2038</v>
      </c>
      <c r="R1257" t="s">
        <v>2632</v>
      </c>
      <c r="S1257">
        <v>37</v>
      </c>
      <c r="T1257" s="43" t="str">
        <f t="shared" si="54"/>
        <v>2021.082B.R.Tevens_new_families.zip</v>
      </c>
      <c r="U1257" s="43" t="str">
        <f>HYPERLINK("https://ictv.global/taxonomy/taxondetails?taxnode_id=202212608","ictv.global=202212608")</f>
        <v>ictv.global=202212608</v>
      </c>
    </row>
    <row r="1258" spans="1:21">
      <c r="A1258">
        <v>1257</v>
      </c>
      <c r="B1258" s="29" t="s">
        <v>3682</v>
      </c>
      <c r="C1258" s="29"/>
      <c r="D1258" s="29" t="s">
        <v>3683</v>
      </c>
      <c r="E1258" s="29"/>
      <c r="F1258" s="29" t="s">
        <v>3686</v>
      </c>
      <c r="G1258" s="29"/>
      <c r="H1258" s="29" t="s">
        <v>3687</v>
      </c>
      <c r="I1258" s="29"/>
      <c r="J1258" s="29"/>
      <c r="K1258" s="29"/>
      <c r="L1258" s="29" t="s">
        <v>8267</v>
      </c>
      <c r="M1258" s="29"/>
      <c r="N1258" s="29" t="s">
        <v>3907</v>
      </c>
      <c r="O1258" s="29"/>
      <c r="P1258" s="29" t="s">
        <v>8279</v>
      </c>
      <c r="Q1258" t="s">
        <v>2038</v>
      </c>
      <c r="R1258" t="s">
        <v>2633</v>
      </c>
      <c r="S1258">
        <v>37</v>
      </c>
      <c r="T1258" s="43" t="str">
        <f t="shared" si="54"/>
        <v>2021.082B.R.Tevens_new_families.zip</v>
      </c>
      <c r="U1258" s="43" t="str">
        <f>HYPERLINK("https://ictv.global/taxonomy/taxondetails?taxnode_id=202207791","ictv.global=202207791")</f>
        <v>ictv.global=202207791</v>
      </c>
    </row>
    <row r="1259" spans="1:21">
      <c r="A1259">
        <v>1258</v>
      </c>
      <c r="B1259" s="29" t="s">
        <v>3682</v>
      </c>
      <c r="C1259" s="29"/>
      <c r="D1259" s="29" t="s">
        <v>3683</v>
      </c>
      <c r="E1259" s="29"/>
      <c r="F1259" s="29" t="s">
        <v>3686</v>
      </c>
      <c r="G1259" s="29"/>
      <c r="H1259" s="29" t="s">
        <v>3687</v>
      </c>
      <c r="I1259" s="29"/>
      <c r="J1259" s="29"/>
      <c r="K1259" s="29"/>
      <c r="L1259" s="29" t="s">
        <v>8267</v>
      </c>
      <c r="M1259" s="29"/>
      <c r="N1259" s="29" t="s">
        <v>3907</v>
      </c>
      <c r="O1259" s="29"/>
      <c r="P1259" s="29" t="s">
        <v>8280</v>
      </c>
      <c r="Q1259" t="s">
        <v>2038</v>
      </c>
      <c r="R1259" t="s">
        <v>2633</v>
      </c>
      <c r="S1259">
        <v>37</v>
      </c>
      <c r="T1259" s="43" t="str">
        <f t="shared" si="54"/>
        <v>2021.082B.R.Tevens_new_families.zip</v>
      </c>
      <c r="U1259" s="43" t="str">
        <f>HYPERLINK("https://ictv.global/taxonomy/taxondetails?taxnode_id=202207792","ictv.global=202207792")</f>
        <v>ictv.global=202207792</v>
      </c>
    </row>
    <row r="1260" spans="1:21">
      <c r="A1260">
        <v>1259</v>
      </c>
      <c r="B1260" s="29" t="s">
        <v>3682</v>
      </c>
      <c r="C1260" s="29"/>
      <c r="D1260" s="29" t="s">
        <v>3683</v>
      </c>
      <c r="E1260" s="29"/>
      <c r="F1260" s="29" t="s">
        <v>3686</v>
      </c>
      <c r="G1260" s="29"/>
      <c r="H1260" s="29" t="s">
        <v>3687</v>
      </c>
      <c r="I1260" s="29"/>
      <c r="J1260" s="29"/>
      <c r="K1260" s="29"/>
      <c r="L1260" s="29" t="s">
        <v>8267</v>
      </c>
      <c r="M1260" s="29"/>
      <c r="N1260" s="29" t="s">
        <v>3907</v>
      </c>
      <c r="O1260" s="29"/>
      <c r="P1260" s="29" t="s">
        <v>8281</v>
      </c>
      <c r="Q1260" t="s">
        <v>2038</v>
      </c>
      <c r="R1260" t="s">
        <v>2633</v>
      </c>
      <c r="S1260">
        <v>37</v>
      </c>
      <c r="T1260" s="43" t="str">
        <f t="shared" si="54"/>
        <v>2021.082B.R.Tevens_new_families.zip</v>
      </c>
      <c r="U1260" s="43" t="str">
        <f>HYPERLINK("https://ictv.global/taxonomy/taxondetails?taxnode_id=202207793","ictv.global=202207793")</f>
        <v>ictv.global=202207793</v>
      </c>
    </row>
    <row r="1261" spans="1:21">
      <c r="A1261">
        <v>1260</v>
      </c>
      <c r="B1261" s="29" t="s">
        <v>3682</v>
      </c>
      <c r="C1261" s="29"/>
      <c r="D1261" s="29" t="s">
        <v>3683</v>
      </c>
      <c r="E1261" s="29"/>
      <c r="F1261" s="29" t="s">
        <v>3686</v>
      </c>
      <c r="G1261" s="29"/>
      <c r="H1261" s="29" t="s">
        <v>3687</v>
      </c>
      <c r="I1261" s="29"/>
      <c r="J1261" s="29"/>
      <c r="K1261" s="29"/>
      <c r="L1261" s="29" t="s">
        <v>8267</v>
      </c>
      <c r="M1261" s="29"/>
      <c r="N1261" s="29" t="s">
        <v>8282</v>
      </c>
      <c r="O1261" s="29"/>
      <c r="P1261" s="29" t="s">
        <v>8283</v>
      </c>
      <c r="Q1261" t="s">
        <v>2038</v>
      </c>
      <c r="R1261" t="s">
        <v>2632</v>
      </c>
      <c r="S1261">
        <v>37</v>
      </c>
      <c r="T1261" s="43" t="str">
        <f t="shared" si="54"/>
        <v>2021.082B.R.Tevens_new_families.zip</v>
      </c>
      <c r="U1261" s="43" t="str">
        <f>HYPERLINK("https://ictv.global/taxonomy/taxondetails?taxnode_id=202213964","ictv.global=202213964")</f>
        <v>ictv.global=202213964</v>
      </c>
    </row>
    <row r="1262" spans="1:21">
      <c r="A1262">
        <v>1261</v>
      </c>
      <c r="B1262" s="29" t="s">
        <v>3682</v>
      </c>
      <c r="C1262" s="29"/>
      <c r="D1262" s="29" t="s">
        <v>3683</v>
      </c>
      <c r="E1262" s="29"/>
      <c r="F1262" s="29" t="s">
        <v>3686</v>
      </c>
      <c r="G1262" s="29"/>
      <c r="H1262" s="29" t="s">
        <v>3687</v>
      </c>
      <c r="I1262" s="29"/>
      <c r="J1262" s="29"/>
      <c r="K1262" s="29"/>
      <c r="L1262" s="29" t="s">
        <v>8267</v>
      </c>
      <c r="M1262" s="29"/>
      <c r="N1262" s="29" t="s">
        <v>8282</v>
      </c>
      <c r="O1262" s="29"/>
      <c r="P1262" s="29" t="s">
        <v>8284</v>
      </c>
      <c r="Q1262" t="s">
        <v>2038</v>
      </c>
      <c r="R1262" t="s">
        <v>2632</v>
      </c>
      <c r="S1262">
        <v>37</v>
      </c>
      <c r="T1262" s="43" t="str">
        <f t="shared" si="54"/>
        <v>2021.082B.R.Tevens_new_families.zip</v>
      </c>
      <c r="U1262" s="43" t="str">
        <f>HYPERLINK("https://ictv.global/taxonomy/taxondetails?taxnode_id=202213965","ictv.global=202213965")</f>
        <v>ictv.global=202213965</v>
      </c>
    </row>
    <row r="1263" spans="1:21">
      <c r="A1263">
        <v>1262</v>
      </c>
      <c r="B1263" s="29" t="s">
        <v>3682</v>
      </c>
      <c r="C1263" s="29"/>
      <c r="D1263" s="29" t="s">
        <v>3683</v>
      </c>
      <c r="E1263" s="29"/>
      <c r="F1263" s="29" t="s">
        <v>3686</v>
      </c>
      <c r="G1263" s="29"/>
      <c r="H1263" s="29" t="s">
        <v>3687</v>
      </c>
      <c r="I1263" s="29"/>
      <c r="J1263" s="29"/>
      <c r="K1263" s="29"/>
      <c r="L1263" s="29" t="s">
        <v>8267</v>
      </c>
      <c r="M1263" s="29"/>
      <c r="N1263" s="29" t="s">
        <v>3909</v>
      </c>
      <c r="O1263" s="29"/>
      <c r="P1263" s="29" t="s">
        <v>8285</v>
      </c>
      <c r="Q1263" t="s">
        <v>2038</v>
      </c>
      <c r="R1263" t="s">
        <v>2633</v>
      </c>
      <c r="S1263">
        <v>37</v>
      </c>
      <c r="T1263" s="43" t="str">
        <f t="shared" si="54"/>
        <v>2021.082B.R.Tevens_new_families.zip</v>
      </c>
      <c r="U1263" s="43" t="str">
        <f>HYPERLINK("https://ictv.global/taxonomy/taxondetails?taxnode_id=202207774","ictv.global=202207774")</f>
        <v>ictv.global=202207774</v>
      </c>
    </row>
    <row r="1264" spans="1:21">
      <c r="A1264">
        <v>1263</v>
      </c>
      <c r="B1264" s="29" t="s">
        <v>3682</v>
      </c>
      <c r="C1264" s="29"/>
      <c r="D1264" s="29" t="s">
        <v>3683</v>
      </c>
      <c r="E1264" s="29"/>
      <c r="F1264" s="29" t="s">
        <v>3686</v>
      </c>
      <c r="G1264" s="29"/>
      <c r="H1264" s="29" t="s">
        <v>3687</v>
      </c>
      <c r="I1264" s="29"/>
      <c r="J1264" s="29"/>
      <c r="K1264" s="29"/>
      <c r="L1264" s="29" t="s">
        <v>8267</v>
      </c>
      <c r="M1264" s="29"/>
      <c r="N1264" s="29" t="s">
        <v>3910</v>
      </c>
      <c r="O1264" s="29"/>
      <c r="P1264" s="29" t="s">
        <v>8286</v>
      </c>
      <c r="Q1264" t="s">
        <v>2038</v>
      </c>
      <c r="R1264" t="s">
        <v>2633</v>
      </c>
      <c r="S1264">
        <v>37</v>
      </c>
      <c r="T1264" s="43" t="str">
        <f t="shared" si="54"/>
        <v>2021.082B.R.Tevens_new_families.zip</v>
      </c>
      <c r="U1264" s="43" t="str">
        <f>HYPERLINK("https://ictv.global/taxonomy/taxondetails?taxnode_id=202207776","ictv.global=202207776")</f>
        <v>ictv.global=202207776</v>
      </c>
    </row>
    <row r="1265" spans="1:21">
      <c r="A1265">
        <v>1264</v>
      </c>
      <c r="B1265" s="29" t="s">
        <v>3682</v>
      </c>
      <c r="C1265" s="29"/>
      <c r="D1265" s="29" t="s">
        <v>3683</v>
      </c>
      <c r="E1265" s="29"/>
      <c r="F1265" s="29" t="s">
        <v>3686</v>
      </c>
      <c r="G1265" s="29"/>
      <c r="H1265" s="29" t="s">
        <v>3687</v>
      </c>
      <c r="I1265" s="29"/>
      <c r="J1265" s="29"/>
      <c r="K1265" s="29"/>
      <c r="L1265" s="29" t="s">
        <v>8267</v>
      </c>
      <c r="M1265" s="29"/>
      <c r="N1265" s="29" t="s">
        <v>8287</v>
      </c>
      <c r="O1265" s="29"/>
      <c r="P1265" s="29" t="s">
        <v>8288</v>
      </c>
      <c r="Q1265" t="s">
        <v>2038</v>
      </c>
      <c r="R1265" t="s">
        <v>2632</v>
      </c>
      <c r="S1265">
        <v>37</v>
      </c>
      <c r="T1265" s="43" t="str">
        <f t="shared" si="54"/>
        <v>2021.082B.R.Tevens_new_families.zip</v>
      </c>
      <c r="U1265" s="43" t="str">
        <f>HYPERLINK("https://ictv.global/taxonomy/taxondetails?taxnode_id=202213991","ictv.global=202213991")</f>
        <v>ictv.global=202213991</v>
      </c>
    </row>
    <row r="1266" spans="1:21">
      <c r="A1266">
        <v>1265</v>
      </c>
      <c r="B1266" s="29" t="s">
        <v>3682</v>
      </c>
      <c r="C1266" s="29"/>
      <c r="D1266" s="29" t="s">
        <v>3683</v>
      </c>
      <c r="E1266" s="29"/>
      <c r="F1266" s="29" t="s">
        <v>3686</v>
      </c>
      <c r="G1266" s="29"/>
      <c r="H1266" s="29" t="s">
        <v>3687</v>
      </c>
      <c r="I1266" s="29"/>
      <c r="J1266" s="29"/>
      <c r="K1266" s="29"/>
      <c r="L1266" s="29" t="s">
        <v>8267</v>
      </c>
      <c r="M1266" s="29"/>
      <c r="N1266" s="29" t="s">
        <v>8289</v>
      </c>
      <c r="O1266" s="29"/>
      <c r="P1266" s="29" t="s">
        <v>8290</v>
      </c>
      <c r="Q1266" t="s">
        <v>2038</v>
      </c>
      <c r="R1266" t="s">
        <v>2632</v>
      </c>
      <c r="S1266">
        <v>37</v>
      </c>
      <c r="T1266" s="43" t="str">
        <f t="shared" si="54"/>
        <v>2021.082B.R.Tevens_new_families.zip</v>
      </c>
      <c r="U1266" s="43" t="str">
        <f>HYPERLINK("https://ictv.global/taxonomy/taxondetails?taxnode_id=202213993","ictv.global=202213993")</f>
        <v>ictv.global=202213993</v>
      </c>
    </row>
    <row r="1267" spans="1:21">
      <c r="A1267">
        <v>1266</v>
      </c>
      <c r="B1267" s="29" t="s">
        <v>3682</v>
      </c>
      <c r="C1267" s="29"/>
      <c r="D1267" s="29" t="s">
        <v>3683</v>
      </c>
      <c r="E1267" s="29"/>
      <c r="F1267" s="29" t="s">
        <v>3686</v>
      </c>
      <c r="G1267" s="29"/>
      <c r="H1267" s="29" t="s">
        <v>3687</v>
      </c>
      <c r="I1267" s="29"/>
      <c r="J1267" s="29"/>
      <c r="K1267" s="29"/>
      <c r="L1267" s="29" t="s">
        <v>8267</v>
      </c>
      <c r="M1267" s="29"/>
      <c r="N1267" s="29" t="s">
        <v>8291</v>
      </c>
      <c r="O1267" s="29"/>
      <c r="P1267" s="29" t="s">
        <v>8292</v>
      </c>
      <c r="Q1267" t="s">
        <v>2038</v>
      </c>
      <c r="R1267" t="s">
        <v>2632</v>
      </c>
      <c r="S1267">
        <v>37</v>
      </c>
      <c r="T1267" s="43" t="str">
        <f t="shared" si="54"/>
        <v>2021.082B.R.Tevens_new_families.zip</v>
      </c>
      <c r="U1267" s="43" t="str">
        <f>HYPERLINK("https://ictv.global/taxonomy/taxondetails?taxnode_id=202213962","ictv.global=202213962")</f>
        <v>ictv.global=202213962</v>
      </c>
    </row>
    <row r="1268" spans="1:21">
      <c r="A1268">
        <v>1267</v>
      </c>
      <c r="B1268" s="29" t="s">
        <v>3682</v>
      </c>
      <c r="C1268" s="29"/>
      <c r="D1268" s="29" t="s">
        <v>3683</v>
      </c>
      <c r="E1268" s="29"/>
      <c r="F1268" s="29" t="s">
        <v>3686</v>
      </c>
      <c r="G1268" s="29"/>
      <c r="H1268" s="29" t="s">
        <v>3687</v>
      </c>
      <c r="I1268" s="29"/>
      <c r="J1268" s="29"/>
      <c r="K1268" s="29"/>
      <c r="L1268" s="29" t="s">
        <v>8267</v>
      </c>
      <c r="M1268" s="29"/>
      <c r="N1268" s="29" t="s">
        <v>8293</v>
      </c>
      <c r="O1268" s="29"/>
      <c r="P1268" s="29" t="s">
        <v>8294</v>
      </c>
      <c r="Q1268" t="s">
        <v>2038</v>
      </c>
      <c r="R1268" t="s">
        <v>2632</v>
      </c>
      <c r="S1268">
        <v>37</v>
      </c>
      <c r="T1268" s="43" t="str">
        <f t="shared" si="54"/>
        <v>2021.082B.R.Tevens_new_families.zip</v>
      </c>
      <c r="U1268" s="43" t="str">
        <f>HYPERLINK("https://ictv.global/taxonomy/taxondetails?taxnode_id=202213995","ictv.global=202213995")</f>
        <v>ictv.global=202213995</v>
      </c>
    </row>
    <row r="1269" spans="1:21">
      <c r="A1269">
        <v>1268</v>
      </c>
      <c r="B1269" s="29" t="s">
        <v>3682</v>
      </c>
      <c r="C1269" s="29"/>
      <c r="D1269" s="29" t="s">
        <v>3683</v>
      </c>
      <c r="E1269" s="29"/>
      <c r="F1269" s="29" t="s">
        <v>3686</v>
      </c>
      <c r="G1269" s="29"/>
      <c r="H1269" s="29" t="s">
        <v>3687</v>
      </c>
      <c r="I1269" s="29"/>
      <c r="J1269" s="29"/>
      <c r="K1269" s="29"/>
      <c r="L1269" s="29" t="s">
        <v>8267</v>
      </c>
      <c r="M1269" s="29"/>
      <c r="N1269" s="29" t="s">
        <v>8295</v>
      </c>
      <c r="O1269" s="29"/>
      <c r="P1269" s="29" t="s">
        <v>8296</v>
      </c>
      <c r="Q1269" t="s">
        <v>2038</v>
      </c>
      <c r="R1269" t="s">
        <v>2632</v>
      </c>
      <c r="S1269">
        <v>37</v>
      </c>
      <c r="T1269" s="43" t="str">
        <f t="shared" si="54"/>
        <v>2021.082B.R.Tevens_new_families.zip</v>
      </c>
      <c r="U1269" s="43" t="str">
        <f>HYPERLINK("https://ictv.global/taxonomy/taxondetails?taxnode_id=202213984","ictv.global=202213984")</f>
        <v>ictv.global=202213984</v>
      </c>
    </row>
    <row r="1270" spans="1:21">
      <c r="A1270">
        <v>1269</v>
      </c>
      <c r="B1270" s="29" t="s">
        <v>3682</v>
      </c>
      <c r="C1270" s="29"/>
      <c r="D1270" s="29" t="s">
        <v>3683</v>
      </c>
      <c r="E1270" s="29"/>
      <c r="F1270" s="29" t="s">
        <v>3686</v>
      </c>
      <c r="G1270" s="29"/>
      <c r="H1270" s="29" t="s">
        <v>3687</v>
      </c>
      <c r="I1270" s="29"/>
      <c r="J1270" s="29"/>
      <c r="K1270" s="29"/>
      <c r="L1270" s="29" t="s">
        <v>8267</v>
      </c>
      <c r="M1270" s="29"/>
      <c r="N1270" s="29" t="s">
        <v>8297</v>
      </c>
      <c r="O1270" s="29"/>
      <c r="P1270" s="29" t="s">
        <v>8298</v>
      </c>
      <c r="Q1270" t="s">
        <v>2038</v>
      </c>
      <c r="R1270" t="s">
        <v>2632</v>
      </c>
      <c r="S1270">
        <v>37</v>
      </c>
      <c r="T1270" s="43" t="str">
        <f t="shared" si="54"/>
        <v>2021.082B.R.Tevens_new_families.zip</v>
      </c>
      <c r="U1270" s="43" t="str">
        <f>HYPERLINK("https://ictv.global/taxonomy/taxondetails?taxnode_id=202213976","ictv.global=202213976")</f>
        <v>ictv.global=202213976</v>
      </c>
    </row>
    <row r="1271" spans="1:21">
      <c r="A1271">
        <v>1270</v>
      </c>
      <c r="B1271" s="29" t="s">
        <v>3682</v>
      </c>
      <c r="C1271" s="29"/>
      <c r="D1271" s="29" t="s">
        <v>3683</v>
      </c>
      <c r="E1271" s="29"/>
      <c r="F1271" s="29" t="s">
        <v>3686</v>
      </c>
      <c r="G1271" s="29"/>
      <c r="H1271" s="29" t="s">
        <v>3687</v>
      </c>
      <c r="I1271" s="29"/>
      <c r="J1271" s="29"/>
      <c r="K1271" s="29"/>
      <c r="L1271" s="29" t="s">
        <v>8267</v>
      </c>
      <c r="M1271" s="29"/>
      <c r="N1271" s="29" t="s">
        <v>8299</v>
      </c>
      <c r="O1271" s="29"/>
      <c r="P1271" s="29" t="s">
        <v>8300</v>
      </c>
      <c r="Q1271" t="s">
        <v>2038</v>
      </c>
      <c r="R1271" t="s">
        <v>2632</v>
      </c>
      <c r="S1271">
        <v>38</v>
      </c>
      <c r="T1271" s="43" t="str">
        <f>HYPERLINK("https://ictv.global/ictv/proposals/2022.043B.Kyanoviridae_7ng.zip","2022.043B.Kyanoviridae_7ng.zip")</f>
        <v>2022.043B.Kyanoviridae_7ng.zip</v>
      </c>
      <c r="U1271" s="43" t="str">
        <f>HYPERLINK("https://ictv.global/taxonomy/taxondetails?taxnode_id=202214651","ictv.global=202214651")</f>
        <v>ictv.global=202214651</v>
      </c>
    </row>
    <row r="1272" spans="1:21">
      <c r="A1272">
        <v>1271</v>
      </c>
      <c r="B1272" s="29" t="s">
        <v>3682</v>
      </c>
      <c r="C1272" s="29"/>
      <c r="D1272" s="29" t="s">
        <v>3683</v>
      </c>
      <c r="E1272" s="29"/>
      <c r="F1272" s="29" t="s">
        <v>3686</v>
      </c>
      <c r="G1272" s="29"/>
      <c r="H1272" s="29" t="s">
        <v>3687</v>
      </c>
      <c r="I1272" s="29"/>
      <c r="J1272" s="29"/>
      <c r="K1272" s="29"/>
      <c r="L1272" s="29" t="s">
        <v>8267</v>
      </c>
      <c r="M1272" s="29"/>
      <c r="N1272" s="29" t="s">
        <v>3916</v>
      </c>
      <c r="O1272" s="29"/>
      <c r="P1272" s="29" t="s">
        <v>8301</v>
      </c>
      <c r="Q1272" t="s">
        <v>2038</v>
      </c>
      <c r="R1272" t="s">
        <v>2633</v>
      </c>
      <c r="S1272">
        <v>37</v>
      </c>
      <c r="T1272" s="43" t="str">
        <f t="shared" ref="T1272:T1278" si="55">HYPERLINK("https://ictv.global/ictv/proposals/2021.082B.R.Tevens_new_families.zip","2021.082B.R.Tevens_new_families.zip")</f>
        <v>2021.082B.R.Tevens_new_families.zip</v>
      </c>
      <c r="U1272" s="43" t="str">
        <f>HYPERLINK("https://ictv.global/taxonomy/taxondetails?taxnode_id=202207805","ictv.global=202207805")</f>
        <v>ictv.global=202207805</v>
      </c>
    </row>
    <row r="1273" spans="1:21">
      <c r="A1273">
        <v>1272</v>
      </c>
      <c r="B1273" s="29" t="s">
        <v>3682</v>
      </c>
      <c r="C1273" s="29"/>
      <c r="D1273" s="29" t="s">
        <v>3683</v>
      </c>
      <c r="E1273" s="29"/>
      <c r="F1273" s="29" t="s">
        <v>3686</v>
      </c>
      <c r="G1273" s="29"/>
      <c r="H1273" s="29" t="s">
        <v>3687</v>
      </c>
      <c r="I1273" s="29"/>
      <c r="J1273" s="29"/>
      <c r="K1273" s="29"/>
      <c r="L1273" s="29" t="s">
        <v>8267</v>
      </c>
      <c r="M1273" s="29"/>
      <c r="N1273" s="29" t="s">
        <v>3918</v>
      </c>
      <c r="O1273" s="29"/>
      <c r="P1273" s="29" t="s">
        <v>8302</v>
      </c>
      <c r="Q1273" t="s">
        <v>2038</v>
      </c>
      <c r="R1273" t="s">
        <v>2633</v>
      </c>
      <c r="S1273">
        <v>37</v>
      </c>
      <c r="T1273" s="43" t="str">
        <f t="shared" si="55"/>
        <v>2021.082B.R.Tevens_new_families.zip</v>
      </c>
      <c r="U1273" s="43" t="str">
        <f>HYPERLINK("https://ictv.global/taxonomy/taxondetails?taxnode_id=202207814","ictv.global=202207814")</f>
        <v>ictv.global=202207814</v>
      </c>
    </row>
    <row r="1274" spans="1:21">
      <c r="A1274">
        <v>1273</v>
      </c>
      <c r="B1274" s="29" t="s">
        <v>3682</v>
      </c>
      <c r="C1274" s="29"/>
      <c r="D1274" s="29" t="s">
        <v>3683</v>
      </c>
      <c r="E1274" s="29"/>
      <c r="F1274" s="29" t="s">
        <v>3686</v>
      </c>
      <c r="G1274" s="29"/>
      <c r="H1274" s="29" t="s">
        <v>3687</v>
      </c>
      <c r="I1274" s="29"/>
      <c r="J1274" s="29"/>
      <c r="K1274" s="29"/>
      <c r="L1274" s="29" t="s">
        <v>8267</v>
      </c>
      <c r="M1274" s="29"/>
      <c r="N1274" s="29" t="s">
        <v>3918</v>
      </c>
      <c r="O1274" s="29"/>
      <c r="P1274" s="29" t="s">
        <v>8303</v>
      </c>
      <c r="Q1274" t="s">
        <v>2038</v>
      </c>
      <c r="R1274" t="s">
        <v>2633</v>
      </c>
      <c r="S1274">
        <v>37</v>
      </c>
      <c r="T1274" s="43" t="str">
        <f t="shared" si="55"/>
        <v>2021.082B.R.Tevens_new_families.zip</v>
      </c>
      <c r="U1274" s="43" t="str">
        <f>HYPERLINK("https://ictv.global/taxonomy/taxondetails?taxnode_id=202207813","ictv.global=202207813")</f>
        <v>ictv.global=202207813</v>
      </c>
    </row>
    <row r="1275" spans="1:21">
      <c r="A1275">
        <v>1274</v>
      </c>
      <c r="B1275" s="29" t="s">
        <v>3682</v>
      </c>
      <c r="C1275" s="29"/>
      <c r="D1275" s="29" t="s">
        <v>3683</v>
      </c>
      <c r="E1275" s="29"/>
      <c r="F1275" s="29" t="s">
        <v>3686</v>
      </c>
      <c r="G1275" s="29"/>
      <c r="H1275" s="29" t="s">
        <v>3687</v>
      </c>
      <c r="I1275" s="29"/>
      <c r="J1275" s="29"/>
      <c r="K1275" s="29"/>
      <c r="L1275" s="29" t="s">
        <v>8267</v>
      </c>
      <c r="M1275" s="29"/>
      <c r="N1275" s="29" t="s">
        <v>3919</v>
      </c>
      <c r="O1275" s="29"/>
      <c r="P1275" s="29" t="s">
        <v>8304</v>
      </c>
      <c r="Q1275" t="s">
        <v>2038</v>
      </c>
      <c r="R1275" t="s">
        <v>2633</v>
      </c>
      <c r="S1275">
        <v>37</v>
      </c>
      <c r="T1275" s="43" t="str">
        <f t="shared" si="55"/>
        <v>2021.082B.R.Tevens_new_families.zip</v>
      </c>
      <c r="U1275" s="43" t="str">
        <f>HYPERLINK("https://ictv.global/taxonomy/taxondetails?taxnode_id=202207821","ictv.global=202207821")</f>
        <v>ictv.global=202207821</v>
      </c>
    </row>
    <row r="1276" spans="1:21">
      <c r="A1276">
        <v>1275</v>
      </c>
      <c r="B1276" s="29" t="s">
        <v>3682</v>
      </c>
      <c r="C1276" s="29"/>
      <c r="D1276" s="29" t="s">
        <v>3683</v>
      </c>
      <c r="E1276" s="29"/>
      <c r="F1276" s="29" t="s">
        <v>3686</v>
      </c>
      <c r="G1276" s="29"/>
      <c r="H1276" s="29" t="s">
        <v>3687</v>
      </c>
      <c r="I1276" s="29"/>
      <c r="J1276" s="29"/>
      <c r="K1276" s="29"/>
      <c r="L1276" s="29" t="s">
        <v>8267</v>
      </c>
      <c r="M1276" s="29"/>
      <c r="N1276" s="29" t="s">
        <v>8305</v>
      </c>
      <c r="O1276" s="29"/>
      <c r="P1276" s="29" t="s">
        <v>8306</v>
      </c>
      <c r="Q1276" t="s">
        <v>2038</v>
      </c>
      <c r="R1276" t="s">
        <v>2632</v>
      </c>
      <c r="S1276">
        <v>37</v>
      </c>
      <c r="T1276" s="43" t="str">
        <f t="shared" si="55"/>
        <v>2021.082B.R.Tevens_new_families.zip</v>
      </c>
      <c r="U1276" s="43" t="str">
        <f>HYPERLINK("https://ictv.global/taxonomy/taxondetails?taxnode_id=202213970","ictv.global=202213970")</f>
        <v>ictv.global=202213970</v>
      </c>
    </row>
    <row r="1277" spans="1:21">
      <c r="A1277">
        <v>1276</v>
      </c>
      <c r="B1277" s="29" t="s">
        <v>3682</v>
      </c>
      <c r="C1277" s="29"/>
      <c r="D1277" s="29" t="s">
        <v>3683</v>
      </c>
      <c r="E1277" s="29"/>
      <c r="F1277" s="29" t="s">
        <v>3686</v>
      </c>
      <c r="G1277" s="29"/>
      <c r="H1277" s="29" t="s">
        <v>3687</v>
      </c>
      <c r="I1277" s="29"/>
      <c r="J1277" s="29"/>
      <c r="K1277" s="29"/>
      <c r="L1277" s="29" t="s">
        <v>8267</v>
      </c>
      <c r="M1277" s="29"/>
      <c r="N1277" s="29" t="s">
        <v>8307</v>
      </c>
      <c r="O1277" s="29"/>
      <c r="P1277" s="29" t="s">
        <v>8308</v>
      </c>
      <c r="Q1277" t="s">
        <v>2038</v>
      </c>
      <c r="R1277" t="s">
        <v>2632</v>
      </c>
      <c r="S1277">
        <v>37</v>
      </c>
      <c r="T1277" s="43" t="str">
        <f t="shared" si="55"/>
        <v>2021.082B.R.Tevens_new_families.zip</v>
      </c>
      <c r="U1277" s="43" t="str">
        <f>HYPERLINK("https://ictv.global/taxonomy/taxondetails?taxnode_id=202213972","ictv.global=202213972")</f>
        <v>ictv.global=202213972</v>
      </c>
    </row>
    <row r="1278" spans="1:21">
      <c r="A1278">
        <v>1277</v>
      </c>
      <c r="B1278" s="29" t="s">
        <v>3682</v>
      </c>
      <c r="C1278" s="29"/>
      <c r="D1278" s="29" t="s">
        <v>3683</v>
      </c>
      <c r="E1278" s="29"/>
      <c r="F1278" s="29" t="s">
        <v>3686</v>
      </c>
      <c r="G1278" s="29"/>
      <c r="H1278" s="29" t="s">
        <v>3687</v>
      </c>
      <c r="I1278" s="29"/>
      <c r="J1278" s="29"/>
      <c r="K1278" s="29"/>
      <c r="L1278" s="29" t="s">
        <v>8267</v>
      </c>
      <c r="M1278" s="29"/>
      <c r="N1278" s="29" t="s">
        <v>8309</v>
      </c>
      <c r="O1278" s="29"/>
      <c r="P1278" s="29" t="s">
        <v>8310</v>
      </c>
      <c r="Q1278" t="s">
        <v>2038</v>
      </c>
      <c r="R1278" t="s">
        <v>2632</v>
      </c>
      <c r="S1278">
        <v>37</v>
      </c>
      <c r="T1278" s="43" t="str">
        <f t="shared" si="55"/>
        <v>2021.082B.R.Tevens_new_families.zip</v>
      </c>
      <c r="U1278" s="43" t="str">
        <f>HYPERLINK("https://ictv.global/taxonomy/taxondetails?taxnode_id=202213982","ictv.global=202213982")</f>
        <v>ictv.global=202213982</v>
      </c>
    </row>
    <row r="1279" spans="1:21">
      <c r="A1279">
        <v>1278</v>
      </c>
      <c r="B1279" s="29" t="s">
        <v>3682</v>
      </c>
      <c r="C1279" s="29"/>
      <c r="D1279" s="29" t="s">
        <v>3683</v>
      </c>
      <c r="E1279" s="29"/>
      <c r="F1279" s="29" t="s">
        <v>3686</v>
      </c>
      <c r="G1279" s="29"/>
      <c r="H1279" s="29" t="s">
        <v>3687</v>
      </c>
      <c r="I1279" s="29"/>
      <c r="J1279" s="29"/>
      <c r="K1279" s="29"/>
      <c r="L1279" s="29" t="s">
        <v>8267</v>
      </c>
      <c r="M1279" s="29"/>
      <c r="N1279" s="29" t="s">
        <v>8311</v>
      </c>
      <c r="O1279" s="29"/>
      <c r="P1279" s="29" t="s">
        <v>8312</v>
      </c>
      <c r="Q1279" t="s">
        <v>2038</v>
      </c>
      <c r="R1279" t="s">
        <v>2632</v>
      </c>
      <c r="S1279">
        <v>38</v>
      </c>
      <c r="T1279" s="43" t="str">
        <f>HYPERLINK("https://ictv.global/ictv/proposals/2022.043B.Kyanoviridae_7ng.zip","2022.043B.Kyanoviridae_7ng.zip")</f>
        <v>2022.043B.Kyanoviridae_7ng.zip</v>
      </c>
      <c r="U1279" s="43" t="str">
        <f>HYPERLINK("https://ictv.global/taxonomy/taxondetails?taxnode_id=202214657","ictv.global=202214657")</f>
        <v>ictv.global=202214657</v>
      </c>
    </row>
    <row r="1280" spans="1:21">
      <c r="A1280">
        <v>1279</v>
      </c>
      <c r="B1280" s="29" t="s">
        <v>3682</v>
      </c>
      <c r="C1280" s="29"/>
      <c r="D1280" s="29" t="s">
        <v>3683</v>
      </c>
      <c r="E1280" s="29"/>
      <c r="F1280" s="29" t="s">
        <v>3686</v>
      </c>
      <c r="G1280" s="29"/>
      <c r="H1280" s="29" t="s">
        <v>3687</v>
      </c>
      <c r="I1280" s="29"/>
      <c r="J1280" s="29"/>
      <c r="K1280" s="29"/>
      <c r="L1280" s="29" t="s">
        <v>8267</v>
      </c>
      <c r="M1280" s="29"/>
      <c r="N1280" s="29" t="s">
        <v>8313</v>
      </c>
      <c r="O1280" s="29"/>
      <c r="P1280" s="29" t="s">
        <v>8314</v>
      </c>
      <c r="Q1280" t="s">
        <v>2038</v>
      </c>
      <c r="R1280" t="s">
        <v>2632</v>
      </c>
      <c r="S1280">
        <v>37</v>
      </c>
      <c r="T1280" s="43" t="str">
        <f t="shared" ref="T1280:T1298" si="56">HYPERLINK("https://ictv.global/ictv/proposals/2021.082B.R.Tevens_new_families.zip","2021.082B.R.Tevens_new_families.zip")</f>
        <v>2021.082B.R.Tevens_new_families.zip</v>
      </c>
      <c r="U1280" s="43" t="str">
        <f>HYPERLINK("https://ictv.global/taxonomy/taxondetails?taxnode_id=202213974","ictv.global=202213974")</f>
        <v>ictv.global=202213974</v>
      </c>
    </row>
    <row r="1281" spans="1:21">
      <c r="A1281">
        <v>1280</v>
      </c>
      <c r="B1281" s="29" t="s">
        <v>3682</v>
      </c>
      <c r="C1281" s="29"/>
      <c r="D1281" s="29" t="s">
        <v>3683</v>
      </c>
      <c r="E1281" s="29"/>
      <c r="F1281" s="29" t="s">
        <v>3686</v>
      </c>
      <c r="G1281" s="29"/>
      <c r="H1281" s="29" t="s">
        <v>3687</v>
      </c>
      <c r="I1281" s="29"/>
      <c r="J1281" s="29"/>
      <c r="K1281" s="29"/>
      <c r="L1281" s="29" t="s">
        <v>8267</v>
      </c>
      <c r="M1281" s="29"/>
      <c r="N1281" s="29" t="s">
        <v>3922</v>
      </c>
      <c r="O1281" s="29"/>
      <c r="P1281" s="29" t="s">
        <v>8315</v>
      </c>
      <c r="Q1281" t="s">
        <v>2038</v>
      </c>
      <c r="R1281" t="s">
        <v>2633</v>
      </c>
      <c r="S1281">
        <v>37</v>
      </c>
      <c r="T1281" s="43" t="str">
        <f t="shared" si="56"/>
        <v>2021.082B.R.Tevens_new_families.zip</v>
      </c>
      <c r="U1281" s="43" t="str">
        <f>HYPERLINK("https://ictv.global/taxonomy/taxondetails?taxnode_id=202207760","ictv.global=202207760")</f>
        <v>ictv.global=202207760</v>
      </c>
    </row>
    <row r="1282" spans="1:21">
      <c r="A1282">
        <v>1281</v>
      </c>
      <c r="B1282" s="29" t="s">
        <v>3682</v>
      </c>
      <c r="C1282" s="29"/>
      <c r="D1282" s="29" t="s">
        <v>3683</v>
      </c>
      <c r="E1282" s="29"/>
      <c r="F1282" s="29" t="s">
        <v>3686</v>
      </c>
      <c r="G1282" s="29"/>
      <c r="H1282" s="29" t="s">
        <v>3687</v>
      </c>
      <c r="I1282" s="29"/>
      <c r="J1282" s="29"/>
      <c r="K1282" s="29"/>
      <c r="L1282" s="29" t="s">
        <v>8267</v>
      </c>
      <c r="M1282" s="29"/>
      <c r="N1282" s="29" t="s">
        <v>3925</v>
      </c>
      <c r="O1282" s="29"/>
      <c r="P1282" s="29" t="s">
        <v>8316</v>
      </c>
      <c r="Q1282" t="s">
        <v>2038</v>
      </c>
      <c r="R1282" t="s">
        <v>2633</v>
      </c>
      <c r="S1282">
        <v>37</v>
      </c>
      <c r="T1282" s="43" t="str">
        <f t="shared" si="56"/>
        <v>2021.082B.R.Tevens_new_families.zip</v>
      </c>
      <c r="U1282" s="43" t="str">
        <f>HYPERLINK("https://ictv.global/taxonomy/taxondetails?taxnode_id=202207801","ictv.global=202207801")</f>
        <v>ictv.global=202207801</v>
      </c>
    </row>
    <row r="1283" spans="1:21">
      <c r="A1283">
        <v>1282</v>
      </c>
      <c r="B1283" s="29" t="s">
        <v>3682</v>
      </c>
      <c r="C1283" s="29"/>
      <c r="D1283" s="29" t="s">
        <v>3683</v>
      </c>
      <c r="E1283" s="29"/>
      <c r="F1283" s="29" t="s">
        <v>3686</v>
      </c>
      <c r="G1283" s="29"/>
      <c r="H1283" s="29" t="s">
        <v>3687</v>
      </c>
      <c r="I1283" s="29"/>
      <c r="J1283" s="29"/>
      <c r="K1283" s="29"/>
      <c r="L1283" s="29" t="s">
        <v>8267</v>
      </c>
      <c r="M1283" s="29"/>
      <c r="N1283" s="29" t="s">
        <v>3926</v>
      </c>
      <c r="O1283" s="29"/>
      <c r="P1283" s="29" t="s">
        <v>8317</v>
      </c>
      <c r="Q1283" t="s">
        <v>2038</v>
      </c>
      <c r="R1283" t="s">
        <v>2633</v>
      </c>
      <c r="S1283">
        <v>37</v>
      </c>
      <c r="T1283" s="43" t="str">
        <f t="shared" si="56"/>
        <v>2021.082B.R.Tevens_new_families.zip</v>
      </c>
      <c r="U1283" s="43" t="str">
        <f>HYPERLINK("https://ictv.global/taxonomy/taxondetails?taxnode_id=202207782","ictv.global=202207782")</f>
        <v>ictv.global=202207782</v>
      </c>
    </row>
    <row r="1284" spans="1:21">
      <c r="A1284">
        <v>1283</v>
      </c>
      <c r="B1284" s="29" t="s">
        <v>3682</v>
      </c>
      <c r="C1284" s="29"/>
      <c r="D1284" s="29" t="s">
        <v>3683</v>
      </c>
      <c r="E1284" s="29"/>
      <c r="F1284" s="29" t="s">
        <v>3686</v>
      </c>
      <c r="G1284" s="29"/>
      <c r="H1284" s="29" t="s">
        <v>3687</v>
      </c>
      <c r="I1284" s="29"/>
      <c r="J1284" s="29"/>
      <c r="K1284" s="29"/>
      <c r="L1284" s="29" t="s">
        <v>8267</v>
      </c>
      <c r="M1284" s="29"/>
      <c r="N1284" s="29" t="s">
        <v>3926</v>
      </c>
      <c r="O1284" s="29"/>
      <c r="P1284" s="29" t="s">
        <v>8318</v>
      </c>
      <c r="Q1284" t="s">
        <v>2038</v>
      </c>
      <c r="R1284" t="s">
        <v>2633</v>
      </c>
      <c r="S1284">
        <v>37</v>
      </c>
      <c r="T1284" s="43" t="str">
        <f t="shared" si="56"/>
        <v>2021.082B.R.Tevens_new_families.zip</v>
      </c>
      <c r="U1284" s="43" t="str">
        <f>HYPERLINK("https://ictv.global/taxonomy/taxondetails?taxnode_id=202207783","ictv.global=202207783")</f>
        <v>ictv.global=202207783</v>
      </c>
    </row>
    <row r="1285" spans="1:21">
      <c r="A1285">
        <v>1284</v>
      </c>
      <c r="B1285" s="29" t="s">
        <v>3682</v>
      </c>
      <c r="C1285" s="29"/>
      <c r="D1285" s="29" t="s">
        <v>3683</v>
      </c>
      <c r="E1285" s="29"/>
      <c r="F1285" s="29" t="s">
        <v>3686</v>
      </c>
      <c r="G1285" s="29"/>
      <c r="H1285" s="29" t="s">
        <v>3687</v>
      </c>
      <c r="I1285" s="29"/>
      <c r="J1285" s="29"/>
      <c r="K1285" s="29"/>
      <c r="L1285" s="29" t="s">
        <v>8267</v>
      </c>
      <c r="M1285" s="29"/>
      <c r="N1285" s="29" t="s">
        <v>3927</v>
      </c>
      <c r="O1285" s="29"/>
      <c r="P1285" s="29" t="s">
        <v>8319</v>
      </c>
      <c r="Q1285" t="s">
        <v>2038</v>
      </c>
      <c r="R1285" t="s">
        <v>2633</v>
      </c>
      <c r="S1285">
        <v>37</v>
      </c>
      <c r="T1285" s="43" t="str">
        <f t="shared" si="56"/>
        <v>2021.082B.R.Tevens_new_families.zip</v>
      </c>
      <c r="U1285" s="43" t="str">
        <f>HYPERLINK("https://ictv.global/taxonomy/taxondetails?taxnode_id=202207796","ictv.global=202207796")</f>
        <v>ictv.global=202207796</v>
      </c>
    </row>
    <row r="1286" spans="1:21">
      <c r="A1286">
        <v>1285</v>
      </c>
      <c r="B1286" s="29" t="s">
        <v>3682</v>
      </c>
      <c r="C1286" s="29"/>
      <c r="D1286" s="29" t="s">
        <v>3683</v>
      </c>
      <c r="E1286" s="29"/>
      <c r="F1286" s="29" t="s">
        <v>3686</v>
      </c>
      <c r="G1286" s="29"/>
      <c r="H1286" s="29" t="s">
        <v>3687</v>
      </c>
      <c r="I1286" s="29"/>
      <c r="J1286" s="29"/>
      <c r="K1286" s="29"/>
      <c r="L1286" s="29" t="s">
        <v>8267</v>
      </c>
      <c r="M1286" s="29"/>
      <c r="N1286" s="29" t="s">
        <v>3927</v>
      </c>
      <c r="O1286" s="29"/>
      <c r="P1286" s="29" t="s">
        <v>8320</v>
      </c>
      <c r="Q1286" t="s">
        <v>2038</v>
      </c>
      <c r="R1286" t="s">
        <v>2633</v>
      </c>
      <c r="S1286">
        <v>37</v>
      </c>
      <c r="T1286" s="43" t="str">
        <f t="shared" si="56"/>
        <v>2021.082B.R.Tevens_new_families.zip</v>
      </c>
      <c r="U1286" s="43" t="str">
        <f>HYPERLINK("https://ictv.global/taxonomy/taxondetails?taxnode_id=202207797","ictv.global=202207797")</f>
        <v>ictv.global=202207797</v>
      </c>
    </row>
    <row r="1287" spans="1:21">
      <c r="A1287">
        <v>1286</v>
      </c>
      <c r="B1287" s="29" t="s">
        <v>3682</v>
      </c>
      <c r="C1287" s="29"/>
      <c r="D1287" s="29" t="s">
        <v>3683</v>
      </c>
      <c r="E1287" s="29"/>
      <c r="F1287" s="29" t="s">
        <v>3686</v>
      </c>
      <c r="G1287" s="29"/>
      <c r="H1287" s="29" t="s">
        <v>3687</v>
      </c>
      <c r="I1287" s="29"/>
      <c r="J1287" s="29"/>
      <c r="K1287" s="29"/>
      <c r="L1287" s="29" t="s">
        <v>8267</v>
      </c>
      <c r="M1287" s="29"/>
      <c r="N1287" s="29" t="s">
        <v>8321</v>
      </c>
      <c r="O1287" s="29"/>
      <c r="P1287" s="29" t="s">
        <v>8322</v>
      </c>
      <c r="Q1287" t="s">
        <v>2038</v>
      </c>
      <c r="R1287" t="s">
        <v>2632</v>
      </c>
      <c r="S1287">
        <v>37</v>
      </c>
      <c r="T1287" s="43" t="str">
        <f t="shared" si="56"/>
        <v>2021.082B.R.Tevens_new_families.zip</v>
      </c>
      <c r="U1287" s="43" t="str">
        <f>HYPERLINK("https://ictv.global/taxonomy/taxondetails?taxnode_id=202213999","ictv.global=202213999")</f>
        <v>ictv.global=202213999</v>
      </c>
    </row>
    <row r="1288" spans="1:21">
      <c r="A1288">
        <v>1287</v>
      </c>
      <c r="B1288" s="29" t="s">
        <v>3682</v>
      </c>
      <c r="C1288" s="29"/>
      <c r="D1288" s="29" t="s">
        <v>3683</v>
      </c>
      <c r="E1288" s="29"/>
      <c r="F1288" s="29" t="s">
        <v>3686</v>
      </c>
      <c r="G1288" s="29"/>
      <c r="H1288" s="29" t="s">
        <v>3687</v>
      </c>
      <c r="I1288" s="29"/>
      <c r="J1288" s="29"/>
      <c r="K1288" s="29"/>
      <c r="L1288" s="29" t="s">
        <v>8267</v>
      </c>
      <c r="M1288" s="29"/>
      <c r="N1288" s="29" t="s">
        <v>3928</v>
      </c>
      <c r="O1288" s="29"/>
      <c r="P1288" s="29" t="s">
        <v>8323</v>
      </c>
      <c r="Q1288" t="s">
        <v>2038</v>
      </c>
      <c r="R1288" t="s">
        <v>2633</v>
      </c>
      <c r="S1288">
        <v>37</v>
      </c>
      <c r="T1288" s="43" t="str">
        <f t="shared" si="56"/>
        <v>2021.082B.R.Tevens_new_families.zip</v>
      </c>
      <c r="U1288" s="43" t="str">
        <f>HYPERLINK("https://ictv.global/taxonomy/taxondetails?taxnode_id=202207789","ictv.global=202207789")</f>
        <v>ictv.global=202207789</v>
      </c>
    </row>
    <row r="1289" spans="1:21">
      <c r="A1289">
        <v>1288</v>
      </c>
      <c r="B1289" s="29" t="s">
        <v>3682</v>
      </c>
      <c r="C1289" s="29"/>
      <c r="D1289" s="29" t="s">
        <v>3683</v>
      </c>
      <c r="E1289" s="29"/>
      <c r="F1289" s="29" t="s">
        <v>3686</v>
      </c>
      <c r="G1289" s="29"/>
      <c r="H1289" s="29" t="s">
        <v>3687</v>
      </c>
      <c r="I1289" s="29"/>
      <c r="J1289" s="29"/>
      <c r="K1289" s="29"/>
      <c r="L1289" s="29" t="s">
        <v>8267</v>
      </c>
      <c r="M1289" s="29"/>
      <c r="N1289" s="29" t="s">
        <v>8324</v>
      </c>
      <c r="O1289" s="29"/>
      <c r="P1289" s="29" t="s">
        <v>8325</v>
      </c>
      <c r="Q1289" t="s">
        <v>2038</v>
      </c>
      <c r="R1289" t="s">
        <v>2632</v>
      </c>
      <c r="S1289">
        <v>37</v>
      </c>
      <c r="T1289" s="43" t="str">
        <f t="shared" si="56"/>
        <v>2021.082B.R.Tevens_new_families.zip</v>
      </c>
      <c r="U1289" s="43" t="str">
        <f>HYPERLINK("https://ictv.global/taxonomy/taxondetails?taxnode_id=202213978","ictv.global=202213978")</f>
        <v>ictv.global=202213978</v>
      </c>
    </row>
    <row r="1290" spans="1:21">
      <c r="A1290">
        <v>1289</v>
      </c>
      <c r="B1290" s="29" t="s">
        <v>3682</v>
      </c>
      <c r="C1290" s="29"/>
      <c r="D1290" s="29" t="s">
        <v>3683</v>
      </c>
      <c r="E1290" s="29"/>
      <c r="F1290" s="29" t="s">
        <v>3686</v>
      </c>
      <c r="G1290" s="29"/>
      <c r="H1290" s="29" t="s">
        <v>3687</v>
      </c>
      <c r="I1290" s="29"/>
      <c r="J1290" s="29"/>
      <c r="K1290" s="29"/>
      <c r="L1290" s="29" t="s">
        <v>8267</v>
      </c>
      <c r="M1290" s="29"/>
      <c r="N1290" s="29" t="s">
        <v>3929</v>
      </c>
      <c r="O1290" s="29"/>
      <c r="P1290" s="29" t="s">
        <v>8326</v>
      </c>
      <c r="Q1290" t="s">
        <v>2038</v>
      </c>
      <c r="R1290" t="s">
        <v>2633</v>
      </c>
      <c r="S1290">
        <v>37</v>
      </c>
      <c r="T1290" s="43" t="str">
        <f t="shared" si="56"/>
        <v>2021.082B.R.Tevens_new_families.zip</v>
      </c>
      <c r="U1290" s="43" t="str">
        <f>HYPERLINK("https://ictv.global/taxonomy/taxondetails?taxnode_id=202207768","ictv.global=202207768")</f>
        <v>ictv.global=202207768</v>
      </c>
    </row>
    <row r="1291" spans="1:21">
      <c r="A1291">
        <v>1290</v>
      </c>
      <c r="B1291" s="29" t="s">
        <v>3682</v>
      </c>
      <c r="C1291" s="29"/>
      <c r="D1291" s="29" t="s">
        <v>3683</v>
      </c>
      <c r="E1291" s="29"/>
      <c r="F1291" s="29" t="s">
        <v>3686</v>
      </c>
      <c r="G1291" s="29"/>
      <c r="H1291" s="29" t="s">
        <v>3687</v>
      </c>
      <c r="I1291" s="29"/>
      <c r="J1291" s="29"/>
      <c r="K1291" s="29"/>
      <c r="L1291" s="29" t="s">
        <v>8267</v>
      </c>
      <c r="M1291" s="29"/>
      <c r="N1291" s="29" t="s">
        <v>8327</v>
      </c>
      <c r="O1291" s="29"/>
      <c r="P1291" s="29" t="s">
        <v>8328</v>
      </c>
      <c r="Q1291" t="s">
        <v>2038</v>
      </c>
      <c r="R1291" t="s">
        <v>2632</v>
      </c>
      <c r="S1291">
        <v>37</v>
      </c>
      <c r="T1291" s="43" t="str">
        <f t="shared" si="56"/>
        <v>2021.082B.R.Tevens_new_families.zip</v>
      </c>
      <c r="U1291" s="43" t="str">
        <f>HYPERLINK("https://ictv.global/taxonomy/taxondetails?taxnode_id=202213986","ictv.global=202213986")</f>
        <v>ictv.global=202213986</v>
      </c>
    </row>
    <row r="1292" spans="1:21">
      <c r="A1292">
        <v>1291</v>
      </c>
      <c r="B1292" s="29" t="s">
        <v>3682</v>
      </c>
      <c r="C1292" s="29"/>
      <c r="D1292" s="29" t="s">
        <v>3683</v>
      </c>
      <c r="E1292" s="29"/>
      <c r="F1292" s="29" t="s">
        <v>3686</v>
      </c>
      <c r="G1292" s="29"/>
      <c r="H1292" s="29" t="s">
        <v>3687</v>
      </c>
      <c r="I1292" s="29"/>
      <c r="J1292" s="29"/>
      <c r="K1292" s="29"/>
      <c r="L1292" s="29" t="s">
        <v>8267</v>
      </c>
      <c r="M1292" s="29"/>
      <c r="N1292" s="29" t="s">
        <v>3930</v>
      </c>
      <c r="O1292" s="29"/>
      <c r="P1292" s="29" t="s">
        <v>8329</v>
      </c>
      <c r="Q1292" t="s">
        <v>2038</v>
      </c>
      <c r="R1292" t="s">
        <v>2633</v>
      </c>
      <c r="S1292">
        <v>37</v>
      </c>
      <c r="T1292" s="43" t="str">
        <f t="shared" si="56"/>
        <v>2021.082B.R.Tevens_new_families.zip</v>
      </c>
      <c r="U1292" s="43" t="str">
        <f>HYPERLINK("https://ictv.global/taxonomy/taxondetails?taxnode_id=202207816","ictv.global=202207816")</f>
        <v>ictv.global=202207816</v>
      </c>
    </row>
    <row r="1293" spans="1:21">
      <c r="A1293">
        <v>1292</v>
      </c>
      <c r="B1293" s="29" t="s">
        <v>3682</v>
      </c>
      <c r="C1293" s="29"/>
      <c r="D1293" s="29" t="s">
        <v>3683</v>
      </c>
      <c r="E1293" s="29"/>
      <c r="F1293" s="29" t="s">
        <v>3686</v>
      </c>
      <c r="G1293" s="29"/>
      <c r="H1293" s="29" t="s">
        <v>3687</v>
      </c>
      <c r="I1293" s="29"/>
      <c r="J1293" s="29"/>
      <c r="K1293" s="29"/>
      <c r="L1293" s="29" t="s">
        <v>8267</v>
      </c>
      <c r="M1293" s="29"/>
      <c r="N1293" s="29" t="s">
        <v>3939</v>
      </c>
      <c r="O1293" s="29"/>
      <c r="P1293" s="29" t="s">
        <v>8330</v>
      </c>
      <c r="Q1293" t="s">
        <v>2038</v>
      </c>
      <c r="R1293" t="s">
        <v>2633</v>
      </c>
      <c r="S1293">
        <v>37</v>
      </c>
      <c r="T1293" s="43" t="str">
        <f t="shared" si="56"/>
        <v>2021.082B.R.Tevens_new_families.zip</v>
      </c>
      <c r="U1293" s="43" t="str">
        <f>HYPERLINK("https://ictv.global/taxonomy/taxondetails?taxnode_id=202207811","ictv.global=202207811")</f>
        <v>ictv.global=202207811</v>
      </c>
    </row>
    <row r="1294" spans="1:21">
      <c r="A1294">
        <v>1293</v>
      </c>
      <c r="B1294" s="29" t="s">
        <v>3682</v>
      </c>
      <c r="C1294" s="29"/>
      <c r="D1294" s="29" t="s">
        <v>3683</v>
      </c>
      <c r="E1294" s="29"/>
      <c r="F1294" s="29" t="s">
        <v>3686</v>
      </c>
      <c r="G1294" s="29"/>
      <c r="H1294" s="29" t="s">
        <v>3687</v>
      </c>
      <c r="I1294" s="29"/>
      <c r="J1294" s="29"/>
      <c r="K1294" s="29"/>
      <c r="L1294" s="29" t="s">
        <v>8267</v>
      </c>
      <c r="M1294" s="29"/>
      <c r="N1294" s="29" t="s">
        <v>8331</v>
      </c>
      <c r="O1294" s="29"/>
      <c r="P1294" s="29" t="s">
        <v>8332</v>
      </c>
      <c r="Q1294" t="s">
        <v>2038</v>
      </c>
      <c r="R1294" t="s">
        <v>2632</v>
      </c>
      <c r="S1294">
        <v>37</v>
      </c>
      <c r="T1294" s="43" t="str">
        <f t="shared" si="56"/>
        <v>2021.082B.R.Tevens_new_families.zip</v>
      </c>
      <c r="U1294" s="43" t="str">
        <f>HYPERLINK("https://ictv.global/taxonomy/taxondetails?taxnode_id=202213967","ictv.global=202213967")</f>
        <v>ictv.global=202213967</v>
      </c>
    </row>
    <row r="1295" spans="1:21">
      <c r="A1295">
        <v>1294</v>
      </c>
      <c r="B1295" s="29" t="s">
        <v>3682</v>
      </c>
      <c r="C1295" s="29"/>
      <c r="D1295" s="29" t="s">
        <v>3683</v>
      </c>
      <c r="E1295" s="29"/>
      <c r="F1295" s="29" t="s">
        <v>3686</v>
      </c>
      <c r="G1295" s="29"/>
      <c r="H1295" s="29" t="s">
        <v>3687</v>
      </c>
      <c r="I1295" s="29"/>
      <c r="J1295" s="29"/>
      <c r="K1295" s="29"/>
      <c r="L1295" s="29" t="s">
        <v>8267</v>
      </c>
      <c r="M1295" s="29"/>
      <c r="N1295" s="29" t="s">
        <v>8331</v>
      </c>
      <c r="O1295" s="29"/>
      <c r="P1295" s="29" t="s">
        <v>8333</v>
      </c>
      <c r="Q1295" t="s">
        <v>2038</v>
      </c>
      <c r="R1295" t="s">
        <v>2632</v>
      </c>
      <c r="S1295">
        <v>37</v>
      </c>
      <c r="T1295" s="43" t="str">
        <f t="shared" si="56"/>
        <v>2021.082B.R.Tevens_new_families.zip</v>
      </c>
      <c r="U1295" s="43" t="str">
        <f>HYPERLINK("https://ictv.global/taxonomy/taxondetails?taxnode_id=202213968","ictv.global=202213968")</f>
        <v>ictv.global=202213968</v>
      </c>
    </row>
    <row r="1296" spans="1:21">
      <c r="A1296">
        <v>1295</v>
      </c>
      <c r="B1296" s="29" t="s">
        <v>3682</v>
      </c>
      <c r="C1296" s="29"/>
      <c r="D1296" s="29" t="s">
        <v>3683</v>
      </c>
      <c r="E1296" s="29"/>
      <c r="F1296" s="29" t="s">
        <v>3686</v>
      </c>
      <c r="G1296" s="29"/>
      <c r="H1296" s="29" t="s">
        <v>3687</v>
      </c>
      <c r="I1296" s="29"/>
      <c r="J1296" s="29"/>
      <c r="K1296" s="29"/>
      <c r="L1296" s="29" t="s">
        <v>8267</v>
      </c>
      <c r="M1296" s="29"/>
      <c r="N1296" s="29" t="s">
        <v>4579</v>
      </c>
      <c r="O1296" s="29"/>
      <c r="P1296" s="29" t="s">
        <v>8334</v>
      </c>
      <c r="Q1296" t="s">
        <v>2038</v>
      </c>
      <c r="R1296" t="s">
        <v>2633</v>
      </c>
      <c r="S1296">
        <v>37</v>
      </c>
      <c r="T1296" s="43" t="str">
        <f t="shared" si="56"/>
        <v>2021.082B.R.Tevens_new_families.zip</v>
      </c>
      <c r="U1296" s="43" t="str">
        <f>HYPERLINK("https://ictv.global/taxonomy/taxondetails?taxnode_id=202211680","ictv.global=202211680")</f>
        <v>ictv.global=202211680</v>
      </c>
    </row>
    <row r="1297" spans="1:21">
      <c r="A1297">
        <v>1296</v>
      </c>
      <c r="B1297" s="29" t="s">
        <v>3682</v>
      </c>
      <c r="C1297" s="29"/>
      <c r="D1297" s="29" t="s">
        <v>3683</v>
      </c>
      <c r="E1297" s="29"/>
      <c r="F1297" s="29" t="s">
        <v>3686</v>
      </c>
      <c r="G1297" s="29"/>
      <c r="H1297" s="29" t="s">
        <v>3687</v>
      </c>
      <c r="I1297" s="29"/>
      <c r="J1297" s="29"/>
      <c r="K1297" s="29"/>
      <c r="L1297" s="29" t="s">
        <v>8267</v>
      </c>
      <c r="M1297" s="29"/>
      <c r="N1297" s="29" t="s">
        <v>4579</v>
      </c>
      <c r="O1297" s="29"/>
      <c r="P1297" s="29" t="s">
        <v>8335</v>
      </c>
      <c r="Q1297" t="s">
        <v>2038</v>
      </c>
      <c r="R1297" t="s">
        <v>2633</v>
      </c>
      <c r="S1297">
        <v>37</v>
      </c>
      <c r="T1297" s="43" t="str">
        <f t="shared" si="56"/>
        <v>2021.082B.R.Tevens_new_families.zip</v>
      </c>
      <c r="U1297" s="43" t="str">
        <f>HYPERLINK("https://ictv.global/taxonomy/taxondetails?taxnode_id=202211681","ictv.global=202211681")</f>
        <v>ictv.global=202211681</v>
      </c>
    </row>
    <row r="1298" spans="1:21">
      <c r="A1298">
        <v>1297</v>
      </c>
      <c r="B1298" s="29" t="s">
        <v>3682</v>
      </c>
      <c r="C1298" s="29"/>
      <c r="D1298" s="29" t="s">
        <v>3683</v>
      </c>
      <c r="E1298" s="29"/>
      <c r="F1298" s="29" t="s">
        <v>3686</v>
      </c>
      <c r="G1298" s="29"/>
      <c r="H1298" s="29" t="s">
        <v>3687</v>
      </c>
      <c r="I1298" s="29"/>
      <c r="J1298" s="29"/>
      <c r="K1298" s="29"/>
      <c r="L1298" s="29" t="s">
        <v>8267</v>
      </c>
      <c r="M1298" s="29"/>
      <c r="N1298" s="29" t="s">
        <v>3943</v>
      </c>
      <c r="O1298" s="29"/>
      <c r="P1298" s="29" t="s">
        <v>8336</v>
      </c>
      <c r="Q1298" t="s">
        <v>2038</v>
      </c>
      <c r="R1298" t="s">
        <v>2633</v>
      </c>
      <c r="S1298">
        <v>37</v>
      </c>
      <c r="T1298" s="43" t="str">
        <f t="shared" si="56"/>
        <v>2021.082B.R.Tevens_new_families.zip</v>
      </c>
      <c r="U1298" s="43" t="str">
        <f>HYPERLINK("https://ictv.global/taxonomy/taxondetails?taxnode_id=202207787","ictv.global=202207787")</f>
        <v>ictv.global=202207787</v>
      </c>
    </row>
    <row r="1299" spans="1:21">
      <c r="A1299">
        <v>1298</v>
      </c>
      <c r="B1299" s="29" t="s">
        <v>3682</v>
      </c>
      <c r="C1299" s="29"/>
      <c r="D1299" s="29" t="s">
        <v>3683</v>
      </c>
      <c r="E1299" s="29"/>
      <c r="F1299" s="29" t="s">
        <v>3686</v>
      </c>
      <c r="G1299" s="29"/>
      <c r="H1299" s="29" t="s">
        <v>3687</v>
      </c>
      <c r="I1299" s="29"/>
      <c r="J1299" s="29"/>
      <c r="K1299" s="29"/>
      <c r="L1299" s="29" t="s">
        <v>8267</v>
      </c>
      <c r="M1299" s="29"/>
      <c r="N1299" s="29" t="s">
        <v>8337</v>
      </c>
      <c r="O1299" s="29"/>
      <c r="P1299" s="29" t="s">
        <v>8338</v>
      </c>
      <c r="Q1299" t="s">
        <v>2038</v>
      </c>
      <c r="R1299" t="s">
        <v>2632</v>
      </c>
      <c r="S1299">
        <v>38</v>
      </c>
      <c r="T1299" s="43" t="str">
        <f>HYPERLINK("https://ictv.global/ictv/proposals/2022.043B.Kyanoviridae_7ng.zip","2022.043B.Kyanoviridae_7ng.zip")</f>
        <v>2022.043B.Kyanoviridae_7ng.zip</v>
      </c>
      <c r="U1299" s="43" t="str">
        <f>HYPERLINK("https://ictv.global/taxonomy/taxondetails?taxnode_id=202214653","ictv.global=202214653")</f>
        <v>ictv.global=202214653</v>
      </c>
    </row>
    <row r="1300" spans="1:21">
      <c r="A1300">
        <v>1299</v>
      </c>
      <c r="B1300" s="29" t="s">
        <v>3682</v>
      </c>
      <c r="C1300" s="29"/>
      <c r="D1300" s="29" t="s">
        <v>3683</v>
      </c>
      <c r="E1300" s="29"/>
      <c r="F1300" s="29" t="s">
        <v>3686</v>
      </c>
      <c r="G1300" s="29"/>
      <c r="H1300" s="29" t="s">
        <v>3687</v>
      </c>
      <c r="I1300" s="29"/>
      <c r="J1300" s="29"/>
      <c r="K1300" s="29"/>
      <c r="L1300" s="29" t="s">
        <v>8267</v>
      </c>
      <c r="M1300" s="29"/>
      <c r="N1300" s="29" t="s">
        <v>8339</v>
      </c>
      <c r="O1300" s="29"/>
      <c r="P1300" s="29" t="s">
        <v>8340</v>
      </c>
      <c r="Q1300" t="s">
        <v>2038</v>
      </c>
      <c r="R1300" t="s">
        <v>2632</v>
      </c>
      <c r="S1300">
        <v>37</v>
      </c>
      <c r="T1300" s="43" t="str">
        <f>HYPERLINK("https://ictv.global/ictv/proposals/2021.082B.R.Tevens_new_families.zip","2021.082B.R.Tevens_new_families.zip")</f>
        <v>2021.082B.R.Tevens_new_families.zip</v>
      </c>
      <c r="U1300" s="43" t="str">
        <f>HYPERLINK("https://ictv.global/taxonomy/taxondetails?taxnode_id=202213960","ictv.global=202213960")</f>
        <v>ictv.global=202213960</v>
      </c>
    </row>
    <row r="1301" spans="1:21">
      <c r="A1301">
        <v>1300</v>
      </c>
      <c r="B1301" s="29" t="s">
        <v>3682</v>
      </c>
      <c r="C1301" s="29"/>
      <c r="D1301" s="29" t="s">
        <v>3683</v>
      </c>
      <c r="E1301" s="29"/>
      <c r="F1301" s="29" t="s">
        <v>3686</v>
      </c>
      <c r="G1301" s="29"/>
      <c r="H1301" s="29" t="s">
        <v>3687</v>
      </c>
      <c r="I1301" s="29"/>
      <c r="J1301" s="29"/>
      <c r="K1301" s="29"/>
      <c r="L1301" s="29" t="s">
        <v>8267</v>
      </c>
      <c r="M1301" s="29"/>
      <c r="N1301" s="29" t="s">
        <v>8341</v>
      </c>
      <c r="O1301" s="29"/>
      <c r="P1301" s="29" t="s">
        <v>8342</v>
      </c>
      <c r="Q1301" t="s">
        <v>2038</v>
      </c>
      <c r="R1301" t="s">
        <v>2632</v>
      </c>
      <c r="S1301">
        <v>38</v>
      </c>
      <c r="T1301" s="43" t="str">
        <f>HYPERLINK("https://ictv.global/ictv/proposals/2022.043B.Kyanoviridae_7ng.zip","2022.043B.Kyanoviridae_7ng.zip")</f>
        <v>2022.043B.Kyanoviridae_7ng.zip</v>
      </c>
      <c r="U1301" s="43" t="str">
        <f>HYPERLINK("https://ictv.global/taxonomy/taxondetails?taxnode_id=202214655","ictv.global=202214655")</f>
        <v>ictv.global=202214655</v>
      </c>
    </row>
    <row r="1302" spans="1:21">
      <c r="A1302">
        <v>1301</v>
      </c>
      <c r="B1302" s="29" t="s">
        <v>3682</v>
      </c>
      <c r="C1302" s="29"/>
      <c r="D1302" s="29" t="s">
        <v>3683</v>
      </c>
      <c r="E1302" s="29"/>
      <c r="F1302" s="29" t="s">
        <v>3686</v>
      </c>
      <c r="G1302" s="29"/>
      <c r="H1302" s="29" t="s">
        <v>3687</v>
      </c>
      <c r="I1302" s="29"/>
      <c r="J1302" s="29"/>
      <c r="K1302" s="29"/>
      <c r="L1302" s="29" t="s">
        <v>8267</v>
      </c>
      <c r="M1302" s="29"/>
      <c r="N1302" s="29" t="s">
        <v>8343</v>
      </c>
      <c r="O1302" s="29"/>
      <c r="P1302" s="29" t="s">
        <v>8344</v>
      </c>
      <c r="Q1302" t="s">
        <v>2038</v>
      </c>
      <c r="R1302" t="s">
        <v>2632</v>
      </c>
      <c r="S1302">
        <v>37</v>
      </c>
      <c r="T1302" s="43" t="str">
        <f>HYPERLINK("https://ictv.global/ictv/proposals/2021.082B.R.Tevens_new_families.zip","2021.082B.R.Tevens_new_families.zip")</f>
        <v>2021.082B.R.Tevens_new_families.zip</v>
      </c>
      <c r="U1302" s="43" t="str">
        <f>HYPERLINK("https://ictv.global/taxonomy/taxondetails?taxnode_id=202213989","ictv.global=202213989")</f>
        <v>ictv.global=202213989</v>
      </c>
    </row>
    <row r="1303" spans="1:21">
      <c r="A1303">
        <v>1302</v>
      </c>
      <c r="B1303" s="29" t="s">
        <v>3682</v>
      </c>
      <c r="C1303" s="29"/>
      <c r="D1303" s="29" t="s">
        <v>3683</v>
      </c>
      <c r="E1303" s="29"/>
      <c r="F1303" s="29" t="s">
        <v>3686</v>
      </c>
      <c r="G1303" s="29"/>
      <c r="H1303" s="29" t="s">
        <v>3687</v>
      </c>
      <c r="I1303" s="29"/>
      <c r="J1303" s="29"/>
      <c r="K1303" s="29"/>
      <c r="L1303" s="29" t="s">
        <v>8267</v>
      </c>
      <c r="M1303" s="29"/>
      <c r="N1303" s="29" t="s">
        <v>8343</v>
      </c>
      <c r="O1303" s="29"/>
      <c r="P1303" s="29" t="s">
        <v>8345</v>
      </c>
      <c r="Q1303" t="s">
        <v>2038</v>
      </c>
      <c r="R1303" t="s">
        <v>2632</v>
      </c>
      <c r="S1303">
        <v>37</v>
      </c>
      <c r="T1303" s="43" t="str">
        <f>HYPERLINK("https://ictv.global/ictv/proposals/2021.082B.R.Tevens_new_families.zip","2021.082B.R.Tevens_new_families.zip")</f>
        <v>2021.082B.R.Tevens_new_families.zip</v>
      </c>
      <c r="U1303" s="43" t="str">
        <f>HYPERLINK("https://ictv.global/taxonomy/taxondetails?taxnode_id=202213988","ictv.global=202213988")</f>
        <v>ictv.global=202213988</v>
      </c>
    </row>
    <row r="1304" spans="1:21">
      <c r="A1304">
        <v>1303</v>
      </c>
      <c r="B1304" s="29" t="s">
        <v>3682</v>
      </c>
      <c r="C1304" s="29"/>
      <c r="D1304" s="29" t="s">
        <v>3683</v>
      </c>
      <c r="E1304" s="29"/>
      <c r="F1304" s="29" t="s">
        <v>3686</v>
      </c>
      <c r="G1304" s="29"/>
      <c r="H1304" s="29" t="s">
        <v>3687</v>
      </c>
      <c r="I1304" s="29"/>
      <c r="J1304" s="29"/>
      <c r="K1304" s="29"/>
      <c r="L1304" s="29" t="s">
        <v>8267</v>
      </c>
      <c r="M1304" s="29"/>
      <c r="N1304" s="29" t="s">
        <v>8346</v>
      </c>
      <c r="O1304" s="29"/>
      <c r="P1304" s="29" t="s">
        <v>8347</v>
      </c>
      <c r="Q1304" t="s">
        <v>2038</v>
      </c>
      <c r="R1304" t="s">
        <v>2632</v>
      </c>
      <c r="S1304">
        <v>38</v>
      </c>
      <c r="T1304" s="43" t="str">
        <f>HYPERLINK("https://ictv.global/ictv/proposals/2022.077B.Kyanoviridae_1ng.zip","2022.077B.Kyanoviridae_1ng.zip")</f>
        <v>2022.077B.Kyanoviridae_1ng.zip</v>
      </c>
      <c r="U1304" s="43" t="str">
        <f>HYPERLINK("https://ictv.global/taxonomy/taxondetails?taxnode_id=202214852","ictv.global=202214852")</f>
        <v>ictv.global=202214852</v>
      </c>
    </row>
    <row r="1305" spans="1:21">
      <c r="A1305">
        <v>1304</v>
      </c>
      <c r="B1305" s="29" t="s">
        <v>3682</v>
      </c>
      <c r="C1305" s="29"/>
      <c r="D1305" s="29" t="s">
        <v>3683</v>
      </c>
      <c r="E1305" s="29"/>
      <c r="F1305" s="29" t="s">
        <v>3686</v>
      </c>
      <c r="G1305" s="29"/>
      <c r="H1305" s="29" t="s">
        <v>3687</v>
      </c>
      <c r="I1305" s="29"/>
      <c r="J1305" s="29"/>
      <c r="K1305" s="29"/>
      <c r="L1305" s="29" t="s">
        <v>8267</v>
      </c>
      <c r="M1305" s="29"/>
      <c r="N1305" s="29" t="s">
        <v>8348</v>
      </c>
      <c r="O1305" s="29"/>
      <c r="P1305" s="29" t="s">
        <v>8349</v>
      </c>
      <c r="Q1305" t="s">
        <v>2038</v>
      </c>
      <c r="R1305" t="s">
        <v>2632</v>
      </c>
      <c r="S1305">
        <v>37</v>
      </c>
      <c r="T1305" s="43" t="str">
        <f>HYPERLINK("https://ictv.global/ictv/proposals/2021.082B.R.Tevens_new_families.zip","2021.082B.R.Tevens_new_families.zip")</f>
        <v>2021.082B.R.Tevens_new_families.zip</v>
      </c>
      <c r="U1305" s="43" t="str">
        <f>HYPERLINK("https://ictv.global/taxonomy/taxondetails?taxnode_id=202213980","ictv.global=202213980")</f>
        <v>ictv.global=202213980</v>
      </c>
    </row>
    <row r="1306" spans="1:21">
      <c r="A1306">
        <v>1305</v>
      </c>
      <c r="B1306" s="29" t="s">
        <v>3682</v>
      </c>
      <c r="C1306" s="29"/>
      <c r="D1306" s="29" t="s">
        <v>3683</v>
      </c>
      <c r="E1306" s="29"/>
      <c r="F1306" s="29" t="s">
        <v>3686</v>
      </c>
      <c r="G1306" s="29"/>
      <c r="H1306" s="29" t="s">
        <v>3687</v>
      </c>
      <c r="I1306" s="29"/>
      <c r="J1306" s="29"/>
      <c r="K1306" s="29"/>
      <c r="L1306" s="29" t="s">
        <v>8267</v>
      </c>
      <c r="M1306" s="29"/>
      <c r="N1306" s="29" t="s">
        <v>3947</v>
      </c>
      <c r="O1306" s="29"/>
      <c r="P1306" s="29" t="s">
        <v>8350</v>
      </c>
      <c r="Q1306" t="s">
        <v>2038</v>
      </c>
      <c r="R1306" t="s">
        <v>2634</v>
      </c>
      <c r="S1306">
        <v>38</v>
      </c>
      <c r="T1306" s="43" t="str">
        <f>HYPERLINK("https://ictv.global/ictv/proposals/2022.043B.Kyanoviridae_7ng.zip","2022.043B.Kyanoviridae_7ng.zip")</f>
        <v>2022.043B.Kyanoviridae_7ng.zip</v>
      </c>
      <c r="U1306" s="43" t="str">
        <f>HYPERLINK("https://ictv.global/taxonomy/taxondetails?taxnode_id=202207762","ictv.global=202207762")</f>
        <v>ictv.global=202207762</v>
      </c>
    </row>
    <row r="1307" spans="1:21">
      <c r="A1307">
        <v>1306</v>
      </c>
      <c r="B1307" s="29" t="s">
        <v>3682</v>
      </c>
      <c r="C1307" s="29"/>
      <c r="D1307" s="29" t="s">
        <v>3683</v>
      </c>
      <c r="E1307" s="29"/>
      <c r="F1307" s="29" t="s">
        <v>3686</v>
      </c>
      <c r="G1307" s="29"/>
      <c r="H1307" s="29" t="s">
        <v>3687</v>
      </c>
      <c r="I1307" s="29"/>
      <c r="J1307" s="29"/>
      <c r="K1307" s="29"/>
      <c r="L1307" s="29" t="s">
        <v>8267</v>
      </c>
      <c r="M1307" s="29"/>
      <c r="N1307" s="29" t="s">
        <v>3949</v>
      </c>
      <c r="O1307" s="29"/>
      <c r="P1307" s="29" t="s">
        <v>8351</v>
      </c>
      <c r="Q1307" t="s">
        <v>2038</v>
      </c>
      <c r="R1307" t="s">
        <v>2633</v>
      </c>
      <c r="S1307">
        <v>37</v>
      </c>
      <c r="T1307" s="43" t="str">
        <f>HYPERLINK("https://ictv.global/ictv/proposals/2021.082B.R.Tevens_new_families.zip","2021.082B.R.Tevens_new_families.zip")</f>
        <v>2021.082B.R.Tevens_new_families.zip</v>
      </c>
      <c r="U1307" s="43" t="str">
        <f>HYPERLINK("https://ictv.global/taxonomy/taxondetails?taxnode_id=202207770","ictv.global=202207770")</f>
        <v>ictv.global=202207770</v>
      </c>
    </row>
    <row r="1308" spans="1:21">
      <c r="A1308">
        <v>1307</v>
      </c>
      <c r="B1308" s="29" t="s">
        <v>3682</v>
      </c>
      <c r="C1308" s="29"/>
      <c r="D1308" s="29" t="s">
        <v>3683</v>
      </c>
      <c r="E1308" s="29"/>
      <c r="F1308" s="29" t="s">
        <v>3686</v>
      </c>
      <c r="G1308" s="29"/>
      <c r="H1308" s="29" t="s">
        <v>3687</v>
      </c>
      <c r="I1308" s="29"/>
      <c r="J1308" s="29"/>
      <c r="K1308" s="29"/>
      <c r="L1308" s="29" t="s">
        <v>8267</v>
      </c>
      <c r="M1308" s="29"/>
      <c r="N1308" s="29" t="s">
        <v>3950</v>
      </c>
      <c r="O1308" s="29"/>
      <c r="P1308" s="29" t="s">
        <v>8352</v>
      </c>
      <c r="Q1308" t="s">
        <v>2038</v>
      </c>
      <c r="R1308" t="s">
        <v>2633</v>
      </c>
      <c r="S1308">
        <v>37</v>
      </c>
      <c r="T1308" s="43" t="str">
        <f>HYPERLINK("https://ictv.global/ictv/proposals/2021.082B.R.Tevens_new_families.zip","2021.082B.R.Tevens_new_families.zip")</f>
        <v>2021.082B.R.Tevens_new_families.zip</v>
      </c>
      <c r="U1308" s="43" t="str">
        <f>HYPERLINK("https://ictv.global/taxonomy/taxondetails?taxnode_id=202207809","ictv.global=202207809")</f>
        <v>ictv.global=202207809</v>
      </c>
    </row>
    <row r="1309" spans="1:21">
      <c r="A1309">
        <v>1308</v>
      </c>
      <c r="B1309" s="29" t="s">
        <v>3682</v>
      </c>
      <c r="C1309" s="29"/>
      <c r="D1309" s="29" t="s">
        <v>3683</v>
      </c>
      <c r="E1309" s="29"/>
      <c r="F1309" s="29" t="s">
        <v>3686</v>
      </c>
      <c r="G1309" s="29"/>
      <c r="H1309" s="29" t="s">
        <v>3687</v>
      </c>
      <c r="I1309" s="29"/>
      <c r="J1309" s="29"/>
      <c r="K1309" s="29"/>
      <c r="L1309" s="29" t="s">
        <v>8267</v>
      </c>
      <c r="M1309" s="29"/>
      <c r="N1309" s="29" t="s">
        <v>3951</v>
      </c>
      <c r="O1309" s="29"/>
      <c r="P1309" s="29" t="s">
        <v>8353</v>
      </c>
      <c r="Q1309" t="s">
        <v>2038</v>
      </c>
      <c r="R1309" t="s">
        <v>2633</v>
      </c>
      <c r="S1309">
        <v>37</v>
      </c>
      <c r="T1309" s="43" t="str">
        <f>HYPERLINK("https://ictv.global/ictv/proposals/2021.082B.R.Tevens_new_families.zip","2021.082B.R.Tevens_new_families.zip")</f>
        <v>2021.082B.R.Tevens_new_families.zip</v>
      </c>
      <c r="U1309" s="43" t="str">
        <f>HYPERLINK("https://ictv.global/taxonomy/taxondetails?taxnode_id=202207807","ictv.global=202207807")</f>
        <v>ictv.global=202207807</v>
      </c>
    </row>
    <row r="1310" spans="1:21">
      <c r="A1310">
        <v>1309</v>
      </c>
      <c r="B1310" s="29" t="s">
        <v>3682</v>
      </c>
      <c r="C1310" s="29"/>
      <c r="D1310" s="29" t="s">
        <v>3683</v>
      </c>
      <c r="E1310" s="29"/>
      <c r="F1310" s="29" t="s">
        <v>3686</v>
      </c>
      <c r="G1310" s="29"/>
      <c r="H1310" s="29" t="s">
        <v>3687</v>
      </c>
      <c r="I1310" s="29"/>
      <c r="J1310" s="29"/>
      <c r="K1310" s="29"/>
      <c r="L1310" s="29" t="s">
        <v>8267</v>
      </c>
      <c r="M1310" s="29"/>
      <c r="N1310" s="29" t="s">
        <v>3953</v>
      </c>
      <c r="O1310" s="29"/>
      <c r="P1310" s="29" t="s">
        <v>8354</v>
      </c>
      <c r="Q1310" t="s">
        <v>2038</v>
      </c>
      <c r="R1310" t="s">
        <v>2633</v>
      </c>
      <c r="S1310">
        <v>37</v>
      </c>
      <c r="T1310" s="43" t="str">
        <f>HYPERLINK("https://ictv.global/ictv/proposals/2021.082B.R.Tevens_new_families.zip","2021.082B.R.Tevens_new_families.zip")</f>
        <v>2021.082B.R.Tevens_new_families.zip</v>
      </c>
      <c r="U1310" s="43" t="str">
        <f>HYPERLINK("https://ictv.global/taxonomy/taxondetails?taxnode_id=202207819","ictv.global=202207819")</f>
        <v>ictv.global=202207819</v>
      </c>
    </row>
    <row r="1311" spans="1:21">
      <c r="A1311">
        <v>1310</v>
      </c>
      <c r="B1311" s="29" t="s">
        <v>3682</v>
      </c>
      <c r="C1311" s="29"/>
      <c r="D1311" s="29" t="s">
        <v>3683</v>
      </c>
      <c r="E1311" s="29"/>
      <c r="F1311" s="29" t="s">
        <v>3686</v>
      </c>
      <c r="G1311" s="29"/>
      <c r="H1311" s="29" t="s">
        <v>3687</v>
      </c>
      <c r="I1311" s="29"/>
      <c r="J1311" s="29"/>
      <c r="K1311" s="29"/>
      <c r="L1311" s="29" t="s">
        <v>8267</v>
      </c>
      <c r="M1311" s="29"/>
      <c r="N1311" s="29" t="s">
        <v>3953</v>
      </c>
      <c r="O1311" s="29"/>
      <c r="P1311" s="29" t="s">
        <v>8355</v>
      </c>
      <c r="Q1311" t="s">
        <v>2038</v>
      </c>
      <c r="R1311" t="s">
        <v>2633</v>
      </c>
      <c r="S1311">
        <v>37</v>
      </c>
      <c r="T1311" s="43" t="str">
        <f>HYPERLINK("https://ictv.global/ictv/proposals/2021.082B.R.Tevens_new_families.zip","2021.082B.R.Tevens_new_families.zip")</f>
        <v>2021.082B.R.Tevens_new_families.zip</v>
      </c>
      <c r="U1311" s="43" t="str">
        <f>HYPERLINK("https://ictv.global/taxonomy/taxondetails?taxnode_id=202207818","ictv.global=202207818")</f>
        <v>ictv.global=202207818</v>
      </c>
    </row>
    <row r="1312" spans="1:21">
      <c r="A1312">
        <v>1311</v>
      </c>
      <c r="B1312" s="29" t="s">
        <v>3682</v>
      </c>
      <c r="C1312" s="29"/>
      <c r="D1312" s="29" t="s">
        <v>3683</v>
      </c>
      <c r="E1312" s="29"/>
      <c r="F1312" s="29" t="s">
        <v>3686</v>
      </c>
      <c r="G1312" s="29"/>
      <c r="H1312" s="29" t="s">
        <v>3687</v>
      </c>
      <c r="I1312" s="29"/>
      <c r="J1312" s="29"/>
      <c r="K1312" s="29"/>
      <c r="L1312" s="29" t="s">
        <v>8267</v>
      </c>
      <c r="M1312" s="29"/>
      <c r="N1312" s="29" t="s">
        <v>8356</v>
      </c>
      <c r="O1312" s="29"/>
      <c r="P1312" s="29" t="s">
        <v>8357</v>
      </c>
      <c r="Q1312" t="s">
        <v>2038</v>
      </c>
      <c r="R1312" t="s">
        <v>2632</v>
      </c>
      <c r="S1312">
        <v>38</v>
      </c>
      <c r="T1312" s="43" t="str">
        <f>HYPERLINK("https://ictv.global/ictv/proposals/2022.043B.Kyanoviridae_7ng.zip","2022.043B.Kyanoviridae_7ng.zip")</f>
        <v>2022.043B.Kyanoviridae_7ng.zip</v>
      </c>
      <c r="U1312" s="43" t="str">
        <f>HYPERLINK("https://ictv.global/taxonomy/taxondetails?taxnode_id=202214656","ictv.global=202214656")</f>
        <v>ictv.global=202214656</v>
      </c>
    </row>
    <row r="1313" spans="1:21">
      <c r="A1313">
        <v>1312</v>
      </c>
      <c r="B1313" s="29" t="s">
        <v>3682</v>
      </c>
      <c r="C1313" s="29"/>
      <c r="D1313" s="29" t="s">
        <v>3683</v>
      </c>
      <c r="E1313" s="29"/>
      <c r="F1313" s="29" t="s">
        <v>3686</v>
      </c>
      <c r="G1313" s="29"/>
      <c r="H1313" s="29" t="s">
        <v>3687</v>
      </c>
      <c r="I1313" s="29"/>
      <c r="J1313" s="29"/>
      <c r="K1313" s="29"/>
      <c r="L1313" s="29" t="s">
        <v>8267</v>
      </c>
      <c r="M1313" s="29"/>
      <c r="N1313" s="29" t="s">
        <v>8358</v>
      </c>
      <c r="O1313" s="29"/>
      <c r="P1313" s="29" t="s">
        <v>8359</v>
      </c>
      <c r="Q1313" t="s">
        <v>2038</v>
      </c>
      <c r="R1313" t="s">
        <v>2632</v>
      </c>
      <c r="S1313">
        <v>38</v>
      </c>
      <c r="T1313" s="43" t="str">
        <f>HYPERLINK("https://ictv.global/ictv/proposals/2022.043B.Kyanoviridae_7ng.zip","2022.043B.Kyanoviridae_7ng.zip")</f>
        <v>2022.043B.Kyanoviridae_7ng.zip</v>
      </c>
      <c r="U1313" s="43" t="str">
        <f>HYPERLINK("https://ictv.global/taxonomy/taxondetails?taxnode_id=202214652","ictv.global=202214652")</f>
        <v>ictv.global=202214652</v>
      </c>
    </row>
    <row r="1314" spans="1:21">
      <c r="A1314">
        <v>1313</v>
      </c>
      <c r="B1314" s="29" t="s">
        <v>3682</v>
      </c>
      <c r="C1314" s="29"/>
      <c r="D1314" s="29" t="s">
        <v>3683</v>
      </c>
      <c r="E1314" s="29"/>
      <c r="F1314" s="29" t="s">
        <v>3686</v>
      </c>
      <c r="G1314" s="29"/>
      <c r="H1314" s="29" t="s">
        <v>3687</v>
      </c>
      <c r="I1314" s="29"/>
      <c r="J1314" s="29"/>
      <c r="K1314" s="29"/>
      <c r="L1314" s="29" t="s">
        <v>8267</v>
      </c>
      <c r="M1314" s="29"/>
      <c r="N1314" s="29" t="s">
        <v>8360</v>
      </c>
      <c r="O1314" s="29"/>
      <c r="P1314" s="29" t="s">
        <v>8361</v>
      </c>
      <c r="Q1314" t="s">
        <v>2038</v>
      </c>
      <c r="R1314" t="s">
        <v>2632</v>
      </c>
      <c r="S1314">
        <v>38</v>
      </c>
      <c r="T1314" s="43" t="str">
        <f>HYPERLINK("https://ictv.global/ictv/proposals/2022.043B.Kyanoviridae_7ng.zip","2022.043B.Kyanoviridae_7ng.zip")</f>
        <v>2022.043B.Kyanoviridae_7ng.zip</v>
      </c>
      <c r="U1314" s="43" t="str">
        <f>HYPERLINK("https://ictv.global/taxonomy/taxondetails?taxnode_id=202214654","ictv.global=202214654")</f>
        <v>ictv.global=202214654</v>
      </c>
    </row>
    <row r="1315" spans="1:21">
      <c r="A1315">
        <v>1314</v>
      </c>
      <c r="B1315" s="29" t="s">
        <v>3682</v>
      </c>
      <c r="C1315" s="29"/>
      <c r="D1315" s="29" t="s">
        <v>3683</v>
      </c>
      <c r="E1315" s="29"/>
      <c r="F1315" s="29" t="s">
        <v>3686</v>
      </c>
      <c r="G1315" s="29"/>
      <c r="H1315" s="29" t="s">
        <v>3687</v>
      </c>
      <c r="I1315" s="29"/>
      <c r="J1315" s="29"/>
      <c r="K1315" s="29"/>
      <c r="L1315" s="29" t="s">
        <v>8362</v>
      </c>
      <c r="M1315" s="29"/>
      <c r="N1315" s="29" t="s">
        <v>8363</v>
      </c>
      <c r="O1315" s="29"/>
      <c r="P1315" s="29" t="s">
        <v>8364</v>
      </c>
      <c r="Q1315" t="s">
        <v>2038</v>
      </c>
      <c r="R1315" t="s">
        <v>2632</v>
      </c>
      <c r="S1315">
        <v>37</v>
      </c>
      <c r="T1315" s="43" t="str">
        <f>HYPERLINK("https://ictv.global/ictv/proposals/2021.001A.R.Archaeal_Caudoviricetes.zip","2021.001A.R.Archaeal_Caudoviricetes.zip")</f>
        <v>2021.001A.R.Archaeal_Caudoviricetes.zip</v>
      </c>
      <c r="U1315" s="43" t="str">
        <f>HYPERLINK("https://ictv.global/taxonomy/taxondetails?taxnode_id=202212179","ictv.global=202212179")</f>
        <v>ictv.global=202212179</v>
      </c>
    </row>
    <row r="1316" spans="1:21">
      <c r="A1316">
        <v>1315</v>
      </c>
      <c r="B1316" s="29" t="s">
        <v>3682</v>
      </c>
      <c r="C1316" s="29"/>
      <c r="D1316" s="29" t="s">
        <v>3683</v>
      </c>
      <c r="E1316" s="29"/>
      <c r="F1316" s="29" t="s">
        <v>3686</v>
      </c>
      <c r="G1316" s="29"/>
      <c r="H1316" s="29" t="s">
        <v>3687</v>
      </c>
      <c r="I1316" s="29"/>
      <c r="J1316" s="29"/>
      <c r="K1316" s="29"/>
      <c r="L1316" s="29" t="s">
        <v>8365</v>
      </c>
      <c r="M1316" s="29" t="s">
        <v>8366</v>
      </c>
      <c r="N1316" s="29" t="s">
        <v>3501</v>
      </c>
      <c r="O1316" s="29"/>
      <c r="P1316" s="29" t="s">
        <v>8367</v>
      </c>
      <c r="Q1316" t="s">
        <v>2038</v>
      </c>
      <c r="R1316" t="s">
        <v>2632</v>
      </c>
      <c r="S1316">
        <v>37</v>
      </c>
      <c r="T1316" s="43" t="str">
        <f>HYPERLINK("https://ictv.global/ictv/proposals/2021.051B.R.Mesyanzhinovviridae.zip","2021.051B.R.Mesyanzhinovviridae.zip")</f>
        <v>2021.051B.R.Mesyanzhinovviridae.zip</v>
      </c>
      <c r="U1316" s="43" t="str">
        <f>HYPERLINK("https://ictv.global/taxonomy/taxondetails?taxnode_id=202212412","ictv.global=202212412")</f>
        <v>ictv.global=202212412</v>
      </c>
    </row>
    <row r="1317" spans="1:21">
      <c r="A1317">
        <v>1316</v>
      </c>
      <c r="B1317" s="29" t="s">
        <v>3682</v>
      </c>
      <c r="C1317" s="29"/>
      <c r="D1317" s="29" t="s">
        <v>3683</v>
      </c>
      <c r="E1317" s="29"/>
      <c r="F1317" s="29" t="s">
        <v>3686</v>
      </c>
      <c r="G1317" s="29"/>
      <c r="H1317" s="29" t="s">
        <v>3687</v>
      </c>
      <c r="I1317" s="29"/>
      <c r="J1317" s="29"/>
      <c r="K1317" s="29"/>
      <c r="L1317" s="29" t="s">
        <v>8365</v>
      </c>
      <c r="M1317" s="29" t="s">
        <v>8366</v>
      </c>
      <c r="N1317" s="29" t="s">
        <v>3501</v>
      </c>
      <c r="O1317" s="29"/>
      <c r="P1317" s="29" t="s">
        <v>2423</v>
      </c>
      <c r="Q1317" t="s">
        <v>2038</v>
      </c>
      <c r="R1317" t="s">
        <v>2634</v>
      </c>
      <c r="S1317">
        <v>37</v>
      </c>
      <c r="T1317" s="43" t="str">
        <f>HYPERLINK("https://ictv.global/ictv/proposals/2021.001B.R.abolish_Caudovirales.zip","2021.001B.R.abolish_Caudovirales.zip;2021.051B.A.v1.Mesyanzhinovviridae.zip")</f>
        <v>2021.001B.R.abolish_Caudovirales.zip;2021.051B.A.v1.Mesyanzhinovviridae.zip</v>
      </c>
      <c r="U1317" s="43" t="str">
        <f>HYPERLINK("https://ictv.global/taxonomy/taxondetails?taxnode_id=202200839","ictv.global=202200839")</f>
        <v>ictv.global=202200839</v>
      </c>
    </row>
    <row r="1318" spans="1:21">
      <c r="A1318">
        <v>1317</v>
      </c>
      <c r="B1318" s="29" t="s">
        <v>3682</v>
      </c>
      <c r="C1318" s="29"/>
      <c r="D1318" s="29" t="s">
        <v>3683</v>
      </c>
      <c r="E1318" s="29"/>
      <c r="F1318" s="29" t="s">
        <v>3686</v>
      </c>
      <c r="G1318" s="29"/>
      <c r="H1318" s="29" t="s">
        <v>3687</v>
      </c>
      <c r="I1318" s="29"/>
      <c r="J1318" s="29"/>
      <c r="K1318" s="29"/>
      <c r="L1318" s="29" t="s">
        <v>8365</v>
      </c>
      <c r="M1318" s="29" t="s">
        <v>8366</v>
      </c>
      <c r="N1318" s="29" t="s">
        <v>3501</v>
      </c>
      <c r="O1318" s="29"/>
      <c r="P1318" s="29" t="s">
        <v>2424</v>
      </c>
      <c r="Q1318" t="s">
        <v>2038</v>
      </c>
      <c r="R1318" t="s">
        <v>2634</v>
      </c>
      <c r="S1318">
        <v>37</v>
      </c>
      <c r="T1318" s="43" t="str">
        <f>HYPERLINK("https://ictv.global/ictv/proposals/2021.001B.R.abolish_Caudovirales.zip","2021.001B.R.abolish_Caudovirales.zip;2021.051B.A.v1.Mesyanzhinovviridae.zip")</f>
        <v>2021.001B.R.abolish_Caudovirales.zip;2021.051B.A.v1.Mesyanzhinovviridae.zip</v>
      </c>
      <c r="U1318" s="43" t="str">
        <f>HYPERLINK("https://ictv.global/taxonomy/taxondetails?taxnode_id=202200840","ictv.global=202200840")</f>
        <v>ictv.global=202200840</v>
      </c>
    </row>
    <row r="1319" spans="1:21">
      <c r="A1319">
        <v>1318</v>
      </c>
      <c r="B1319" s="29" t="s">
        <v>3682</v>
      </c>
      <c r="C1319" s="29"/>
      <c r="D1319" s="29" t="s">
        <v>3683</v>
      </c>
      <c r="E1319" s="29"/>
      <c r="F1319" s="29" t="s">
        <v>3686</v>
      </c>
      <c r="G1319" s="29"/>
      <c r="H1319" s="29" t="s">
        <v>3687</v>
      </c>
      <c r="I1319" s="29"/>
      <c r="J1319" s="29"/>
      <c r="K1319" s="29"/>
      <c r="L1319" s="29" t="s">
        <v>8365</v>
      </c>
      <c r="M1319" s="29" t="s">
        <v>8366</v>
      </c>
      <c r="N1319" s="29" t="s">
        <v>3501</v>
      </c>
      <c r="O1319" s="29"/>
      <c r="P1319" s="29" t="s">
        <v>2425</v>
      </c>
      <c r="Q1319" t="s">
        <v>2038</v>
      </c>
      <c r="R1319" t="s">
        <v>2634</v>
      </c>
      <c r="S1319">
        <v>37</v>
      </c>
      <c r="T1319" s="43" t="str">
        <f>HYPERLINK("https://ictv.global/ictv/proposals/2021.001B.R.abolish_Caudovirales.zip","2021.001B.R.abolish_Caudovirales.zip;2021.051B.A.v1.Mesyanzhinovviridae.zip")</f>
        <v>2021.001B.R.abolish_Caudovirales.zip;2021.051B.A.v1.Mesyanzhinovviridae.zip</v>
      </c>
      <c r="U1319" s="43" t="str">
        <f>HYPERLINK("https://ictv.global/taxonomy/taxondetails?taxnode_id=202200841","ictv.global=202200841")</f>
        <v>ictv.global=202200841</v>
      </c>
    </row>
    <row r="1320" spans="1:21">
      <c r="A1320">
        <v>1319</v>
      </c>
      <c r="B1320" s="29" t="s">
        <v>3682</v>
      </c>
      <c r="C1320" s="29"/>
      <c r="D1320" s="29" t="s">
        <v>3683</v>
      </c>
      <c r="E1320" s="29"/>
      <c r="F1320" s="29" t="s">
        <v>3686</v>
      </c>
      <c r="G1320" s="29"/>
      <c r="H1320" s="29" t="s">
        <v>3687</v>
      </c>
      <c r="I1320" s="29"/>
      <c r="J1320" s="29"/>
      <c r="K1320" s="29"/>
      <c r="L1320" s="29" t="s">
        <v>8365</v>
      </c>
      <c r="M1320" s="29" t="s">
        <v>8366</v>
      </c>
      <c r="N1320" s="29" t="s">
        <v>8368</v>
      </c>
      <c r="O1320" s="29"/>
      <c r="P1320" s="29" t="s">
        <v>8369</v>
      </c>
      <c r="Q1320" t="s">
        <v>2038</v>
      </c>
      <c r="R1320" t="s">
        <v>2632</v>
      </c>
      <c r="S1320">
        <v>37</v>
      </c>
      <c r="T1320" s="43" t="str">
        <f>HYPERLINK("https://ictv.global/ictv/proposals/2021.051B.R.Mesyanzhinovviridae.zip","2021.051B.R.Mesyanzhinovviridae.zip")</f>
        <v>2021.051B.R.Mesyanzhinovviridae.zip</v>
      </c>
      <c r="U1320" s="43" t="str">
        <f>HYPERLINK("https://ictv.global/taxonomy/taxondetails?taxnode_id=202212416","ictv.global=202212416")</f>
        <v>ictv.global=202212416</v>
      </c>
    </row>
    <row r="1321" spans="1:21">
      <c r="A1321">
        <v>1320</v>
      </c>
      <c r="B1321" s="29" t="s">
        <v>3682</v>
      </c>
      <c r="C1321" s="29"/>
      <c r="D1321" s="29" t="s">
        <v>3683</v>
      </c>
      <c r="E1321" s="29"/>
      <c r="F1321" s="29" t="s">
        <v>3686</v>
      </c>
      <c r="G1321" s="29"/>
      <c r="H1321" s="29" t="s">
        <v>3687</v>
      </c>
      <c r="I1321" s="29"/>
      <c r="J1321" s="29"/>
      <c r="K1321" s="29"/>
      <c r="L1321" s="29" t="s">
        <v>8365</v>
      </c>
      <c r="M1321" s="29" t="s">
        <v>8366</v>
      </c>
      <c r="N1321" s="29" t="s">
        <v>8370</v>
      </c>
      <c r="O1321" s="29"/>
      <c r="P1321" s="29" t="s">
        <v>8371</v>
      </c>
      <c r="Q1321" t="s">
        <v>2038</v>
      </c>
      <c r="R1321" t="s">
        <v>2632</v>
      </c>
      <c r="S1321">
        <v>37</v>
      </c>
      <c r="T1321" s="43" t="str">
        <f>HYPERLINK("https://ictv.global/ictv/proposals/2021.051B.R.Mesyanzhinovviridae.zip","2021.051B.R.Mesyanzhinovviridae.zip")</f>
        <v>2021.051B.R.Mesyanzhinovviridae.zip</v>
      </c>
      <c r="U1321" s="43" t="str">
        <f>HYPERLINK("https://ictv.global/taxonomy/taxondetails?taxnode_id=202212411","ictv.global=202212411")</f>
        <v>ictv.global=202212411</v>
      </c>
    </row>
    <row r="1322" spans="1:21">
      <c r="A1322">
        <v>1321</v>
      </c>
      <c r="B1322" s="29" t="s">
        <v>3682</v>
      </c>
      <c r="C1322" s="29"/>
      <c r="D1322" s="29" t="s">
        <v>3683</v>
      </c>
      <c r="E1322" s="29"/>
      <c r="F1322" s="29" t="s">
        <v>3686</v>
      </c>
      <c r="G1322" s="29"/>
      <c r="H1322" s="29" t="s">
        <v>3687</v>
      </c>
      <c r="I1322" s="29"/>
      <c r="J1322" s="29"/>
      <c r="K1322" s="29"/>
      <c r="L1322" s="29" t="s">
        <v>8365</v>
      </c>
      <c r="M1322" s="29" t="s">
        <v>8366</v>
      </c>
      <c r="N1322" s="29" t="s">
        <v>8372</v>
      </c>
      <c r="O1322" s="29"/>
      <c r="P1322" s="29" t="s">
        <v>8373</v>
      </c>
      <c r="Q1322" t="s">
        <v>2038</v>
      </c>
      <c r="R1322" t="s">
        <v>2632</v>
      </c>
      <c r="S1322">
        <v>37</v>
      </c>
      <c r="T1322" s="43" t="str">
        <f>HYPERLINK("https://ictv.global/ictv/proposals/2021.051B.R.Mesyanzhinovviridae.zip","2021.051B.R.Mesyanzhinovviridae.zip")</f>
        <v>2021.051B.R.Mesyanzhinovviridae.zip</v>
      </c>
      <c r="U1322" s="43" t="str">
        <f>HYPERLINK("https://ictv.global/taxonomy/taxondetails?taxnode_id=202212414","ictv.global=202212414")</f>
        <v>ictv.global=202212414</v>
      </c>
    </row>
    <row r="1323" spans="1:21">
      <c r="A1323">
        <v>1322</v>
      </c>
      <c r="B1323" s="29" t="s">
        <v>3682</v>
      </c>
      <c r="C1323" s="29"/>
      <c r="D1323" s="29" t="s">
        <v>3683</v>
      </c>
      <c r="E1323" s="29"/>
      <c r="F1323" s="29" t="s">
        <v>3686</v>
      </c>
      <c r="G1323" s="29"/>
      <c r="H1323" s="29" t="s">
        <v>3687</v>
      </c>
      <c r="I1323" s="29"/>
      <c r="J1323" s="29"/>
      <c r="K1323" s="29"/>
      <c r="L1323" s="29" t="s">
        <v>8365</v>
      </c>
      <c r="M1323" s="29" t="s">
        <v>8374</v>
      </c>
      <c r="N1323" s="29" t="s">
        <v>4046</v>
      </c>
      <c r="O1323" s="29"/>
      <c r="P1323" s="29" t="s">
        <v>4047</v>
      </c>
      <c r="Q1323" t="s">
        <v>2038</v>
      </c>
      <c r="R1323" t="s">
        <v>2634</v>
      </c>
      <c r="S1323">
        <v>37</v>
      </c>
      <c r="T1323" s="43" t="str">
        <f t="shared" ref="T1323:T1331" si="57">HYPERLINK("https://ictv.global/ictv/proposals/2021.001B.R.abolish_Caudovirales.zip","2021.001B.R.abolish_Caudovirales.zip;2021.051B.A.v1.Mesyanzhinovviridae.zip")</f>
        <v>2021.001B.R.abolish_Caudovirales.zip;2021.051B.A.v1.Mesyanzhinovviridae.zip</v>
      </c>
      <c r="U1323" s="43" t="str">
        <f>HYPERLINK("https://ictv.global/taxonomy/taxondetails?taxnode_id=202208070","ictv.global=202208070")</f>
        <v>ictv.global=202208070</v>
      </c>
    </row>
    <row r="1324" spans="1:21">
      <c r="A1324">
        <v>1323</v>
      </c>
      <c r="B1324" s="29" t="s">
        <v>3682</v>
      </c>
      <c r="C1324" s="29"/>
      <c r="D1324" s="29" t="s">
        <v>3683</v>
      </c>
      <c r="E1324" s="29"/>
      <c r="F1324" s="29" t="s">
        <v>3686</v>
      </c>
      <c r="G1324" s="29"/>
      <c r="H1324" s="29" t="s">
        <v>3687</v>
      </c>
      <c r="I1324" s="29"/>
      <c r="J1324" s="29"/>
      <c r="K1324" s="29"/>
      <c r="L1324" s="29" t="s">
        <v>8365</v>
      </c>
      <c r="M1324" s="29" t="s">
        <v>8374</v>
      </c>
      <c r="N1324" s="29" t="s">
        <v>4046</v>
      </c>
      <c r="O1324" s="29"/>
      <c r="P1324" s="29" t="s">
        <v>4048</v>
      </c>
      <c r="Q1324" t="s">
        <v>2038</v>
      </c>
      <c r="R1324" t="s">
        <v>2634</v>
      </c>
      <c r="S1324">
        <v>37</v>
      </c>
      <c r="T1324" s="43" t="str">
        <f t="shared" si="57"/>
        <v>2021.001B.R.abolish_Caudovirales.zip;2021.051B.A.v1.Mesyanzhinovviridae.zip</v>
      </c>
      <c r="U1324" s="43" t="str">
        <f>HYPERLINK("https://ictv.global/taxonomy/taxondetails?taxnode_id=202208067","ictv.global=202208067")</f>
        <v>ictv.global=202208067</v>
      </c>
    </row>
    <row r="1325" spans="1:21">
      <c r="A1325">
        <v>1324</v>
      </c>
      <c r="B1325" s="29" t="s">
        <v>3682</v>
      </c>
      <c r="C1325" s="29"/>
      <c r="D1325" s="29" t="s">
        <v>3683</v>
      </c>
      <c r="E1325" s="29"/>
      <c r="F1325" s="29" t="s">
        <v>3686</v>
      </c>
      <c r="G1325" s="29"/>
      <c r="H1325" s="29" t="s">
        <v>3687</v>
      </c>
      <c r="I1325" s="29"/>
      <c r="J1325" s="29"/>
      <c r="K1325" s="29"/>
      <c r="L1325" s="29" t="s">
        <v>8365</v>
      </c>
      <c r="M1325" s="29" t="s">
        <v>8374</v>
      </c>
      <c r="N1325" s="29" t="s">
        <v>4046</v>
      </c>
      <c r="O1325" s="29"/>
      <c r="P1325" s="29" t="s">
        <v>4049</v>
      </c>
      <c r="Q1325" t="s">
        <v>2038</v>
      </c>
      <c r="R1325" t="s">
        <v>2634</v>
      </c>
      <c r="S1325">
        <v>37</v>
      </c>
      <c r="T1325" s="43" t="str">
        <f t="shared" si="57"/>
        <v>2021.001B.R.abolish_Caudovirales.zip;2021.051B.A.v1.Mesyanzhinovviridae.zip</v>
      </c>
      <c r="U1325" s="43" t="str">
        <f>HYPERLINK("https://ictv.global/taxonomy/taxondetails?taxnode_id=202208068","ictv.global=202208068")</f>
        <v>ictv.global=202208068</v>
      </c>
    </row>
    <row r="1326" spans="1:21">
      <c r="A1326">
        <v>1325</v>
      </c>
      <c r="B1326" s="29" t="s">
        <v>3682</v>
      </c>
      <c r="C1326" s="29"/>
      <c r="D1326" s="29" t="s">
        <v>3683</v>
      </c>
      <c r="E1326" s="29"/>
      <c r="F1326" s="29" t="s">
        <v>3686</v>
      </c>
      <c r="G1326" s="29"/>
      <c r="H1326" s="29" t="s">
        <v>3687</v>
      </c>
      <c r="I1326" s="29"/>
      <c r="J1326" s="29"/>
      <c r="K1326" s="29"/>
      <c r="L1326" s="29" t="s">
        <v>8365</v>
      </c>
      <c r="M1326" s="29" t="s">
        <v>8374</v>
      </c>
      <c r="N1326" s="29" t="s">
        <v>4046</v>
      </c>
      <c r="O1326" s="29"/>
      <c r="P1326" s="29" t="s">
        <v>4050</v>
      </c>
      <c r="Q1326" t="s">
        <v>2038</v>
      </c>
      <c r="R1326" t="s">
        <v>2634</v>
      </c>
      <c r="S1326">
        <v>37</v>
      </c>
      <c r="T1326" s="43" t="str">
        <f t="shared" si="57"/>
        <v>2021.001B.R.abolish_Caudovirales.zip;2021.051B.A.v1.Mesyanzhinovviridae.zip</v>
      </c>
      <c r="U1326" s="43" t="str">
        <f>HYPERLINK("https://ictv.global/taxonomy/taxondetails?taxnode_id=202208069","ictv.global=202208069")</f>
        <v>ictv.global=202208069</v>
      </c>
    </row>
    <row r="1327" spans="1:21">
      <c r="A1327">
        <v>1326</v>
      </c>
      <c r="B1327" s="29" t="s">
        <v>3682</v>
      </c>
      <c r="C1327" s="29"/>
      <c r="D1327" s="29" t="s">
        <v>3683</v>
      </c>
      <c r="E1327" s="29"/>
      <c r="F1327" s="29" t="s">
        <v>3686</v>
      </c>
      <c r="G1327" s="29"/>
      <c r="H1327" s="29" t="s">
        <v>3687</v>
      </c>
      <c r="I1327" s="29"/>
      <c r="J1327" s="29"/>
      <c r="K1327" s="29"/>
      <c r="L1327" s="29" t="s">
        <v>8365</v>
      </c>
      <c r="M1327" s="29" t="s">
        <v>8374</v>
      </c>
      <c r="N1327" s="29" t="s">
        <v>2128</v>
      </c>
      <c r="O1327" s="29"/>
      <c r="P1327" s="29" t="s">
        <v>2451</v>
      </c>
      <c r="Q1327" t="s">
        <v>2038</v>
      </c>
      <c r="R1327" t="s">
        <v>2634</v>
      </c>
      <c r="S1327">
        <v>37</v>
      </c>
      <c r="T1327" s="43" t="str">
        <f t="shared" si="57"/>
        <v>2021.001B.R.abolish_Caudovirales.zip;2021.051B.A.v1.Mesyanzhinovviridae.zip</v>
      </c>
      <c r="U1327" s="43" t="str">
        <f>HYPERLINK("https://ictv.global/taxonomy/taxondetails?taxnode_id=202201387","ictv.global=202201387")</f>
        <v>ictv.global=202201387</v>
      </c>
    </row>
    <row r="1328" spans="1:21">
      <c r="A1328">
        <v>1327</v>
      </c>
      <c r="B1328" s="29" t="s">
        <v>3682</v>
      </c>
      <c r="C1328" s="29"/>
      <c r="D1328" s="29" t="s">
        <v>3683</v>
      </c>
      <c r="E1328" s="29"/>
      <c r="F1328" s="29" t="s">
        <v>3686</v>
      </c>
      <c r="G1328" s="29"/>
      <c r="H1328" s="29" t="s">
        <v>3687</v>
      </c>
      <c r="I1328" s="29"/>
      <c r="J1328" s="29"/>
      <c r="K1328" s="29"/>
      <c r="L1328" s="29" t="s">
        <v>8365</v>
      </c>
      <c r="M1328" s="29" t="s">
        <v>8374</v>
      </c>
      <c r="N1328" s="29" t="s">
        <v>2128</v>
      </c>
      <c r="O1328" s="29"/>
      <c r="P1328" s="29" t="s">
        <v>2129</v>
      </c>
      <c r="Q1328" t="s">
        <v>2038</v>
      </c>
      <c r="R1328" t="s">
        <v>2634</v>
      </c>
      <c r="S1328">
        <v>37</v>
      </c>
      <c r="T1328" s="43" t="str">
        <f t="shared" si="57"/>
        <v>2021.001B.R.abolish_Caudovirales.zip;2021.051B.A.v1.Mesyanzhinovviridae.zip</v>
      </c>
      <c r="U1328" s="43" t="str">
        <f>HYPERLINK("https://ictv.global/taxonomy/taxondetails?taxnode_id=202201388","ictv.global=202201388")</f>
        <v>ictv.global=202201388</v>
      </c>
    </row>
    <row r="1329" spans="1:21">
      <c r="A1329">
        <v>1328</v>
      </c>
      <c r="B1329" s="29" t="s">
        <v>3682</v>
      </c>
      <c r="C1329" s="29"/>
      <c r="D1329" s="29" t="s">
        <v>3683</v>
      </c>
      <c r="E1329" s="29"/>
      <c r="F1329" s="29" t="s">
        <v>3686</v>
      </c>
      <c r="G1329" s="29"/>
      <c r="H1329" s="29" t="s">
        <v>3687</v>
      </c>
      <c r="I1329" s="29"/>
      <c r="J1329" s="29"/>
      <c r="K1329" s="29"/>
      <c r="L1329" s="29" t="s">
        <v>8365</v>
      </c>
      <c r="M1329" s="29" t="s">
        <v>8374</v>
      </c>
      <c r="N1329" s="29" t="s">
        <v>2128</v>
      </c>
      <c r="O1329" s="29"/>
      <c r="P1329" s="29" t="s">
        <v>2452</v>
      </c>
      <c r="Q1329" t="s">
        <v>2038</v>
      </c>
      <c r="R1329" t="s">
        <v>2634</v>
      </c>
      <c r="S1329">
        <v>37</v>
      </c>
      <c r="T1329" s="43" t="str">
        <f t="shared" si="57"/>
        <v>2021.001B.R.abolish_Caudovirales.zip;2021.051B.A.v1.Mesyanzhinovviridae.zip</v>
      </c>
      <c r="U1329" s="43" t="str">
        <f>HYPERLINK("https://ictv.global/taxonomy/taxondetails?taxnode_id=202201389","ictv.global=202201389")</f>
        <v>ictv.global=202201389</v>
      </c>
    </row>
    <row r="1330" spans="1:21">
      <c r="A1330">
        <v>1329</v>
      </c>
      <c r="B1330" s="29" t="s">
        <v>3682</v>
      </c>
      <c r="C1330" s="29"/>
      <c r="D1330" s="29" t="s">
        <v>3683</v>
      </c>
      <c r="E1330" s="29"/>
      <c r="F1330" s="29" t="s">
        <v>3686</v>
      </c>
      <c r="G1330" s="29"/>
      <c r="H1330" s="29" t="s">
        <v>3687</v>
      </c>
      <c r="I1330" s="29"/>
      <c r="J1330" s="29"/>
      <c r="K1330" s="29"/>
      <c r="L1330" s="29" t="s">
        <v>8365</v>
      </c>
      <c r="M1330" s="29" t="s">
        <v>8374</v>
      </c>
      <c r="N1330" s="29" t="s">
        <v>2128</v>
      </c>
      <c r="O1330" s="29"/>
      <c r="P1330" s="29" t="s">
        <v>2453</v>
      </c>
      <c r="Q1330" t="s">
        <v>2038</v>
      </c>
      <c r="R1330" t="s">
        <v>2634</v>
      </c>
      <c r="S1330">
        <v>37</v>
      </c>
      <c r="T1330" s="43" t="str">
        <f t="shared" si="57"/>
        <v>2021.001B.R.abolish_Caudovirales.zip;2021.051B.A.v1.Mesyanzhinovviridae.zip</v>
      </c>
      <c r="U1330" s="43" t="str">
        <f>HYPERLINK("https://ictv.global/taxonomy/taxondetails?taxnode_id=202201390","ictv.global=202201390")</f>
        <v>ictv.global=202201390</v>
      </c>
    </row>
    <row r="1331" spans="1:21">
      <c r="A1331">
        <v>1330</v>
      </c>
      <c r="B1331" s="29" t="s">
        <v>3682</v>
      </c>
      <c r="C1331" s="29"/>
      <c r="D1331" s="29" t="s">
        <v>3683</v>
      </c>
      <c r="E1331" s="29"/>
      <c r="F1331" s="29" t="s">
        <v>3686</v>
      </c>
      <c r="G1331" s="29"/>
      <c r="H1331" s="29" t="s">
        <v>3687</v>
      </c>
      <c r="I1331" s="29"/>
      <c r="J1331" s="29"/>
      <c r="K1331" s="29"/>
      <c r="L1331" s="29" t="s">
        <v>8365</v>
      </c>
      <c r="M1331" s="29" t="s">
        <v>8374</v>
      </c>
      <c r="N1331" s="29" t="s">
        <v>2128</v>
      </c>
      <c r="O1331" s="29"/>
      <c r="P1331" s="29" t="s">
        <v>2130</v>
      </c>
      <c r="Q1331" t="s">
        <v>2038</v>
      </c>
      <c r="R1331" t="s">
        <v>2634</v>
      </c>
      <c r="S1331">
        <v>37</v>
      </c>
      <c r="T1331" s="43" t="str">
        <f t="shared" si="57"/>
        <v>2021.001B.R.abolish_Caudovirales.zip;2021.051B.A.v1.Mesyanzhinovviridae.zip</v>
      </c>
      <c r="U1331" s="43" t="str">
        <f>HYPERLINK("https://ictv.global/taxonomy/taxondetails?taxnode_id=202201391","ictv.global=202201391")</f>
        <v>ictv.global=202201391</v>
      </c>
    </row>
    <row r="1332" spans="1:21">
      <c r="A1332">
        <v>1331</v>
      </c>
      <c r="B1332" s="29" t="s">
        <v>3682</v>
      </c>
      <c r="C1332" s="29"/>
      <c r="D1332" s="29" t="s">
        <v>3683</v>
      </c>
      <c r="E1332" s="29"/>
      <c r="F1332" s="29" t="s">
        <v>3686</v>
      </c>
      <c r="G1332" s="29"/>
      <c r="H1332" s="29" t="s">
        <v>3687</v>
      </c>
      <c r="I1332" s="29"/>
      <c r="J1332" s="29"/>
      <c r="K1332" s="29"/>
      <c r="L1332" s="29" t="s">
        <v>8365</v>
      </c>
      <c r="M1332" s="29"/>
      <c r="N1332" s="29" t="s">
        <v>8375</v>
      </c>
      <c r="O1332" s="29"/>
      <c r="P1332" s="29" t="s">
        <v>8376</v>
      </c>
      <c r="Q1332" t="s">
        <v>2038</v>
      </c>
      <c r="R1332" t="s">
        <v>2633</v>
      </c>
      <c r="S1332">
        <v>37</v>
      </c>
      <c r="T1332" s="43" t="str">
        <f>HYPERLINK("https://ictv.global/ictv/proposals/2021.051B.R.Mesyanzhinovviridae.zip","2021.051B.R.Mesyanzhinovviridae.zip")</f>
        <v>2021.051B.R.Mesyanzhinovviridae.zip</v>
      </c>
      <c r="U1332" s="43" t="str">
        <f>HYPERLINK("https://ictv.global/taxonomy/taxondetails?taxnode_id=202201386","ictv.global=202201386")</f>
        <v>ictv.global=202201386</v>
      </c>
    </row>
    <row r="1333" spans="1:21">
      <c r="A1333">
        <v>1332</v>
      </c>
      <c r="B1333" s="29" t="s">
        <v>3682</v>
      </c>
      <c r="C1333" s="29"/>
      <c r="D1333" s="29" t="s">
        <v>3683</v>
      </c>
      <c r="E1333" s="29"/>
      <c r="F1333" s="29" t="s">
        <v>3686</v>
      </c>
      <c r="G1333" s="29"/>
      <c r="H1333" s="29" t="s">
        <v>3687</v>
      </c>
      <c r="I1333" s="29"/>
      <c r="J1333" s="29"/>
      <c r="K1333" s="29"/>
      <c r="L1333" s="29" t="s">
        <v>8377</v>
      </c>
      <c r="M1333" s="29"/>
      <c r="N1333" s="29" t="s">
        <v>8378</v>
      </c>
      <c r="O1333" s="29"/>
      <c r="P1333" s="29" t="s">
        <v>8379</v>
      </c>
      <c r="Q1333" t="s">
        <v>2038</v>
      </c>
      <c r="R1333" t="s">
        <v>2632</v>
      </c>
      <c r="S1333">
        <v>37</v>
      </c>
      <c r="T1333" s="43" t="str">
        <f>HYPERLINK("https://ictv.global/ictv/proposals/2021.029B.R.Flavophages_9_families.zip","2021.029B.R.Flavophages_9_families.zip")</f>
        <v>2021.029B.R.Flavophages_9_families.zip</v>
      </c>
      <c r="U1333" s="43" t="str">
        <f>HYPERLINK("https://ictv.global/taxonomy/taxondetails?taxnode_id=202213565","ictv.global=202213565")</f>
        <v>ictv.global=202213565</v>
      </c>
    </row>
    <row r="1334" spans="1:21">
      <c r="A1334">
        <v>1333</v>
      </c>
      <c r="B1334" s="29" t="s">
        <v>3682</v>
      </c>
      <c r="C1334" s="29"/>
      <c r="D1334" s="29" t="s">
        <v>3683</v>
      </c>
      <c r="E1334" s="29"/>
      <c r="F1334" s="29" t="s">
        <v>3686</v>
      </c>
      <c r="G1334" s="29"/>
      <c r="H1334" s="29" t="s">
        <v>3687</v>
      </c>
      <c r="I1334" s="29"/>
      <c r="J1334" s="29"/>
      <c r="K1334" s="29"/>
      <c r="L1334" s="29" t="s">
        <v>8377</v>
      </c>
      <c r="M1334" s="29"/>
      <c r="N1334" s="29" t="s">
        <v>8378</v>
      </c>
      <c r="O1334" s="29"/>
      <c r="P1334" s="29" t="s">
        <v>8380</v>
      </c>
      <c r="Q1334" t="s">
        <v>2038</v>
      </c>
      <c r="R1334" t="s">
        <v>2632</v>
      </c>
      <c r="S1334">
        <v>37</v>
      </c>
      <c r="T1334" s="43" t="str">
        <f>HYPERLINK("https://ictv.global/ictv/proposals/2021.029B.R.Flavophages_9_families.zip","2021.029B.R.Flavophages_9_families.zip")</f>
        <v>2021.029B.R.Flavophages_9_families.zip</v>
      </c>
      <c r="U1334" s="43" t="str">
        <f>HYPERLINK("https://ictv.global/taxonomy/taxondetails?taxnode_id=202213564","ictv.global=202213564")</f>
        <v>ictv.global=202213564</v>
      </c>
    </row>
    <row r="1335" spans="1:21">
      <c r="A1335">
        <v>1334</v>
      </c>
      <c r="B1335" s="29" t="s">
        <v>3682</v>
      </c>
      <c r="C1335" s="29"/>
      <c r="D1335" s="29" t="s">
        <v>3683</v>
      </c>
      <c r="E1335" s="29"/>
      <c r="F1335" s="29" t="s">
        <v>3686</v>
      </c>
      <c r="G1335" s="29"/>
      <c r="H1335" s="29" t="s">
        <v>3687</v>
      </c>
      <c r="I1335" s="29"/>
      <c r="J1335" s="29"/>
      <c r="K1335" s="29"/>
      <c r="L1335" s="29" t="s">
        <v>8381</v>
      </c>
      <c r="M1335" s="29"/>
      <c r="N1335" s="29" t="s">
        <v>8382</v>
      </c>
      <c r="O1335" s="29"/>
      <c r="P1335" s="29" t="s">
        <v>8383</v>
      </c>
      <c r="Q1335" t="s">
        <v>2038</v>
      </c>
      <c r="R1335" t="s">
        <v>2632</v>
      </c>
      <c r="S1335">
        <v>37</v>
      </c>
      <c r="T1335" s="43" t="str">
        <f>HYPERLINK("https://ictv.global/ictv/proposals/2021.056B.R.Naomiviridae.zip","2021.056B.R.Naomiviridae.zip")</f>
        <v>2021.056B.R.Naomiviridae.zip</v>
      </c>
      <c r="U1335" s="43" t="str">
        <f>HYPERLINK("https://ictv.global/taxonomy/taxondetails?taxnode_id=202212773","ictv.global=202212773")</f>
        <v>ictv.global=202212773</v>
      </c>
    </row>
    <row r="1336" spans="1:21">
      <c r="A1336">
        <v>1335</v>
      </c>
      <c r="B1336" s="29" t="s">
        <v>3682</v>
      </c>
      <c r="C1336" s="29"/>
      <c r="D1336" s="29" t="s">
        <v>3683</v>
      </c>
      <c r="E1336" s="29"/>
      <c r="F1336" s="29" t="s">
        <v>3686</v>
      </c>
      <c r="G1336" s="29"/>
      <c r="H1336" s="29" t="s">
        <v>3687</v>
      </c>
      <c r="I1336" s="29"/>
      <c r="J1336" s="29"/>
      <c r="K1336" s="29"/>
      <c r="L1336" s="29" t="s">
        <v>8384</v>
      </c>
      <c r="M1336" s="29" t="s">
        <v>8385</v>
      </c>
      <c r="N1336" s="29" t="s">
        <v>8386</v>
      </c>
      <c r="O1336" s="29"/>
      <c r="P1336" s="29" t="s">
        <v>8387</v>
      </c>
      <c r="Q1336" t="s">
        <v>2038</v>
      </c>
      <c r="R1336" t="s">
        <v>2632</v>
      </c>
      <c r="S1336">
        <v>37</v>
      </c>
      <c r="T1336" s="43" t="str">
        <f t="shared" ref="T1336:T1346" si="58">HYPERLINK("https://ictv.global/ictv/proposals/2021.060B.R.Orlajensenviridae.zip","2021.060B.R.Orlajensenviridae.zip")</f>
        <v>2021.060B.R.Orlajensenviridae.zip</v>
      </c>
      <c r="U1336" s="43" t="str">
        <f>HYPERLINK("https://ictv.global/taxonomy/taxondetails?taxnode_id=202212802","ictv.global=202212802")</f>
        <v>ictv.global=202212802</v>
      </c>
    </row>
    <row r="1337" spans="1:21">
      <c r="A1337">
        <v>1336</v>
      </c>
      <c r="B1337" s="29" t="s">
        <v>3682</v>
      </c>
      <c r="C1337" s="29"/>
      <c r="D1337" s="29" t="s">
        <v>3683</v>
      </c>
      <c r="E1337" s="29"/>
      <c r="F1337" s="29" t="s">
        <v>3686</v>
      </c>
      <c r="G1337" s="29"/>
      <c r="H1337" s="29" t="s">
        <v>3687</v>
      </c>
      <c r="I1337" s="29"/>
      <c r="J1337" s="29"/>
      <c r="K1337" s="29"/>
      <c r="L1337" s="29" t="s">
        <v>8384</v>
      </c>
      <c r="M1337" s="29" t="s">
        <v>8385</v>
      </c>
      <c r="N1337" s="29" t="s">
        <v>8388</v>
      </c>
      <c r="O1337" s="29"/>
      <c r="P1337" s="29" t="s">
        <v>8389</v>
      </c>
      <c r="Q1337" t="s">
        <v>2038</v>
      </c>
      <c r="R1337" t="s">
        <v>2632</v>
      </c>
      <c r="S1337">
        <v>37</v>
      </c>
      <c r="T1337" s="43" t="str">
        <f t="shared" si="58"/>
        <v>2021.060B.R.Orlajensenviridae.zip</v>
      </c>
      <c r="U1337" s="43" t="str">
        <f>HYPERLINK("https://ictv.global/taxonomy/taxondetails?taxnode_id=202212804","ictv.global=202212804")</f>
        <v>ictv.global=202212804</v>
      </c>
    </row>
    <row r="1338" spans="1:21">
      <c r="A1338">
        <v>1337</v>
      </c>
      <c r="B1338" s="29" t="s">
        <v>3682</v>
      </c>
      <c r="C1338" s="29"/>
      <c r="D1338" s="29" t="s">
        <v>3683</v>
      </c>
      <c r="E1338" s="29"/>
      <c r="F1338" s="29" t="s">
        <v>3686</v>
      </c>
      <c r="G1338" s="29"/>
      <c r="H1338" s="29" t="s">
        <v>3687</v>
      </c>
      <c r="I1338" s="29"/>
      <c r="J1338" s="29"/>
      <c r="K1338" s="29"/>
      <c r="L1338" s="29" t="s">
        <v>8384</v>
      </c>
      <c r="M1338" s="29" t="s">
        <v>8385</v>
      </c>
      <c r="N1338" s="29" t="s">
        <v>8390</v>
      </c>
      <c r="O1338" s="29"/>
      <c r="P1338" s="29" t="s">
        <v>8391</v>
      </c>
      <c r="Q1338" t="s">
        <v>2038</v>
      </c>
      <c r="R1338" t="s">
        <v>2632</v>
      </c>
      <c r="S1338">
        <v>37</v>
      </c>
      <c r="T1338" s="43" t="str">
        <f t="shared" si="58"/>
        <v>2021.060B.R.Orlajensenviridae.zip</v>
      </c>
      <c r="U1338" s="43" t="str">
        <f>HYPERLINK("https://ictv.global/taxonomy/taxondetails?taxnode_id=202212794","ictv.global=202212794")</f>
        <v>ictv.global=202212794</v>
      </c>
    </row>
    <row r="1339" spans="1:21">
      <c r="A1339">
        <v>1338</v>
      </c>
      <c r="B1339" s="29" t="s">
        <v>3682</v>
      </c>
      <c r="C1339" s="29"/>
      <c r="D1339" s="29" t="s">
        <v>3683</v>
      </c>
      <c r="E1339" s="29"/>
      <c r="F1339" s="29" t="s">
        <v>3686</v>
      </c>
      <c r="G1339" s="29"/>
      <c r="H1339" s="29" t="s">
        <v>3687</v>
      </c>
      <c r="I1339" s="29"/>
      <c r="J1339" s="29"/>
      <c r="K1339" s="29"/>
      <c r="L1339" s="29" t="s">
        <v>8384</v>
      </c>
      <c r="M1339" s="29" t="s">
        <v>8385</v>
      </c>
      <c r="N1339" s="29" t="s">
        <v>8390</v>
      </c>
      <c r="O1339" s="29"/>
      <c r="P1339" s="29" t="s">
        <v>8392</v>
      </c>
      <c r="Q1339" t="s">
        <v>2038</v>
      </c>
      <c r="R1339" t="s">
        <v>2632</v>
      </c>
      <c r="S1339">
        <v>37</v>
      </c>
      <c r="T1339" s="43" t="str">
        <f t="shared" si="58"/>
        <v>2021.060B.R.Orlajensenviridae.zip</v>
      </c>
      <c r="U1339" s="43" t="str">
        <f>HYPERLINK("https://ictv.global/taxonomy/taxondetails?taxnode_id=202212795","ictv.global=202212795")</f>
        <v>ictv.global=202212795</v>
      </c>
    </row>
    <row r="1340" spans="1:21">
      <c r="A1340">
        <v>1339</v>
      </c>
      <c r="B1340" s="29" t="s">
        <v>3682</v>
      </c>
      <c r="C1340" s="29"/>
      <c r="D1340" s="29" t="s">
        <v>3683</v>
      </c>
      <c r="E1340" s="29"/>
      <c r="F1340" s="29" t="s">
        <v>3686</v>
      </c>
      <c r="G1340" s="29"/>
      <c r="H1340" s="29" t="s">
        <v>3687</v>
      </c>
      <c r="I1340" s="29"/>
      <c r="J1340" s="29"/>
      <c r="K1340" s="29"/>
      <c r="L1340" s="29" t="s">
        <v>8384</v>
      </c>
      <c r="M1340" s="29" t="s">
        <v>8385</v>
      </c>
      <c r="N1340" s="29" t="s">
        <v>8390</v>
      </c>
      <c r="O1340" s="29"/>
      <c r="P1340" s="29" t="s">
        <v>8393</v>
      </c>
      <c r="Q1340" t="s">
        <v>2038</v>
      </c>
      <c r="R1340" t="s">
        <v>2632</v>
      </c>
      <c r="S1340">
        <v>37</v>
      </c>
      <c r="T1340" s="43" t="str">
        <f t="shared" si="58"/>
        <v>2021.060B.R.Orlajensenviridae.zip</v>
      </c>
      <c r="U1340" s="43" t="str">
        <f>HYPERLINK("https://ictv.global/taxonomy/taxondetails?taxnode_id=202212796","ictv.global=202212796")</f>
        <v>ictv.global=202212796</v>
      </c>
    </row>
    <row r="1341" spans="1:21">
      <c r="A1341">
        <v>1340</v>
      </c>
      <c r="B1341" s="29" t="s">
        <v>3682</v>
      </c>
      <c r="C1341" s="29"/>
      <c r="D1341" s="29" t="s">
        <v>3683</v>
      </c>
      <c r="E1341" s="29"/>
      <c r="F1341" s="29" t="s">
        <v>3686</v>
      </c>
      <c r="G1341" s="29"/>
      <c r="H1341" s="29" t="s">
        <v>3687</v>
      </c>
      <c r="I1341" s="29"/>
      <c r="J1341" s="29"/>
      <c r="K1341" s="29"/>
      <c r="L1341" s="29" t="s">
        <v>8384</v>
      </c>
      <c r="M1341" s="29" t="s">
        <v>8385</v>
      </c>
      <c r="N1341" s="29" t="s">
        <v>8390</v>
      </c>
      <c r="O1341" s="29"/>
      <c r="P1341" s="29" t="s">
        <v>8394</v>
      </c>
      <c r="Q1341" t="s">
        <v>2038</v>
      </c>
      <c r="R1341" t="s">
        <v>2632</v>
      </c>
      <c r="S1341">
        <v>37</v>
      </c>
      <c r="T1341" s="43" t="str">
        <f t="shared" si="58"/>
        <v>2021.060B.R.Orlajensenviridae.zip</v>
      </c>
      <c r="U1341" s="43" t="str">
        <f>HYPERLINK("https://ictv.global/taxonomy/taxondetails?taxnode_id=202212797","ictv.global=202212797")</f>
        <v>ictv.global=202212797</v>
      </c>
    </row>
    <row r="1342" spans="1:21">
      <c r="A1342">
        <v>1341</v>
      </c>
      <c r="B1342" s="29" t="s">
        <v>3682</v>
      </c>
      <c r="C1342" s="29"/>
      <c r="D1342" s="29" t="s">
        <v>3683</v>
      </c>
      <c r="E1342" s="29"/>
      <c r="F1342" s="29" t="s">
        <v>3686</v>
      </c>
      <c r="G1342" s="29"/>
      <c r="H1342" s="29" t="s">
        <v>3687</v>
      </c>
      <c r="I1342" s="29"/>
      <c r="J1342" s="29"/>
      <c r="K1342" s="29"/>
      <c r="L1342" s="29" t="s">
        <v>8384</v>
      </c>
      <c r="M1342" s="29" t="s">
        <v>8385</v>
      </c>
      <c r="N1342" s="29" t="s">
        <v>8390</v>
      </c>
      <c r="O1342" s="29"/>
      <c r="P1342" s="29" t="s">
        <v>8395</v>
      </c>
      <c r="Q1342" t="s">
        <v>2038</v>
      </c>
      <c r="R1342" t="s">
        <v>2632</v>
      </c>
      <c r="S1342">
        <v>37</v>
      </c>
      <c r="T1342" s="43" t="str">
        <f t="shared" si="58"/>
        <v>2021.060B.R.Orlajensenviridae.zip</v>
      </c>
      <c r="U1342" s="43" t="str">
        <f>HYPERLINK("https://ictv.global/taxonomy/taxondetails?taxnode_id=202212798","ictv.global=202212798")</f>
        <v>ictv.global=202212798</v>
      </c>
    </row>
    <row r="1343" spans="1:21">
      <c r="A1343">
        <v>1342</v>
      </c>
      <c r="B1343" s="29" t="s">
        <v>3682</v>
      </c>
      <c r="C1343" s="29"/>
      <c r="D1343" s="29" t="s">
        <v>3683</v>
      </c>
      <c r="E1343" s="29"/>
      <c r="F1343" s="29" t="s">
        <v>3686</v>
      </c>
      <c r="G1343" s="29"/>
      <c r="H1343" s="29" t="s">
        <v>3687</v>
      </c>
      <c r="I1343" s="29"/>
      <c r="J1343" s="29"/>
      <c r="K1343" s="29"/>
      <c r="L1343" s="29" t="s">
        <v>8384</v>
      </c>
      <c r="M1343" s="29" t="s">
        <v>8385</v>
      </c>
      <c r="N1343" s="29" t="s">
        <v>8390</v>
      </c>
      <c r="O1343" s="29"/>
      <c r="P1343" s="29" t="s">
        <v>8396</v>
      </c>
      <c r="Q1343" t="s">
        <v>2038</v>
      </c>
      <c r="R1343" t="s">
        <v>2632</v>
      </c>
      <c r="S1343">
        <v>37</v>
      </c>
      <c r="T1343" s="43" t="str">
        <f t="shared" si="58"/>
        <v>2021.060B.R.Orlajensenviridae.zip</v>
      </c>
      <c r="U1343" s="43" t="str">
        <f>HYPERLINK("https://ictv.global/taxonomy/taxondetails?taxnode_id=202212793","ictv.global=202212793")</f>
        <v>ictv.global=202212793</v>
      </c>
    </row>
    <row r="1344" spans="1:21">
      <c r="A1344">
        <v>1343</v>
      </c>
      <c r="B1344" s="29" t="s">
        <v>3682</v>
      </c>
      <c r="C1344" s="29"/>
      <c r="D1344" s="29" t="s">
        <v>3683</v>
      </c>
      <c r="E1344" s="29"/>
      <c r="F1344" s="29" t="s">
        <v>3686</v>
      </c>
      <c r="G1344" s="29"/>
      <c r="H1344" s="29" t="s">
        <v>3687</v>
      </c>
      <c r="I1344" s="29"/>
      <c r="J1344" s="29"/>
      <c r="K1344" s="29"/>
      <c r="L1344" s="29" t="s">
        <v>8384</v>
      </c>
      <c r="M1344" s="29" t="s">
        <v>8385</v>
      </c>
      <c r="N1344" s="29" t="s">
        <v>8390</v>
      </c>
      <c r="O1344" s="29"/>
      <c r="P1344" s="29" t="s">
        <v>8397</v>
      </c>
      <c r="Q1344" t="s">
        <v>2038</v>
      </c>
      <c r="R1344" t="s">
        <v>2632</v>
      </c>
      <c r="S1344">
        <v>37</v>
      </c>
      <c r="T1344" s="43" t="str">
        <f t="shared" si="58"/>
        <v>2021.060B.R.Orlajensenviridae.zip</v>
      </c>
      <c r="U1344" s="43" t="str">
        <f>HYPERLINK("https://ictv.global/taxonomy/taxondetails?taxnode_id=202212799","ictv.global=202212799")</f>
        <v>ictv.global=202212799</v>
      </c>
    </row>
    <row r="1345" spans="1:21">
      <c r="A1345">
        <v>1344</v>
      </c>
      <c r="B1345" s="29" t="s">
        <v>3682</v>
      </c>
      <c r="C1345" s="29"/>
      <c r="D1345" s="29" t="s">
        <v>3683</v>
      </c>
      <c r="E1345" s="29"/>
      <c r="F1345" s="29" t="s">
        <v>3686</v>
      </c>
      <c r="G1345" s="29"/>
      <c r="H1345" s="29" t="s">
        <v>3687</v>
      </c>
      <c r="I1345" s="29"/>
      <c r="J1345" s="29"/>
      <c r="K1345" s="29"/>
      <c r="L1345" s="29" t="s">
        <v>8384</v>
      </c>
      <c r="M1345" s="29" t="s">
        <v>8385</v>
      </c>
      <c r="N1345" s="29" t="s">
        <v>8390</v>
      </c>
      <c r="O1345" s="29"/>
      <c r="P1345" s="29" t="s">
        <v>8398</v>
      </c>
      <c r="Q1345" t="s">
        <v>2038</v>
      </c>
      <c r="R1345" t="s">
        <v>2632</v>
      </c>
      <c r="S1345">
        <v>37</v>
      </c>
      <c r="T1345" s="43" t="str">
        <f t="shared" si="58"/>
        <v>2021.060B.R.Orlajensenviridae.zip</v>
      </c>
      <c r="U1345" s="43" t="str">
        <f>HYPERLINK("https://ictv.global/taxonomy/taxondetails?taxnode_id=202212800","ictv.global=202212800")</f>
        <v>ictv.global=202212800</v>
      </c>
    </row>
    <row r="1346" spans="1:21">
      <c r="A1346">
        <v>1345</v>
      </c>
      <c r="B1346" s="29" t="s">
        <v>3682</v>
      </c>
      <c r="C1346" s="29"/>
      <c r="D1346" s="29" t="s">
        <v>3683</v>
      </c>
      <c r="E1346" s="29"/>
      <c r="F1346" s="29" t="s">
        <v>3686</v>
      </c>
      <c r="G1346" s="29"/>
      <c r="H1346" s="29" t="s">
        <v>3687</v>
      </c>
      <c r="I1346" s="29"/>
      <c r="J1346" s="29"/>
      <c r="K1346" s="29"/>
      <c r="L1346" s="29" t="s">
        <v>8384</v>
      </c>
      <c r="M1346" s="29" t="s">
        <v>8385</v>
      </c>
      <c r="N1346" s="29" t="s">
        <v>8390</v>
      </c>
      <c r="O1346" s="29"/>
      <c r="P1346" s="29" t="s">
        <v>8399</v>
      </c>
      <c r="Q1346" t="s">
        <v>2038</v>
      </c>
      <c r="R1346" t="s">
        <v>2632</v>
      </c>
      <c r="S1346">
        <v>37</v>
      </c>
      <c r="T1346" s="43" t="str">
        <f t="shared" si="58"/>
        <v>2021.060B.R.Orlajensenviridae.zip</v>
      </c>
      <c r="U1346" s="43" t="str">
        <f>HYPERLINK("https://ictv.global/taxonomy/taxondetails?taxnode_id=202212805","ictv.global=202212805")</f>
        <v>ictv.global=202212805</v>
      </c>
    </row>
    <row r="1347" spans="1:21">
      <c r="A1347">
        <v>1346</v>
      </c>
      <c r="B1347" s="29" t="s">
        <v>3682</v>
      </c>
      <c r="C1347" s="29"/>
      <c r="D1347" s="29" t="s">
        <v>3683</v>
      </c>
      <c r="E1347" s="29"/>
      <c r="F1347" s="29" t="s">
        <v>3686</v>
      </c>
      <c r="G1347" s="29"/>
      <c r="H1347" s="29" t="s">
        <v>3687</v>
      </c>
      <c r="I1347" s="29"/>
      <c r="J1347" s="29"/>
      <c r="K1347" s="29"/>
      <c r="L1347" s="29" t="s">
        <v>8400</v>
      </c>
      <c r="M1347" s="29"/>
      <c r="N1347" s="29" t="s">
        <v>8401</v>
      </c>
      <c r="O1347" s="29"/>
      <c r="P1347" s="29" t="s">
        <v>8402</v>
      </c>
      <c r="Q1347" t="s">
        <v>2038</v>
      </c>
      <c r="R1347" t="s">
        <v>2632</v>
      </c>
      <c r="S1347">
        <v>37</v>
      </c>
      <c r="T1347" s="43" t="str">
        <f>HYPERLINK("https://ictv.global/ictv/proposals/2021.029B.R.Flavophages_9_families.zip","2021.029B.R.Flavophages_9_families.zip")</f>
        <v>2021.029B.R.Flavophages_9_families.zip</v>
      </c>
      <c r="U1347" s="43" t="str">
        <f>HYPERLINK("https://ictv.global/taxonomy/taxondetails?taxnode_id=202213544","ictv.global=202213544")</f>
        <v>ictv.global=202213544</v>
      </c>
    </row>
    <row r="1348" spans="1:21">
      <c r="A1348">
        <v>1347</v>
      </c>
      <c r="B1348" s="29" t="s">
        <v>3682</v>
      </c>
      <c r="C1348" s="29"/>
      <c r="D1348" s="29" t="s">
        <v>3683</v>
      </c>
      <c r="E1348" s="29"/>
      <c r="F1348" s="29" t="s">
        <v>3686</v>
      </c>
      <c r="G1348" s="29"/>
      <c r="H1348" s="29" t="s">
        <v>3687</v>
      </c>
      <c r="I1348" s="29"/>
      <c r="J1348" s="29"/>
      <c r="K1348" s="29"/>
      <c r="L1348" s="29" t="s">
        <v>8400</v>
      </c>
      <c r="M1348" s="29"/>
      <c r="N1348" s="29" t="s">
        <v>8403</v>
      </c>
      <c r="O1348" s="29"/>
      <c r="P1348" s="29" t="s">
        <v>8404</v>
      </c>
      <c r="Q1348" t="s">
        <v>2038</v>
      </c>
      <c r="R1348" t="s">
        <v>2632</v>
      </c>
      <c r="S1348">
        <v>37</v>
      </c>
      <c r="T1348" s="43" t="str">
        <f>HYPERLINK("https://ictv.global/ictv/proposals/2021.029B.R.Flavophages_9_families.zip","2021.029B.R.Flavophages_9_families.zip")</f>
        <v>2021.029B.R.Flavophages_9_families.zip</v>
      </c>
      <c r="U1348" s="43" t="str">
        <f>HYPERLINK("https://ictv.global/taxonomy/taxondetails?taxnode_id=202213541","ictv.global=202213541")</f>
        <v>ictv.global=202213541</v>
      </c>
    </row>
    <row r="1349" spans="1:21">
      <c r="A1349">
        <v>1348</v>
      </c>
      <c r="B1349" s="29" t="s">
        <v>3682</v>
      </c>
      <c r="C1349" s="29"/>
      <c r="D1349" s="29" t="s">
        <v>3683</v>
      </c>
      <c r="E1349" s="29"/>
      <c r="F1349" s="29" t="s">
        <v>3686</v>
      </c>
      <c r="G1349" s="29"/>
      <c r="H1349" s="29" t="s">
        <v>3687</v>
      </c>
      <c r="I1349" s="29"/>
      <c r="J1349" s="29"/>
      <c r="K1349" s="29"/>
      <c r="L1349" s="29" t="s">
        <v>8400</v>
      </c>
      <c r="M1349" s="29"/>
      <c r="N1349" s="29" t="s">
        <v>8403</v>
      </c>
      <c r="O1349" s="29"/>
      <c r="P1349" s="29" t="s">
        <v>8405</v>
      </c>
      <c r="Q1349" t="s">
        <v>2038</v>
      </c>
      <c r="R1349" t="s">
        <v>2632</v>
      </c>
      <c r="S1349">
        <v>37</v>
      </c>
      <c r="T1349" s="43" t="str">
        <f>HYPERLINK("https://ictv.global/ictv/proposals/2021.029B.R.Flavophages_9_families.zip","2021.029B.R.Flavophages_9_families.zip")</f>
        <v>2021.029B.R.Flavophages_9_families.zip</v>
      </c>
      <c r="U1349" s="43" t="str">
        <f>HYPERLINK("https://ictv.global/taxonomy/taxondetails?taxnode_id=202213542","ictv.global=202213542")</f>
        <v>ictv.global=202213542</v>
      </c>
    </row>
    <row r="1350" spans="1:21">
      <c r="A1350">
        <v>1349</v>
      </c>
      <c r="B1350" s="29" t="s">
        <v>3682</v>
      </c>
      <c r="C1350" s="29"/>
      <c r="D1350" s="29" t="s">
        <v>3683</v>
      </c>
      <c r="E1350" s="29"/>
      <c r="F1350" s="29" t="s">
        <v>3686</v>
      </c>
      <c r="G1350" s="29"/>
      <c r="H1350" s="29" t="s">
        <v>3687</v>
      </c>
      <c r="I1350" s="29"/>
      <c r="J1350" s="29"/>
      <c r="K1350" s="29"/>
      <c r="L1350" s="29" t="s">
        <v>8400</v>
      </c>
      <c r="M1350" s="29"/>
      <c r="N1350" s="29" t="s">
        <v>8403</v>
      </c>
      <c r="O1350" s="29"/>
      <c r="P1350" s="29" t="s">
        <v>8406</v>
      </c>
      <c r="Q1350" t="s">
        <v>2038</v>
      </c>
      <c r="R1350" t="s">
        <v>2632</v>
      </c>
      <c r="S1350">
        <v>37</v>
      </c>
      <c r="T1350" s="43" t="str">
        <f>HYPERLINK("https://ictv.global/ictv/proposals/2021.029B.R.Flavophages_9_families.zip","2021.029B.R.Flavophages_9_families.zip")</f>
        <v>2021.029B.R.Flavophages_9_families.zip</v>
      </c>
      <c r="U1350" s="43" t="str">
        <f>HYPERLINK("https://ictv.global/taxonomy/taxondetails?taxnode_id=202213540","ictv.global=202213540")</f>
        <v>ictv.global=202213540</v>
      </c>
    </row>
    <row r="1351" spans="1:21">
      <c r="A1351">
        <v>1350</v>
      </c>
      <c r="B1351" s="29" t="s">
        <v>3682</v>
      </c>
      <c r="C1351" s="29"/>
      <c r="D1351" s="29" t="s">
        <v>3683</v>
      </c>
      <c r="E1351" s="29"/>
      <c r="F1351" s="29" t="s">
        <v>3686</v>
      </c>
      <c r="G1351" s="29"/>
      <c r="H1351" s="29" t="s">
        <v>3687</v>
      </c>
      <c r="I1351" s="29"/>
      <c r="J1351" s="29"/>
      <c r="K1351" s="29"/>
      <c r="L1351" s="29" t="s">
        <v>8400</v>
      </c>
      <c r="M1351" s="29"/>
      <c r="N1351" s="29" t="s">
        <v>8407</v>
      </c>
      <c r="O1351" s="29"/>
      <c r="P1351" s="29" t="s">
        <v>8408</v>
      </c>
      <c r="Q1351" t="s">
        <v>2038</v>
      </c>
      <c r="R1351" t="s">
        <v>2632</v>
      </c>
      <c r="S1351">
        <v>37</v>
      </c>
      <c r="T1351" s="43" t="str">
        <f>HYPERLINK("https://ictv.global/ictv/proposals/2021.029B.R.Flavophages_9_families.zip","2021.029B.R.Flavophages_9_families.zip")</f>
        <v>2021.029B.R.Flavophages_9_families.zip</v>
      </c>
      <c r="U1351" s="43" t="str">
        <f>HYPERLINK("https://ictv.global/taxonomy/taxondetails?taxnode_id=202213538","ictv.global=202213538")</f>
        <v>ictv.global=202213538</v>
      </c>
    </row>
    <row r="1352" spans="1:21">
      <c r="A1352">
        <v>1351</v>
      </c>
      <c r="B1352" s="29" t="s">
        <v>3682</v>
      </c>
      <c r="C1352" s="29"/>
      <c r="D1352" s="29" t="s">
        <v>3683</v>
      </c>
      <c r="E1352" s="29"/>
      <c r="F1352" s="29" t="s">
        <v>3686</v>
      </c>
      <c r="G1352" s="29"/>
      <c r="H1352" s="29" t="s">
        <v>3687</v>
      </c>
      <c r="I1352" s="29"/>
      <c r="J1352" s="29"/>
      <c r="K1352" s="29"/>
      <c r="L1352" s="29" t="s">
        <v>8409</v>
      </c>
      <c r="M1352" s="29"/>
      <c r="N1352" s="29" t="s">
        <v>8410</v>
      </c>
      <c r="O1352" s="29"/>
      <c r="P1352" s="29" t="s">
        <v>8411</v>
      </c>
      <c r="Q1352" t="s">
        <v>2038</v>
      </c>
      <c r="R1352" t="s">
        <v>2633</v>
      </c>
      <c r="S1352">
        <v>37</v>
      </c>
      <c r="T1352" s="43" t="str">
        <f>HYPERLINK("https://ictv.global/ictv/proposals/2021.063B.R.Peduoviridae.zip","2021.063B.R.Peduoviridae.zip")</f>
        <v>2021.063B.R.Peduoviridae.zip</v>
      </c>
      <c r="U1352" s="43" t="str">
        <f>HYPERLINK("https://ictv.global/taxonomy/taxondetails?taxnode_id=202207980","ictv.global=202207980")</f>
        <v>ictv.global=202207980</v>
      </c>
    </row>
    <row r="1353" spans="1:21">
      <c r="A1353">
        <v>1352</v>
      </c>
      <c r="B1353" s="29" t="s">
        <v>3682</v>
      </c>
      <c r="C1353" s="29"/>
      <c r="D1353" s="29" t="s">
        <v>3683</v>
      </c>
      <c r="E1353" s="29"/>
      <c r="F1353" s="29" t="s">
        <v>3686</v>
      </c>
      <c r="G1353" s="29"/>
      <c r="H1353" s="29" t="s">
        <v>3687</v>
      </c>
      <c r="I1353" s="29"/>
      <c r="J1353" s="29"/>
      <c r="K1353" s="29"/>
      <c r="L1353" s="29" t="s">
        <v>8409</v>
      </c>
      <c r="M1353" s="29"/>
      <c r="N1353" s="29" t="s">
        <v>8410</v>
      </c>
      <c r="O1353" s="29"/>
      <c r="P1353" s="29" t="s">
        <v>8412</v>
      </c>
      <c r="Q1353" t="s">
        <v>2038</v>
      </c>
      <c r="R1353" t="s">
        <v>2632</v>
      </c>
      <c r="S1353">
        <v>37</v>
      </c>
      <c r="T1353" s="43" t="str">
        <f>HYPERLINK("https://ictv.global/ictv/proposals/2021.063B.R.Peduoviridae.zip","2021.063B.R.Peduoviridae.zip")</f>
        <v>2021.063B.R.Peduoviridae.zip</v>
      </c>
      <c r="U1353" s="43" t="str">
        <f>HYPERLINK("https://ictv.global/taxonomy/taxondetails?taxnode_id=202212846","ictv.global=202212846")</f>
        <v>ictv.global=202212846</v>
      </c>
    </row>
    <row r="1354" spans="1:21">
      <c r="A1354">
        <v>1353</v>
      </c>
      <c r="B1354" s="29" t="s">
        <v>3682</v>
      </c>
      <c r="C1354" s="29"/>
      <c r="D1354" s="29" t="s">
        <v>3683</v>
      </c>
      <c r="E1354" s="29"/>
      <c r="F1354" s="29" t="s">
        <v>3686</v>
      </c>
      <c r="G1354" s="29"/>
      <c r="H1354" s="29" t="s">
        <v>3687</v>
      </c>
      <c r="I1354" s="29"/>
      <c r="J1354" s="29"/>
      <c r="K1354" s="29"/>
      <c r="L1354" s="29" t="s">
        <v>8409</v>
      </c>
      <c r="M1354" s="29"/>
      <c r="N1354" s="29" t="s">
        <v>3871</v>
      </c>
      <c r="O1354" s="29"/>
      <c r="P1354" s="29" t="s">
        <v>8413</v>
      </c>
      <c r="Q1354" t="s">
        <v>2038</v>
      </c>
      <c r="R1354" t="s">
        <v>2633</v>
      </c>
      <c r="S1354">
        <v>37</v>
      </c>
      <c r="T1354" s="43" t="str">
        <f>HYPERLINK("https://ictv.global/ictv/proposals/2021.010B.R.Binomial_names.zip","2021.010B.R.Binomial_names.zip")</f>
        <v>2021.010B.R.Binomial_names.zip</v>
      </c>
      <c r="U1354" s="43" t="str">
        <f>HYPERLINK("https://ictv.global/taxonomy/taxondetails?taxnode_id=202200242","ictv.global=202200242")</f>
        <v>ictv.global=202200242</v>
      </c>
    </row>
    <row r="1355" spans="1:21">
      <c r="A1355">
        <v>1354</v>
      </c>
      <c r="B1355" s="29" t="s">
        <v>3682</v>
      </c>
      <c r="C1355" s="29"/>
      <c r="D1355" s="29" t="s">
        <v>3683</v>
      </c>
      <c r="E1355" s="29"/>
      <c r="F1355" s="29" t="s">
        <v>3686</v>
      </c>
      <c r="G1355" s="29"/>
      <c r="H1355" s="29" t="s">
        <v>3687</v>
      </c>
      <c r="I1355" s="29"/>
      <c r="J1355" s="29"/>
      <c r="K1355" s="29"/>
      <c r="L1355" s="29" t="s">
        <v>8409</v>
      </c>
      <c r="M1355" s="29"/>
      <c r="N1355" s="29" t="s">
        <v>3871</v>
      </c>
      <c r="O1355" s="29"/>
      <c r="P1355" s="29" t="s">
        <v>8414</v>
      </c>
      <c r="Q1355" t="s">
        <v>2038</v>
      </c>
      <c r="R1355" t="s">
        <v>2633</v>
      </c>
      <c r="S1355">
        <v>37</v>
      </c>
      <c r="T1355" s="43" t="str">
        <f>HYPERLINK("https://ictv.global/ictv/proposals/2021.010B.R.Binomial_names.zip","2021.010B.R.Binomial_names.zip")</f>
        <v>2021.010B.R.Binomial_names.zip</v>
      </c>
      <c r="U1355" s="43" t="str">
        <f>HYPERLINK("https://ictv.global/taxonomy/taxondetails?taxnode_id=202211582","ictv.global=202211582")</f>
        <v>ictv.global=202211582</v>
      </c>
    </row>
    <row r="1356" spans="1:21">
      <c r="A1356">
        <v>1355</v>
      </c>
      <c r="B1356" s="29" t="s">
        <v>3682</v>
      </c>
      <c r="C1356" s="29"/>
      <c r="D1356" s="29" t="s">
        <v>3683</v>
      </c>
      <c r="E1356" s="29"/>
      <c r="F1356" s="29" t="s">
        <v>3686</v>
      </c>
      <c r="G1356" s="29"/>
      <c r="H1356" s="29" t="s">
        <v>3687</v>
      </c>
      <c r="I1356" s="29"/>
      <c r="J1356" s="29"/>
      <c r="K1356" s="29"/>
      <c r="L1356" s="29" t="s">
        <v>8409</v>
      </c>
      <c r="M1356" s="29"/>
      <c r="N1356" s="29" t="s">
        <v>8415</v>
      </c>
      <c r="O1356" s="29"/>
      <c r="P1356" s="29" t="s">
        <v>8416</v>
      </c>
      <c r="Q1356" t="s">
        <v>2038</v>
      </c>
      <c r="R1356" t="s">
        <v>2632</v>
      </c>
      <c r="S1356">
        <v>38</v>
      </c>
      <c r="T1356" s="43" t="str">
        <f>HYPERLINK("https://ictv.global/ictv/proposals/2022.062B.Peduoviridae_6ng_19nsp.zip","2022.062B.Peduoviridae_6ng_19nsp.zip")</f>
        <v>2022.062B.Peduoviridae_6ng_19nsp.zip</v>
      </c>
      <c r="U1356" s="43" t="str">
        <f>HYPERLINK("https://ictv.global/taxonomy/taxondetails?taxnode_id=202214744","ictv.global=202214744")</f>
        <v>ictv.global=202214744</v>
      </c>
    </row>
    <row r="1357" spans="1:21">
      <c r="A1357">
        <v>1356</v>
      </c>
      <c r="B1357" s="29" t="s">
        <v>3682</v>
      </c>
      <c r="C1357" s="29"/>
      <c r="D1357" s="29" t="s">
        <v>3683</v>
      </c>
      <c r="E1357" s="29"/>
      <c r="F1357" s="29" t="s">
        <v>3686</v>
      </c>
      <c r="G1357" s="29"/>
      <c r="H1357" s="29" t="s">
        <v>3687</v>
      </c>
      <c r="I1357" s="29"/>
      <c r="J1357" s="29"/>
      <c r="K1357" s="29"/>
      <c r="L1357" s="29" t="s">
        <v>8409</v>
      </c>
      <c r="M1357" s="29"/>
      <c r="N1357" s="29" t="s">
        <v>8417</v>
      </c>
      <c r="O1357" s="29"/>
      <c r="P1357" s="29" t="s">
        <v>8418</v>
      </c>
      <c r="Q1357" t="s">
        <v>2038</v>
      </c>
      <c r="R1357" t="s">
        <v>2633</v>
      </c>
      <c r="S1357">
        <v>37</v>
      </c>
      <c r="T1357" s="43" t="str">
        <f>HYPERLINK("https://ictv.global/ictv/proposals/2021.063B.R.Peduoviridae.zip","2021.063B.R.Peduoviridae.zip")</f>
        <v>2021.063B.R.Peduoviridae.zip</v>
      </c>
      <c r="U1357" s="43" t="str">
        <f>HYPERLINK("https://ictv.global/taxonomy/taxondetails?taxnode_id=202207982","ictv.global=202207982")</f>
        <v>ictv.global=202207982</v>
      </c>
    </row>
    <row r="1358" spans="1:21">
      <c r="A1358">
        <v>1357</v>
      </c>
      <c r="B1358" s="29" t="s">
        <v>3682</v>
      </c>
      <c r="C1358" s="29"/>
      <c r="D1358" s="29" t="s">
        <v>3683</v>
      </c>
      <c r="E1358" s="29"/>
      <c r="F1358" s="29" t="s">
        <v>3686</v>
      </c>
      <c r="G1358" s="29"/>
      <c r="H1358" s="29" t="s">
        <v>3687</v>
      </c>
      <c r="I1358" s="29"/>
      <c r="J1358" s="29"/>
      <c r="K1358" s="29"/>
      <c r="L1358" s="29" t="s">
        <v>8409</v>
      </c>
      <c r="M1358" s="29"/>
      <c r="N1358" s="29" t="s">
        <v>3872</v>
      </c>
      <c r="O1358" s="29"/>
      <c r="P1358" s="29" t="s">
        <v>8419</v>
      </c>
      <c r="Q1358" t="s">
        <v>2038</v>
      </c>
      <c r="R1358" t="s">
        <v>2633</v>
      </c>
      <c r="S1358">
        <v>37</v>
      </c>
      <c r="T1358" s="43" t="str">
        <f>HYPERLINK("https://ictv.global/ictv/proposals/2021.010B.R.Binomial_names.zip","2021.010B.R.Binomial_names.zip")</f>
        <v>2021.010B.R.Binomial_names.zip</v>
      </c>
      <c r="U1358" s="43" t="str">
        <f>HYPERLINK("https://ictv.global/taxonomy/taxondetails?taxnode_id=202207975","ictv.global=202207975")</f>
        <v>ictv.global=202207975</v>
      </c>
    </row>
    <row r="1359" spans="1:21">
      <c r="A1359">
        <v>1358</v>
      </c>
      <c r="B1359" s="29" t="s">
        <v>3682</v>
      </c>
      <c r="C1359" s="29"/>
      <c r="D1359" s="29" t="s">
        <v>3683</v>
      </c>
      <c r="E1359" s="29"/>
      <c r="F1359" s="29" t="s">
        <v>3686</v>
      </c>
      <c r="G1359" s="29"/>
      <c r="H1359" s="29" t="s">
        <v>3687</v>
      </c>
      <c r="I1359" s="29"/>
      <c r="J1359" s="29"/>
      <c r="K1359" s="29"/>
      <c r="L1359" s="29" t="s">
        <v>8409</v>
      </c>
      <c r="M1359" s="29"/>
      <c r="N1359" s="29" t="s">
        <v>3872</v>
      </c>
      <c r="O1359" s="29"/>
      <c r="P1359" s="29" t="s">
        <v>8420</v>
      </c>
      <c r="Q1359" t="s">
        <v>2038</v>
      </c>
      <c r="R1359" t="s">
        <v>2633</v>
      </c>
      <c r="S1359">
        <v>37</v>
      </c>
      <c r="T1359" s="43" t="str">
        <f>HYPERLINK("https://ictv.global/ictv/proposals/2021.010B.R.Binomial_names.zip","2021.010B.R.Binomial_names.zip")</f>
        <v>2021.010B.R.Binomial_names.zip</v>
      </c>
      <c r="U1359" s="43" t="str">
        <f>HYPERLINK("https://ictv.global/taxonomy/taxondetails?taxnode_id=202200240","ictv.global=202200240")</f>
        <v>ictv.global=202200240</v>
      </c>
    </row>
    <row r="1360" spans="1:21">
      <c r="A1360">
        <v>1359</v>
      </c>
      <c r="B1360" s="29" t="s">
        <v>3682</v>
      </c>
      <c r="C1360" s="29"/>
      <c r="D1360" s="29" t="s">
        <v>3683</v>
      </c>
      <c r="E1360" s="29"/>
      <c r="F1360" s="29" t="s">
        <v>3686</v>
      </c>
      <c r="G1360" s="29"/>
      <c r="H1360" s="29" t="s">
        <v>3687</v>
      </c>
      <c r="I1360" s="29"/>
      <c r="J1360" s="29"/>
      <c r="K1360" s="29"/>
      <c r="L1360" s="29" t="s">
        <v>8409</v>
      </c>
      <c r="M1360" s="29"/>
      <c r="N1360" s="29" t="s">
        <v>3873</v>
      </c>
      <c r="O1360" s="29"/>
      <c r="P1360" s="29" t="s">
        <v>8421</v>
      </c>
      <c r="Q1360" t="s">
        <v>2038</v>
      </c>
      <c r="R1360" t="s">
        <v>2633</v>
      </c>
      <c r="S1360">
        <v>37</v>
      </c>
      <c r="T1360" s="43" t="str">
        <f>HYPERLINK("https://ictv.global/ictv/proposals/2021.010B.R.Binomial_names.zip","2021.010B.R.Binomial_names.zip")</f>
        <v>2021.010B.R.Binomial_names.zip</v>
      </c>
      <c r="U1360" s="43" t="str">
        <f>HYPERLINK("https://ictv.global/taxonomy/taxondetails?taxnode_id=202200227","ictv.global=202200227")</f>
        <v>ictv.global=202200227</v>
      </c>
    </row>
    <row r="1361" spans="1:21">
      <c r="A1361">
        <v>1360</v>
      </c>
      <c r="B1361" s="29" t="s">
        <v>3682</v>
      </c>
      <c r="C1361" s="29"/>
      <c r="D1361" s="29" t="s">
        <v>3683</v>
      </c>
      <c r="E1361" s="29"/>
      <c r="F1361" s="29" t="s">
        <v>3686</v>
      </c>
      <c r="G1361" s="29"/>
      <c r="H1361" s="29" t="s">
        <v>3687</v>
      </c>
      <c r="I1361" s="29"/>
      <c r="J1361" s="29"/>
      <c r="K1361" s="29"/>
      <c r="L1361" s="29" t="s">
        <v>8409</v>
      </c>
      <c r="M1361" s="29"/>
      <c r="N1361" s="29" t="s">
        <v>8422</v>
      </c>
      <c r="O1361" s="29"/>
      <c r="P1361" s="29" t="s">
        <v>8423</v>
      </c>
      <c r="Q1361" t="s">
        <v>2038</v>
      </c>
      <c r="R1361" t="s">
        <v>2632</v>
      </c>
      <c r="S1361">
        <v>37</v>
      </c>
      <c r="T1361" s="43" t="str">
        <f>HYPERLINK("https://ictv.global/ictv/proposals/2021.063B.R.Peduoviridae.zip","2021.063B.R.Peduoviridae.zip")</f>
        <v>2021.063B.R.Peduoviridae.zip</v>
      </c>
      <c r="U1361" s="43" t="str">
        <f>HYPERLINK("https://ictv.global/taxonomy/taxondetails?taxnode_id=202212852","ictv.global=202212852")</f>
        <v>ictv.global=202212852</v>
      </c>
    </row>
    <row r="1362" spans="1:21">
      <c r="A1362">
        <v>1361</v>
      </c>
      <c r="B1362" s="29" t="s">
        <v>3682</v>
      </c>
      <c r="C1362" s="29"/>
      <c r="D1362" s="29" t="s">
        <v>3683</v>
      </c>
      <c r="E1362" s="29"/>
      <c r="F1362" s="29" t="s">
        <v>3686</v>
      </c>
      <c r="G1362" s="29"/>
      <c r="H1362" s="29" t="s">
        <v>3687</v>
      </c>
      <c r="I1362" s="29"/>
      <c r="J1362" s="29"/>
      <c r="K1362" s="29"/>
      <c r="L1362" s="29" t="s">
        <v>8409</v>
      </c>
      <c r="M1362" s="29"/>
      <c r="N1362" s="29" t="s">
        <v>3874</v>
      </c>
      <c r="O1362" s="29"/>
      <c r="P1362" s="29" t="s">
        <v>8424</v>
      </c>
      <c r="Q1362" t="s">
        <v>2038</v>
      </c>
      <c r="R1362" t="s">
        <v>2633</v>
      </c>
      <c r="S1362">
        <v>37</v>
      </c>
      <c r="T1362" s="43" t="str">
        <f>HYPERLINK("https://ictv.global/ictv/proposals/2021.010B.R.Binomial_names.zip","2021.010B.R.Binomial_names.zip")</f>
        <v>2021.010B.R.Binomial_names.zip</v>
      </c>
      <c r="U1362" s="43" t="str">
        <f>HYPERLINK("https://ictv.global/taxonomy/taxondetails?taxnode_id=202207970","ictv.global=202207970")</f>
        <v>ictv.global=202207970</v>
      </c>
    </row>
    <row r="1363" spans="1:21">
      <c r="A1363">
        <v>1362</v>
      </c>
      <c r="B1363" s="29" t="s">
        <v>3682</v>
      </c>
      <c r="C1363" s="29"/>
      <c r="D1363" s="29" t="s">
        <v>3683</v>
      </c>
      <c r="E1363" s="29"/>
      <c r="F1363" s="29" t="s">
        <v>3686</v>
      </c>
      <c r="G1363" s="29"/>
      <c r="H1363" s="29" t="s">
        <v>3687</v>
      </c>
      <c r="I1363" s="29"/>
      <c r="J1363" s="29"/>
      <c r="K1363" s="29"/>
      <c r="L1363" s="29" t="s">
        <v>8409</v>
      </c>
      <c r="M1363" s="29"/>
      <c r="N1363" s="29" t="s">
        <v>3875</v>
      </c>
      <c r="O1363" s="29"/>
      <c r="P1363" s="29" t="s">
        <v>8425</v>
      </c>
      <c r="Q1363" t="s">
        <v>2038</v>
      </c>
      <c r="R1363" t="s">
        <v>2633</v>
      </c>
      <c r="S1363">
        <v>37</v>
      </c>
      <c r="T1363" s="43" t="str">
        <f>HYPERLINK("https://ictv.global/ictv/proposals/2021.010B.R.Binomial_names.zip","2021.010B.R.Binomial_names.zip")</f>
        <v>2021.010B.R.Binomial_names.zip</v>
      </c>
      <c r="U1363" s="43" t="str">
        <f>HYPERLINK("https://ictv.global/taxonomy/taxondetails?taxnode_id=202207946","ictv.global=202207946")</f>
        <v>ictv.global=202207946</v>
      </c>
    </row>
    <row r="1364" spans="1:21">
      <c r="A1364">
        <v>1363</v>
      </c>
      <c r="B1364" s="29" t="s">
        <v>3682</v>
      </c>
      <c r="C1364" s="29"/>
      <c r="D1364" s="29" t="s">
        <v>3683</v>
      </c>
      <c r="E1364" s="29"/>
      <c r="F1364" s="29" t="s">
        <v>3686</v>
      </c>
      <c r="G1364" s="29"/>
      <c r="H1364" s="29" t="s">
        <v>3687</v>
      </c>
      <c r="I1364" s="29"/>
      <c r="J1364" s="29"/>
      <c r="K1364" s="29"/>
      <c r="L1364" s="29" t="s">
        <v>8409</v>
      </c>
      <c r="M1364" s="29"/>
      <c r="N1364" s="29" t="s">
        <v>3876</v>
      </c>
      <c r="O1364" s="29"/>
      <c r="P1364" s="29" t="s">
        <v>8426</v>
      </c>
      <c r="Q1364" t="s">
        <v>2038</v>
      </c>
      <c r="R1364" t="s">
        <v>2632</v>
      </c>
      <c r="S1364">
        <v>37</v>
      </c>
      <c r="T1364" s="43" t="str">
        <f>HYPERLINK("https://ictv.global/ictv/proposals/2021.063B.R.Peduoviridae.zip","2021.063B.R.Peduoviridae.zip")</f>
        <v>2021.063B.R.Peduoviridae.zip</v>
      </c>
      <c r="U1364" s="43" t="str">
        <f>HYPERLINK("https://ictv.global/taxonomy/taxondetails?taxnode_id=202212868","ictv.global=202212868")</f>
        <v>ictv.global=202212868</v>
      </c>
    </row>
    <row r="1365" spans="1:21">
      <c r="A1365">
        <v>1364</v>
      </c>
      <c r="B1365" s="29" t="s">
        <v>3682</v>
      </c>
      <c r="C1365" s="29"/>
      <c r="D1365" s="29" t="s">
        <v>3683</v>
      </c>
      <c r="E1365" s="29"/>
      <c r="F1365" s="29" t="s">
        <v>3686</v>
      </c>
      <c r="G1365" s="29"/>
      <c r="H1365" s="29" t="s">
        <v>3687</v>
      </c>
      <c r="I1365" s="29"/>
      <c r="J1365" s="29"/>
      <c r="K1365" s="29"/>
      <c r="L1365" s="29" t="s">
        <v>8409</v>
      </c>
      <c r="M1365" s="29"/>
      <c r="N1365" s="29" t="s">
        <v>3876</v>
      </c>
      <c r="O1365" s="29"/>
      <c r="P1365" s="29" t="s">
        <v>8427</v>
      </c>
      <c r="Q1365" t="s">
        <v>2038</v>
      </c>
      <c r="R1365" t="s">
        <v>2633</v>
      </c>
      <c r="S1365">
        <v>37</v>
      </c>
      <c r="T1365" s="43" t="str">
        <f>HYPERLINK("https://ictv.global/ictv/proposals/2021.010B.R.Binomial_names.zip","2021.010B.R.Binomial_names.zip")</f>
        <v>2021.010B.R.Binomial_names.zip</v>
      </c>
      <c r="U1365" s="43" t="str">
        <f>HYPERLINK("https://ictv.global/taxonomy/taxondetails?taxnode_id=202207962","ictv.global=202207962")</f>
        <v>ictv.global=202207962</v>
      </c>
    </row>
    <row r="1366" spans="1:21">
      <c r="A1366">
        <v>1365</v>
      </c>
      <c r="B1366" s="29" t="s">
        <v>3682</v>
      </c>
      <c r="C1366" s="29"/>
      <c r="D1366" s="29" t="s">
        <v>3683</v>
      </c>
      <c r="E1366" s="29"/>
      <c r="F1366" s="29" t="s">
        <v>3686</v>
      </c>
      <c r="G1366" s="29"/>
      <c r="H1366" s="29" t="s">
        <v>3687</v>
      </c>
      <c r="I1366" s="29"/>
      <c r="J1366" s="29"/>
      <c r="K1366" s="29"/>
      <c r="L1366" s="29" t="s">
        <v>8409</v>
      </c>
      <c r="M1366" s="29"/>
      <c r="N1366" s="29" t="s">
        <v>3876</v>
      </c>
      <c r="O1366" s="29"/>
      <c r="P1366" s="29" t="s">
        <v>8428</v>
      </c>
      <c r="Q1366" t="s">
        <v>2038</v>
      </c>
      <c r="R1366" t="s">
        <v>2633</v>
      </c>
      <c r="S1366">
        <v>37</v>
      </c>
      <c r="T1366" s="43" t="str">
        <f>HYPERLINK("https://ictv.global/ictv/proposals/2021.010B.R.Binomial_names.zip","2021.010B.R.Binomial_names.zip")</f>
        <v>2021.010B.R.Binomial_names.zip</v>
      </c>
      <c r="U1366" s="43" t="str">
        <f>HYPERLINK("https://ictv.global/taxonomy/taxondetails?taxnode_id=202200241","ictv.global=202200241")</f>
        <v>ictv.global=202200241</v>
      </c>
    </row>
    <row r="1367" spans="1:21">
      <c r="A1367">
        <v>1366</v>
      </c>
      <c r="B1367" s="29" t="s">
        <v>3682</v>
      </c>
      <c r="C1367" s="29"/>
      <c r="D1367" s="29" t="s">
        <v>3683</v>
      </c>
      <c r="E1367" s="29"/>
      <c r="F1367" s="29" t="s">
        <v>3686</v>
      </c>
      <c r="G1367" s="29"/>
      <c r="H1367" s="29" t="s">
        <v>3687</v>
      </c>
      <c r="I1367" s="29"/>
      <c r="J1367" s="29"/>
      <c r="K1367" s="29"/>
      <c r="L1367" s="29" t="s">
        <v>8409</v>
      </c>
      <c r="M1367" s="29"/>
      <c r="N1367" s="29" t="s">
        <v>3876</v>
      </c>
      <c r="O1367" s="29"/>
      <c r="P1367" s="29" t="s">
        <v>8429</v>
      </c>
      <c r="Q1367" t="s">
        <v>2038</v>
      </c>
      <c r="R1367" t="s">
        <v>2632</v>
      </c>
      <c r="S1367">
        <v>37</v>
      </c>
      <c r="T1367" s="43" t="str">
        <f>HYPERLINK("https://ictv.global/ictv/proposals/2021.063B.R.Peduoviridae.zip","2021.063B.R.Peduoviridae.zip")</f>
        <v>2021.063B.R.Peduoviridae.zip</v>
      </c>
      <c r="U1367" s="43" t="str">
        <f>HYPERLINK("https://ictv.global/taxonomy/taxondetails?taxnode_id=202212867","ictv.global=202212867")</f>
        <v>ictv.global=202212867</v>
      </c>
    </row>
    <row r="1368" spans="1:21">
      <c r="A1368">
        <v>1367</v>
      </c>
      <c r="B1368" s="29" t="s">
        <v>3682</v>
      </c>
      <c r="C1368" s="29"/>
      <c r="D1368" s="29" t="s">
        <v>3683</v>
      </c>
      <c r="E1368" s="29"/>
      <c r="F1368" s="29" t="s">
        <v>3686</v>
      </c>
      <c r="G1368" s="29"/>
      <c r="H1368" s="29" t="s">
        <v>3687</v>
      </c>
      <c r="I1368" s="29"/>
      <c r="J1368" s="29"/>
      <c r="K1368" s="29"/>
      <c r="L1368" s="29" t="s">
        <v>8409</v>
      </c>
      <c r="M1368" s="29"/>
      <c r="N1368" s="29" t="s">
        <v>8430</v>
      </c>
      <c r="O1368" s="29"/>
      <c r="P1368" s="29" t="s">
        <v>8431</v>
      </c>
      <c r="Q1368" t="s">
        <v>2038</v>
      </c>
      <c r="R1368" t="s">
        <v>2633</v>
      </c>
      <c r="S1368">
        <v>37</v>
      </c>
      <c r="T1368" s="43" t="str">
        <f>HYPERLINK("https://ictv.global/ictv/proposals/2021.063B.R.Peduoviridae.zip","2021.063B.R.Peduoviridae.zip")</f>
        <v>2021.063B.R.Peduoviridae.zip</v>
      </c>
      <c r="U1368" s="43" t="str">
        <f>HYPERLINK("https://ictv.global/taxonomy/taxondetails?taxnode_id=202211599","ictv.global=202211599")</f>
        <v>ictv.global=202211599</v>
      </c>
    </row>
    <row r="1369" spans="1:21">
      <c r="A1369">
        <v>1368</v>
      </c>
      <c r="B1369" s="29" t="s">
        <v>3682</v>
      </c>
      <c r="C1369" s="29"/>
      <c r="D1369" s="29" t="s">
        <v>3683</v>
      </c>
      <c r="E1369" s="29"/>
      <c r="F1369" s="29" t="s">
        <v>3686</v>
      </c>
      <c r="G1369" s="29"/>
      <c r="H1369" s="29" t="s">
        <v>3687</v>
      </c>
      <c r="I1369" s="29"/>
      <c r="J1369" s="29"/>
      <c r="K1369" s="29"/>
      <c r="L1369" s="29" t="s">
        <v>8409</v>
      </c>
      <c r="M1369" s="29"/>
      <c r="N1369" s="29" t="s">
        <v>8432</v>
      </c>
      <c r="O1369" s="29"/>
      <c r="P1369" s="29" t="s">
        <v>8433</v>
      </c>
      <c r="Q1369" t="s">
        <v>2038</v>
      </c>
      <c r="R1369" t="s">
        <v>2633</v>
      </c>
      <c r="S1369">
        <v>37</v>
      </c>
      <c r="T1369" s="43" t="str">
        <f>HYPERLINK("https://ictv.global/ictv/proposals/2021.063B.R.Peduoviridae.zip","2021.063B.R.Peduoviridae.zip")</f>
        <v>2021.063B.R.Peduoviridae.zip</v>
      </c>
      <c r="U1369" s="43" t="str">
        <f>HYPERLINK("https://ictv.global/taxonomy/taxondetails?taxnode_id=202200235","ictv.global=202200235")</f>
        <v>ictv.global=202200235</v>
      </c>
    </row>
    <row r="1370" spans="1:21">
      <c r="A1370">
        <v>1369</v>
      </c>
      <c r="B1370" s="29" t="s">
        <v>3682</v>
      </c>
      <c r="C1370" s="29"/>
      <c r="D1370" s="29" t="s">
        <v>3683</v>
      </c>
      <c r="E1370" s="29"/>
      <c r="F1370" s="29" t="s">
        <v>3686</v>
      </c>
      <c r="G1370" s="29"/>
      <c r="H1370" s="29" t="s">
        <v>3687</v>
      </c>
      <c r="I1370" s="29"/>
      <c r="J1370" s="29"/>
      <c r="K1370" s="29"/>
      <c r="L1370" s="29" t="s">
        <v>8409</v>
      </c>
      <c r="M1370" s="29"/>
      <c r="N1370" s="29" t="s">
        <v>8434</v>
      </c>
      <c r="O1370" s="29"/>
      <c r="P1370" s="29" t="s">
        <v>8435</v>
      </c>
      <c r="Q1370" t="s">
        <v>2038</v>
      </c>
      <c r="R1370" t="s">
        <v>2632</v>
      </c>
      <c r="S1370">
        <v>38</v>
      </c>
      <c r="T1370" s="43" t="str">
        <f>HYPERLINK("https://ictv.global/ictv/proposals/2022.062B.Peduoviridae_6ng_19nsp.zip","2022.062B.Peduoviridae_6ng_19nsp.zip")</f>
        <v>2022.062B.Peduoviridae_6ng_19nsp.zip</v>
      </c>
      <c r="U1370" s="43" t="str">
        <f>HYPERLINK("https://ictv.global/taxonomy/taxondetails?taxnode_id=202214739","ictv.global=202214739")</f>
        <v>ictv.global=202214739</v>
      </c>
    </row>
    <row r="1371" spans="1:21">
      <c r="A1371">
        <v>1370</v>
      </c>
      <c r="B1371" s="29" t="s">
        <v>3682</v>
      </c>
      <c r="C1371" s="29"/>
      <c r="D1371" s="29" t="s">
        <v>3683</v>
      </c>
      <c r="E1371" s="29"/>
      <c r="F1371" s="29" t="s">
        <v>3686</v>
      </c>
      <c r="G1371" s="29"/>
      <c r="H1371" s="29" t="s">
        <v>3687</v>
      </c>
      <c r="I1371" s="29"/>
      <c r="J1371" s="29"/>
      <c r="K1371" s="29"/>
      <c r="L1371" s="29" t="s">
        <v>8409</v>
      </c>
      <c r="M1371" s="29"/>
      <c r="N1371" s="29" t="s">
        <v>8434</v>
      </c>
      <c r="O1371" s="29"/>
      <c r="P1371" s="29" t="s">
        <v>8436</v>
      </c>
      <c r="Q1371" t="s">
        <v>2038</v>
      </c>
      <c r="R1371" t="s">
        <v>2632</v>
      </c>
      <c r="S1371">
        <v>38</v>
      </c>
      <c r="T1371" s="43" t="str">
        <f>HYPERLINK("https://ictv.global/ictv/proposals/2022.062B.Peduoviridae_6ng_19nsp.zip","2022.062B.Peduoviridae_6ng_19nsp.zip")</f>
        <v>2022.062B.Peduoviridae_6ng_19nsp.zip</v>
      </c>
      <c r="U1371" s="43" t="str">
        <f>HYPERLINK("https://ictv.global/taxonomy/taxondetails?taxnode_id=202214740","ictv.global=202214740")</f>
        <v>ictv.global=202214740</v>
      </c>
    </row>
    <row r="1372" spans="1:21">
      <c r="A1372">
        <v>1371</v>
      </c>
      <c r="B1372" s="29" t="s">
        <v>3682</v>
      </c>
      <c r="C1372" s="29"/>
      <c r="D1372" s="29" t="s">
        <v>3683</v>
      </c>
      <c r="E1372" s="29"/>
      <c r="F1372" s="29" t="s">
        <v>3686</v>
      </c>
      <c r="G1372" s="29"/>
      <c r="H1372" s="29" t="s">
        <v>3687</v>
      </c>
      <c r="I1372" s="29"/>
      <c r="J1372" s="29"/>
      <c r="K1372" s="29"/>
      <c r="L1372" s="29" t="s">
        <v>8409</v>
      </c>
      <c r="M1372" s="29"/>
      <c r="N1372" s="29" t="s">
        <v>8434</v>
      </c>
      <c r="O1372" s="29"/>
      <c r="P1372" s="29" t="s">
        <v>8437</v>
      </c>
      <c r="Q1372" t="s">
        <v>2038</v>
      </c>
      <c r="R1372" t="s">
        <v>2632</v>
      </c>
      <c r="S1372">
        <v>38</v>
      </c>
      <c r="T1372" s="43" t="str">
        <f>HYPERLINK("https://ictv.global/ictv/proposals/2022.062B.Peduoviridae_6ng_19nsp.zip","2022.062B.Peduoviridae_6ng_19nsp.zip")</f>
        <v>2022.062B.Peduoviridae_6ng_19nsp.zip</v>
      </c>
      <c r="U1372" s="43" t="str">
        <f>HYPERLINK("https://ictv.global/taxonomy/taxondetails?taxnode_id=202214738","ictv.global=202214738")</f>
        <v>ictv.global=202214738</v>
      </c>
    </row>
    <row r="1373" spans="1:21">
      <c r="A1373">
        <v>1372</v>
      </c>
      <c r="B1373" s="29" t="s">
        <v>3682</v>
      </c>
      <c r="C1373" s="29"/>
      <c r="D1373" s="29" t="s">
        <v>3683</v>
      </c>
      <c r="E1373" s="29"/>
      <c r="F1373" s="29" t="s">
        <v>3686</v>
      </c>
      <c r="G1373" s="29"/>
      <c r="H1373" s="29" t="s">
        <v>3687</v>
      </c>
      <c r="I1373" s="29"/>
      <c r="J1373" s="29"/>
      <c r="K1373" s="29"/>
      <c r="L1373" s="29" t="s">
        <v>8409</v>
      </c>
      <c r="M1373" s="29"/>
      <c r="N1373" s="29" t="s">
        <v>3877</v>
      </c>
      <c r="O1373" s="29"/>
      <c r="P1373" s="29" t="s">
        <v>8438</v>
      </c>
      <c r="Q1373" t="s">
        <v>2038</v>
      </c>
      <c r="R1373" t="s">
        <v>2632</v>
      </c>
      <c r="S1373">
        <v>38</v>
      </c>
      <c r="T1373" s="43" t="str">
        <f>HYPERLINK("https://ictv.global/ictv/proposals/2022.062B.Peduoviridae_6ng_19nsp.zip","2022.062B.Peduoviridae_6ng_19nsp.zip")</f>
        <v>2022.062B.Peduoviridae_6ng_19nsp.zip</v>
      </c>
      <c r="U1373" s="43" t="str">
        <f>HYPERLINK("https://ictv.global/taxonomy/taxondetails?taxnode_id=202214735","ictv.global=202214735")</f>
        <v>ictv.global=202214735</v>
      </c>
    </row>
    <row r="1374" spans="1:21">
      <c r="A1374">
        <v>1373</v>
      </c>
      <c r="B1374" s="29" t="s">
        <v>3682</v>
      </c>
      <c r="C1374" s="29"/>
      <c r="D1374" s="29" t="s">
        <v>3683</v>
      </c>
      <c r="E1374" s="29"/>
      <c r="F1374" s="29" t="s">
        <v>3686</v>
      </c>
      <c r="G1374" s="29"/>
      <c r="H1374" s="29" t="s">
        <v>3687</v>
      </c>
      <c r="I1374" s="29"/>
      <c r="J1374" s="29"/>
      <c r="K1374" s="29"/>
      <c r="L1374" s="29" t="s">
        <v>8409</v>
      </c>
      <c r="M1374" s="29"/>
      <c r="N1374" s="29" t="s">
        <v>3877</v>
      </c>
      <c r="O1374" s="29"/>
      <c r="P1374" s="29" t="s">
        <v>8439</v>
      </c>
      <c r="Q1374" t="s">
        <v>2038</v>
      </c>
      <c r="R1374" t="s">
        <v>2633</v>
      </c>
      <c r="S1374">
        <v>37</v>
      </c>
      <c r="T1374" s="43" t="str">
        <f>HYPERLINK("https://ictv.global/ictv/proposals/2021.010B.R.Binomial_names.zip","2021.010B.R.Binomial_names.zip")</f>
        <v>2021.010B.R.Binomial_names.zip</v>
      </c>
      <c r="U1374" s="43" t="str">
        <f>HYPERLINK("https://ictv.global/taxonomy/taxondetails?taxnode_id=202207973","ictv.global=202207973")</f>
        <v>ictv.global=202207973</v>
      </c>
    </row>
    <row r="1375" spans="1:21">
      <c r="A1375">
        <v>1374</v>
      </c>
      <c r="B1375" s="29" t="s">
        <v>3682</v>
      </c>
      <c r="C1375" s="29"/>
      <c r="D1375" s="29" t="s">
        <v>3683</v>
      </c>
      <c r="E1375" s="29"/>
      <c r="F1375" s="29" t="s">
        <v>3686</v>
      </c>
      <c r="G1375" s="29"/>
      <c r="H1375" s="29" t="s">
        <v>3687</v>
      </c>
      <c r="I1375" s="29"/>
      <c r="J1375" s="29"/>
      <c r="K1375" s="29"/>
      <c r="L1375" s="29" t="s">
        <v>8409</v>
      </c>
      <c r="M1375" s="29"/>
      <c r="N1375" s="29" t="s">
        <v>3877</v>
      </c>
      <c r="O1375" s="29"/>
      <c r="P1375" s="29" t="s">
        <v>8440</v>
      </c>
      <c r="Q1375" t="s">
        <v>2038</v>
      </c>
      <c r="R1375" t="s">
        <v>2633</v>
      </c>
      <c r="S1375">
        <v>37</v>
      </c>
      <c r="T1375" s="43" t="str">
        <f>HYPERLINK("https://ictv.global/ictv/proposals/2021.010B.R.Binomial_names.zip","2021.010B.R.Binomial_names.zip")</f>
        <v>2021.010B.R.Binomial_names.zip</v>
      </c>
      <c r="U1375" s="43" t="str">
        <f>HYPERLINK("https://ictv.global/taxonomy/taxondetails?taxnode_id=202200237","ictv.global=202200237")</f>
        <v>ictv.global=202200237</v>
      </c>
    </row>
    <row r="1376" spans="1:21">
      <c r="A1376">
        <v>1375</v>
      </c>
      <c r="B1376" s="29" t="s">
        <v>3682</v>
      </c>
      <c r="C1376" s="29"/>
      <c r="D1376" s="29" t="s">
        <v>3683</v>
      </c>
      <c r="E1376" s="29"/>
      <c r="F1376" s="29" t="s">
        <v>3686</v>
      </c>
      <c r="G1376" s="29"/>
      <c r="H1376" s="29" t="s">
        <v>3687</v>
      </c>
      <c r="I1376" s="29"/>
      <c r="J1376" s="29"/>
      <c r="K1376" s="29"/>
      <c r="L1376" s="29" t="s">
        <v>8409</v>
      </c>
      <c r="M1376" s="29"/>
      <c r="N1376" s="29" t="s">
        <v>3877</v>
      </c>
      <c r="O1376" s="29"/>
      <c r="P1376" s="29" t="s">
        <v>8441</v>
      </c>
      <c r="Q1376" t="s">
        <v>2038</v>
      </c>
      <c r="R1376" t="s">
        <v>2633</v>
      </c>
      <c r="S1376">
        <v>37</v>
      </c>
      <c r="T1376" s="43" t="str">
        <f>HYPERLINK("https://ictv.global/ictv/proposals/2021.010B.R.Binomial_names.zip","2021.010B.R.Binomial_names.zip")</f>
        <v>2021.010B.R.Binomial_names.zip</v>
      </c>
      <c r="U1376" s="43" t="str">
        <f>HYPERLINK("https://ictv.global/taxonomy/taxondetails?taxnode_id=202200244","ictv.global=202200244")</f>
        <v>ictv.global=202200244</v>
      </c>
    </row>
    <row r="1377" spans="1:21">
      <c r="A1377">
        <v>1376</v>
      </c>
      <c r="B1377" s="29" t="s">
        <v>3682</v>
      </c>
      <c r="C1377" s="29"/>
      <c r="D1377" s="29" t="s">
        <v>3683</v>
      </c>
      <c r="E1377" s="29"/>
      <c r="F1377" s="29" t="s">
        <v>3686</v>
      </c>
      <c r="G1377" s="29"/>
      <c r="H1377" s="29" t="s">
        <v>3687</v>
      </c>
      <c r="I1377" s="29"/>
      <c r="J1377" s="29"/>
      <c r="K1377" s="29"/>
      <c r="L1377" s="29" t="s">
        <v>8409</v>
      </c>
      <c r="M1377" s="29"/>
      <c r="N1377" s="29" t="s">
        <v>3877</v>
      </c>
      <c r="O1377" s="29"/>
      <c r="P1377" s="29" t="s">
        <v>8442</v>
      </c>
      <c r="Q1377" t="s">
        <v>2038</v>
      </c>
      <c r="R1377" t="s">
        <v>2633</v>
      </c>
      <c r="S1377">
        <v>37</v>
      </c>
      <c r="T1377" s="43" t="str">
        <f>HYPERLINK("https://ictv.global/ictv/proposals/2021.010B.R.Binomial_names.zip","2021.010B.R.Binomial_names.zip")</f>
        <v>2021.010B.R.Binomial_names.zip</v>
      </c>
      <c r="U1377" s="43" t="str">
        <f>HYPERLINK("https://ictv.global/taxonomy/taxondetails?taxnode_id=202207972","ictv.global=202207972")</f>
        <v>ictv.global=202207972</v>
      </c>
    </row>
    <row r="1378" spans="1:21">
      <c r="A1378">
        <v>1377</v>
      </c>
      <c r="B1378" s="29" t="s">
        <v>3682</v>
      </c>
      <c r="C1378" s="29"/>
      <c r="D1378" s="29" t="s">
        <v>3683</v>
      </c>
      <c r="E1378" s="29"/>
      <c r="F1378" s="29" t="s">
        <v>3686</v>
      </c>
      <c r="G1378" s="29"/>
      <c r="H1378" s="29" t="s">
        <v>3687</v>
      </c>
      <c r="I1378" s="29"/>
      <c r="J1378" s="29"/>
      <c r="K1378" s="29"/>
      <c r="L1378" s="29" t="s">
        <v>8409</v>
      </c>
      <c r="M1378" s="29"/>
      <c r="N1378" s="29" t="s">
        <v>3877</v>
      </c>
      <c r="O1378" s="29"/>
      <c r="P1378" s="29" t="s">
        <v>8443</v>
      </c>
      <c r="Q1378" t="s">
        <v>2038</v>
      </c>
      <c r="R1378" t="s">
        <v>2633</v>
      </c>
      <c r="S1378">
        <v>37</v>
      </c>
      <c r="T1378" s="43" t="str">
        <f>HYPERLINK("https://ictv.global/ictv/proposals/2021.010B.R.Binomial_names.zip","2021.010B.R.Binomial_names.zip")</f>
        <v>2021.010B.R.Binomial_names.zip</v>
      </c>
      <c r="U1378" s="43" t="str">
        <f>HYPERLINK("https://ictv.global/taxonomy/taxondetails?taxnode_id=202211607","ictv.global=202211607")</f>
        <v>ictv.global=202211607</v>
      </c>
    </row>
    <row r="1379" spans="1:21">
      <c r="A1379">
        <v>1378</v>
      </c>
      <c r="B1379" s="29" t="s">
        <v>3682</v>
      </c>
      <c r="C1379" s="29"/>
      <c r="D1379" s="29" t="s">
        <v>3683</v>
      </c>
      <c r="E1379" s="29"/>
      <c r="F1379" s="29" t="s">
        <v>3686</v>
      </c>
      <c r="G1379" s="29"/>
      <c r="H1379" s="29" t="s">
        <v>3687</v>
      </c>
      <c r="I1379" s="29"/>
      <c r="J1379" s="29"/>
      <c r="K1379" s="29"/>
      <c r="L1379" s="29" t="s">
        <v>8409</v>
      </c>
      <c r="M1379" s="29"/>
      <c r="N1379" s="29" t="s">
        <v>8444</v>
      </c>
      <c r="O1379" s="29"/>
      <c r="P1379" s="29" t="s">
        <v>8445</v>
      </c>
      <c r="Q1379" t="s">
        <v>2038</v>
      </c>
      <c r="R1379" t="s">
        <v>2633</v>
      </c>
      <c r="S1379">
        <v>37</v>
      </c>
      <c r="T1379" s="43" t="str">
        <f>HYPERLINK("https://ictv.global/ictv/proposals/2021.063B.R.Peduoviridae.zip","2021.063B.R.Peduoviridae.zip")</f>
        <v>2021.063B.R.Peduoviridae.zip</v>
      </c>
      <c r="U1379" s="43" t="str">
        <f>HYPERLINK("https://ictv.global/taxonomy/taxondetails?taxnode_id=202207956","ictv.global=202207956")</f>
        <v>ictv.global=202207956</v>
      </c>
    </row>
    <row r="1380" spans="1:21">
      <c r="A1380">
        <v>1379</v>
      </c>
      <c r="B1380" s="29" t="s">
        <v>3682</v>
      </c>
      <c r="C1380" s="29"/>
      <c r="D1380" s="29" t="s">
        <v>3683</v>
      </c>
      <c r="E1380" s="29"/>
      <c r="F1380" s="29" t="s">
        <v>3686</v>
      </c>
      <c r="G1380" s="29"/>
      <c r="H1380" s="29" t="s">
        <v>3687</v>
      </c>
      <c r="I1380" s="29"/>
      <c r="J1380" s="29"/>
      <c r="K1380" s="29"/>
      <c r="L1380" s="29" t="s">
        <v>8409</v>
      </c>
      <c r="M1380" s="29"/>
      <c r="N1380" s="29" t="s">
        <v>8444</v>
      </c>
      <c r="O1380" s="29"/>
      <c r="P1380" s="29" t="s">
        <v>8446</v>
      </c>
      <c r="Q1380" t="s">
        <v>2038</v>
      </c>
      <c r="R1380" t="s">
        <v>2632</v>
      </c>
      <c r="S1380">
        <v>38</v>
      </c>
      <c r="T1380" s="43" t="str">
        <f>HYPERLINK("https://ictv.global/ictv/proposals/2022.062B.Peduoviridae_6ng_19nsp.zip","2022.062B.Peduoviridae_6ng_19nsp.zip")</f>
        <v>2022.062B.Peduoviridae_6ng_19nsp.zip</v>
      </c>
      <c r="U1380" s="43" t="str">
        <f>HYPERLINK("https://ictv.global/taxonomy/taxondetails?taxnode_id=202214733","ictv.global=202214733")</f>
        <v>ictv.global=202214733</v>
      </c>
    </row>
    <row r="1381" spans="1:21">
      <c r="A1381">
        <v>1380</v>
      </c>
      <c r="B1381" s="29" t="s">
        <v>3682</v>
      </c>
      <c r="C1381" s="29"/>
      <c r="D1381" s="29" t="s">
        <v>3683</v>
      </c>
      <c r="E1381" s="29"/>
      <c r="F1381" s="29" t="s">
        <v>3686</v>
      </c>
      <c r="G1381" s="29"/>
      <c r="H1381" s="29" t="s">
        <v>3687</v>
      </c>
      <c r="I1381" s="29"/>
      <c r="J1381" s="29"/>
      <c r="K1381" s="29"/>
      <c r="L1381" s="29" t="s">
        <v>8409</v>
      </c>
      <c r="M1381" s="29"/>
      <c r="N1381" s="29" t="s">
        <v>3878</v>
      </c>
      <c r="O1381" s="29"/>
      <c r="P1381" s="29" t="s">
        <v>8447</v>
      </c>
      <c r="Q1381" t="s">
        <v>2038</v>
      </c>
      <c r="R1381" t="s">
        <v>2633</v>
      </c>
      <c r="S1381">
        <v>37</v>
      </c>
      <c r="T1381" s="43" t="str">
        <f>HYPERLINK("https://ictv.global/ictv/proposals/2021.010B.R.Binomial_names.zip","2021.010B.R.Binomial_names.zip")</f>
        <v>2021.010B.R.Binomial_names.zip</v>
      </c>
      <c r="U1381" s="43" t="str">
        <f>HYPERLINK("https://ictv.global/taxonomy/taxondetails?taxnode_id=202207950","ictv.global=202207950")</f>
        <v>ictv.global=202207950</v>
      </c>
    </row>
    <row r="1382" spans="1:21">
      <c r="A1382">
        <v>1381</v>
      </c>
      <c r="B1382" s="29" t="s">
        <v>3682</v>
      </c>
      <c r="C1382" s="29"/>
      <c r="D1382" s="29" t="s">
        <v>3683</v>
      </c>
      <c r="E1382" s="29"/>
      <c r="F1382" s="29" t="s">
        <v>3686</v>
      </c>
      <c r="G1382" s="29"/>
      <c r="H1382" s="29" t="s">
        <v>3687</v>
      </c>
      <c r="I1382" s="29"/>
      <c r="J1382" s="29"/>
      <c r="K1382" s="29"/>
      <c r="L1382" s="29" t="s">
        <v>8409</v>
      </c>
      <c r="M1382" s="29"/>
      <c r="N1382" s="29" t="s">
        <v>8448</v>
      </c>
      <c r="O1382" s="29"/>
      <c r="P1382" s="29" t="s">
        <v>8449</v>
      </c>
      <c r="Q1382" t="s">
        <v>2038</v>
      </c>
      <c r="R1382" t="s">
        <v>2633</v>
      </c>
      <c r="S1382">
        <v>37</v>
      </c>
      <c r="T1382" s="43" t="str">
        <f>HYPERLINK("https://ictv.global/ictv/proposals/2021.063B.R.Peduoviridae.zip","2021.063B.R.Peduoviridae.zip")</f>
        <v>2021.063B.R.Peduoviridae.zip</v>
      </c>
      <c r="U1382" s="43" t="str">
        <f>HYPERLINK("https://ictv.global/taxonomy/taxondetails?taxnode_id=202211587","ictv.global=202211587")</f>
        <v>ictv.global=202211587</v>
      </c>
    </row>
    <row r="1383" spans="1:21">
      <c r="A1383">
        <v>1382</v>
      </c>
      <c r="B1383" s="29" t="s">
        <v>3682</v>
      </c>
      <c r="C1383" s="29"/>
      <c r="D1383" s="29" t="s">
        <v>3683</v>
      </c>
      <c r="E1383" s="29"/>
      <c r="F1383" s="29" t="s">
        <v>3686</v>
      </c>
      <c r="G1383" s="29"/>
      <c r="H1383" s="29" t="s">
        <v>3687</v>
      </c>
      <c r="I1383" s="29"/>
      <c r="J1383" s="29"/>
      <c r="K1383" s="29"/>
      <c r="L1383" s="29" t="s">
        <v>8409</v>
      </c>
      <c r="M1383" s="29"/>
      <c r="N1383" s="29" t="s">
        <v>3879</v>
      </c>
      <c r="O1383" s="29"/>
      <c r="P1383" s="29" t="s">
        <v>8450</v>
      </c>
      <c r="Q1383" t="s">
        <v>2038</v>
      </c>
      <c r="R1383" t="s">
        <v>2633</v>
      </c>
      <c r="S1383">
        <v>37</v>
      </c>
      <c r="T1383" s="43" t="str">
        <f>HYPERLINK("https://ictv.global/ictv/proposals/2021.010B.R.Binomial_names.zip","2021.010B.R.Binomial_names.zip")</f>
        <v>2021.010B.R.Binomial_names.zip</v>
      </c>
      <c r="U1383" s="43" t="str">
        <f>HYPERLINK("https://ictv.global/taxonomy/taxondetails?taxnode_id=202200243","ictv.global=202200243")</f>
        <v>ictv.global=202200243</v>
      </c>
    </row>
    <row r="1384" spans="1:21">
      <c r="A1384">
        <v>1383</v>
      </c>
      <c r="B1384" s="29" t="s">
        <v>3682</v>
      </c>
      <c r="C1384" s="29"/>
      <c r="D1384" s="29" t="s">
        <v>3683</v>
      </c>
      <c r="E1384" s="29"/>
      <c r="F1384" s="29" t="s">
        <v>3686</v>
      </c>
      <c r="G1384" s="29"/>
      <c r="H1384" s="29" t="s">
        <v>3687</v>
      </c>
      <c r="I1384" s="29"/>
      <c r="J1384" s="29"/>
      <c r="K1384" s="29"/>
      <c r="L1384" s="29" t="s">
        <v>8409</v>
      </c>
      <c r="M1384" s="29"/>
      <c r="N1384" s="29" t="s">
        <v>3879</v>
      </c>
      <c r="O1384" s="29"/>
      <c r="P1384" s="29" t="s">
        <v>8451</v>
      </c>
      <c r="Q1384" t="s">
        <v>2038</v>
      </c>
      <c r="R1384" t="s">
        <v>2632</v>
      </c>
      <c r="S1384">
        <v>37</v>
      </c>
      <c r="T1384" s="43" t="str">
        <f>HYPERLINK("https://ictv.global/ictv/proposals/2021.063B.R.Peduoviridae.zip","2021.063B.R.Peduoviridae.zip")</f>
        <v>2021.063B.R.Peduoviridae.zip</v>
      </c>
      <c r="U1384" s="43" t="str">
        <f>HYPERLINK("https://ictv.global/taxonomy/taxondetails?taxnode_id=202212871","ictv.global=202212871")</f>
        <v>ictv.global=202212871</v>
      </c>
    </row>
    <row r="1385" spans="1:21">
      <c r="A1385">
        <v>1384</v>
      </c>
      <c r="B1385" s="29" t="s">
        <v>3682</v>
      </c>
      <c r="C1385" s="29"/>
      <c r="D1385" s="29" t="s">
        <v>3683</v>
      </c>
      <c r="E1385" s="29"/>
      <c r="F1385" s="29" t="s">
        <v>3686</v>
      </c>
      <c r="G1385" s="29"/>
      <c r="H1385" s="29" t="s">
        <v>3687</v>
      </c>
      <c r="I1385" s="29"/>
      <c r="J1385" s="29"/>
      <c r="K1385" s="29"/>
      <c r="L1385" s="29" t="s">
        <v>8409</v>
      </c>
      <c r="M1385" s="29"/>
      <c r="N1385" s="29" t="s">
        <v>3879</v>
      </c>
      <c r="O1385" s="29"/>
      <c r="P1385" s="29" t="s">
        <v>8452</v>
      </c>
      <c r="Q1385" t="s">
        <v>2038</v>
      </c>
      <c r="R1385" t="s">
        <v>2633</v>
      </c>
      <c r="S1385">
        <v>37</v>
      </c>
      <c r="T1385" s="43" t="str">
        <f>HYPERLINK("https://ictv.global/ictv/proposals/2021.010B.R.Binomial_names.zip","2021.010B.R.Binomial_names.zip")</f>
        <v>2021.010B.R.Binomial_names.zip</v>
      </c>
      <c r="U1385" s="43" t="str">
        <f>HYPERLINK("https://ictv.global/taxonomy/taxondetails?taxnode_id=202207957","ictv.global=202207957")</f>
        <v>ictv.global=202207957</v>
      </c>
    </row>
    <row r="1386" spans="1:21">
      <c r="A1386">
        <v>1385</v>
      </c>
      <c r="B1386" s="29" t="s">
        <v>3682</v>
      </c>
      <c r="C1386" s="29"/>
      <c r="D1386" s="29" t="s">
        <v>3683</v>
      </c>
      <c r="E1386" s="29"/>
      <c r="F1386" s="29" t="s">
        <v>3686</v>
      </c>
      <c r="G1386" s="29"/>
      <c r="H1386" s="29" t="s">
        <v>3687</v>
      </c>
      <c r="I1386" s="29"/>
      <c r="J1386" s="29"/>
      <c r="K1386" s="29"/>
      <c r="L1386" s="29" t="s">
        <v>8409</v>
      </c>
      <c r="M1386" s="29"/>
      <c r="N1386" s="29" t="s">
        <v>3879</v>
      </c>
      <c r="O1386" s="29"/>
      <c r="P1386" s="29" t="s">
        <v>8453</v>
      </c>
      <c r="Q1386" t="s">
        <v>2038</v>
      </c>
      <c r="R1386" t="s">
        <v>2633</v>
      </c>
      <c r="S1386">
        <v>37</v>
      </c>
      <c r="T1386" s="43" t="str">
        <f>HYPERLINK("https://ictv.global/ictv/proposals/2021.010B.R.Binomial_names.zip","2021.010B.R.Binomial_names.zip")</f>
        <v>2021.010B.R.Binomial_names.zip</v>
      </c>
      <c r="U1386" s="43" t="str">
        <f>HYPERLINK("https://ictv.global/taxonomy/taxondetails?taxnode_id=202207958","ictv.global=202207958")</f>
        <v>ictv.global=202207958</v>
      </c>
    </row>
    <row r="1387" spans="1:21">
      <c r="A1387">
        <v>1386</v>
      </c>
      <c r="B1387" s="29" t="s">
        <v>3682</v>
      </c>
      <c r="C1387" s="29"/>
      <c r="D1387" s="29" t="s">
        <v>3683</v>
      </c>
      <c r="E1387" s="29"/>
      <c r="F1387" s="29" t="s">
        <v>3686</v>
      </c>
      <c r="G1387" s="29"/>
      <c r="H1387" s="29" t="s">
        <v>3687</v>
      </c>
      <c r="I1387" s="29"/>
      <c r="J1387" s="29"/>
      <c r="K1387" s="29"/>
      <c r="L1387" s="29" t="s">
        <v>8409</v>
      </c>
      <c r="M1387" s="29"/>
      <c r="N1387" s="29" t="s">
        <v>3879</v>
      </c>
      <c r="O1387" s="29"/>
      <c r="P1387" s="29" t="s">
        <v>8454</v>
      </c>
      <c r="Q1387" t="s">
        <v>2038</v>
      </c>
      <c r="R1387" t="s">
        <v>2633</v>
      </c>
      <c r="S1387">
        <v>37</v>
      </c>
      <c r="T1387" s="43" t="str">
        <f>HYPERLINK("https://ictv.global/ictv/proposals/2021.010B.R.Binomial_names.zip","2021.010B.R.Binomial_names.zip")</f>
        <v>2021.010B.R.Binomial_names.zip</v>
      </c>
      <c r="U1387" s="43" t="str">
        <f>HYPERLINK("https://ictv.global/taxonomy/taxondetails?taxnode_id=202200245","ictv.global=202200245")</f>
        <v>ictv.global=202200245</v>
      </c>
    </row>
    <row r="1388" spans="1:21">
      <c r="A1388">
        <v>1387</v>
      </c>
      <c r="B1388" s="29" t="s">
        <v>3682</v>
      </c>
      <c r="C1388" s="29"/>
      <c r="D1388" s="29" t="s">
        <v>3683</v>
      </c>
      <c r="E1388" s="29"/>
      <c r="F1388" s="29" t="s">
        <v>3686</v>
      </c>
      <c r="G1388" s="29"/>
      <c r="H1388" s="29" t="s">
        <v>3687</v>
      </c>
      <c r="I1388" s="29"/>
      <c r="J1388" s="29"/>
      <c r="K1388" s="29"/>
      <c r="L1388" s="29" t="s">
        <v>8409</v>
      </c>
      <c r="M1388" s="29"/>
      <c r="N1388" s="29" t="s">
        <v>3879</v>
      </c>
      <c r="O1388" s="29"/>
      <c r="P1388" s="29" t="s">
        <v>8455</v>
      </c>
      <c r="Q1388" t="s">
        <v>2038</v>
      </c>
      <c r="R1388" t="s">
        <v>2633</v>
      </c>
      <c r="S1388">
        <v>37</v>
      </c>
      <c r="T1388" s="43" t="str">
        <f>HYPERLINK("https://ictv.global/ictv/proposals/2021.010B.R.Binomial_names.zip","2021.010B.R.Binomial_names.zip")</f>
        <v>2021.010B.R.Binomial_names.zip</v>
      </c>
      <c r="U1388" s="43" t="str">
        <f>HYPERLINK("https://ictv.global/taxonomy/taxondetails?taxnode_id=202211601","ictv.global=202211601")</f>
        <v>ictv.global=202211601</v>
      </c>
    </row>
    <row r="1389" spans="1:21">
      <c r="A1389">
        <v>1388</v>
      </c>
      <c r="B1389" s="29" t="s">
        <v>3682</v>
      </c>
      <c r="C1389" s="29"/>
      <c r="D1389" s="29" t="s">
        <v>3683</v>
      </c>
      <c r="E1389" s="29"/>
      <c r="F1389" s="29" t="s">
        <v>3686</v>
      </c>
      <c r="G1389" s="29"/>
      <c r="H1389" s="29" t="s">
        <v>3687</v>
      </c>
      <c r="I1389" s="29"/>
      <c r="J1389" s="29"/>
      <c r="K1389" s="29"/>
      <c r="L1389" s="29" t="s">
        <v>8409</v>
      </c>
      <c r="M1389" s="29"/>
      <c r="N1389" s="29" t="s">
        <v>8456</v>
      </c>
      <c r="O1389" s="29"/>
      <c r="P1389" s="29" t="s">
        <v>8457</v>
      </c>
      <c r="Q1389" t="s">
        <v>2038</v>
      </c>
      <c r="R1389" t="s">
        <v>2632</v>
      </c>
      <c r="S1389">
        <v>37</v>
      </c>
      <c r="T1389" s="43" t="str">
        <f>HYPERLINK("https://ictv.global/ictv/proposals/2021.063B.R.Peduoviridae.zip","2021.063B.R.Peduoviridae.zip")</f>
        <v>2021.063B.R.Peduoviridae.zip</v>
      </c>
      <c r="U1389" s="43" t="str">
        <f>HYPERLINK("https://ictv.global/taxonomy/taxondetails?taxnode_id=202212864","ictv.global=202212864")</f>
        <v>ictv.global=202212864</v>
      </c>
    </row>
    <row r="1390" spans="1:21">
      <c r="A1390">
        <v>1389</v>
      </c>
      <c r="B1390" s="29" t="s">
        <v>3682</v>
      </c>
      <c r="C1390" s="29"/>
      <c r="D1390" s="29" t="s">
        <v>3683</v>
      </c>
      <c r="E1390" s="29"/>
      <c r="F1390" s="29" t="s">
        <v>3686</v>
      </c>
      <c r="G1390" s="29"/>
      <c r="H1390" s="29" t="s">
        <v>3687</v>
      </c>
      <c r="I1390" s="29"/>
      <c r="J1390" s="29"/>
      <c r="K1390" s="29"/>
      <c r="L1390" s="29" t="s">
        <v>8409</v>
      </c>
      <c r="M1390" s="29"/>
      <c r="N1390" s="29" t="s">
        <v>8458</v>
      </c>
      <c r="O1390" s="29"/>
      <c r="P1390" s="29" t="s">
        <v>8459</v>
      </c>
      <c r="Q1390" t="s">
        <v>2038</v>
      </c>
      <c r="R1390" t="s">
        <v>2632</v>
      </c>
      <c r="S1390">
        <v>38</v>
      </c>
      <c r="T1390" s="43" t="str">
        <f>HYPERLINK("https://ictv.global/ictv/proposals/2022.062B.Peduoviridae_6ng_19nsp.zip","2022.062B.Peduoviridae_6ng_19nsp.zip")</f>
        <v>2022.062B.Peduoviridae_6ng_19nsp.zip</v>
      </c>
      <c r="U1390" s="43" t="str">
        <f>HYPERLINK("https://ictv.global/taxonomy/taxondetails?taxnode_id=202214737","ictv.global=202214737")</f>
        <v>ictv.global=202214737</v>
      </c>
    </row>
    <row r="1391" spans="1:21">
      <c r="A1391">
        <v>1390</v>
      </c>
      <c r="B1391" s="29" t="s">
        <v>3682</v>
      </c>
      <c r="C1391" s="29"/>
      <c r="D1391" s="29" t="s">
        <v>3683</v>
      </c>
      <c r="E1391" s="29"/>
      <c r="F1391" s="29" t="s">
        <v>3686</v>
      </c>
      <c r="G1391" s="29"/>
      <c r="H1391" s="29" t="s">
        <v>3687</v>
      </c>
      <c r="I1391" s="29"/>
      <c r="J1391" s="29"/>
      <c r="K1391" s="29"/>
      <c r="L1391" s="29" t="s">
        <v>8409</v>
      </c>
      <c r="M1391" s="29"/>
      <c r="N1391" s="29" t="s">
        <v>8460</v>
      </c>
      <c r="O1391" s="29"/>
      <c r="P1391" s="29" t="s">
        <v>8461</v>
      </c>
      <c r="Q1391" t="s">
        <v>2038</v>
      </c>
      <c r="R1391" t="s">
        <v>2633</v>
      </c>
      <c r="S1391">
        <v>37</v>
      </c>
      <c r="T1391" s="43" t="str">
        <f>HYPERLINK("https://ictv.global/ictv/proposals/2021.063B.R.Peduoviridae.zip","2021.063B.R.Peduoviridae.zip")</f>
        <v>2021.063B.R.Peduoviridae.zip</v>
      </c>
      <c r="U1391" s="43" t="str">
        <f>HYPERLINK("https://ictv.global/taxonomy/taxondetails?taxnode_id=202211603","ictv.global=202211603")</f>
        <v>ictv.global=202211603</v>
      </c>
    </row>
    <row r="1392" spans="1:21">
      <c r="A1392">
        <v>1391</v>
      </c>
      <c r="B1392" s="29" t="s">
        <v>3682</v>
      </c>
      <c r="C1392" s="29"/>
      <c r="D1392" s="29" t="s">
        <v>3683</v>
      </c>
      <c r="E1392" s="29"/>
      <c r="F1392" s="29" t="s">
        <v>3686</v>
      </c>
      <c r="G1392" s="29"/>
      <c r="H1392" s="29" t="s">
        <v>3687</v>
      </c>
      <c r="I1392" s="29"/>
      <c r="J1392" s="29"/>
      <c r="K1392" s="29"/>
      <c r="L1392" s="29" t="s">
        <v>8409</v>
      </c>
      <c r="M1392" s="29"/>
      <c r="N1392" s="29" t="s">
        <v>8462</v>
      </c>
      <c r="O1392" s="29"/>
      <c r="P1392" s="29" t="s">
        <v>8463</v>
      </c>
      <c r="Q1392" t="s">
        <v>2038</v>
      </c>
      <c r="R1392" t="s">
        <v>2633</v>
      </c>
      <c r="S1392">
        <v>37</v>
      </c>
      <c r="T1392" s="43" t="str">
        <f>HYPERLINK("https://ictv.global/ictv/proposals/2021.063B.R.Peduoviridae.zip","2021.063B.R.Peduoviridae.zip")</f>
        <v>2021.063B.R.Peduoviridae.zip</v>
      </c>
      <c r="U1392" s="43" t="str">
        <f>HYPERLINK("https://ictv.global/taxonomy/taxondetails?taxnode_id=202211604","ictv.global=202211604")</f>
        <v>ictv.global=202211604</v>
      </c>
    </row>
    <row r="1393" spans="1:21">
      <c r="A1393">
        <v>1392</v>
      </c>
      <c r="B1393" s="29" t="s">
        <v>3682</v>
      </c>
      <c r="C1393" s="29"/>
      <c r="D1393" s="29" t="s">
        <v>3683</v>
      </c>
      <c r="E1393" s="29"/>
      <c r="F1393" s="29" t="s">
        <v>3686</v>
      </c>
      <c r="G1393" s="29"/>
      <c r="H1393" s="29" t="s">
        <v>3687</v>
      </c>
      <c r="I1393" s="29"/>
      <c r="J1393" s="29"/>
      <c r="K1393" s="29"/>
      <c r="L1393" s="29" t="s">
        <v>8409</v>
      </c>
      <c r="M1393" s="29"/>
      <c r="N1393" s="29" t="s">
        <v>8464</v>
      </c>
      <c r="O1393" s="29"/>
      <c r="P1393" s="29" t="s">
        <v>8465</v>
      </c>
      <c r="Q1393" t="s">
        <v>2038</v>
      </c>
      <c r="R1393" t="s">
        <v>2633</v>
      </c>
      <c r="S1393">
        <v>37</v>
      </c>
      <c r="T1393" s="43" t="str">
        <f>HYPERLINK("https://ictv.global/ictv/proposals/2021.063B.R.Peduoviridae.zip","2021.063B.R.Peduoviridae.zip")</f>
        <v>2021.063B.R.Peduoviridae.zip</v>
      </c>
      <c r="U1393" s="43" t="str">
        <f>HYPERLINK("https://ictv.global/taxonomy/taxondetails?taxnode_id=202211591","ictv.global=202211591")</f>
        <v>ictv.global=202211591</v>
      </c>
    </row>
    <row r="1394" spans="1:21">
      <c r="A1394">
        <v>1393</v>
      </c>
      <c r="B1394" s="29" t="s">
        <v>3682</v>
      </c>
      <c r="C1394" s="29"/>
      <c r="D1394" s="29" t="s">
        <v>3683</v>
      </c>
      <c r="E1394" s="29"/>
      <c r="F1394" s="29" t="s">
        <v>3686</v>
      </c>
      <c r="G1394" s="29"/>
      <c r="H1394" s="29" t="s">
        <v>3687</v>
      </c>
      <c r="I1394" s="29"/>
      <c r="J1394" s="29"/>
      <c r="K1394" s="29"/>
      <c r="L1394" s="29" t="s">
        <v>8409</v>
      </c>
      <c r="M1394" s="29"/>
      <c r="N1394" s="29" t="s">
        <v>8466</v>
      </c>
      <c r="O1394" s="29"/>
      <c r="P1394" s="29" t="s">
        <v>8467</v>
      </c>
      <c r="Q1394" t="s">
        <v>2038</v>
      </c>
      <c r="R1394" t="s">
        <v>2632</v>
      </c>
      <c r="S1394">
        <v>38</v>
      </c>
      <c r="T1394" s="43" t="str">
        <f>HYPERLINK("https://ictv.global/ictv/proposals/2022.062B.Peduoviridae_6ng_19nsp.zip","2022.062B.Peduoviridae_6ng_19nsp.zip")</f>
        <v>2022.062B.Peduoviridae_6ng_19nsp.zip</v>
      </c>
      <c r="U1394" s="43" t="str">
        <f>HYPERLINK("https://ictv.global/taxonomy/taxondetails?taxnode_id=202214742","ictv.global=202214742")</f>
        <v>ictv.global=202214742</v>
      </c>
    </row>
    <row r="1395" spans="1:21">
      <c r="A1395">
        <v>1394</v>
      </c>
      <c r="B1395" s="29" t="s">
        <v>3682</v>
      </c>
      <c r="C1395" s="29"/>
      <c r="D1395" s="29" t="s">
        <v>3683</v>
      </c>
      <c r="E1395" s="29"/>
      <c r="F1395" s="29" t="s">
        <v>3686</v>
      </c>
      <c r="G1395" s="29"/>
      <c r="H1395" s="29" t="s">
        <v>3687</v>
      </c>
      <c r="I1395" s="29"/>
      <c r="J1395" s="29"/>
      <c r="K1395" s="29"/>
      <c r="L1395" s="29" t="s">
        <v>8409</v>
      </c>
      <c r="M1395" s="29"/>
      <c r="N1395" s="29" t="s">
        <v>3376</v>
      </c>
      <c r="O1395" s="29"/>
      <c r="P1395" s="29" t="s">
        <v>8468</v>
      </c>
      <c r="Q1395" t="s">
        <v>2038</v>
      </c>
      <c r="R1395" t="s">
        <v>2633</v>
      </c>
      <c r="S1395">
        <v>37</v>
      </c>
      <c r="T1395" s="43" t="str">
        <f>HYPERLINK("https://ictv.global/ictv/proposals/2021.010B.R.Binomial_names.zip","2021.010B.R.Binomial_names.zip")</f>
        <v>2021.010B.R.Binomial_names.zip</v>
      </c>
      <c r="U1395" s="43" t="str">
        <f>HYPERLINK("https://ictv.global/taxonomy/taxondetails?taxnode_id=202200228","ictv.global=202200228")</f>
        <v>ictv.global=202200228</v>
      </c>
    </row>
    <row r="1396" spans="1:21">
      <c r="A1396">
        <v>1395</v>
      </c>
      <c r="B1396" s="29" t="s">
        <v>3682</v>
      </c>
      <c r="C1396" s="29"/>
      <c r="D1396" s="29" t="s">
        <v>3683</v>
      </c>
      <c r="E1396" s="29"/>
      <c r="F1396" s="29" t="s">
        <v>3686</v>
      </c>
      <c r="G1396" s="29"/>
      <c r="H1396" s="29" t="s">
        <v>3687</v>
      </c>
      <c r="I1396" s="29"/>
      <c r="J1396" s="29"/>
      <c r="K1396" s="29"/>
      <c r="L1396" s="29" t="s">
        <v>8409</v>
      </c>
      <c r="M1396" s="29"/>
      <c r="N1396" s="29" t="s">
        <v>3376</v>
      </c>
      <c r="O1396" s="29"/>
      <c r="P1396" s="29" t="s">
        <v>8469</v>
      </c>
      <c r="Q1396" t="s">
        <v>2038</v>
      </c>
      <c r="R1396" t="s">
        <v>2633</v>
      </c>
      <c r="S1396">
        <v>37</v>
      </c>
      <c r="T1396" s="43" t="str">
        <f>HYPERLINK("https://ictv.global/ictv/proposals/2021.010B.R.Binomial_names.zip","2021.010B.R.Binomial_names.zip")</f>
        <v>2021.010B.R.Binomial_names.zip</v>
      </c>
      <c r="U1396" s="43" t="str">
        <f>HYPERLINK("https://ictv.global/taxonomy/taxondetails?taxnode_id=202200229","ictv.global=202200229")</f>
        <v>ictv.global=202200229</v>
      </c>
    </row>
    <row r="1397" spans="1:21">
      <c r="A1397">
        <v>1396</v>
      </c>
      <c r="B1397" s="29" t="s">
        <v>3682</v>
      </c>
      <c r="C1397" s="29"/>
      <c r="D1397" s="29" t="s">
        <v>3683</v>
      </c>
      <c r="E1397" s="29"/>
      <c r="F1397" s="29" t="s">
        <v>3686</v>
      </c>
      <c r="G1397" s="29"/>
      <c r="H1397" s="29" t="s">
        <v>3687</v>
      </c>
      <c r="I1397" s="29"/>
      <c r="J1397" s="29"/>
      <c r="K1397" s="29"/>
      <c r="L1397" s="29" t="s">
        <v>8409</v>
      </c>
      <c r="M1397" s="29"/>
      <c r="N1397" s="29" t="s">
        <v>4535</v>
      </c>
      <c r="O1397" s="29"/>
      <c r="P1397" s="29" t="s">
        <v>8470</v>
      </c>
      <c r="Q1397" t="s">
        <v>2038</v>
      </c>
      <c r="R1397" t="s">
        <v>2633</v>
      </c>
      <c r="S1397">
        <v>37</v>
      </c>
      <c r="T1397" s="43" t="str">
        <f>HYPERLINK("https://ictv.global/ictv/proposals/2021.010B.R.Binomial_names.zip","2021.010B.R.Binomial_names.zip")</f>
        <v>2021.010B.R.Binomial_names.zip</v>
      </c>
      <c r="U1397" s="43" t="str">
        <f>HYPERLINK("https://ictv.global/taxonomy/taxondetails?taxnode_id=202211586","ictv.global=202211586")</f>
        <v>ictv.global=202211586</v>
      </c>
    </row>
    <row r="1398" spans="1:21">
      <c r="A1398">
        <v>1397</v>
      </c>
      <c r="B1398" s="29" t="s">
        <v>3682</v>
      </c>
      <c r="C1398" s="29"/>
      <c r="D1398" s="29" t="s">
        <v>3683</v>
      </c>
      <c r="E1398" s="29"/>
      <c r="F1398" s="29" t="s">
        <v>3686</v>
      </c>
      <c r="G1398" s="29"/>
      <c r="H1398" s="29" t="s">
        <v>3687</v>
      </c>
      <c r="I1398" s="29"/>
      <c r="J1398" s="29"/>
      <c r="K1398" s="29"/>
      <c r="L1398" s="29" t="s">
        <v>8409</v>
      </c>
      <c r="M1398" s="29"/>
      <c r="N1398" s="29" t="s">
        <v>3880</v>
      </c>
      <c r="O1398" s="29"/>
      <c r="P1398" s="29" t="s">
        <v>8471</v>
      </c>
      <c r="Q1398" t="s">
        <v>2038</v>
      </c>
      <c r="R1398" t="s">
        <v>2633</v>
      </c>
      <c r="S1398">
        <v>37</v>
      </c>
      <c r="T1398" s="43" t="str">
        <f>HYPERLINK("https://ictv.global/ictv/proposals/2021.010B.R.Binomial_names.zip","2021.010B.R.Binomial_names.zip")</f>
        <v>2021.010B.R.Binomial_names.zip</v>
      </c>
      <c r="U1398" s="43" t="str">
        <f>HYPERLINK("https://ictv.global/taxonomy/taxondetails?taxnode_id=202200230","ictv.global=202200230")</f>
        <v>ictv.global=202200230</v>
      </c>
    </row>
    <row r="1399" spans="1:21">
      <c r="A1399">
        <v>1398</v>
      </c>
      <c r="B1399" s="29" t="s">
        <v>3682</v>
      </c>
      <c r="C1399" s="29"/>
      <c r="D1399" s="29" t="s">
        <v>3683</v>
      </c>
      <c r="E1399" s="29"/>
      <c r="F1399" s="29" t="s">
        <v>3686</v>
      </c>
      <c r="G1399" s="29"/>
      <c r="H1399" s="29" t="s">
        <v>3687</v>
      </c>
      <c r="I1399" s="29"/>
      <c r="J1399" s="29"/>
      <c r="K1399" s="29"/>
      <c r="L1399" s="29" t="s">
        <v>8409</v>
      </c>
      <c r="M1399" s="29"/>
      <c r="N1399" s="29" t="s">
        <v>8472</v>
      </c>
      <c r="O1399" s="29"/>
      <c r="P1399" s="29" t="s">
        <v>8473</v>
      </c>
      <c r="Q1399" t="s">
        <v>2038</v>
      </c>
      <c r="R1399" t="s">
        <v>2633</v>
      </c>
      <c r="S1399">
        <v>37</v>
      </c>
      <c r="T1399" s="43" t="str">
        <f>HYPERLINK("https://ictv.global/ictv/proposals/2021.063B.R.Peduoviridae.zip","2021.063B.R.Peduoviridae.zip")</f>
        <v>2021.063B.R.Peduoviridae.zip</v>
      </c>
      <c r="U1399" s="43" t="str">
        <f>HYPERLINK("https://ictv.global/taxonomy/taxondetails?taxnode_id=202211602","ictv.global=202211602")</f>
        <v>ictv.global=202211602</v>
      </c>
    </row>
    <row r="1400" spans="1:21">
      <c r="A1400">
        <v>1399</v>
      </c>
      <c r="B1400" s="29" t="s">
        <v>3682</v>
      </c>
      <c r="C1400" s="29"/>
      <c r="D1400" s="29" t="s">
        <v>3683</v>
      </c>
      <c r="E1400" s="29"/>
      <c r="F1400" s="29" t="s">
        <v>3686</v>
      </c>
      <c r="G1400" s="29"/>
      <c r="H1400" s="29" t="s">
        <v>3687</v>
      </c>
      <c r="I1400" s="29"/>
      <c r="J1400" s="29"/>
      <c r="K1400" s="29"/>
      <c r="L1400" s="29" t="s">
        <v>8409</v>
      </c>
      <c r="M1400" s="29"/>
      <c r="N1400" s="29" t="s">
        <v>8474</v>
      </c>
      <c r="O1400" s="29"/>
      <c r="P1400" s="29" t="s">
        <v>8475</v>
      </c>
      <c r="Q1400" t="s">
        <v>2038</v>
      </c>
      <c r="R1400" t="s">
        <v>2633</v>
      </c>
      <c r="S1400">
        <v>37</v>
      </c>
      <c r="T1400" s="43" t="str">
        <f>HYPERLINK("https://ictv.global/ictv/proposals/2021.063B.R.Peduoviridae.zip","2021.063B.R.Peduoviridae.zip")</f>
        <v>2021.063B.R.Peduoviridae.zip</v>
      </c>
      <c r="U1400" s="43" t="str">
        <f>HYPERLINK("https://ictv.global/taxonomy/taxondetails?taxnode_id=202207977","ictv.global=202207977")</f>
        <v>ictv.global=202207977</v>
      </c>
    </row>
    <row r="1401" spans="1:21">
      <c r="A1401">
        <v>1400</v>
      </c>
      <c r="B1401" s="29" t="s">
        <v>3682</v>
      </c>
      <c r="C1401" s="29"/>
      <c r="D1401" s="29" t="s">
        <v>3683</v>
      </c>
      <c r="E1401" s="29"/>
      <c r="F1401" s="29" t="s">
        <v>3686</v>
      </c>
      <c r="G1401" s="29"/>
      <c r="H1401" s="29" t="s">
        <v>3687</v>
      </c>
      <c r="I1401" s="29"/>
      <c r="J1401" s="29"/>
      <c r="K1401" s="29"/>
      <c r="L1401" s="29" t="s">
        <v>8409</v>
      </c>
      <c r="M1401" s="29"/>
      <c r="N1401" s="29" t="s">
        <v>3881</v>
      </c>
      <c r="O1401" s="29"/>
      <c r="P1401" s="29" t="s">
        <v>8476</v>
      </c>
      <c r="Q1401" t="s">
        <v>2038</v>
      </c>
      <c r="R1401" t="s">
        <v>2632</v>
      </c>
      <c r="S1401">
        <v>37</v>
      </c>
      <c r="T1401" s="43" t="str">
        <f>HYPERLINK("https://ictv.global/ictv/proposals/2021.063B.R.Peduoviridae.zip","2021.063B.R.Peduoviridae.zip")</f>
        <v>2021.063B.R.Peduoviridae.zip</v>
      </c>
      <c r="U1401" s="43" t="str">
        <f>HYPERLINK("https://ictv.global/taxonomy/taxondetails?taxnode_id=202212869","ictv.global=202212869")</f>
        <v>ictv.global=202212869</v>
      </c>
    </row>
    <row r="1402" spans="1:21">
      <c r="A1402">
        <v>1401</v>
      </c>
      <c r="B1402" s="29" t="s">
        <v>3682</v>
      </c>
      <c r="C1402" s="29"/>
      <c r="D1402" s="29" t="s">
        <v>3683</v>
      </c>
      <c r="E1402" s="29"/>
      <c r="F1402" s="29" t="s">
        <v>3686</v>
      </c>
      <c r="G1402" s="29"/>
      <c r="H1402" s="29" t="s">
        <v>3687</v>
      </c>
      <c r="I1402" s="29"/>
      <c r="J1402" s="29"/>
      <c r="K1402" s="29"/>
      <c r="L1402" s="29" t="s">
        <v>8409</v>
      </c>
      <c r="M1402" s="29"/>
      <c r="N1402" s="29" t="s">
        <v>3881</v>
      </c>
      <c r="O1402" s="29"/>
      <c r="P1402" s="29" t="s">
        <v>8477</v>
      </c>
      <c r="Q1402" t="s">
        <v>2038</v>
      </c>
      <c r="R1402" t="s">
        <v>2632</v>
      </c>
      <c r="S1402">
        <v>38</v>
      </c>
      <c r="T1402" s="43" t="str">
        <f>HYPERLINK("https://ictv.global/ictv/proposals/2022.062B.Peduoviridae_6ng_19nsp.zip","2022.062B.Peduoviridae_6ng_19nsp.zip")</f>
        <v>2022.062B.Peduoviridae_6ng_19nsp.zip</v>
      </c>
      <c r="U1402" s="43" t="str">
        <f>HYPERLINK("https://ictv.global/taxonomy/taxondetails?taxnode_id=202214734","ictv.global=202214734")</f>
        <v>ictv.global=202214734</v>
      </c>
    </row>
    <row r="1403" spans="1:21">
      <c r="A1403">
        <v>1402</v>
      </c>
      <c r="B1403" s="29" t="s">
        <v>3682</v>
      </c>
      <c r="C1403" s="29"/>
      <c r="D1403" s="29" t="s">
        <v>3683</v>
      </c>
      <c r="E1403" s="29"/>
      <c r="F1403" s="29" t="s">
        <v>3686</v>
      </c>
      <c r="G1403" s="29"/>
      <c r="H1403" s="29" t="s">
        <v>3687</v>
      </c>
      <c r="I1403" s="29"/>
      <c r="J1403" s="29"/>
      <c r="K1403" s="29"/>
      <c r="L1403" s="29" t="s">
        <v>8409</v>
      </c>
      <c r="M1403" s="29"/>
      <c r="N1403" s="29" t="s">
        <v>3881</v>
      </c>
      <c r="O1403" s="29"/>
      <c r="P1403" s="29" t="s">
        <v>8478</v>
      </c>
      <c r="Q1403" t="s">
        <v>2038</v>
      </c>
      <c r="R1403" t="s">
        <v>2633</v>
      </c>
      <c r="S1403">
        <v>37</v>
      </c>
      <c r="T1403" s="43" t="str">
        <f>HYPERLINK("https://ictv.global/ictv/proposals/2021.010B.R.Binomial_names.zip","2021.010B.R.Binomial_names.zip")</f>
        <v>2021.010B.R.Binomial_names.zip</v>
      </c>
      <c r="U1403" s="43" t="str">
        <f>HYPERLINK("https://ictv.global/taxonomy/taxondetails?taxnode_id=202207964","ictv.global=202207964")</f>
        <v>ictv.global=202207964</v>
      </c>
    </row>
    <row r="1404" spans="1:21">
      <c r="A1404">
        <v>1403</v>
      </c>
      <c r="B1404" s="29" t="s">
        <v>3682</v>
      </c>
      <c r="C1404" s="29"/>
      <c r="D1404" s="29" t="s">
        <v>3683</v>
      </c>
      <c r="E1404" s="29"/>
      <c r="F1404" s="29" t="s">
        <v>3686</v>
      </c>
      <c r="G1404" s="29"/>
      <c r="H1404" s="29" t="s">
        <v>3687</v>
      </c>
      <c r="I1404" s="29"/>
      <c r="J1404" s="29"/>
      <c r="K1404" s="29"/>
      <c r="L1404" s="29" t="s">
        <v>8409</v>
      </c>
      <c r="M1404" s="29"/>
      <c r="N1404" s="29" t="s">
        <v>3882</v>
      </c>
      <c r="O1404" s="29"/>
      <c r="P1404" s="29" t="s">
        <v>8479</v>
      </c>
      <c r="Q1404" t="s">
        <v>2038</v>
      </c>
      <c r="R1404" t="s">
        <v>2633</v>
      </c>
      <c r="S1404">
        <v>37</v>
      </c>
      <c r="T1404" s="43" t="str">
        <f>HYPERLINK("https://ictv.global/ictv/proposals/2021.010B.R.Binomial_names.zip","2021.010B.R.Binomial_names.zip")</f>
        <v>2021.010B.R.Binomial_names.zip</v>
      </c>
      <c r="U1404" s="43" t="str">
        <f>HYPERLINK("https://ictv.global/taxonomy/taxondetails?taxnode_id=202207979","ictv.global=202207979")</f>
        <v>ictv.global=202207979</v>
      </c>
    </row>
    <row r="1405" spans="1:21">
      <c r="A1405">
        <v>1404</v>
      </c>
      <c r="B1405" s="29" t="s">
        <v>3682</v>
      </c>
      <c r="C1405" s="29"/>
      <c r="D1405" s="29" t="s">
        <v>3683</v>
      </c>
      <c r="E1405" s="29"/>
      <c r="F1405" s="29" t="s">
        <v>3686</v>
      </c>
      <c r="G1405" s="29"/>
      <c r="H1405" s="29" t="s">
        <v>3687</v>
      </c>
      <c r="I1405" s="29"/>
      <c r="J1405" s="29"/>
      <c r="K1405" s="29"/>
      <c r="L1405" s="29" t="s">
        <v>8409</v>
      </c>
      <c r="M1405" s="29"/>
      <c r="N1405" s="29" t="s">
        <v>3883</v>
      </c>
      <c r="O1405" s="29"/>
      <c r="P1405" s="29" t="s">
        <v>8480</v>
      </c>
      <c r="Q1405" t="s">
        <v>2038</v>
      </c>
      <c r="R1405" t="s">
        <v>2633</v>
      </c>
      <c r="S1405">
        <v>37</v>
      </c>
      <c r="T1405" s="43" t="str">
        <f>HYPERLINK("https://ictv.global/ictv/proposals/2021.010B.R.Binomial_names.zip","2021.010B.R.Binomial_names.zip")</f>
        <v>2021.010B.R.Binomial_names.zip</v>
      </c>
      <c r="U1405" s="43" t="str">
        <f>HYPERLINK("https://ictv.global/taxonomy/taxondetails?taxnode_id=202200231","ictv.global=202200231")</f>
        <v>ictv.global=202200231</v>
      </c>
    </row>
    <row r="1406" spans="1:21">
      <c r="A1406">
        <v>1405</v>
      </c>
      <c r="B1406" s="29" t="s">
        <v>3682</v>
      </c>
      <c r="C1406" s="29"/>
      <c r="D1406" s="29" t="s">
        <v>3683</v>
      </c>
      <c r="E1406" s="29"/>
      <c r="F1406" s="29" t="s">
        <v>3686</v>
      </c>
      <c r="G1406" s="29"/>
      <c r="H1406" s="29" t="s">
        <v>3687</v>
      </c>
      <c r="I1406" s="29"/>
      <c r="J1406" s="29"/>
      <c r="K1406" s="29"/>
      <c r="L1406" s="29" t="s">
        <v>8409</v>
      </c>
      <c r="M1406" s="29"/>
      <c r="N1406" s="29" t="s">
        <v>8481</v>
      </c>
      <c r="O1406" s="29"/>
      <c r="P1406" s="29" t="s">
        <v>8482</v>
      </c>
      <c r="Q1406" t="s">
        <v>2038</v>
      </c>
      <c r="R1406" t="s">
        <v>2632</v>
      </c>
      <c r="S1406">
        <v>37</v>
      </c>
      <c r="T1406" s="43" t="str">
        <f>HYPERLINK("https://ictv.global/ictv/proposals/2021.063B.R.Peduoviridae.zip","2021.063B.R.Peduoviridae.zip")</f>
        <v>2021.063B.R.Peduoviridae.zip</v>
      </c>
      <c r="U1406" s="43" t="str">
        <f>HYPERLINK("https://ictv.global/taxonomy/taxondetails?taxnode_id=202212850","ictv.global=202212850")</f>
        <v>ictv.global=202212850</v>
      </c>
    </row>
    <row r="1407" spans="1:21">
      <c r="A1407">
        <v>1406</v>
      </c>
      <c r="B1407" s="29" t="s">
        <v>3682</v>
      </c>
      <c r="C1407" s="29"/>
      <c r="D1407" s="29" t="s">
        <v>3683</v>
      </c>
      <c r="E1407" s="29"/>
      <c r="F1407" s="29" t="s">
        <v>3686</v>
      </c>
      <c r="G1407" s="29"/>
      <c r="H1407" s="29" t="s">
        <v>3687</v>
      </c>
      <c r="I1407" s="29"/>
      <c r="J1407" s="29"/>
      <c r="K1407" s="29"/>
      <c r="L1407" s="29" t="s">
        <v>8409</v>
      </c>
      <c r="M1407" s="29"/>
      <c r="N1407" s="29" t="s">
        <v>8483</v>
      </c>
      <c r="O1407" s="29"/>
      <c r="P1407" s="29" t="s">
        <v>8484</v>
      </c>
      <c r="Q1407" t="s">
        <v>2038</v>
      </c>
      <c r="R1407" t="s">
        <v>2632</v>
      </c>
      <c r="S1407">
        <v>37</v>
      </c>
      <c r="T1407" s="43" t="str">
        <f>HYPERLINK("https://ictv.global/ictv/proposals/2021.063B.R.Peduoviridae.zip","2021.063B.R.Peduoviridae.zip")</f>
        <v>2021.063B.R.Peduoviridae.zip</v>
      </c>
      <c r="U1407" s="43" t="str">
        <f>HYPERLINK("https://ictv.global/taxonomy/taxondetails?taxnode_id=202212866","ictv.global=202212866")</f>
        <v>ictv.global=202212866</v>
      </c>
    </row>
    <row r="1408" spans="1:21">
      <c r="A1408">
        <v>1407</v>
      </c>
      <c r="B1408" s="29" t="s">
        <v>3682</v>
      </c>
      <c r="C1408" s="29"/>
      <c r="D1408" s="29" t="s">
        <v>3683</v>
      </c>
      <c r="E1408" s="29"/>
      <c r="F1408" s="29" t="s">
        <v>3686</v>
      </c>
      <c r="G1408" s="29"/>
      <c r="H1408" s="29" t="s">
        <v>3687</v>
      </c>
      <c r="I1408" s="29"/>
      <c r="J1408" s="29"/>
      <c r="K1408" s="29"/>
      <c r="L1408" s="29" t="s">
        <v>8409</v>
      </c>
      <c r="M1408" s="29"/>
      <c r="N1408" s="29" t="s">
        <v>3884</v>
      </c>
      <c r="O1408" s="29"/>
      <c r="P1408" s="29" t="s">
        <v>8485</v>
      </c>
      <c r="Q1408" t="s">
        <v>2038</v>
      </c>
      <c r="R1408" t="s">
        <v>2633</v>
      </c>
      <c r="S1408">
        <v>37</v>
      </c>
      <c r="T1408" s="43" t="str">
        <f>HYPERLINK("https://ictv.global/ictv/proposals/2021.010B.R.Binomial_names.zip","2021.010B.R.Binomial_names.zip")</f>
        <v>2021.010B.R.Binomial_names.zip</v>
      </c>
      <c r="U1408" s="43" t="str">
        <f>HYPERLINK("https://ictv.global/taxonomy/taxondetails?taxnode_id=202207968","ictv.global=202207968")</f>
        <v>ictv.global=202207968</v>
      </c>
    </row>
    <row r="1409" spans="1:21">
      <c r="A1409">
        <v>1408</v>
      </c>
      <c r="B1409" s="29" t="s">
        <v>3682</v>
      </c>
      <c r="C1409" s="29"/>
      <c r="D1409" s="29" t="s">
        <v>3683</v>
      </c>
      <c r="E1409" s="29"/>
      <c r="F1409" s="29" t="s">
        <v>3686</v>
      </c>
      <c r="G1409" s="29"/>
      <c r="H1409" s="29" t="s">
        <v>3687</v>
      </c>
      <c r="I1409" s="29"/>
      <c r="J1409" s="29"/>
      <c r="K1409" s="29"/>
      <c r="L1409" s="29" t="s">
        <v>8409</v>
      </c>
      <c r="M1409" s="29"/>
      <c r="N1409" s="29" t="s">
        <v>4536</v>
      </c>
      <c r="O1409" s="29"/>
      <c r="P1409" s="29" t="s">
        <v>8486</v>
      </c>
      <c r="Q1409" t="s">
        <v>2038</v>
      </c>
      <c r="R1409" t="s">
        <v>2633</v>
      </c>
      <c r="S1409">
        <v>37</v>
      </c>
      <c r="T1409" s="43" t="str">
        <f>HYPERLINK("https://ictv.global/ictv/proposals/2021.010B.R.Binomial_names.zip","2021.010B.R.Binomial_names.zip")</f>
        <v>2021.010B.R.Binomial_names.zip</v>
      </c>
      <c r="U1409" s="43" t="str">
        <f>HYPERLINK("https://ictv.global/taxonomy/taxondetails?taxnode_id=202211598","ictv.global=202211598")</f>
        <v>ictv.global=202211598</v>
      </c>
    </row>
    <row r="1410" spans="1:21">
      <c r="A1410">
        <v>1409</v>
      </c>
      <c r="B1410" s="29" t="s">
        <v>3682</v>
      </c>
      <c r="C1410" s="29"/>
      <c r="D1410" s="29" t="s">
        <v>3683</v>
      </c>
      <c r="E1410" s="29"/>
      <c r="F1410" s="29" t="s">
        <v>3686</v>
      </c>
      <c r="G1410" s="29"/>
      <c r="H1410" s="29" t="s">
        <v>3687</v>
      </c>
      <c r="I1410" s="29"/>
      <c r="J1410" s="29"/>
      <c r="K1410" s="29"/>
      <c r="L1410" s="29" t="s">
        <v>8409</v>
      </c>
      <c r="M1410" s="29"/>
      <c r="N1410" s="29" t="s">
        <v>3377</v>
      </c>
      <c r="O1410" s="29"/>
      <c r="P1410" s="29" t="s">
        <v>8487</v>
      </c>
      <c r="Q1410" t="s">
        <v>2038</v>
      </c>
      <c r="R1410" t="s">
        <v>2632</v>
      </c>
      <c r="S1410">
        <v>38</v>
      </c>
      <c r="T1410" s="43" t="str">
        <f>HYPERLINK("https://ictv.global/ictv/proposals/2022.062B.Peduoviridae_6ng_19nsp.zip","2022.062B.Peduoviridae_6ng_19nsp.zip")</f>
        <v>2022.062B.Peduoviridae_6ng_19nsp.zip</v>
      </c>
      <c r="U1410" s="43" t="str">
        <f>HYPERLINK("https://ictv.global/taxonomy/taxondetails?taxnode_id=202214726","ictv.global=202214726")</f>
        <v>ictv.global=202214726</v>
      </c>
    </row>
    <row r="1411" spans="1:21">
      <c r="A1411">
        <v>1410</v>
      </c>
      <c r="B1411" s="29" t="s">
        <v>3682</v>
      </c>
      <c r="C1411" s="29"/>
      <c r="D1411" s="29" t="s">
        <v>3683</v>
      </c>
      <c r="E1411" s="29"/>
      <c r="F1411" s="29" t="s">
        <v>3686</v>
      </c>
      <c r="G1411" s="29"/>
      <c r="H1411" s="29" t="s">
        <v>3687</v>
      </c>
      <c r="I1411" s="29"/>
      <c r="J1411" s="29"/>
      <c r="K1411" s="29"/>
      <c r="L1411" s="29" t="s">
        <v>8409</v>
      </c>
      <c r="M1411" s="29"/>
      <c r="N1411" s="29" t="s">
        <v>3377</v>
      </c>
      <c r="O1411" s="29"/>
      <c r="P1411" s="29" t="s">
        <v>8488</v>
      </c>
      <c r="Q1411" t="s">
        <v>2038</v>
      </c>
      <c r="R1411" t="s">
        <v>2632</v>
      </c>
      <c r="S1411">
        <v>38</v>
      </c>
      <c r="T1411" s="43" t="str">
        <f>HYPERLINK("https://ictv.global/ictv/proposals/2022.062B.Peduoviridae_6ng_19nsp.zip","2022.062B.Peduoviridae_6ng_19nsp.zip")</f>
        <v>2022.062B.Peduoviridae_6ng_19nsp.zip</v>
      </c>
      <c r="U1411" s="43" t="str">
        <f>HYPERLINK("https://ictv.global/taxonomy/taxondetails?taxnode_id=202214727","ictv.global=202214727")</f>
        <v>ictv.global=202214727</v>
      </c>
    </row>
    <row r="1412" spans="1:21">
      <c r="A1412">
        <v>1411</v>
      </c>
      <c r="B1412" s="29" t="s">
        <v>3682</v>
      </c>
      <c r="C1412" s="29"/>
      <c r="D1412" s="29" t="s">
        <v>3683</v>
      </c>
      <c r="E1412" s="29"/>
      <c r="F1412" s="29" t="s">
        <v>3686</v>
      </c>
      <c r="G1412" s="29"/>
      <c r="H1412" s="29" t="s">
        <v>3687</v>
      </c>
      <c r="I1412" s="29"/>
      <c r="J1412" s="29"/>
      <c r="K1412" s="29"/>
      <c r="L1412" s="29" t="s">
        <v>8409</v>
      </c>
      <c r="M1412" s="29"/>
      <c r="N1412" s="29" t="s">
        <v>3377</v>
      </c>
      <c r="O1412" s="29"/>
      <c r="P1412" s="29" t="s">
        <v>8489</v>
      </c>
      <c r="Q1412" t="s">
        <v>2038</v>
      </c>
      <c r="R1412" t="s">
        <v>2632</v>
      </c>
      <c r="S1412">
        <v>38</v>
      </c>
      <c r="T1412" s="43" t="str">
        <f>HYPERLINK("https://ictv.global/ictv/proposals/2022.062B.Peduoviridae_6ng_19nsp.zip","2022.062B.Peduoviridae_6ng_19nsp.zip")</f>
        <v>2022.062B.Peduoviridae_6ng_19nsp.zip</v>
      </c>
      <c r="U1412" s="43" t="str">
        <f>HYPERLINK("https://ictv.global/taxonomy/taxondetails?taxnode_id=202214729","ictv.global=202214729")</f>
        <v>ictv.global=202214729</v>
      </c>
    </row>
    <row r="1413" spans="1:21">
      <c r="A1413">
        <v>1412</v>
      </c>
      <c r="B1413" s="29" t="s">
        <v>3682</v>
      </c>
      <c r="C1413" s="29"/>
      <c r="D1413" s="29" t="s">
        <v>3683</v>
      </c>
      <c r="E1413" s="29"/>
      <c r="F1413" s="29" t="s">
        <v>3686</v>
      </c>
      <c r="G1413" s="29"/>
      <c r="H1413" s="29" t="s">
        <v>3687</v>
      </c>
      <c r="I1413" s="29"/>
      <c r="J1413" s="29"/>
      <c r="K1413" s="29"/>
      <c r="L1413" s="29" t="s">
        <v>8409</v>
      </c>
      <c r="M1413" s="29"/>
      <c r="N1413" s="29" t="s">
        <v>3377</v>
      </c>
      <c r="O1413" s="29"/>
      <c r="P1413" s="29" t="s">
        <v>8490</v>
      </c>
      <c r="Q1413" t="s">
        <v>2038</v>
      </c>
      <c r="R1413" t="s">
        <v>2633</v>
      </c>
      <c r="S1413">
        <v>37</v>
      </c>
      <c r="T1413" s="43" t="str">
        <f>HYPERLINK("https://ictv.global/ictv/proposals/2021.010B.R.Binomial_names.zip","2021.010B.R.Binomial_names.zip")</f>
        <v>2021.010B.R.Binomial_names.zip</v>
      </c>
      <c r="U1413" s="43" t="str">
        <f>HYPERLINK("https://ictv.global/taxonomy/taxondetails?taxnode_id=202207028","ictv.global=202207028")</f>
        <v>ictv.global=202207028</v>
      </c>
    </row>
    <row r="1414" spans="1:21">
      <c r="A1414">
        <v>1413</v>
      </c>
      <c r="B1414" s="29" t="s">
        <v>3682</v>
      </c>
      <c r="C1414" s="29"/>
      <c r="D1414" s="29" t="s">
        <v>3683</v>
      </c>
      <c r="E1414" s="29"/>
      <c r="F1414" s="29" t="s">
        <v>3686</v>
      </c>
      <c r="G1414" s="29"/>
      <c r="H1414" s="29" t="s">
        <v>3687</v>
      </c>
      <c r="I1414" s="29"/>
      <c r="J1414" s="29"/>
      <c r="K1414" s="29"/>
      <c r="L1414" s="29" t="s">
        <v>8409</v>
      </c>
      <c r="M1414" s="29"/>
      <c r="N1414" s="29" t="s">
        <v>3377</v>
      </c>
      <c r="O1414" s="29"/>
      <c r="P1414" s="29" t="s">
        <v>8491</v>
      </c>
      <c r="Q1414" t="s">
        <v>2038</v>
      </c>
      <c r="R1414" t="s">
        <v>2632</v>
      </c>
      <c r="S1414">
        <v>38</v>
      </c>
      <c r="T1414" s="43" t="str">
        <f>HYPERLINK("https://ictv.global/ictv/proposals/2022.062B.Peduoviridae_6ng_19nsp.zip","2022.062B.Peduoviridae_6ng_19nsp.zip")</f>
        <v>2022.062B.Peduoviridae_6ng_19nsp.zip</v>
      </c>
      <c r="U1414" s="43" t="str">
        <f>HYPERLINK("https://ictv.global/taxonomy/taxondetails?taxnode_id=202214732","ictv.global=202214732")</f>
        <v>ictv.global=202214732</v>
      </c>
    </row>
    <row r="1415" spans="1:21">
      <c r="A1415">
        <v>1414</v>
      </c>
      <c r="B1415" s="29" t="s">
        <v>3682</v>
      </c>
      <c r="C1415" s="29"/>
      <c r="D1415" s="29" t="s">
        <v>3683</v>
      </c>
      <c r="E1415" s="29"/>
      <c r="F1415" s="29" t="s">
        <v>3686</v>
      </c>
      <c r="G1415" s="29"/>
      <c r="H1415" s="29" t="s">
        <v>3687</v>
      </c>
      <c r="I1415" s="29"/>
      <c r="J1415" s="29"/>
      <c r="K1415" s="29"/>
      <c r="L1415" s="29" t="s">
        <v>8409</v>
      </c>
      <c r="M1415" s="29"/>
      <c r="N1415" s="29" t="s">
        <v>3377</v>
      </c>
      <c r="O1415" s="29"/>
      <c r="P1415" s="29" t="s">
        <v>8492</v>
      </c>
      <c r="Q1415" t="s">
        <v>2038</v>
      </c>
      <c r="R1415" t="s">
        <v>2633</v>
      </c>
      <c r="S1415">
        <v>37</v>
      </c>
      <c r="T1415" s="43" t="str">
        <f>HYPERLINK("https://ictv.global/ictv/proposals/2021.010B.R.Binomial_names.zip","2021.010B.R.Binomial_names.zip")</f>
        <v>2021.010B.R.Binomial_names.zip</v>
      </c>
      <c r="U1415" s="43" t="str">
        <f>HYPERLINK("https://ictv.global/taxonomy/taxondetails?taxnode_id=202200246","ictv.global=202200246")</f>
        <v>ictv.global=202200246</v>
      </c>
    </row>
    <row r="1416" spans="1:21">
      <c r="A1416">
        <v>1415</v>
      </c>
      <c r="B1416" s="29" t="s">
        <v>3682</v>
      </c>
      <c r="C1416" s="29"/>
      <c r="D1416" s="29" t="s">
        <v>3683</v>
      </c>
      <c r="E1416" s="29"/>
      <c r="F1416" s="29" t="s">
        <v>3686</v>
      </c>
      <c r="G1416" s="29"/>
      <c r="H1416" s="29" t="s">
        <v>3687</v>
      </c>
      <c r="I1416" s="29"/>
      <c r="J1416" s="29"/>
      <c r="K1416" s="29"/>
      <c r="L1416" s="29" t="s">
        <v>8409</v>
      </c>
      <c r="M1416" s="29"/>
      <c r="N1416" s="29" t="s">
        <v>3377</v>
      </c>
      <c r="O1416" s="29"/>
      <c r="P1416" s="29" t="s">
        <v>8493</v>
      </c>
      <c r="Q1416" t="s">
        <v>2038</v>
      </c>
      <c r="R1416" t="s">
        <v>2633</v>
      </c>
      <c r="S1416">
        <v>37</v>
      </c>
      <c r="T1416" s="43" t="str">
        <f>HYPERLINK("https://ictv.global/ictv/proposals/2021.010B.R.Binomial_names.zip","2021.010B.R.Binomial_names.zip")</f>
        <v>2021.010B.R.Binomial_names.zip</v>
      </c>
      <c r="U1416" s="43" t="str">
        <f>HYPERLINK("https://ictv.global/taxonomy/taxondetails?taxnode_id=202211581","ictv.global=202211581")</f>
        <v>ictv.global=202211581</v>
      </c>
    </row>
    <row r="1417" spans="1:21">
      <c r="A1417">
        <v>1416</v>
      </c>
      <c r="B1417" s="29" t="s">
        <v>3682</v>
      </c>
      <c r="C1417" s="29"/>
      <c r="D1417" s="29" t="s">
        <v>3683</v>
      </c>
      <c r="E1417" s="29"/>
      <c r="F1417" s="29" t="s">
        <v>3686</v>
      </c>
      <c r="G1417" s="29"/>
      <c r="H1417" s="29" t="s">
        <v>3687</v>
      </c>
      <c r="I1417" s="29"/>
      <c r="J1417" s="29"/>
      <c r="K1417" s="29"/>
      <c r="L1417" s="29" t="s">
        <v>8409</v>
      </c>
      <c r="M1417" s="29"/>
      <c r="N1417" s="29" t="s">
        <v>3377</v>
      </c>
      <c r="O1417" s="29"/>
      <c r="P1417" s="29" t="s">
        <v>8494</v>
      </c>
      <c r="Q1417" t="s">
        <v>2038</v>
      </c>
      <c r="R1417" t="s">
        <v>2633</v>
      </c>
      <c r="S1417">
        <v>37</v>
      </c>
      <c r="T1417" s="43" t="str">
        <f>HYPERLINK("https://ictv.global/ictv/proposals/2021.010B.R.Binomial_names.zip","2021.010B.R.Binomial_names.zip")</f>
        <v>2021.010B.R.Binomial_names.zip</v>
      </c>
      <c r="U1417" s="43" t="str">
        <f>HYPERLINK("https://ictv.global/taxonomy/taxondetails?taxnode_id=202200238","ictv.global=202200238")</f>
        <v>ictv.global=202200238</v>
      </c>
    </row>
    <row r="1418" spans="1:21">
      <c r="A1418">
        <v>1417</v>
      </c>
      <c r="B1418" s="29" t="s">
        <v>3682</v>
      </c>
      <c r="C1418" s="29"/>
      <c r="D1418" s="29" t="s">
        <v>3683</v>
      </c>
      <c r="E1418" s="29"/>
      <c r="F1418" s="29" t="s">
        <v>3686</v>
      </c>
      <c r="G1418" s="29"/>
      <c r="H1418" s="29" t="s">
        <v>3687</v>
      </c>
      <c r="I1418" s="29"/>
      <c r="J1418" s="29"/>
      <c r="K1418" s="29"/>
      <c r="L1418" s="29" t="s">
        <v>8409</v>
      </c>
      <c r="M1418" s="29"/>
      <c r="N1418" s="29" t="s">
        <v>3377</v>
      </c>
      <c r="O1418" s="29"/>
      <c r="P1418" s="29" t="s">
        <v>8495</v>
      </c>
      <c r="Q1418" t="s">
        <v>2038</v>
      </c>
      <c r="R1418" t="s">
        <v>2632</v>
      </c>
      <c r="S1418">
        <v>38</v>
      </c>
      <c r="T1418" s="43" t="str">
        <f>HYPERLINK("https://ictv.global/ictv/proposals/2022.062B.Peduoviridae_6ng_19nsp.zip","2022.062B.Peduoviridae_6ng_19nsp.zip")</f>
        <v>2022.062B.Peduoviridae_6ng_19nsp.zip</v>
      </c>
      <c r="U1418" s="43" t="str">
        <f>HYPERLINK("https://ictv.global/taxonomy/taxondetails?taxnode_id=202214731","ictv.global=202214731")</f>
        <v>ictv.global=202214731</v>
      </c>
    </row>
    <row r="1419" spans="1:21">
      <c r="A1419">
        <v>1418</v>
      </c>
      <c r="B1419" s="29" t="s">
        <v>3682</v>
      </c>
      <c r="C1419" s="29"/>
      <c r="D1419" s="29" t="s">
        <v>3683</v>
      </c>
      <c r="E1419" s="29"/>
      <c r="F1419" s="29" t="s">
        <v>3686</v>
      </c>
      <c r="G1419" s="29"/>
      <c r="H1419" s="29" t="s">
        <v>3687</v>
      </c>
      <c r="I1419" s="29"/>
      <c r="J1419" s="29"/>
      <c r="K1419" s="29"/>
      <c r="L1419" s="29" t="s">
        <v>8409</v>
      </c>
      <c r="M1419" s="29"/>
      <c r="N1419" s="29" t="s">
        <v>3377</v>
      </c>
      <c r="O1419" s="29"/>
      <c r="P1419" s="29" t="s">
        <v>8496</v>
      </c>
      <c r="Q1419" t="s">
        <v>2038</v>
      </c>
      <c r="R1419" t="s">
        <v>2633</v>
      </c>
      <c r="S1419">
        <v>37</v>
      </c>
      <c r="T1419" s="43" t="str">
        <f t="shared" ref="T1419:T1428" si="59">HYPERLINK("https://ictv.global/ictv/proposals/2021.010B.R.Binomial_names.zip","2021.010B.R.Binomial_names.zip")</f>
        <v>2021.010B.R.Binomial_names.zip</v>
      </c>
      <c r="U1419" s="43" t="str">
        <f>HYPERLINK("https://ictv.global/taxonomy/taxondetails?taxnode_id=202211615","ictv.global=202211615")</f>
        <v>ictv.global=202211615</v>
      </c>
    </row>
    <row r="1420" spans="1:21">
      <c r="A1420">
        <v>1419</v>
      </c>
      <c r="B1420" s="29" t="s">
        <v>3682</v>
      </c>
      <c r="C1420" s="29"/>
      <c r="D1420" s="29" t="s">
        <v>3683</v>
      </c>
      <c r="E1420" s="29"/>
      <c r="F1420" s="29" t="s">
        <v>3686</v>
      </c>
      <c r="G1420" s="29"/>
      <c r="H1420" s="29" t="s">
        <v>3687</v>
      </c>
      <c r="I1420" s="29"/>
      <c r="J1420" s="29"/>
      <c r="K1420" s="29"/>
      <c r="L1420" s="29" t="s">
        <v>8409</v>
      </c>
      <c r="M1420" s="29"/>
      <c r="N1420" s="29" t="s">
        <v>3377</v>
      </c>
      <c r="O1420" s="29"/>
      <c r="P1420" s="29" t="s">
        <v>8497</v>
      </c>
      <c r="Q1420" t="s">
        <v>2038</v>
      </c>
      <c r="R1420" t="s">
        <v>2633</v>
      </c>
      <c r="S1420">
        <v>37</v>
      </c>
      <c r="T1420" s="43" t="str">
        <f t="shared" si="59"/>
        <v>2021.010B.R.Binomial_names.zip</v>
      </c>
      <c r="U1420" s="43" t="str">
        <f>HYPERLINK("https://ictv.global/taxonomy/taxondetails?taxnode_id=202211611","ictv.global=202211611")</f>
        <v>ictv.global=202211611</v>
      </c>
    </row>
    <row r="1421" spans="1:21">
      <c r="A1421">
        <v>1420</v>
      </c>
      <c r="B1421" s="29" t="s">
        <v>3682</v>
      </c>
      <c r="C1421" s="29"/>
      <c r="D1421" s="29" t="s">
        <v>3683</v>
      </c>
      <c r="E1421" s="29"/>
      <c r="F1421" s="29" t="s">
        <v>3686</v>
      </c>
      <c r="G1421" s="29"/>
      <c r="H1421" s="29" t="s">
        <v>3687</v>
      </c>
      <c r="I1421" s="29"/>
      <c r="J1421" s="29"/>
      <c r="K1421" s="29"/>
      <c r="L1421" s="29" t="s">
        <v>8409</v>
      </c>
      <c r="M1421" s="29"/>
      <c r="N1421" s="29" t="s">
        <v>3377</v>
      </c>
      <c r="O1421" s="29"/>
      <c r="P1421" s="29" t="s">
        <v>8498</v>
      </c>
      <c r="Q1421" t="s">
        <v>2038</v>
      </c>
      <c r="R1421" t="s">
        <v>2633</v>
      </c>
      <c r="S1421">
        <v>37</v>
      </c>
      <c r="T1421" s="43" t="str">
        <f t="shared" si="59"/>
        <v>2021.010B.R.Binomial_names.zip</v>
      </c>
      <c r="U1421" s="43" t="str">
        <f>HYPERLINK("https://ictv.global/taxonomy/taxondetails?taxnode_id=202211609","ictv.global=202211609")</f>
        <v>ictv.global=202211609</v>
      </c>
    </row>
    <row r="1422" spans="1:21">
      <c r="A1422">
        <v>1421</v>
      </c>
      <c r="B1422" s="29" t="s">
        <v>3682</v>
      </c>
      <c r="C1422" s="29"/>
      <c r="D1422" s="29" t="s">
        <v>3683</v>
      </c>
      <c r="E1422" s="29"/>
      <c r="F1422" s="29" t="s">
        <v>3686</v>
      </c>
      <c r="G1422" s="29"/>
      <c r="H1422" s="29" t="s">
        <v>3687</v>
      </c>
      <c r="I1422" s="29"/>
      <c r="J1422" s="29"/>
      <c r="K1422" s="29"/>
      <c r="L1422" s="29" t="s">
        <v>8409</v>
      </c>
      <c r="M1422" s="29"/>
      <c r="N1422" s="29" t="s">
        <v>3377</v>
      </c>
      <c r="O1422" s="29"/>
      <c r="P1422" s="29" t="s">
        <v>8499</v>
      </c>
      <c r="Q1422" t="s">
        <v>2038</v>
      </c>
      <c r="R1422" t="s">
        <v>2633</v>
      </c>
      <c r="S1422">
        <v>37</v>
      </c>
      <c r="T1422" s="43" t="str">
        <f t="shared" si="59"/>
        <v>2021.010B.R.Binomial_names.zip</v>
      </c>
      <c r="U1422" s="43" t="str">
        <f>HYPERLINK("https://ictv.global/taxonomy/taxondetails?taxnode_id=202211612","ictv.global=202211612")</f>
        <v>ictv.global=202211612</v>
      </c>
    </row>
    <row r="1423" spans="1:21">
      <c r="A1423">
        <v>1422</v>
      </c>
      <c r="B1423" s="29" t="s">
        <v>3682</v>
      </c>
      <c r="C1423" s="29"/>
      <c r="D1423" s="29" t="s">
        <v>3683</v>
      </c>
      <c r="E1423" s="29"/>
      <c r="F1423" s="29" t="s">
        <v>3686</v>
      </c>
      <c r="G1423" s="29"/>
      <c r="H1423" s="29" t="s">
        <v>3687</v>
      </c>
      <c r="I1423" s="29"/>
      <c r="J1423" s="29"/>
      <c r="K1423" s="29"/>
      <c r="L1423" s="29" t="s">
        <v>8409</v>
      </c>
      <c r="M1423" s="29"/>
      <c r="N1423" s="29" t="s">
        <v>3377</v>
      </c>
      <c r="O1423" s="29"/>
      <c r="P1423" s="29" t="s">
        <v>8500</v>
      </c>
      <c r="Q1423" t="s">
        <v>2038</v>
      </c>
      <c r="R1423" t="s">
        <v>2633</v>
      </c>
      <c r="S1423">
        <v>37</v>
      </c>
      <c r="T1423" s="43" t="str">
        <f t="shared" si="59"/>
        <v>2021.010B.R.Binomial_names.zip</v>
      </c>
      <c r="U1423" s="43" t="str">
        <f>HYPERLINK("https://ictv.global/taxonomy/taxondetails?taxnode_id=202211614","ictv.global=202211614")</f>
        <v>ictv.global=202211614</v>
      </c>
    </row>
    <row r="1424" spans="1:21">
      <c r="A1424">
        <v>1423</v>
      </c>
      <c r="B1424" s="29" t="s">
        <v>3682</v>
      </c>
      <c r="C1424" s="29"/>
      <c r="D1424" s="29" t="s">
        <v>3683</v>
      </c>
      <c r="E1424" s="29"/>
      <c r="F1424" s="29" t="s">
        <v>3686</v>
      </c>
      <c r="G1424" s="29"/>
      <c r="H1424" s="29" t="s">
        <v>3687</v>
      </c>
      <c r="I1424" s="29"/>
      <c r="J1424" s="29"/>
      <c r="K1424" s="29"/>
      <c r="L1424" s="29" t="s">
        <v>8409</v>
      </c>
      <c r="M1424" s="29"/>
      <c r="N1424" s="29" t="s">
        <v>3377</v>
      </c>
      <c r="O1424" s="29"/>
      <c r="P1424" s="29" t="s">
        <v>8501</v>
      </c>
      <c r="Q1424" t="s">
        <v>2038</v>
      </c>
      <c r="R1424" t="s">
        <v>2633</v>
      </c>
      <c r="S1424">
        <v>37</v>
      </c>
      <c r="T1424" s="43" t="str">
        <f t="shared" si="59"/>
        <v>2021.010B.R.Binomial_names.zip</v>
      </c>
      <c r="U1424" s="43" t="str">
        <f>HYPERLINK("https://ictv.global/taxonomy/taxondetails?taxnode_id=202211613","ictv.global=202211613")</f>
        <v>ictv.global=202211613</v>
      </c>
    </row>
    <row r="1425" spans="1:21">
      <c r="A1425">
        <v>1424</v>
      </c>
      <c r="B1425" s="29" t="s">
        <v>3682</v>
      </c>
      <c r="C1425" s="29"/>
      <c r="D1425" s="29" t="s">
        <v>3683</v>
      </c>
      <c r="E1425" s="29"/>
      <c r="F1425" s="29" t="s">
        <v>3686</v>
      </c>
      <c r="G1425" s="29"/>
      <c r="H1425" s="29" t="s">
        <v>3687</v>
      </c>
      <c r="I1425" s="29"/>
      <c r="J1425" s="29"/>
      <c r="K1425" s="29"/>
      <c r="L1425" s="29" t="s">
        <v>8409</v>
      </c>
      <c r="M1425" s="29"/>
      <c r="N1425" s="29" t="s">
        <v>3377</v>
      </c>
      <c r="O1425" s="29"/>
      <c r="P1425" s="29" t="s">
        <v>8502</v>
      </c>
      <c r="Q1425" t="s">
        <v>2038</v>
      </c>
      <c r="R1425" t="s">
        <v>2633</v>
      </c>
      <c r="S1425">
        <v>37</v>
      </c>
      <c r="T1425" s="43" t="str">
        <f t="shared" si="59"/>
        <v>2021.010B.R.Binomial_names.zip</v>
      </c>
      <c r="U1425" s="43" t="str">
        <f>HYPERLINK("https://ictv.global/taxonomy/taxondetails?taxnode_id=202207029","ictv.global=202207029")</f>
        <v>ictv.global=202207029</v>
      </c>
    </row>
    <row r="1426" spans="1:21">
      <c r="A1426">
        <v>1425</v>
      </c>
      <c r="B1426" s="29" t="s">
        <v>3682</v>
      </c>
      <c r="C1426" s="29"/>
      <c r="D1426" s="29" t="s">
        <v>3683</v>
      </c>
      <c r="E1426" s="29"/>
      <c r="F1426" s="29" t="s">
        <v>3686</v>
      </c>
      <c r="G1426" s="29"/>
      <c r="H1426" s="29" t="s">
        <v>3687</v>
      </c>
      <c r="I1426" s="29"/>
      <c r="J1426" s="29"/>
      <c r="K1426" s="29"/>
      <c r="L1426" s="29" t="s">
        <v>8409</v>
      </c>
      <c r="M1426" s="29"/>
      <c r="N1426" s="29" t="s">
        <v>3377</v>
      </c>
      <c r="O1426" s="29"/>
      <c r="P1426" s="29" t="s">
        <v>8503</v>
      </c>
      <c r="Q1426" t="s">
        <v>2038</v>
      </c>
      <c r="R1426" t="s">
        <v>2633</v>
      </c>
      <c r="S1426">
        <v>37</v>
      </c>
      <c r="T1426" s="43" t="str">
        <f t="shared" si="59"/>
        <v>2021.010B.R.Binomial_names.zip</v>
      </c>
      <c r="U1426" s="43" t="str">
        <f>HYPERLINK("https://ictv.global/taxonomy/taxondetails?taxnode_id=202207030","ictv.global=202207030")</f>
        <v>ictv.global=202207030</v>
      </c>
    </row>
    <row r="1427" spans="1:21">
      <c r="A1427">
        <v>1426</v>
      </c>
      <c r="B1427" s="29" t="s">
        <v>3682</v>
      </c>
      <c r="C1427" s="29"/>
      <c r="D1427" s="29" t="s">
        <v>3683</v>
      </c>
      <c r="E1427" s="29"/>
      <c r="F1427" s="29" t="s">
        <v>3686</v>
      </c>
      <c r="G1427" s="29"/>
      <c r="H1427" s="29" t="s">
        <v>3687</v>
      </c>
      <c r="I1427" s="29"/>
      <c r="J1427" s="29"/>
      <c r="K1427" s="29"/>
      <c r="L1427" s="29" t="s">
        <v>8409</v>
      </c>
      <c r="M1427" s="29"/>
      <c r="N1427" s="29" t="s">
        <v>3377</v>
      </c>
      <c r="O1427" s="29"/>
      <c r="P1427" s="29" t="s">
        <v>8504</v>
      </c>
      <c r="Q1427" t="s">
        <v>2038</v>
      </c>
      <c r="R1427" t="s">
        <v>2633</v>
      </c>
      <c r="S1427">
        <v>37</v>
      </c>
      <c r="T1427" s="43" t="str">
        <f t="shared" si="59"/>
        <v>2021.010B.R.Binomial_names.zip</v>
      </c>
      <c r="U1427" s="43" t="str">
        <f>HYPERLINK("https://ictv.global/taxonomy/taxondetails?taxnode_id=202211608","ictv.global=202211608")</f>
        <v>ictv.global=202211608</v>
      </c>
    </row>
    <row r="1428" spans="1:21">
      <c r="A1428">
        <v>1427</v>
      </c>
      <c r="B1428" s="29" t="s">
        <v>3682</v>
      </c>
      <c r="C1428" s="29"/>
      <c r="D1428" s="29" t="s">
        <v>3683</v>
      </c>
      <c r="E1428" s="29"/>
      <c r="F1428" s="29" t="s">
        <v>3686</v>
      </c>
      <c r="G1428" s="29"/>
      <c r="H1428" s="29" t="s">
        <v>3687</v>
      </c>
      <c r="I1428" s="29"/>
      <c r="J1428" s="29"/>
      <c r="K1428" s="29"/>
      <c r="L1428" s="29" t="s">
        <v>8409</v>
      </c>
      <c r="M1428" s="29"/>
      <c r="N1428" s="29" t="s">
        <v>3377</v>
      </c>
      <c r="O1428" s="29"/>
      <c r="P1428" s="29" t="s">
        <v>8505</v>
      </c>
      <c r="Q1428" t="s">
        <v>2038</v>
      </c>
      <c r="R1428" t="s">
        <v>2633</v>
      </c>
      <c r="S1428">
        <v>37</v>
      </c>
      <c r="T1428" s="43" t="str">
        <f t="shared" si="59"/>
        <v>2021.010B.R.Binomial_names.zip</v>
      </c>
      <c r="U1428" s="43" t="str">
        <f>HYPERLINK("https://ictv.global/taxonomy/taxondetails?taxnode_id=202211610","ictv.global=202211610")</f>
        <v>ictv.global=202211610</v>
      </c>
    </row>
    <row r="1429" spans="1:21">
      <c r="A1429">
        <v>1428</v>
      </c>
      <c r="B1429" s="29" t="s">
        <v>3682</v>
      </c>
      <c r="C1429" s="29"/>
      <c r="D1429" s="29" t="s">
        <v>3683</v>
      </c>
      <c r="E1429" s="29"/>
      <c r="F1429" s="29" t="s">
        <v>3686</v>
      </c>
      <c r="G1429" s="29"/>
      <c r="H1429" s="29" t="s">
        <v>3687</v>
      </c>
      <c r="I1429" s="29"/>
      <c r="J1429" s="29"/>
      <c r="K1429" s="29"/>
      <c r="L1429" s="29" t="s">
        <v>8409</v>
      </c>
      <c r="M1429" s="29"/>
      <c r="N1429" s="29" t="s">
        <v>3377</v>
      </c>
      <c r="O1429" s="29"/>
      <c r="P1429" s="29" t="s">
        <v>8506</v>
      </c>
      <c r="Q1429" t="s">
        <v>2038</v>
      </c>
      <c r="R1429" t="s">
        <v>2632</v>
      </c>
      <c r="S1429">
        <v>38</v>
      </c>
      <c r="T1429" s="43" t="str">
        <f>HYPERLINK("https://ictv.global/ictv/proposals/2022.062B.Peduoviridae_6ng_19nsp.zip","2022.062B.Peduoviridae_6ng_19nsp.zip")</f>
        <v>2022.062B.Peduoviridae_6ng_19nsp.zip</v>
      </c>
      <c r="U1429" s="43" t="str">
        <f>HYPERLINK("https://ictv.global/taxonomy/taxondetails?taxnode_id=202214728","ictv.global=202214728")</f>
        <v>ictv.global=202214728</v>
      </c>
    </row>
    <row r="1430" spans="1:21">
      <c r="A1430">
        <v>1429</v>
      </c>
      <c r="B1430" s="29" t="s">
        <v>3682</v>
      </c>
      <c r="C1430" s="29"/>
      <c r="D1430" s="29" t="s">
        <v>3683</v>
      </c>
      <c r="E1430" s="29"/>
      <c r="F1430" s="29" t="s">
        <v>3686</v>
      </c>
      <c r="G1430" s="29"/>
      <c r="H1430" s="29" t="s">
        <v>3687</v>
      </c>
      <c r="I1430" s="29"/>
      <c r="J1430" s="29"/>
      <c r="K1430" s="29"/>
      <c r="L1430" s="29" t="s">
        <v>8409</v>
      </c>
      <c r="M1430" s="29"/>
      <c r="N1430" s="29" t="s">
        <v>3377</v>
      </c>
      <c r="O1430" s="29"/>
      <c r="P1430" s="29" t="s">
        <v>8507</v>
      </c>
      <c r="Q1430" t="s">
        <v>2038</v>
      </c>
      <c r="R1430" t="s">
        <v>2632</v>
      </c>
      <c r="S1430">
        <v>38</v>
      </c>
      <c r="T1430" s="43" t="str">
        <f>HYPERLINK("https://ictv.global/ictv/proposals/2022.062B.Peduoviridae_6ng_19nsp.zip","2022.062B.Peduoviridae_6ng_19nsp.zip")</f>
        <v>2022.062B.Peduoviridae_6ng_19nsp.zip</v>
      </c>
      <c r="U1430" s="43" t="str">
        <f>HYPERLINK("https://ictv.global/taxonomy/taxondetails?taxnode_id=202214730","ictv.global=202214730")</f>
        <v>ictv.global=202214730</v>
      </c>
    </row>
    <row r="1431" spans="1:21">
      <c r="A1431">
        <v>1430</v>
      </c>
      <c r="B1431" s="29" t="s">
        <v>3682</v>
      </c>
      <c r="C1431" s="29"/>
      <c r="D1431" s="29" t="s">
        <v>3683</v>
      </c>
      <c r="E1431" s="29"/>
      <c r="F1431" s="29" t="s">
        <v>3686</v>
      </c>
      <c r="G1431" s="29"/>
      <c r="H1431" s="29" t="s">
        <v>3687</v>
      </c>
      <c r="I1431" s="29"/>
      <c r="J1431" s="29"/>
      <c r="K1431" s="29"/>
      <c r="L1431" s="29" t="s">
        <v>8409</v>
      </c>
      <c r="M1431" s="29"/>
      <c r="N1431" s="29" t="s">
        <v>3377</v>
      </c>
      <c r="O1431" s="29"/>
      <c r="P1431" s="29" t="s">
        <v>8508</v>
      </c>
      <c r="Q1431" t="s">
        <v>2038</v>
      </c>
      <c r="R1431" t="s">
        <v>2632</v>
      </c>
      <c r="S1431">
        <v>37</v>
      </c>
      <c r="T1431" s="43" t="str">
        <f>HYPERLINK("https://ictv.global/ictv/proposals/2021.063B.R.Peduoviridae.zip","2021.063B.R.Peduoviridae.zip")</f>
        <v>2021.063B.R.Peduoviridae.zip</v>
      </c>
      <c r="U1431" s="43" t="str">
        <f>HYPERLINK("https://ictv.global/taxonomy/taxondetails?taxnode_id=202212873","ictv.global=202212873")</f>
        <v>ictv.global=202212873</v>
      </c>
    </row>
    <row r="1432" spans="1:21">
      <c r="A1432">
        <v>1431</v>
      </c>
      <c r="B1432" s="29" t="s">
        <v>3682</v>
      </c>
      <c r="C1432" s="29"/>
      <c r="D1432" s="29" t="s">
        <v>3683</v>
      </c>
      <c r="E1432" s="29"/>
      <c r="F1432" s="29" t="s">
        <v>3686</v>
      </c>
      <c r="G1432" s="29"/>
      <c r="H1432" s="29" t="s">
        <v>3687</v>
      </c>
      <c r="I1432" s="29"/>
      <c r="J1432" s="29"/>
      <c r="K1432" s="29"/>
      <c r="L1432" s="29" t="s">
        <v>8409</v>
      </c>
      <c r="M1432" s="29"/>
      <c r="N1432" s="29" t="s">
        <v>3377</v>
      </c>
      <c r="O1432" s="29"/>
      <c r="P1432" s="29" t="s">
        <v>8509</v>
      </c>
      <c r="Q1432" t="s">
        <v>2038</v>
      </c>
      <c r="R1432" t="s">
        <v>2633</v>
      </c>
      <c r="S1432">
        <v>37</v>
      </c>
      <c r="T1432" s="43" t="str">
        <f>HYPERLINK("https://ictv.global/ictv/proposals/2021.010B.R.Binomial_names.zip","2021.010B.R.Binomial_names.zip")</f>
        <v>2021.010B.R.Binomial_names.zip</v>
      </c>
      <c r="U1432" s="43" t="str">
        <f>HYPERLINK("https://ictv.global/taxonomy/taxondetails?taxnode_id=202200239","ictv.global=202200239")</f>
        <v>ictv.global=202200239</v>
      </c>
    </row>
    <row r="1433" spans="1:21">
      <c r="A1433">
        <v>1432</v>
      </c>
      <c r="B1433" s="29" t="s">
        <v>3682</v>
      </c>
      <c r="C1433" s="29"/>
      <c r="D1433" s="29" t="s">
        <v>3683</v>
      </c>
      <c r="E1433" s="29"/>
      <c r="F1433" s="29" t="s">
        <v>3686</v>
      </c>
      <c r="G1433" s="29"/>
      <c r="H1433" s="29" t="s">
        <v>3687</v>
      </c>
      <c r="I1433" s="29"/>
      <c r="J1433" s="29"/>
      <c r="K1433" s="29"/>
      <c r="L1433" s="29" t="s">
        <v>8409</v>
      </c>
      <c r="M1433" s="29"/>
      <c r="N1433" s="29" t="s">
        <v>3377</v>
      </c>
      <c r="O1433" s="29"/>
      <c r="P1433" s="29" t="s">
        <v>8510</v>
      </c>
      <c r="Q1433" t="s">
        <v>2038</v>
      </c>
      <c r="R1433" t="s">
        <v>2632</v>
      </c>
      <c r="S1433">
        <v>37</v>
      </c>
      <c r="T1433" s="43" t="str">
        <f>HYPERLINK("https://ictv.global/ictv/proposals/2021.063B.R.Peduoviridae.zip","2021.063B.R.Peduoviridae.zip")</f>
        <v>2021.063B.R.Peduoviridae.zip</v>
      </c>
      <c r="U1433" s="43" t="str">
        <f>HYPERLINK("https://ictv.global/taxonomy/taxondetails?taxnode_id=202212874","ictv.global=202212874")</f>
        <v>ictv.global=202212874</v>
      </c>
    </row>
    <row r="1434" spans="1:21">
      <c r="A1434">
        <v>1433</v>
      </c>
      <c r="B1434" s="29" t="s">
        <v>3682</v>
      </c>
      <c r="C1434" s="29"/>
      <c r="D1434" s="29" t="s">
        <v>3683</v>
      </c>
      <c r="E1434" s="29"/>
      <c r="F1434" s="29" t="s">
        <v>3686</v>
      </c>
      <c r="G1434" s="29"/>
      <c r="H1434" s="29" t="s">
        <v>3687</v>
      </c>
      <c r="I1434" s="29"/>
      <c r="J1434" s="29"/>
      <c r="K1434" s="29"/>
      <c r="L1434" s="29" t="s">
        <v>8409</v>
      </c>
      <c r="M1434" s="29"/>
      <c r="N1434" s="29" t="s">
        <v>3377</v>
      </c>
      <c r="O1434" s="29"/>
      <c r="P1434" s="29" t="s">
        <v>8511</v>
      </c>
      <c r="Q1434" t="s">
        <v>2038</v>
      </c>
      <c r="R1434" t="s">
        <v>2632</v>
      </c>
      <c r="S1434">
        <v>37</v>
      </c>
      <c r="T1434" s="43" t="str">
        <f>HYPERLINK("https://ictv.global/ictv/proposals/2021.063B.R.Peduoviridae.zip","2021.063B.R.Peduoviridae.zip")</f>
        <v>2021.063B.R.Peduoviridae.zip</v>
      </c>
      <c r="U1434" s="43" t="str">
        <f>HYPERLINK("https://ictv.global/taxonomy/taxondetails?taxnode_id=202212876","ictv.global=202212876")</f>
        <v>ictv.global=202212876</v>
      </c>
    </row>
    <row r="1435" spans="1:21">
      <c r="A1435">
        <v>1434</v>
      </c>
      <c r="B1435" s="29" t="s">
        <v>3682</v>
      </c>
      <c r="C1435" s="29"/>
      <c r="D1435" s="29" t="s">
        <v>3683</v>
      </c>
      <c r="E1435" s="29"/>
      <c r="F1435" s="29" t="s">
        <v>3686</v>
      </c>
      <c r="G1435" s="29"/>
      <c r="H1435" s="29" t="s">
        <v>3687</v>
      </c>
      <c r="I1435" s="29"/>
      <c r="J1435" s="29"/>
      <c r="K1435" s="29"/>
      <c r="L1435" s="29" t="s">
        <v>8409</v>
      </c>
      <c r="M1435" s="29"/>
      <c r="N1435" s="29" t="s">
        <v>3377</v>
      </c>
      <c r="O1435" s="29"/>
      <c r="P1435" s="29" t="s">
        <v>8512</v>
      </c>
      <c r="Q1435" t="s">
        <v>2038</v>
      </c>
      <c r="R1435" t="s">
        <v>2632</v>
      </c>
      <c r="S1435">
        <v>37</v>
      </c>
      <c r="T1435" s="43" t="str">
        <f>HYPERLINK("https://ictv.global/ictv/proposals/2021.063B.R.Peduoviridae.zip","2021.063B.R.Peduoviridae.zip")</f>
        <v>2021.063B.R.Peduoviridae.zip</v>
      </c>
      <c r="U1435" s="43" t="str">
        <f>HYPERLINK("https://ictv.global/taxonomy/taxondetails?taxnode_id=202212875","ictv.global=202212875")</f>
        <v>ictv.global=202212875</v>
      </c>
    </row>
    <row r="1436" spans="1:21">
      <c r="A1436">
        <v>1435</v>
      </c>
      <c r="B1436" s="29" t="s">
        <v>3682</v>
      </c>
      <c r="C1436" s="29"/>
      <c r="D1436" s="29" t="s">
        <v>3683</v>
      </c>
      <c r="E1436" s="29"/>
      <c r="F1436" s="29" t="s">
        <v>3686</v>
      </c>
      <c r="G1436" s="29"/>
      <c r="H1436" s="29" t="s">
        <v>3687</v>
      </c>
      <c r="I1436" s="29"/>
      <c r="J1436" s="29"/>
      <c r="K1436" s="29"/>
      <c r="L1436" s="29" t="s">
        <v>8409</v>
      </c>
      <c r="M1436" s="29"/>
      <c r="N1436" s="29" t="s">
        <v>3885</v>
      </c>
      <c r="O1436" s="29"/>
      <c r="P1436" s="29" t="s">
        <v>8513</v>
      </c>
      <c r="Q1436" t="s">
        <v>2038</v>
      </c>
      <c r="R1436" t="s">
        <v>2633</v>
      </c>
      <c r="S1436">
        <v>37</v>
      </c>
      <c r="T1436" s="43" t="str">
        <f>HYPERLINK("https://ictv.global/ictv/proposals/2021.010B.R.Binomial_names.zip","2021.010B.R.Binomial_names.zip")</f>
        <v>2021.010B.R.Binomial_names.zip</v>
      </c>
      <c r="U1436" s="43" t="str">
        <f>HYPERLINK("https://ictv.global/taxonomy/taxondetails?taxnode_id=202207948","ictv.global=202207948")</f>
        <v>ictv.global=202207948</v>
      </c>
    </row>
    <row r="1437" spans="1:21">
      <c r="A1437">
        <v>1436</v>
      </c>
      <c r="B1437" s="29" t="s">
        <v>3682</v>
      </c>
      <c r="C1437" s="29"/>
      <c r="D1437" s="29" t="s">
        <v>3683</v>
      </c>
      <c r="E1437" s="29"/>
      <c r="F1437" s="29" t="s">
        <v>3686</v>
      </c>
      <c r="G1437" s="29"/>
      <c r="H1437" s="29" t="s">
        <v>3687</v>
      </c>
      <c r="I1437" s="29"/>
      <c r="J1437" s="29"/>
      <c r="K1437" s="29"/>
      <c r="L1437" s="29" t="s">
        <v>8409</v>
      </c>
      <c r="M1437" s="29"/>
      <c r="N1437" s="29" t="s">
        <v>8514</v>
      </c>
      <c r="O1437" s="29"/>
      <c r="P1437" s="29" t="s">
        <v>8515</v>
      </c>
      <c r="Q1437" t="s">
        <v>2038</v>
      </c>
      <c r="R1437" t="s">
        <v>2632</v>
      </c>
      <c r="S1437">
        <v>38</v>
      </c>
      <c r="T1437" s="43" t="str">
        <f>HYPERLINK("https://ictv.global/ictv/proposals/2022.062B.Peduoviridae_6ng_19nsp.zip","2022.062B.Peduoviridae_6ng_19nsp.zip")</f>
        <v>2022.062B.Peduoviridae_6ng_19nsp.zip</v>
      </c>
      <c r="U1437" s="43" t="str">
        <f>HYPERLINK("https://ictv.global/taxonomy/taxondetails?taxnode_id=202214743","ictv.global=202214743")</f>
        <v>ictv.global=202214743</v>
      </c>
    </row>
    <row r="1438" spans="1:21">
      <c r="A1438">
        <v>1437</v>
      </c>
      <c r="B1438" s="29" t="s">
        <v>3682</v>
      </c>
      <c r="C1438" s="29"/>
      <c r="D1438" s="29" t="s">
        <v>3683</v>
      </c>
      <c r="E1438" s="29"/>
      <c r="F1438" s="29" t="s">
        <v>3686</v>
      </c>
      <c r="G1438" s="29"/>
      <c r="H1438" s="29" t="s">
        <v>3687</v>
      </c>
      <c r="I1438" s="29"/>
      <c r="J1438" s="29"/>
      <c r="K1438" s="29"/>
      <c r="L1438" s="29" t="s">
        <v>8409</v>
      </c>
      <c r="M1438" s="29"/>
      <c r="N1438" s="29" t="s">
        <v>3886</v>
      </c>
      <c r="O1438" s="29"/>
      <c r="P1438" s="29" t="s">
        <v>8516</v>
      </c>
      <c r="Q1438" t="s">
        <v>2038</v>
      </c>
      <c r="R1438" t="s">
        <v>2633</v>
      </c>
      <c r="S1438">
        <v>37</v>
      </c>
      <c r="T1438" s="43" t="str">
        <f>HYPERLINK("https://ictv.global/ictv/proposals/2021.010B.R.Binomial_names.zip","2021.010B.R.Binomial_names.zip")</f>
        <v>2021.010B.R.Binomial_names.zip</v>
      </c>
      <c r="U1438" s="43" t="str">
        <f>HYPERLINK("https://ictv.global/taxonomy/taxondetails?taxnode_id=202207941","ictv.global=202207941")</f>
        <v>ictv.global=202207941</v>
      </c>
    </row>
    <row r="1439" spans="1:21">
      <c r="A1439">
        <v>1438</v>
      </c>
      <c r="B1439" s="29" t="s">
        <v>3682</v>
      </c>
      <c r="C1439" s="29"/>
      <c r="D1439" s="29" t="s">
        <v>3683</v>
      </c>
      <c r="E1439" s="29"/>
      <c r="F1439" s="29" t="s">
        <v>3686</v>
      </c>
      <c r="G1439" s="29"/>
      <c r="H1439" s="29" t="s">
        <v>3687</v>
      </c>
      <c r="I1439" s="29"/>
      <c r="J1439" s="29"/>
      <c r="K1439" s="29"/>
      <c r="L1439" s="29" t="s">
        <v>8409</v>
      </c>
      <c r="M1439" s="29"/>
      <c r="N1439" s="29" t="s">
        <v>8517</v>
      </c>
      <c r="O1439" s="29"/>
      <c r="P1439" s="29" t="s">
        <v>8518</v>
      </c>
      <c r="Q1439" t="s">
        <v>2038</v>
      </c>
      <c r="R1439" t="s">
        <v>2632</v>
      </c>
      <c r="S1439">
        <v>37</v>
      </c>
      <c r="T1439" s="43" t="str">
        <f t="shared" ref="T1439:T1444" si="60">HYPERLINK("https://ictv.global/ictv/proposals/2021.063B.R.Peduoviridae.zip","2021.063B.R.Peduoviridae.zip")</f>
        <v>2021.063B.R.Peduoviridae.zip</v>
      </c>
      <c r="U1439" s="43" t="str">
        <f>HYPERLINK("https://ictv.global/taxonomy/taxondetails?taxnode_id=202212856","ictv.global=202212856")</f>
        <v>ictv.global=202212856</v>
      </c>
    </row>
    <row r="1440" spans="1:21">
      <c r="A1440">
        <v>1439</v>
      </c>
      <c r="B1440" s="29" t="s">
        <v>3682</v>
      </c>
      <c r="C1440" s="29"/>
      <c r="D1440" s="29" t="s">
        <v>3683</v>
      </c>
      <c r="E1440" s="29"/>
      <c r="F1440" s="29" t="s">
        <v>3686</v>
      </c>
      <c r="G1440" s="29"/>
      <c r="H1440" s="29" t="s">
        <v>3687</v>
      </c>
      <c r="I1440" s="29"/>
      <c r="J1440" s="29"/>
      <c r="K1440" s="29"/>
      <c r="L1440" s="29" t="s">
        <v>8409</v>
      </c>
      <c r="M1440" s="29"/>
      <c r="N1440" s="29" t="s">
        <v>8517</v>
      </c>
      <c r="O1440" s="29"/>
      <c r="P1440" s="29" t="s">
        <v>8519</v>
      </c>
      <c r="Q1440" t="s">
        <v>2038</v>
      </c>
      <c r="R1440" t="s">
        <v>2632</v>
      </c>
      <c r="S1440">
        <v>37</v>
      </c>
      <c r="T1440" s="43" t="str">
        <f t="shared" si="60"/>
        <v>2021.063B.R.Peduoviridae.zip</v>
      </c>
      <c r="U1440" s="43" t="str">
        <f>HYPERLINK("https://ictv.global/taxonomy/taxondetails?taxnode_id=202212855","ictv.global=202212855")</f>
        <v>ictv.global=202212855</v>
      </c>
    </row>
    <row r="1441" spans="1:21">
      <c r="A1441">
        <v>1440</v>
      </c>
      <c r="B1441" s="29" t="s">
        <v>3682</v>
      </c>
      <c r="C1441" s="29"/>
      <c r="D1441" s="29" t="s">
        <v>3683</v>
      </c>
      <c r="E1441" s="29"/>
      <c r="F1441" s="29" t="s">
        <v>3686</v>
      </c>
      <c r="G1441" s="29"/>
      <c r="H1441" s="29" t="s">
        <v>3687</v>
      </c>
      <c r="I1441" s="29"/>
      <c r="J1441" s="29"/>
      <c r="K1441" s="29"/>
      <c r="L1441" s="29" t="s">
        <v>8409</v>
      </c>
      <c r="M1441" s="29"/>
      <c r="N1441" s="29" t="s">
        <v>8517</v>
      </c>
      <c r="O1441" s="29"/>
      <c r="P1441" s="29" t="s">
        <v>8520</v>
      </c>
      <c r="Q1441" t="s">
        <v>2038</v>
      </c>
      <c r="R1441" t="s">
        <v>2632</v>
      </c>
      <c r="S1441">
        <v>37</v>
      </c>
      <c r="T1441" s="43" t="str">
        <f t="shared" si="60"/>
        <v>2021.063B.R.Peduoviridae.zip</v>
      </c>
      <c r="U1441" s="43" t="str">
        <f>HYPERLINK("https://ictv.global/taxonomy/taxondetails?taxnode_id=202212854","ictv.global=202212854")</f>
        <v>ictv.global=202212854</v>
      </c>
    </row>
    <row r="1442" spans="1:21">
      <c r="A1442">
        <v>1441</v>
      </c>
      <c r="B1442" s="29" t="s">
        <v>3682</v>
      </c>
      <c r="C1442" s="29"/>
      <c r="D1442" s="29" t="s">
        <v>3683</v>
      </c>
      <c r="E1442" s="29"/>
      <c r="F1442" s="29" t="s">
        <v>3686</v>
      </c>
      <c r="G1442" s="29"/>
      <c r="H1442" s="29" t="s">
        <v>3687</v>
      </c>
      <c r="I1442" s="29"/>
      <c r="J1442" s="29"/>
      <c r="K1442" s="29"/>
      <c r="L1442" s="29" t="s">
        <v>8409</v>
      </c>
      <c r="M1442" s="29"/>
      <c r="N1442" s="29" t="s">
        <v>8521</v>
      </c>
      <c r="O1442" s="29"/>
      <c r="P1442" s="29" t="s">
        <v>8522</v>
      </c>
      <c r="Q1442" t="s">
        <v>2038</v>
      </c>
      <c r="R1442" t="s">
        <v>2633</v>
      </c>
      <c r="S1442">
        <v>37</v>
      </c>
      <c r="T1442" s="43" t="str">
        <f t="shared" si="60"/>
        <v>2021.063B.R.Peduoviridae.zip</v>
      </c>
      <c r="U1442" s="43" t="str">
        <f>HYPERLINK("https://ictv.global/taxonomy/taxondetails?taxnode_id=202211588","ictv.global=202211588")</f>
        <v>ictv.global=202211588</v>
      </c>
    </row>
    <row r="1443" spans="1:21">
      <c r="A1443">
        <v>1442</v>
      </c>
      <c r="B1443" s="29" t="s">
        <v>3682</v>
      </c>
      <c r="C1443" s="29"/>
      <c r="D1443" s="29" t="s">
        <v>3683</v>
      </c>
      <c r="E1443" s="29"/>
      <c r="F1443" s="29" t="s">
        <v>3686</v>
      </c>
      <c r="G1443" s="29"/>
      <c r="H1443" s="29" t="s">
        <v>3687</v>
      </c>
      <c r="I1443" s="29"/>
      <c r="J1443" s="29"/>
      <c r="K1443" s="29"/>
      <c r="L1443" s="29" t="s">
        <v>8409</v>
      </c>
      <c r="M1443" s="29"/>
      <c r="N1443" s="29" t="s">
        <v>8521</v>
      </c>
      <c r="O1443" s="29"/>
      <c r="P1443" s="29" t="s">
        <v>8523</v>
      </c>
      <c r="Q1443" t="s">
        <v>2038</v>
      </c>
      <c r="R1443" t="s">
        <v>2633</v>
      </c>
      <c r="S1443">
        <v>37</v>
      </c>
      <c r="T1443" s="43" t="str">
        <f t="shared" si="60"/>
        <v>2021.063B.R.Peduoviridae.zip</v>
      </c>
      <c r="U1443" s="43" t="str">
        <f>HYPERLINK("https://ictv.global/taxonomy/taxondetails?taxnode_id=202211590","ictv.global=202211590")</f>
        <v>ictv.global=202211590</v>
      </c>
    </row>
    <row r="1444" spans="1:21">
      <c r="A1444">
        <v>1443</v>
      </c>
      <c r="B1444" s="29" t="s">
        <v>3682</v>
      </c>
      <c r="C1444" s="29"/>
      <c r="D1444" s="29" t="s">
        <v>3683</v>
      </c>
      <c r="E1444" s="29"/>
      <c r="F1444" s="29" t="s">
        <v>3686</v>
      </c>
      <c r="G1444" s="29"/>
      <c r="H1444" s="29" t="s">
        <v>3687</v>
      </c>
      <c r="I1444" s="29"/>
      <c r="J1444" s="29"/>
      <c r="K1444" s="29"/>
      <c r="L1444" s="29" t="s">
        <v>8409</v>
      </c>
      <c r="M1444" s="29"/>
      <c r="N1444" s="29" t="s">
        <v>8521</v>
      </c>
      <c r="O1444" s="29"/>
      <c r="P1444" s="29" t="s">
        <v>8524</v>
      </c>
      <c r="Q1444" t="s">
        <v>2038</v>
      </c>
      <c r="R1444" t="s">
        <v>2633</v>
      </c>
      <c r="S1444">
        <v>37</v>
      </c>
      <c r="T1444" s="43" t="str">
        <f t="shared" si="60"/>
        <v>2021.063B.R.Peduoviridae.zip</v>
      </c>
      <c r="U1444" s="43" t="str">
        <f>HYPERLINK("https://ictv.global/taxonomy/taxondetails?taxnode_id=202211589","ictv.global=202211589")</f>
        <v>ictv.global=202211589</v>
      </c>
    </row>
    <row r="1445" spans="1:21">
      <c r="A1445">
        <v>1444</v>
      </c>
      <c r="B1445" s="29" t="s">
        <v>3682</v>
      </c>
      <c r="C1445" s="29"/>
      <c r="D1445" s="29" t="s">
        <v>3683</v>
      </c>
      <c r="E1445" s="29"/>
      <c r="F1445" s="29" t="s">
        <v>3686</v>
      </c>
      <c r="G1445" s="29"/>
      <c r="H1445" s="29" t="s">
        <v>3687</v>
      </c>
      <c r="I1445" s="29"/>
      <c r="J1445" s="29"/>
      <c r="K1445" s="29"/>
      <c r="L1445" s="29" t="s">
        <v>8409</v>
      </c>
      <c r="M1445" s="29"/>
      <c r="N1445" s="29" t="s">
        <v>3887</v>
      </c>
      <c r="O1445" s="29"/>
      <c r="P1445" s="29" t="s">
        <v>8525</v>
      </c>
      <c r="Q1445" t="s">
        <v>2038</v>
      </c>
      <c r="R1445" t="s">
        <v>2633</v>
      </c>
      <c r="S1445">
        <v>37</v>
      </c>
      <c r="T1445" s="43" t="str">
        <f>HYPERLINK("https://ictv.global/ictv/proposals/2021.010B.R.Binomial_names.zip","2021.010B.R.Binomial_names.zip")</f>
        <v>2021.010B.R.Binomial_names.zip</v>
      </c>
      <c r="U1445" s="43" t="str">
        <f>HYPERLINK("https://ictv.global/taxonomy/taxondetails?taxnode_id=202207954","ictv.global=202207954")</f>
        <v>ictv.global=202207954</v>
      </c>
    </row>
    <row r="1446" spans="1:21">
      <c r="A1446">
        <v>1445</v>
      </c>
      <c r="B1446" s="29" t="s">
        <v>3682</v>
      </c>
      <c r="C1446" s="29"/>
      <c r="D1446" s="29" t="s">
        <v>3683</v>
      </c>
      <c r="E1446" s="29"/>
      <c r="F1446" s="29" t="s">
        <v>3686</v>
      </c>
      <c r="G1446" s="29"/>
      <c r="H1446" s="29" t="s">
        <v>3687</v>
      </c>
      <c r="I1446" s="29"/>
      <c r="J1446" s="29"/>
      <c r="K1446" s="29"/>
      <c r="L1446" s="29" t="s">
        <v>8409</v>
      </c>
      <c r="M1446" s="29"/>
      <c r="N1446" s="29" t="s">
        <v>4537</v>
      </c>
      <c r="O1446" s="29"/>
      <c r="P1446" s="29" t="s">
        <v>8526</v>
      </c>
      <c r="Q1446" t="s">
        <v>2038</v>
      </c>
      <c r="R1446" t="s">
        <v>2633</v>
      </c>
      <c r="S1446">
        <v>37</v>
      </c>
      <c r="T1446" s="43" t="str">
        <f>HYPERLINK("https://ictv.global/ictv/proposals/2021.010B.R.Binomial_names.zip","2021.010B.R.Binomial_names.zip")</f>
        <v>2021.010B.R.Binomial_names.zip</v>
      </c>
      <c r="U1446" s="43" t="str">
        <f>HYPERLINK("https://ictv.global/taxonomy/taxondetails?taxnode_id=202211596","ictv.global=202211596")</f>
        <v>ictv.global=202211596</v>
      </c>
    </row>
    <row r="1447" spans="1:21">
      <c r="A1447">
        <v>1446</v>
      </c>
      <c r="B1447" s="29" t="s">
        <v>3682</v>
      </c>
      <c r="C1447" s="29"/>
      <c r="D1447" s="29" t="s">
        <v>3683</v>
      </c>
      <c r="E1447" s="29"/>
      <c r="F1447" s="29" t="s">
        <v>3686</v>
      </c>
      <c r="G1447" s="29"/>
      <c r="H1447" s="29" t="s">
        <v>3687</v>
      </c>
      <c r="I1447" s="29"/>
      <c r="J1447" s="29"/>
      <c r="K1447" s="29"/>
      <c r="L1447" s="29" t="s">
        <v>8409</v>
      </c>
      <c r="M1447" s="29"/>
      <c r="N1447" s="29" t="s">
        <v>8527</v>
      </c>
      <c r="O1447" s="29"/>
      <c r="P1447" s="29" t="s">
        <v>8528</v>
      </c>
      <c r="Q1447" t="s">
        <v>2038</v>
      </c>
      <c r="R1447" t="s">
        <v>2632</v>
      </c>
      <c r="S1447">
        <v>37</v>
      </c>
      <c r="T1447" s="43" t="str">
        <f>HYPERLINK("https://ictv.global/ictv/proposals/2021.063B.R.Peduoviridae.zip","2021.063B.R.Peduoviridae.zip")</f>
        <v>2021.063B.R.Peduoviridae.zip</v>
      </c>
      <c r="U1447" s="43" t="str">
        <f>HYPERLINK("https://ictv.global/taxonomy/taxondetails?taxnode_id=202212858","ictv.global=202212858")</f>
        <v>ictv.global=202212858</v>
      </c>
    </row>
    <row r="1448" spans="1:21">
      <c r="A1448">
        <v>1447</v>
      </c>
      <c r="B1448" s="29" t="s">
        <v>3682</v>
      </c>
      <c r="C1448" s="29"/>
      <c r="D1448" s="29" t="s">
        <v>3683</v>
      </c>
      <c r="E1448" s="29"/>
      <c r="F1448" s="29" t="s">
        <v>3686</v>
      </c>
      <c r="G1448" s="29"/>
      <c r="H1448" s="29" t="s">
        <v>3687</v>
      </c>
      <c r="I1448" s="29"/>
      <c r="J1448" s="29"/>
      <c r="K1448" s="29"/>
      <c r="L1448" s="29" t="s">
        <v>8409</v>
      </c>
      <c r="M1448" s="29"/>
      <c r="N1448" s="29" t="s">
        <v>3888</v>
      </c>
      <c r="O1448" s="29"/>
      <c r="P1448" s="29" t="s">
        <v>8529</v>
      </c>
      <c r="Q1448" t="s">
        <v>2038</v>
      </c>
      <c r="R1448" t="s">
        <v>2633</v>
      </c>
      <c r="S1448">
        <v>37</v>
      </c>
      <c r="T1448" s="43" t="str">
        <f>HYPERLINK("https://ictv.global/ictv/proposals/2021.010B.R.Binomial_names.zip","2021.010B.R.Binomial_names.zip")</f>
        <v>2021.010B.R.Binomial_names.zip</v>
      </c>
      <c r="U1448" s="43" t="str">
        <f>HYPERLINK("https://ictv.global/taxonomy/taxondetails?taxnode_id=202207960","ictv.global=202207960")</f>
        <v>ictv.global=202207960</v>
      </c>
    </row>
    <row r="1449" spans="1:21">
      <c r="A1449">
        <v>1448</v>
      </c>
      <c r="B1449" s="29" t="s">
        <v>3682</v>
      </c>
      <c r="C1449" s="29"/>
      <c r="D1449" s="29" t="s">
        <v>3683</v>
      </c>
      <c r="E1449" s="29"/>
      <c r="F1449" s="29" t="s">
        <v>3686</v>
      </c>
      <c r="G1449" s="29"/>
      <c r="H1449" s="29" t="s">
        <v>3687</v>
      </c>
      <c r="I1449" s="29"/>
      <c r="J1449" s="29"/>
      <c r="K1449" s="29"/>
      <c r="L1449" s="29" t="s">
        <v>8409</v>
      </c>
      <c r="M1449" s="29"/>
      <c r="N1449" s="29" t="s">
        <v>3889</v>
      </c>
      <c r="O1449" s="29"/>
      <c r="P1449" s="29" t="s">
        <v>8530</v>
      </c>
      <c r="Q1449" t="s">
        <v>2038</v>
      </c>
      <c r="R1449" t="s">
        <v>2633</v>
      </c>
      <c r="S1449">
        <v>37</v>
      </c>
      <c r="T1449" s="43" t="str">
        <f>HYPERLINK("https://ictv.global/ictv/proposals/2021.010B.R.Binomial_names.zip","2021.010B.R.Binomial_names.zip")</f>
        <v>2021.010B.R.Binomial_names.zip</v>
      </c>
      <c r="U1449" s="43" t="str">
        <f>HYPERLINK("https://ictv.global/taxonomy/taxondetails?taxnode_id=202207944","ictv.global=202207944")</f>
        <v>ictv.global=202207944</v>
      </c>
    </row>
    <row r="1450" spans="1:21">
      <c r="A1450">
        <v>1449</v>
      </c>
      <c r="B1450" s="29" t="s">
        <v>3682</v>
      </c>
      <c r="C1450" s="29"/>
      <c r="D1450" s="29" t="s">
        <v>3683</v>
      </c>
      <c r="E1450" s="29"/>
      <c r="F1450" s="29" t="s">
        <v>3686</v>
      </c>
      <c r="G1450" s="29"/>
      <c r="H1450" s="29" t="s">
        <v>3687</v>
      </c>
      <c r="I1450" s="29"/>
      <c r="J1450" s="29"/>
      <c r="K1450" s="29"/>
      <c r="L1450" s="29" t="s">
        <v>8409</v>
      </c>
      <c r="M1450" s="29"/>
      <c r="N1450" s="29" t="s">
        <v>3890</v>
      </c>
      <c r="O1450" s="29"/>
      <c r="P1450" s="29" t="s">
        <v>8531</v>
      </c>
      <c r="Q1450" t="s">
        <v>2038</v>
      </c>
      <c r="R1450" t="s">
        <v>2633</v>
      </c>
      <c r="S1450">
        <v>37</v>
      </c>
      <c r="T1450" s="43" t="str">
        <f>HYPERLINK("https://ictv.global/ictv/proposals/2021.010B.R.Binomial_names.zip","2021.010B.R.Binomial_names.zip")</f>
        <v>2021.010B.R.Binomial_names.zip</v>
      </c>
      <c r="U1450" s="43" t="str">
        <f>HYPERLINK("https://ictv.global/taxonomy/taxondetails?taxnode_id=202207966","ictv.global=202207966")</f>
        <v>ictv.global=202207966</v>
      </c>
    </row>
    <row r="1451" spans="1:21">
      <c r="A1451">
        <v>1450</v>
      </c>
      <c r="B1451" s="29" t="s">
        <v>3682</v>
      </c>
      <c r="C1451" s="29"/>
      <c r="D1451" s="29" t="s">
        <v>3683</v>
      </c>
      <c r="E1451" s="29"/>
      <c r="F1451" s="29" t="s">
        <v>3686</v>
      </c>
      <c r="G1451" s="29"/>
      <c r="H1451" s="29" t="s">
        <v>3687</v>
      </c>
      <c r="I1451" s="29"/>
      <c r="J1451" s="29"/>
      <c r="K1451" s="29"/>
      <c r="L1451" s="29" t="s">
        <v>8409</v>
      </c>
      <c r="M1451" s="29"/>
      <c r="N1451" s="29" t="s">
        <v>3891</v>
      </c>
      <c r="O1451" s="29"/>
      <c r="P1451" s="29" t="s">
        <v>8532</v>
      </c>
      <c r="Q1451" t="s">
        <v>2038</v>
      </c>
      <c r="R1451" t="s">
        <v>2633</v>
      </c>
      <c r="S1451">
        <v>37</v>
      </c>
      <c r="T1451" s="43" t="str">
        <f>HYPERLINK("https://ictv.global/ictv/proposals/2021.010B.R.Binomial_names.zip","2021.010B.R.Binomial_names.zip")</f>
        <v>2021.010B.R.Binomial_names.zip</v>
      </c>
      <c r="U1451" s="43" t="str">
        <f>HYPERLINK("https://ictv.global/taxonomy/taxondetails?taxnode_id=202207031","ictv.global=202207031")</f>
        <v>ictv.global=202207031</v>
      </c>
    </row>
    <row r="1452" spans="1:21">
      <c r="A1452">
        <v>1451</v>
      </c>
      <c r="B1452" s="29" t="s">
        <v>3682</v>
      </c>
      <c r="C1452" s="29"/>
      <c r="D1452" s="29" t="s">
        <v>3683</v>
      </c>
      <c r="E1452" s="29"/>
      <c r="F1452" s="29" t="s">
        <v>3686</v>
      </c>
      <c r="G1452" s="29"/>
      <c r="H1452" s="29" t="s">
        <v>3687</v>
      </c>
      <c r="I1452" s="29"/>
      <c r="J1452" s="29"/>
      <c r="K1452" s="29"/>
      <c r="L1452" s="29" t="s">
        <v>8409</v>
      </c>
      <c r="M1452" s="29"/>
      <c r="N1452" s="29" t="s">
        <v>3892</v>
      </c>
      <c r="O1452" s="29"/>
      <c r="P1452" s="29" t="s">
        <v>8533</v>
      </c>
      <c r="Q1452" t="s">
        <v>2038</v>
      </c>
      <c r="R1452" t="s">
        <v>2632</v>
      </c>
      <c r="S1452">
        <v>38</v>
      </c>
      <c r="T1452" s="43" t="str">
        <f>HYPERLINK("https://ictv.global/ictv/proposals/2022.062B.Peduoviridae_6ng_19nsp.zip","2022.062B.Peduoviridae_6ng_19nsp.zip")</f>
        <v>2022.062B.Peduoviridae_6ng_19nsp.zip</v>
      </c>
      <c r="U1452" s="43" t="str">
        <f>HYPERLINK("https://ictv.global/taxonomy/taxondetails?taxnode_id=202214736","ictv.global=202214736")</f>
        <v>ictv.global=202214736</v>
      </c>
    </row>
    <row r="1453" spans="1:21">
      <c r="A1453">
        <v>1452</v>
      </c>
      <c r="B1453" s="29" t="s">
        <v>3682</v>
      </c>
      <c r="C1453" s="29"/>
      <c r="D1453" s="29" t="s">
        <v>3683</v>
      </c>
      <c r="E1453" s="29"/>
      <c r="F1453" s="29" t="s">
        <v>3686</v>
      </c>
      <c r="G1453" s="29"/>
      <c r="H1453" s="29" t="s">
        <v>3687</v>
      </c>
      <c r="I1453" s="29"/>
      <c r="J1453" s="29"/>
      <c r="K1453" s="29"/>
      <c r="L1453" s="29" t="s">
        <v>8409</v>
      </c>
      <c r="M1453" s="29"/>
      <c r="N1453" s="29" t="s">
        <v>3892</v>
      </c>
      <c r="O1453" s="29"/>
      <c r="P1453" s="29" t="s">
        <v>8534</v>
      </c>
      <c r="Q1453" t="s">
        <v>2038</v>
      </c>
      <c r="R1453" t="s">
        <v>2633</v>
      </c>
      <c r="S1453">
        <v>37</v>
      </c>
      <c r="T1453" s="43" t="str">
        <f>HYPERLINK("https://ictv.global/ictv/proposals/2021.010B.R.Binomial_names.zip","2021.010B.R.Binomial_names.zip")</f>
        <v>2021.010B.R.Binomial_names.zip</v>
      </c>
      <c r="U1453" s="43" t="str">
        <f>HYPERLINK("https://ictv.global/taxonomy/taxondetails?taxnode_id=202200236","ictv.global=202200236")</f>
        <v>ictv.global=202200236</v>
      </c>
    </row>
    <row r="1454" spans="1:21">
      <c r="A1454">
        <v>1453</v>
      </c>
      <c r="B1454" s="29" t="s">
        <v>3682</v>
      </c>
      <c r="C1454" s="29"/>
      <c r="D1454" s="29" t="s">
        <v>3683</v>
      </c>
      <c r="E1454" s="29"/>
      <c r="F1454" s="29" t="s">
        <v>3686</v>
      </c>
      <c r="G1454" s="29"/>
      <c r="H1454" s="29" t="s">
        <v>3687</v>
      </c>
      <c r="I1454" s="29"/>
      <c r="J1454" s="29"/>
      <c r="K1454" s="29"/>
      <c r="L1454" s="29" t="s">
        <v>8409</v>
      </c>
      <c r="M1454" s="29"/>
      <c r="N1454" s="29" t="s">
        <v>3892</v>
      </c>
      <c r="O1454" s="29"/>
      <c r="P1454" s="29" t="s">
        <v>8535</v>
      </c>
      <c r="Q1454" t="s">
        <v>2038</v>
      </c>
      <c r="R1454" t="s">
        <v>2633</v>
      </c>
      <c r="S1454">
        <v>37</v>
      </c>
      <c r="T1454" s="43" t="str">
        <f>HYPERLINK("https://ictv.global/ictv/proposals/2021.010B.R.Binomial_names.zip","2021.010B.R.Binomial_names.zip")</f>
        <v>2021.010B.R.Binomial_names.zip</v>
      </c>
      <c r="U1454" s="43" t="str">
        <f>HYPERLINK("https://ictv.global/taxonomy/taxondetails?taxnode_id=202200234","ictv.global=202200234")</f>
        <v>ictv.global=202200234</v>
      </c>
    </row>
    <row r="1455" spans="1:21">
      <c r="A1455">
        <v>1454</v>
      </c>
      <c r="B1455" s="29" t="s">
        <v>3682</v>
      </c>
      <c r="C1455" s="29"/>
      <c r="D1455" s="29" t="s">
        <v>3683</v>
      </c>
      <c r="E1455" s="29"/>
      <c r="F1455" s="29" t="s">
        <v>3686</v>
      </c>
      <c r="G1455" s="29"/>
      <c r="H1455" s="29" t="s">
        <v>3687</v>
      </c>
      <c r="I1455" s="29"/>
      <c r="J1455" s="29"/>
      <c r="K1455" s="29"/>
      <c r="L1455" s="29" t="s">
        <v>8409</v>
      </c>
      <c r="M1455" s="29"/>
      <c r="N1455" s="29" t="s">
        <v>3892</v>
      </c>
      <c r="O1455" s="29"/>
      <c r="P1455" s="29" t="s">
        <v>8536</v>
      </c>
      <c r="Q1455" t="s">
        <v>2038</v>
      </c>
      <c r="R1455" t="s">
        <v>2632</v>
      </c>
      <c r="S1455">
        <v>37</v>
      </c>
      <c r="T1455" s="43" t="str">
        <f>HYPERLINK("https://ictv.global/ictv/proposals/2021.063B.R.Peduoviridae.zip","2021.063B.R.Peduoviridae.zip")</f>
        <v>2021.063B.R.Peduoviridae.zip</v>
      </c>
      <c r="U1455" s="43" t="str">
        <f>HYPERLINK("https://ictv.global/taxonomy/taxondetails?taxnode_id=202212870","ictv.global=202212870")</f>
        <v>ictv.global=202212870</v>
      </c>
    </row>
    <row r="1456" spans="1:21">
      <c r="A1456">
        <v>1455</v>
      </c>
      <c r="B1456" s="29" t="s">
        <v>3682</v>
      </c>
      <c r="C1456" s="29"/>
      <c r="D1456" s="29" t="s">
        <v>3683</v>
      </c>
      <c r="E1456" s="29"/>
      <c r="F1456" s="29" t="s">
        <v>3686</v>
      </c>
      <c r="G1456" s="29"/>
      <c r="H1456" s="29" t="s">
        <v>3687</v>
      </c>
      <c r="I1456" s="29"/>
      <c r="J1456" s="29"/>
      <c r="K1456" s="29"/>
      <c r="L1456" s="29" t="s">
        <v>8409</v>
      </c>
      <c r="M1456" s="29"/>
      <c r="N1456" s="29" t="s">
        <v>8537</v>
      </c>
      <c r="O1456" s="29"/>
      <c r="P1456" s="29" t="s">
        <v>8538</v>
      </c>
      <c r="Q1456" t="s">
        <v>2038</v>
      </c>
      <c r="R1456" t="s">
        <v>2632</v>
      </c>
      <c r="S1456">
        <v>38</v>
      </c>
      <c r="T1456" s="43" t="str">
        <f>HYPERLINK("https://ictv.global/ictv/proposals/2022.062B.Peduoviridae_6ng_19nsp.zip","2022.062B.Peduoviridae_6ng_19nsp.zip")</f>
        <v>2022.062B.Peduoviridae_6ng_19nsp.zip</v>
      </c>
      <c r="U1456" s="43" t="str">
        <f>HYPERLINK("https://ictv.global/taxonomy/taxondetails?taxnode_id=202214741","ictv.global=202214741")</f>
        <v>ictv.global=202214741</v>
      </c>
    </row>
    <row r="1457" spans="1:21">
      <c r="A1457">
        <v>1456</v>
      </c>
      <c r="B1457" s="29" t="s">
        <v>3682</v>
      </c>
      <c r="C1457" s="29"/>
      <c r="D1457" s="29" t="s">
        <v>3683</v>
      </c>
      <c r="E1457" s="29"/>
      <c r="F1457" s="29" t="s">
        <v>3686</v>
      </c>
      <c r="G1457" s="29"/>
      <c r="H1457" s="29" t="s">
        <v>3687</v>
      </c>
      <c r="I1457" s="29"/>
      <c r="J1457" s="29"/>
      <c r="K1457" s="29"/>
      <c r="L1457" s="29" t="s">
        <v>8409</v>
      </c>
      <c r="M1457" s="29"/>
      <c r="N1457" s="29" t="s">
        <v>8539</v>
      </c>
      <c r="O1457" s="29"/>
      <c r="P1457" s="29" t="s">
        <v>8540</v>
      </c>
      <c r="Q1457" t="s">
        <v>2038</v>
      </c>
      <c r="R1457" t="s">
        <v>2632</v>
      </c>
      <c r="S1457">
        <v>37</v>
      </c>
      <c r="T1457" s="43" t="str">
        <f>HYPERLINK("https://ictv.global/ictv/proposals/2021.063B.R.Peduoviridae.zip","2021.063B.R.Peduoviridae.zip")</f>
        <v>2021.063B.R.Peduoviridae.zip</v>
      </c>
      <c r="U1457" s="43" t="str">
        <f>HYPERLINK("https://ictv.global/taxonomy/taxondetails?taxnode_id=202212860","ictv.global=202212860")</f>
        <v>ictv.global=202212860</v>
      </c>
    </row>
    <row r="1458" spans="1:21">
      <c r="A1458">
        <v>1457</v>
      </c>
      <c r="B1458" s="29" t="s">
        <v>3682</v>
      </c>
      <c r="C1458" s="29"/>
      <c r="D1458" s="29" t="s">
        <v>3683</v>
      </c>
      <c r="E1458" s="29"/>
      <c r="F1458" s="29" t="s">
        <v>3686</v>
      </c>
      <c r="G1458" s="29"/>
      <c r="H1458" s="29" t="s">
        <v>3687</v>
      </c>
      <c r="I1458" s="29"/>
      <c r="J1458" s="29"/>
      <c r="K1458" s="29"/>
      <c r="L1458" s="29" t="s">
        <v>8409</v>
      </c>
      <c r="M1458" s="29"/>
      <c r="N1458" s="29" t="s">
        <v>4538</v>
      </c>
      <c r="O1458" s="29"/>
      <c r="P1458" s="29" t="s">
        <v>8541</v>
      </c>
      <c r="Q1458" t="s">
        <v>2038</v>
      </c>
      <c r="R1458" t="s">
        <v>2633</v>
      </c>
      <c r="S1458">
        <v>37</v>
      </c>
      <c r="T1458" s="43" t="str">
        <f>HYPERLINK("https://ictv.global/ictv/proposals/2021.010B.R.Binomial_names.zip","2021.010B.R.Binomial_names.zip")</f>
        <v>2021.010B.R.Binomial_names.zip</v>
      </c>
      <c r="U1458" s="43" t="str">
        <f>HYPERLINK("https://ictv.global/taxonomy/taxondetails?taxnode_id=202211606","ictv.global=202211606")</f>
        <v>ictv.global=202211606</v>
      </c>
    </row>
    <row r="1459" spans="1:21">
      <c r="A1459">
        <v>1458</v>
      </c>
      <c r="B1459" s="29" t="s">
        <v>3682</v>
      </c>
      <c r="C1459" s="29"/>
      <c r="D1459" s="29" t="s">
        <v>3683</v>
      </c>
      <c r="E1459" s="29"/>
      <c r="F1459" s="29" t="s">
        <v>3686</v>
      </c>
      <c r="G1459" s="29"/>
      <c r="H1459" s="29" t="s">
        <v>3687</v>
      </c>
      <c r="I1459" s="29"/>
      <c r="J1459" s="29"/>
      <c r="K1459" s="29"/>
      <c r="L1459" s="29" t="s">
        <v>8409</v>
      </c>
      <c r="M1459" s="29"/>
      <c r="N1459" s="29" t="s">
        <v>3893</v>
      </c>
      <c r="O1459" s="29"/>
      <c r="P1459" s="29" t="s">
        <v>8542</v>
      </c>
      <c r="Q1459" t="s">
        <v>2038</v>
      </c>
      <c r="R1459" t="s">
        <v>2633</v>
      </c>
      <c r="S1459">
        <v>37</v>
      </c>
      <c r="T1459" s="43" t="str">
        <f>HYPERLINK("https://ictv.global/ictv/proposals/2021.010B.R.Binomial_names.zip","2021.010B.R.Binomial_names.zip")</f>
        <v>2021.010B.R.Binomial_names.zip</v>
      </c>
      <c r="U1459" s="43" t="str">
        <f>HYPERLINK("https://ictv.global/taxonomy/taxondetails?taxnode_id=202207939","ictv.global=202207939")</f>
        <v>ictv.global=202207939</v>
      </c>
    </row>
    <row r="1460" spans="1:21">
      <c r="A1460">
        <v>1459</v>
      </c>
      <c r="B1460" s="29" t="s">
        <v>3682</v>
      </c>
      <c r="C1460" s="29"/>
      <c r="D1460" s="29" t="s">
        <v>3683</v>
      </c>
      <c r="E1460" s="29"/>
      <c r="F1460" s="29" t="s">
        <v>3686</v>
      </c>
      <c r="G1460" s="29"/>
      <c r="H1460" s="29" t="s">
        <v>3687</v>
      </c>
      <c r="I1460" s="29"/>
      <c r="J1460" s="29"/>
      <c r="K1460" s="29"/>
      <c r="L1460" s="29" t="s">
        <v>8409</v>
      </c>
      <c r="M1460" s="29"/>
      <c r="N1460" s="29" t="s">
        <v>8543</v>
      </c>
      <c r="O1460" s="29"/>
      <c r="P1460" s="29" t="s">
        <v>8544</v>
      </c>
      <c r="Q1460" t="s">
        <v>2038</v>
      </c>
      <c r="R1460" t="s">
        <v>2632</v>
      </c>
      <c r="S1460">
        <v>37</v>
      </c>
      <c r="T1460" s="43" t="str">
        <f>HYPERLINK("https://ictv.global/ictv/proposals/2021.063B.R.Peduoviridae.zip","2021.063B.R.Peduoviridae.zip")</f>
        <v>2021.063B.R.Peduoviridae.zip</v>
      </c>
      <c r="U1460" s="43" t="str">
        <f>HYPERLINK("https://ictv.global/taxonomy/taxondetails?taxnode_id=202212872","ictv.global=202212872")</f>
        <v>ictv.global=202212872</v>
      </c>
    </row>
    <row r="1461" spans="1:21">
      <c r="A1461">
        <v>1460</v>
      </c>
      <c r="B1461" s="29" t="s">
        <v>3682</v>
      </c>
      <c r="C1461" s="29"/>
      <c r="D1461" s="29" t="s">
        <v>3683</v>
      </c>
      <c r="E1461" s="29"/>
      <c r="F1461" s="29" t="s">
        <v>3686</v>
      </c>
      <c r="G1461" s="29"/>
      <c r="H1461" s="29" t="s">
        <v>3687</v>
      </c>
      <c r="I1461" s="29"/>
      <c r="J1461" s="29"/>
      <c r="K1461" s="29"/>
      <c r="L1461" s="29" t="s">
        <v>8409</v>
      </c>
      <c r="M1461" s="29"/>
      <c r="N1461" s="29" t="s">
        <v>8543</v>
      </c>
      <c r="O1461" s="29"/>
      <c r="P1461" s="29" t="s">
        <v>8545</v>
      </c>
      <c r="Q1461" t="s">
        <v>2038</v>
      </c>
      <c r="R1461" t="s">
        <v>2633</v>
      </c>
      <c r="S1461">
        <v>37</v>
      </c>
      <c r="T1461" s="43" t="str">
        <f>HYPERLINK("https://ictv.global/ictv/proposals/2021.063B.R.Peduoviridae.zip","2021.063B.R.Peduoviridae.zip")</f>
        <v>2021.063B.R.Peduoviridae.zip</v>
      </c>
      <c r="U1461" s="43" t="str">
        <f>HYPERLINK("https://ictv.global/taxonomy/taxondetails?taxnode_id=202211600","ictv.global=202211600")</f>
        <v>ictv.global=202211600</v>
      </c>
    </row>
    <row r="1462" spans="1:21">
      <c r="A1462">
        <v>1461</v>
      </c>
      <c r="B1462" s="29" t="s">
        <v>3682</v>
      </c>
      <c r="C1462" s="29"/>
      <c r="D1462" s="29" t="s">
        <v>3683</v>
      </c>
      <c r="E1462" s="29"/>
      <c r="F1462" s="29" t="s">
        <v>3686</v>
      </c>
      <c r="G1462" s="29"/>
      <c r="H1462" s="29" t="s">
        <v>3687</v>
      </c>
      <c r="I1462" s="29"/>
      <c r="J1462" s="29"/>
      <c r="K1462" s="29"/>
      <c r="L1462" s="29" t="s">
        <v>8409</v>
      </c>
      <c r="M1462" s="29"/>
      <c r="N1462" s="29" t="s">
        <v>3894</v>
      </c>
      <c r="O1462" s="29"/>
      <c r="P1462" s="29" t="s">
        <v>8546</v>
      </c>
      <c r="Q1462" t="s">
        <v>2038</v>
      </c>
      <c r="R1462" t="s">
        <v>2633</v>
      </c>
      <c r="S1462">
        <v>37</v>
      </c>
      <c r="T1462" s="43" t="str">
        <f>HYPERLINK("https://ictv.global/ictv/proposals/2021.010B.R.Binomial_names.zip","2021.010B.R.Binomial_names.zip")</f>
        <v>2021.010B.R.Binomial_names.zip</v>
      </c>
      <c r="U1462" s="43" t="str">
        <f>HYPERLINK("https://ictv.global/taxonomy/taxondetails?taxnode_id=202207952","ictv.global=202207952")</f>
        <v>ictv.global=202207952</v>
      </c>
    </row>
    <row r="1463" spans="1:21">
      <c r="A1463">
        <v>1462</v>
      </c>
      <c r="B1463" s="29" t="s">
        <v>3682</v>
      </c>
      <c r="C1463" s="29"/>
      <c r="D1463" s="29" t="s">
        <v>3683</v>
      </c>
      <c r="E1463" s="29"/>
      <c r="F1463" s="29" t="s">
        <v>3686</v>
      </c>
      <c r="G1463" s="29"/>
      <c r="H1463" s="29" t="s">
        <v>3687</v>
      </c>
      <c r="I1463" s="29"/>
      <c r="J1463" s="29"/>
      <c r="K1463" s="29"/>
      <c r="L1463" s="29" t="s">
        <v>8409</v>
      </c>
      <c r="M1463" s="29"/>
      <c r="N1463" s="29" t="s">
        <v>3894</v>
      </c>
      <c r="O1463" s="29"/>
      <c r="P1463" s="29" t="s">
        <v>8547</v>
      </c>
      <c r="Q1463" t="s">
        <v>2038</v>
      </c>
      <c r="R1463" t="s">
        <v>2633</v>
      </c>
      <c r="S1463">
        <v>37</v>
      </c>
      <c r="T1463" s="43" t="str">
        <f>HYPERLINK("https://ictv.global/ictv/proposals/2021.010B.R.Binomial_names.zip","2021.010B.R.Binomial_names.zip")</f>
        <v>2021.010B.R.Binomial_names.zip</v>
      </c>
      <c r="U1463" s="43" t="str">
        <f>HYPERLINK("https://ictv.global/taxonomy/taxondetails?taxnode_id=202211594","ictv.global=202211594")</f>
        <v>ictv.global=202211594</v>
      </c>
    </row>
    <row r="1464" spans="1:21">
      <c r="A1464">
        <v>1463</v>
      </c>
      <c r="B1464" s="29" t="s">
        <v>3682</v>
      </c>
      <c r="C1464" s="29"/>
      <c r="D1464" s="29" t="s">
        <v>3683</v>
      </c>
      <c r="E1464" s="29"/>
      <c r="F1464" s="29" t="s">
        <v>3686</v>
      </c>
      <c r="G1464" s="29"/>
      <c r="H1464" s="29" t="s">
        <v>3687</v>
      </c>
      <c r="I1464" s="29"/>
      <c r="J1464" s="29"/>
      <c r="K1464" s="29"/>
      <c r="L1464" s="29" t="s">
        <v>8409</v>
      </c>
      <c r="M1464" s="29"/>
      <c r="N1464" s="29" t="s">
        <v>3894</v>
      </c>
      <c r="O1464" s="29"/>
      <c r="P1464" s="29" t="s">
        <v>8548</v>
      </c>
      <c r="Q1464" t="s">
        <v>2038</v>
      </c>
      <c r="R1464" t="s">
        <v>2633</v>
      </c>
      <c r="S1464">
        <v>37</v>
      </c>
      <c r="T1464" s="43" t="str">
        <f>HYPERLINK("https://ictv.global/ictv/proposals/2021.010B.R.Binomial_names.zip","2021.010B.R.Binomial_names.zip")</f>
        <v>2021.010B.R.Binomial_names.zip</v>
      </c>
      <c r="U1464" s="43" t="str">
        <f>HYPERLINK("https://ictv.global/taxonomy/taxondetails?taxnode_id=202211592","ictv.global=202211592")</f>
        <v>ictv.global=202211592</v>
      </c>
    </row>
    <row r="1465" spans="1:21">
      <c r="A1465">
        <v>1464</v>
      </c>
      <c r="B1465" s="29" t="s">
        <v>3682</v>
      </c>
      <c r="C1465" s="29"/>
      <c r="D1465" s="29" t="s">
        <v>3683</v>
      </c>
      <c r="E1465" s="29"/>
      <c r="F1465" s="29" t="s">
        <v>3686</v>
      </c>
      <c r="G1465" s="29"/>
      <c r="H1465" s="29" t="s">
        <v>3687</v>
      </c>
      <c r="I1465" s="29"/>
      <c r="J1465" s="29"/>
      <c r="K1465" s="29"/>
      <c r="L1465" s="29" t="s">
        <v>8409</v>
      </c>
      <c r="M1465" s="29"/>
      <c r="N1465" s="29" t="s">
        <v>3894</v>
      </c>
      <c r="O1465" s="29"/>
      <c r="P1465" s="29" t="s">
        <v>8549</v>
      </c>
      <c r="Q1465" t="s">
        <v>2038</v>
      </c>
      <c r="R1465" t="s">
        <v>2633</v>
      </c>
      <c r="S1465">
        <v>37</v>
      </c>
      <c r="T1465" s="43" t="str">
        <f>HYPERLINK("https://ictv.global/ictv/proposals/2021.010B.R.Binomial_names.zip","2021.010B.R.Binomial_names.zip")</f>
        <v>2021.010B.R.Binomial_names.zip</v>
      </c>
      <c r="U1465" s="43" t="str">
        <f>HYPERLINK("https://ictv.global/taxonomy/taxondetails?taxnode_id=202211593","ictv.global=202211593")</f>
        <v>ictv.global=202211593</v>
      </c>
    </row>
    <row r="1466" spans="1:21">
      <c r="A1466">
        <v>1465</v>
      </c>
      <c r="B1466" s="29" t="s">
        <v>3682</v>
      </c>
      <c r="C1466" s="29"/>
      <c r="D1466" s="29" t="s">
        <v>3683</v>
      </c>
      <c r="E1466" s="29"/>
      <c r="F1466" s="29" t="s">
        <v>3686</v>
      </c>
      <c r="G1466" s="29"/>
      <c r="H1466" s="29" t="s">
        <v>3687</v>
      </c>
      <c r="I1466" s="29"/>
      <c r="J1466" s="29"/>
      <c r="K1466" s="29"/>
      <c r="L1466" s="29" t="s">
        <v>8409</v>
      </c>
      <c r="M1466" s="29"/>
      <c r="N1466" s="29" t="s">
        <v>4539</v>
      </c>
      <c r="O1466" s="29"/>
      <c r="P1466" s="29" t="s">
        <v>8550</v>
      </c>
      <c r="Q1466" t="s">
        <v>2038</v>
      </c>
      <c r="R1466" t="s">
        <v>2633</v>
      </c>
      <c r="S1466">
        <v>37</v>
      </c>
      <c r="T1466" s="43" t="str">
        <f>HYPERLINK("https://ictv.global/ictv/proposals/2021.010B.R.Binomial_names.zip","2021.010B.R.Binomial_names.zip")</f>
        <v>2021.010B.R.Binomial_names.zip</v>
      </c>
      <c r="U1466" s="43" t="str">
        <f>HYPERLINK("https://ictv.global/taxonomy/taxondetails?taxnode_id=202211584","ictv.global=202211584")</f>
        <v>ictv.global=202211584</v>
      </c>
    </row>
    <row r="1467" spans="1:21">
      <c r="A1467">
        <v>1466</v>
      </c>
      <c r="B1467" s="29" t="s">
        <v>3682</v>
      </c>
      <c r="C1467" s="29"/>
      <c r="D1467" s="29" t="s">
        <v>3683</v>
      </c>
      <c r="E1467" s="29"/>
      <c r="F1467" s="29" t="s">
        <v>3686</v>
      </c>
      <c r="G1467" s="29"/>
      <c r="H1467" s="29" t="s">
        <v>3687</v>
      </c>
      <c r="I1467" s="29"/>
      <c r="J1467" s="29"/>
      <c r="K1467" s="29"/>
      <c r="L1467" s="29" t="s">
        <v>8409</v>
      </c>
      <c r="M1467" s="29"/>
      <c r="N1467" s="29" t="s">
        <v>8551</v>
      </c>
      <c r="O1467" s="29"/>
      <c r="P1467" s="29" t="s">
        <v>8552</v>
      </c>
      <c r="Q1467" t="s">
        <v>2038</v>
      </c>
      <c r="R1467" t="s">
        <v>2632</v>
      </c>
      <c r="S1467">
        <v>37</v>
      </c>
      <c r="T1467" s="43" t="str">
        <f>HYPERLINK("https://ictv.global/ictv/proposals/2021.063B.R.Peduoviridae.zip","2021.063B.R.Peduoviridae.zip")</f>
        <v>2021.063B.R.Peduoviridae.zip</v>
      </c>
      <c r="U1467" s="43" t="str">
        <f>HYPERLINK("https://ictv.global/taxonomy/taxondetails?taxnode_id=202212862","ictv.global=202212862")</f>
        <v>ictv.global=202212862</v>
      </c>
    </row>
    <row r="1468" spans="1:21">
      <c r="A1468">
        <v>1467</v>
      </c>
      <c r="B1468" s="29" t="s">
        <v>3682</v>
      </c>
      <c r="C1468" s="29"/>
      <c r="D1468" s="29" t="s">
        <v>3683</v>
      </c>
      <c r="E1468" s="29"/>
      <c r="F1468" s="29" t="s">
        <v>3686</v>
      </c>
      <c r="G1468" s="29"/>
      <c r="H1468" s="29" t="s">
        <v>3687</v>
      </c>
      <c r="I1468" s="29"/>
      <c r="J1468" s="29"/>
      <c r="K1468" s="29"/>
      <c r="L1468" s="29" t="s">
        <v>8553</v>
      </c>
      <c r="M1468" s="29"/>
      <c r="N1468" s="29" t="s">
        <v>8554</v>
      </c>
      <c r="O1468" s="29"/>
      <c r="P1468" s="29" t="s">
        <v>8555</v>
      </c>
      <c r="Q1468" t="s">
        <v>2038</v>
      </c>
      <c r="R1468" t="s">
        <v>2632</v>
      </c>
      <c r="S1468">
        <v>37</v>
      </c>
      <c r="T1468" s="43" t="str">
        <f>HYPERLINK("https://ictv.global/ictv/proposals/2021.029B.R.Flavophages_9_families.zip","2021.029B.R.Flavophages_9_families.zip")</f>
        <v>2021.029B.R.Flavophages_9_families.zip</v>
      </c>
      <c r="U1468" s="43" t="str">
        <f>HYPERLINK("https://ictv.global/taxonomy/taxondetails?taxnode_id=202213547","ictv.global=202213547")</f>
        <v>ictv.global=202213547</v>
      </c>
    </row>
    <row r="1469" spans="1:21">
      <c r="A1469">
        <v>1468</v>
      </c>
      <c r="B1469" s="29" t="s">
        <v>3682</v>
      </c>
      <c r="C1469" s="29"/>
      <c r="D1469" s="29" t="s">
        <v>3683</v>
      </c>
      <c r="E1469" s="29"/>
      <c r="F1469" s="29" t="s">
        <v>3686</v>
      </c>
      <c r="G1469" s="29"/>
      <c r="H1469" s="29" t="s">
        <v>3687</v>
      </c>
      <c r="I1469" s="29"/>
      <c r="J1469" s="29"/>
      <c r="K1469" s="29"/>
      <c r="L1469" s="29" t="s">
        <v>8553</v>
      </c>
      <c r="M1469" s="29"/>
      <c r="N1469" s="29" t="s">
        <v>8554</v>
      </c>
      <c r="O1469" s="29"/>
      <c r="P1469" s="29" t="s">
        <v>8556</v>
      </c>
      <c r="Q1469" t="s">
        <v>2038</v>
      </c>
      <c r="R1469" t="s">
        <v>2632</v>
      </c>
      <c r="S1469">
        <v>37</v>
      </c>
      <c r="T1469" s="43" t="str">
        <f>HYPERLINK("https://ictv.global/ictv/proposals/2021.029B.R.Flavophages_9_families.zip","2021.029B.R.Flavophages_9_families.zip")</f>
        <v>2021.029B.R.Flavophages_9_families.zip</v>
      </c>
      <c r="U1469" s="43" t="str">
        <f>HYPERLINK("https://ictv.global/taxonomy/taxondetails?taxnode_id=202213548","ictv.global=202213548")</f>
        <v>ictv.global=202213548</v>
      </c>
    </row>
    <row r="1470" spans="1:21">
      <c r="A1470">
        <v>1469</v>
      </c>
      <c r="B1470" s="29" t="s">
        <v>3682</v>
      </c>
      <c r="C1470" s="29"/>
      <c r="D1470" s="29" t="s">
        <v>3683</v>
      </c>
      <c r="E1470" s="29"/>
      <c r="F1470" s="29" t="s">
        <v>3686</v>
      </c>
      <c r="G1470" s="29"/>
      <c r="H1470" s="29" t="s">
        <v>3687</v>
      </c>
      <c r="I1470" s="29"/>
      <c r="J1470" s="29"/>
      <c r="K1470" s="29"/>
      <c r="L1470" s="29" t="s">
        <v>8557</v>
      </c>
      <c r="M1470" s="29" t="s">
        <v>8558</v>
      </c>
      <c r="N1470" s="29" t="s">
        <v>8559</v>
      </c>
      <c r="O1470" s="29"/>
      <c r="P1470" s="29" t="s">
        <v>8560</v>
      </c>
      <c r="Q1470" t="s">
        <v>2038</v>
      </c>
      <c r="R1470" t="s">
        <v>2632</v>
      </c>
      <c r="S1470">
        <v>38</v>
      </c>
      <c r="T1470" s="43" t="str">
        <f t="shared" ref="T1470:T1480" si="61">HYPERLINK("https://ictv.global/ictv/proposals/2022.065B.Pootjesviridae_nf.zip","2022.065B.Pootjesviridae_nf.zip")</f>
        <v>2022.065B.Pootjesviridae_nf.zip</v>
      </c>
      <c r="U1470" s="43" t="str">
        <f>HYPERLINK("https://ictv.global/taxonomy/taxondetails?taxnode_id=202214769","ictv.global=202214769")</f>
        <v>ictv.global=202214769</v>
      </c>
    </row>
    <row r="1471" spans="1:21">
      <c r="A1471">
        <v>1470</v>
      </c>
      <c r="B1471" s="29" t="s">
        <v>3682</v>
      </c>
      <c r="C1471" s="29"/>
      <c r="D1471" s="29" t="s">
        <v>3683</v>
      </c>
      <c r="E1471" s="29"/>
      <c r="F1471" s="29" t="s">
        <v>3686</v>
      </c>
      <c r="G1471" s="29"/>
      <c r="H1471" s="29" t="s">
        <v>3687</v>
      </c>
      <c r="I1471" s="29"/>
      <c r="J1471" s="29"/>
      <c r="K1471" s="29"/>
      <c r="L1471" s="29" t="s">
        <v>8557</v>
      </c>
      <c r="M1471" s="29" t="s">
        <v>8558</v>
      </c>
      <c r="N1471" s="29" t="s">
        <v>8559</v>
      </c>
      <c r="O1471" s="29"/>
      <c r="P1471" s="29" t="s">
        <v>8561</v>
      </c>
      <c r="Q1471" t="s">
        <v>2038</v>
      </c>
      <c r="R1471" t="s">
        <v>2632</v>
      </c>
      <c r="S1471">
        <v>38</v>
      </c>
      <c r="T1471" s="43" t="str">
        <f t="shared" si="61"/>
        <v>2022.065B.Pootjesviridae_nf.zip</v>
      </c>
      <c r="U1471" s="43" t="str">
        <f>HYPERLINK("https://ictv.global/taxonomy/taxondetails?taxnode_id=202214768","ictv.global=202214768")</f>
        <v>ictv.global=202214768</v>
      </c>
    </row>
    <row r="1472" spans="1:21">
      <c r="A1472">
        <v>1471</v>
      </c>
      <c r="B1472" s="29" t="s">
        <v>3682</v>
      </c>
      <c r="C1472" s="29"/>
      <c r="D1472" s="29" t="s">
        <v>3683</v>
      </c>
      <c r="E1472" s="29"/>
      <c r="F1472" s="29" t="s">
        <v>3686</v>
      </c>
      <c r="G1472" s="29"/>
      <c r="H1472" s="29" t="s">
        <v>3687</v>
      </c>
      <c r="I1472" s="29"/>
      <c r="J1472" s="29"/>
      <c r="K1472" s="29"/>
      <c r="L1472" s="29" t="s">
        <v>8557</v>
      </c>
      <c r="M1472" s="29" t="s">
        <v>8558</v>
      </c>
      <c r="N1472" s="29" t="s">
        <v>8559</v>
      </c>
      <c r="O1472" s="29"/>
      <c r="P1472" s="29" t="s">
        <v>8562</v>
      </c>
      <c r="Q1472" t="s">
        <v>2038</v>
      </c>
      <c r="R1472" t="s">
        <v>2632</v>
      </c>
      <c r="S1472">
        <v>38</v>
      </c>
      <c r="T1472" s="43" t="str">
        <f t="shared" si="61"/>
        <v>2022.065B.Pootjesviridae_nf.zip</v>
      </c>
      <c r="U1472" s="43" t="str">
        <f>HYPERLINK("https://ictv.global/taxonomy/taxondetails?taxnode_id=202214767","ictv.global=202214767")</f>
        <v>ictv.global=202214767</v>
      </c>
    </row>
    <row r="1473" spans="1:21">
      <c r="A1473">
        <v>1472</v>
      </c>
      <c r="B1473" s="29" t="s">
        <v>3682</v>
      </c>
      <c r="C1473" s="29"/>
      <c r="D1473" s="29" t="s">
        <v>3683</v>
      </c>
      <c r="E1473" s="29"/>
      <c r="F1473" s="29" t="s">
        <v>3686</v>
      </c>
      <c r="G1473" s="29"/>
      <c r="H1473" s="29" t="s">
        <v>3687</v>
      </c>
      <c r="I1473" s="29"/>
      <c r="J1473" s="29"/>
      <c r="K1473" s="29"/>
      <c r="L1473" s="29" t="s">
        <v>8557</v>
      </c>
      <c r="M1473" s="29"/>
      <c r="N1473" s="29" t="s">
        <v>8563</v>
      </c>
      <c r="O1473" s="29"/>
      <c r="P1473" s="29" t="s">
        <v>8564</v>
      </c>
      <c r="Q1473" t="s">
        <v>2038</v>
      </c>
      <c r="R1473" t="s">
        <v>2632</v>
      </c>
      <c r="S1473">
        <v>38</v>
      </c>
      <c r="T1473" s="43" t="str">
        <f t="shared" si="61"/>
        <v>2022.065B.Pootjesviridae_nf.zip</v>
      </c>
      <c r="U1473" s="43" t="str">
        <f>HYPERLINK("https://ictv.global/taxonomy/taxondetails?taxnode_id=202214775","ictv.global=202214775")</f>
        <v>ictv.global=202214775</v>
      </c>
    </row>
    <row r="1474" spans="1:21">
      <c r="A1474">
        <v>1473</v>
      </c>
      <c r="B1474" s="29" t="s">
        <v>3682</v>
      </c>
      <c r="C1474" s="29"/>
      <c r="D1474" s="29" t="s">
        <v>3683</v>
      </c>
      <c r="E1474" s="29"/>
      <c r="F1474" s="29" t="s">
        <v>3686</v>
      </c>
      <c r="G1474" s="29"/>
      <c r="H1474" s="29" t="s">
        <v>3687</v>
      </c>
      <c r="I1474" s="29"/>
      <c r="J1474" s="29"/>
      <c r="K1474" s="29"/>
      <c r="L1474" s="29" t="s">
        <v>8557</v>
      </c>
      <c r="M1474" s="29"/>
      <c r="N1474" s="29" t="s">
        <v>8565</v>
      </c>
      <c r="O1474" s="29"/>
      <c r="P1474" s="29" t="s">
        <v>8566</v>
      </c>
      <c r="Q1474" t="s">
        <v>2038</v>
      </c>
      <c r="R1474" t="s">
        <v>2635</v>
      </c>
      <c r="S1474">
        <v>38</v>
      </c>
      <c r="T1474" s="43" t="str">
        <f t="shared" si="61"/>
        <v>2022.065B.Pootjesviridae_nf.zip</v>
      </c>
      <c r="U1474" s="43" t="str">
        <f>HYPERLINK("https://ictv.global/taxonomy/taxondetails?taxnode_id=202212785","ictv.global=202212785")</f>
        <v>ictv.global=202212785</v>
      </c>
    </row>
    <row r="1475" spans="1:21">
      <c r="A1475">
        <v>1474</v>
      </c>
      <c r="B1475" s="29" t="s">
        <v>3682</v>
      </c>
      <c r="C1475" s="29"/>
      <c r="D1475" s="29" t="s">
        <v>3683</v>
      </c>
      <c r="E1475" s="29"/>
      <c r="F1475" s="29" t="s">
        <v>3686</v>
      </c>
      <c r="G1475" s="29"/>
      <c r="H1475" s="29" t="s">
        <v>3687</v>
      </c>
      <c r="I1475" s="29"/>
      <c r="J1475" s="29"/>
      <c r="K1475" s="29"/>
      <c r="L1475" s="29" t="s">
        <v>8557</v>
      </c>
      <c r="M1475" s="29"/>
      <c r="N1475" s="29" t="s">
        <v>8567</v>
      </c>
      <c r="O1475" s="29"/>
      <c r="P1475" s="29" t="s">
        <v>8568</v>
      </c>
      <c r="Q1475" t="s">
        <v>2038</v>
      </c>
      <c r="R1475" t="s">
        <v>2632</v>
      </c>
      <c r="S1475">
        <v>38</v>
      </c>
      <c r="T1475" s="43" t="str">
        <f t="shared" si="61"/>
        <v>2022.065B.Pootjesviridae_nf.zip</v>
      </c>
      <c r="U1475" s="43" t="str">
        <f>HYPERLINK("https://ictv.global/taxonomy/taxondetails?taxnode_id=202214772","ictv.global=202214772")</f>
        <v>ictv.global=202214772</v>
      </c>
    </row>
    <row r="1476" spans="1:21">
      <c r="A1476">
        <v>1475</v>
      </c>
      <c r="B1476" s="29" t="s">
        <v>3682</v>
      </c>
      <c r="C1476" s="29"/>
      <c r="D1476" s="29" t="s">
        <v>3683</v>
      </c>
      <c r="E1476" s="29"/>
      <c r="F1476" s="29" t="s">
        <v>3686</v>
      </c>
      <c r="G1476" s="29"/>
      <c r="H1476" s="29" t="s">
        <v>3687</v>
      </c>
      <c r="I1476" s="29"/>
      <c r="J1476" s="29"/>
      <c r="K1476" s="29"/>
      <c r="L1476" s="29" t="s">
        <v>8557</v>
      </c>
      <c r="M1476" s="29"/>
      <c r="N1476" s="29" t="s">
        <v>8567</v>
      </c>
      <c r="O1476" s="29"/>
      <c r="P1476" s="29" t="s">
        <v>8569</v>
      </c>
      <c r="Q1476" t="s">
        <v>2038</v>
      </c>
      <c r="R1476" t="s">
        <v>2632</v>
      </c>
      <c r="S1476">
        <v>38</v>
      </c>
      <c r="T1476" s="43" t="str">
        <f t="shared" si="61"/>
        <v>2022.065B.Pootjesviridae_nf.zip</v>
      </c>
      <c r="U1476" s="43" t="str">
        <f>HYPERLINK("https://ictv.global/taxonomy/taxondetails?taxnode_id=202214771","ictv.global=202214771")</f>
        <v>ictv.global=202214771</v>
      </c>
    </row>
    <row r="1477" spans="1:21">
      <c r="A1477">
        <v>1476</v>
      </c>
      <c r="B1477" s="29" t="s">
        <v>3682</v>
      </c>
      <c r="C1477" s="29"/>
      <c r="D1477" s="29" t="s">
        <v>3683</v>
      </c>
      <c r="E1477" s="29"/>
      <c r="F1477" s="29" t="s">
        <v>3686</v>
      </c>
      <c r="G1477" s="29"/>
      <c r="H1477" s="29" t="s">
        <v>3687</v>
      </c>
      <c r="I1477" s="29"/>
      <c r="J1477" s="29"/>
      <c r="K1477" s="29"/>
      <c r="L1477" s="29" t="s">
        <v>8557</v>
      </c>
      <c r="M1477" s="29"/>
      <c r="N1477" s="29" t="s">
        <v>8567</v>
      </c>
      <c r="O1477" s="29"/>
      <c r="P1477" s="29" t="s">
        <v>8570</v>
      </c>
      <c r="Q1477" t="s">
        <v>2038</v>
      </c>
      <c r="R1477" t="s">
        <v>2632</v>
      </c>
      <c r="S1477">
        <v>38</v>
      </c>
      <c r="T1477" s="43" t="str">
        <f t="shared" si="61"/>
        <v>2022.065B.Pootjesviridae_nf.zip</v>
      </c>
      <c r="U1477" s="43" t="str">
        <f>HYPERLINK("https://ictv.global/taxonomy/taxondetails?taxnode_id=202214770","ictv.global=202214770")</f>
        <v>ictv.global=202214770</v>
      </c>
    </row>
    <row r="1478" spans="1:21">
      <c r="A1478">
        <v>1477</v>
      </c>
      <c r="B1478" s="29" t="s">
        <v>3682</v>
      </c>
      <c r="C1478" s="29"/>
      <c r="D1478" s="29" t="s">
        <v>3683</v>
      </c>
      <c r="E1478" s="29"/>
      <c r="F1478" s="29" t="s">
        <v>3686</v>
      </c>
      <c r="G1478" s="29"/>
      <c r="H1478" s="29" t="s">
        <v>3687</v>
      </c>
      <c r="I1478" s="29"/>
      <c r="J1478" s="29"/>
      <c r="K1478" s="29"/>
      <c r="L1478" s="29" t="s">
        <v>8557</v>
      </c>
      <c r="M1478" s="29"/>
      <c r="N1478" s="29" t="s">
        <v>8567</v>
      </c>
      <c r="O1478" s="29"/>
      <c r="P1478" s="29" t="s">
        <v>8571</v>
      </c>
      <c r="Q1478" t="s">
        <v>2038</v>
      </c>
      <c r="R1478" t="s">
        <v>2632</v>
      </c>
      <c r="S1478">
        <v>38</v>
      </c>
      <c r="T1478" s="43" t="str">
        <f t="shared" si="61"/>
        <v>2022.065B.Pootjesviridae_nf.zip</v>
      </c>
      <c r="U1478" s="43" t="str">
        <f>HYPERLINK("https://ictv.global/taxonomy/taxondetails?taxnode_id=202214774","ictv.global=202214774")</f>
        <v>ictv.global=202214774</v>
      </c>
    </row>
    <row r="1479" spans="1:21">
      <c r="A1479">
        <v>1478</v>
      </c>
      <c r="B1479" s="29" t="s">
        <v>3682</v>
      </c>
      <c r="C1479" s="29"/>
      <c r="D1479" s="29" t="s">
        <v>3683</v>
      </c>
      <c r="E1479" s="29"/>
      <c r="F1479" s="29" t="s">
        <v>3686</v>
      </c>
      <c r="G1479" s="29"/>
      <c r="H1479" s="29" t="s">
        <v>3687</v>
      </c>
      <c r="I1479" s="29"/>
      <c r="J1479" s="29"/>
      <c r="K1479" s="29"/>
      <c r="L1479" s="29" t="s">
        <v>8557</v>
      </c>
      <c r="M1479" s="29"/>
      <c r="N1479" s="29" t="s">
        <v>8567</v>
      </c>
      <c r="O1479" s="29"/>
      <c r="P1479" s="29" t="s">
        <v>8572</v>
      </c>
      <c r="Q1479" t="s">
        <v>2038</v>
      </c>
      <c r="R1479" t="s">
        <v>2632</v>
      </c>
      <c r="S1479">
        <v>38</v>
      </c>
      <c r="T1479" s="43" t="str">
        <f t="shared" si="61"/>
        <v>2022.065B.Pootjesviridae_nf.zip</v>
      </c>
      <c r="U1479" s="43" t="str">
        <f>HYPERLINK("https://ictv.global/taxonomy/taxondetails?taxnode_id=202214773","ictv.global=202214773")</f>
        <v>ictv.global=202214773</v>
      </c>
    </row>
    <row r="1480" spans="1:21">
      <c r="A1480">
        <v>1479</v>
      </c>
      <c r="B1480" s="29" t="s">
        <v>3682</v>
      </c>
      <c r="C1480" s="29"/>
      <c r="D1480" s="29" t="s">
        <v>3683</v>
      </c>
      <c r="E1480" s="29"/>
      <c r="F1480" s="29" t="s">
        <v>3686</v>
      </c>
      <c r="G1480" s="29"/>
      <c r="H1480" s="29" t="s">
        <v>3687</v>
      </c>
      <c r="I1480" s="29"/>
      <c r="J1480" s="29"/>
      <c r="K1480" s="29"/>
      <c r="L1480" s="29" t="s">
        <v>8557</v>
      </c>
      <c r="M1480" s="29"/>
      <c r="N1480" s="29" t="s">
        <v>8573</v>
      </c>
      <c r="O1480" s="29"/>
      <c r="P1480" s="29" t="s">
        <v>8574</v>
      </c>
      <c r="Q1480" t="s">
        <v>2038</v>
      </c>
      <c r="R1480" t="s">
        <v>2632</v>
      </c>
      <c r="S1480">
        <v>38</v>
      </c>
      <c r="T1480" s="43" t="str">
        <f t="shared" si="61"/>
        <v>2022.065B.Pootjesviridae_nf.zip</v>
      </c>
      <c r="U1480" s="43" t="str">
        <f>HYPERLINK("https://ictv.global/taxonomy/taxondetails?taxnode_id=202214776","ictv.global=202214776")</f>
        <v>ictv.global=202214776</v>
      </c>
    </row>
    <row r="1481" spans="1:21">
      <c r="A1481">
        <v>1480</v>
      </c>
      <c r="B1481" s="29" t="s">
        <v>3682</v>
      </c>
      <c r="C1481" s="29"/>
      <c r="D1481" s="29" t="s">
        <v>3683</v>
      </c>
      <c r="E1481" s="29"/>
      <c r="F1481" s="29" t="s">
        <v>3686</v>
      </c>
      <c r="G1481" s="29"/>
      <c r="H1481" s="29" t="s">
        <v>3687</v>
      </c>
      <c r="I1481" s="29"/>
      <c r="J1481" s="29"/>
      <c r="K1481" s="29"/>
      <c r="L1481" s="29" t="s">
        <v>8575</v>
      </c>
      <c r="M1481" s="29"/>
      <c r="N1481" s="29" t="s">
        <v>8576</v>
      </c>
      <c r="O1481" s="29"/>
      <c r="P1481" s="29" t="s">
        <v>8577</v>
      </c>
      <c r="Q1481" t="s">
        <v>2038</v>
      </c>
      <c r="R1481" t="s">
        <v>2632</v>
      </c>
      <c r="S1481">
        <v>38</v>
      </c>
      <c r="T1481" s="43" t="str">
        <f>HYPERLINK("https://ictv.global/ictv/proposals/2022.004A.Caudoviricetes_3nf.zip","2022.004A.Caudoviricetes_3nf.zip")</f>
        <v>2022.004A.Caudoviricetes_3nf.zip</v>
      </c>
      <c r="U1481" s="43" t="str">
        <f>HYPERLINK("https://ictv.global/taxonomy/taxondetails?taxnode_id=202214334","ictv.global=202214334")</f>
        <v>ictv.global=202214334</v>
      </c>
    </row>
    <row r="1482" spans="1:21">
      <c r="A1482">
        <v>1481</v>
      </c>
      <c r="B1482" s="29" t="s">
        <v>3682</v>
      </c>
      <c r="C1482" s="29"/>
      <c r="D1482" s="29" t="s">
        <v>3683</v>
      </c>
      <c r="E1482" s="29"/>
      <c r="F1482" s="29" t="s">
        <v>3686</v>
      </c>
      <c r="G1482" s="29"/>
      <c r="H1482" s="29" t="s">
        <v>3687</v>
      </c>
      <c r="I1482" s="29"/>
      <c r="J1482" s="29"/>
      <c r="K1482" s="29"/>
      <c r="L1482" s="29" t="s">
        <v>4613</v>
      </c>
      <c r="M1482" s="29" t="s">
        <v>3957</v>
      </c>
      <c r="N1482" s="29" t="s">
        <v>3958</v>
      </c>
      <c r="O1482" s="29"/>
      <c r="P1482" s="29" t="s">
        <v>8578</v>
      </c>
      <c r="Q1482" t="s">
        <v>2038</v>
      </c>
      <c r="R1482" t="s">
        <v>2633</v>
      </c>
      <c r="S1482">
        <v>37</v>
      </c>
      <c r="T1482" s="43" t="str">
        <f>HYPERLINK("https://ictv.global/ictv/proposals/2021.010B.R.Binomial_names.zip","2021.010B.R.Binomial_names.zip")</f>
        <v>2021.010B.R.Binomial_names.zip</v>
      </c>
      <c r="U1482" s="43" t="str">
        <f>HYPERLINK("https://ictv.global/taxonomy/taxondetails?taxnode_id=202208003","ictv.global=202208003")</f>
        <v>ictv.global=202208003</v>
      </c>
    </row>
    <row r="1483" spans="1:21">
      <c r="A1483">
        <v>1482</v>
      </c>
      <c r="B1483" s="29" t="s">
        <v>3682</v>
      </c>
      <c r="C1483" s="29"/>
      <c r="D1483" s="29" t="s">
        <v>3683</v>
      </c>
      <c r="E1483" s="29"/>
      <c r="F1483" s="29" t="s">
        <v>3686</v>
      </c>
      <c r="G1483" s="29"/>
      <c r="H1483" s="29" t="s">
        <v>3687</v>
      </c>
      <c r="I1483" s="29"/>
      <c r="J1483" s="29"/>
      <c r="K1483" s="29"/>
      <c r="L1483" s="29" t="s">
        <v>4613</v>
      </c>
      <c r="M1483" s="29" t="s">
        <v>3957</v>
      </c>
      <c r="N1483" s="29" t="s">
        <v>3958</v>
      </c>
      <c r="O1483" s="29"/>
      <c r="P1483" s="29" t="s">
        <v>8579</v>
      </c>
      <c r="Q1483" t="s">
        <v>2038</v>
      </c>
      <c r="R1483" t="s">
        <v>2632</v>
      </c>
      <c r="S1483">
        <v>38</v>
      </c>
      <c r="T1483" s="43" t="str">
        <f>HYPERLINK("https://ictv.global/ictv/proposals/2022.068B.Rakietenvirinae_3nsp.zip","2022.068B.Rakietenvirinae_3nsp.zip")</f>
        <v>2022.068B.Rakietenvirinae_3nsp.zip</v>
      </c>
      <c r="U1483" s="43" t="str">
        <f>HYPERLINK("https://ictv.global/taxonomy/taxondetails?taxnode_id=202214790","ictv.global=202214790")</f>
        <v>ictv.global=202214790</v>
      </c>
    </row>
    <row r="1484" spans="1:21">
      <c r="A1484">
        <v>1483</v>
      </c>
      <c r="B1484" s="29" t="s">
        <v>3682</v>
      </c>
      <c r="C1484" s="29"/>
      <c r="D1484" s="29" t="s">
        <v>3683</v>
      </c>
      <c r="E1484" s="29"/>
      <c r="F1484" s="29" t="s">
        <v>3686</v>
      </c>
      <c r="G1484" s="29"/>
      <c r="H1484" s="29" t="s">
        <v>3687</v>
      </c>
      <c r="I1484" s="29"/>
      <c r="J1484" s="29"/>
      <c r="K1484" s="29"/>
      <c r="L1484" s="29" t="s">
        <v>4613</v>
      </c>
      <c r="M1484" s="29" t="s">
        <v>3957</v>
      </c>
      <c r="N1484" s="29" t="s">
        <v>3958</v>
      </c>
      <c r="O1484" s="29"/>
      <c r="P1484" s="29" t="s">
        <v>8580</v>
      </c>
      <c r="Q1484" t="s">
        <v>2038</v>
      </c>
      <c r="R1484" t="s">
        <v>2632</v>
      </c>
      <c r="S1484">
        <v>38</v>
      </c>
      <c r="T1484" s="43" t="str">
        <f>HYPERLINK("https://ictv.global/ictv/proposals/2022.068B.Rakietenvirinae_3nsp.zip","2022.068B.Rakietenvirinae_3nsp.zip")</f>
        <v>2022.068B.Rakietenvirinae_3nsp.zip</v>
      </c>
      <c r="U1484" s="43" t="str">
        <f>HYPERLINK("https://ictv.global/taxonomy/taxondetails?taxnode_id=202214791","ictv.global=202214791")</f>
        <v>ictv.global=202214791</v>
      </c>
    </row>
    <row r="1485" spans="1:21">
      <c r="A1485">
        <v>1484</v>
      </c>
      <c r="B1485" s="29" t="s">
        <v>3682</v>
      </c>
      <c r="C1485" s="29"/>
      <c r="D1485" s="29" t="s">
        <v>3683</v>
      </c>
      <c r="E1485" s="29"/>
      <c r="F1485" s="29" t="s">
        <v>3686</v>
      </c>
      <c r="G1485" s="29"/>
      <c r="H1485" s="29" t="s">
        <v>3687</v>
      </c>
      <c r="I1485" s="29"/>
      <c r="J1485" s="29"/>
      <c r="K1485" s="29"/>
      <c r="L1485" s="29" t="s">
        <v>4613</v>
      </c>
      <c r="M1485" s="29" t="s">
        <v>3957</v>
      </c>
      <c r="N1485" s="29" t="s">
        <v>3958</v>
      </c>
      <c r="O1485" s="29"/>
      <c r="P1485" s="29" t="s">
        <v>8581</v>
      </c>
      <c r="Q1485" t="s">
        <v>2038</v>
      </c>
      <c r="R1485" t="s">
        <v>2633</v>
      </c>
      <c r="S1485">
        <v>37</v>
      </c>
      <c r="T1485" s="43" t="str">
        <f>HYPERLINK("https://ictv.global/ictv/proposals/2021.010B.R.Binomial_names.zip","2021.010B.R.Binomial_names.zip")</f>
        <v>2021.010B.R.Binomial_names.zip</v>
      </c>
      <c r="U1485" s="43" t="str">
        <f>HYPERLINK("https://ictv.global/taxonomy/taxondetails?taxnode_id=202208004","ictv.global=202208004")</f>
        <v>ictv.global=202208004</v>
      </c>
    </row>
    <row r="1486" spans="1:21">
      <c r="A1486">
        <v>1485</v>
      </c>
      <c r="B1486" s="29" t="s">
        <v>3682</v>
      </c>
      <c r="C1486" s="29"/>
      <c r="D1486" s="29" t="s">
        <v>3683</v>
      </c>
      <c r="E1486" s="29"/>
      <c r="F1486" s="29" t="s">
        <v>3686</v>
      </c>
      <c r="G1486" s="29"/>
      <c r="H1486" s="29" t="s">
        <v>3687</v>
      </c>
      <c r="I1486" s="29"/>
      <c r="J1486" s="29"/>
      <c r="K1486" s="29"/>
      <c r="L1486" s="29" t="s">
        <v>4613</v>
      </c>
      <c r="M1486" s="29" t="s">
        <v>3957</v>
      </c>
      <c r="N1486" s="29" t="s">
        <v>3455</v>
      </c>
      <c r="O1486" s="29"/>
      <c r="P1486" s="29" t="s">
        <v>8582</v>
      </c>
      <c r="Q1486" t="s">
        <v>2038</v>
      </c>
      <c r="R1486" t="s">
        <v>2633</v>
      </c>
      <c r="S1486">
        <v>37</v>
      </c>
      <c r="T1486" s="43" t="str">
        <f>HYPERLINK("https://ictv.global/ictv/proposals/2021.010B.R.Binomial_names.zip","2021.010B.R.Binomial_names.zip")</f>
        <v>2021.010B.R.Binomial_names.zip</v>
      </c>
      <c r="U1486" s="43" t="str">
        <f>HYPERLINK("https://ictv.global/taxonomy/taxondetails?taxnode_id=202208011","ictv.global=202208011")</f>
        <v>ictv.global=202208011</v>
      </c>
    </row>
    <row r="1487" spans="1:21">
      <c r="A1487">
        <v>1486</v>
      </c>
      <c r="B1487" s="29" t="s">
        <v>3682</v>
      </c>
      <c r="C1487" s="29"/>
      <c r="D1487" s="29" t="s">
        <v>3683</v>
      </c>
      <c r="E1487" s="29"/>
      <c r="F1487" s="29" t="s">
        <v>3686</v>
      </c>
      <c r="G1487" s="29"/>
      <c r="H1487" s="29" t="s">
        <v>3687</v>
      </c>
      <c r="I1487" s="29"/>
      <c r="J1487" s="29"/>
      <c r="K1487" s="29"/>
      <c r="L1487" s="29" t="s">
        <v>4613</v>
      </c>
      <c r="M1487" s="29" t="s">
        <v>3957</v>
      </c>
      <c r="N1487" s="29" t="s">
        <v>3455</v>
      </c>
      <c r="O1487" s="29"/>
      <c r="P1487" s="29" t="s">
        <v>8583</v>
      </c>
      <c r="Q1487" t="s">
        <v>2038</v>
      </c>
      <c r="R1487" t="s">
        <v>2633</v>
      </c>
      <c r="S1487">
        <v>37</v>
      </c>
      <c r="T1487" s="43" t="str">
        <f>HYPERLINK("https://ictv.global/ictv/proposals/2021.010B.R.Binomial_names.zip","2021.010B.R.Binomial_names.zip")</f>
        <v>2021.010B.R.Binomial_names.zip</v>
      </c>
      <c r="U1487" s="43" t="str">
        <f>HYPERLINK("https://ictv.global/taxonomy/taxondetails?taxnode_id=202208009","ictv.global=202208009")</f>
        <v>ictv.global=202208009</v>
      </c>
    </row>
    <row r="1488" spans="1:21">
      <c r="A1488">
        <v>1487</v>
      </c>
      <c r="B1488" s="29" t="s">
        <v>3682</v>
      </c>
      <c r="C1488" s="29"/>
      <c r="D1488" s="29" t="s">
        <v>3683</v>
      </c>
      <c r="E1488" s="29"/>
      <c r="F1488" s="29" t="s">
        <v>3686</v>
      </c>
      <c r="G1488" s="29"/>
      <c r="H1488" s="29" t="s">
        <v>3687</v>
      </c>
      <c r="I1488" s="29"/>
      <c r="J1488" s="29"/>
      <c r="K1488" s="29"/>
      <c r="L1488" s="29" t="s">
        <v>4613</v>
      </c>
      <c r="M1488" s="29" t="s">
        <v>3957</v>
      </c>
      <c r="N1488" s="29" t="s">
        <v>3455</v>
      </c>
      <c r="O1488" s="29"/>
      <c r="P1488" s="29" t="s">
        <v>8584</v>
      </c>
      <c r="Q1488" t="s">
        <v>2038</v>
      </c>
      <c r="R1488" t="s">
        <v>2633</v>
      </c>
      <c r="S1488">
        <v>37</v>
      </c>
      <c r="T1488" s="43" t="str">
        <f>HYPERLINK("https://ictv.global/ictv/proposals/2021.010B.R.Binomial_names.zip","2021.010B.R.Binomial_names.zip")</f>
        <v>2021.010B.R.Binomial_names.zip</v>
      </c>
      <c r="U1488" s="43" t="str">
        <f>HYPERLINK("https://ictv.global/taxonomy/taxondetails?taxnode_id=202208015","ictv.global=202208015")</f>
        <v>ictv.global=202208015</v>
      </c>
    </row>
    <row r="1489" spans="1:21">
      <c r="A1489">
        <v>1488</v>
      </c>
      <c r="B1489" s="29" t="s">
        <v>3682</v>
      </c>
      <c r="C1489" s="29"/>
      <c r="D1489" s="29" t="s">
        <v>3683</v>
      </c>
      <c r="E1489" s="29"/>
      <c r="F1489" s="29" t="s">
        <v>3686</v>
      </c>
      <c r="G1489" s="29"/>
      <c r="H1489" s="29" t="s">
        <v>3687</v>
      </c>
      <c r="I1489" s="29"/>
      <c r="J1489" s="29"/>
      <c r="K1489" s="29"/>
      <c r="L1489" s="29" t="s">
        <v>4613</v>
      </c>
      <c r="M1489" s="29" t="s">
        <v>3957</v>
      </c>
      <c r="N1489" s="29" t="s">
        <v>3455</v>
      </c>
      <c r="O1489" s="29"/>
      <c r="P1489" s="29" t="s">
        <v>8585</v>
      </c>
      <c r="Q1489" t="s">
        <v>2038</v>
      </c>
      <c r="R1489" t="s">
        <v>2632</v>
      </c>
      <c r="S1489">
        <v>37</v>
      </c>
      <c r="T1489" s="43" t="str">
        <f>HYPERLINK("https://ictv.global/ictv/proposals/2021.072B.R.Rosenblumvirus.zip","2021.072B.R.Rosenblumvirus.zip")</f>
        <v>2021.072B.R.Rosenblumvirus.zip</v>
      </c>
      <c r="U1489" s="43" t="str">
        <f>HYPERLINK("https://ictv.global/taxonomy/taxondetails?taxnode_id=202212900","ictv.global=202212900")</f>
        <v>ictv.global=202212900</v>
      </c>
    </row>
    <row r="1490" spans="1:21">
      <c r="A1490">
        <v>1489</v>
      </c>
      <c r="B1490" s="29" t="s">
        <v>3682</v>
      </c>
      <c r="C1490" s="29"/>
      <c r="D1490" s="29" t="s">
        <v>3683</v>
      </c>
      <c r="E1490" s="29"/>
      <c r="F1490" s="29" t="s">
        <v>3686</v>
      </c>
      <c r="G1490" s="29"/>
      <c r="H1490" s="29" t="s">
        <v>3687</v>
      </c>
      <c r="I1490" s="29"/>
      <c r="J1490" s="29"/>
      <c r="K1490" s="29"/>
      <c r="L1490" s="29" t="s">
        <v>4613</v>
      </c>
      <c r="M1490" s="29" t="s">
        <v>3957</v>
      </c>
      <c r="N1490" s="29" t="s">
        <v>3455</v>
      </c>
      <c r="O1490" s="29"/>
      <c r="P1490" s="29" t="s">
        <v>8586</v>
      </c>
      <c r="Q1490" t="s">
        <v>2038</v>
      </c>
      <c r="R1490" t="s">
        <v>2633</v>
      </c>
      <c r="S1490">
        <v>37</v>
      </c>
      <c r="T1490" s="43" t="str">
        <f>HYPERLINK("https://ictv.global/ictv/proposals/2021.010B.R.Binomial_names.zip","2021.010B.R.Binomial_names.zip")</f>
        <v>2021.010B.R.Binomial_names.zip</v>
      </c>
      <c r="U1490" s="43" t="str">
        <f>HYPERLINK("https://ictv.global/taxonomy/taxondetails?taxnode_id=202208008","ictv.global=202208008")</f>
        <v>ictv.global=202208008</v>
      </c>
    </row>
    <row r="1491" spans="1:21">
      <c r="A1491">
        <v>1490</v>
      </c>
      <c r="B1491" s="29" t="s">
        <v>3682</v>
      </c>
      <c r="C1491" s="29"/>
      <c r="D1491" s="29" t="s">
        <v>3683</v>
      </c>
      <c r="E1491" s="29"/>
      <c r="F1491" s="29" t="s">
        <v>3686</v>
      </c>
      <c r="G1491" s="29"/>
      <c r="H1491" s="29" t="s">
        <v>3687</v>
      </c>
      <c r="I1491" s="29"/>
      <c r="J1491" s="29"/>
      <c r="K1491" s="29"/>
      <c r="L1491" s="29" t="s">
        <v>4613</v>
      </c>
      <c r="M1491" s="29" t="s">
        <v>3957</v>
      </c>
      <c r="N1491" s="29" t="s">
        <v>3455</v>
      </c>
      <c r="O1491" s="29"/>
      <c r="P1491" s="29" t="s">
        <v>8587</v>
      </c>
      <c r="Q1491" t="s">
        <v>2038</v>
      </c>
      <c r="R1491" t="s">
        <v>2632</v>
      </c>
      <c r="S1491">
        <v>38</v>
      </c>
      <c r="T1491" s="43" t="str">
        <f>HYPERLINK("https://ictv.global/ictv/proposals/2022.068B.Rakietenvirinae_3nsp.zip","2022.068B.Rakietenvirinae_3nsp.zip")</f>
        <v>2022.068B.Rakietenvirinae_3nsp.zip</v>
      </c>
      <c r="U1491" s="43" t="str">
        <f>HYPERLINK("https://ictv.global/taxonomy/taxondetails?taxnode_id=202214789","ictv.global=202214789")</f>
        <v>ictv.global=202214789</v>
      </c>
    </row>
    <row r="1492" spans="1:21">
      <c r="A1492">
        <v>1491</v>
      </c>
      <c r="B1492" s="29" t="s">
        <v>3682</v>
      </c>
      <c r="C1492" s="29"/>
      <c r="D1492" s="29" t="s">
        <v>3683</v>
      </c>
      <c r="E1492" s="29"/>
      <c r="F1492" s="29" t="s">
        <v>3686</v>
      </c>
      <c r="G1492" s="29"/>
      <c r="H1492" s="29" t="s">
        <v>3687</v>
      </c>
      <c r="I1492" s="29"/>
      <c r="J1492" s="29"/>
      <c r="K1492" s="29"/>
      <c r="L1492" s="29" t="s">
        <v>4613</v>
      </c>
      <c r="M1492" s="29" t="s">
        <v>3957</v>
      </c>
      <c r="N1492" s="29" t="s">
        <v>3455</v>
      </c>
      <c r="O1492" s="29"/>
      <c r="P1492" s="29" t="s">
        <v>8588</v>
      </c>
      <c r="Q1492" t="s">
        <v>2038</v>
      </c>
      <c r="R1492" t="s">
        <v>2632</v>
      </c>
      <c r="S1492">
        <v>37</v>
      </c>
      <c r="T1492" s="43" t="str">
        <f>HYPERLINK("https://ictv.global/ictv/proposals/2021.072B.R.Rosenblumvirus.zip","2021.072B.R.Rosenblumvirus.zip")</f>
        <v>2021.072B.R.Rosenblumvirus.zip</v>
      </c>
      <c r="U1492" s="43" t="str">
        <f>HYPERLINK("https://ictv.global/taxonomy/taxondetails?taxnode_id=202212901","ictv.global=202212901")</f>
        <v>ictv.global=202212901</v>
      </c>
    </row>
    <row r="1493" spans="1:21">
      <c r="A1493">
        <v>1492</v>
      </c>
      <c r="B1493" s="29" t="s">
        <v>3682</v>
      </c>
      <c r="C1493" s="29"/>
      <c r="D1493" s="29" t="s">
        <v>3683</v>
      </c>
      <c r="E1493" s="29"/>
      <c r="F1493" s="29" t="s">
        <v>3686</v>
      </c>
      <c r="G1493" s="29"/>
      <c r="H1493" s="29" t="s">
        <v>3687</v>
      </c>
      <c r="I1493" s="29"/>
      <c r="J1493" s="29"/>
      <c r="K1493" s="29"/>
      <c r="L1493" s="29" t="s">
        <v>4613</v>
      </c>
      <c r="M1493" s="29" t="s">
        <v>3957</v>
      </c>
      <c r="N1493" s="29" t="s">
        <v>3455</v>
      </c>
      <c r="O1493" s="29"/>
      <c r="P1493" s="29" t="s">
        <v>8589</v>
      </c>
      <c r="Q1493" t="s">
        <v>2038</v>
      </c>
      <c r="R1493" t="s">
        <v>2633</v>
      </c>
      <c r="S1493">
        <v>37</v>
      </c>
      <c r="T1493" s="43" t="str">
        <f>HYPERLINK("https://ictv.global/ictv/proposals/2021.010B.R.Binomial_names.zip","2021.010B.R.Binomial_names.zip")</f>
        <v>2021.010B.R.Binomial_names.zip</v>
      </c>
      <c r="U1493" s="43" t="str">
        <f>HYPERLINK("https://ictv.global/taxonomy/taxondetails?taxnode_id=202208005","ictv.global=202208005")</f>
        <v>ictv.global=202208005</v>
      </c>
    </row>
    <row r="1494" spans="1:21">
      <c r="A1494">
        <v>1493</v>
      </c>
      <c r="B1494" s="29" t="s">
        <v>3682</v>
      </c>
      <c r="C1494" s="29"/>
      <c r="D1494" s="29" t="s">
        <v>3683</v>
      </c>
      <c r="E1494" s="29"/>
      <c r="F1494" s="29" t="s">
        <v>3686</v>
      </c>
      <c r="G1494" s="29"/>
      <c r="H1494" s="29" t="s">
        <v>3687</v>
      </c>
      <c r="I1494" s="29"/>
      <c r="J1494" s="29"/>
      <c r="K1494" s="29"/>
      <c r="L1494" s="29" t="s">
        <v>4613</v>
      </c>
      <c r="M1494" s="29" t="s">
        <v>3957</v>
      </c>
      <c r="N1494" s="29" t="s">
        <v>3455</v>
      </c>
      <c r="O1494" s="29"/>
      <c r="P1494" s="29" t="s">
        <v>8590</v>
      </c>
      <c r="Q1494" t="s">
        <v>2038</v>
      </c>
      <c r="R1494" t="s">
        <v>2632</v>
      </c>
      <c r="S1494">
        <v>37</v>
      </c>
      <c r="T1494" s="43" t="str">
        <f>HYPERLINK("https://ictv.global/ictv/proposals/2021.072B.R.Rosenblumvirus.zip","2021.072B.R.Rosenblumvirus.zip")</f>
        <v>2021.072B.R.Rosenblumvirus.zip</v>
      </c>
      <c r="U1494" s="43" t="str">
        <f>HYPERLINK("https://ictv.global/taxonomy/taxondetails?taxnode_id=202212899","ictv.global=202212899")</f>
        <v>ictv.global=202212899</v>
      </c>
    </row>
    <row r="1495" spans="1:21">
      <c r="A1495">
        <v>1494</v>
      </c>
      <c r="B1495" s="29" t="s">
        <v>3682</v>
      </c>
      <c r="C1495" s="29"/>
      <c r="D1495" s="29" t="s">
        <v>3683</v>
      </c>
      <c r="E1495" s="29"/>
      <c r="F1495" s="29" t="s">
        <v>3686</v>
      </c>
      <c r="G1495" s="29"/>
      <c r="H1495" s="29" t="s">
        <v>3687</v>
      </c>
      <c r="I1495" s="29"/>
      <c r="J1495" s="29"/>
      <c r="K1495" s="29"/>
      <c r="L1495" s="29" t="s">
        <v>4613</v>
      </c>
      <c r="M1495" s="29" t="s">
        <v>3957</v>
      </c>
      <c r="N1495" s="29" t="s">
        <v>3455</v>
      </c>
      <c r="O1495" s="29"/>
      <c r="P1495" s="29" t="s">
        <v>8591</v>
      </c>
      <c r="Q1495" t="s">
        <v>2038</v>
      </c>
      <c r="R1495" t="s">
        <v>2633</v>
      </c>
      <c r="S1495">
        <v>37</v>
      </c>
      <c r="T1495" s="43" t="str">
        <f>HYPERLINK("https://ictv.global/ictv/proposals/2021.010B.R.Binomial_names.zip","2021.010B.R.Binomial_names.zip")</f>
        <v>2021.010B.R.Binomial_names.zip</v>
      </c>
      <c r="U1495" s="43" t="str">
        <f>HYPERLINK("https://ictv.global/taxonomy/taxondetails?taxnode_id=202208013","ictv.global=202208013")</f>
        <v>ictv.global=202208013</v>
      </c>
    </row>
    <row r="1496" spans="1:21">
      <c r="A1496">
        <v>1495</v>
      </c>
      <c r="B1496" s="29" t="s">
        <v>3682</v>
      </c>
      <c r="C1496" s="29"/>
      <c r="D1496" s="29" t="s">
        <v>3683</v>
      </c>
      <c r="E1496" s="29"/>
      <c r="F1496" s="29" t="s">
        <v>3686</v>
      </c>
      <c r="G1496" s="29"/>
      <c r="H1496" s="29" t="s">
        <v>3687</v>
      </c>
      <c r="I1496" s="29"/>
      <c r="J1496" s="29"/>
      <c r="K1496" s="29"/>
      <c r="L1496" s="29" t="s">
        <v>4613</v>
      </c>
      <c r="M1496" s="29" t="s">
        <v>3957</v>
      </c>
      <c r="N1496" s="29" t="s">
        <v>3455</v>
      </c>
      <c r="O1496" s="29"/>
      <c r="P1496" s="29" t="s">
        <v>8592</v>
      </c>
      <c r="Q1496" t="s">
        <v>2038</v>
      </c>
      <c r="R1496" t="s">
        <v>2633</v>
      </c>
      <c r="S1496">
        <v>37</v>
      </c>
      <c r="T1496" s="43" t="str">
        <f>HYPERLINK("https://ictv.global/ictv/proposals/2021.010B.R.Binomial_names.zip","2021.010B.R.Binomial_names.zip")</f>
        <v>2021.010B.R.Binomial_names.zip</v>
      </c>
      <c r="U1496" s="43" t="str">
        <f>HYPERLINK("https://ictv.global/taxonomy/taxondetails?taxnode_id=202208006","ictv.global=202208006")</f>
        <v>ictv.global=202208006</v>
      </c>
    </row>
    <row r="1497" spans="1:21">
      <c r="A1497">
        <v>1496</v>
      </c>
      <c r="B1497" s="29" t="s">
        <v>3682</v>
      </c>
      <c r="C1497" s="29"/>
      <c r="D1497" s="29" t="s">
        <v>3683</v>
      </c>
      <c r="E1497" s="29"/>
      <c r="F1497" s="29" t="s">
        <v>3686</v>
      </c>
      <c r="G1497" s="29"/>
      <c r="H1497" s="29" t="s">
        <v>3687</v>
      </c>
      <c r="I1497" s="29"/>
      <c r="J1497" s="29"/>
      <c r="K1497" s="29"/>
      <c r="L1497" s="29" t="s">
        <v>4613</v>
      </c>
      <c r="M1497" s="29" t="s">
        <v>3957</v>
      </c>
      <c r="N1497" s="29" t="s">
        <v>3455</v>
      </c>
      <c r="O1497" s="29"/>
      <c r="P1497" s="29" t="s">
        <v>8593</v>
      </c>
      <c r="Q1497" t="s">
        <v>2038</v>
      </c>
      <c r="R1497" t="s">
        <v>2633</v>
      </c>
      <c r="S1497">
        <v>37</v>
      </c>
      <c r="T1497" s="43" t="str">
        <f>HYPERLINK("https://ictv.global/ictv/proposals/2021.010B.R.Binomial_names.zip","2021.010B.R.Binomial_names.zip")</f>
        <v>2021.010B.R.Binomial_names.zip</v>
      </c>
      <c r="U1497" s="43" t="str">
        <f>HYPERLINK("https://ictv.global/taxonomy/taxondetails?taxnode_id=202200595","ictv.global=202200595")</f>
        <v>ictv.global=202200595</v>
      </c>
    </row>
    <row r="1498" spans="1:21">
      <c r="A1498">
        <v>1497</v>
      </c>
      <c r="B1498" s="29" t="s">
        <v>3682</v>
      </c>
      <c r="C1498" s="29"/>
      <c r="D1498" s="29" t="s">
        <v>3683</v>
      </c>
      <c r="E1498" s="29"/>
      <c r="F1498" s="29" t="s">
        <v>3686</v>
      </c>
      <c r="G1498" s="29"/>
      <c r="H1498" s="29" t="s">
        <v>3687</v>
      </c>
      <c r="I1498" s="29"/>
      <c r="J1498" s="29"/>
      <c r="K1498" s="29"/>
      <c r="L1498" s="29" t="s">
        <v>4613</v>
      </c>
      <c r="M1498" s="29" t="s">
        <v>3957</v>
      </c>
      <c r="N1498" s="29" t="s">
        <v>3455</v>
      </c>
      <c r="O1498" s="29"/>
      <c r="P1498" s="29" t="s">
        <v>8594</v>
      </c>
      <c r="Q1498" t="s">
        <v>2038</v>
      </c>
      <c r="R1498" t="s">
        <v>2633</v>
      </c>
      <c r="S1498">
        <v>37</v>
      </c>
      <c r="T1498" s="43" t="str">
        <f>HYPERLINK("https://ictv.global/ictv/proposals/2021.010B.R.Binomial_names.zip","2021.010B.R.Binomial_names.zip")</f>
        <v>2021.010B.R.Binomial_names.zip</v>
      </c>
      <c r="U1498" s="43" t="str">
        <f>HYPERLINK("https://ictv.global/taxonomy/taxondetails?taxnode_id=202208007","ictv.global=202208007")</f>
        <v>ictv.global=202208007</v>
      </c>
    </row>
    <row r="1499" spans="1:21">
      <c r="A1499">
        <v>1498</v>
      </c>
      <c r="B1499" s="29" t="s">
        <v>3682</v>
      </c>
      <c r="C1499" s="29"/>
      <c r="D1499" s="29" t="s">
        <v>3683</v>
      </c>
      <c r="E1499" s="29"/>
      <c r="F1499" s="29" t="s">
        <v>3686</v>
      </c>
      <c r="G1499" s="29"/>
      <c r="H1499" s="29" t="s">
        <v>3687</v>
      </c>
      <c r="I1499" s="29"/>
      <c r="J1499" s="29"/>
      <c r="K1499" s="29"/>
      <c r="L1499" s="29" t="s">
        <v>4613</v>
      </c>
      <c r="M1499" s="29" t="s">
        <v>3957</v>
      </c>
      <c r="N1499" s="29" t="s">
        <v>3455</v>
      </c>
      <c r="O1499" s="29"/>
      <c r="P1499" s="29" t="s">
        <v>8595</v>
      </c>
      <c r="Q1499" t="s">
        <v>2038</v>
      </c>
      <c r="R1499" t="s">
        <v>2632</v>
      </c>
      <c r="S1499">
        <v>37</v>
      </c>
      <c r="T1499" s="43" t="str">
        <f>HYPERLINK("https://ictv.global/ictv/proposals/2021.072B.R.Rosenblumvirus.zip","2021.072B.R.Rosenblumvirus.zip")</f>
        <v>2021.072B.R.Rosenblumvirus.zip</v>
      </c>
      <c r="U1499" s="43" t="str">
        <f>HYPERLINK("https://ictv.global/taxonomy/taxondetails?taxnode_id=202212898","ictv.global=202212898")</f>
        <v>ictv.global=202212898</v>
      </c>
    </row>
    <row r="1500" spans="1:21">
      <c r="A1500">
        <v>1499</v>
      </c>
      <c r="B1500" s="29" t="s">
        <v>3682</v>
      </c>
      <c r="C1500" s="29"/>
      <c r="D1500" s="29" t="s">
        <v>3683</v>
      </c>
      <c r="E1500" s="29"/>
      <c r="F1500" s="29" t="s">
        <v>3686</v>
      </c>
      <c r="G1500" s="29"/>
      <c r="H1500" s="29" t="s">
        <v>3687</v>
      </c>
      <c r="I1500" s="29"/>
      <c r="J1500" s="29"/>
      <c r="K1500" s="29"/>
      <c r="L1500" s="29" t="s">
        <v>4613</v>
      </c>
      <c r="M1500" s="29" t="s">
        <v>3957</v>
      </c>
      <c r="N1500" s="29" t="s">
        <v>3455</v>
      </c>
      <c r="O1500" s="29"/>
      <c r="P1500" s="29" t="s">
        <v>8596</v>
      </c>
      <c r="Q1500" t="s">
        <v>2038</v>
      </c>
      <c r="R1500" t="s">
        <v>2633</v>
      </c>
      <c r="S1500">
        <v>37</v>
      </c>
      <c r="T1500" s="43" t="str">
        <f>HYPERLINK("https://ictv.global/ictv/proposals/2021.010B.R.Binomial_names.zip","2021.010B.R.Binomial_names.zip")</f>
        <v>2021.010B.R.Binomial_names.zip</v>
      </c>
      <c r="U1500" s="43" t="str">
        <f>HYPERLINK("https://ictv.global/taxonomy/taxondetails?taxnode_id=202208012","ictv.global=202208012")</f>
        <v>ictv.global=202208012</v>
      </c>
    </row>
    <row r="1501" spans="1:21">
      <c r="A1501">
        <v>1500</v>
      </c>
      <c r="B1501" s="29" t="s">
        <v>3682</v>
      </c>
      <c r="C1501" s="29"/>
      <c r="D1501" s="29" t="s">
        <v>3683</v>
      </c>
      <c r="E1501" s="29"/>
      <c r="F1501" s="29" t="s">
        <v>3686</v>
      </c>
      <c r="G1501" s="29"/>
      <c r="H1501" s="29" t="s">
        <v>3687</v>
      </c>
      <c r="I1501" s="29"/>
      <c r="J1501" s="29"/>
      <c r="K1501" s="29"/>
      <c r="L1501" s="29" t="s">
        <v>4613</v>
      </c>
      <c r="M1501" s="29" t="s">
        <v>3957</v>
      </c>
      <c r="N1501" s="29" t="s">
        <v>3455</v>
      </c>
      <c r="O1501" s="29"/>
      <c r="P1501" s="29" t="s">
        <v>8597</v>
      </c>
      <c r="Q1501" t="s">
        <v>2038</v>
      </c>
      <c r="R1501" t="s">
        <v>2633</v>
      </c>
      <c r="S1501">
        <v>37</v>
      </c>
      <c r="T1501" s="43" t="str">
        <f>HYPERLINK("https://ictv.global/ictv/proposals/2021.010B.R.Binomial_names.zip","2021.010B.R.Binomial_names.zip")</f>
        <v>2021.010B.R.Binomial_names.zip</v>
      </c>
      <c r="U1501" s="43" t="str">
        <f>HYPERLINK("https://ictv.global/taxonomy/taxondetails?taxnode_id=202208010","ictv.global=202208010")</f>
        <v>ictv.global=202208010</v>
      </c>
    </row>
    <row r="1502" spans="1:21">
      <c r="A1502">
        <v>1501</v>
      </c>
      <c r="B1502" s="29" t="s">
        <v>3682</v>
      </c>
      <c r="C1502" s="29"/>
      <c r="D1502" s="29" t="s">
        <v>3683</v>
      </c>
      <c r="E1502" s="29"/>
      <c r="F1502" s="29" t="s">
        <v>3686</v>
      </c>
      <c r="G1502" s="29"/>
      <c r="H1502" s="29" t="s">
        <v>3687</v>
      </c>
      <c r="I1502" s="29"/>
      <c r="J1502" s="29"/>
      <c r="K1502" s="29"/>
      <c r="L1502" s="29" t="s">
        <v>4613</v>
      </c>
      <c r="M1502" s="29" t="s">
        <v>3957</v>
      </c>
      <c r="N1502" s="29" t="s">
        <v>3455</v>
      </c>
      <c r="O1502" s="29"/>
      <c r="P1502" s="29" t="s">
        <v>8598</v>
      </c>
      <c r="Q1502" t="s">
        <v>2038</v>
      </c>
      <c r="R1502" t="s">
        <v>2633</v>
      </c>
      <c r="S1502">
        <v>37</v>
      </c>
      <c r="T1502" s="43" t="str">
        <f>HYPERLINK("https://ictv.global/ictv/proposals/2021.010B.R.Binomial_names.zip","2021.010B.R.Binomial_names.zip")</f>
        <v>2021.010B.R.Binomial_names.zip</v>
      </c>
      <c r="U1502" s="43" t="str">
        <f>HYPERLINK("https://ictv.global/taxonomy/taxondetails?taxnode_id=202208014","ictv.global=202208014")</f>
        <v>ictv.global=202208014</v>
      </c>
    </row>
    <row r="1503" spans="1:21">
      <c r="A1503">
        <v>1502</v>
      </c>
      <c r="B1503" s="29" t="s">
        <v>3682</v>
      </c>
      <c r="C1503" s="29"/>
      <c r="D1503" s="29" t="s">
        <v>3683</v>
      </c>
      <c r="E1503" s="29"/>
      <c r="F1503" s="29" t="s">
        <v>3686</v>
      </c>
      <c r="G1503" s="29"/>
      <c r="H1503" s="29" t="s">
        <v>3687</v>
      </c>
      <c r="I1503" s="29"/>
      <c r="J1503" s="29"/>
      <c r="K1503" s="29"/>
      <c r="L1503" s="29" t="s">
        <v>4613</v>
      </c>
      <c r="M1503" s="29" t="s">
        <v>4614</v>
      </c>
      <c r="N1503" s="29" t="s">
        <v>4615</v>
      </c>
      <c r="O1503" s="29"/>
      <c r="P1503" s="29" t="s">
        <v>8599</v>
      </c>
      <c r="Q1503" t="s">
        <v>2038</v>
      </c>
      <c r="R1503" t="s">
        <v>2632</v>
      </c>
      <c r="S1503">
        <v>37</v>
      </c>
      <c r="T1503" s="43" t="str">
        <f>HYPERLINK("https://ictv.global/ictv/proposals/2021.020B.R.Copernicusvirus.zip","2021.020B.R.Copernicusvirus.zip")</f>
        <v>2021.020B.R.Copernicusvirus.zip</v>
      </c>
      <c r="U1503" s="43" t="str">
        <f>HYPERLINK("https://ictv.global/taxonomy/taxondetails?taxnode_id=202213054","ictv.global=202213054")</f>
        <v>ictv.global=202213054</v>
      </c>
    </row>
    <row r="1504" spans="1:21">
      <c r="A1504">
        <v>1503</v>
      </c>
      <c r="B1504" s="29" t="s">
        <v>3682</v>
      </c>
      <c r="C1504" s="29"/>
      <c r="D1504" s="29" t="s">
        <v>3683</v>
      </c>
      <c r="E1504" s="29"/>
      <c r="F1504" s="29" t="s">
        <v>3686</v>
      </c>
      <c r="G1504" s="29"/>
      <c r="H1504" s="29" t="s">
        <v>3687</v>
      </c>
      <c r="I1504" s="29"/>
      <c r="J1504" s="29"/>
      <c r="K1504" s="29"/>
      <c r="L1504" s="29" t="s">
        <v>4613</v>
      </c>
      <c r="M1504" s="29" t="s">
        <v>4614</v>
      </c>
      <c r="N1504" s="29" t="s">
        <v>4615</v>
      </c>
      <c r="O1504" s="29"/>
      <c r="P1504" s="29" t="s">
        <v>8600</v>
      </c>
      <c r="Q1504" t="s">
        <v>2038</v>
      </c>
      <c r="R1504" t="s">
        <v>2633</v>
      </c>
      <c r="S1504">
        <v>37</v>
      </c>
      <c r="T1504" s="43" t="str">
        <f t="shared" ref="T1504:T1514" si="62">HYPERLINK("https://ictv.global/ictv/proposals/2021.010B.R.Binomial_names.zip","2021.010B.R.Binomial_names.zip")</f>
        <v>2021.010B.R.Binomial_names.zip</v>
      </c>
      <c r="U1504" s="43" t="str">
        <f>HYPERLINK("https://ictv.global/taxonomy/taxondetails?taxnode_id=202211693","ictv.global=202211693")</f>
        <v>ictv.global=202211693</v>
      </c>
    </row>
    <row r="1505" spans="1:21">
      <c r="A1505">
        <v>1504</v>
      </c>
      <c r="B1505" s="29" t="s">
        <v>3682</v>
      </c>
      <c r="C1505" s="29"/>
      <c r="D1505" s="29" t="s">
        <v>3683</v>
      </c>
      <c r="E1505" s="29"/>
      <c r="F1505" s="29" t="s">
        <v>3686</v>
      </c>
      <c r="G1505" s="29"/>
      <c r="H1505" s="29" t="s">
        <v>3687</v>
      </c>
      <c r="I1505" s="29"/>
      <c r="J1505" s="29"/>
      <c r="K1505" s="29"/>
      <c r="L1505" s="29" t="s">
        <v>4613</v>
      </c>
      <c r="M1505" s="29" t="s">
        <v>4614</v>
      </c>
      <c r="N1505" s="29" t="s">
        <v>4615</v>
      </c>
      <c r="O1505" s="29"/>
      <c r="P1505" s="29" t="s">
        <v>8601</v>
      </c>
      <c r="Q1505" t="s">
        <v>2038</v>
      </c>
      <c r="R1505" t="s">
        <v>2633</v>
      </c>
      <c r="S1505">
        <v>37</v>
      </c>
      <c r="T1505" s="43" t="str">
        <f t="shared" si="62"/>
        <v>2021.010B.R.Binomial_names.zip</v>
      </c>
      <c r="U1505" s="43" t="str">
        <f>HYPERLINK("https://ictv.global/taxonomy/taxondetails?taxnode_id=202211694","ictv.global=202211694")</f>
        <v>ictv.global=202211694</v>
      </c>
    </row>
    <row r="1506" spans="1:21">
      <c r="A1506">
        <v>1505</v>
      </c>
      <c r="B1506" s="29" t="s">
        <v>3682</v>
      </c>
      <c r="C1506" s="29"/>
      <c r="D1506" s="29" t="s">
        <v>3683</v>
      </c>
      <c r="E1506" s="29"/>
      <c r="F1506" s="29" t="s">
        <v>3686</v>
      </c>
      <c r="G1506" s="29"/>
      <c r="H1506" s="29" t="s">
        <v>3687</v>
      </c>
      <c r="I1506" s="29"/>
      <c r="J1506" s="29"/>
      <c r="K1506" s="29"/>
      <c r="L1506" s="29" t="s">
        <v>4613</v>
      </c>
      <c r="M1506" s="29" t="s">
        <v>4614</v>
      </c>
      <c r="N1506" s="29" t="s">
        <v>4615</v>
      </c>
      <c r="O1506" s="29"/>
      <c r="P1506" s="29" t="s">
        <v>8602</v>
      </c>
      <c r="Q1506" t="s">
        <v>2038</v>
      </c>
      <c r="R1506" t="s">
        <v>2633</v>
      </c>
      <c r="S1506">
        <v>37</v>
      </c>
      <c r="T1506" s="43" t="str">
        <f t="shared" si="62"/>
        <v>2021.010B.R.Binomial_names.zip</v>
      </c>
      <c r="U1506" s="43" t="str">
        <f>HYPERLINK("https://ictv.global/taxonomy/taxondetails?taxnode_id=202211695","ictv.global=202211695")</f>
        <v>ictv.global=202211695</v>
      </c>
    </row>
    <row r="1507" spans="1:21">
      <c r="A1507">
        <v>1506</v>
      </c>
      <c r="B1507" s="29" t="s">
        <v>3682</v>
      </c>
      <c r="C1507" s="29"/>
      <c r="D1507" s="29" t="s">
        <v>3683</v>
      </c>
      <c r="E1507" s="29"/>
      <c r="F1507" s="29" t="s">
        <v>3686</v>
      </c>
      <c r="G1507" s="29"/>
      <c r="H1507" s="29" t="s">
        <v>3687</v>
      </c>
      <c r="I1507" s="29"/>
      <c r="J1507" s="29"/>
      <c r="K1507" s="29"/>
      <c r="L1507" s="29" t="s">
        <v>4613</v>
      </c>
      <c r="M1507" s="29" t="s">
        <v>4614</v>
      </c>
      <c r="N1507" s="29" t="s">
        <v>4615</v>
      </c>
      <c r="O1507" s="29"/>
      <c r="P1507" s="29" t="s">
        <v>8603</v>
      </c>
      <c r="Q1507" t="s">
        <v>2038</v>
      </c>
      <c r="R1507" t="s">
        <v>2633</v>
      </c>
      <c r="S1507">
        <v>37</v>
      </c>
      <c r="T1507" s="43" t="str">
        <f t="shared" si="62"/>
        <v>2021.010B.R.Binomial_names.zip</v>
      </c>
      <c r="U1507" s="43" t="str">
        <f>HYPERLINK("https://ictv.global/taxonomy/taxondetails?taxnode_id=202211701","ictv.global=202211701")</f>
        <v>ictv.global=202211701</v>
      </c>
    </row>
    <row r="1508" spans="1:21">
      <c r="A1508">
        <v>1507</v>
      </c>
      <c r="B1508" s="29" t="s">
        <v>3682</v>
      </c>
      <c r="C1508" s="29"/>
      <c r="D1508" s="29" t="s">
        <v>3683</v>
      </c>
      <c r="E1508" s="29"/>
      <c r="F1508" s="29" t="s">
        <v>3686</v>
      </c>
      <c r="G1508" s="29"/>
      <c r="H1508" s="29" t="s">
        <v>3687</v>
      </c>
      <c r="I1508" s="29"/>
      <c r="J1508" s="29"/>
      <c r="K1508" s="29"/>
      <c r="L1508" s="29" t="s">
        <v>4613</v>
      </c>
      <c r="M1508" s="29" t="s">
        <v>4614</v>
      </c>
      <c r="N1508" s="29" t="s">
        <v>4615</v>
      </c>
      <c r="O1508" s="29"/>
      <c r="P1508" s="29" t="s">
        <v>8604</v>
      </c>
      <c r="Q1508" t="s">
        <v>2038</v>
      </c>
      <c r="R1508" t="s">
        <v>2633</v>
      </c>
      <c r="S1508">
        <v>37</v>
      </c>
      <c r="T1508" s="43" t="str">
        <f t="shared" si="62"/>
        <v>2021.010B.R.Binomial_names.zip</v>
      </c>
      <c r="U1508" s="43" t="str">
        <f>HYPERLINK("https://ictv.global/taxonomy/taxondetails?taxnode_id=202211702","ictv.global=202211702")</f>
        <v>ictv.global=202211702</v>
      </c>
    </row>
    <row r="1509" spans="1:21">
      <c r="A1509">
        <v>1508</v>
      </c>
      <c r="B1509" s="29" t="s">
        <v>3682</v>
      </c>
      <c r="C1509" s="29"/>
      <c r="D1509" s="29" t="s">
        <v>3683</v>
      </c>
      <c r="E1509" s="29"/>
      <c r="F1509" s="29" t="s">
        <v>3686</v>
      </c>
      <c r="G1509" s="29"/>
      <c r="H1509" s="29" t="s">
        <v>3687</v>
      </c>
      <c r="I1509" s="29"/>
      <c r="J1509" s="29"/>
      <c r="K1509" s="29"/>
      <c r="L1509" s="29" t="s">
        <v>4613</v>
      </c>
      <c r="M1509" s="29" t="s">
        <v>4614</v>
      </c>
      <c r="N1509" s="29" t="s">
        <v>4615</v>
      </c>
      <c r="O1509" s="29"/>
      <c r="P1509" s="29" t="s">
        <v>8605</v>
      </c>
      <c r="Q1509" t="s">
        <v>2038</v>
      </c>
      <c r="R1509" t="s">
        <v>2633</v>
      </c>
      <c r="S1509">
        <v>37</v>
      </c>
      <c r="T1509" s="43" t="str">
        <f t="shared" si="62"/>
        <v>2021.010B.R.Binomial_names.zip</v>
      </c>
      <c r="U1509" s="43" t="str">
        <f>HYPERLINK("https://ictv.global/taxonomy/taxondetails?taxnode_id=202211692","ictv.global=202211692")</f>
        <v>ictv.global=202211692</v>
      </c>
    </row>
    <row r="1510" spans="1:21">
      <c r="A1510">
        <v>1509</v>
      </c>
      <c r="B1510" s="29" t="s">
        <v>3682</v>
      </c>
      <c r="C1510" s="29"/>
      <c r="D1510" s="29" t="s">
        <v>3683</v>
      </c>
      <c r="E1510" s="29"/>
      <c r="F1510" s="29" t="s">
        <v>3686</v>
      </c>
      <c r="G1510" s="29"/>
      <c r="H1510" s="29" t="s">
        <v>3687</v>
      </c>
      <c r="I1510" s="29"/>
      <c r="J1510" s="29"/>
      <c r="K1510" s="29"/>
      <c r="L1510" s="29" t="s">
        <v>4613</v>
      </c>
      <c r="M1510" s="29" t="s">
        <v>4614</v>
      </c>
      <c r="N1510" s="29" t="s">
        <v>4615</v>
      </c>
      <c r="O1510" s="29"/>
      <c r="P1510" s="29" t="s">
        <v>8606</v>
      </c>
      <c r="Q1510" t="s">
        <v>2038</v>
      </c>
      <c r="R1510" t="s">
        <v>2633</v>
      </c>
      <c r="S1510">
        <v>37</v>
      </c>
      <c r="T1510" s="43" t="str">
        <f t="shared" si="62"/>
        <v>2021.010B.R.Binomial_names.zip</v>
      </c>
      <c r="U1510" s="43" t="str">
        <f>HYPERLINK("https://ictv.global/taxonomy/taxondetails?taxnode_id=202211699","ictv.global=202211699")</f>
        <v>ictv.global=202211699</v>
      </c>
    </row>
    <row r="1511" spans="1:21">
      <c r="A1511">
        <v>1510</v>
      </c>
      <c r="B1511" s="29" t="s">
        <v>3682</v>
      </c>
      <c r="C1511" s="29"/>
      <c r="D1511" s="29" t="s">
        <v>3683</v>
      </c>
      <c r="E1511" s="29"/>
      <c r="F1511" s="29" t="s">
        <v>3686</v>
      </c>
      <c r="G1511" s="29"/>
      <c r="H1511" s="29" t="s">
        <v>3687</v>
      </c>
      <c r="I1511" s="29"/>
      <c r="J1511" s="29"/>
      <c r="K1511" s="29"/>
      <c r="L1511" s="29" t="s">
        <v>4613</v>
      </c>
      <c r="M1511" s="29" t="s">
        <v>4614</v>
      </c>
      <c r="N1511" s="29" t="s">
        <v>4615</v>
      </c>
      <c r="O1511" s="29"/>
      <c r="P1511" s="29" t="s">
        <v>8607</v>
      </c>
      <c r="Q1511" t="s">
        <v>2038</v>
      </c>
      <c r="R1511" t="s">
        <v>2633</v>
      </c>
      <c r="S1511">
        <v>37</v>
      </c>
      <c r="T1511" s="43" t="str">
        <f t="shared" si="62"/>
        <v>2021.010B.R.Binomial_names.zip</v>
      </c>
      <c r="U1511" s="43" t="str">
        <f>HYPERLINK("https://ictv.global/taxonomy/taxondetails?taxnode_id=202211697","ictv.global=202211697")</f>
        <v>ictv.global=202211697</v>
      </c>
    </row>
    <row r="1512" spans="1:21">
      <c r="A1512">
        <v>1511</v>
      </c>
      <c r="B1512" s="29" t="s">
        <v>3682</v>
      </c>
      <c r="C1512" s="29"/>
      <c r="D1512" s="29" t="s">
        <v>3683</v>
      </c>
      <c r="E1512" s="29"/>
      <c r="F1512" s="29" t="s">
        <v>3686</v>
      </c>
      <c r="G1512" s="29"/>
      <c r="H1512" s="29" t="s">
        <v>3687</v>
      </c>
      <c r="I1512" s="29"/>
      <c r="J1512" s="29"/>
      <c r="K1512" s="29"/>
      <c r="L1512" s="29" t="s">
        <v>4613</v>
      </c>
      <c r="M1512" s="29" t="s">
        <v>4614</v>
      </c>
      <c r="N1512" s="29" t="s">
        <v>4615</v>
      </c>
      <c r="O1512" s="29"/>
      <c r="P1512" s="29" t="s">
        <v>8608</v>
      </c>
      <c r="Q1512" t="s">
        <v>2038</v>
      </c>
      <c r="R1512" t="s">
        <v>2633</v>
      </c>
      <c r="S1512">
        <v>37</v>
      </c>
      <c r="T1512" s="43" t="str">
        <f t="shared" si="62"/>
        <v>2021.010B.R.Binomial_names.zip</v>
      </c>
      <c r="U1512" s="43" t="str">
        <f>HYPERLINK("https://ictv.global/taxonomy/taxondetails?taxnode_id=202211696","ictv.global=202211696")</f>
        <v>ictv.global=202211696</v>
      </c>
    </row>
    <row r="1513" spans="1:21">
      <c r="A1513">
        <v>1512</v>
      </c>
      <c r="B1513" s="29" t="s">
        <v>3682</v>
      </c>
      <c r="C1513" s="29"/>
      <c r="D1513" s="29" t="s">
        <v>3683</v>
      </c>
      <c r="E1513" s="29"/>
      <c r="F1513" s="29" t="s">
        <v>3686</v>
      </c>
      <c r="G1513" s="29"/>
      <c r="H1513" s="29" t="s">
        <v>3687</v>
      </c>
      <c r="I1513" s="29"/>
      <c r="J1513" s="29"/>
      <c r="K1513" s="29"/>
      <c r="L1513" s="29" t="s">
        <v>4613</v>
      </c>
      <c r="M1513" s="29" t="s">
        <v>4614</v>
      </c>
      <c r="N1513" s="29" t="s">
        <v>4615</v>
      </c>
      <c r="O1513" s="29"/>
      <c r="P1513" s="29" t="s">
        <v>8609</v>
      </c>
      <c r="Q1513" t="s">
        <v>2038</v>
      </c>
      <c r="R1513" t="s">
        <v>2633</v>
      </c>
      <c r="S1513">
        <v>37</v>
      </c>
      <c r="T1513" s="43" t="str">
        <f t="shared" si="62"/>
        <v>2021.010B.R.Binomial_names.zip</v>
      </c>
      <c r="U1513" s="43" t="str">
        <f>HYPERLINK("https://ictv.global/taxonomy/taxondetails?taxnode_id=202211698","ictv.global=202211698")</f>
        <v>ictv.global=202211698</v>
      </c>
    </row>
    <row r="1514" spans="1:21">
      <c r="A1514">
        <v>1513</v>
      </c>
      <c r="B1514" s="29" t="s">
        <v>3682</v>
      </c>
      <c r="C1514" s="29"/>
      <c r="D1514" s="29" t="s">
        <v>3683</v>
      </c>
      <c r="E1514" s="29"/>
      <c r="F1514" s="29" t="s">
        <v>3686</v>
      </c>
      <c r="G1514" s="29"/>
      <c r="H1514" s="29" t="s">
        <v>3687</v>
      </c>
      <c r="I1514" s="29"/>
      <c r="J1514" s="29"/>
      <c r="K1514" s="29"/>
      <c r="L1514" s="29" t="s">
        <v>4613</v>
      </c>
      <c r="M1514" s="29" t="s">
        <v>4614</v>
      </c>
      <c r="N1514" s="29" t="s">
        <v>4615</v>
      </c>
      <c r="O1514" s="29"/>
      <c r="P1514" s="29" t="s">
        <v>8610</v>
      </c>
      <c r="Q1514" t="s">
        <v>2038</v>
      </c>
      <c r="R1514" t="s">
        <v>2633</v>
      </c>
      <c r="S1514">
        <v>37</v>
      </c>
      <c r="T1514" s="43" t="str">
        <f t="shared" si="62"/>
        <v>2021.010B.R.Binomial_names.zip</v>
      </c>
      <c r="U1514" s="43" t="str">
        <f>HYPERLINK("https://ictv.global/taxonomy/taxondetails?taxnode_id=202211700","ictv.global=202211700")</f>
        <v>ictv.global=202211700</v>
      </c>
    </row>
    <row r="1515" spans="1:21">
      <c r="A1515">
        <v>1514</v>
      </c>
      <c r="B1515" s="29" t="s">
        <v>3682</v>
      </c>
      <c r="C1515" s="29"/>
      <c r="D1515" s="29" t="s">
        <v>3683</v>
      </c>
      <c r="E1515" s="29"/>
      <c r="F1515" s="29" t="s">
        <v>3686</v>
      </c>
      <c r="G1515" s="29"/>
      <c r="H1515" s="29" t="s">
        <v>3687</v>
      </c>
      <c r="I1515" s="29"/>
      <c r="J1515" s="29"/>
      <c r="K1515" s="29"/>
      <c r="L1515" s="29" t="s">
        <v>4613</v>
      </c>
      <c r="M1515" s="29" t="s">
        <v>4614</v>
      </c>
      <c r="N1515" s="29" t="s">
        <v>4615</v>
      </c>
      <c r="O1515" s="29"/>
      <c r="P1515" s="29" t="s">
        <v>8611</v>
      </c>
      <c r="Q1515" t="s">
        <v>2038</v>
      </c>
      <c r="R1515" t="s">
        <v>2632</v>
      </c>
      <c r="S1515">
        <v>38</v>
      </c>
      <c r="T1515" s="43" t="str">
        <f>HYPERLINK("https://ictv.global/ictv/proposals/2022.026B.Copernicusvirus_1nsp.zip","2022.026B.Copernicusvirus_1nsp.zip")</f>
        <v>2022.026B.Copernicusvirus_1nsp.zip</v>
      </c>
      <c r="U1515" s="43" t="str">
        <f>HYPERLINK("https://ictv.global/taxonomy/taxondetails?taxnode_id=202214564","ictv.global=202214564")</f>
        <v>ictv.global=202214564</v>
      </c>
    </row>
    <row r="1516" spans="1:21">
      <c r="A1516">
        <v>1515</v>
      </c>
      <c r="B1516" s="29" t="s">
        <v>3682</v>
      </c>
      <c r="C1516" s="29"/>
      <c r="D1516" s="29" t="s">
        <v>3683</v>
      </c>
      <c r="E1516" s="29"/>
      <c r="F1516" s="29" t="s">
        <v>3686</v>
      </c>
      <c r="G1516" s="29"/>
      <c r="H1516" s="29" t="s">
        <v>3687</v>
      </c>
      <c r="I1516" s="29"/>
      <c r="J1516" s="29"/>
      <c r="K1516" s="29"/>
      <c r="L1516" s="29" t="s">
        <v>4613</v>
      </c>
      <c r="M1516" s="29" t="s">
        <v>4614</v>
      </c>
      <c r="N1516" s="29" t="s">
        <v>4616</v>
      </c>
      <c r="O1516" s="29"/>
      <c r="P1516" s="29" t="s">
        <v>8612</v>
      </c>
      <c r="Q1516" t="s">
        <v>2038</v>
      </c>
      <c r="R1516" t="s">
        <v>2633</v>
      </c>
      <c r="S1516">
        <v>37</v>
      </c>
      <c r="T1516" s="43" t="str">
        <f>HYPERLINK("https://ictv.global/ictv/proposals/2021.010B.R.Binomial_names.zip","2021.010B.R.Binomial_names.zip")</f>
        <v>2021.010B.R.Binomial_names.zip</v>
      </c>
      <c r="U1516" s="43" t="str">
        <f>HYPERLINK("https://ictv.global/taxonomy/taxondetails?taxnode_id=202211690","ictv.global=202211690")</f>
        <v>ictv.global=202211690</v>
      </c>
    </row>
    <row r="1517" spans="1:21">
      <c r="A1517">
        <v>1516</v>
      </c>
      <c r="B1517" s="29" t="s">
        <v>3682</v>
      </c>
      <c r="C1517" s="29"/>
      <c r="D1517" s="29" t="s">
        <v>3683</v>
      </c>
      <c r="E1517" s="29"/>
      <c r="F1517" s="29" t="s">
        <v>3686</v>
      </c>
      <c r="G1517" s="29"/>
      <c r="H1517" s="29" t="s">
        <v>3687</v>
      </c>
      <c r="I1517" s="29"/>
      <c r="J1517" s="29"/>
      <c r="K1517" s="29"/>
      <c r="L1517" s="29" t="s">
        <v>4613</v>
      </c>
      <c r="M1517" s="29" t="s">
        <v>4614</v>
      </c>
      <c r="N1517" s="29" t="s">
        <v>4616</v>
      </c>
      <c r="O1517" s="29"/>
      <c r="P1517" s="29" t="s">
        <v>8613</v>
      </c>
      <c r="Q1517" t="s">
        <v>2038</v>
      </c>
      <c r="R1517" t="s">
        <v>2633</v>
      </c>
      <c r="S1517">
        <v>37</v>
      </c>
      <c r="T1517" s="43" t="str">
        <f>HYPERLINK("https://ictv.global/ictv/proposals/2021.010B.R.Binomial_names.zip","2021.010B.R.Binomial_names.zip")</f>
        <v>2021.010B.R.Binomial_names.zip</v>
      </c>
      <c r="U1517" s="43" t="str">
        <f>HYPERLINK("https://ictv.global/taxonomy/taxondetails?taxnode_id=202211689","ictv.global=202211689")</f>
        <v>ictv.global=202211689</v>
      </c>
    </row>
    <row r="1518" spans="1:21">
      <c r="A1518">
        <v>1517</v>
      </c>
      <c r="B1518" s="29" t="s">
        <v>3682</v>
      </c>
      <c r="C1518" s="29"/>
      <c r="D1518" s="29" t="s">
        <v>3683</v>
      </c>
      <c r="E1518" s="29"/>
      <c r="F1518" s="29" t="s">
        <v>3686</v>
      </c>
      <c r="G1518" s="29"/>
      <c r="H1518" s="29" t="s">
        <v>3687</v>
      </c>
      <c r="I1518" s="29"/>
      <c r="J1518" s="29"/>
      <c r="K1518" s="29"/>
      <c r="L1518" s="29" t="s">
        <v>4613</v>
      </c>
      <c r="M1518" s="29"/>
      <c r="N1518" s="29" t="s">
        <v>3959</v>
      </c>
      <c r="O1518" s="29"/>
      <c r="P1518" s="29" t="s">
        <v>8614</v>
      </c>
      <c r="Q1518" t="s">
        <v>2038</v>
      </c>
      <c r="R1518" t="s">
        <v>2633</v>
      </c>
      <c r="S1518">
        <v>37</v>
      </c>
      <c r="T1518" s="43" t="str">
        <f>HYPERLINK("https://ictv.global/ictv/proposals/2021.010B.R.Binomial_names.zip","2021.010B.R.Binomial_names.zip")</f>
        <v>2021.010B.R.Binomial_names.zip</v>
      </c>
      <c r="U1518" s="43" t="str">
        <f>HYPERLINK("https://ictv.global/taxonomy/taxondetails?taxnode_id=202200596","ictv.global=202200596")</f>
        <v>ictv.global=202200596</v>
      </c>
    </row>
    <row r="1519" spans="1:21">
      <c r="A1519">
        <v>1518</v>
      </c>
      <c r="B1519" s="29" t="s">
        <v>3682</v>
      </c>
      <c r="C1519" s="29"/>
      <c r="D1519" s="29" t="s">
        <v>3683</v>
      </c>
      <c r="E1519" s="29"/>
      <c r="F1519" s="29" t="s">
        <v>3686</v>
      </c>
      <c r="G1519" s="29"/>
      <c r="H1519" s="29" t="s">
        <v>3687</v>
      </c>
      <c r="I1519" s="29"/>
      <c r="J1519" s="29"/>
      <c r="K1519" s="29"/>
      <c r="L1519" s="29" t="s">
        <v>4613</v>
      </c>
      <c r="M1519" s="29"/>
      <c r="N1519" s="29" t="s">
        <v>3454</v>
      </c>
      <c r="O1519" s="29"/>
      <c r="P1519" s="29" t="s">
        <v>8615</v>
      </c>
      <c r="Q1519" t="s">
        <v>2038</v>
      </c>
      <c r="R1519" t="s">
        <v>2633</v>
      </c>
      <c r="S1519">
        <v>37</v>
      </c>
      <c r="T1519" s="43" t="str">
        <f>HYPERLINK("https://ictv.global/ictv/proposals/2021.010B.R.Binomial_names.zip","2021.010B.R.Binomial_names.zip")</f>
        <v>2021.010B.R.Binomial_names.zip</v>
      </c>
      <c r="U1519" s="43" t="str">
        <f>HYPERLINK("https://ictv.global/taxonomy/taxondetails?taxnode_id=202206293","ictv.global=202206293")</f>
        <v>ictv.global=202206293</v>
      </c>
    </row>
    <row r="1520" spans="1:21">
      <c r="A1520">
        <v>1519</v>
      </c>
      <c r="B1520" s="29" t="s">
        <v>3682</v>
      </c>
      <c r="C1520" s="29"/>
      <c r="D1520" s="29" t="s">
        <v>3683</v>
      </c>
      <c r="E1520" s="29"/>
      <c r="F1520" s="29" t="s">
        <v>3686</v>
      </c>
      <c r="G1520" s="29"/>
      <c r="H1520" s="29" t="s">
        <v>3687</v>
      </c>
      <c r="I1520" s="29"/>
      <c r="J1520" s="29"/>
      <c r="K1520" s="29"/>
      <c r="L1520" s="29" t="s">
        <v>4617</v>
      </c>
      <c r="M1520" s="29" t="s">
        <v>4618</v>
      </c>
      <c r="N1520" s="29" t="s">
        <v>4619</v>
      </c>
      <c r="O1520" s="29"/>
      <c r="P1520" s="29" t="s">
        <v>8616</v>
      </c>
      <c r="Q1520" t="s">
        <v>2038</v>
      </c>
      <c r="R1520" t="s">
        <v>2633</v>
      </c>
      <c r="S1520">
        <v>37</v>
      </c>
      <c r="T1520" s="43" t="str">
        <f>HYPERLINK("https://ictv.global/ictv/proposals/2021.010B.R.Binomial_names.zip","2021.010B.R.Binomial_names.zip")</f>
        <v>2021.010B.R.Binomial_names.zip</v>
      </c>
      <c r="U1520" s="43" t="str">
        <f>HYPERLINK("https://ictv.global/taxonomy/taxondetails?taxnode_id=202211740","ictv.global=202211740")</f>
        <v>ictv.global=202211740</v>
      </c>
    </row>
    <row r="1521" spans="1:21">
      <c r="A1521">
        <v>1520</v>
      </c>
      <c r="B1521" s="29" t="s">
        <v>3682</v>
      </c>
      <c r="C1521" s="29"/>
      <c r="D1521" s="29" t="s">
        <v>3683</v>
      </c>
      <c r="E1521" s="29"/>
      <c r="F1521" s="29" t="s">
        <v>3686</v>
      </c>
      <c r="G1521" s="29"/>
      <c r="H1521" s="29" t="s">
        <v>3687</v>
      </c>
      <c r="I1521" s="29"/>
      <c r="J1521" s="29"/>
      <c r="K1521" s="29"/>
      <c r="L1521" s="29" t="s">
        <v>4617</v>
      </c>
      <c r="M1521" s="29" t="s">
        <v>4618</v>
      </c>
      <c r="N1521" s="29" t="s">
        <v>4619</v>
      </c>
      <c r="O1521" s="29"/>
      <c r="P1521" s="29" t="s">
        <v>8617</v>
      </c>
      <c r="Q1521" t="s">
        <v>2038</v>
      </c>
      <c r="R1521" t="s">
        <v>2632</v>
      </c>
      <c r="S1521">
        <v>37</v>
      </c>
      <c r="T1521" s="43" t="str">
        <f>HYPERLINK("https://ictv.global/ictv/proposals/2021.017B.R.Claudivirus.zip","2021.017B.R.Claudivirus.zip")</f>
        <v>2021.017B.R.Claudivirus.zip</v>
      </c>
      <c r="U1521" s="43" t="str">
        <f>HYPERLINK("https://ictv.global/taxonomy/taxondetails?taxnode_id=202213049","ictv.global=202213049")</f>
        <v>ictv.global=202213049</v>
      </c>
    </row>
    <row r="1522" spans="1:21">
      <c r="A1522">
        <v>1521</v>
      </c>
      <c r="B1522" s="29" t="s">
        <v>3682</v>
      </c>
      <c r="C1522" s="29"/>
      <c r="D1522" s="29" t="s">
        <v>3683</v>
      </c>
      <c r="E1522" s="29"/>
      <c r="F1522" s="29" t="s">
        <v>3686</v>
      </c>
      <c r="G1522" s="29"/>
      <c r="H1522" s="29" t="s">
        <v>3687</v>
      </c>
      <c r="I1522" s="29"/>
      <c r="J1522" s="29"/>
      <c r="K1522" s="29"/>
      <c r="L1522" s="29" t="s">
        <v>4617</v>
      </c>
      <c r="M1522" s="29" t="s">
        <v>4618</v>
      </c>
      <c r="N1522" s="29" t="s">
        <v>4619</v>
      </c>
      <c r="O1522" s="29"/>
      <c r="P1522" s="29" t="s">
        <v>8618</v>
      </c>
      <c r="Q1522" t="s">
        <v>2038</v>
      </c>
      <c r="R1522" t="s">
        <v>2633</v>
      </c>
      <c r="S1522">
        <v>37</v>
      </c>
      <c r="T1522" s="43" t="str">
        <f t="shared" ref="T1522:T1528" si="63">HYPERLINK("https://ictv.global/ictv/proposals/2021.010B.R.Binomial_names.zip","2021.010B.R.Binomial_names.zip")</f>
        <v>2021.010B.R.Binomial_names.zip</v>
      </c>
      <c r="U1522" s="43" t="str">
        <f>HYPERLINK("https://ictv.global/taxonomy/taxondetails?taxnode_id=202211736","ictv.global=202211736")</f>
        <v>ictv.global=202211736</v>
      </c>
    </row>
    <row r="1523" spans="1:21">
      <c r="A1523">
        <v>1522</v>
      </c>
      <c r="B1523" s="29" t="s">
        <v>3682</v>
      </c>
      <c r="C1523" s="29"/>
      <c r="D1523" s="29" t="s">
        <v>3683</v>
      </c>
      <c r="E1523" s="29"/>
      <c r="F1523" s="29" t="s">
        <v>3686</v>
      </c>
      <c r="G1523" s="29"/>
      <c r="H1523" s="29" t="s">
        <v>3687</v>
      </c>
      <c r="I1523" s="29"/>
      <c r="J1523" s="29"/>
      <c r="K1523" s="29"/>
      <c r="L1523" s="29" t="s">
        <v>4617</v>
      </c>
      <c r="M1523" s="29" t="s">
        <v>4618</v>
      </c>
      <c r="N1523" s="29" t="s">
        <v>4619</v>
      </c>
      <c r="O1523" s="29"/>
      <c r="P1523" s="29" t="s">
        <v>8619</v>
      </c>
      <c r="Q1523" t="s">
        <v>2038</v>
      </c>
      <c r="R1523" t="s">
        <v>2633</v>
      </c>
      <c r="S1523">
        <v>37</v>
      </c>
      <c r="T1523" s="43" t="str">
        <f t="shared" si="63"/>
        <v>2021.010B.R.Binomial_names.zip</v>
      </c>
      <c r="U1523" s="43" t="str">
        <f>HYPERLINK("https://ictv.global/taxonomy/taxondetails?taxnode_id=202211739","ictv.global=202211739")</f>
        <v>ictv.global=202211739</v>
      </c>
    </row>
    <row r="1524" spans="1:21">
      <c r="A1524">
        <v>1523</v>
      </c>
      <c r="B1524" s="29" t="s">
        <v>3682</v>
      </c>
      <c r="C1524" s="29"/>
      <c r="D1524" s="29" t="s">
        <v>3683</v>
      </c>
      <c r="E1524" s="29"/>
      <c r="F1524" s="29" t="s">
        <v>3686</v>
      </c>
      <c r="G1524" s="29"/>
      <c r="H1524" s="29" t="s">
        <v>3687</v>
      </c>
      <c r="I1524" s="29"/>
      <c r="J1524" s="29"/>
      <c r="K1524" s="29"/>
      <c r="L1524" s="29" t="s">
        <v>4617</v>
      </c>
      <c r="M1524" s="29" t="s">
        <v>4618</v>
      </c>
      <c r="N1524" s="29" t="s">
        <v>4619</v>
      </c>
      <c r="O1524" s="29"/>
      <c r="P1524" s="29" t="s">
        <v>8620</v>
      </c>
      <c r="Q1524" t="s">
        <v>2038</v>
      </c>
      <c r="R1524" t="s">
        <v>2633</v>
      </c>
      <c r="S1524">
        <v>37</v>
      </c>
      <c r="T1524" s="43" t="str">
        <f t="shared" si="63"/>
        <v>2021.010B.R.Binomial_names.zip</v>
      </c>
      <c r="U1524" s="43" t="str">
        <f>HYPERLINK("https://ictv.global/taxonomy/taxondetails?taxnode_id=202211742","ictv.global=202211742")</f>
        <v>ictv.global=202211742</v>
      </c>
    </row>
    <row r="1525" spans="1:21">
      <c r="A1525">
        <v>1524</v>
      </c>
      <c r="B1525" s="29" t="s">
        <v>3682</v>
      </c>
      <c r="C1525" s="29"/>
      <c r="D1525" s="29" t="s">
        <v>3683</v>
      </c>
      <c r="E1525" s="29"/>
      <c r="F1525" s="29" t="s">
        <v>3686</v>
      </c>
      <c r="G1525" s="29"/>
      <c r="H1525" s="29" t="s">
        <v>3687</v>
      </c>
      <c r="I1525" s="29"/>
      <c r="J1525" s="29"/>
      <c r="K1525" s="29"/>
      <c r="L1525" s="29" t="s">
        <v>4617</v>
      </c>
      <c r="M1525" s="29" t="s">
        <v>4618</v>
      </c>
      <c r="N1525" s="29" t="s">
        <v>4619</v>
      </c>
      <c r="O1525" s="29"/>
      <c r="P1525" s="29" t="s">
        <v>8621</v>
      </c>
      <c r="Q1525" t="s">
        <v>2038</v>
      </c>
      <c r="R1525" t="s">
        <v>2633</v>
      </c>
      <c r="S1525">
        <v>37</v>
      </c>
      <c r="T1525" s="43" t="str">
        <f t="shared" si="63"/>
        <v>2021.010B.R.Binomial_names.zip</v>
      </c>
      <c r="U1525" s="43" t="str">
        <f>HYPERLINK("https://ictv.global/taxonomy/taxondetails?taxnode_id=202211762","ictv.global=202211762")</f>
        <v>ictv.global=202211762</v>
      </c>
    </row>
    <row r="1526" spans="1:21">
      <c r="A1526">
        <v>1525</v>
      </c>
      <c r="B1526" s="29" t="s">
        <v>3682</v>
      </c>
      <c r="C1526" s="29"/>
      <c r="D1526" s="29" t="s">
        <v>3683</v>
      </c>
      <c r="E1526" s="29"/>
      <c r="F1526" s="29" t="s">
        <v>3686</v>
      </c>
      <c r="G1526" s="29"/>
      <c r="H1526" s="29" t="s">
        <v>3687</v>
      </c>
      <c r="I1526" s="29"/>
      <c r="J1526" s="29"/>
      <c r="K1526" s="29"/>
      <c r="L1526" s="29" t="s">
        <v>4617</v>
      </c>
      <c r="M1526" s="29" t="s">
        <v>4618</v>
      </c>
      <c r="N1526" s="29" t="s">
        <v>4619</v>
      </c>
      <c r="O1526" s="29"/>
      <c r="P1526" s="29" t="s">
        <v>8622</v>
      </c>
      <c r="Q1526" t="s">
        <v>2038</v>
      </c>
      <c r="R1526" t="s">
        <v>2633</v>
      </c>
      <c r="S1526">
        <v>37</v>
      </c>
      <c r="T1526" s="43" t="str">
        <f t="shared" si="63"/>
        <v>2021.010B.R.Binomial_names.zip</v>
      </c>
      <c r="U1526" s="43" t="str">
        <f>HYPERLINK("https://ictv.global/taxonomy/taxondetails?taxnode_id=202211741","ictv.global=202211741")</f>
        <v>ictv.global=202211741</v>
      </c>
    </row>
    <row r="1527" spans="1:21">
      <c r="A1527">
        <v>1526</v>
      </c>
      <c r="B1527" s="29" t="s">
        <v>3682</v>
      </c>
      <c r="C1527" s="29"/>
      <c r="D1527" s="29" t="s">
        <v>3683</v>
      </c>
      <c r="E1527" s="29"/>
      <c r="F1527" s="29" t="s">
        <v>3686</v>
      </c>
      <c r="G1527" s="29"/>
      <c r="H1527" s="29" t="s">
        <v>3687</v>
      </c>
      <c r="I1527" s="29"/>
      <c r="J1527" s="29"/>
      <c r="K1527" s="29"/>
      <c r="L1527" s="29" t="s">
        <v>4617</v>
      </c>
      <c r="M1527" s="29" t="s">
        <v>4618</v>
      </c>
      <c r="N1527" s="29" t="s">
        <v>4619</v>
      </c>
      <c r="O1527" s="29"/>
      <c r="P1527" s="29" t="s">
        <v>8623</v>
      </c>
      <c r="Q1527" t="s">
        <v>2038</v>
      </c>
      <c r="R1527" t="s">
        <v>2633</v>
      </c>
      <c r="S1527">
        <v>37</v>
      </c>
      <c r="T1527" s="43" t="str">
        <f t="shared" si="63"/>
        <v>2021.010B.R.Binomial_names.zip</v>
      </c>
      <c r="U1527" s="43" t="str">
        <f>HYPERLINK("https://ictv.global/taxonomy/taxondetails?taxnode_id=202211737","ictv.global=202211737")</f>
        <v>ictv.global=202211737</v>
      </c>
    </row>
    <row r="1528" spans="1:21">
      <c r="A1528">
        <v>1527</v>
      </c>
      <c r="B1528" s="29" t="s">
        <v>3682</v>
      </c>
      <c r="C1528" s="29"/>
      <c r="D1528" s="29" t="s">
        <v>3683</v>
      </c>
      <c r="E1528" s="29"/>
      <c r="F1528" s="29" t="s">
        <v>3686</v>
      </c>
      <c r="G1528" s="29"/>
      <c r="H1528" s="29" t="s">
        <v>3687</v>
      </c>
      <c r="I1528" s="29"/>
      <c r="J1528" s="29"/>
      <c r="K1528" s="29"/>
      <c r="L1528" s="29" t="s">
        <v>4617</v>
      </c>
      <c r="M1528" s="29" t="s">
        <v>4618</v>
      </c>
      <c r="N1528" s="29" t="s">
        <v>4619</v>
      </c>
      <c r="O1528" s="29"/>
      <c r="P1528" s="29" t="s">
        <v>8624</v>
      </c>
      <c r="Q1528" t="s">
        <v>2038</v>
      </c>
      <c r="R1528" t="s">
        <v>2633</v>
      </c>
      <c r="S1528">
        <v>37</v>
      </c>
      <c r="T1528" s="43" t="str">
        <f t="shared" si="63"/>
        <v>2021.010B.R.Binomial_names.zip</v>
      </c>
      <c r="U1528" s="43" t="str">
        <f>HYPERLINK("https://ictv.global/taxonomy/taxondetails?taxnode_id=202211738","ictv.global=202211738")</f>
        <v>ictv.global=202211738</v>
      </c>
    </row>
    <row r="1529" spans="1:21">
      <c r="A1529">
        <v>1528</v>
      </c>
      <c r="B1529" s="29" t="s">
        <v>3682</v>
      </c>
      <c r="C1529" s="29"/>
      <c r="D1529" s="29" t="s">
        <v>3683</v>
      </c>
      <c r="E1529" s="29"/>
      <c r="F1529" s="29" t="s">
        <v>3686</v>
      </c>
      <c r="G1529" s="29"/>
      <c r="H1529" s="29" t="s">
        <v>3687</v>
      </c>
      <c r="I1529" s="29"/>
      <c r="J1529" s="29"/>
      <c r="K1529" s="29"/>
      <c r="L1529" s="29" t="s">
        <v>4617</v>
      </c>
      <c r="M1529" s="29" t="s">
        <v>4618</v>
      </c>
      <c r="N1529" s="29" t="s">
        <v>4619</v>
      </c>
      <c r="O1529" s="29"/>
      <c r="P1529" s="29" t="s">
        <v>8625</v>
      </c>
      <c r="Q1529" t="s">
        <v>2038</v>
      </c>
      <c r="R1529" t="s">
        <v>2632</v>
      </c>
      <c r="S1529">
        <v>37</v>
      </c>
      <c r="T1529" s="43" t="str">
        <f>HYPERLINK("https://ictv.global/ictv/proposals/2021.017B.R.Claudivirus.zip","2021.017B.R.Claudivirus.zip")</f>
        <v>2021.017B.R.Claudivirus.zip</v>
      </c>
      <c r="U1529" s="43" t="str">
        <f>HYPERLINK("https://ictv.global/taxonomy/taxondetails?taxnode_id=202213048","ictv.global=202213048")</f>
        <v>ictv.global=202213048</v>
      </c>
    </row>
    <row r="1530" spans="1:21">
      <c r="A1530">
        <v>1529</v>
      </c>
      <c r="B1530" s="29" t="s">
        <v>3682</v>
      </c>
      <c r="C1530" s="29"/>
      <c r="D1530" s="29" t="s">
        <v>3683</v>
      </c>
      <c r="E1530" s="29"/>
      <c r="F1530" s="29" t="s">
        <v>3686</v>
      </c>
      <c r="G1530" s="29"/>
      <c r="H1530" s="29" t="s">
        <v>3687</v>
      </c>
      <c r="I1530" s="29"/>
      <c r="J1530" s="29"/>
      <c r="K1530" s="29"/>
      <c r="L1530" s="29" t="s">
        <v>4617</v>
      </c>
      <c r="M1530" s="29" t="s">
        <v>4618</v>
      </c>
      <c r="N1530" s="29" t="s">
        <v>4620</v>
      </c>
      <c r="O1530" s="29"/>
      <c r="P1530" s="29" t="s">
        <v>8626</v>
      </c>
      <c r="Q1530" t="s">
        <v>2038</v>
      </c>
      <c r="R1530" t="s">
        <v>2633</v>
      </c>
      <c r="S1530">
        <v>37</v>
      </c>
      <c r="T1530" s="43" t="str">
        <f t="shared" ref="T1530:T1545" si="64">HYPERLINK("https://ictv.global/ictv/proposals/2021.010B.R.Binomial_names.zip","2021.010B.R.Binomial_names.zip")</f>
        <v>2021.010B.R.Binomial_names.zip</v>
      </c>
      <c r="U1530" s="43" t="str">
        <f>HYPERLINK("https://ictv.global/taxonomy/taxondetails?taxnode_id=202211746","ictv.global=202211746")</f>
        <v>ictv.global=202211746</v>
      </c>
    </row>
    <row r="1531" spans="1:21">
      <c r="A1531">
        <v>1530</v>
      </c>
      <c r="B1531" s="29" t="s">
        <v>3682</v>
      </c>
      <c r="C1531" s="29"/>
      <c r="D1531" s="29" t="s">
        <v>3683</v>
      </c>
      <c r="E1531" s="29"/>
      <c r="F1531" s="29" t="s">
        <v>3686</v>
      </c>
      <c r="G1531" s="29"/>
      <c r="H1531" s="29" t="s">
        <v>3687</v>
      </c>
      <c r="I1531" s="29"/>
      <c r="J1531" s="29"/>
      <c r="K1531" s="29"/>
      <c r="L1531" s="29" t="s">
        <v>4617</v>
      </c>
      <c r="M1531" s="29" t="s">
        <v>4618</v>
      </c>
      <c r="N1531" s="29" t="s">
        <v>4620</v>
      </c>
      <c r="O1531" s="29"/>
      <c r="P1531" s="29" t="s">
        <v>8627</v>
      </c>
      <c r="Q1531" t="s">
        <v>2038</v>
      </c>
      <c r="R1531" t="s">
        <v>2633</v>
      </c>
      <c r="S1531">
        <v>37</v>
      </c>
      <c r="T1531" s="43" t="str">
        <f t="shared" si="64"/>
        <v>2021.010B.R.Binomial_names.zip</v>
      </c>
      <c r="U1531" s="43" t="str">
        <f>HYPERLINK("https://ictv.global/taxonomy/taxondetails?taxnode_id=202211747","ictv.global=202211747")</f>
        <v>ictv.global=202211747</v>
      </c>
    </row>
    <row r="1532" spans="1:21">
      <c r="A1532">
        <v>1531</v>
      </c>
      <c r="B1532" s="29" t="s">
        <v>3682</v>
      </c>
      <c r="C1532" s="29"/>
      <c r="D1532" s="29" t="s">
        <v>3683</v>
      </c>
      <c r="E1532" s="29"/>
      <c r="F1532" s="29" t="s">
        <v>3686</v>
      </c>
      <c r="G1532" s="29"/>
      <c r="H1532" s="29" t="s">
        <v>3687</v>
      </c>
      <c r="I1532" s="29"/>
      <c r="J1532" s="29"/>
      <c r="K1532" s="29"/>
      <c r="L1532" s="29" t="s">
        <v>4617</v>
      </c>
      <c r="M1532" s="29" t="s">
        <v>4618</v>
      </c>
      <c r="N1532" s="29" t="s">
        <v>4620</v>
      </c>
      <c r="O1532" s="29"/>
      <c r="P1532" s="29" t="s">
        <v>8628</v>
      </c>
      <c r="Q1532" t="s">
        <v>2038</v>
      </c>
      <c r="R1532" t="s">
        <v>2633</v>
      </c>
      <c r="S1532">
        <v>37</v>
      </c>
      <c r="T1532" s="43" t="str">
        <f t="shared" si="64"/>
        <v>2021.010B.R.Binomial_names.zip</v>
      </c>
      <c r="U1532" s="43" t="str">
        <f>HYPERLINK("https://ictv.global/taxonomy/taxondetails?taxnode_id=202211748","ictv.global=202211748")</f>
        <v>ictv.global=202211748</v>
      </c>
    </row>
    <row r="1533" spans="1:21">
      <c r="A1533">
        <v>1532</v>
      </c>
      <c r="B1533" s="29" t="s">
        <v>3682</v>
      </c>
      <c r="C1533" s="29"/>
      <c r="D1533" s="29" t="s">
        <v>3683</v>
      </c>
      <c r="E1533" s="29"/>
      <c r="F1533" s="29" t="s">
        <v>3686</v>
      </c>
      <c r="G1533" s="29"/>
      <c r="H1533" s="29" t="s">
        <v>3687</v>
      </c>
      <c r="I1533" s="29"/>
      <c r="J1533" s="29"/>
      <c r="K1533" s="29"/>
      <c r="L1533" s="29" t="s">
        <v>4617</v>
      </c>
      <c r="M1533" s="29" t="s">
        <v>4618</v>
      </c>
      <c r="N1533" s="29" t="s">
        <v>4621</v>
      </c>
      <c r="O1533" s="29"/>
      <c r="P1533" s="29" t="s">
        <v>8629</v>
      </c>
      <c r="Q1533" t="s">
        <v>2038</v>
      </c>
      <c r="R1533" t="s">
        <v>2633</v>
      </c>
      <c r="S1533">
        <v>37</v>
      </c>
      <c r="T1533" s="43" t="str">
        <f t="shared" si="64"/>
        <v>2021.010B.R.Binomial_names.zip</v>
      </c>
      <c r="U1533" s="43" t="str">
        <f>HYPERLINK("https://ictv.global/taxonomy/taxondetails?taxnode_id=202211744","ictv.global=202211744")</f>
        <v>ictv.global=202211744</v>
      </c>
    </row>
    <row r="1534" spans="1:21">
      <c r="A1534">
        <v>1533</v>
      </c>
      <c r="B1534" s="29" t="s">
        <v>3682</v>
      </c>
      <c r="C1534" s="29"/>
      <c r="D1534" s="29" t="s">
        <v>3683</v>
      </c>
      <c r="E1534" s="29"/>
      <c r="F1534" s="29" t="s">
        <v>3686</v>
      </c>
      <c r="G1534" s="29"/>
      <c r="H1534" s="29" t="s">
        <v>3687</v>
      </c>
      <c r="I1534" s="29"/>
      <c r="J1534" s="29"/>
      <c r="K1534" s="29"/>
      <c r="L1534" s="29" t="s">
        <v>4617</v>
      </c>
      <c r="M1534" s="29" t="s">
        <v>527</v>
      </c>
      <c r="N1534" s="29" t="s">
        <v>4622</v>
      </c>
      <c r="O1534" s="29"/>
      <c r="P1534" s="29" t="s">
        <v>8630</v>
      </c>
      <c r="Q1534" t="s">
        <v>2038</v>
      </c>
      <c r="R1534" t="s">
        <v>2633</v>
      </c>
      <c r="S1534">
        <v>37</v>
      </c>
      <c r="T1534" s="43" t="str">
        <f t="shared" si="64"/>
        <v>2021.010B.R.Binomial_names.zip</v>
      </c>
      <c r="U1534" s="43" t="str">
        <f>HYPERLINK("https://ictv.global/taxonomy/taxondetails?taxnode_id=202200598","ictv.global=202200598")</f>
        <v>ictv.global=202200598</v>
      </c>
    </row>
    <row r="1535" spans="1:21">
      <c r="A1535">
        <v>1534</v>
      </c>
      <c r="B1535" s="29" t="s">
        <v>3682</v>
      </c>
      <c r="C1535" s="29"/>
      <c r="D1535" s="29" t="s">
        <v>3683</v>
      </c>
      <c r="E1535" s="29"/>
      <c r="F1535" s="29" t="s">
        <v>3686</v>
      </c>
      <c r="G1535" s="29"/>
      <c r="H1535" s="29" t="s">
        <v>3687</v>
      </c>
      <c r="I1535" s="29"/>
      <c r="J1535" s="29"/>
      <c r="K1535" s="29"/>
      <c r="L1535" s="29" t="s">
        <v>4617</v>
      </c>
      <c r="M1535" s="29" t="s">
        <v>527</v>
      </c>
      <c r="N1535" s="29" t="s">
        <v>4622</v>
      </c>
      <c r="O1535" s="29"/>
      <c r="P1535" s="29" t="s">
        <v>8631</v>
      </c>
      <c r="Q1535" t="s">
        <v>2038</v>
      </c>
      <c r="R1535" t="s">
        <v>2633</v>
      </c>
      <c r="S1535">
        <v>37</v>
      </c>
      <c r="T1535" s="43" t="str">
        <f t="shared" si="64"/>
        <v>2021.010B.R.Binomial_names.zip</v>
      </c>
      <c r="U1535" s="43" t="str">
        <f>HYPERLINK("https://ictv.global/taxonomy/taxondetails?taxnode_id=202211729","ictv.global=202211729")</f>
        <v>ictv.global=202211729</v>
      </c>
    </row>
    <row r="1536" spans="1:21">
      <c r="A1536">
        <v>1535</v>
      </c>
      <c r="B1536" s="29" t="s">
        <v>3682</v>
      </c>
      <c r="C1536" s="29"/>
      <c r="D1536" s="29" t="s">
        <v>3683</v>
      </c>
      <c r="E1536" s="29"/>
      <c r="F1536" s="29" t="s">
        <v>3686</v>
      </c>
      <c r="G1536" s="29"/>
      <c r="H1536" s="29" t="s">
        <v>3687</v>
      </c>
      <c r="I1536" s="29"/>
      <c r="J1536" s="29"/>
      <c r="K1536" s="29"/>
      <c r="L1536" s="29" t="s">
        <v>4617</v>
      </c>
      <c r="M1536" s="29" t="s">
        <v>527</v>
      </c>
      <c r="N1536" s="29" t="s">
        <v>4622</v>
      </c>
      <c r="O1536" s="29"/>
      <c r="P1536" s="29" t="s">
        <v>8632</v>
      </c>
      <c r="Q1536" t="s">
        <v>2038</v>
      </c>
      <c r="R1536" t="s">
        <v>2633</v>
      </c>
      <c r="S1536">
        <v>37</v>
      </c>
      <c r="T1536" s="43" t="str">
        <f t="shared" si="64"/>
        <v>2021.010B.R.Binomial_names.zip</v>
      </c>
      <c r="U1536" s="43" t="str">
        <f>HYPERLINK("https://ictv.global/taxonomy/taxondetails?taxnode_id=202211730","ictv.global=202211730")</f>
        <v>ictv.global=202211730</v>
      </c>
    </row>
    <row r="1537" spans="1:21">
      <c r="A1537">
        <v>1536</v>
      </c>
      <c r="B1537" s="29" t="s">
        <v>3682</v>
      </c>
      <c r="C1537" s="29"/>
      <c r="D1537" s="29" t="s">
        <v>3683</v>
      </c>
      <c r="E1537" s="29"/>
      <c r="F1537" s="29" t="s">
        <v>3686</v>
      </c>
      <c r="G1537" s="29"/>
      <c r="H1537" s="29" t="s">
        <v>3687</v>
      </c>
      <c r="I1537" s="29"/>
      <c r="J1537" s="29"/>
      <c r="K1537" s="29"/>
      <c r="L1537" s="29" t="s">
        <v>4617</v>
      </c>
      <c r="M1537" s="29" t="s">
        <v>527</v>
      </c>
      <c r="N1537" s="29" t="s">
        <v>3456</v>
      </c>
      <c r="O1537" s="29"/>
      <c r="P1537" s="29" t="s">
        <v>8633</v>
      </c>
      <c r="Q1537" t="s">
        <v>2038</v>
      </c>
      <c r="R1537" t="s">
        <v>2633</v>
      </c>
      <c r="S1537">
        <v>37</v>
      </c>
      <c r="T1537" s="43" t="str">
        <f t="shared" si="64"/>
        <v>2021.010B.R.Binomial_names.zip</v>
      </c>
      <c r="U1537" s="43" t="str">
        <f>HYPERLINK("https://ictv.global/taxonomy/taxondetails?taxnode_id=202211732","ictv.global=202211732")</f>
        <v>ictv.global=202211732</v>
      </c>
    </row>
    <row r="1538" spans="1:21">
      <c r="A1538">
        <v>1537</v>
      </c>
      <c r="B1538" s="29" t="s">
        <v>3682</v>
      </c>
      <c r="C1538" s="29"/>
      <c r="D1538" s="29" t="s">
        <v>3683</v>
      </c>
      <c r="E1538" s="29"/>
      <c r="F1538" s="29" t="s">
        <v>3686</v>
      </c>
      <c r="G1538" s="29"/>
      <c r="H1538" s="29" t="s">
        <v>3687</v>
      </c>
      <c r="I1538" s="29"/>
      <c r="J1538" s="29"/>
      <c r="K1538" s="29"/>
      <c r="L1538" s="29" t="s">
        <v>4617</v>
      </c>
      <c r="M1538" s="29" t="s">
        <v>527</v>
      </c>
      <c r="N1538" s="29" t="s">
        <v>3456</v>
      </c>
      <c r="O1538" s="29"/>
      <c r="P1538" s="29" t="s">
        <v>8634</v>
      </c>
      <c r="Q1538" t="s">
        <v>2038</v>
      </c>
      <c r="R1538" t="s">
        <v>2633</v>
      </c>
      <c r="S1538">
        <v>37</v>
      </c>
      <c r="T1538" s="43" t="str">
        <f t="shared" si="64"/>
        <v>2021.010B.R.Binomial_names.zip</v>
      </c>
      <c r="U1538" s="43" t="str">
        <f>HYPERLINK("https://ictv.global/taxonomy/taxondetails?taxnode_id=202211733","ictv.global=202211733")</f>
        <v>ictv.global=202211733</v>
      </c>
    </row>
    <row r="1539" spans="1:21">
      <c r="A1539">
        <v>1538</v>
      </c>
      <c r="B1539" s="29" t="s">
        <v>3682</v>
      </c>
      <c r="C1539" s="29"/>
      <c r="D1539" s="29" t="s">
        <v>3683</v>
      </c>
      <c r="E1539" s="29"/>
      <c r="F1539" s="29" t="s">
        <v>3686</v>
      </c>
      <c r="G1539" s="29"/>
      <c r="H1539" s="29" t="s">
        <v>3687</v>
      </c>
      <c r="I1539" s="29"/>
      <c r="J1539" s="29"/>
      <c r="K1539" s="29"/>
      <c r="L1539" s="29" t="s">
        <v>4617</v>
      </c>
      <c r="M1539" s="29" t="s">
        <v>527</v>
      </c>
      <c r="N1539" s="29" t="s">
        <v>3456</v>
      </c>
      <c r="O1539" s="29"/>
      <c r="P1539" s="29" t="s">
        <v>8635</v>
      </c>
      <c r="Q1539" t="s">
        <v>2038</v>
      </c>
      <c r="R1539" t="s">
        <v>2633</v>
      </c>
      <c r="S1539">
        <v>37</v>
      </c>
      <c r="T1539" s="43" t="str">
        <f t="shared" si="64"/>
        <v>2021.010B.R.Binomial_names.zip</v>
      </c>
      <c r="U1539" s="43" t="str">
        <f>HYPERLINK("https://ictv.global/taxonomy/taxondetails?taxnode_id=202200600","ictv.global=202200600")</f>
        <v>ictv.global=202200600</v>
      </c>
    </row>
    <row r="1540" spans="1:21">
      <c r="A1540">
        <v>1539</v>
      </c>
      <c r="B1540" s="29" t="s">
        <v>3682</v>
      </c>
      <c r="C1540" s="29"/>
      <c r="D1540" s="29" t="s">
        <v>3683</v>
      </c>
      <c r="E1540" s="29"/>
      <c r="F1540" s="29" t="s">
        <v>3686</v>
      </c>
      <c r="G1540" s="29"/>
      <c r="H1540" s="29" t="s">
        <v>3687</v>
      </c>
      <c r="I1540" s="29"/>
      <c r="J1540" s="29"/>
      <c r="K1540" s="29"/>
      <c r="L1540" s="29" t="s">
        <v>4617</v>
      </c>
      <c r="M1540" s="29" t="s">
        <v>527</v>
      </c>
      <c r="N1540" s="29" t="s">
        <v>3456</v>
      </c>
      <c r="O1540" s="29"/>
      <c r="P1540" s="29" t="s">
        <v>8636</v>
      </c>
      <c r="Q1540" t="s">
        <v>2038</v>
      </c>
      <c r="R1540" t="s">
        <v>2633</v>
      </c>
      <c r="S1540">
        <v>37</v>
      </c>
      <c r="T1540" s="43" t="str">
        <f t="shared" si="64"/>
        <v>2021.010B.R.Binomial_names.zip</v>
      </c>
      <c r="U1540" s="43" t="str">
        <f>HYPERLINK("https://ictv.global/taxonomy/taxondetails?taxnode_id=202211731","ictv.global=202211731")</f>
        <v>ictv.global=202211731</v>
      </c>
    </row>
    <row r="1541" spans="1:21">
      <c r="A1541">
        <v>1540</v>
      </c>
      <c r="B1541" s="29" t="s">
        <v>3682</v>
      </c>
      <c r="C1541" s="29"/>
      <c r="D1541" s="29" t="s">
        <v>3683</v>
      </c>
      <c r="E1541" s="29"/>
      <c r="F1541" s="29" t="s">
        <v>3686</v>
      </c>
      <c r="G1541" s="29"/>
      <c r="H1541" s="29" t="s">
        <v>3687</v>
      </c>
      <c r="I1541" s="29"/>
      <c r="J1541" s="29"/>
      <c r="K1541" s="29"/>
      <c r="L1541" s="29" t="s">
        <v>4617</v>
      </c>
      <c r="M1541" s="29" t="s">
        <v>4623</v>
      </c>
      <c r="N1541" s="29" t="s">
        <v>4624</v>
      </c>
      <c r="O1541" s="29"/>
      <c r="P1541" s="29" t="s">
        <v>8637</v>
      </c>
      <c r="Q1541" t="s">
        <v>2038</v>
      </c>
      <c r="R1541" t="s">
        <v>2633</v>
      </c>
      <c r="S1541">
        <v>37</v>
      </c>
      <c r="T1541" s="43" t="str">
        <f t="shared" si="64"/>
        <v>2021.010B.R.Binomial_names.zip</v>
      </c>
      <c r="U1541" s="43" t="str">
        <f>HYPERLINK("https://ictv.global/taxonomy/taxondetails?taxnode_id=202200599","ictv.global=202200599")</f>
        <v>ictv.global=202200599</v>
      </c>
    </row>
    <row r="1542" spans="1:21">
      <c r="A1542">
        <v>1541</v>
      </c>
      <c r="B1542" s="29" t="s">
        <v>3682</v>
      </c>
      <c r="C1542" s="29"/>
      <c r="D1542" s="29" t="s">
        <v>3683</v>
      </c>
      <c r="E1542" s="29"/>
      <c r="F1542" s="29" t="s">
        <v>3686</v>
      </c>
      <c r="G1542" s="29"/>
      <c r="H1542" s="29" t="s">
        <v>3687</v>
      </c>
      <c r="I1542" s="29"/>
      <c r="J1542" s="29"/>
      <c r="K1542" s="29"/>
      <c r="L1542" s="29" t="s">
        <v>4617</v>
      </c>
      <c r="M1542" s="29" t="s">
        <v>4623</v>
      </c>
      <c r="N1542" s="29" t="s">
        <v>4624</v>
      </c>
      <c r="O1542" s="29"/>
      <c r="P1542" s="29" t="s">
        <v>8638</v>
      </c>
      <c r="Q1542" t="s">
        <v>2038</v>
      </c>
      <c r="R1542" t="s">
        <v>2633</v>
      </c>
      <c r="S1542">
        <v>37</v>
      </c>
      <c r="T1542" s="43" t="str">
        <f t="shared" si="64"/>
        <v>2021.010B.R.Binomial_names.zip</v>
      </c>
      <c r="U1542" s="43" t="str">
        <f>HYPERLINK("https://ictv.global/taxonomy/taxondetails?taxnode_id=202211753","ictv.global=202211753")</f>
        <v>ictv.global=202211753</v>
      </c>
    </row>
    <row r="1543" spans="1:21">
      <c r="A1543">
        <v>1542</v>
      </c>
      <c r="B1543" s="29" t="s">
        <v>3682</v>
      </c>
      <c r="C1543" s="29"/>
      <c r="D1543" s="29" t="s">
        <v>3683</v>
      </c>
      <c r="E1543" s="29"/>
      <c r="F1543" s="29" t="s">
        <v>3686</v>
      </c>
      <c r="G1543" s="29"/>
      <c r="H1543" s="29" t="s">
        <v>3687</v>
      </c>
      <c r="I1543" s="29"/>
      <c r="J1543" s="29"/>
      <c r="K1543" s="29"/>
      <c r="L1543" s="29" t="s">
        <v>4617</v>
      </c>
      <c r="M1543" s="29" t="s">
        <v>4623</v>
      </c>
      <c r="N1543" s="29" t="s">
        <v>4625</v>
      </c>
      <c r="O1543" s="29"/>
      <c r="P1543" s="29" t="s">
        <v>8639</v>
      </c>
      <c r="Q1543" t="s">
        <v>2038</v>
      </c>
      <c r="R1543" t="s">
        <v>2633</v>
      </c>
      <c r="S1543">
        <v>37</v>
      </c>
      <c r="T1543" s="43" t="str">
        <f t="shared" si="64"/>
        <v>2021.010B.R.Binomial_names.zip</v>
      </c>
      <c r="U1543" s="43" t="str">
        <f>HYPERLINK("https://ictv.global/taxonomy/taxondetails?taxnode_id=202211751","ictv.global=202211751")</f>
        <v>ictv.global=202211751</v>
      </c>
    </row>
    <row r="1544" spans="1:21">
      <c r="A1544">
        <v>1543</v>
      </c>
      <c r="B1544" s="29" t="s">
        <v>3682</v>
      </c>
      <c r="C1544" s="29"/>
      <c r="D1544" s="29" t="s">
        <v>3683</v>
      </c>
      <c r="E1544" s="29"/>
      <c r="F1544" s="29" t="s">
        <v>3686</v>
      </c>
      <c r="G1544" s="29"/>
      <c r="H1544" s="29" t="s">
        <v>3687</v>
      </c>
      <c r="I1544" s="29"/>
      <c r="J1544" s="29"/>
      <c r="K1544" s="29"/>
      <c r="L1544" s="29" t="s">
        <v>4617</v>
      </c>
      <c r="M1544" s="29"/>
      <c r="N1544" s="29" t="s">
        <v>4626</v>
      </c>
      <c r="O1544" s="29"/>
      <c r="P1544" s="29" t="s">
        <v>8640</v>
      </c>
      <c r="Q1544" t="s">
        <v>2038</v>
      </c>
      <c r="R1544" t="s">
        <v>2633</v>
      </c>
      <c r="S1544">
        <v>37</v>
      </c>
      <c r="T1544" s="43" t="str">
        <f t="shared" si="64"/>
        <v>2021.010B.R.Binomial_names.zip</v>
      </c>
      <c r="U1544" s="43" t="str">
        <f>HYPERLINK("https://ictv.global/taxonomy/taxondetails?taxnode_id=202211755","ictv.global=202211755")</f>
        <v>ictv.global=202211755</v>
      </c>
    </row>
    <row r="1545" spans="1:21">
      <c r="A1545">
        <v>1544</v>
      </c>
      <c r="B1545" s="29" t="s">
        <v>3682</v>
      </c>
      <c r="C1545" s="29"/>
      <c r="D1545" s="29" t="s">
        <v>3683</v>
      </c>
      <c r="E1545" s="29"/>
      <c r="F1545" s="29" t="s">
        <v>3686</v>
      </c>
      <c r="G1545" s="29"/>
      <c r="H1545" s="29" t="s">
        <v>3687</v>
      </c>
      <c r="I1545" s="29"/>
      <c r="J1545" s="29"/>
      <c r="K1545" s="29"/>
      <c r="L1545" s="29" t="s">
        <v>4617</v>
      </c>
      <c r="M1545" s="29"/>
      <c r="N1545" s="29" t="s">
        <v>4626</v>
      </c>
      <c r="O1545" s="29"/>
      <c r="P1545" s="29" t="s">
        <v>8641</v>
      </c>
      <c r="Q1545" t="s">
        <v>2038</v>
      </c>
      <c r="R1545" t="s">
        <v>2633</v>
      </c>
      <c r="S1545">
        <v>37</v>
      </c>
      <c r="T1545" s="43" t="str">
        <f t="shared" si="64"/>
        <v>2021.010B.R.Binomial_names.zip</v>
      </c>
      <c r="U1545" s="43" t="str">
        <f>HYPERLINK("https://ictv.global/taxonomy/taxondetails?taxnode_id=202211756","ictv.global=202211756")</f>
        <v>ictv.global=202211756</v>
      </c>
    </row>
    <row r="1546" spans="1:21">
      <c r="A1546">
        <v>1545</v>
      </c>
      <c r="B1546" s="29" t="s">
        <v>3682</v>
      </c>
      <c r="C1546" s="29"/>
      <c r="D1546" s="29" t="s">
        <v>3683</v>
      </c>
      <c r="E1546" s="29"/>
      <c r="F1546" s="29" t="s">
        <v>3686</v>
      </c>
      <c r="G1546" s="29"/>
      <c r="H1546" s="29" t="s">
        <v>3687</v>
      </c>
      <c r="I1546" s="29"/>
      <c r="J1546" s="29"/>
      <c r="K1546" s="29"/>
      <c r="L1546" s="29" t="s">
        <v>4617</v>
      </c>
      <c r="M1546" s="29"/>
      <c r="N1546" s="29" t="s">
        <v>4626</v>
      </c>
      <c r="O1546" s="29"/>
      <c r="P1546" s="29" t="s">
        <v>8642</v>
      </c>
      <c r="Q1546" t="s">
        <v>2038</v>
      </c>
      <c r="R1546" t="s">
        <v>2632</v>
      </c>
      <c r="S1546">
        <v>37</v>
      </c>
      <c r="T1546" s="43" t="str">
        <f>HYPERLINK("https://ictv.global/ictv/proposals/2021.014B.R.Bundooravirus.zip","2021.014B.R.Bundooravirus.zip")</f>
        <v>2021.014B.R.Bundooravirus.zip</v>
      </c>
      <c r="U1546" s="43" t="str">
        <f>HYPERLINK("https://ictv.global/taxonomy/taxondetails?taxnode_id=202212983","ictv.global=202212983")</f>
        <v>ictv.global=202212983</v>
      </c>
    </row>
    <row r="1547" spans="1:21">
      <c r="A1547">
        <v>1546</v>
      </c>
      <c r="B1547" s="29" t="s">
        <v>3682</v>
      </c>
      <c r="C1547" s="29"/>
      <c r="D1547" s="29" t="s">
        <v>3683</v>
      </c>
      <c r="E1547" s="29"/>
      <c r="F1547" s="29" t="s">
        <v>3686</v>
      </c>
      <c r="G1547" s="29"/>
      <c r="H1547" s="29" t="s">
        <v>3687</v>
      </c>
      <c r="I1547" s="29"/>
      <c r="J1547" s="29"/>
      <c r="K1547" s="29"/>
      <c r="L1547" s="29" t="s">
        <v>4617</v>
      </c>
      <c r="M1547" s="29"/>
      <c r="N1547" s="29" t="s">
        <v>3453</v>
      </c>
      <c r="O1547" s="29"/>
      <c r="P1547" s="29" t="s">
        <v>8643</v>
      </c>
      <c r="Q1547" t="s">
        <v>2038</v>
      </c>
      <c r="R1547" t="s">
        <v>2633</v>
      </c>
      <c r="S1547">
        <v>37</v>
      </c>
      <c r="T1547" s="43" t="str">
        <f>HYPERLINK("https://ictv.global/ictv/proposals/2021.010B.R.Binomial_names.zip","2021.010B.R.Binomial_names.zip")</f>
        <v>2021.010B.R.Binomial_names.zip</v>
      </c>
      <c r="U1547" s="43" t="str">
        <f>HYPERLINK("https://ictv.global/taxonomy/taxondetails?taxnode_id=202200592","ictv.global=202200592")</f>
        <v>ictv.global=202200592</v>
      </c>
    </row>
    <row r="1548" spans="1:21">
      <c r="A1548">
        <v>1547</v>
      </c>
      <c r="B1548" s="29" t="s">
        <v>3682</v>
      </c>
      <c r="C1548" s="29"/>
      <c r="D1548" s="29" t="s">
        <v>3683</v>
      </c>
      <c r="E1548" s="29"/>
      <c r="F1548" s="29" t="s">
        <v>3686</v>
      </c>
      <c r="G1548" s="29"/>
      <c r="H1548" s="29" t="s">
        <v>3687</v>
      </c>
      <c r="I1548" s="29"/>
      <c r="J1548" s="29"/>
      <c r="K1548" s="29"/>
      <c r="L1548" s="29" t="s">
        <v>4617</v>
      </c>
      <c r="M1548" s="29"/>
      <c r="N1548" s="29" t="s">
        <v>3453</v>
      </c>
      <c r="O1548" s="29"/>
      <c r="P1548" s="29" t="s">
        <v>8644</v>
      </c>
      <c r="Q1548" t="s">
        <v>2038</v>
      </c>
      <c r="R1548" t="s">
        <v>2633</v>
      </c>
      <c r="S1548">
        <v>37</v>
      </c>
      <c r="T1548" s="43" t="str">
        <f>HYPERLINK("https://ictv.global/ictv/proposals/2021.010B.R.Binomial_names.zip","2021.010B.R.Binomial_names.zip")</f>
        <v>2021.010B.R.Binomial_names.zip</v>
      </c>
      <c r="U1548" s="43" t="str">
        <f>HYPERLINK("https://ictv.global/taxonomy/taxondetails?taxnode_id=202200593","ictv.global=202200593")</f>
        <v>ictv.global=202200593</v>
      </c>
    </row>
    <row r="1549" spans="1:21">
      <c r="A1549">
        <v>1548</v>
      </c>
      <c r="B1549" s="29" t="s">
        <v>3682</v>
      </c>
      <c r="C1549" s="29"/>
      <c r="D1549" s="29" t="s">
        <v>3683</v>
      </c>
      <c r="E1549" s="29"/>
      <c r="F1549" s="29" t="s">
        <v>3686</v>
      </c>
      <c r="G1549" s="29"/>
      <c r="H1549" s="29" t="s">
        <v>3687</v>
      </c>
      <c r="I1549" s="29"/>
      <c r="J1549" s="29"/>
      <c r="K1549" s="29"/>
      <c r="L1549" s="29" t="s">
        <v>4617</v>
      </c>
      <c r="M1549" s="29"/>
      <c r="N1549" s="29" t="s">
        <v>4627</v>
      </c>
      <c r="O1549" s="29"/>
      <c r="P1549" s="29" t="s">
        <v>8645</v>
      </c>
      <c r="Q1549" t="s">
        <v>2038</v>
      </c>
      <c r="R1549" t="s">
        <v>2633</v>
      </c>
      <c r="S1549">
        <v>37</v>
      </c>
      <c r="T1549" s="43" t="str">
        <f>HYPERLINK("https://ictv.global/ictv/proposals/2021.010B.R.Binomial_names.zip","2021.010B.R.Binomial_names.zip")</f>
        <v>2021.010B.R.Binomial_names.zip</v>
      </c>
      <c r="U1549" s="43" t="str">
        <f>HYPERLINK("https://ictv.global/taxonomy/taxondetails?taxnode_id=202211761","ictv.global=202211761")</f>
        <v>ictv.global=202211761</v>
      </c>
    </row>
    <row r="1550" spans="1:21">
      <c r="A1550">
        <v>1549</v>
      </c>
      <c r="B1550" s="29" t="s">
        <v>3682</v>
      </c>
      <c r="C1550" s="29"/>
      <c r="D1550" s="29" t="s">
        <v>3683</v>
      </c>
      <c r="E1550" s="29"/>
      <c r="F1550" s="29" t="s">
        <v>3686</v>
      </c>
      <c r="G1550" s="29"/>
      <c r="H1550" s="29" t="s">
        <v>3687</v>
      </c>
      <c r="I1550" s="29"/>
      <c r="J1550" s="29"/>
      <c r="K1550" s="29"/>
      <c r="L1550" s="29" t="s">
        <v>4617</v>
      </c>
      <c r="M1550" s="29"/>
      <c r="N1550" s="29" t="s">
        <v>4627</v>
      </c>
      <c r="O1550" s="29"/>
      <c r="P1550" s="29" t="s">
        <v>8646</v>
      </c>
      <c r="Q1550" t="s">
        <v>2038</v>
      </c>
      <c r="R1550" t="s">
        <v>2633</v>
      </c>
      <c r="S1550">
        <v>37</v>
      </c>
      <c r="T1550" s="43" t="str">
        <f>HYPERLINK("https://ictv.global/ictv/proposals/2021.010B.R.Binomial_names.zip","2021.010B.R.Binomial_names.zip")</f>
        <v>2021.010B.R.Binomial_names.zip</v>
      </c>
      <c r="U1550" s="43" t="str">
        <f>HYPERLINK("https://ictv.global/taxonomy/taxondetails?taxnode_id=202211760","ictv.global=202211760")</f>
        <v>ictv.global=202211760</v>
      </c>
    </row>
    <row r="1551" spans="1:21">
      <c r="A1551">
        <v>1550</v>
      </c>
      <c r="B1551" s="29" t="s">
        <v>3682</v>
      </c>
      <c r="C1551" s="29"/>
      <c r="D1551" s="29" t="s">
        <v>3683</v>
      </c>
      <c r="E1551" s="29"/>
      <c r="F1551" s="29" t="s">
        <v>3686</v>
      </c>
      <c r="G1551" s="29"/>
      <c r="H1551" s="29" t="s">
        <v>3687</v>
      </c>
      <c r="I1551" s="29"/>
      <c r="J1551" s="29"/>
      <c r="K1551" s="29"/>
      <c r="L1551" s="29" t="s">
        <v>4617</v>
      </c>
      <c r="M1551" s="29"/>
      <c r="N1551" s="29" t="s">
        <v>8647</v>
      </c>
      <c r="O1551" s="29"/>
      <c r="P1551" s="29" t="s">
        <v>8648</v>
      </c>
      <c r="Q1551" t="s">
        <v>2038</v>
      </c>
      <c r="R1551" t="s">
        <v>2632</v>
      </c>
      <c r="S1551">
        <v>37</v>
      </c>
      <c r="T1551" s="43" t="str">
        <f>HYPERLINK("https://ictv.global/ictv/proposals/2021.037B.R.Huangshavirus.zip","2021.037B.R.Huangshavirus.zip")</f>
        <v>2021.037B.R.Huangshavirus.zip</v>
      </c>
      <c r="U1551" s="43" t="str">
        <f>HYPERLINK("https://ictv.global/taxonomy/taxondetails?taxnode_id=202212346","ictv.global=202212346")</f>
        <v>ictv.global=202212346</v>
      </c>
    </row>
    <row r="1552" spans="1:21">
      <c r="A1552">
        <v>1551</v>
      </c>
      <c r="B1552" s="29" t="s">
        <v>3682</v>
      </c>
      <c r="C1552" s="29"/>
      <c r="D1552" s="29" t="s">
        <v>3683</v>
      </c>
      <c r="E1552" s="29"/>
      <c r="F1552" s="29" t="s">
        <v>3686</v>
      </c>
      <c r="G1552" s="29"/>
      <c r="H1552" s="29" t="s">
        <v>3687</v>
      </c>
      <c r="I1552" s="29"/>
      <c r="J1552" s="29"/>
      <c r="K1552" s="29"/>
      <c r="L1552" s="29" t="s">
        <v>4617</v>
      </c>
      <c r="M1552" s="29"/>
      <c r="N1552" s="29" t="s">
        <v>4628</v>
      </c>
      <c r="O1552" s="29"/>
      <c r="P1552" s="29" t="s">
        <v>8649</v>
      </c>
      <c r="Q1552" t="s">
        <v>2038</v>
      </c>
      <c r="R1552" t="s">
        <v>2633</v>
      </c>
      <c r="S1552">
        <v>37</v>
      </c>
      <c r="T1552" s="43" t="str">
        <f>HYPERLINK("https://ictv.global/ictv/proposals/2021.010B.R.Binomial_names.zip","2021.010B.R.Binomial_names.zip")</f>
        <v>2021.010B.R.Binomial_names.zip</v>
      </c>
      <c r="U1552" s="43" t="str">
        <f>HYPERLINK("https://ictv.global/taxonomy/taxondetails?taxnode_id=202211758","ictv.global=202211758")</f>
        <v>ictv.global=202211758</v>
      </c>
    </row>
    <row r="1553" spans="1:21">
      <c r="A1553">
        <v>1552</v>
      </c>
      <c r="B1553" s="29" t="s">
        <v>3682</v>
      </c>
      <c r="C1553" s="29"/>
      <c r="D1553" s="29" t="s">
        <v>3683</v>
      </c>
      <c r="E1553" s="29"/>
      <c r="F1553" s="29" t="s">
        <v>3686</v>
      </c>
      <c r="G1553" s="29"/>
      <c r="H1553" s="29" t="s">
        <v>3687</v>
      </c>
      <c r="I1553" s="29"/>
      <c r="J1553" s="29"/>
      <c r="K1553" s="29"/>
      <c r="L1553" s="29" t="s">
        <v>8650</v>
      </c>
      <c r="M1553" s="29"/>
      <c r="N1553" s="29" t="s">
        <v>8651</v>
      </c>
      <c r="O1553" s="29"/>
      <c r="P1553" s="29" t="s">
        <v>8652</v>
      </c>
      <c r="Q1553" t="s">
        <v>2038</v>
      </c>
      <c r="R1553" t="s">
        <v>2632</v>
      </c>
      <c r="S1553">
        <v>37</v>
      </c>
      <c r="T1553" s="43" t="str">
        <f>HYPERLINK("https://ictv.global/ictv/proposals/2021.001A.R.Archaeal_Caudoviricetes.zip","2021.001A.R.Archaeal_Caudoviricetes.zip")</f>
        <v>2021.001A.R.Archaeal_Caudoviricetes.zip</v>
      </c>
      <c r="U1553" s="43" t="str">
        <f>HYPERLINK("https://ictv.global/taxonomy/taxondetails?taxnode_id=202212177","ictv.global=202212177")</f>
        <v>ictv.global=202212177</v>
      </c>
    </row>
    <row r="1554" spans="1:21">
      <c r="A1554">
        <v>1553</v>
      </c>
      <c r="B1554" s="29" t="s">
        <v>3682</v>
      </c>
      <c r="C1554" s="29"/>
      <c r="D1554" s="29" t="s">
        <v>3683</v>
      </c>
      <c r="E1554" s="29"/>
      <c r="F1554" s="29" t="s">
        <v>3686</v>
      </c>
      <c r="G1554" s="29"/>
      <c r="H1554" s="29" t="s">
        <v>3687</v>
      </c>
      <c r="I1554" s="29"/>
      <c r="J1554" s="29"/>
      <c r="K1554" s="29"/>
      <c r="L1554" s="29" t="s">
        <v>8650</v>
      </c>
      <c r="M1554" s="29"/>
      <c r="N1554" s="29" t="s">
        <v>8653</v>
      </c>
      <c r="O1554" s="29"/>
      <c r="P1554" s="29" t="s">
        <v>8654</v>
      </c>
      <c r="Q1554" t="s">
        <v>2038</v>
      </c>
      <c r="R1554" t="s">
        <v>2632</v>
      </c>
      <c r="S1554">
        <v>37</v>
      </c>
      <c r="T1554" s="43" t="str">
        <f>HYPERLINK("https://ictv.global/ictv/proposals/2021.001A.R.Archaeal_Caudoviricetes.zip","2021.001A.R.Archaeal_Caudoviricetes.zip")</f>
        <v>2021.001A.R.Archaeal_Caudoviricetes.zip</v>
      </c>
      <c r="U1554" s="43" t="str">
        <f>HYPERLINK("https://ictv.global/taxonomy/taxondetails?taxnode_id=202212176","ictv.global=202212176")</f>
        <v>ictv.global=202212176</v>
      </c>
    </row>
    <row r="1555" spans="1:21">
      <c r="A1555">
        <v>1554</v>
      </c>
      <c r="B1555" s="29" t="s">
        <v>3682</v>
      </c>
      <c r="C1555" s="29"/>
      <c r="D1555" s="29" t="s">
        <v>3683</v>
      </c>
      <c r="E1555" s="29"/>
      <c r="F1555" s="29" t="s">
        <v>3686</v>
      </c>
      <c r="G1555" s="29"/>
      <c r="H1555" s="29" t="s">
        <v>3687</v>
      </c>
      <c r="I1555" s="29"/>
      <c r="J1555" s="29"/>
      <c r="K1555" s="29"/>
      <c r="L1555" s="29" t="s">
        <v>4629</v>
      </c>
      <c r="M1555" s="29" t="s">
        <v>8655</v>
      </c>
      <c r="N1555" s="29" t="s">
        <v>8656</v>
      </c>
      <c r="O1555" s="29"/>
      <c r="P1555" s="29" t="s">
        <v>8657</v>
      </c>
      <c r="Q1555" t="s">
        <v>2038</v>
      </c>
      <c r="R1555" t="s">
        <v>2632</v>
      </c>
      <c r="S1555">
        <v>38</v>
      </c>
      <c r="T1555" s="43" t="str">
        <f t="shared" ref="T1555:T1560" si="65">HYPERLINK("https://ictv.global/ictv/proposals/2022.073B.Schitoviridae_1nsf_9ng_30nsp.zip","2022.073B.Schitoviridae_1nsf_9ng_30nsp.zip")</f>
        <v>2022.073B.Schitoviridae_1nsf_9ng_30nsp.zip</v>
      </c>
      <c r="U1555" s="43" t="str">
        <f>HYPERLINK("https://ictv.global/taxonomy/taxondetails?taxnode_id=202214819","ictv.global=202214819")</f>
        <v>ictv.global=202214819</v>
      </c>
    </row>
    <row r="1556" spans="1:21">
      <c r="A1556">
        <v>1555</v>
      </c>
      <c r="B1556" s="29" t="s">
        <v>3682</v>
      </c>
      <c r="C1556" s="29"/>
      <c r="D1556" s="29" t="s">
        <v>3683</v>
      </c>
      <c r="E1556" s="29"/>
      <c r="F1556" s="29" t="s">
        <v>3686</v>
      </c>
      <c r="G1556" s="29"/>
      <c r="H1556" s="29" t="s">
        <v>3687</v>
      </c>
      <c r="I1556" s="29"/>
      <c r="J1556" s="29"/>
      <c r="K1556" s="29"/>
      <c r="L1556" s="29" t="s">
        <v>4629</v>
      </c>
      <c r="M1556" s="29" t="s">
        <v>8655</v>
      </c>
      <c r="N1556" s="29" t="s">
        <v>8656</v>
      </c>
      <c r="O1556" s="29"/>
      <c r="P1556" s="29" t="s">
        <v>8658</v>
      </c>
      <c r="Q1556" t="s">
        <v>2038</v>
      </c>
      <c r="R1556" t="s">
        <v>2632</v>
      </c>
      <c r="S1556">
        <v>38</v>
      </c>
      <c r="T1556" s="43" t="str">
        <f t="shared" si="65"/>
        <v>2022.073B.Schitoviridae_1nsf_9ng_30nsp.zip</v>
      </c>
      <c r="U1556" s="43" t="str">
        <f>HYPERLINK("https://ictv.global/taxonomy/taxondetails?taxnode_id=202214818","ictv.global=202214818")</f>
        <v>ictv.global=202214818</v>
      </c>
    </row>
    <row r="1557" spans="1:21">
      <c r="A1557">
        <v>1556</v>
      </c>
      <c r="B1557" s="29" t="s">
        <v>3682</v>
      </c>
      <c r="C1557" s="29"/>
      <c r="D1557" s="29" t="s">
        <v>3683</v>
      </c>
      <c r="E1557" s="29"/>
      <c r="F1557" s="29" t="s">
        <v>3686</v>
      </c>
      <c r="G1557" s="29"/>
      <c r="H1557" s="29" t="s">
        <v>3687</v>
      </c>
      <c r="I1557" s="29"/>
      <c r="J1557" s="29"/>
      <c r="K1557" s="29"/>
      <c r="L1557" s="29" t="s">
        <v>4629</v>
      </c>
      <c r="M1557" s="29" t="s">
        <v>8655</v>
      </c>
      <c r="N1557" s="29" t="s">
        <v>8656</v>
      </c>
      <c r="O1557" s="29"/>
      <c r="P1557" s="29" t="s">
        <v>8659</v>
      </c>
      <c r="Q1557" t="s">
        <v>2038</v>
      </c>
      <c r="R1557" t="s">
        <v>2632</v>
      </c>
      <c r="S1557">
        <v>38</v>
      </c>
      <c r="T1557" s="43" t="str">
        <f t="shared" si="65"/>
        <v>2022.073B.Schitoviridae_1nsf_9ng_30nsp.zip</v>
      </c>
      <c r="U1557" s="43" t="str">
        <f>HYPERLINK("https://ictv.global/taxonomy/taxondetails?taxnode_id=202214817","ictv.global=202214817")</f>
        <v>ictv.global=202214817</v>
      </c>
    </row>
    <row r="1558" spans="1:21">
      <c r="A1558">
        <v>1557</v>
      </c>
      <c r="B1558" s="29" t="s">
        <v>3682</v>
      </c>
      <c r="C1558" s="29"/>
      <c r="D1558" s="29" t="s">
        <v>3683</v>
      </c>
      <c r="E1558" s="29"/>
      <c r="F1558" s="29" t="s">
        <v>3686</v>
      </c>
      <c r="G1558" s="29"/>
      <c r="H1558" s="29" t="s">
        <v>3687</v>
      </c>
      <c r="I1558" s="29"/>
      <c r="J1558" s="29"/>
      <c r="K1558" s="29"/>
      <c r="L1558" s="29" t="s">
        <v>4629</v>
      </c>
      <c r="M1558" s="29" t="s">
        <v>8655</v>
      </c>
      <c r="N1558" s="29" t="s">
        <v>8656</v>
      </c>
      <c r="O1558" s="29"/>
      <c r="P1558" s="29" t="s">
        <v>8660</v>
      </c>
      <c r="Q1558" t="s">
        <v>2038</v>
      </c>
      <c r="R1558" t="s">
        <v>2632</v>
      </c>
      <c r="S1558">
        <v>38</v>
      </c>
      <c r="T1558" s="43" t="str">
        <f t="shared" si="65"/>
        <v>2022.073B.Schitoviridae_1nsf_9ng_30nsp.zip</v>
      </c>
      <c r="U1558" s="43" t="str">
        <f>HYPERLINK("https://ictv.global/taxonomy/taxondetails?taxnode_id=202214816","ictv.global=202214816")</f>
        <v>ictv.global=202214816</v>
      </c>
    </row>
    <row r="1559" spans="1:21">
      <c r="A1559">
        <v>1558</v>
      </c>
      <c r="B1559" s="29" t="s">
        <v>3682</v>
      </c>
      <c r="C1559" s="29"/>
      <c r="D1559" s="29" t="s">
        <v>3683</v>
      </c>
      <c r="E1559" s="29"/>
      <c r="F1559" s="29" t="s">
        <v>3686</v>
      </c>
      <c r="G1559" s="29"/>
      <c r="H1559" s="29" t="s">
        <v>3687</v>
      </c>
      <c r="I1559" s="29"/>
      <c r="J1559" s="29"/>
      <c r="K1559" s="29"/>
      <c r="L1559" s="29" t="s">
        <v>4629</v>
      </c>
      <c r="M1559" s="29" t="s">
        <v>8655</v>
      </c>
      <c r="N1559" s="29" t="s">
        <v>8661</v>
      </c>
      <c r="O1559" s="29"/>
      <c r="P1559" s="29" t="s">
        <v>8662</v>
      </c>
      <c r="Q1559" t="s">
        <v>2038</v>
      </c>
      <c r="R1559" t="s">
        <v>2632</v>
      </c>
      <c r="S1559">
        <v>38</v>
      </c>
      <c r="T1559" s="43" t="str">
        <f t="shared" si="65"/>
        <v>2022.073B.Schitoviridae_1nsf_9ng_30nsp.zip</v>
      </c>
      <c r="U1559" s="43" t="str">
        <f>HYPERLINK("https://ictv.global/taxonomy/taxondetails?taxnode_id=202214815","ictv.global=202214815")</f>
        <v>ictv.global=202214815</v>
      </c>
    </row>
    <row r="1560" spans="1:21">
      <c r="A1560">
        <v>1559</v>
      </c>
      <c r="B1560" s="29" t="s">
        <v>3682</v>
      </c>
      <c r="C1560" s="29"/>
      <c r="D1560" s="29" t="s">
        <v>3683</v>
      </c>
      <c r="E1560" s="29"/>
      <c r="F1560" s="29" t="s">
        <v>3686</v>
      </c>
      <c r="G1560" s="29"/>
      <c r="H1560" s="29" t="s">
        <v>3687</v>
      </c>
      <c r="I1560" s="29"/>
      <c r="J1560" s="29"/>
      <c r="K1560" s="29"/>
      <c r="L1560" s="29" t="s">
        <v>4629</v>
      </c>
      <c r="M1560" s="29" t="s">
        <v>8655</v>
      </c>
      <c r="N1560" s="29" t="s">
        <v>8661</v>
      </c>
      <c r="O1560" s="29"/>
      <c r="P1560" s="29" t="s">
        <v>8663</v>
      </c>
      <c r="Q1560" t="s">
        <v>2038</v>
      </c>
      <c r="R1560" t="s">
        <v>2632</v>
      </c>
      <c r="S1560">
        <v>38</v>
      </c>
      <c r="T1560" s="43" t="str">
        <f t="shared" si="65"/>
        <v>2022.073B.Schitoviridae_1nsf_9ng_30nsp.zip</v>
      </c>
      <c r="U1560" s="43" t="str">
        <f>HYPERLINK("https://ictv.global/taxonomy/taxondetails?taxnode_id=202214814","ictv.global=202214814")</f>
        <v>ictv.global=202214814</v>
      </c>
    </row>
    <row r="1561" spans="1:21">
      <c r="A1561">
        <v>1560</v>
      </c>
      <c r="B1561" s="29" t="s">
        <v>3682</v>
      </c>
      <c r="C1561" s="29"/>
      <c r="D1561" s="29" t="s">
        <v>3683</v>
      </c>
      <c r="E1561" s="29"/>
      <c r="F1561" s="29" t="s">
        <v>3686</v>
      </c>
      <c r="G1561" s="29"/>
      <c r="H1561" s="29" t="s">
        <v>3687</v>
      </c>
      <c r="I1561" s="29"/>
      <c r="J1561" s="29"/>
      <c r="K1561" s="29"/>
      <c r="L1561" s="29" t="s">
        <v>4629</v>
      </c>
      <c r="M1561" s="29" t="s">
        <v>4630</v>
      </c>
      <c r="N1561" s="29" t="s">
        <v>3466</v>
      </c>
      <c r="O1561" s="29"/>
      <c r="P1561" s="29" t="s">
        <v>8664</v>
      </c>
      <c r="Q1561" t="s">
        <v>2038</v>
      </c>
      <c r="R1561" t="s">
        <v>2633</v>
      </c>
      <c r="S1561">
        <v>37</v>
      </c>
      <c r="T1561" s="43" t="str">
        <f t="shared" ref="T1561:T1566" si="66">HYPERLINK("https://ictv.global/ictv/proposals/2021.010B.R.Binomial_names.zip","2021.010B.R.Binomial_names.zip")</f>
        <v>2021.010B.R.Binomial_names.zip</v>
      </c>
      <c r="U1561" s="43" t="str">
        <f>HYPERLINK("https://ictv.global/taxonomy/taxondetails?taxnode_id=202200672","ictv.global=202200672")</f>
        <v>ictv.global=202200672</v>
      </c>
    </row>
    <row r="1562" spans="1:21">
      <c r="A1562">
        <v>1561</v>
      </c>
      <c r="B1562" s="29" t="s">
        <v>3682</v>
      </c>
      <c r="C1562" s="29"/>
      <c r="D1562" s="29" t="s">
        <v>3683</v>
      </c>
      <c r="E1562" s="29"/>
      <c r="F1562" s="29" t="s">
        <v>3686</v>
      </c>
      <c r="G1562" s="29"/>
      <c r="H1562" s="29" t="s">
        <v>3687</v>
      </c>
      <c r="I1562" s="29"/>
      <c r="J1562" s="29"/>
      <c r="K1562" s="29"/>
      <c r="L1562" s="29" t="s">
        <v>4629</v>
      </c>
      <c r="M1562" s="29" t="s">
        <v>4630</v>
      </c>
      <c r="N1562" s="29" t="s">
        <v>3468</v>
      </c>
      <c r="O1562" s="29"/>
      <c r="P1562" s="29" t="s">
        <v>8665</v>
      </c>
      <c r="Q1562" t="s">
        <v>2038</v>
      </c>
      <c r="R1562" t="s">
        <v>2633</v>
      </c>
      <c r="S1562">
        <v>37</v>
      </c>
      <c r="T1562" s="43" t="str">
        <f t="shared" si="66"/>
        <v>2021.010B.R.Binomial_names.zip</v>
      </c>
      <c r="U1562" s="43" t="str">
        <f>HYPERLINK("https://ictv.global/taxonomy/taxondetails?taxnode_id=202200643","ictv.global=202200643")</f>
        <v>ictv.global=202200643</v>
      </c>
    </row>
    <row r="1563" spans="1:21">
      <c r="A1563">
        <v>1562</v>
      </c>
      <c r="B1563" s="29" t="s">
        <v>3682</v>
      </c>
      <c r="C1563" s="29"/>
      <c r="D1563" s="29" t="s">
        <v>3683</v>
      </c>
      <c r="E1563" s="29"/>
      <c r="F1563" s="29" t="s">
        <v>3686</v>
      </c>
      <c r="G1563" s="29"/>
      <c r="H1563" s="29" t="s">
        <v>3687</v>
      </c>
      <c r="I1563" s="29"/>
      <c r="J1563" s="29"/>
      <c r="K1563" s="29"/>
      <c r="L1563" s="29" t="s">
        <v>4629</v>
      </c>
      <c r="M1563" s="29" t="s">
        <v>4630</v>
      </c>
      <c r="N1563" s="29" t="s">
        <v>3468</v>
      </c>
      <c r="O1563" s="29"/>
      <c r="P1563" s="29" t="s">
        <v>8666</v>
      </c>
      <c r="Q1563" t="s">
        <v>2038</v>
      </c>
      <c r="R1563" t="s">
        <v>2633</v>
      </c>
      <c r="S1563">
        <v>37</v>
      </c>
      <c r="T1563" s="43" t="str">
        <f t="shared" si="66"/>
        <v>2021.010B.R.Binomial_names.zip</v>
      </c>
      <c r="U1563" s="43" t="str">
        <f>HYPERLINK("https://ictv.global/taxonomy/taxondetails?taxnode_id=202200644","ictv.global=202200644")</f>
        <v>ictv.global=202200644</v>
      </c>
    </row>
    <row r="1564" spans="1:21">
      <c r="A1564">
        <v>1563</v>
      </c>
      <c r="B1564" s="29" t="s">
        <v>3682</v>
      </c>
      <c r="C1564" s="29"/>
      <c r="D1564" s="29" t="s">
        <v>3683</v>
      </c>
      <c r="E1564" s="29"/>
      <c r="F1564" s="29" t="s">
        <v>3686</v>
      </c>
      <c r="G1564" s="29"/>
      <c r="H1564" s="29" t="s">
        <v>3687</v>
      </c>
      <c r="I1564" s="29"/>
      <c r="J1564" s="29"/>
      <c r="K1564" s="29"/>
      <c r="L1564" s="29" t="s">
        <v>4629</v>
      </c>
      <c r="M1564" s="29" t="s">
        <v>4630</v>
      </c>
      <c r="N1564" s="29" t="s">
        <v>3468</v>
      </c>
      <c r="O1564" s="29"/>
      <c r="P1564" s="29" t="s">
        <v>8667</v>
      </c>
      <c r="Q1564" t="s">
        <v>2038</v>
      </c>
      <c r="R1564" t="s">
        <v>2633</v>
      </c>
      <c r="S1564">
        <v>37</v>
      </c>
      <c r="T1564" s="43" t="str">
        <f t="shared" si="66"/>
        <v>2021.010B.R.Binomial_names.zip</v>
      </c>
      <c r="U1564" s="43" t="str">
        <f>HYPERLINK("https://ictv.global/taxonomy/taxondetails?taxnode_id=202200645","ictv.global=202200645")</f>
        <v>ictv.global=202200645</v>
      </c>
    </row>
    <row r="1565" spans="1:21">
      <c r="A1565">
        <v>1564</v>
      </c>
      <c r="B1565" s="29" t="s">
        <v>3682</v>
      </c>
      <c r="C1565" s="29"/>
      <c r="D1565" s="29" t="s">
        <v>3683</v>
      </c>
      <c r="E1565" s="29"/>
      <c r="F1565" s="29" t="s">
        <v>3686</v>
      </c>
      <c r="G1565" s="29"/>
      <c r="H1565" s="29" t="s">
        <v>3687</v>
      </c>
      <c r="I1565" s="29"/>
      <c r="J1565" s="29"/>
      <c r="K1565" s="29"/>
      <c r="L1565" s="29" t="s">
        <v>4629</v>
      </c>
      <c r="M1565" s="29" t="s">
        <v>4630</v>
      </c>
      <c r="N1565" s="29" t="s">
        <v>3468</v>
      </c>
      <c r="O1565" s="29"/>
      <c r="P1565" s="29" t="s">
        <v>8668</v>
      </c>
      <c r="Q1565" t="s">
        <v>2038</v>
      </c>
      <c r="R1565" t="s">
        <v>2633</v>
      </c>
      <c r="S1565">
        <v>37</v>
      </c>
      <c r="T1565" s="43" t="str">
        <f t="shared" si="66"/>
        <v>2021.010B.R.Binomial_names.zip</v>
      </c>
      <c r="U1565" s="43" t="str">
        <f>HYPERLINK("https://ictv.global/taxonomy/taxondetails?taxnode_id=202200646","ictv.global=202200646")</f>
        <v>ictv.global=202200646</v>
      </c>
    </row>
    <row r="1566" spans="1:21">
      <c r="A1566">
        <v>1565</v>
      </c>
      <c r="B1566" s="29" t="s">
        <v>3682</v>
      </c>
      <c r="C1566" s="29"/>
      <c r="D1566" s="29" t="s">
        <v>3683</v>
      </c>
      <c r="E1566" s="29"/>
      <c r="F1566" s="29" t="s">
        <v>3686</v>
      </c>
      <c r="G1566" s="29"/>
      <c r="H1566" s="29" t="s">
        <v>3687</v>
      </c>
      <c r="I1566" s="29"/>
      <c r="J1566" s="29"/>
      <c r="K1566" s="29"/>
      <c r="L1566" s="29" t="s">
        <v>4629</v>
      </c>
      <c r="M1566" s="29" t="s">
        <v>4630</v>
      </c>
      <c r="N1566" s="29" t="s">
        <v>3468</v>
      </c>
      <c r="O1566" s="29"/>
      <c r="P1566" s="29" t="s">
        <v>8669</v>
      </c>
      <c r="Q1566" t="s">
        <v>2038</v>
      </c>
      <c r="R1566" t="s">
        <v>2633</v>
      </c>
      <c r="S1566">
        <v>37</v>
      </c>
      <c r="T1566" s="43" t="str">
        <f t="shared" si="66"/>
        <v>2021.010B.R.Binomial_names.zip</v>
      </c>
      <c r="U1566" s="43" t="str">
        <f>HYPERLINK("https://ictv.global/taxonomy/taxondetails?taxnode_id=202200647","ictv.global=202200647")</f>
        <v>ictv.global=202200647</v>
      </c>
    </row>
    <row r="1567" spans="1:21">
      <c r="A1567">
        <v>1566</v>
      </c>
      <c r="B1567" s="29" t="s">
        <v>3682</v>
      </c>
      <c r="C1567" s="29"/>
      <c r="D1567" s="29" t="s">
        <v>3683</v>
      </c>
      <c r="E1567" s="29"/>
      <c r="F1567" s="29" t="s">
        <v>3686</v>
      </c>
      <c r="G1567" s="29"/>
      <c r="H1567" s="29" t="s">
        <v>3687</v>
      </c>
      <c r="I1567" s="29"/>
      <c r="J1567" s="29"/>
      <c r="K1567" s="29"/>
      <c r="L1567" s="29" t="s">
        <v>4629</v>
      </c>
      <c r="M1567" s="29" t="s">
        <v>4630</v>
      </c>
      <c r="N1567" s="29" t="s">
        <v>3468</v>
      </c>
      <c r="O1567" s="29"/>
      <c r="P1567" s="29" t="s">
        <v>8670</v>
      </c>
      <c r="Q1567" t="s">
        <v>2038</v>
      </c>
      <c r="R1567" t="s">
        <v>2632</v>
      </c>
      <c r="S1567">
        <v>38</v>
      </c>
      <c r="T1567" s="43" t="str">
        <f>HYPERLINK("https://ictv.global/ictv/proposals/2022.073B.Schitoviridae_1nsf_9ng_30nsp.zip","2022.073B.Schitoviridae_1nsf_9ng_30nsp.zip")</f>
        <v>2022.073B.Schitoviridae_1nsf_9ng_30nsp.zip</v>
      </c>
      <c r="U1567" s="43" t="str">
        <f>HYPERLINK("https://ictv.global/taxonomy/taxondetails?taxnode_id=202214835","ictv.global=202214835")</f>
        <v>ictv.global=202214835</v>
      </c>
    </row>
    <row r="1568" spans="1:21">
      <c r="A1568">
        <v>1567</v>
      </c>
      <c r="B1568" s="29" t="s">
        <v>3682</v>
      </c>
      <c r="C1568" s="29"/>
      <c r="D1568" s="29" t="s">
        <v>3683</v>
      </c>
      <c r="E1568" s="29"/>
      <c r="F1568" s="29" t="s">
        <v>3686</v>
      </c>
      <c r="G1568" s="29"/>
      <c r="H1568" s="29" t="s">
        <v>3687</v>
      </c>
      <c r="I1568" s="29"/>
      <c r="J1568" s="29"/>
      <c r="K1568" s="29"/>
      <c r="L1568" s="29" t="s">
        <v>4629</v>
      </c>
      <c r="M1568" s="29" t="s">
        <v>4630</v>
      </c>
      <c r="N1568" s="29" t="s">
        <v>3468</v>
      </c>
      <c r="O1568" s="29"/>
      <c r="P1568" s="29" t="s">
        <v>8671</v>
      </c>
      <c r="Q1568" t="s">
        <v>2038</v>
      </c>
      <c r="R1568" t="s">
        <v>2633</v>
      </c>
      <c r="S1568">
        <v>37</v>
      </c>
      <c r="T1568" s="43" t="str">
        <f>HYPERLINK("https://ictv.global/ictv/proposals/2021.010B.R.Binomial_names.zip","2021.010B.R.Binomial_names.zip")</f>
        <v>2021.010B.R.Binomial_names.zip</v>
      </c>
      <c r="U1568" s="43" t="str">
        <f>HYPERLINK("https://ictv.global/taxonomy/taxondetails?taxnode_id=202200648","ictv.global=202200648")</f>
        <v>ictv.global=202200648</v>
      </c>
    </row>
    <row r="1569" spans="1:21">
      <c r="A1569">
        <v>1568</v>
      </c>
      <c r="B1569" s="29" t="s">
        <v>3682</v>
      </c>
      <c r="C1569" s="29"/>
      <c r="D1569" s="29" t="s">
        <v>3683</v>
      </c>
      <c r="E1569" s="29"/>
      <c r="F1569" s="29" t="s">
        <v>3686</v>
      </c>
      <c r="G1569" s="29"/>
      <c r="H1569" s="29" t="s">
        <v>3687</v>
      </c>
      <c r="I1569" s="29"/>
      <c r="J1569" s="29"/>
      <c r="K1569" s="29"/>
      <c r="L1569" s="29" t="s">
        <v>4629</v>
      </c>
      <c r="M1569" s="29" t="s">
        <v>4630</v>
      </c>
      <c r="N1569" s="29" t="s">
        <v>3468</v>
      </c>
      <c r="O1569" s="29"/>
      <c r="P1569" s="29" t="s">
        <v>8672</v>
      </c>
      <c r="Q1569" t="s">
        <v>2038</v>
      </c>
      <c r="R1569" t="s">
        <v>2633</v>
      </c>
      <c r="S1569">
        <v>37</v>
      </c>
      <c r="T1569" s="43" t="str">
        <f>HYPERLINK("https://ictv.global/ictv/proposals/2021.010B.R.Binomial_names.zip","2021.010B.R.Binomial_names.zip")</f>
        <v>2021.010B.R.Binomial_names.zip</v>
      </c>
      <c r="U1569" s="43" t="str">
        <f>HYPERLINK("https://ictv.global/taxonomy/taxondetails?taxnode_id=202200649","ictv.global=202200649")</f>
        <v>ictv.global=202200649</v>
      </c>
    </row>
    <row r="1570" spans="1:21">
      <c r="A1570">
        <v>1569</v>
      </c>
      <c r="B1570" s="29" t="s">
        <v>3682</v>
      </c>
      <c r="C1570" s="29"/>
      <c r="D1570" s="29" t="s">
        <v>3683</v>
      </c>
      <c r="E1570" s="29"/>
      <c r="F1570" s="29" t="s">
        <v>3686</v>
      </c>
      <c r="G1570" s="29"/>
      <c r="H1570" s="29" t="s">
        <v>3687</v>
      </c>
      <c r="I1570" s="29"/>
      <c r="J1570" s="29"/>
      <c r="K1570" s="29"/>
      <c r="L1570" s="29" t="s">
        <v>4629</v>
      </c>
      <c r="M1570" s="29" t="s">
        <v>4630</v>
      </c>
      <c r="N1570" s="29" t="s">
        <v>3468</v>
      </c>
      <c r="O1570" s="29"/>
      <c r="P1570" s="29" t="s">
        <v>8673</v>
      </c>
      <c r="Q1570" t="s">
        <v>2038</v>
      </c>
      <c r="R1570" t="s">
        <v>2632</v>
      </c>
      <c r="S1570">
        <v>38</v>
      </c>
      <c r="T1570" s="43" t="str">
        <f>HYPERLINK("https://ictv.global/ictv/proposals/2022.073B.Schitoviridae_1nsf_9ng_30nsp.zip","2022.073B.Schitoviridae_1nsf_9ng_30nsp.zip")</f>
        <v>2022.073B.Schitoviridae_1nsf_9ng_30nsp.zip</v>
      </c>
      <c r="U1570" s="43" t="str">
        <f>HYPERLINK("https://ictv.global/taxonomy/taxondetails?taxnode_id=202214836","ictv.global=202214836")</f>
        <v>ictv.global=202214836</v>
      </c>
    </row>
    <row r="1571" spans="1:21">
      <c r="A1571">
        <v>1570</v>
      </c>
      <c r="B1571" s="29" t="s">
        <v>3682</v>
      </c>
      <c r="C1571" s="29"/>
      <c r="D1571" s="29" t="s">
        <v>3683</v>
      </c>
      <c r="E1571" s="29"/>
      <c r="F1571" s="29" t="s">
        <v>3686</v>
      </c>
      <c r="G1571" s="29"/>
      <c r="H1571" s="29" t="s">
        <v>3687</v>
      </c>
      <c r="I1571" s="29"/>
      <c r="J1571" s="29"/>
      <c r="K1571" s="29"/>
      <c r="L1571" s="29" t="s">
        <v>4629</v>
      </c>
      <c r="M1571" s="29" t="s">
        <v>4630</v>
      </c>
      <c r="N1571" s="29" t="s">
        <v>3468</v>
      </c>
      <c r="O1571" s="29"/>
      <c r="P1571" s="29" t="s">
        <v>8674</v>
      </c>
      <c r="Q1571" t="s">
        <v>2038</v>
      </c>
      <c r="R1571" t="s">
        <v>2633</v>
      </c>
      <c r="S1571">
        <v>37</v>
      </c>
      <c r="T1571" s="43" t="str">
        <f>HYPERLINK("https://ictv.global/ictv/proposals/2021.010B.R.Binomial_names.zip","2021.010B.R.Binomial_names.zip")</f>
        <v>2021.010B.R.Binomial_names.zip</v>
      </c>
      <c r="U1571" s="43" t="str">
        <f>HYPERLINK("https://ictv.global/taxonomy/taxondetails?taxnode_id=202200650","ictv.global=202200650")</f>
        <v>ictv.global=202200650</v>
      </c>
    </row>
    <row r="1572" spans="1:21">
      <c r="A1572">
        <v>1571</v>
      </c>
      <c r="B1572" s="29" t="s">
        <v>3682</v>
      </c>
      <c r="C1572" s="29"/>
      <c r="D1572" s="29" t="s">
        <v>3683</v>
      </c>
      <c r="E1572" s="29"/>
      <c r="F1572" s="29" t="s">
        <v>3686</v>
      </c>
      <c r="G1572" s="29"/>
      <c r="H1572" s="29" t="s">
        <v>3687</v>
      </c>
      <c r="I1572" s="29"/>
      <c r="J1572" s="29"/>
      <c r="K1572" s="29"/>
      <c r="L1572" s="29" t="s">
        <v>4629</v>
      </c>
      <c r="M1572" s="29" t="s">
        <v>4630</v>
      </c>
      <c r="N1572" s="29" t="s">
        <v>3468</v>
      </c>
      <c r="O1572" s="29"/>
      <c r="P1572" s="29" t="s">
        <v>8675</v>
      </c>
      <c r="Q1572" t="s">
        <v>2038</v>
      </c>
      <c r="R1572" t="s">
        <v>2632</v>
      </c>
      <c r="S1572">
        <v>38</v>
      </c>
      <c r="T1572" s="43" t="str">
        <f>HYPERLINK("https://ictv.global/ictv/proposals/2022.073B.Schitoviridae_1nsf_9ng_30nsp.zip","2022.073B.Schitoviridae_1nsf_9ng_30nsp.zip")</f>
        <v>2022.073B.Schitoviridae_1nsf_9ng_30nsp.zip</v>
      </c>
      <c r="U1572" s="43" t="str">
        <f>HYPERLINK("https://ictv.global/taxonomy/taxondetails?taxnode_id=202214834","ictv.global=202214834")</f>
        <v>ictv.global=202214834</v>
      </c>
    </row>
    <row r="1573" spans="1:21">
      <c r="A1573">
        <v>1572</v>
      </c>
      <c r="B1573" s="29" t="s">
        <v>3682</v>
      </c>
      <c r="C1573" s="29"/>
      <c r="D1573" s="29" t="s">
        <v>3683</v>
      </c>
      <c r="E1573" s="29"/>
      <c r="F1573" s="29" t="s">
        <v>3686</v>
      </c>
      <c r="G1573" s="29"/>
      <c r="H1573" s="29" t="s">
        <v>3687</v>
      </c>
      <c r="I1573" s="29"/>
      <c r="J1573" s="29"/>
      <c r="K1573" s="29"/>
      <c r="L1573" s="29" t="s">
        <v>4629</v>
      </c>
      <c r="M1573" s="29" t="s">
        <v>4630</v>
      </c>
      <c r="N1573" s="29" t="s">
        <v>3468</v>
      </c>
      <c r="O1573" s="29"/>
      <c r="P1573" s="29" t="s">
        <v>8676</v>
      </c>
      <c r="Q1573" t="s">
        <v>2038</v>
      </c>
      <c r="R1573" t="s">
        <v>2632</v>
      </c>
      <c r="S1573">
        <v>38</v>
      </c>
      <c r="T1573" s="43" t="str">
        <f>HYPERLINK("https://ictv.global/ictv/proposals/2022.073B.Schitoviridae_1nsf_9ng_30nsp.zip","2022.073B.Schitoviridae_1nsf_9ng_30nsp.zip")</f>
        <v>2022.073B.Schitoviridae_1nsf_9ng_30nsp.zip</v>
      </c>
      <c r="U1573" s="43" t="str">
        <f>HYPERLINK("https://ictv.global/taxonomy/taxondetails?taxnode_id=202214838","ictv.global=202214838")</f>
        <v>ictv.global=202214838</v>
      </c>
    </row>
    <row r="1574" spans="1:21">
      <c r="A1574">
        <v>1573</v>
      </c>
      <c r="B1574" s="29" t="s">
        <v>3682</v>
      </c>
      <c r="C1574" s="29"/>
      <c r="D1574" s="29" t="s">
        <v>3683</v>
      </c>
      <c r="E1574" s="29"/>
      <c r="F1574" s="29" t="s">
        <v>3686</v>
      </c>
      <c r="G1574" s="29"/>
      <c r="H1574" s="29" t="s">
        <v>3687</v>
      </c>
      <c r="I1574" s="29"/>
      <c r="J1574" s="29"/>
      <c r="K1574" s="29"/>
      <c r="L1574" s="29" t="s">
        <v>4629</v>
      </c>
      <c r="M1574" s="29" t="s">
        <v>4630</v>
      </c>
      <c r="N1574" s="29" t="s">
        <v>3468</v>
      </c>
      <c r="O1574" s="29"/>
      <c r="P1574" s="29" t="s">
        <v>8677</v>
      </c>
      <c r="Q1574" t="s">
        <v>2038</v>
      </c>
      <c r="R1574" t="s">
        <v>2632</v>
      </c>
      <c r="S1574">
        <v>38</v>
      </c>
      <c r="T1574" s="43" t="str">
        <f>HYPERLINK("https://ictv.global/ictv/proposals/2022.073B.Schitoviridae_1nsf_9ng_30nsp.zip","2022.073B.Schitoviridae_1nsf_9ng_30nsp.zip")</f>
        <v>2022.073B.Schitoviridae_1nsf_9ng_30nsp.zip</v>
      </c>
      <c r="U1574" s="43" t="str">
        <f>HYPERLINK("https://ictv.global/taxonomy/taxondetails?taxnode_id=202214837","ictv.global=202214837")</f>
        <v>ictv.global=202214837</v>
      </c>
    </row>
    <row r="1575" spans="1:21">
      <c r="A1575">
        <v>1574</v>
      </c>
      <c r="B1575" s="29" t="s">
        <v>3682</v>
      </c>
      <c r="C1575" s="29"/>
      <c r="D1575" s="29" t="s">
        <v>3683</v>
      </c>
      <c r="E1575" s="29"/>
      <c r="F1575" s="29" t="s">
        <v>3686</v>
      </c>
      <c r="G1575" s="29"/>
      <c r="H1575" s="29" t="s">
        <v>3687</v>
      </c>
      <c r="I1575" s="29"/>
      <c r="J1575" s="29"/>
      <c r="K1575" s="29"/>
      <c r="L1575" s="29" t="s">
        <v>4629</v>
      </c>
      <c r="M1575" s="29" t="s">
        <v>4630</v>
      </c>
      <c r="N1575" s="29" t="s">
        <v>3468</v>
      </c>
      <c r="O1575" s="29"/>
      <c r="P1575" s="29" t="s">
        <v>8678</v>
      </c>
      <c r="Q1575" t="s">
        <v>2038</v>
      </c>
      <c r="R1575" t="s">
        <v>2632</v>
      </c>
      <c r="S1575">
        <v>38</v>
      </c>
      <c r="T1575" s="43" t="str">
        <f>HYPERLINK("https://ictv.global/ictv/proposals/2022.073B.Schitoviridae_1nsf_9ng_30nsp.zip","2022.073B.Schitoviridae_1nsf_9ng_30nsp.zip")</f>
        <v>2022.073B.Schitoviridae_1nsf_9ng_30nsp.zip</v>
      </c>
      <c r="U1575" s="43" t="str">
        <f>HYPERLINK("https://ictv.global/taxonomy/taxondetails?taxnode_id=202214839","ictv.global=202214839")</f>
        <v>ictv.global=202214839</v>
      </c>
    </row>
    <row r="1576" spans="1:21">
      <c r="A1576">
        <v>1575</v>
      </c>
      <c r="B1576" s="29" t="s">
        <v>3682</v>
      </c>
      <c r="C1576" s="29"/>
      <c r="D1576" s="29" t="s">
        <v>3683</v>
      </c>
      <c r="E1576" s="29"/>
      <c r="F1576" s="29" t="s">
        <v>3686</v>
      </c>
      <c r="G1576" s="29"/>
      <c r="H1576" s="29" t="s">
        <v>3687</v>
      </c>
      <c r="I1576" s="29"/>
      <c r="J1576" s="29"/>
      <c r="K1576" s="29"/>
      <c r="L1576" s="29" t="s">
        <v>4629</v>
      </c>
      <c r="M1576" s="29" t="s">
        <v>4630</v>
      </c>
      <c r="N1576" s="29" t="s">
        <v>4631</v>
      </c>
      <c r="O1576" s="29"/>
      <c r="P1576" s="29" t="s">
        <v>8679</v>
      </c>
      <c r="Q1576" t="s">
        <v>2038</v>
      </c>
      <c r="R1576" t="s">
        <v>2633</v>
      </c>
      <c r="S1576">
        <v>37</v>
      </c>
      <c r="T1576" s="43" t="str">
        <f>HYPERLINK("https://ictv.global/ictv/proposals/2021.010B.R.Binomial_names.zip","2021.010B.R.Binomial_names.zip")</f>
        <v>2021.010B.R.Binomial_names.zip</v>
      </c>
      <c r="U1576" s="43" t="str">
        <f>HYPERLINK("https://ictv.global/taxonomy/taxondetails?taxnode_id=202211771","ictv.global=202211771")</f>
        <v>ictv.global=202211771</v>
      </c>
    </row>
    <row r="1577" spans="1:21">
      <c r="A1577">
        <v>1576</v>
      </c>
      <c r="B1577" s="29" t="s">
        <v>3682</v>
      </c>
      <c r="C1577" s="29"/>
      <c r="D1577" s="29" t="s">
        <v>3683</v>
      </c>
      <c r="E1577" s="29"/>
      <c r="F1577" s="29" t="s">
        <v>3686</v>
      </c>
      <c r="G1577" s="29"/>
      <c r="H1577" s="29" t="s">
        <v>3687</v>
      </c>
      <c r="I1577" s="29"/>
      <c r="J1577" s="29"/>
      <c r="K1577" s="29"/>
      <c r="L1577" s="29" t="s">
        <v>4629</v>
      </c>
      <c r="M1577" s="29" t="s">
        <v>4630</v>
      </c>
      <c r="N1577" s="29" t="s">
        <v>8680</v>
      </c>
      <c r="O1577" s="29"/>
      <c r="P1577" s="29" t="s">
        <v>8681</v>
      </c>
      <c r="Q1577" t="s">
        <v>2038</v>
      </c>
      <c r="R1577" t="s">
        <v>2632</v>
      </c>
      <c r="S1577">
        <v>38</v>
      </c>
      <c r="T1577" s="43" t="str">
        <f>HYPERLINK("https://ictv.global/ictv/proposals/2022.073B.Schitoviridae_1nsf_9ng_30nsp.zip","2022.073B.Schitoviridae_1nsf_9ng_30nsp.zip")</f>
        <v>2022.073B.Schitoviridae_1nsf_9ng_30nsp.zip</v>
      </c>
      <c r="U1577" s="43" t="str">
        <f>HYPERLINK("https://ictv.global/taxonomy/taxondetails?taxnode_id=202214813","ictv.global=202214813")</f>
        <v>ictv.global=202214813</v>
      </c>
    </row>
    <row r="1578" spans="1:21">
      <c r="A1578">
        <v>1577</v>
      </c>
      <c r="B1578" s="29" t="s">
        <v>3682</v>
      </c>
      <c r="C1578" s="29"/>
      <c r="D1578" s="29" t="s">
        <v>3683</v>
      </c>
      <c r="E1578" s="29"/>
      <c r="F1578" s="29" t="s">
        <v>3686</v>
      </c>
      <c r="G1578" s="29"/>
      <c r="H1578" s="29" t="s">
        <v>3687</v>
      </c>
      <c r="I1578" s="29"/>
      <c r="J1578" s="29"/>
      <c r="K1578" s="29"/>
      <c r="L1578" s="29" t="s">
        <v>4629</v>
      </c>
      <c r="M1578" s="29" t="s">
        <v>4632</v>
      </c>
      <c r="N1578" s="29" t="s">
        <v>3472</v>
      </c>
      <c r="O1578" s="29"/>
      <c r="P1578" s="29" t="s">
        <v>8682</v>
      </c>
      <c r="Q1578" t="s">
        <v>2038</v>
      </c>
      <c r="R1578" t="s">
        <v>2633</v>
      </c>
      <c r="S1578">
        <v>37</v>
      </c>
      <c r="T1578" s="43" t="str">
        <f t="shared" ref="T1578:T1589" si="67">HYPERLINK("https://ictv.global/ictv/proposals/2021.010B.R.Binomial_names.zip","2021.010B.R.Binomial_names.zip")</f>
        <v>2021.010B.R.Binomial_names.zip</v>
      </c>
      <c r="U1578" s="43" t="str">
        <f>HYPERLINK("https://ictv.global/taxonomy/taxondetails?taxnode_id=202200633","ictv.global=202200633")</f>
        <v>ictv.global=202200633</v>
      </c>
    </row>
    <row r="1579" spans="1:21">
      <c r="A1579">
        <v>1578</v>
      </c>
      <c r="B1579" s="29" t="s">
        <v>3682</v>
      </c>
      <c r="C1579" s="29"/>
      <c r="D1579" s="29" t="s">
        <v>3683</v>
      </c>
      <c r="E1579" s="29"/>
      <c r="F1579" s="29" t="s">
        <v>3686</v>
      </c>
      <c r="G1579" s="29"/>
      <c r="H1579" s="29" t="s">
        <v>3687</v>
      </c>
      <c r="I1579" s="29"/>
      <c r="J1579" s="29"/>
      <c r="K1579" s="29"/>
      <c r="L1579" s="29" t="s">
        <v>4629</v>
      </c>
      <c r="M1579" s="29" t="s">
        <v>4632</v>
      </c>
      <c r="N1579" s="29" t="s">
        <v>3472</v>
      </c>
      <c r="O1579" s="29"/>
      <c r="P1579" s="29" t="s">
        <v>8683</v>
      </c>
      <c r="Q1579" t="s">
        <v>2038</v>
      </c>
      <c r="R1579" t="s">
        <v>2633</v>
      </c>
      <c r="S1579">
        <v>37</v>
      </c>
      <c r="T1579" s="43" t="str">
        <f t="shared" si="67"/>
        <v>2021.010B.R.Binomial_names.zip</v>
      </c>
      <c r="U1579" s="43" t="str">
        <f>HYPERLINK("https://ictv.global/taxonomy/taxondetails?taxnode_id=202200634","ictv.global=202200634")</f>
        <v>ictv.global=202200634</v>
      </c>
    </row>
    <row r="1580" spans="1:21">
      <c r="A1580">
        <v>1579</v>
      </c>
      <c r="B1580" s="29" t="s">
        <v>3682</v>
      </c>
      <c r="C1580" s="29"/>
      <c r="D1580" s="29" t="s">
        <v>3683</v>
      </c>
      <c r="E1580" s="29"/>
      <c r="F1580" s="29" t="s">
        <v>3686</v>
      </c>
      <c r="G1580" s="29"/>
      <c r="H1580" s="29" t="s">
        <v>3687</v>
      </c>
      <c r="I1580" s="29"/>
      <c r="J1580" s="29"/>
      <c r="K1580" s="29"/>
      <c r="L1580" s="29" t="s">
        <v>4629</v>
      </c>
      <c r="M1580" s="29" t="s">
        <v>4632</v>
      </c>
      <c r="N1580" s="29" t="s">
        <v>4633</v>
      </c>
      <c r="O1580" s="29"/>
      <c r="P1580" s="29" t="s">
        <v>8684</v>
      </c>
      <c r="Q1580" t="s">
        <v>2038</v>
      </c>
      <c r="R1580" t="s">
        <v>2633</v>
      </c>
      <c r="S1580">
        <v>37</v>
      </c>
      <c r="T1580" s="43" t="str">
        <f t="shared" si="67"/>
        <v>2021.010B.R.Binomial_names.zip</v>
      </c>
      <c r="U1580" s="43" t="str">
        <f>HYPERLINK("https://ictv.global/taxonomy/taxondetails?taxnode_id=202211774","ictv.global=202211774")</f>
        <v>ictv.global=202211774</v>
      </c>
    </row>
    <row r="1581" spans="1:21">
      <c r="A1581">
        <v>1580</v>
      </c>
      <c r="B1581" s="29" t="s">
        <v>3682</v>
      </c>
      <c r="C1581" s="29"/>
      <c r="D1581" s="29" t="s">
        <v>3683</v>
      </c>
      <c r="E1581" s="29"/>
      <c r="F1581" s="29" t="s">
        <v>3686</v>
      </c>
      <c r="G1581" s="29"/>
      <c r="H1581" s="29" t="s">
        <v>3687</v>
      </c>
      <c r="I1581" s="29"/>
      <c r="J1581" s="29"/>
      <c r="K1581" s="29"/>
      <c r="L1581" s="29" t="s">
        <v>4629</v>
      </c>
      <c r="M1581" s="29" t="s">
        <v>4634</v>
      </c>
      <c r="N1581" s="29" t="s">
        <v>4635</v>
      </c>
      <c r="O1581" s="29"/>
      <c r="P1581" s="29" t="s">
        <v>8685</v>
      </c>
      <c r="Q1581" t="s">
        <v>2038</v>
      </c>
      <c r="R1581" t="s">
        <v>2633</v>
      </c>
      <c r="S1581">
        <v>37</v>
      </c>
      <c r="T1581" s="43" t="str">
        <f t="shared" si="67"/>
        <v>2021.010B.R.Binomial_names.zip</v>
      </c>
      <c r="U1581" s="43" t="str">
        <f>HYPERLINK("https://ictv.global/taxonomy/taxondetails?taxnode_id=202211779","ictv.global=202211779")</f>
        <v>ictv.global=202211779</v>
      </c>
    </row>
    <row r="1582" spans="1:21">
      <c r="A1582">
        <v>1581</v>
      </c>
      <c r="B1582" s="29" t="s">
        <v>3682</v>
      </c>
      <c r="C1582" s="29"/>
      <c r="D1582" s="29" t="s">
        <v>3683</v>
      </c>
      <c r="E1582" s="29"/>
      <c r="F1582" s="29" t="s">
        <v>3686</v>
      </c>
      <c r="G1582" s="29"/>
      <c r="H1582" s="29" t="s">
        <v>3687</v>
      </c>
      <c r="I1582" s="29"/>
      <c r="J1582" s="29"/>
      <c r="K1582" s="29"/>
      <c r="L1582" s="29" t="s">
        <v>4629</v>
      </c>
      <c r="M1582" s="29" t="s">
        <v>4634</v>
      </c>
      <c r="N1582" s="29" t="s">
        <v>4636</v>
      </c>
      <c r="O1582" s="29"/>
      <c r="P1582" s="29" t="s">
        <v>8686</v>
      </c>
      <c r="Q1582" t="s">
        <v>2038</v>
      </c>
      <c r="R1582" t="s">
        <v>2633</v>
      </c>
      <c r="S1582">
        <v>37</v>
      </c>
      <c r="T1582" s="43" t="str">
        <f t="shared" si="67"/>
        <v>2021.010B.R.Binomial_names.zip</v>
      </c>
      <c r="U1582" s="43" t="str">
        <f>HYPERLINK("https://ictv.global/taxonomy/taxondetails?taxnode_id=202211777","ictv.global=202211777")</f>
        <v>ictv.global=202211777</v>
      </c>
    </row>
    <row r="1583" spans="1:21">
      <c r="A1583">
        <v>1582</v>
      </c>
      <c r="B1583" s="29" t="s">
        <v>3682</v>
      </c>
      <c r="C1583" s="29"/>
      <c r="D1583" s="29" t="s">
        <v>3683</v>
      </c>
      <c r="E1583" s="29"/>
      <c r="F1583" s="29" t="s">
        <v>3686</v>
      </c>
      <c r="G1583" s="29"/>
      <c r="H1583" s="29" t="s">
        <v>3687</v>
      </c>
      <c r="I1583" s="29"/>
      <c r="J1583" s="29"/>
      <c r="K1583" s="29"/>
      <c r="L1583" s="29" t="s">
        <v>4629</v>
      </c>
      <c r="M1583" s="29" t="s">
        <v>4637</v>
      </c>
      <c r="N1583" s="29" t="s">
        <v>3470</v>
      </c>
      <c r="O1583" s="29"/>
      <c r="P1583" s="29" t="s">
        <v>8687</v>
      </c>
      <c r="Q1583" t="s">
        <v>2038</v>
      </c>
      <c r="R1583" t="s">
        <v>2633</v>
      </c>
      <c r="S1583">
        <v>37</v>
      </c>
      <c r="T1583" s="43" t="str">
        <f t="shared" si="67"/>
        <v>2021.010B.R.Binomial_names.zip</v>
      </c>
      <c r="U1583" s="43" t="str">
        <f>HYPERLINK("https://ictv.global/taxonomy/taxondetails?taxnode_id=202205495","ictv.global=202205495")</f>
        <v>ictv.global=202205495</v>
      </c>
    </row>
    <row r="1584" spans="1:21">
      <c r="A1584">
        <v>1583</v>
      </c>
      <c r="B1584" s="29" t="s">
        <v>3682</v>
      </c>
      <c r="C1584" s="29"/>
      <c r="D1584" s="29" t="s">
        <v>3683</v>
      </c>
      <c r="E1584" s="29"/>
      <c r="F1584" s="29" t="s">
        <v>3686</v>
      </c>
      <c r="G1584" s="29"/>
      <c r="H1584" s="29" t="s">
        <v>3687</v>
      </c>
      <c r="I1584" s="29"/>
      <c r="J1584" s="29"/>
      <c r="K1584" s="29"/>
      <c r="L1584" s="29" t="s">
        <v>4629</v>
      </c>
      <c r="M1584" s="29" t="s">
        <v>4637</v>
      </c>
      <c r="N1584" s="29" t="s">
        <v>3470</v>
      </c>
      <c r="O1584" s="29"/>
      <c r="P1584" s="29" t="s">
        <v>8688</v>
      </c>
      <c r="Q1584" t="s">
        <v>2038</v>
      </c>
      <c r="R1584" t="s">
        <v>2633</v>
      </c>
      <c r="S1584">
        <v>37</v>
      </c>
      <c r="T1584" s="43" t="str">
        <f t="shared" si="67"/>
        <v>2021.010B.R.Binomial_names.zip</v>
      </c>
      <c r="U1584" s="43" t="str">
        <f>HYPERLINK("https://ictv.global/taxonomy/taxondetails?taxnode_id=202205496","ictv.global=202205496")</f>
        <v>ictv.global=202205496</v>
      </c>
    </row>
    <row r="1585" spans="1:21">
      <c r="A1585">
        <v>1584</v>
      </c>
      <c r="B1585" s="29" t="s">
        <v>3682</v>
      </c>
      <c r="C1585" s="29"/>
      <c r="D1585" s="29" t="s">
        <v>3683</v>
      </c>
      <c r="E1585" s="29"/>
      <c r="F1585" s="29" t="s">
        <v>3686</v>
      </c>
      <c r="G1585" s="29"/>
      <c r="H1585" s="29" t="s">
        <v>3687</v>
      </c>
      <c r="I1585" s="29"/>
      <c r="J1585" s="29"/>
      <c r="K1585" s="29"/>
      <c r="L1585" s="29" t="s">
        <v>4629</v>
      </c>
      <c r="M1585" s="29" t="s">
        <v>4637</v>
      </c>
      <c r="N1585" s="29" t="s">
        <v>4638</v>
      </c>
      <c r="O1585" s="29"/>
      <c r="P1585" s="29" t="s">
        <v>8689</v>
      </c>
      <c r="Q1585" t="s">
        <v>2038</v>
      </c>
      <c r="R1585" t="s">
        <v>2633</v>
      </c>
      <c r="S1585">
        <v>37</v>
      </c>
      <c r="T1585" s="43" t="str">
        <f t="shared" si="67"/>
        <v>2021.010B.R.Binomial_names.zip</v>
      </c>
      <c r="U1585" s="43" t="str">
        <f>HYPERLINK("https://ictv.global/taxonomy/taxondetails?taxnode_id=202205494","ictv.global=202205494")</f>
        <v>ictv.global=202205494</v>
      </c>
    </row>
    <row r="1586" spans="1:21">
      <c r="A1586">
        <v>1585</v>
      </c>
      <c r="B1586" s="29" t="s">
        <v>3682</v>
      </c>
      <c r="C1586" s="29"/>
      <c r="D1586" s="29" t="s">
        <v>3683</v>
      </c>
      <c r="E1586" s="29"/>
      <c r="F1586" s="29" t="s">
        <v>3686</v>
      </c>
      <c r="G1586" s="29"/>
      <c r="H1586" s="29" t="s">
        <v>3687</v>
      </c>
      <c r="I1586" s="29"/>
      <c r="J1586" s="29"/>
      <c r="K1586" s="29"/>
      <c r="L1586" s="29" t="s">
        <v>4629</v>
      </c>
      <c r="M1586" s="29" t="s">
        <v>4637</v>
      </c>
      <c r="N1586" s="29" t="s">
        <v>4639</v>
      </c>
      <c r="O1586" s="29"/>
      <c r="P1586" s="29" t="s">
        <v>8690</v>
      </c>
      <c r="Q1586" t="s">
        <v>2038</v>
      </c>
      <c r="R1586" t="s">
        <v>2633</v>
      </c>
      <c r="S1586">
        <v>37</v>
      </c>
      <c r="T1586" s="43" t="str">
        <f t="shared" si="67"/>
        <v>2021.010B.R.Binomial_names.zip</v>
      </c>
      <c r="U1586" s="43" t="str">
        <f>HYPERLINK("https://ictv.global/taxonomy/taxondetails?taxnode_id=202211637","ictv.global=202211637")</f>
        <v>ictv.global=202211637</v>
      </c>
    </row>
    <row r="1587" spans="1:21">
      <c r="A1587">
        <v>1586</v>
      </c>
      <c r="B1587" s="29" t="s">
        <v>3682</v>
      </c>
      <c r="C1587" s="29"/>
      <c r="D1587" s="29" t="s">
        <v>3683</v>
      </c>
      <c r="E1587" s="29"/>
      <c r="F1587" s="29" t="s">
        <v>3686</v>
      </c>
      <c r="G1587" s="29"/>
      <c r="H1587" s="29" t="s">
        <v>3687</v>
      </c>
      <c r="I1587" s="29"/>
      <c r="J1587" s="29"/>
      <c r="K1587" s="29"/>
      <c r="L1587" s="29" t="s">
        <v>4629</v>
      </c>
      <c r="M1587" s="29" t="s">
        <v>4637</v>
      </c>
      <c r="N1587" s="29" t="s">
        <v>4639</v>
      </c>
      <c r="O1587" s="29"/>
      <c r="P1587" s="29" t="s">
        <v>8691</v>
      </c>
      <c r="Q1587" t="s">
        <v>2038</v>
      </c>
      <c r="R1587" t="s">
        <v>2633</v>
      </c>
      <c r="S1587">
        <v>37</v>
      </c>
      <c r="T1587" s="43" t="str">
        <f t="shared" si="67"/>
        <v>2021.010B.R.Binomial_names.zip</v>
      </c>
      <c r="U1587" s="43" t="str">
        <f>HYPERLINK("https://ictv.global/taxonomy/taxondetails?taxnode_id=202211636","ictv.global=202211636")</f>
        <v>ictv.global=202211636</v>
      </c>
    </row>
    <row r="1588" spans="1:21">
      <c r="A1588">
        <v>1587</v>
      </c>
      <c r="B1588" s="29" t="s">
        <v>3682</v>
      </c>
      <c r="C1588" s="29"/>
      <c r="D1588" s="29" t="s">
        <v>3683</v>
      </c>
      <c r="E1588" s="29"/>
      <c r="F1588" s="29" t="s">
        <v>3686</v>
      </c>
      <c r="G1588" s="29"/>
      <c r="H1588" s="29" t="s">
        <v>3687</v>
      </c>
      <c r="I1588" s="29"/>
      <c r="J1588" s="29"/>
      <c r="K1588" s="29"/>
      <c r="L1588" s="29" t="s">
        <v>4629</v>
      </c>
      <c r="M1588" s="29" t="s">
        <v>4640</v>
      </c>
      <c r="N1588" s="29" t="s">
        <v>3480</v>
      </c>
      <c r="O1588" s="29"/>
      <c r="P1588" s="29" t="s">
        <v>8692</v>
      </c>
      <c r="Q1588" t="s">
        <v>2038</v>
      </c>
      <c r="R1588" t="s">
        <v>2633</v>
      </c>
      <c r="S1588">
        <v>37</v>
      </c>
      <c r="T1588" s="43" t="str">
        <f t="shared" si="67"/>
        <v>2021.010B.R.Binomial_names.zip</v>
      </c>
      <c r="U1588" s="43" t="str">
        <f>HYPERLINK("https://ictv.global/taxonomy/taxondetails?taxnode_id=202200657","ictv.global=202200657")</f>
        <v>ictv.global=202200657</v>
      </c>
    </row>
    <row r="1589" spans="1:21">
      <c r="A1589">
        <v>1588</v>
      </c>
      <c r="B1589" s="29" t="s">
        <v>3682</v>
      </c>
      <c r="C1589" s="29"/>
      <c r="D1589" s="29" t="s">
        <v>3683</v>
      </c>
      <c r="E1589" s="29"/>
      <c r="F1589" s="29" t="s">
        <v>3686</v>
      </c>
      <c r="G1589" s="29"/>
      <c r="H1589" s="29" t="s">
        <v>3687</v>
      </c>
      <c r="I1589" s="29"/>
      <c r="J1589" s="29"/>
      <c r="K1589" s="29"/>
      <c r="L1589" s="29" t="s">
        <v>4629</v>
      </c>
      <c r="M1589" s="29" t="s">
        <v>4640</v>
      </c>
      <c r="N1589" s="29" t="s">
        <v>3480</v>
      </c>
      <c r="O1589" s="29"/>
      <c r="P1589" s="29" t="s">
        <v>8693</v>
      </c>
      <c r="Q1589" t="s">
        <v>2038</v>
      </c>
      <c r="R1589" t="s">
        <v>2633</v>
      </c>
      <c r="S1589">
        <v>37</v>
      </c>
      <c r="T1589" s="43" t="str">
        <f t="shared" si="67"/>
        <v>2021.010B.R.Binomial_names.zip</v>
      </c>
      <c r="U1589" s="43" t="str">
        <f>HYPERLINK("https://ictv.global/taxonomy/taxondetails?taxnode_id=202200658","ictv.global=202200658")</f>
        <v>ictv.global=202200658</v>
      </c>
    </row>
    <row r="1590" spans="1:21">
      <c r="A1590">
        <v>1589</v>
      </c>
      <c r="B1590" s="29" t="s">
        <v>3682</v>
      </c>
      <c r="C1590" s="29"/>
      <c r="D1590" s="29" t="s">
        <v>3683</v>
      </c>
      <c r="E1590" s="29"/>
      <c r="F1590" s="29" t="s">
        <v>3686</v>
      </c>
      <c r="G1590" s="29"/>
      <c r="H1590" s="29" t="s">
        <v>3687</v>
      </c>
      <c r="I1590" s="29"/>
      <c r="J1590" s="29"/>
      <c r="K1590" s="29"/>
      <c r="L1590" s="29" t="s">
        <v>4629</v>
      </c>
      <c r="M1590" s="29" t="s">
        <v>4640</v>
      </c>
      <c r="N1590" s="29" t="s">
        <v>3480</v>
      </c>
      <c r="O1590" s="29"/>
      <c r="P1590" s="29" t="s">
        <v>8694</v>
      </c>
      <c r="Q1590" t="s">
        <v>2038</v>
      </c>
      <c r="R1590" t="s">
        <v>2632</v>
      </c>
      <c r="S1590">
        <v>38</v>
      </c>
      <c r="T1590" s="43" t="str">
        <f>HYPERLINK("https://ictv.global/ictv/proposals/2022.073B.Schitoviridae_1nsf_9ng_30nsp.zip","2022.073B.Schitoviridae_1nsf_9ng_30nsp.zip")</f>
        <v>2022.073B.Schitoviridae_1nsf_9ng_30nsp.zip</v>
      </c>
      <c r="U1590" s="43" t="str">
        <f>HYPERLINK("https://ictv.global/taxonomy/taxondetails?taxnode_id=202214827","ictv.global=202214827")</f>
        <v>ictv.global=202214827</v>
      </c>
    </row>
    <row r="1591" spans="1:21">
      <c r="A1591">
        <v>1590</v>
      </c>
      <c r="B1591" s="29" t="s">
        <v>3682</v>
      </c>
      <c r="C1591" s="29"/>
      <c r="D1591" s="29" t="s">
        <v>3683</v>
      </c>
      <c r="E1591" s="29"/>
      <c r="F1591" s="29" t="s">
        <v>3686</v>
      </c>
      <c r="G1591" s="29"/>
      <c r="H1591" s="29" t="s">
        <v>3687</v>
      </c>
      <c r="I1591" s="29"/>
      <c r="J1591" s="29"/>
      <c r="K1591" s="29"/>
      <c r="L1591" s="29" t="s">
        <v>4629</v>
      </c>
      <c r="M1591" s="29" t="s">
        <v>4640</v>
      </c>
      <c r="N1591" s="29" t="s">
        <v>3480</v>
      </c>
      <c r="O1591" s="29"/>
      <c r="P1591" s="29" t="s">
        <v>8695</v>
      </c>
      <c r="Q1591" t="s">
        <v>2038</v>
      </c>
      <c r="R1591" t="s">
        <v>2632</v>
      </c>
      <c r="S1591">
        <v>38</v>
      </c>
      <c r="T1591" s="43" t="str">
        <f>HYPERLINK("https://ictv.global/ictv/proposals/2022.073B.Schitoviridae_1nsf_9ng_30nsp.zip","2022.073B.Schitoviridae_1nsf_9ng_30nsp.zip")</f>
        <v>2022.073B.Schitoviridae_1nsf_9ng_30nsp.zip</v>
      </c>
      <c r="U1591" s="43" t="str">
        <f>HYPERLINK("https://ictv.global/taxonomy/taxondetails?taxnode_id=202214828","ictv.global=202214828")</f>
        <v>ictv.global=202214828</v>
      </c>
    </row>
    <row r="1592" spans="1:21">
      <c r="A1592">
        <v>1591</v>
      </c>
      <c r="B1592" s="29" t="s">
        <v>3682</v>
      </c>
      <c r="C1592" s="29"/>
      <c r="D1592" s="29" t="s">
        <v>3683</v>
      </c>
      <c r="E1592" s="29"/>
      <c r="F1592" s="29" t="s">
        <v>3686</v>
      </c>
      <c r="G1592" s="29"/>
      <c r="H1592" s="29" t="s">
        <v>3687</v>
      </c>
      <c r="I1592" s="29"/>
      <c r="J1592" s="29"/>
      <c r="K1592" s="29"/>
      <c r="L1592" s="29" t="s">
        <v>4629</v>
      </c>
      <c r="M1592" s="29" t="s">
        <v>4640</v>
      </c>
      <c r="N1592" s="29" t="s">
        <v>3480</v>
      </c>
      <c r="O1592" s="29"/>
      <c r="P1592" s="29" t="s">
        <v>8696</v>
      </c>
      <c r="Q1592" t="s">
        <v>2038</v>
      </c>
      <c r="R1592" t="s">
        <v>2633</v>
      </c>
      <c r="S1592">
        <v>37</v>
      </c>
      <c r="T1592" s="43" t="str">
        <f>HYPERLINK("https://ictv.global/ictv/proposals/2021.010B.R.Binomial_names.zip","2021.010B.R.Binomial_names.zip")</f>
        <v>2021.010B.R.Binomial_names.zip</v>
      </c>
      <c r="U1592" s="43" t="str">
        <f>HYPERLINK("https://ictv.global/taxonomy/taxondetails?taxnode_id=202200659","ictv.global=202200659")</f>
        <v>ictv.global=202200659</v>
      </c>
    </row>
    <row r="1593" spans="1:21">
      <c r="A1593">
        <v>1592</v>
      </c>
      <c r="B1593" s="29" t="s">
        <v>3682</v>
      </c>
      <c r="C1593" s="29"/>
      <c r="D1593" s="29" t="s">
        <v>3683</v>
      </c>
      <c r="E1593" s="29"/>
      <c r="F1593" s="29" t="s">
        <v>3686</v>
      </c>
      <c r="G1593" s="29"/>
      <c r="H1593" s="29" t="s">
        <v>3687</v>
      </c>
      <c r="I1593" s="29"/>
      <c r="J1593" s="29"/>
      <c r="K1593" s="29"/>
      <c r="L1593" s="29" t="s">
        <v>4629</v>
      </c>
      <c r="M1593" s="29" t="s">
        <v>4640</v>
      </c>
      <c r="N1593" s="29" t="s">
        <v>3480</v>
      </c>
      <c r="O1593" s="29"/>
      <c r="P1593" s="29" t="s">
        <v>8697</v>
      </c>
      <c r="Q1593" t="s">
        <v>2038</v>
      </c>
      <c r="R1593" t="s">
        <v>2632</v>
      </c>
      <c r="S1593">
        <v>38</v>
      </c>
      <c r="T1593" s="43" t="str">
        <f>HYPERLINK("https://ictv.global/ictv/proposals/2022.073B.Schitoviridae_1nsf_9ng_30nsp.zip","2022.073B.Schitoviridae_1nsf_9ng_30nsp.zip")</f>
        <v>2022.073B.Schitoviridae_1nsf_9ng_30nsp.zip</v>
      </c>
      <c r="U1593" s="43" t="str">
        <f>HYPERLINK("https://ictv.global/taxonomy/taxondetails?taxnode_id=202214830","ictv.global=202214830")</f>
        <v>ictv.global=202214830</v>
      </c>
    </row>
    <row r="1594" spans="1:21">
      <c r="A1594">
        <v>1593</v>
      </c>
      <c r="B1594" s="29" t="s">
        <v>3682</v>
      </c>
      <c r="C1594" s="29"/>
      <c r="D1594" s="29" t="s">
        <v>3683</v>
      </c>
      <c r="E1594" s="29"/>
      <c r="F1594" s="29" t="s">
        <v>3686</v>
      </c>
      <c r="G1594" s="29"/>
      <c r="H1594" s="29" t="s">
        <v>3687</v>
      </c>
      <c r="I1594" s="29"/>
      <c r="J1594" s="29"/>
      <c r="K1594" s="29"/>
      <c r="L1594" s="29" t="s">
        <v>4629</v>
      </c>
      <c r="M1594" s="29" t="s">
        <v>4640</v>
      </c>
      <c r="N1594" s="29" t="s">
        <v>3480</v>
      </c>
      <c r="O1594" s="29"/>
      <c r="P1594" s="29" t="s">
        <v>8698</v>
      </c>
      <c r="Q1594" t="s">
        <v>2038</v>
      </c>
      <c r="R1594" t="s">
        <v>2632</v>
      </c>
      <c r="S1594">
        <v>38</v>
      </c>
      <c r="T1594" s="43" t="str">
        <f>HYPERLINK("https://ictv.global/ictv/proposals/2022.073B.Schitoviridae_1nsf_9ng_30nsp.zip","2022.073B.Schitoviridae_1nsf_9ng_30nsp.zip")</f>
        <v>2022.073B.Schitoviridae_1nsf_9ng_30nsp.zip</v>
      </c>
      <c r="U1594" s="43" t="str">
        <f>HYPERLINK("https://ictv.global/taxonomy/taxondetails?taxnode_id=202214829","ictv.global=202214829")</f>
        <v>ictv.global=202214829</v>
      </c>
    </row>
    <row r="1595" spans="1:21">
      <c r="A1595">
        <v>1594</v>
      </c>
      <c r="B1595" s="29" t="s">
        <v>3682</v>
      </c>
      <c r="C1595" s="29"/>
      <c r="D1595" s="29" t="s">
        <v>3683</v>
      </c>
      <c r="E1595" s="29"/>
      <c r="F1595" s="29" t="s">
        <v>3686</v>
      </c>
      <c r="G1595" s="29"/>
      <c r="H1595" s="29" t="s">
        <v>3687</v>
      </c>
      <c r="I1595" s="29"/>
      <c r="J1595" s="29"/>
      <c r="K1595" s="29"/>
      <c r="L1595" s="29" t="s">
        <v>4629</v>
      </c>
      <c r="M1595" s="29" t="s">
        <v>4640</v>
      </c>
      <c r="N1595" s="29" t="s">
        <v>3480</v>
      </c>
      <c r="O1595" s="29"/>
      <c r="P1595" s="29" t="s">
        <v>8699</v>
      </c>
      <c r="Q1595" t="s">
        <v>2038</v>
      </c>
      <c r="R1595" t="s">
        <v>2632</v>
      </c>
      <c r="S1595">
        <v>38</v>
      </c>
      <c r="T1595" s="43" t="str">
        <f>HYPERLINK("https://ictv.global/ictv/proposals/2022.073B.Schitoviridae_1nsf_9ng_30nsp.zip","2022.073B.Schitoviridae_1nsf_9ng_30nsp.zip")</f>
        <v>2022.073B.Schitoviridae_1nsf_9ng_30nsp.zip</v>
      </c>
      <c r="U1595" s="43" t="str">
        <f>HYPERLINK("https://ictv.global/taxonomy/taxondetails?taxnode_id=202214825","ictv.global=202214825")</f>
        <v>ictv.global=202214825</v>
      </c>
    </row>
    <row r="1596" spans="1:21">
      <c r="A1596">
        <v>1595</v>
      </c>
      <c r="B1596" s="29" t="s">
        <v>3682</v>
      </c>
      <c r="C1596" s="29"/>
      <c r="D1596" s="29" t="s">
        <v>3683</v>
      </c>
      <c r="E1596" s="29"/>
      <c r="F1596" s="29" t="s">
        <v>3686</v>
      </c>
      <c r="G1596" s="29"/>
      <c r="H1596" s="29" t="s">
        <v>3687</v>
      </c>
      <c r="I1596" s="29"/>
      <c r="J1596" s="29"/>
      <c r="K1596" s="29"/>
      <c r="L1596" s="29" t="s">
        <v>4629</v>
      </c>
      <c r="M1596" s="29" t="s">
        <v>4640</v>
      </c>
      <c r="N1596" s="29" t="s">
        <v>3480</v>
      </c>
      <c r="O1596" s="29"/>
      <c r="P1596" s="29" t="s">
        <v>8700</v>
      </c>
      <c r="Q1596" t="s">
        <v>2038</v>
      </c>
      <c r="R1596" t="s">
        <v>2632</v>
      </c>
      <c r="S1596">
        <v>38</v>
      </c>
      <c r="T1596" s="43" t="str">
        <f>HYPERLINK("https://ictv.global/ictv/proposals/2022.073B.Schitoviridae_1nsf_9ng_30nsp.zip","2022.073B.Schitoviridae_1nsf_9ng_30nsp.zip")</f>
        <v>2022.073B.Schitoviridae_1nsf_9ng_30nsp.zip</v>
      </c>
      <c r="U1596" s="43" t="str">
        <f>HYPERLINK("https://ictv.global/taxonomy/taxondetails?taxnode_id=202214826","ictv.global=202214826")</f>
        <v>ictv.global=202214826</v>
      </c>
    </row>
    <row r="1597" spans="1:21">
      <c r="A1597">
        <v>1596</v>
      </c>
      <c r="B1597" s="29" t="s">
        <v>3682</v>
      </c>
      <c r="C1597" s="29"/>
      <c r="D1597" s="29" t="s">
        <v>3683</v>
      </c>
      <c r="E1597" s="29"/>
      <c r="F1597" s="29" t="s">
        <v>3686</v>
      </c>
      <c r="G1597" s="29"/>
      <c r="H1597" s="29" t="s">
        <v>3687</v>
      </c>
      <c r="I1597" s="29"/>
      <c r="J1597" s="29"/>
      <c r="K1597" s="29"/>
      <c r="L1597" s="29" t="s">
        <v>4629</v>
      </c>
      <c r="M1597" s="29" t="s">
        <v>4640</v>
      </c>
      <c r="N1597" s="29" t="s">
        <v>3481</v>
      </c>
      <c r="O1597" s="29"/>
      <c r="P1597" s="29" t="s">
        <v>8701</v>
      </c>
      <c r="Q1597" t="s">
        <v>2038</v>
      </c>
      <c r="R1597" t="s">
        <v>2633</v>
      </c>
      <c r="S1597">
        <v>37</v>
      </c>
      <c r="T1597" s="43" t="str">
        <f t="shared" ref="T1597:T1605" si="68">HYPERLINK("https://ictv.global/ictv/proposals/2021.010B.R.Binomial_names.zip","2021.010B.R.Binomial_names.zip")</f>
        <v>2021.010B.R.Binomial_names.zip</v>
      </c>
      <c r="U1597" s="43" t="str">
        <f>HYPERLINK("https://ictv.global/taxonomy/taxondetails?taxnode_id=202200669","ictv.global=202200669")</f>
        <v>ictv.global=202200669</v>
      </c>
    </row>
    <row r="1598" spans="1:21">
      <c r="A1598">
        <v>1597</v>
      </c>
      <c r="B1598" s="29" t="s">
        <v>3682</v>
      </c>
      <c r="C1598" s="29"/>
      <c r="D1598" s="29" t="s">
        <v>3683</v>
      </c>
      <c r="E1598" s="29"/>
      <c r="F1598" s="29" t="s">
        <v>3686</v>
      </c>
      <c r="G1598" s="29"/>
      <c r="H1598" s="29" t="s">
        <v>3687</v>
      </c>
      <c r="I1598" s="29"/>
      <c r="J1598" s="29"/>
      <c r="K1598" s="29"/>
      <c r="L1598" s="29" t="s">
        <v>4629</v>
      </c>
      <c r="M1598" s="29" t="s">
        <v>4640</v>
      </c>
      <c r="N1598" s="29" t="s">
        <v>3481</v>
      </c>
      <c r="O1598" s="29"/>
      <c r="P1598" s="29" t="s">
        <v>8702</v>
      </c>
      <c r="Q1598" t="s">
        <v>2038</v>
      </c>
      <c r="R1598" t="s">
        <v>2633</v>
      </c>
      <c r="S1598">
        <v>37</v>
      </c>
      <c r="T1598" s="43" t="str">
        <f t="shared" si="68"/>
        <v>2021.010B.R.Binomial_names.zip</v>
      </c>
      <c r="U1598" s="43" t="str">
        <f>HYPERLINK("https://ictv.global/taxonomy/taxondetails?taxnode_id=202200670","ictv.global=202200670")</f>
        <v>ictv.global=202200670</v>
      </c>
    </row>
    <row r="1599" spans="1:21">
      <c r="A1599">
        <v>1598</v>
      </c>
      <c r="B1599" s="29" t="s">
        <v>3682</v>
      </c>
      <c r="C1599" s="29"/>
      <c r="D1599" s="29" t="s">
        <v>3683</v>
      </c>
      <c r="E1599" s="29"/>
      <c r="F1599" s="29" t="s">
        <v>3686</v>
      </c>
      <c r="G1599" s="29"/>
      <c r="H1599" s="29" t="s">
        <v>3687</v>
      </c>
      <c r="I1599" s="29"/>
      <c r="J1599" s="29"/>
      <c r="K1599" s="29"/>
      <c r="L1599" s="29" t="s">
        <v>4629</v>
      </c>
      <c r="M1599" s="29" t="s">
        <v>4641</v>
      </c>
      <c r="N1599" s="29" t="s">
        <v>4642</v>
      </c>
      <c r="O1599" s="29"/>
      <c r="P1599" s="29" t="s">
        <v>8703</v>
      </c>
      <c r="Q1599" t="s">
        <v>2038</v>
      </c>
      <c r="R1599" t="s">
        <v>2633</v>
      </c>
      <c r="S1599">
        <v>37</v>
      </c>
      <c r="T1599" s="43" t="str">
        <f t="shared" si="68"/>
        <v>2021.010B.R.Binomial_names.zip</v>
      </c>
      <c r="U1599" s="43" t="str">
        <f>HYPERLINK("https://ictv.global/taxonomy/taxondetails?taxnode_id=202211786","ictv.global=202211786")</f>
        <v>ictv.global=202211786</v>
      </c>
    </row>
    <row r="1600" spans="1:21">
      <c r="A1600">
        <v>1599</v>
      </c>
      <c r="B1600" s="29" t="s">
        <v>3682</v>
      </c>
      <c r="C1600" s="29"/>
      <c r="D1600" s="29" t="s">
        <v>3683</v>
      </c>
      <c r="E1600" s="29"/>
      <c r="F1600" s="29" t="s">
        <v>3686</v>
      </c>
      <c r="G1600" s="29"/>
      <c r="H1600" s="29" t="s">
        <v>3687</v>
      </c>
      <c r="I1600" s="29"/>
      <c r="J1600" s="29"/>
      <c r="K1600" s="29"/>
      <c r="L1600" s="29" t="s">
        <v>4629</v>
      </c>
      <c r="M1600" s="29" t="s">
        <v>4641</v>
      </c>
      <c r="N1600" s="29" t="s">
        <v>4643</v>
      </c>
      <c r="O1600" s="29"/>
      <c r="P1600" s="29" t="s">
        <v>8704</v>
      </c>
      <c r="Q1600" t="s">
        <v>2038</v>
      </c>
      <c r="R1600" t="s">
        <v>2633</v>
      </c>
      <c r="S1600">
        <v>37</v>
      </c>
      <c r="T1600" s="43" t="str">
        <f t="shared" si="68"/>
        <v>2021.010B.R.Binomial_names.zip</v>
      </c>
      <c r="U1600" s="43" t="str">
        <f>HYPERLINK("https://ictv.global/taxonomy/taxondetails?taxnode_id=202211788","ictv.global=202211788")</f>
        <v>ictv.global=202211788</v>
      </c>
    </row>
    <row r="1601" spans="1:21">
      <c r="A1601">
        <v>1600</v>
      </c>
      <c r="B1601" s="29" t="s">
        <v>3682</v>
      </c>
      <c r="C1601" s="29"/>
      <c r="D1601" s="29" t="s">
        <v>3683</v>
      </c>
      <c r="E1601" s="29"/>
      <c r="F1601" s="29" t="s">
        <v>3686</v>
      </c>
      <c r="G1601" s="29"/>
      <c r="H1601" s="29" t="s">
        <v>3687</v>
      </c>
      <c r="I1601" s="29"/>
      <c r="J1601" s="29"/>
      <c r="K1601" s="29"/>
      <c r="L1601" s="29" t="s">
        <v>4629</v>
      </c>
      <c r="M1601" s="29" t="s">
        <v>4641</v>
      </c>
      <c r="N1601" s="29" t="s">
        <v>4644</v>
      </c>
      <c r="O1601" s="29"/>
      <c r="P1601" s="29" t="s">
        <v>8705</v>
      </c>
      <c r="Q1601" t="s">
        <v>2038</v>
      </c>
      <c r="R1601" t="s">
        <v>2633</v>
      </c>
      <c r="S1601">
        <v>37</v>
      </c>
      <c r="T1601" s="43" t="str">
        <f t="shared" si="68"/>
        <v>2021.010B.R.Binomial_names.zip</v>
      </c>
      <c r="U1601" s="43" t="str">
        <f>HYPERLINK("https://ictv.global/taxonomy/taxondetails?taxnode_id=202211784","ictv.global=202211784")</f>
        <v>ictv.global=202211784</v>
      </c>
    </row>
    <row r="1602" spans="1:21">
      <c r="A1602">
        <v>1601</v>
      </c>
      <c r="B1602" s="29" t="s">
        <v>3682</v>
      </c>
      <c r="C1602" s="29"/>
      <c r="D1602" s="29" t="s">
        <v>3683</v>
      </c>
      <c r="E1602" s="29"/>
      <c r="F1602" s="29" t="s">
        <v>3686</v>
      </c>
      <c r="G1602" s="29"/>
      <c r="H1602" s="29" t="s">
        <v>3687</v>
      </c>
      <c r="I1602" s="29"/>
      <c r="J1602" s="29"/>
      <c r="K1602" s="29"/>
      <c r="L1602" s="29" t="s">
        <v>4629</v>
      </c>
      <c r="M1602" s="29" t="s">
        <v>4645</v>
      </c>
      <c r="N1602" s="29" t="s">
        <v>4646</v>
      </c>
      <c r="O1602" s="29"/>
      <c r="P1602" s="29" t="s">
        <v>8706</v>
      </c>
      <c r="Q1602" t="s">
        <v>2038</v>
      </c>
      <c r="R1602" t="s">
        <v>2633</v>
      </c>
      <c r="S1602">
        <v>37</v>
      </c>
      <c r="T1602" s="43" t="str">
        <f t="shared" si="68"/>
        <v>2021.010B.R.Binomial_names.zip</v>
      </c>
      <c r="U1602" s="43" t="str">
        <f>HYPERLINK("https://ictv.global/taxonomy/taxondetails?taxnode_id=202211797","ictv.global=202211797")</f>
        <v>ictv.global=202211797</v>
      </c>
    </row>
    <row r="1603" spans="1:21">
      <c r="A1603">
        <v>1602</v>
      </c>
      <c r="B1603" s="29" t="s">
        <v>3682</v>
      </c>
      <c r="C1603" s="29"/>
      <c r="D1603" s="29" t="s">
        <v>3683</v>
      </c>
      <c r="E1603" s="29"/>
      <c r="F1603" s="29" t="s">
        <v>3686</v>
      </c>
      <c r="G1603" s="29"/>
      <c r="H1603" s="29" t="s">
        <v>3687</v>
      </c>
      <c r="I1603" s="29"/>
      <c r="J1603" s="29"/>
      <c r="K1603" s="29"/>
      <c r="L1603" s="29" t="s">
        <v>4629</v>
      </c>
      <c r="M1603" s="29" t="s">
        <v>4645</v>
      </c>
      <c r="N1603" s="29" t="s">
        <v>4647</v>
      </c>
      <c r="O1603" s="29"/>
      <c r="P1603" s="29" t="s">
        <v>8707</v>
      </c>
      <c r="Q1603" t="s">
        <v>2038</v>
      </c>
      <c r="R1603" t="s">
        <v>2633</v>
      </c>
      <c r="S1603">
        <v>37</v>
      </c>
      <c r="T1603" s="43" t="str">
        <f t="shared" si="68"/>
        <v>2021.010B.R.Binomial_names.zip</v>
      </c>
      <c r="U1603" s="43" t="str">
        <f>HYPERLINK("https://ictv.global/taxonomy/taxondetails?taxnode_id=202211801","ictv.global=202211801")</f>
        <v>ictv.global=202211801</v>
      </c>
    </row>
    <row r="1604" spans="1:21">
      <c r="A1604">
        <v>1603</v>
      </c>
      <c r="B1604" s="29" t="s">
        <v>3682</v>
      </c>
      <c r="C1604" s="29"/>
      <c r="D1604" s="29" t="s">
        <v>3683</v>
      </c>
      <c r="E1604" s="29"/>
      <c r="F1604" s="29" t="s">
        <v>3686</v>
      </c>
      <c r="G1604" s="29"/>
      <c r="H1604" s="29" t="s">
        <v>3687</v>
      </c>
      <c r="I1604" s="29"/>
      <c r="J1604" s="29"/>
      <c r="K1604" s="29"/>
      <c r="L1604" s="29" t="s">
        <v>4629</v>
      </c>
      <c r="M1604" s="29" t="s">
        <v>4645</v>
      </c>
      <c r="N1604" s="29" t="s">
        <v>4647</v>
      </c>
      <c r="O1604" s="29"/>
      <c r="P1604" s="29" t="s">
        <v>8708</v>
      </c>
      <c r="Q1604" t="s">
        <v>2038</v>
      </c>
      <c r="R1604" t="s">
        <v>2633</v>
      </c>
      <c r="S1604">
        <v>37</v>
      </c>
      <c r="T1604" s="43" t="str">
        <f t="shared" si="68"/>
        <v>2021.010B.R.Binomial_names.zip</v>
      </c>
      <c r="U1604" s="43" t="str">
        <f>HYPERLINK("https://ictv.global/taxonomy/taxondetails?taxnode_id=202211802","ictv.global=202211802")</f>
        <v>ictv.global=202211802</v>
      </c>
    </row>
    <row r="1605" spans="1:21">
      <c r="A1605">
        <v>1604</v>
      </c>
      <c r="B1605" s="29" t="s">
        <v>3682</v>
      </c>
      <c r="C1605" s="29"/>
      <c r="D1605" s="29" t="s">
        <v>3683</v>
      </c>
      <c r="E1605" s="29"/>
      <c r="F1605" s="29" t="s">
        <v>3686</v>
      </c>
      <c r="G1605" s="29"/>
      <c r="H1605" s="29" t="s">
        <v>3687</v>
      </c>
      <c r="I1605" s="29"/>
      <c r="J1605" s="29"/>
      <c r="K1605" s="29"/>
      <c r="L1605" s="29" t="s">
        <v>4629</v>
      </c>
      <c r="M1605" s="29" t="s">
        <v>4645</v>
      </c>
      <c r="N1605" s="29" t="s">
        <v>3461</v>
      </c>
      <c r="O1605" s="29"/>
      <c r="P1605" s="29" t="s">
        <v>8709</v>
      </c>
      <c r="Q1605" t="s">
        <v>2038</v>
      </c>
      <c r="R1605" t="s">
        <v>2633</v>
      </c>
      <c r="S1605">
        <v>37</v>
      </c>
      <c r="T1605" s="43" t="str">
        <f t="shared" si="68"/>
        <v>2021.010B.R.Binomial_names.zip</v>
      </c>
      <c r="U1605" s="43" t="str">
        <f>HYPERLINK("https://ictv.global/taxonomy/taxondetails?taxnode_id=202205488","ictv.global=202205488")</f>
        <v>ictv.global=202205488</v>
      </c>
    </row>
    <row r="1606" spans="1:21">
      <c r="A1606">
        <v>1605</v>
      </c>
      <c r="B1606" s="29" t="s">
        <v>3682</v>
      </c>
      <c r="C1606" s="29"/>
      <c r="D1606" s="29" t="s">
        <v>3683</v>
      </c>
      <c r="E1606" s="29"/>
      <c r="F1606" s="29" t="s">
        <v>3686</v>
      </c>
      <c r="G1606" s="29"/>
      <c r="H1606" s="29" t="s">
        <v>3687</v>
      </c>
      <c r="I1606" s="29"/>
      <c r="J1606" s="29"/>
      <c r="K1606" s="29"/>
      <c r="L1606" s="29" t="s">
        <v>4629</v>
      </c>
      <c r="M1606" s="29" t="s">
        <v>4645</v>
      </c>
      <c r="N1606" s="29" t="s">
        <v>8710</v>
      </c>
      <c r="O1606" s="29"/>
      <c r="P1606" s="29" t="s">
        <v>8711</v>
      </c>
      <c r="Q1606" t="s">
        <v>2038</v>
      </c>
      <c r="R1606" t="s">
        <v>2632</v>
      </c>
      <c r="S1606">
        <v>38</v>
      </c>
      <c r="T1606" s="43" t="str">
        <f>HYPERLINK("https://ictv.global/ictv/proposals/2022.073B.Schitoviridae_1nsf_9ng_30nsp.zip","2022.073B.Schitoviridae_1nsf_9ng_30nsp.zip")</f>
        <v>2022.073B.Schitoviridae_1nsf_9ng_30nsp.zip</v>
      </c>
      <c r="U1606" s="43" t="str">
        <f>HYPERLINK("https://ictv.global/taxonomy/taxondetails?taxnode_id=202214822","ictv.global=202214822")</f>
        <v>ictv.global=202214822</v>
      </c>
    </row>
    <row r="1607" spans="1:21">
      <c r="A1607">
        <v>1606</v>
      </c>
      <c r="B1607" s="29" t="s">
        <v>3682</v>
      </c>
      <c r="C1607" s="29"/>
      <c r="D1607" s="29" t="s">
        <v>3683</v>
      </c>
      <c r="E1607" s="29"/>
      <c r="F1607" s="29" t="s">
        <v>3686</v>
      </c>
      <c r="G1607" s="29"/>
      <c r="H1607" s="29" t="s">
        <v>3687</v>
      </c>
      <c r="I1607" s="29"/>
      <c r="J1607" s="29"/>
      <c r="K1607" s="29"/>
      <c r="L1607" s="29" t="s">
        <v>4629</v>
      </c>
      <c r="M1607" s="29" t="s">
        <v>4645</v>
      </c>
      <c r="N1607" s="29" t="s">
        <v>4648</v>
      </c>
      <c r="O1607" s="29"/>
      <c r="P1607" s="29" t="s">
        <v>8712</v>
      </c>
      <c r="Q1607" t="s">
        <v>2038</v>
      </c>
      <c r="R1607" t="s">
        <v>2633</v>
      </c>
      <c r="S1607">
        <v>37</v>
      </c>
      <c r="T1607" s="43" t="str">
        <f t="shared" ref="T1607:T1618" si="69">HYPERLINK("https://ictv.global/ictv/proposals/2021.010B.R.Binomial_names.zip","2021.010B.R.Binomial_names.zip")</f>
        <v>2021.010B.R.Binomial_names.zip</v>
      </c>
      <c r="U1607" s="43" t="str">
        <f>HYPERLINK("https://ictv.global/taxonomy/taxondetails?taxnode_id=202211791","ictv.global=202211791")</f>
        <v>ictv.global=202211791</v>
      </c>
    </row>
    <row r="1608" spans="1:21">
      <c r="A1608">
        <v>1607</v>
      </c>
      <c r="B1608" s="29" t="s">
        <v>3682</v>
      </c>
      <c r="C1608" s="29"/>
      <c r="D1608" s="29" t="s">
        <v>3683</v>
      </c>
      <c r="E1608" s="29"/>
      <c r="F1608" s="29" t="s">
        <v>3686</v>
      </c>
      <c r="G1608" s="29"/>
      <c r="H1608" s="29" t="s">
        <v>3687</v>
      </c>
      <c r="I1608" s="29"/>
      <c r="J1608" s="29"/>
      <c r="K1608" s="29"/>
      <c r="L1608" s="29" t="s">
        <v>4629</v>
      </c>
      <c r="M1608" s="29" t="s">
        <v>4645</v>
      </c>
      <c r="N1608" s="29" t="s">
        <v>4649</v>
      </c>
      <c r="O1608" s="29"/>
      <c r="P1608" s="29" t="s">
        <v>8713</v>
      </c>
      <c r="Q1608" t="s">
        <v>2038</v>
      </c>
      <c r="R1608" t="s">
        <v>2633</v>
      </c>
      <c r="S1608">
        <v>37</v>
      </c>
      <c r="T1608" s="43" t="str">
        <f t="shared" si="69"/>
        <v>2021.010B.R.Binomial_names.zip</v>
      </c>
      <c r="U1608" s="43" t="str">
        <f>HYPERLINK("https://ictv.global/taxonomy/taxondetails?taxnode_id=202211795","ictv.global=202211795")</f>
        <v>ictv.global=202211795</v>
      </c>
    </row>
    <row r="1609" spans="1:21">
      <c r="A1609">
        <v>1608</v>
      </c>
      <c r="B1609" s="29" t="s">
        <v>3682</v>
      </c>
      <c r="C1609" s="29"/>
      <c r="D1609" s="29" t="s">
        <v>3683</v>
      </c>
      <c r="E1609" s="29"/>
      <c r="F1609" s="29" t="s">
        <v>3686</v>
      </c>
      <c r="G1609" s="29"/>
      <c r="H1609" s="29" t="s">
        <v>3687</v>
      </c>
      <c r="I1609" s="29"/>
      <c r="J1609" s="29"/>
      <c r="K1609" s="29"/>
      <c r="L1609" s="29" t="s">
        <v>4629</v>
      </c>
      <c r="M1609" s="29" t="s">
        <v>4645</v>
      </c>
      <c r="N1609" s="29" t="s">
        <v>4650</v>
      </c>
      <c r="O1609" s="29"/>
      <c r="P1609" s="29" t="s">
        <v>8714</v>
      </c>
      <c r="Q1609" t="s">
        <v>2038</v>
      </c>
      <c r="R1609" t="s">
        <v>2633</v>
      </c>
      <c r="S1609">
        <v>37</v>
      </c>
      <c r="T1609" s="43" t="str">
        <f t="shared" si="69"/>
        <v>2021.010B.R.Binomial_names.zip</v>
      </c>
      <c r="U1609" s="43" t="str">
        <f>HYPERLINK("https://ictv.global/taxonomy/taxondetails?taxnode_id=202211799","ictv.global=202211799")</f>
        <v>ictv.global=202211799</v>
      </c>
    </row>
    <row r="1610" spans="1:21">
      <c r="A1610">
        <v>1609</v>
      </c>
      <c r="B1610" s="29" t="s">
        <v>3682</v>
      </c>
      <c r="C1610" s="29"/>
      <c r="D1610" s="29" t="s">
        <v>3683</v>
      </c>
      <c r="E1610" s="29"/>
      <c r="F1610" s="29" t="s">
        <v>3686</v>
      </c>
      <c r="G1610" s="29"/>
      <c r="H1610" s="29" t="s">
        <v>3687</v>
      </c>
      <c r="I1610" s="29"/>
      <c r="J1610" s="29"/>
      <c r="K1610" s="29"/>
      <c r="L1610" s="29" t="s">
        <v>4629</v>
      </c>
      <c r="M1610" s="29" t="s">
        <v>4645</v>
      </c>
      <c r="N1610" s="29" t="s">
        <v>4651</v>
      </c>
      <c r="O1610" s="29"/>
      <c r="P1610" s="29" t="s">
        <v>8715</v>
      </c>
      <c r="Q1610" t="s">
        <v>2038</v>
      </c>
      <c r="R1610" t="s">
        <v>2633</v>
      </c>
      <c r="S1610">
        <v>37</v>
      </c>
      <c r="T1610" s="43" t="str">
        <f t="shared" si="69"/>
        <v>2021.010B.R.Binomial_names.zip</v>
      </c>
      <c r="U1610" s="43" t="str">
        <f>HYPERLINK("https://ictv.global/taxonomy/taxondetails?taxnode_id=202211793","ictv.global=202211793")</f>
        <v>ictv.global=202211793</v>
      </c>
    </row>
    <row r="1611" spans="1:21">
      <c r="A1611">
        <v>1610</v>
      </c>
      <c r="B1611" s="29" t="s">
        <v>3682</v>
      </c>
      <c r="C1611" s="29"/>
      <c r="D1611" s="29" t="s">
        <v>3683</v>
      </c>
      <c r="E1611" s="29"/>
      <c r="F1611" s="29" t="s">
        <v>3686</v>
      </c>
      <c r="G1611" s="29"/>
      <c r="H1611" s="29" t="s">
        <v>3687</v>
      </c>
      <c r="I1611" s="29"/>
      <c r="J1611" s="29"/>
      <c r="K1611" s="29"/>
      <c r="L1611" s="29" t="s">
        <v>4629</v>
      </c>
      <c r="M1611" s="29" t="s">
        <v>4652</v>
      </c>
      <c r="N1611" s="29" t="s">
        <v>4653</v>
      </c>
      <c r="O1611" s="29"/>
      <c r="P1611" s="29" t="s">
        <v>8716</v>
      </c>
      <c r="Q1611" t="s">
        <v>2038</v>
      </c>
      <c r="R1611" t="s">
        <v>2633</v>
      </c>
      <c r="S1611">
        <v>37</v>
      </c>
      <c r="T1611" s="43" t="str">
        <f t="shared" si="69"/>
        <v>2021.010B.R.Binomial_names.zip</v>
      </c>
      <c r="U1611" s="43" t="str">
        <f>HYPERLINK("https://ictv.global/taxonomy/taxondetails?taxnode_id=202211810","ictv.global=202211810")</f>
        <v>ictv.global=202211810</v>
      </c>
    </row>
    <row r="1612" spans="1:21">
      <c r="A1612">
        <v>1611</v>
      </c>
      <c r="B1612" s="29" t="s">
        <v>3682</v>
      </c>
      <c r="C1612" s="29"/>
      <c r="D1612" s="29" t="s">
        <v>3683</v>
      </c>
      <c r="E1612" s="29"/>
      <c r="F1612" s="29" t="s">
        <v>3686</v>
      </c>
      <c r="G1612" s="29"/>
      <c r="H1612" s="29" t="s">
        <v>3687</v>
      </c>
      <c r="I1612" s="29"/>
      <c r="J1612" s="29"/>
      <c r="K1612" s="29"/>
      <c r="L1612" s="29" t="s">
        <v>4629</v>
      </c>
      <c r="M1612" s="29" t="s">
        <v>4652</v>
      </c>
      <c r="N1612" s="29" t="s">
        <v>4653</v>
      </c>
      <c r="O1612" s="29"/>
      <c r="P1612" s="29" t="s">
        <v>8717</v>
      </c>
      <c r="Q1612" t="s">
        <v>2038</v>
      </c>
      <c r="R1612" t="s">
        <v>2633</v>
      </c>
      <c r="S1612">
        <v>37</v>
      </c>
      <c r="T1612" s="43" t="str">
        <f t="shared" si="69"/>
        <v>2021.010B.R.Binomial_names.zip</v>
      </c>
      <c r="U1612" s="43" t="str">
        <f>HYPERLINK("https://ictv.global/taxonomy/taxondetails?taxnode_id=202211811","ictv.global=202211811")</f>
        <v>ictv.global=202211811</v>
      </c>
    </row>
    <row r="1613" spans="1:21">
      <c r="A1613">
        <v>1612</v>
      </c>
      <c r="B1613" s="29" t="s">
        <v>3682</v>
      </c>
      <c r="C1613" s="29"/>
      <c r="D1613" s="29" t="s">
        <v>3683</v>
      </c>
      <c r="E1613" s="29"/>
      <c r="F1613" s="29" t="s">
        <v>3686</v>
      </c>
      <c r="G1613" s="29"/>
      <c r="H1613" s="29" t="s">
        <v>3687</v>
      </c>
      <c r="I1613" s="29"/>
      <c r="J1613" s="29"/>
      <c r="K1613" s="29"/>
      <c r="L1613" s="29" t="s">
        <v>4629</v>
      </c>
      <c r="M1613" s="29" t="s">
        <v>4652</v>
      </c>
      <c r="N1613" s="29" t="s">
        <v>4653</v>
      </c>
      <c r="O1613" s="29"/>
      <c r="P1613" s="29" t="s">
        <v>8718</v>
      </c>
      <c r="Q1613" t="s">
        <v>2038</v>
      </c>
      <c r="R1613" t="s">
        <v>2633</v>
      </c>
      <c r="S1613">
        <v>37</v>
      </c>
      <c r="T1613" s="43" t="str">
        <f t="shared" si="69"/>
        <v>2021.010B.R.Binomial_names.zip</v>
      </c>
      <c r="U1613" s="43" t="str">
        <f>HYPERLINK("https://ictv.global/taxonomy/taxondetails?taxnode_id=202211812","ictv.global=202211812")</f>
        <v>ictv.global=202211812</v>
      </c>
    </row>
    <row r="1614" spans="1:21">
      <c r="A1614">
        <v>1613</v>
      </c>
      <c r="B1614" s="29" t="s">
        <v>3682</v>
      </c>
      <c r="C1614" s="29"/>
      <c r="D1614" s="29" t="s">
        <v>3683</v>
      </c>
      <c r="E1614" s="29"/>
      <c r="F1614" s="29" t="s">
        <v>3686</v>
      </c>
      <c r="G1614" s="29"/>
      <c r="H1614" s="29" t="s">
        <v>3687</v>
      </c>
      <c r="I1614" s="29"/>
      <c r="J1614" s="29"/>
      <c r="K1614" s="29"/>
      <c r="L1614" s="29" t="s">
        <v>4629</v>
      </c>
      <c r="M1614" s="29" t="s">
        <v>4652</v>
      </c>
      <c r="N1614" s="29" t="s">
        <v>4653</v>
      </c>
      <c r="O1614" s="29"/>
      <c r="P1614" s="29" t="s">
        <v>8719</v>
      </c>
      <c r="Q1614" t="s">
        <v>2038</v>
      </c>
      <c r="R1614" t="s">
        <v>2633</v>
      </c>
      <c r="S1614">
        <v>37</v>
      </c>
      <c r="T1614" s="43" t="str">
        <f t="shared" si="69"/>
        <v>2021.010B.R.Binomial_names.zip</v>
      </c>
      <c r="U1614" s="43" t="str">
        <f>HYPERLINK("https://ictv.global/taxonomy/taxondetails?taxnode_id=202211813","ictv.global=202211813")</f>
        <v>ictv.global=202211813</v>
      </c>
    </row>
    <row r="1615" spans="1:21">
      <c r="A1615">
        <v>1614</v>
      </c>
      <c r="B1615" s="29" t="s">
        <v>3682</v>
      </c>
      <c r="C1615" s="29"/>
      <c r="D1615" s="29" t="s">
        <v>3683</v>
      </c>
      <c r="E1615" s="29"/>
      <c r="F1615" s="29" t="s">
        <v>3686</v>
      </c>
      <c r="G1615" s="29"/>
      <c r="H1615" s="29" t="s">
        <v>3687</v>
      </c>
      <c r="I1615" s="29"/>
      <c r="J1615" s="29"/>
      <c r="K1615" s="29"/>
      <c r="L1615" s="29" t="s">
        <v>4629</v>
      </c>
      <c r="M1615" s="29" t="s">
        <v>4652</v>
      </c>
      <c r="N1615" s="29" t="s">
        <v>4654</v>
      </c>
      <c r="O1615" s="29"/>
      <c r="P1615" s="29" t="s">
        <v>8720</v>
      </c>
      <c r="Q1615" t="s">
        <v>2038</v>
      </c>
      <c r="R1615" t="s">
        <v>2633</v>
      </c>
      <c r="S1615">
        <v>37</v>
      </c>
      <c r="T1615" s="43" t="str">
        <f t="shared" si="69"/>
        <v>2021.010B.R.Binomial_names.zip</v>
      </c>
      <c r="U1615" s="43" t="str">
        <f>HYPERLINK("https://ictv.global/taxonomy/taxondetails?taxnode_id=202211808","ictv.global=202211808")</f>
        <v>ictv.global=202211808</v>
      </c>
    </row>
    <row r="1616" spans="1:21">
      <c r="A1616">
        <v>1615</v>
      </c>
      <c r="B1616" s="29" t="s">
        <v>3682</v>
      </c>
      <c r="C1616" s="29"/>
      <c r="D1616" s="29" t="s">
        <v>3683</v>
      </c>
      <c r="E1616" s="29"/>
      <c r="F1616" s="29" t="s">
        <v>3686</v>
      </c>
      <c r="G1616" s="29"/>
      <c r="H1616" s="29" t="s">
        <v>3687</v>
      </c>
      <c r="I1616" s="29"/>
      <c r="J1616" s="29"/>
      <c r="K1616" s="29"/>
      <c r="L1616" s="29" t="s">
        <v>4629</v>
      </c>
      <c r="M1616" s="29" t="s">
        <v>4652</v>
      </c>
      <c r="N1616" s="29" t="s">
        <v>2642</v>
      </c>
      <c r="O1616" s="29"/>
      <c r="P1616" s="29" t="s">
        <v>8721</v>
      </c>
      <c r="Q1616" t="s">
        <v>2038</v>
      </c>
      <c r="R1616" t="s">
        <v>2633</v>
      </c>
      <c r="S1616">
        <v>37</v>
      </c>
      <c r="T1616" s="43" t="str">
        <f t="shared" si="69"/>
        <v>2021.010B.R.Binomial_names.zip</v>
      </c>
      <c r="U1616" s="43" t="str">
        <f>HYPERLINK("https://ictv.global/taxonomy/taxondetails?taxnode_id=202205491","ictv.global=202205491")</f>
        <v>ictv.global=202205491</v>
      </c>
    </row>
    <row r="1617" spans="1:21">
      <c r="A1617">
        <v>1616</v>
      </c>
      <c r="B1617" s="29" t="s">
        <v>3682</v>
      </c>
      <c r="C1617" s="29"/>
      <c r="D1617" s="29" t="s">
        <v>3683</v>
      </c>
      <c r="E1617" s="29"/>
      <c r="F1617" s="29" t="s">
        <v>3686</v>
      </c>
      <c r="G1617" s="29"/>
      <c r="H1617" s="29" t="s">
        <v>3687</v>
      </c>
      <c r="I1617" s="29"/>
      <c r="J1617" s="29"/>
      <c r="K1617" s="29"/>
      <c r="L1617" s="29" t="s">
        <v>4629</v>
      </c>
      <c r="M1617" s="29" t="s">
        <v>4652</v>
      </c>
      <c r="N1617" s="29" t="s">
        <v>4655</v>
      </c>
      <c r="O1617" s="29"/>
      <c r="P1617" s="29" t="s">
        <v>8722</v>
      </c>
      <c r="Q1617" t="s">
        <v>2038</v>
      </c>
      <c r="R1617" t="s">
        <v>2633</v>
      </c>
      <c r="S1617">
        <v>37</v>
      </c>
      <c r="T1617" s="43" t="str">
        <f t="shared" si="69"/>
        <v>2021.010B.R.Binomial_names.zip</v>
      </c>
      <c r="U1617" s="43" t="str">
        <f>HYPERLINK("https://ictv.global/taxonomy/taxondetails?taxnode_id=202211805","ictv.global=202211805")</f>
        <v>ictv.global=202211805</v>
      </c>
    </row>
    <row r="1618" spans="1:21">
      <c r="A1618">
        <v>1617</v>
      </c>
      <c r="B1618" s="29" t="s">
        <v>3682</v>
      </c>
      <c r="C1618" s="29"/>
      <c r="D1618" s="29" t="s">
        <v>3683</v>
      </c>
      <c r="E1618" s="29"/>
      <c r="F1618" s="29" t="s">
        <v>3686</v>
      </c>
      <c r="G1618" s="29"/>
      <c r="H1618" s="29" t="s">
        <v>3687</v>
      </c>
      <c r="I1618" s="29"/>
      <c r="J1618" s="29"/>
      <c r="K1618" s="29"/>
      <c r="L1618" s="29" t="s">
        <v>4629</v>
      </c>
      <c r="M1618" s="29" t="s">
        <v>4652</v>
      </c>
      <c r="N1618" s="29" t="s">
        <v>4655</v>
      </c>
      <c r="O1618" s="29"/>
      <c r="P1618" s="29" t="s">
        <v>8723</v>
      </c>
      <c r="Q1618" t="s">
        <v>2038</v>
      </c>
      <c r="R1618" t="s">
        <v>2633</v>
      </c>
      <c r="S1618">
        <v>37</v>
      </c>
      <c r="T1618" s="43" t="str">
        <f t="shared" si="69"/>
        <v>2021.010B.R.Binomial_names.zip</v>
      </c>
      <c r="U1618" s="43" t="str">
        <f>HYPERLINK("https://ictv.global/taxonomy/taxondetails?taxnode_id=202211806","ictv.global=202211806")</f>
        <v>ictv.global=202211806</v>
      </c>
    </row>
    <row r="1619" spans="1:21">
      <c r="A1619">
        <v>1618</v>
      </c>
      <c r="B1619" s="29" t="s">
        <v>3682</v>
      </c>
      <c r="C1619" s="29"/>
      <c r="D1619" s="29" t="s">
        <v>3683</v>
      </c>
      <c r="E1619" s="29"/>
      <c r="F1619" s="29" t="s">
        <v>3686</v>
      </c>
      <c r="G1619" s="29"/>
      <c r="H1619" s="29" t="s">
        <v>3687</v>
      </c>
      <c r="I1619" s="29"/>
      <c r="J1619" s="29"/>
      <c r="K1619" s="29"/>
      <c r="L1619" s="29" t="s">
        <v>4629</v>
      </c>
      <c r="M1619" s="29"/>
      <c r="N1619" s="29" t="s">
        <v>8724</v>
      </c>
      <c r="O1619" s="29"/>
      <c r="P1619" s="29" t="s">
        <v>8725</v>
      </c>
      <c r="Q1619" t="s">
        <v>2038</v>
      </c>
      <c r="R1619" t="s">
        <v>2632</v>
      </c>
      <c r="S1619">
        <v>38</v>
      </c>
      <c r="T1619" s="43" t="str">
        <f>HYPERLINK("https://ictv.global/ictv/proposals/2022.073B.Schitoviridae_1nsf_9ng_30nsp.zip","2022.073B.Schitoviridae_1nsf_9ng_30nsp.zip")</f>
        <v>2022.073B.Schitoviridae_1nsf_9ng_30nsp.zip</v>
      </c>
      <c r="U1619" s="43" t="str">
        <f>HYPERLINK("https://ictv.global/taxonomy/taxondetails?taxnode_id=202214821","ictv.global=202214821")</f>
        <v>ictv.global=202214821</v>
      </c>
    </row>
    <row r="1620" spans="1:21">
      <c r="A1620">
        <v>1619</v>
      </c>
      <c r="B1620" s="29" t="s">
        <v>3682</v>
      </c>
      <c r="C1620" s="29"/>
      <c r="D1620" s="29" t="s">
        <v>3683</v>
      </c>
      <c r="E1620" s="29"/>
      <c r="F1620" s="29" t="s">
        <v>3686</v>
      </c>
      <c r="G1620" s="29"/>
      <c r="H1620" s="29" t="s">
        <v>3687</v>
      </c>
      <c r="I1620" s="29"/>
      <c r="J1620" s="29"/>
      <c r="K1620" s="29"/>
      <c r="L1620" s="29" t="s">
        <v>4629</v>
      </c>
      <c r="M1620" s="29"/>
      <c r="N1620" s="29" t="s">
        <v>4656</v>
      </c>
      <c r="O1620" s="29"/>
      <c r="P1620" s="29" t="s">
        <v>8726</v>
      </c>
      <c r="Q1620" t="s">
        <v>2038</v>
      </c>
      <c r="R1620" t="s">
        <v>2633</v>
      </c>
      <c r="S1620">
        <v>37</v>
      </c>
      <c r="T1620" s="43" t="str">
        <f>HYPERLINK("https://ictv.global/ictv/proposals/2021.010B.R.Binomial_names.zip","2021.010B.R.Binomial_names.zip")</f>
        <v>2021.010B.R.Binomial_names.zip</v>
      </c>
      <c r="U1620" s="43" t="str">
        <f>HYPERLINK("https://ictv.global/taxonomy/taxondetails?taxnode_id=202211818","ictv.global=202211818")</f>
        <v>ictv.global=202211818</v>
      </c>
    </row>
    <row r="1621" spans="1:21">
      <c r="A1621">
        <v>1620</v>
      </c>
      <c r="B1621" s="29" t="s">
        <v>3682</v>
      </c>
      <c r="C1621" s="29"/>
      <c r="D1621" s="29" t="s">
        <v>3683</v>
      </c>
      <c r="E1621" s="29"/>
      <c r="F1621" s="29" t="s">
        <v>3686</v>
      </c>
      <c r="G1621" s="29"/>
      <c r="H1621" s="29" t="s">
        <v>3687</v>
      </c>
      <c r="I1621" s="29"/>
      <c r="J1621" s="29"/>
      <c r="K1621" s="29"/>
      <c r="L1621" s="29" t="s">
        <v>4629</v>
      </c>
      <c r="M1621" s="29"/>
      <c r="N1621" s="29" t="s">
        <v>4656</v>
      </c>
      <c r="O1621" s="29"/>
      <c r="P1621" s="29" t="s">
        <v>8727</v>
      </c>
      <c r="Q1621" t="s">
        <v>2038</v>
      </c>
      <c r="R1621" t="s">
        <v>2633</v>
      </c>
      <c r="S1621">
        <v>37</v>
      </c>
      <c r="T1621" s="43" t="str">
        <f>HYPERLINK("https://ictv.global/ictv/proposals/2021.010B.R.Binomial_names.zip","2021.010B.R.Binomial_names.zip")</f>
        <v>2021.010B.R.Binomial_names.zip</v>
      </c>
      <c r="U1621" s="43" t="str">
        <f>HYPERLINK("https://ictv.global/taxonomy/taxondetails?taxnode_id=202211815","ictv.global=202211815")</f>
        <v>ictv.global=202211815</v>
      </c>
    </row>
    <row r="1622" spans="1:21">
      <c r="A1622">
        <v>1621</v>
      </c>
      <c r="B1622" s="29" t="s">
        <v>3682</v>
      </c>
      <c r="C1622" s="29"/>
      <c r="D1622" s="29" t="s">
        <v>3683</v>
      </c>
      <c r="E1622" s="29"/>
      <c r="F1622" s="29" t="s">
        <v>3686</v>
      </c>
      <c r="G1622" s="29"/>
      <c r="H1622" s="29" t="s">
        <v>3687</v>
      </c>
      <c r="I1622" s="29"/>
      <c r="J1622" s="29"/>
      <c r="K1622" s="29"/>
      <c r="L1622" s="29" t="s">
        <v>4629</v>
      </c>
      <c r="M1622" s="29"/>
      <c r="N1622" s="29" t="s">
        <v>4656</v>
      </c>
      <c r="O1622" s="29"/>
      <c r="P1622" s="29" t="s">
        <v>8728</v>
      </c>
      <c r="Q1622" t="s">
        <v>2038</v>
      </c>
      <c r="R1622" t="s">
        <v>2633</v>
      </c>
      <c r="S1622">
        <v>37</v>
      </c>
      <c r="T1622" s="43" t="str">
        <f>HYPERLINK("https://ictv.global/ictv/proposals/2021.010B.R.Binomial_names.zip","2021.010B.R.Binomial_names.zip")</f>
        <v>2021.010B.R.Binomial_names.zip</v>
      </c>
      <c r="U1622" s="43" t="str">
        <f>HYPERLINK("https://ictv.global/taxonomy/taxondetails?taxnode_id=202211816","ictv.global=202211816")</f>
        <v>ictv.global=202211816</v>
      </c>
    </row>
    <row r="1623" spans="1:21">
      <c r="A1623">
        <v>1622</v>
      </c>
      <c r="B1623" s="29" t="s">
        <v>3682</v>
      </c>
      <c r="C1623" s="29"/>
      <c r="D1623" s="29" t="s">
        <v>3683</v>
      </c>
      <c r="E1623" s="29"/>
      <c r="F1623" s="29" t="s">
        <v>3686</v>
      </c>
      <c r="G1623" s="29"/>
      <c r="H1623" s="29" t="s">
        <v>3687</v>
      </c>
      <c r="I1623" s="29"/>
      <c r="J1623" s="29"/>
      <c r="K1623" s="29"/>
      <c r="L1623" s="29" t="s">
        <v>4629</v>
      </c>
      <c r="M1623" s="29"/>
      <c r="N1623" s="29" t="s">
        <v>4656</v>
      </c>
      <c r="O1623" s="29"/>
      <c r="P1623" s="29" t="s">
        <v>8729</v>
      </c>
      <c r="Q1623" t="s">
        <v>2038</v>
      </c>
      <c r="R1623" t="s">
        <v>2632</v>
      </c>
      <c r="S1623">
        <v>38</v>
      </c>
      <c r="T1623" s="43" t="str">
        <f>HYPERLINK("https://ictv.global/ictv/proposals/2022.073B.Schitoviridae_1nsf_9ng_30nsp.zip","2022.073B.Schitoviridae_1nsf_9ng_30nsp.zip")</f>
        <v>2022.073B.Schitoviridae_1nsf_9ng_30nsp.zip</v>
      </c>
      <c r="U1623" s="43" t="str">
        <f>HYPERLINK("https://ictv.global/taxonomy/taxondetails?taxnode_id=202214824","ictv.global=202214824")</f>
        <v>ictv.global=202214824</v>
      </c>
    </row>
    <row r="1624" spans="1:21">
      <c r="A1624">
        <v>1623</v>
      </c>
      <c r="B1624" s="29" t="s">
        <v>3682</v>
      </c>
      <c r="C1624" s="29"/>
      <c r="D1624" s="29" t="s">
        <v>3683</v>
      </c>
      <c r="E1624" s="29"/>
      <c r="F1624" s="29" t="s">
        <v>3686</v>
      </c>
      <c r="G1624" s="29"/>
      <c r="H1624" s="29" t="s">
        <v>3687</v>
      </c>
      <c r="I1624" s="29"/>
      <c r="J1624" s="29"/>
      <c r="K1624" s="29"/>
      <c r="L1624" s="29" t="s">
        <v>4629</v>
      </c>
      <c r="M1624" s="29"/>
      <c r="N1624" s="29" t="s">
        <v>4656</v>
      </c>
      <c r="O1624" s="29"/>
      <c r="P1624" s="29" t="s">
        <v>8730</v>
      </c>
      <c r="Q1624" t="s">
        <v>2038</v>
      </c>
      <c r="R1624" t="s">
        <v>2633</v>
      </c>
      <c r="S1624">
        <v>37</v>
      </c>
      <c r="T1624" s="43" t="str">
        <f>HYPERLINK("https://ictv.global/ictv/proposals/2021.010B.R.Binomial_names.zip","2021.010B.R.Binomial_names.zip")</f>
        <v>2021.010B.R.Binomial_names.zip</v>
      </c>
      <c r="U1624" s="43" t="str">
        <f>HYPERLINK("https://ictv.global/taxonomy/taxondetails?taxnode_id=202211817","ictv.global=202211817")</f>
        <v>ictv.global=202211817</v>
      </c>
    </row>
    <row r="1625" spans="1:21">
      <c r="A1625">
        <v>1624</v>
      </c>
      <c r="B1625" s="29" t="s">
        <v>3682</v>
      </c>
      <c r="C1625" s="29"/>
      <c r="D1625" s="29" t="s">
        <v>3683</v>
      </c>
      <c r="E1625" s="29"/>
      <c r="F1625" s="29" t="s">
        <v>3686</v>
      </c>
      <c r="G1625" s="29"/>
      <c r="H1625" s="29" t="s">
        <v>3687</v>
      </c>
      <c r="I1625" s="29"/>
      <c r="J1625" s="29"/>
      <c r="K1625" s="29"/>
      <c r="L1625" s="29" t="s">
        <v>4629</v>
      </c>
      <c r="M1625" s="29"/>
      <c r="N1625" s="29" t="s">
        <v>4656</v>
      </c>
      <c r="O1625" s="29"/>
      <c r="P1625" s="29" t="s">
        <v>8731</v>
      </c>
      <c r="Q1625" t="s">
        <v>2038</v>
      </c>
      <c r="R1625" t="s">
        <v>2632</v>
      </c>
      <c r="S1625">
        <v>38</v>
      </c>
      <c r="T1625" s="43" t="str">
        <f>HYPERLINK("https://ictv.global/ictv/proposals/2022.073B.Schitoviridae_1nsf_9ng_30nsp.zip","2022.073B.Schitoviridae_1nsf_9ng_30nsp.zip")</f>
        <v>2022.073B.Schitoviridae_1nsf_9ng_30nsp.zip</v>
      </c>
      <c r="U1625" s="43" t="str">
        <f>HYPERLINK("https://ictv.global/taxonomy/taxondetails?taxnode_id=202214823","ictv.global=202214823")</f>
        <v>ictv.global=202214823</v>
      </c>
    </row>
    <row r="1626" spans="1:21">
      <c r="A1626">
        <v>1625</v>
      </c>
      <c r="B1626" s="29" t="s">
        <v>3682</v>
      </c>
      <c r="C1626" s="29"/>
      <c r="D1626" s="29" t="s">
        <v>3683</v>
      </c>
      <c r="E1626" s="29"/>
      <c r="F1626" s="29" t="s">
        <v>3686</v>
      </c>
      <c r="G1626" s="29"/>
      <c r="H1626" s="29" t="s">
        <v>3687</v>
      </c>
      <c r="I1626" s="29"/>
      <c r="J1626" s="29"/>
      <c r="K1626" s="29"/>
      <c r="L1626" s="29" t="s">
        <v>4629</v>
      </c>
      <c r="M1626" s="29"/>
      <c r="N1626" s="29" t="s">
        <v>4657</v>
      </c>
      <c r="O1626" s="29"/>
      <c r="P1626" s="29" t="s">
        <v>8732</v>
      </c>
      <c r="Q1626" t="s">
        <v>2038</v>
      </c>
      <c r="R1626" t="s">
        <v>2633</v>
      </c>
      <c r="S1626">
        <v>37</v>
      </c>
      <c r="T1626" s="43" t="str">
        <f>HYPERLINK("https://ictv.global/ictv/proposals/2021.010B.R.Binomial_names.zip","2021.010B.R.Binomial_names.zip")</f>
        <v>2021.010B.R.Binomial_names.zip</v>
      </c>
      <c r="U1626" s="43" t="str">
        <f>HYPERLINK("https://ictv.global/taxonomy/taxondetails?taxnode_id=202211842","ictv.global=202211842")</f>
        <v>ictv.global=202211842</v>
      </c>
    </row>
    <row r="1627" spans="1:21">
      <c r="A1627">
        <v>1626</v>
      </c>
      <c r="B1627" s="29" t="s">
        <v>3682</v>
      </c>
      <c r="C1627" s="29"/>
      <c r="D1627" s="29" t="s">
        <v>3683</v>
      </c>
      <c r="E1627" s="29"/>
      <c r="F1627" s="29" t="s">
        <v>3686</v>
      </c>
      <c r="G1627" s="29"/>
      <c r="H1627" s="29" t="s">
        <v>3687</v>
      </c>
      <c r="I1627" s="29"/>
      <c r="J1627" s="29"/>
      <c r="K1627" s="29"/>
      <c r="L1627" s="29" t="s">
        <v>4629</v>
      </c>
      <c r="M1627" s="29"/>
      <c r="N1627" s="29" t="s">
        <v>4658</v>
      </c>
      <c r="O1627" s="29"/>
      <c r="P1627" s="29" t="s">
        <v>8733</v>
      </c>
      <c r="Q1627" t="s">
        <v>2038</v>
      </c>
      <c r="R1627" t="s">
        <v>2633</v>
      </c>
      <c r="S1627">
        <v>37</v>
      </c>
      <c r="T1627" s="43" t="str">
        <f>HYPERLINK("https://ictv.global/ictv/proposals/2021.010B.R.Binomial_names.zip","2021.010B.R.Binomial_names.zip")</f>
        <v>2021.010B.R.Binomial_names.zip</v>
      </c>
      <c r="U1627" s="43" t="str">
        <f>HYPERLINK("https://ictv.global/taxonomy/taxondetails?taxnode_id=202211820","ictv.global=202211820")</f>
        <v>ictv.global=202211820</v>
      </c>
    </row>
    <row r="1628" spans="1:21">
      <c r="A1628">
        <v>1627</v>
      </c>
      <c r="B1628" s="29" t="s">
        <v>3682</v>
      </c>
      <c r="C1628" s="29"/>
      <c r="D1628" s="29" t="s">
        <v>3683</v>
      </c>
      <c r="E1628" s="29"/>
      <c r="F1628" s="29" t="s">
        <v>3686</v>
      </c>
      <c r="G1628" s="29"/>
      <c r="H1628" s="29" t="s">
        <v>3687</v>
      </c>
      <c r="I1628" s="29"/>
      <c r="J1628" s="29"/>
      <c r="K1628" s="29"/>
      <c r="L1628" s="29" t="s">
        <v>4629</v>
      </c>
      <c r="M1628" s="29"/>
      <c r="N1628" s="29" t="s">
        <v>8734</v>
      </c>
      <c r="O1628" s="29"/>
      <c r="P1628" s="29" t="s">
        <v>8735</v>
      </c>
      <c r="Q1628" t="s">
        <v>2038</v>
      </c>
      <c r="R1628" t="s">
        <v>2632</v>
      </c>
      <c r="S1628">
        <v>37</v>
      </c>
      <c r="T1628" s="43" t="str">
        <f>HYPERLINK("https://ictv.global/ictv/proposals/2021.076B.R.Schitoviridae_new_genera.zip","2021.076B.R.Schitoviridae_new_genera.zip")</f>
        <v>2021.076B.R.Schitoviridae_new_genera.zip</v>
      </c>
      <c r="U1628" s="43" t="str">
        <f>HYPERLINK("https://ictv.global/taxonomy/taxondetails?taxnode_id=202212917","ictv.global=202212917")</f>
        <v>ictv.global=202212917</v>
      </c>
    </row>
    <row r="1629" spans="1:21">
      <c r="A1629">
        <v>1628</v>
      </c>
      <c r="B1629" s="29" t="s">
        <v>3682</v>
      </c>
      <c r="C1629" s="29"/>
      <c r="D1629" s="29" t="s">
        <v>3683</v>
      </c>
      <c r="E1629" s="29"/>
      <c r="F1629" s="29" t="s">
        <v>3686</v>
      </c>
      <c r="G1629" s="29"/>
      <c r="H1629" s="29" t="s">
        <v>3687</v>
      </c>
      <c r="I1629" s="29"/>
      <c r="J1629" s="29"/>
      <c r="K1629" s="29"/>
      <c r="L1629" s="29" t="s">
        <v>4629</v>
      </c>
      <c r="M1629" s="29"/>
      <c r="N1629" s="29" t="s">
        <v>8734</v>
      </c>
      <c r="O1629" s="29"/>
      <c r="P1629" s="29" t="s">
        <v>8736</v>
      </c>
      <c r="Q1629" t="s">
        <v>2038</v>
      </c>
      <c r="R1629" t="s">
        <v>2632</v>
      </c>
      <c r="S1629">
        <v>37</v>
      </c>
      <c r="T1629" s="43" t="str">
        <f>HYPERLINK("https://ictv.global/ictv/proposals/2021.076B.R.Schitoviridae_new_genera.zip","2021.076B.R.Schitoviridae_new_genera.zip")</f>
        <v>2021.076B.R.Schitoviridae_new_genera.zip</v>
      </c>
      <c r="U1629" s="43" t="str">
        <f>HYPERLINK("https://ictv.global/taxonomy/taxondetails?taxnode_id=202212918","ictv.global=202212918")</f>
        <v>ictv.global=202212918</v>
      </c>
    </row>
    <row r="1630" spans="1:21">
      <c r="A1630">
        <v>1629</v>
      </c>
      <c r="B1630" s="29" t="s">
        <v>3682</v>
      </c>
      <c r="C1630" s="29"/>
      <c r="D1630" s="29" t="s">
        <v>3683</v>
      </c>
      <c r="E1630" s="29"/>
      <c r="F1630" s="29" t="s">
        <v>3686</v>
      </c>
      <c r="G1630" s="29"/>
      <c r="H1630" s="29" t="s">
        <v>3687</v>
      </c>
      <c r="I1630" s="29"/>
      <c r="J1630" s="29"/>
      <c r="K1630" s="29"/>
      <c r="L1630" s="29" t="s">
        <v>4629</v>
      </c>
      <c r="M1630" s="29"/>
      <c r="N1630" s="29" t="s">
        <v>8737</v>
      </c>
      <c r="O1630" s="29"/>
      <c r="P1630" s="29" t="s">
        <v>8738</v>
      </c>
      <c r="Q1630" t="s">
        <v>2038</v>
      </c>
      <c r="R1630" t="s">
        <v>2632</v>
      </c>
      <c r="S1630">
        <v>37</v>
      </c>
      <c r="T1630" s="43" t="str">
        <f>HYPERLINK("https://ictv.global/ictv/proposals/2021.076B.R.Schitoviridae_new_genera.zip","2021.076B.R.Schitoviridae_new_genera.zip")</f>
        <v>2021.076B.R.Schitoviridae_new_genera.zip</v>
      </c>
      <c r="U1630" s="43" t="str">
        <f>HYPERLINK("https://ictv.global/taxonomy/taxondetails?taxnode_id=202213605","ictv.global=202213605")</f>
        <v>ictv.global=202213605</v>
      </c>
    </row>
    <row r="1631" spans="1:21">
      <c r="A1631">
        <v>1630</v>
      </c>
      <c r="B1631" s="29" t="s">
        <v>3682</v>
      </c>
      <c r="C1631" s="29"/>
      <c r="D1631" s="29" t="s">
        <v>3683</v>
      </c>
      <c r="E1631" s="29"/>
      <c r="F1631" s="29" t="s">
        <v>3686</v>
      </c>
      <c r="G1631" s="29"/>
      <c r="H1631" s="29" t="s">
        <v>3687</v>
      </c>
      <c r="I1631" s="29"/>
      <c r="J1631" s="29"/>
      <c r="K1631" s="29"/>
      <c r="L1631" s="29" t="s">
        <v>4629</v>
      </c>
      <c r="M1631" s="29"/>
      <c r="N1631" s="29" t="s">
        <v>8739</v>
      </c>
      <c r="O1631" s="29"/>
      <c r="P1631" s="29" t="s">
        <v>8740</v>
      </c>
      <c r="Q1631" t="s">
        <v>2038</v>
      </c>
      <c r="R1631" t="s">
        <v>2632</v>
      </c>
      <c r="S1631">
        <v>37</v>
      </c>
      <c r="T1631" s="43" t="str">
        <f>HYPERLINK("https://ictv.global/ictv/proposals/2021.076B.R.Schitoviridae_new_genera.zip","2021.076B.R.Schitoviridae_new_genera.zip")</f>
        <v>2021.076B.R.Schitoviridae_new_genera.zip</v>
      </c>
      <c r="U1631" s="43" t="str">
        <f>HYPERLINK("https://ictv.global/taxonomy/taxondetails?taxnode_id=202213612","ictv.global=202213612")</f>
        <v>ictv.global=202213612</v>
      </c>
    </row>
    <row r="1632" spans="1:21">
      <c r="A1632">
        <v>1631</v>
      </c>
      <c r="B1632" s="29" t="s">
        <v>3682</v>
      </c>
      <c r="C1632" s="29"/>
      <c r="D1632" s="29" t="s">
        <v>3683</v>
      </c>
      <c r="E1632" s="29"/>
      <c r="F1632" s="29" t="s">
        <v>3686</v>
      </c>
      <c r="G1632" s="29"/>
      <c r="H1632" s="29" t="s">
        <v>3687</v>
      </c>
      <c r="I1632" s="29"/>
      <c r="J1632" s="29"/>
      <c r="K1632" s="29"/>
      <c r="L1632" s="29" t="s">
        <v>4629</v>
      </c>
      <c r="M1632" s="29"/>
      <c r="N1632" s="29" t="s">
        <v>4659</v>
      </c>
      <c r="O1632" s="29"/>
      <c r="P1632" s="29" t="s">
        <v>8741</v>
      </c>
      <c r="Q1632" t="s">
        <v>2038</v>
      </c>
      <c r="R1632" t="s">
        <v>2633</v>
      </c>
      <c r="S1632">
        <v>37</v>
      </c>
      <c r="T1632" s="43" t="str">
        <f>HYPERLINK("https://ictv.global/ictv/proposals/2021.010B.R.Binomial_names.zip","2021.010B.R.Binomial_names.zip")</f>
        <v>2021.010B.R.Binomial_names.zip</v>
      </c>
      <c r="U1632" s="43" t="str">
        <f>HYPERLINK("https://ictv.global/taxonomy/taxondetails?taxnode_id=202211834","ictv.global=202211834")</f>
        <v>ictv.global=202211834</v>
      </c>
    </row>
    <row r="1633" spans="1:21">
      <c r="A1633">
        <v>1632</v>
      </c>
      <c r="B1633" s="29" t="s">
        <v>3682</v>
      </c>
      <c r="C1633" s="29"/>
      <c r="D1633" s="29" t="s">
        <v>3683</v>
      </c>
      <c r="E1633" s="29"/>
      <c r="F1633" s="29" t="s">
        <v>3686</v>
      </c>
      <c r="G1633" s="29"/>
      <c r="H1633" s="29" t="s">
        <v>3687</v>
      </c>
      <c r="I1633" s="29"/>
      <c r="J1633" s="29"/>
      <c r="K1633" s="29"/>
      <c r="L1633" s="29" t="s">
        <v>4629</v>
      </c>
      <c r="M1633" s="29"/>
      <c r="N1633" s="29" t="s">
        <v>4660</v>
      </c>
      <c r="O1633" s="29"/>
      <c r="P1633" s="29" t="s">
        <v>8742</v>
      </c>
      <c r="Q1633" t="s">
        <v>2038</v>
      </c>
      <c r="R1633" t="s">
        <v>2632</v>
      </c>
      <c r="S1633">
        <v>38</v>
      </c>
      <c r="T1633" s="43" t="str">
        <f>HYPERLINK("https://ictv.global/ictv/proposals/2022.073B.Schitoviridae_1nsf_9ng_30nsp.zip","2022.073B.Schitoviridae_1nsf_9ng_30nsp.zip")</f>
        <v>2022.073B.Schitoviridae_1nsf_9ng_30nsp.zip</v>
      </c>
      <c r="U1633" s="43" t="str">
        <f>HYPERLINK("https://ictv.global/taxonomy/taxondetails?taxnode_id=202214831","ictv.global=202214831")</f>
        <v>ictv.global=202214831</v>
      </c>
    </row>
    <row r="1634" spans="1:21">
      <c r="A1634">
        <v>1633</v>
      </c>
      <c r="B1634" s="29" t="s">
        <v>3682</v>
      </c>
      <c r="C1634" s="29"/>
      <c r="D1634" s="29" t="s">
        <v>3683</v>
      </c>
      <c r="E1634" s="29"/>
      <c r="F1634" s="29" t="s">
        <v>3686</v>
      </c>
      <c r="G1634" s="29"/>
      <c r="H1634" s="29" t="s">
        <v>3687</v>
      </c>
      <c r="I1634" s="29"/>
      <c r="J1634" s="29"/>
      <c r="K1634" s="29"/>
      <c r="L1634" s="29" t="s">
        <v>4629</v>
      </c>
      <c r="M1634" s="29"/>
      <c r="N1634" s="29" t="s">
        <v>4660</v>
      </c>
      <c r="O1634" s="29"/>
      <c r="P1634" s="29" t="s">
        <v>8743</v>
      </c>
      <c r="Q1634" t="s">
        <v>2038</v>
      </c>
      <c r="R1634" t="s">
        <v>2633</v>
      </c>
      <c r="S1634">
        <v>37</v>
      </c>
      <c r="T1634" s="43" t="str">
        <f>HYPERLINK("https://ictv.global/ictv/proposals/2021.010B.R.Binomial_names.zip","2021.010B.R.Binomial_names.zip")</f>
        <v>2021.010B.R.Binomial_names.zip</v>
      </c>
      <c r="U1634" s="43" t="str">
        <f>HYPERLINK("https://ictv.global/taxonomy/taxondetails?taxnode_id=202211830","ictv.global=202211830")</f>
        <v>ictv.global=202211830</v>
      </c>
    </row>
    <row r="1635" spans="1:21">
      <c r="A1635">
        <v>1634</v>
      </c>
      <c r="B1635" s="29" t="s">
        <v>3682</v>
      </c>
      <c r="C1635" s="29"/>
      <c r="D1635" s="29" t="s">
        <v>3683</v>
      </c>
      <c r="E1635" s="29"/>
      <c r="F1635" s="29" t="s">
        <v>3686</v>
      </c>
      <c r="G1635" s="29"/>
      <c r="H1635" s="29" t="s">
        <v>3687</v>
      </c>
      <c r="I1635" s="29"/>
      <c r="J1635" s="29"/>
      <c r="K1635" s="29"/>
      <c r="L1635" s="29" t="s">
        <v>4629</v>
      </c>
      <c r="M1635" s="29"/>
      <c r="N1635" s="29" t="s">
        <v>3961</v>
      </c>
      <c r="O1635" s="29"/>
      <c r="P1635" s="29" t="s">
        <v>8744</v>
      </c>
      <c r="Q1635" t="s">
        <v>2038</v>
      </c>
      <c r="R1635" t="s">
        <v>2633</v>
      </c>
      <c r="S1635">
        <v>37</v>
      </c>
      <c r="T1635" s="43" t="str">
        <f>HYPERLINK("https://ictv.global/ictv/proposals/2021.010B.R.Binomial_names.zip","2021.010B.R.Binomial_names.zip")</f>
        <v>2021.010B.R.Binomial_names.zip</v>
      </c>
      <c r="U1635" s="43" t="str">
        <f>HYPERLINK("https://ictv.global/taxonomy/taxondetails?taxnode_id=202207900","ictv.global=202207900")</f>
        <v>ictv.global=202207900</v>
      </c>
    </row>
    <row r="1636" spans="1:21">
      <c r="A1636">
        <v>1635</v>
      </c>
      <c r="B1636" s="29" t="s">
        <v>3682</v>
      </c>
      <c r="C1636" s="29"/>
      <c r="D1636" s="29" t="s">
        <v>3683</v>
      </c>
      <c r="E1636" s="29"/>
      <c r="F1636" s="29" t="s">
        <v>3686</v>
      </c>
      <c r="G1636" s="29"/>
      <c r="H1636" s="29" t="s">
        <v>3687</v>
      </c>
      <c r="I1636" s="29"/>
      <c r="J1636" s="29"/>
      <c r="K1636" s="29"/>
      <c r="L1636" s="29" t="s">
        <v>4629</v>
      </c>
      <c r="M1636" s="29"/>
      <c r="N1636" s="29" t="s">
        <v>3961</v>
      </c>
      <c r="O1636" s="29"/>
      <c r="P1636" s="29" t="s">
        <v>8745</v>
      </c>
      <c r="Q1636" t="s">
        <v>2038</v>
      </c>
      <c r="R1636" t="s">
        <v>2633</v>
      </c>
      <c r="S1636">
        <v>37</v>
      </c>
      <c r="T1636" s="43" t="str">
        <f>HYPERLINK("https://ictv.global/ictv/proposals/2021.010B.R.Binomial_names.zip","2021.010B.R.Binomial_names.zip")</f>
        <v>2021.010B.R.Binomial_names.zip</v>
      </c>
      <c r="U1636" s="43" t="str">
        <f>HYPERLINK("https://ictv.global/taxonomy/taxondetails?taxnode_id=202207903","ictv.global=202207903")</f>
        <v>ictv.global=202207903</v>
      </c>
    </row>
    <row r="1637" spans="1:21">
      <c r="A1637">
        <v>1636</v>
      </c>
      <c r="B1637" s="29" t="s">
        <v>3682</v>
      </c>
      <c r="C1637" s="29"/>
      <c r="D1637" s="29" t="s">
        <v>3683</v>
      </c>
      <c r="E1637" s="29"/>
      <c r="F1637" s="29" t="s">
        <v>3686</v>
      </c>
      <c r="G1637" s="29"/>
      <c r="H1637" s="29" t="s">
        <v>3687</v>
      </c>
      <c r="I1637" s="29"/>
      <c r="J1637" s="29"/>
      <c r="K1637" s="29"/>
      <c r="L1637" s="29" t="s">
        <v>4629</v>
      </c>
      <c r="M1637" s="29"/>
      <c r="N1637" s="29" t="s">
        <v>3961</v>
      </c>
      <c r="O1637" s="29"/>
      <c r="P1637" s="29" t="s">
        <v>8746</v>
      </c>
      <c r="Q1637" t="s">
        <v>2038</v>
      </c>
      <c r="R1637" t="s">
        <v>2633</v>
      </c>
      <c r="S1637">
        <v>37</v>
      </c>
      <c r="T1637" s="43" t="str">
        <f>HYPERLINK("https://ictv.global/ictv/proposals/2021.010B.R.Binomial_names.zip","2021.010B.R.Binomial_names.zip")</f>
        <v>2021.010B.R.Binomial_names.zip</v>
      </c>
      <c r="U1637" s="43" t="str">
        <f>HYPERLINK("https://ictv.global/taxonomy/taxondetails?taxnode_id=202207901","ictv.global=202207901")</f>
        <v>ictv.global=202207901</v>
      </c>
    </row>
    <row r="1638" spans="1:21">
      <c r="A1638">
        <v>1637</v>
      </c>
      <c r="B1638" s="29" t="s">
        <v>3682</v>
      </c>
      <c r="C1638" s="29"/>
      <c r="D1638" s="29" t="s">
        <v>3683</v>
      </c>
      <c r="E1638" s="29"/>
      <c r="F1638" s="29" t="s">
        <v>3686</v>
      </c>
      <c r="G1638" s="29"/>
      <c r="H1638" s="29" t="s">
        <v>3687</v>
      </c>
      <c r="I1638" s="29"/>
      <c r="J1638" s="29"/>
      <c r="K1638" s="29"/>
      <c r="L1638" s="29" t="s">
        <v>4629</v>
      </c>
      <c r="M1638" s="29"/>
      <c r="N1638" s="29" t="s">
        <v>3961</v>
      </c>
      <c r="O1638" s="29"/>
      <c r="P1638" s="29" t="s">
        <v>8747</v>
      </c>
      <c r="Q1638" t="s">
        <v>2038</v>
      </c>
      <c r="R1638" t="s">
        <v>2633</v>
      </c>
      <c r="S1638">
        <v>37</v>
      </c>
      <c r="T1638" s="43" t="str">
        <f>HYPERLINK("https://ictv.global/ictv/proposals/2021.010B.R.Binomial_names.zip","2021.010B.R.Binomial_names.zip")</f>
        <v>2021.010B.R.Binomial_names.zip</v>
      </c>
      <c r="U1638" s="43" t="str">
        <f>HYPERLINK("https://ictv.global/taxonomy/taxondetails?taxnode_id=202207902","ictv.global=202207902")</f>
        <v>ictv.global=202207902</v>
      </c>
    </row>
    <row r="1639" spans="1:21">
      <c r="A1639">
        <v>1638</v>
      </c>
      <c r="B1639" s="29" t="s">
        <v>3682</v>
      </c>
      <c r="C1639" s="29"/>
      <c r="D1639" s="29" t="s">
        <v>3683</v>
      </c>
      <c r="E1639" s="29"/>
      <c r="F1639" s="29" t="s">
        <v>3686</v>
      </c>
      <c r="G1639" s="29"/>
      <c r="H1639" s="29" t="s">
        <v>3687</v>
      </c>
      <c r="I1639" s="29"/>
      <c r="J1639" s="29"/>
      <c r="K1639" s="29"/>
      <c r="L1639" s="29" t="s">
        <v>4629</v>
      </c>
      <c r="M1639" s="29"/>
      <c r="N1639" s="29" t="s">
        <v>8748</v>
      </c>
      <c r="O1639" s="29"/>
      <c r="P1639" s="29" t="s">
        <v>8749</v>
      </c>
      <c r="Q1639" t="s">
        <v>2038</v>
      </c>
      <c r="R1639" t="s">
        <v>2632</v>
      </c>
      <c r="S1639">
        <v>37</v>
      </c>
      <c r="T1639" s="43" t="str">
        <f>HYPERLINK("https://ictv.global/ictv/proposals/2021.059B.R.Oliverunavirus.zip","2021.059B.R.Oliverunavirus.zip")</f>
        <v>2021.059B.R.Oliverunavirus.zip</v>
      </c>
      <c r="U1639" s="43" t="str">
        <f>HYPERLINK("https://ictv.global/taxonomy/taxondetails?taxnode_id=202212789","ictv.global=202212789")</f>
        <v>ictv.global=202212789</v>
      </c>
    </row>
    <row r="1640" spans="1:21">
      <c r="A1640">
        <v>1639</v>
      </c>
      <c r="B1640" s="29" t="s">
        <v>3682</v>
      </c>
      <c r="C1640" s="29"/>
      <c r="D1640" s="29" t="s">
        <v>3683</v>
      </c>
      <c r="E1640" s="29"/>
      <c r="F1640" s="29" t="s">
        <v>3686</v>
      </c>
      <c r="G1640" s="29"/>
      <c r="H1640" s="29" t="s">
        <v>3687</v>
      </c>
      <c r="I1640" s="29"/>
      <c r="J1640" s="29"/>
      <c r="K1640" s="29"/>
      <c r="L1640" s="29" t="s">
        <v>4629</v>
      </c>
      <c r="M1640" s="29"/>
      <c r="N1640" s="29" t="s">
        <v>4661</v>
      </c>
      <c r="O1640" s="29"/>
      <c r="P1640" s="29" t="s">
        <v>8750</v>
      </c>
      <c r="Q1640" t="s">
        <v>2038</v>
      </c>
      <c r="R1640" t="s">
        <v>2633</v>
      </c>
      <c r="S1640">
        <v>37</v>
      </c>
      <c r="T1640" s="43" t="str">
        <f>HYPERLINK("https://ictv.global/ictv/proposals/2021.010B.R.Binomial_names.zip","2021.010B.R.Binomial_names.zip")</f>
        <v>2021.010B.R.Binomial_names.zip</v>
      </c>
      <c r="U1640" s="43" t="str">
        <f>HYPERLINK("https://ictv.global/taxonomy/taxondetails?taxnode_id=202211823","ictv.global=202211823")</f>
        <v>ictv.global=202211823</v>
      </c>
    </row>
    <row r="1641" spans="1:21">
      <c r="A1641">
        <v>1640</v>
      </c>
      <c r="B1641" s="29" t="s">
        <v>3682</v>
      </c>
      <c r="C1641" s="29"/>
      <c r="D1641" s="29" t="s">
        <v>3683</v>
      </c>
      <c r="E1641" s="29"/>
      <c r="F1641" s="29" t="s">
        <v>3686</v>
      </c>
      <c r="G1641" s="29"/>
      <c r="H1641" s="29" t="s">
        <v>3687</v>
      </c>
      <c r="I1641" s="29"/>
      <c r="J1641" s="29"/>
      <c r="K1641" s="29"/>
      <c r="L1641" s="29" t="s">
        <v>4629</v>
      </c>
      <c r="M1641" s="29"/>
      <c r="N1641" s="29" t="s">
        <v>4661</v>
      </c>
      <c r="O1641" s="29"/>
      <c r="P1641" s="29" t="s">
        <v>8751</v>
      </c>
      <c r="Q1641" t="s">
        <v>2038</v>
      </c>
      <c r="R1641" t="s">
        <v>2633</v>
      </c>
      <c r="S1641">
        <v>37</v>
      </c>
      <c r="T1641" s="43" t="str">
        <f>HYPERLINK("https://ictv.global/ictv/proposals/2021.010B.R.Binomial_names.zip","2021.010B.R.Binomial_names.zip")</f>
        <v>2021.010B.R.Binomial_names.zip</v>
      </c>
      <c r="U1641" s="43" t="str">
        <f>HYPERLINK("https://ictv.global/taxonomy/taxondetails?taxnode_id=202211822","ictv.global=202211822")</f>
        <v>ictv.global=202211822</v>
      </c>
    </row>
    <row r="1642" spans="1:21">
      <c r="A1642">
        <v>1641</v>
      </c>
      <c r="B1642" s="29" t="s">
        <v>3682</v>
      </c>
      <c r="C1642" s="29"/>
      <c r="D1642" s="29" t="s">
        <v>3683</v>
      </c>
      <c r="E1642" s="29"/>
      <c r="F1642" s="29" t="s">
        <v>3686</v>
      </c>
      <c r="G1642" s="29"/>
      <c r="H1642" s="29" t="s">
        <v>3687</v>
      </c>
      <c r="I1642" s="29"/>
      <c r="J1642" s="29"/>
      <c r="K1642" s="29"/>
      <c r="L1642" s="29" t="s">
        <v>4629</v>
      </c>
      <c r="M1642" s="29"/>
      <c r="N1642" s="29" t="s">
        <v>8752</v>
      </c>
      <c r="O1642" s="29"/>
      <c r="P1642" s="29" t="s">
        <v>8753</v>
      </c>
      <c r="Q1642" t="s">
        <v>2038</v>
      </c>
      <c r="R1642" t="s">
        <v>2632</v>
      </c>
      <c r="S1642">
        <v>37</v>
      </c>
      <c r="T1642" s="43" t="str">
        <f>HYPERLINK("https://ictv.global/ictv/proposals/2021.076B.R.Schitoviridae_new_genera.zip","2021.076B.R.Schitoviridae_new_genera.zip")</f>
        <v>2021.076B.R.Schitoviridae_new_genera.zip</v>
      </c>
      <c r="U1642" s="43" t="str">
        <f>HYPERLINK("https://ictv.global/taxonomy/taxondetails?taxnode_id=202213608","ictv.global=202213608")</f>
        <v>ictv.global=202213608</v>
      </c>
    </row>
    <row r="1643" spans="1:21">
      <c r="A1643">
        <v>1642</v>
      </c>
      <c r="B1643" s="29" t="s">
        <v>3682</v>
      </c>
      <c r="C1643" s="29"/>
      <c r="D1643" s="29" t="s">
        <v>3683</v>
      </c>
      <c r="E1643" s="29"/>
      <c r="F1643" s="29" t="s">
        <v>3686</v>
      </c>
      <c r="G1643" s="29"/>
      <c r="H1643" s="29" t="s">
        <v>3687</v>
      </c>
      <c r="I1643" s="29"/>
      <c r="J1643" s="29"/>
      <c r="K1643" s="29"/>
      <c r="L1643" s="29" t="s">
        <v>4629</v>
      </c>
      <c r="M1643" s="29"/>
      <c r="N1643" s="29" t="s">
        <v>8752</v>
      </c>
      <c r="O1643" s="29"/>
      <c r="P1643" s="29" t="s">
        <v>8754</v>
      </c>
      <c r="Q1643" t="s">
        <v>2038</v>
      </c>
      <c r="R1643" t="s">
        <v>2632</v>
      </c>
      <c r="S1643">
        <v>37</v>
      </c>
      <c r="T1643" s="43" t="str">
        <f>HYPERLINK("https://ictv.global/ictv/proposals/2021.076B.R.Schitoviridae_new_genera.zip","2021.076B.R.Schitoviridae_new_genera.zip")</f>
        <v>2021.076B.R.Schitoviridae_new_genera.zip</v>
      </c>
      <c r="U1643" s="43" t="str">
        <f>HYPERLINK("https://ictv.global/taxonomy/taxondetails?taxnode_id=202213607","ictv.global=202213607")</f>
        <v>ictv.global=202213607</v>
      </c>
    </row>
    <row r="1644" spans="1:21">
      <c r="A1644">
        <v>1643</v>
      </c>
      <c r="B1644" s="29" t="s">
        <v>3682</v>
      </c>
      <c r="C1644" s="29"/>
      <c r="D1644" s="29" t="s">
        <v>3683</v>
      </c>
      <c r="E1644" s="29"/>
      <c r="F1644" s="29" t="s">
        <v>3686</v>
      </c>
      <c r="G1644" s="29"/>
      <c r="H1644" s="29" t="s">
        <v>3687</v>
      </c>
      <c r="I1644" s="29"/>
      <c r="J1644" s="29"/>
      <c r="K1644" s="29"/>
      <c r="L1644" s="29" t="s">
        <v>4629</v>
      </c>
      <c r="M1644" s="29"/>
      <c r="N1644" s="29" t="s">
        <v>8755</v>
      </c>
      <c r="O1644" s="29"/>
      <c r="P1644" s="29" t="s">
        <v>8756</v>
      </c>
      <c r="Q1644" t="s">
        <v>2038</v>
      </c>
      <c r="R1644" t="s">
        <v>2632</v>
      </c>
      <c r="S1644">
        <v>37</v>
      </c>
      <c r="T1644" s="43" t="str">
        <f>HYPERLINK("https://ictv.global/ictv/proposals/2021.076B.R.Schitoviridae_new_genera.zip","2021.076B.R.Schitoviridae_new_genera.zip")</f>
        <v>2021.076B.R.Schitoviridae_new_genera.zip</v>
      </c>
      <c r="U1644" s="43" t="str">
        <f>HYPERLINK("https://ictv.global/taxonomy/taxondetails?taxnode_id=202212920","ictv.global=202212920")</f>
        <v>ictv.global=202212920</v>
      </c>
    </row>
    <row r="1645" spans="1:21">
      <c r="A1645">
        <v>1644</v>
      </c>
      <c r="B1645" s="29" t="s">
        <v>3682</v>
      </c>
      <c r="C1645" s="29"/>
      <c r="D1645" s="29" t="s">
        <v>3683</v>
      </c>
      <c r="E1645" s="29"/>
      <c r="F1645" s="29" t="s">
        <v>3686</v>
      </c>
      <c r="G1645" s="29"/>
      <c r="H1645" s="29" t="s">
        <v>3687</v>
      </c>
      <c r="I1645" s="29"/>
      <c r="J1645" s="29"/>
      <c r="K1645" s="29"/>
      <c r="L1645" s="29" t="s">
        <v>4629</v>
      </c>
      <c r="M1645" s="29"/>
      <c r="N1645" s="29" t="s">
        <v>8757</v>
      </c>
      <c r="O1645" s="29"/>
      <c r="P1645" s="29" t="s">
        <v>8758</v>
      </c>
      <c r="Q1645" t="s">
        <v>2038</v>
      </c>
      <c r="R1645" t="s">
        <v>2632</v>
      </c>
      <c r="S1645">
        <v>38</v>
      </c>
      <c r="T1645" s="43" t="str">
        <f>HYPERLINK("https://ictv.global/ictv/proposals/2022.073B.Schitoviridae_1nsf_9ng_30nsp.zip","2022.073B.Schitoviridae_1nsf_9ng_30nsp.zip")</f>
        <v>2022.073B.Schitoviridae_1nsf_9ng_30nsp.zip</v>
      </c>
      <c r="U1645" s="43" t="str">
        <f>HYPERLINK("https://ictv.global/taxonomy/taxondetails?taxnode_id=202214812","ictv.global=202214812")</f>
        <v>ictv.global=202214812</v>
      </c>
    </row>
    <row r="1646" spans="1:21">
      <c r="A1646">
        <v>1645</v>
      </c>
      <c r="B1646" s="29" t="s">
        <v>3682</v>
      </c>
      <c r="C1646" s="29"/>
      <c r="D1646" s="29" t="s">
        <v>3683</v>
      </c>
      <c r="E1646" s="29"/>
      <c r="F1646" s="29" t="s">
        <v>3686</v>
      </c>
      <c r="G1646" s="29"/>
      <c r="H1646" s="29" t="s">
        <v>3687</v>
      </c>
      <c r="I1646" s="29"/>
      <c r="J1646" s="29"/>
      <c r="K1646" s="29"/>
      <c r="L1646" s="29" t="s">
        <v>4629</v>
      </c>
      <c r="M1646" s="29"/>
      <c r="N1646" s="29" t="s">
        <v>8759</v>
      </c>
      <c r="O1646" s="29"/>
      <c r="P1646" s="29" t="s">
        <v>8760</v>
      </c>
      <c r="Q1646" t="s">
        <v>2038</v>
      </c>
      <c r="R1646" t="s">
        <v>2632</v>
      </c>
      <c r="S1646">
        <v>38</v>
      </c>
      <c r="T1646" s="43" t="str">
        <f>HYPERLINK("https://ictv.global/ictv/proposals/2022.073B.Schitoviridae_1nsf_9ng_30nsp.zip","2022.073B.Schitoviridae_1nsf_9ng_30nsp.zip")</f>
        <v>2022.073B.Schitoviridae_1nsf_9ng_30nsp.zip</v>
      </c>
      <c r="U1646" s="43" t="str">
        <f>HYPERLINK("https://ictv.global/taxonomy/taxondetails?taxnode_id=202214810","ictv.global=202214810")</f>
        <v>ictv.global=202214810</v>
      </c>
    </row>
    <row r="1647" spans="1:21">
      <c r="A1647">
        <v>1646</v>
      </c>
      <c r="B1647" s="29" t="s">
        <v>3682</v>
      </c>
      <c r="C1647" s="29"/>
      <c r="D1647" s="29" t="s">
        <v>3683</v>
      </c>
      <c r="E1647" s="29"/>
      <c r="F1647" s="29" t="s">
        <v>3686</v>
      </c>
      <c r="G1647" s="29"/>
      <c r="H1647" s="29" t="s">
        <v>3687</v>
      </c>
      <c r="I1647" s="29"/>
      <c r="J1647" s="29"/>
      <c r="K1647" s="29"/>
      <c r="L1647" s="29" t="s">
        <v>4629</v>
      </c>
      <c r="M1647" s="29"/>
      <c r="N1647" s="29" t="s">
        <v>4662</v>
      </c>
      <c r="O1647" s="29"/>
      <c r="P1647" s="29" t="s">
        <v>8761</v>
      </c>
      <c r="Q1647" t="s">
        <v>2038</v>
      </c>
      <c r="R1647" t="s">
        <v>2632</v>
      </c>
      <c r="S1647">
        <v>38</v>
      </c>
      <c r="T1647" s="43" t="str">
        <f>HYPERLINK("https://ictv.global/ictv/proposals/2022.073B.Schitoviridae_1nsf_9ng_30nsp.zip","2022.073B.Schitoviridae_1nsf_9ng_30nsp.zip")</f>
        <v>2022.073B.Schitoviridae_1nsf_9ng_30nsp.zip</v>
      </c>
      <c r="U1647" s="43" t="str">
        <f>HYPERLINK("https://ictv.global/taxonomy/taxondetails?taxnode_id=202214832","ictv.global=202214832")</f>
        <v>ictv.global=202214832</v>
      </c>
    </row>
    <row r="1648" spans="1:21">
      <c r="A1648">
        <v>1647</v>
      </c>
      <c r="B1648" s="29" t="s">
        <v>3682</v>
      </c>
      <c r="C1648" s="29"/>
      <c r="D1648" s="29" t="s">
        <v>3683</v>
      </c>
      <c r="E1648" s="29"/>
      <c r="F1648" s="29" t="s">
        <v>3686</v>
      </c>
      <c r="G1648" s="29"/>
      <c r="H1648" s="29" t="s">
        <v>3687</v>
      </c>
      <c r="I1648" s="29"/>
      <c r="J1648" s="29"/>
      <c r="K1648" s="29"/>
      <c r="L1648" s="29" t="s">
        <v>4629</v>
      </c>
      <c r="M1648" s="29"/>
      <c r="N1648" s="29" t="s">
        <v>4662</v>
      </c>
      <c r="O1648" s="29"/>
      <c r="P1648" s="29" t="s">
        <v>8762</v>
      </c>
      <c r="Q1648" t="s">
        <v>2038</v>
      </c>
      <c r="R1648" t="s">
        <v>2632</v>
      </c>
      <c r="S1648">
        <v>38</v>
      </c>
      <c r="T1648" s="43" t="str">
        <f>HYPERLINK("https://ictv.global/ictv/proposals/2022.073B.Schitoviridae_1nsf_9ng_30nsp.zip","2022.073B.Schitoviridae_1nsf_9ng_30nsp.zip")</f>
        <v>2022.073B.Schitoviridae_1nsf_9ng_30nsp.zip</v>
      </c>
      <c r="U1648" s="43" t="str">
        <f>HYPERLINK("https://ictv.global/taxonomy/taxondetails?taxnode_id=202214833","ictv.global=202214833")</f>
        <v>ictv.global=202214833</v>
      </c>
    </row>
    <row r="1649" spans="1:21">
      <c r="A1649">
        <v>1648</v>
      </c>
      <c r="B1649" s="29" t="s">
        <v>3682</v>
      </c>
      <c r="C1649" s="29"/>
      <c r="D1649" s="29" t="s">
        <v>3683</v>
      </c>
      <c r="E1649" s="29"/>
      <c r="F1649" s="29" t="s">
        <v>3686</v>
      </c>
      <c r="G1649" s="29"/>
      <c r="H1649" s="29" t="s">
        <v>3687</v>
      </c>
      <c r="I1649" s="29"/>
      <c r="J1649" s="29"/>
      <c r="K1649" s="29"/>
      <c r="L1649" s="29" t="s">
        <v>4629</v>
      </c>
      <c r="M1649" s="29"/>
      <c r="N1649" s="29" t="s">
        <v>4662</v>
      </c>
      <c r="O1649" s="29"/>
      <c r="P1649" s="29" t="s">
        <v>8763</v>
      </c>
      <c r="Q1649" t="s">
        <v>2038</v>
      </c>
      <c r="R1649" t="s">
        <v>2633</v>
      </c>
      <c r="S1649">
        <v>37</v>
      </c>
      <c r="T1649" s="43" t="str">
        <f>HYPERLINK("https://ictv.global/ictv/proposals/2021.010B.R.Binomial_names.zip","2021.010B.R.Binomial_names.zip")</f>
        <v>2021.010B.R.Binomial_names.zip</v>
      </c>
      <c r="U1649" s="43" t="str">
        <f>HYPERLINK("https://ictv.global/taxonomy/taxondetails?taxnode_id=202211840","ictv.global=202211840")</f>
        <v>ictv.global=202211840</v>
      </c>
    </row>
    <row r="1650" spans="1:21">
      <c r="A1650">
        <v>1649</v>
      </c>
      <c r="B1650" s="29" t="s">
        <v>3682</v>
      </c>
      <c r="C1650" s="29"/>
      <c r="D1650" s="29" t="s">
        <v>3683</v>
      </c>
      <c r="E1650" s="29"/>
      <c r="F1650" s="29" t="s">
        <v>3686</v>
      </c>
      <c r="G1650" s="29"/>
      <c r="H1650" s="29" t="s">
        <v>3687</v>
      </c>
      <c r="I1650" s="29"/>
      <c r="J1650" s="29"/>
      <c r="K1650" s="29"/>
      <c r="L1650" s="29" t="s">
        <v>4629</v>
      </c>
      <c r="M1650" s="29"/>
      <c r="N1650" s="29" t="s">
        <v>4663</v>
      </c>
      <c r="O1650" s="29"/>
      <c r="P1650" s="29" t="s">
        <v>8764</v>
      </c>
      <c r="Q1650" t="s">
        <v>2038</v>
      </c>
      <c r="R1650" t="s">
        <v>2633</v>
      </c>
      <c r="S1650">
        <v>37</v>
      </c>
      <c r="T1650" s="43" t="str">
        <f>HYPERLINK("https://ictv.global/ictv/proposals/2021.010B.R.Binomial_names.zip","2021.010B.R.Binomial_names.zip")</f>
        <v>2021.010B.R.Binomial_names.zip</v>
      </c>
      <c r="U1650" s="43" t="str">
        <f>HYPERLINK("https://ictv.global/taxonomy/taxondetails?taxnode_id=202211828","ictv.global=202211828")</f>
        <v>ictv.global=202211828</v>
      </c>
    </row>
    <row r="1651" spans="1:21">
      <c r="A1651">
        <v>1650</v>
      </c>
      <c r="B1651" s="29" t="s">
        <v>3682</v>
      </c>
      <c r="C1651" s="29"/>
      <c r="D1651" s="29" t="s">
        <v>3683</v>
      </c>
      <c r="E1651" s="29"/>
      <c r="F1651" s="29" t="s">
        <v>3686</v>
      </c>
      <c r="G1651" s="29"/>
      <c r="H1651" s="29" t="s">
        <v>3687</v>
      </c>
      <c r="I1651" s="29"/>
      <c r="J1651" s="29"/>
      <c r="K1651" s="29"/>
      <c r="L1651" s="29" t="s">
        <v>4629</v>
      </c>
      <c r="M1651" s="29"/>
      <c r="N1651" s="29" t="s">
        <v>4664</v>
      </c>
      <c r="O1651" s="29"/>
      <c r="P1651" s="29" t="s">
        <v>8765</v>
      </c>
      <c r="Q1651" t="s">
        <v>2038</v>
      </c>
      <c r="R1651" t="s">
        <v>2633</v>
      </c>
      <c r="S1651">
        <v>37</v>
      </c>
      <c r="T1651" s="43" t="str">
        <f>HYPERLINK("https://ictv.global/ictv/proposals/2021.010B.R.Binomial_names.zip","2021.010B.R.Binomial_names.zip")</f>
        <v>2021.010B.R.Binomial_names.zip</v>
      </c>
      <c r="U1651" s="43" t="str">
        <f>HYPERLINK("https://ictv.global/taxonomy/taxondetails?taxnode_id=202211838","ictv.global=202211838")</f>
        <v>ictv.global=202211838</v>
      </c>
    </row>
    <row r="1652" spans="1:21">
      <c r="A1652">
        <v>1651</v>
      </c>
      <c r="B1652" s="29" t="s">
        <v>3682</v>
      </c>
      <c r="C1652" s="29"/>
      <c r="D1652" s="29" t="s">
        <v>3683</v>
      </c>
      <c r="E1652" s="29"/>
      <c r="F1652" s="29" t="s">
        <v>3686</v>
      </c>
      <c r="G1652" s="29"/>
      <c r="H1652" s="29" t="s">
        <v>3687</v>
      </c>
      <c r="I1652" s="29"/>
      <c r="J1652" s="29"/>
      <c r="K1652" s="29"/>
      <c r="L1652" s="29" t="s">
        <v>4629</v>
      </c>
      <c r="M1652" s="29"/>
      <c r="N1652" s="29" t="s">
        <v>3963</v>
      </c>
      <c r="O1652" s="29"/>
      <c r="P1652" s="29" t="s">
        <v>8766</v>
      </c>
      <c r="Q1652" t="s">
        <v>2038</v>
      </c>
      <c r="R1652" t="s">
        <v>2633</v>
      </c>
      <c r="S1652">
        <v>37</v>
      </c>
      <c r="T1652" s="43" t="str">
        <f>HYPERLINK("https://ictv.global/ictv/proposals/2021.010B.R.Binomial_names.zip","2021.010B.R.Binomial_names.zip")</f>
        <v>2021.010B.R.Binomial_names.zip</v>
      </c>
      <c r="U1652" s="43" t="str">
        <f>HYPERLINK("https://ictv.global/taxonomy/taxondetails?taxnode_id=202207691","ictv.global=202207691")</f>
        <v>ictv.global=202207691</v>
      </c>
    </row>
    <row r="1653" spans="1:21">
      <c r="A1653">
        <v>1652</v>
      </c>
      <c r="B1653" s="29" t="s">
        <v>3682</v>
      </c>
      <c r="C1653" s="29"/>
      <c r="D1653" s="29" t="s">
        <v>3683</v>
      </c>
      <c r="E1653" s="29"/>
      <c r="F1653" s="29" t="s">
        <v>3686</v>
      </c>
      <c r="G1653" s="29"/>
      <c r="H1653" s="29" t="s">
        <v>3687</v>
      </c>
      <c r="I1653" s="29"/>
      <c r="J1653" s="29"/>
      <c r="K1653" s="29"/>
      <c r="L1653" s="29" t="s">
        <v>4629</v>
      </c>
      <c r="M1653" s="29"/>
      <c r="N1653" s="29" t="s">
        <v>8767</v>
      </c>
      <c r="O1653" s="29"/>
      <c r="P1653" s="29" t="s">
        <v>8768</v>
      </c>
      <c r="Q1653" t="s">
        <v>2038</v>
      </c>
      <c r="R1653" t="s">
        <v>2632</v>
      </c>
      <c r="S1653">
        <v>37</v>
      </c>
      <c r="T1653" s="43" t="str">
        <f>HYPERLINK("https://ictv.global/ictv/proposals/2021.076B.R.Schitoviridae_new_genera.zip","2021.076B.R.Schitoviridae_new_genera.zip")</f>
        <v>2021.076B.R.Schitoviridae_new_genera.zip</v>
      </c>
      <c r="U1653" s="43" t="str">
        <f>HYPERLINK("https://ictv.global/taxonomy/taxondetails?taxnode_id=202213610","ictv.global=202213610")</f>
        <v>ictv.global=202213610</v>
      </c>
    </row>
    <row r="1654" spans="1:21">
      <c r="A1654">
        <v>1653</v>
      </c>
      <c r="B1654" s="29" t="s">
        <v>3682</v>
      </c>
      <c r="C1654" s="29"/>
      <c r="D1654" s="29" t="s">
        <v>3683</v>
      </c>
      <c r="E1654" s="29"/>
      <c r="F1654" s="29" t="s">
        <v>3686</v>
      </c>
      <c r="G1654" s="29"/>
      <c r="H1654" s="29" t="s">
        <v>3687</v>
      </c>
      <c r="I1654" s="29"/>
      <c r="J1654" s="29"/>
      <c r="K1654" s="29"/>
      <c r="L1654" s="29" t="s">
        <v>4629</v>
      </c>
      <c r="M1654" s="29"/>
      <c r="N1654" s="29" t="s">
        <v>8769</v>
      </c>
      <c r="O1654" s="29"/>
      <c r="P1654" s="29" t="s">
        <v>8770</v>
      </c>
      <c r="Q1654" t="s">
        <v>2038</v>
      </c>
      <c r="R1654" t="s">
        <v>2632</v>
      </c>
      <c r="S1654">
        <v>38</v>
      </c>
      <c r="T1654" s="43" t="str">
        <f>HYPERLINK("https://ictv.global/ictv/proposals/2022.073B.Schitoviridae_1nsf_9ng_30nsp.zip","2022.073B.Schitoviridae_1nsf_9ng_30nsp.zip")</f>
        <v>2022.073B.Schitoviridae_1nsf_9ng_30nsp.zip</v>
      </c>
      <c r="U1654" s="43" t="str">
        <f>HYPERLINK("https://ictv.global/taxonomy/taxondetails?taxnode_id=202214811","ictv.global=202214811")</f>
        <v>ictv.global=202214811</v>
      </c>
    </row>
    <row r="1655" spans="1:21">
      <c r="A1655">
        <v>1654</v>
      </c>
      <c r="B1655" s="29" t="s">
        <v>3682</v>
      </c>
      <c r="C1655" s="29"/>
      <c r="D1655" s="29" t="s">
        <v>3683</v>
      </c>
      <c r="E1655" s="29"/>
      <c r="F1655" s="29" t="s">
        <v>3686</v>
      </c>
      <c r="G1655" s="29"/>
      <c r="H1655" s="29" t="s">
        <v>3687</v>
      </c>
      <c r="I1655" s="29"/>
      <c r="J1655" s="29"/>
      <c r="K1655" s="29"/>
      <c r="L1655" s="29" t="s">
        <v>4629</v>
      </c>
      <c r="M1655" s="29"/>
      <c r="N1655" s="29" t="s">
        <v>8771</v>
      </c>
      <c r="O1655" s="29"/>
      <c r="P1655" s="29" t="s">
        <v>8772</v>
      </c>
      <c r="Q1655" t="s">
        <v>2038</v>
      </c>
      <c r="R1655" t="s">
        <v>2632</v>
      </c>
      <c r="S1655">
        <v>37</v>
      </c>
      <c r="T1655" s="43" t="str">
        <f>HYPERLINK("https://ictv.global/ictv/proposals/2021.076B.R.Schitoviridae_new_genera.zip","2021.076B.R.Schitoviridae_new_genera.zip")</f>
        <v>2021.076B.R.Schitoviridae_new_genera.zip</v>
      </c>
      <c r="U1655" s="43" t="str">
        <f>HYPERLINK("https://ictv.global/taxonomy/taxondetails?taxnode_id=202212922","ictv.global=202212922")</f>
        <v>ictv.global=202212922</v>
      </c>
    </row>
    <row r="1656" spans="1:21">
      <c r="A1656">
        <v>1655</v>
      </c>
      <c r="B1656" s="29" t="s">
        <v>3682</v>
      </c>
      <c r="C1656" s="29"/>
      <c r="D1656" s="29" t="s">
        <v>3683</v>
      </c>
      <c r="E1656" s="29"/>
      <c r="F1656" s="29" t="s">
        <v>3686</v>
      </c>
      <c r="G1656" s="29"/>
      <c r="H1656" s="29" t="s">
        <v>3687</v>
      </c>
      <c r="I1656" s="29"/>
      <c r="J1656" s="29"/>
      <c r="K1656" s="29"/>
      <c r="L1656" s="29" t="s">
        <v>4629</v>
      </c>
      <c r="M1656" s="29"/>
      <c r="N1656" s="29" t="s">
        <v>4665</v>
      </c>
      <c r="O1656" s="29"/>
      <c r="P1656" s="29" t="s">
        <v>8773</v>
      </c>
      <c r="Q1656" t="s">
        <v>2038</v>
      </c>
      <c r="R1656" t="s">
        <v>2633</v>
      </c>
      <c r="S1656">
        <v>37</v>
      </c>
      <c r="T1656" s="43" t="str">
        <f>HYPERLINK("https://ictv.global/ictv/proposals/2021.010B.R.Binomial_names.zip","2021.010B.R.Binomial_names.zip")</f>
        <v>2021.010B.R.Binomial_names.zip</v>
      </c>
      <c r="U1656" s="43" t="str">
        <f>HYPERLINK("https://ictv.global/taxonomy/taxondetails?taxnode_id=202211832","ictv.global=202211832")</f>
        <v>ictv.global=202211832</v>
      </c>
    </row>
    <row r="1657" spans="1:21">
      <c r="A1657">
        <v>1656</v>
      </c>
      <c r="B1657" s="29" t="s">
        <v>3682</v>
      </c>
      <c r="C1657" s="29"/>
      <c r="D1657" s="29" t="s">
        <v>3683</v>
      </c>
      <c r="E1657" s="29"/>
      <c r="F1657" s="29" t="s">
        <v>3686</v>
      </c>
      <c r="G1657" s="29"/>
      <c r="H1657" s="29" t="s">
        <v>3687</v>
      </c>
      <c r="I1657" s="29"/>
      <c r="J1657" s="29"/>
      <c r="K1657" s="29"/>
      <c r="L1657" s="29" t="s">
        <v>4629</v>
      </c>
      <c r="M1657" s="29"/>
      <c r="N1657" s="29" t="s">
        <v>8774</v>
      </c>
      <c r="O1657" s="29"/>
      <c r="P1657" s="29" t="s">
        <v>8775</v>
      </c>
      <c r="Q1657" t="s">
        <v>2038</v>
      </c>
      <c r="R1657" t="s">
        <v>2632</v>
      </c>
      <c r="S1657">
        <v>38</v>
      </c>
      <c r="T1657" s="43" t="str">
        <f>HYPERLINK("https://ictv.global/ictv/proposals/2022.073B.Schitoviridae_1nsf_9ng_30nsp.zip","2022.073B.Schitoviridae_1nsf_9ng_30nsp.zip")</f>
        <v>2022.073B.Schitoviridae_1nsf_9ng_30nsp.zip</v>
      </c>
      <c r="U1657" s="43" t="str">
        <f>HYPERLINK("https://ictv.global/taxonomy/taxondetails?taxnode_id=202214820","ictv.global=202214820")</f>
        <v>ictv.global=202214820</v>
      </c>
    </row>
    <row r="1658" spans="1:21">
      <c r="A1658">
        <v>1657</v>
      </c>
      <c r="B1658" s="29" t="s">
        <v>3682</v>
      </c>
      <c r="C1658" s="29"/>
      <c r="D1658" s="29" t="s">
        <v>3683</v>
      </c>
      <c r="E1658" s="29"/>
      <c r="F1658" s="29" t="s">
        <v>3686</v>
      </c>
      <c r="G1658" s="29"/>
      <c r="H1658" s="29" t="s">
        <v>3687</v>
      </c>
      <c r="I1658" s="29"/>
      <c r="J1658" s="29"/>
      <c r="K1658" s="29"/>
      <c r="L1658" s="29" t="s">
        <v>4629</v>
      </c>
      <c r="M1658" s="29"/>
      <c r="N1658" s="29" t="s">
        <v>4666</v>
      </c>
      <c r="O1658" s="29"/>
      <c r="P1658" s="29" t="s">
        <v>8776</v>
      </c>
      <c r="Q1658" t="s">
        <v>2038</v>
      </c>
      <c r="R1658" t="s">
        <v>2633</v>
      </c>
      <c r="S1658">
        <v>37</v>
      </c>
      <c r="T1658" s="43" t="str">
        <f>HYPERLINK("https://ictv.global/ictv/proposals/2021.010B.R.Binomial_names.zip","2021.010B.R.Binomial_names.zip")</f>
        <v>2021.010B.R.Binomial_names.zip</v>
      </c>
      <c r="U1658" s="43" t="str">
        <f>HYPERLINK("https://ictv.global/taxonomy/taxondetails?taxnode_id=202211825","ictv.global=202211825")</f>
        <v>ictv.global=202211825</v>
      </c>
    </row>
    <row r="1659" spans="1:21">
      <c r="A1659">
        <v>1658</v>
      </c>
      <c r="B1659" s="29" t="s">
        <v>3682</v>
      </c>
      <c r="C1659" s="29"/>
      <c r="D1659" s="29" t="s">
        <v>3683</v>
      </c>
      <c r="E1659" s="29"/>
      <c r="F1659" s="29" t="s">
        <v>3686</v>
      </c>
      <c r="G1659" s="29"/>
      <c r="H1659" s="29" t="s">
        <v>3687</v>
      </c>
      <c r="I1659" s="29"/>
      <c r="J1659" s="29"/>
      <c r="K1659" s="29"/>
      <c r="L1659" s="29" t="s">
        <v>4629</v>
      </c>
      <c r="M1659" s="29"/>
      <c r="N1659" s="29" t="s">
        <v>4666</v>
      </c>
      <c r="O1659" s="29"/>
      <c r="P1659" s="29" t="s">
        <v>8777</v>
      </c>
      <c r="Q1659" t="s">
        <v>2038</v>
      </c>
      <c r="R1659" t="s">
        <v>2633</v>
      </c>
      <c r="S1659">
        <v>37</v>
      </c>
      <c r="T1659" s="43" t="str">
        <f>HYPERLINK("https://ictv.global/ictv/proposals/2021.010B.R.Binomial_names.zip","2021.010B.R.Binomial_names.zip")</f>
        <v>2021.010B.R.Binomial_names.zip</v>
      </c>
      <c r="U1659" s="43" t="str">
        <f>HYPERLINK("https://ictv.global/taxonomy/taxondetails?taxnode_id=202211826","ictv.global=202211826")</f>
        <v>ictv.global=202211826</v>
      </c>
    </row>
    <row r="1660" spans="1:21">
      <c r="A1660">
        <v>1659</v>
      </c>
      <c r="B1660" s="29" t="s">
        <v>3682</v>
      </c>
      <c r="C1660" s="29"/>
      <c r="D1660" s="29" t="s">
        <v>3683</v>
      </c>
      <c r="E1660" s="29"/>
      <c r="F1660" s="29" t="s">
        <v>3686</v>
      </c>
      <c r="G1660" s="29"/>
      <c r="H1660" s="29" t="s">
        <v>3687</v>
      </c>
      <c r="I1660" s="29"/>
      <c r="J1660" s="29"/>
      <c r="K1660" s="29"/>
      <c r="L1660" s="29" t="s">
        <v>4629</v>
      </c>
      <c r="M1660" s="29"/>
      <c r="N1660" s="29" t="s">
        <v>4667</v>
      </c>
      <c r="O1660" s="29"/>
      <c r="P1660" s="29" t="s">
        <v>8778</v>
      </c>
      <c r="Q1660" t="s">
        <v>2038</v>
      </c>
      <c r="R1660" t="s">
        <v>2633</v>
      </c>
      <c r="S1660">
        <v>37</v>
      </c>
      <c r="T1660" s="43" t="str">
        <f>HYPERLINK("https://ictv.global/ictv/proposals/2021.010B.R.Binomial_names.zip","2021.010B.R.Binomial_names.zip")</f>
        <v>2021.010B.R.Binomial_names.zip</v>
      </c>
      <c r="U1660" s="43" t="str">
        <f>HYPERLINK("https://ictv.global/taxonomy/taxondetails?taxnode_id=202211836","ictv.global=202211836")</f>
        <v>ictv.global=202211836</v>
      </c>
    </row>
    <row r="1661" spans="1:21">
      <c r="A1661">
        <v>1660</v>
      </c>
      <c r="B1661" s="29" t="s">
        <v>3682</v>
      </c>
      <c r="C1661" s="29"/>
      <c r="D1661" s="29" t="s">
        <v>3683</v>
      </c>
      <c r="E1661" s="29"/>
      <c r="F1661" s="29" t="s">
        <v>3686</v>
      </c>
      <c r="G1661" s="29"/>
      <c r="H1661" s="29" t="s">
        <v>3687</v>
      </c>
      <c r="I1661" s="29"/>
      <c r="J1661" s="29"/>
      <c r="K1661" s="29"/>
      <c r="L1661" s="29" t="s">
        <v>8779</v>
      </c>
      <c r="M1661" s="29"/>
      <c r="N1661" s="29" t="s">
        <v>8780</v>
      </c>
      <c r="O1661" s="29"/>
      <c r="P1661" s="29" t="s">
        <v>8781</v>
      </c>
      <c r="Q1661" t="s">
        <v>2038</v>
      </c>
      <c r="R1661" t="s">
        <v>2632</v>
      </c>
      <c r="S1661">
        <v>38</v>
      </c>
      <c r="T1661" s="43" t="str">
        <f>HYPERLINK("https://ictv.global/ictv/proposals/2022.004A.Caudoviricetes_3nf.zip","2022.004A.Caudoviricetes_3nf.zip")</f>
        <v>2022.004A.Caudoviricetes_3nf.zip</v>
      </c>
      <c r="U1661" s="43" t="str">
        <f>HYPERLINK("https://ictv.global/taxonomy/taxondetails?taxnode_id=202214335","ictv.global=202214335")</f>
        <v>ictv.global=202214335</v>
      </c>
    </row>
    <row r="1662" spans="1:21">
      <c r="A1662">
        <v>1661</v>
      </c>
      <c r="B1662" s="29" t="s">
        <v>3682</v>
      </c>
      <c r="C1662" s="29"/>
      <c r="D1662" s="29" t="s">
        <v>3683</v>
      </c>
      <c r="E1662" s="29"/>
      <c r="F1662" s="29" t="s">
        <v>3686</v>
      </c>
      <c r="G1662" s="29"/>
      <c r="H1662" s="29" t="s">
        <v>3687</v>
      </c>
      <c r="I1662" s="29"/>
      <c r="J1662" s="29"/>
      <c r="K1662" s="29"/>
      <c r="L1662" s="29" t="s">
        <v>8782</v>
      </c>
      <c r="M1662" s="29" t="s">
        <v>8783</v>
      </c>
      <c r="N1662" s="29" t="s">
        <v>8784</v>
      </c>
      <c r="O1662" s="29"/>
      <c r="P1662" s="29" t="s">
        <v>8785</v>
      </c>
      <c r="Q1662" t="s">
        <v>2038</v>
      </c>
      <c r="R1662" t="s">
        <v>2632</v>
      </c>
      <c r="S1662">
        <v>38</v>
      </c>
      <c r="T1662" s="43" t="str">
        <f t="shared" ref="T1662:T1688" si="70">HYPERLINK("https://ictv.global/ictv/proposals/2022.085B.Stanwilliamsviridae_nf_2nsf_4ng_6nsp.zip","2022.085B.Stanwilliamsviridae_nf_2nsf_4ng_6nsp.zip")</f>
        <v>2022.085B.Stanwilliamsviridae_nf_2nsf_4ng_6nsp.zip</v>
      </c>
      <c r="U1662" s="43" t="str">
        <f>HYPERLINK("https://ictv.global/taxonomy/taxondetails?taxnode_id=202214932","ictv.global=202214932")</f>
        <v>ictv.global=202214932</v>
      </c>
    </row>
    <row r="1663" spans="1:21">
      <c r="A1663">
        <v>1662</v>
      </c>
      <c r="B1663" s="29" t="s">
        <v>3682</v>
      </c>
      <c r="C1663" s="29"/>
      <c r="D1663" s="29" t="s">
        <v>3683</v>
      </c>
      <c r="E1663" s="29"/>
      <c r="F1663" s="29" t="s">
        <v>3686</v>
      </c>
      <c r="G1663" s="29"/>
      <c r="H1663" s="29" t="s">
        <v>3687</v>
      </c>
      <c r="I1663" s="29"/>
      <c r="J1663" s="29"/>
      <c r="K1663" s="29"/>
      <c r="L1663" s="29" t="s">
        <v>8782</v>
      </c>
      <c r="M1663" s="29" t="s">
        <v>8783</v>
      </c>
      <c r="N1663" s="29" t="s">
        <v>4738</v>
      </c>
      <c r="O1663" s="29"/>
      <c r="P1663" s="29" t="s">
        <v>4739</v>
      </c>
      <c r="Q1663" t="s">
        <v>2038</v>
      </c>
      <c r="R1663" t="s">
        <v>2634</v>
      </c>
      <c r="S1663">
        <v>38</v>
      </c>
      <c r="T1663" s="43" t="str">
        <f t="shared" si="70"/>
        <v>2022.085B.Stanwilliamsviridae_nf_2nsf_4ng_6nsp.zip</v>
      </c>
      <c r="U1663" s="43" t="str">
        <f>HYPERLINK("https://ictv.global/taxonomy/taxondetails?taxnode_id=202210145","ictv.global=202210145")</f>
        <v>ictv.global=202210145</v>
      </c>
    </row>
    <row r="1664" spans="1:21">
      <c r="A1664">
        <v>1663</v>
      </c>
      <c r="B1664" s="29" t="s">
        <v>3682</v>
      </c>
      <c r="C1664" s="29"/>
      <c r="D1664" s="29" t="s">
        <v>3683</v>
      </c>
      <c r="E1664" s="29"/>
      <c r="F1664" s="29" t="s">
        <v>3686</v>
      </c>
      <c r="G1664" s="29"/>
      <c r="H1664" s="29" t="s">
        <v>3687</v>
      </c>
      <c r="I1664" s="29"/>
      <c r="J1664" s="29"/>
      <c r="K1664" s="29"/>
      <c r="L1664" s="29" t="s">
        <v>8782</v>
      </c>
      <c r="M1664" s="29" t="s">
        <v>8783</v>
      </c>
      <c r="N1664" s="29" t="s">
        <v>4738</v>
      </c>
      <c r="O1664" s="29"/>
      <c r="P1664" s="29" t="s">
        <v>4740</v>
      </c>
      <c r="Q1664" t="s">
        <v>2038</v>
      </c>
      <c r="R1664" t="s">
        <v>2634</v>
      </c>
      <c r="S1664">
        <v>38</v>
      </c>
      <c r="T1664" s="43" t="str">
        <f t="shared" si="70"/>
        <v>2022.085B.Stanwilliamsviridae_nf_2nsf_4ng_6nsp.zip</v>
      </c>
      <c r="U1664" s="43" t="str">
        <f>HYPERLINK("https://ictv.global/taxonomy/taxondetails?taxnode_id=202210146","ictv.global=202210146")</f>
        <v>ictv.global=202210146</v>
      </c>
    </row>
    <row r="1665" spans="1:21">
      <c r="A1665">
        <v>1664</v>
      </c>
      <c r="B1665" s="29" t="s">
        <v>3682</v>
      </c>
      <c r="C1665" s="29"/>
      <c r="D1665" s="29" t="s">
        <v>3683</v>
      </c>
      <c r="E1665" s="29"/>
      <c r="F1665" s="29" t="s">
        <v>3686</v>
      </c>
      <c r="G1665" s="29"/>
      <c r="H1665" s="29" t="s">
        <v>3687</v>
      </c>
      <c r="I1665" s="29"/>
      <c r="J1665" s="29"/>
      <c r="K1665" s="29"/>
      <c r="L1665" s="29" t="s">
        <v>8782</v>
      </c>
      <c r="M1665" s="29" t="s">
        <v>8783</v>
      </c>
      <c r="N1665" s="29" t="s">
        <v>4738</v>
      </c>
      <c r="O1665" s="29"/>
      <c r="P1665" s="29" t="s">
        <v>4741</v>
      </c>
      <c r="Q1665" t="s">
        <v>2038</v>
      </c>
      <c r="R1665" t="s">
        <v>2634</v>
      </c>
      <c r="S1665">
        <v>38</v>
      </c>
      <c r="T1665" s="43" t="str">
        <f t="shared" si="70"/>
        <v>2022.085B.Stanwilliamsviridae_nf_2nsf_4ng_6nsp.zip</v>
      </c>
      <c r="U1665" s="43" t="str">
        <f>HYPERLINK("https://ictv.global/taxonomy/taxondetails?taxnode_id=202210147","ictv.global=202210147")</f>
        <v>ictv.global=202210147</v>
      </c>
    </row>
    <row r="1666" spans="1:21">
      <c r="A1666">
        <v>1665</v>
      </c>
      <c r="B1666" s="29" t="s">
        <v>3682</v>
      </c>
      <c r="C1666" s="29"/>
      <c r="D1666" s="29" t="s">
        <v>3683</v>
      </c>
      <c r="E1666" s="29"/>
      <c r="F1666" s="29" t="s">
        <v>3686</v>
      </c>
      <c r="G1666" s="29"/>
      <c r="H1666" s="29" t="s">
        <v>3687</v>
      </c>
      <c r="I1666" s="29"/>
      <c r="J1666" s="29"/>
      <c r="K1666" s="29"/>
      <c r="L1666" s="29" t="s">
        <v>8782</v>
      </c>
      <c r="M1666" s="29" t="s">
        <v>8783</v>
      </c>
      <c r="N1666" s="29" t="s">
        <v>4738</v>
      </c>
      <c r="O1666" s="29"/>
      <c r="P1666" s="29" t="s">
        <v>4742</v>
      </c>
      <c r="Q1666" t="s">
        <v>2038</v>
      </c>
      <c r="R1666" t="s">
        <v>2634</v>
      </c>
      <c r="S1666">
        <v>38</v>
      </c>
      <c r="T1666" s="43" t="str">
        <f t="shared" si="70"/>
        <v>2022.085B.Stanwilliamsviridae_nf_2nsf_4ng_6nsp.zip</v>
      </c>
      <c r="U1666" s="43" t="str">
        <f>HYPERLINK("https://ictv.global/taxonomy/taxondetails?taxnode_id=202210149","ictv.global=202210149")</f>
        <v>ictv.global=202210149</v>
      </c>
    </row>
    <row r="1667" spans="1:21">
      <c r="A1667">
        <v>1666</v>
      </c>
      <c r="B1667" s="29" t="s">
        <v>3682</v>
      </c>
      <c r="C1667" s="29"/>
      <c r="D1667" s="29" t="s">
        <v>3683</v>
      </c>
      <c r="E1667" s="29"/>
      <c r="F1667" s="29" t="s">
        <v>3686</v>
      </c>
      <c r="G1667" s="29"/>
      <c r="H1667" s="29" t="s">
        <v>3687</v>
      </c>
      <c r="I1667" s="29"/>
      <c r="J1667" s="29"/>
      <c r="K1667" s="29"/>
      <c r="L1667" s="29" t="s">
        <v>8782</v>
      </c>
      <c r="M1667" s="29" t="s">
        <v>8783</v>
      </c>
      <c r="N1667" s="29" t="s">
        <v>4738</v>
      </c>
      <c r="O1667" s="29"/>
      <c r="P1667" s="29" t="s">
        <v>4743</v>
      </c>
      <c r="Q1667" t="s">
        <v>2038</v>
      </c>
      <c r="R1667" t="s">
        <v>2634</v>
      </c>
      <c r="S1667">
        <v>38</v>
      </c>
      <c r="T1667" s="43" t="str">
        <f t="shared" si="70"/>
        <v>2022.085B.Stanwilliamsviridae_nf_2nsf_4ng_6nsp.zip</v>
      </c>
      <c r="U1667" s="43" t="str">
        <f>HYPERLINK("https://ictv.global/taxonomy/taxondetails?taxnode_id=202210148","ictv.global=202210148")</f>
        <v>ictv.global=202210148</v>
      </c>
    </row>
    <row r="1668" spans="1:21">
      <c r="A1668">
        <v>1667</v>
      </c>
      <c r="B1668" s="29" t="s">
        <v>3682</v>
      </c>
      <c r="C1668" s="29"/>
      <c r="D1668" s="29" t="s">
        <v>3683</v>
      </c>
      <c r="E1668" s="29"/>
      <c r="F1668" s="29" t="s">
        <v>3686</v>
      </c>
      <c r="G1668" s="29"/>
      <c r="H1668" s="29" t="s">
        <v>3687</v>
      </c>
      <c r="I1668" s="29"/>
      <c r="J1668" s="29"/>
      <c r="K1668" s="29"/>
      <c r="L1668" s="29" t="s">
        <v>8782</v>
      </c>
      <c r="M1668" s="29" t="s">
        <v>8783</v>
      </c>
      <c r="N1668" s="29" t="s">
        <v>3592</v>
      </c>
      <c r="O1668" s="29"/>
      <c r="P1668" s="29" t="s">
        <v>8786</v>
      </c>
      <c r="Q1668" t="s">
        <v>2038</v>
      </c>
      <c r="R1668" t="s">
        <v>2634</v>
      </c>
      <c r="S1668">
        <v>38</v>
      </c>
      <c r="T1668" s="43" t="str">
        <f t="shared" si="70"/>
        <v>2022.085B.Stanwilliamsviridae_nf_2nsf_4ng_6nsp.zip</v>
      </c>
      <c r="U1668" s="43" t="str">
        <f>HYPERLINK("https://ictv.global/taxonomy/taxondetails?taxnode_id=202212977","ictv.global=202212977")</f>
        <v>ictv.global=202212977</v>
      </c>
    </row>
    <row r="1669" spans="1:21">
      <c r="A1669">
        <v>1668</v>
      </c>
      <c r="B1669" s="29" t="s">
        <v>3682</v>
      </c>
      <c r="C1669" s="29"/>
      <c r="D1669" s="29" t="s">
        <v>3683</v>
      </c>
      <c r="E1669" s="29"/>
      <c r="F1669" s="29" t="s">
        <v>3686</v>
      </c>
      <c r="G1669" s="29"/>
      <c r="H1669" s="29" t="s">
        <v>3687</v>
      </c>
      <c r="I1669" s="29"/>
      <c r="J1669" s="29"/>
      <c r="K1669" s="29"/>
      <c r="L1669" s="29" t="s">
        <v>8782</v>
      </c>
      <c r="M1669" s="29" t="s">
        <v>8783</v>
      </c>
      <c r="N1669" s="29" t="s">
        <v>3592</v>
      </c>
      <c r="O1669" s="29"/>
      <c r="P1669" s="29" t="s">
        <v>8787</v>
      </c>
      <c r="Q1669" t="s">
        <v>2038</v>
      </c>
      <c r="R1669" t="s">
        <v>2634</v>
      </c>
      <c r="S1669">
        <v>38</v>
      </c>
      <c r="T1669" s="43" t="str">
        <f t="shared" si="70"/>
        <v>2022.085B.Stanwilliamsviridae_nf_2nsf_4ng_6nsp.zip</v>
      </c>
      <c r="U1669" s="43" t="str">
        <f>HYPERLINK("https://ictv.global/taxonomy/taxondetails?taxnode_id=202212980","ictv.global=202212980")</f>
        <v>ictv.global=202212980</v>
      </c>
    </row>
    <row r="1670" spans="1:21">
      <c r="A1670">
        <v>1669</v>
      </c>
      <c r="B1670" s="29" t="s">
        <v>3682</v>
      </c>
      <c r="C1670" s="29"/>
      <c r="D1670" s="29" t="s">
        <v>3683</v>
      </c>
      <c r="E1670" s="29"/>
      <c r="F1670" s="29" t="s">
        <v>3686</v>
      </c>
      <c r="G1670" s="29"/>
      <c r="H1670" s="29" t="s">
        <v>3687</v>
      </c>
      <c r="I1670" s="29"/>
      <c r="J1670" s="29"/>
      <c r="K1670" s="29"/>
      <c r="L1670" s="29" t="s">
        <v>8782</v>
      </c>
      <c r="M1670" s="29" t="s">
        <v>8783</v>
      </c>
      <c r="N1670" s="29" t="s">
        <v>3592</v>
      </c>
      <c r="O1670" s="29"/>
      <c r="P1670" s="29" t="s">
        <v>8788</v>
      </c>
      <c r="Q1670" t="s">
        <v>2038</v>
      </c>
      <c r="R1670" t="s">
        <v>2634</v>
      </c>
      <c r="S1670">
        <v>38</v>
      </c>
      <c r="T1670" s="43" t="str">
        <f t="shared" si="70"/>
        <v>2022.085B.Stanwilliamsviridae_nf_2nsf_4ng_6nsp.zip</v>
      </c>
      <c r="U1670" s="43" t="str">
        <f>HYPERLINK("https://ictv.global/taxonomy/taxondetails?taxnode_id=202212976","ictv.global=202212976")</f>
        <v>ictv.global=202212976</v>
      </c>
    </row>
    <row r="1671" spans="1:21">
      <c r="A1671">
        <v>1670</v>
      </c>
      <c r="B1671" s="29" t="s">
        <v>3682</v>
      </c>
      <c r="C1671" s="29"/>
      <c r="D1671" s="29" t="s">
        <v>3683</v>
      </c>
      <c r="E1671" s="29"/>
      <c r="F1671" s="29" t="s">
        <v>3686</v>
      </c>
      <c r="G1671" s="29"/>
      <c r="H1671" s="29" t="s">
        <v>3687</v>
      </c>
      <c r="I1671" s="29"/>
      <c r="J1671" s="29"/>
      <c r="K1671" s="29"/>
      <c r="L1671" s="29" t="s">
        <v>8782</v>
      </c>
      <c r="M1671" s="29" t="s">
        <v>8783</v>
      </c>
      <c r="N1671" s="29" t="s">
        <v>3592</v>
      </c>
      <c r="O1671" s="29"/>
      <c r="P1671" s="29" t="s">
        <v>8789</v>
      </c>
      <c r="Q1671" t="s">
        <v>2038</v>
      </c>
      <c r="R1671" t="s">
        <v>2634</v>
      </c>
      <c r="S1671">
        <v>38</v>
      </c>
      <c r="T1671" s="43" t="str">
        <f t="shared" si="70"/>
        <v>2022.085B.Stanwilliamsviridae_nf_2nsf_4ng_6nsp.zip</v>
      </c>
      <c r="U1671" s="43" t="str">
        <f>HYPERLINK("https://ictv.global/taxonomy/taxondetails?taxnode_id=202212978","ictv.global=202212978")</f>
        <v>ictv.global=202212978</v>
      </c>
    </row>
    <row r="1672" spans="1:21">
      <c r="A1672">
        <v>1671</v>
      </c>
      <c r="B1672" s="29" t="s">
        <v>3682</v>
      </c>
      <c r="C1672" s="29"/>
      <c r="D1672" s="29" t="s">
        <v>3683</v>
      </c>
      <c r="E1672" s="29"/>
      <c r="F1672" s="29" t="s">
        <v>3686</v>
      </c>
      <c r="G1672" s="29"/>
      <c r="H1672" s="29" t="s">
        <v>3687</v>
      </c>
      <c r="I1672" s="29"/>
      <c r="J1672" s="29"/>
      <c r="K1672" s="29"/>
      <c r="L1672" s="29" t="s">
        <v>8782</v>
      </c>
      <c r="M1672" s="29" t="s">
        <v>8783</v>
      </c>
      <c r="N1672" s="29" t="s">
        <v>3592</v>
      </c>
      <c r="O1672" s="29"/>
      <c r="P1672" s="29" t="s">
        <v>8790</v>
      </c>
      <c r="Q1672" t="s">
        <v>2038</v>
      </c>
      <c r="R1672" t="s">
        <v>2634</v>
      </c>
      <c r="S1672">
        <v>38</v>
      </c>
      <c r="T1672" s="43" t="str">
        <f t="shared" si="70"/>
        <v>2022.085B.Stanwilliamsviridae_nf_2nsf_4ng_6nsp.zip</v>
      </c>
      <c r="U1672" s="43" t="str">
        <f>HYPERLINK("https://ictv.global/taxonomy/taxondetails?taxnode_id=202212979","ictv.global=202212979")</f>
        <v>ictv.global=202212979</v>
      </c>
    </row>
    <row r="1673" spans="1:21">
      <c r="A1673">
        <v>1672</v>
      </c>
      <c r="B1673" s="29" t="s">
        <v>3682</v>
      </c>
      <c r="C1673" s="29"/>
      <c r="D1673" s="29" t="s">
        <v>3683</v>
      </c>
      <c r="E1673" s="29"/>
      <c r="F1673" s="29" t="s">
        <v>3686</v>
      </c>
      <c r="G1673" s="29"/>
      <c r="H1673" s="29" t="s">
        <v>3687</v>
      </c>
      <c r="I1673" s="29"/>
      <c r="J1673" s="29"/>
      <c r="K1673" s="29"/>
      <c r="L1673" s="29" t="s">
        <v>8782</v>
      </c>
      <c r="M1673" s="29" t="s">
        <v>8783</v>
      </c>
      <c r="N1673" s="29" t="s">
        <v>3592</v>
      </c>
      <c r="O1673" s="29"/>
      <c r="P1673" s="29" t="s">
        <v>8791</v>
      </c>
      <c r="Q1673" t="s">
        <v>2038</v>
      </c>
      <c r="R1673" t="s">
        <v>2634</v>
      </c>
      <c r="S1673">
        <v>38</v>
      </c>
      <c r="T1673" s="43" t="str">
        <f t="shared" si="70"/>
        <v>2022.085B.Stanwilliamsviridae_nf_2nsf_4ng_6nsp.zip</v>
      </c>
      <c r="U1673" s="43" t="str">
        <f>HYPERLINK("https://ictv.global/taxonomy/taxondetails?taxnode_id=202206783","ictv.global=202206783")</f>
        <v>ictv.global=202206783</v>
      </c>
    </row>
    <row r="1674" spans="1:21">
      <c r="A1674">
        <v>1673</v>
      </c>
      <c r="B1674" s="29" t="s">
        <v>3682</v>
      </c>
      <c r="C1674" s="29"/>
      <c r="D1674" s="29" t="s">
        <v>3683</v>
      </c>
      <c r="E1674" s="29"/>
      <c r="F1674" s="29" t="s">
        <v>3686</v>
      </c>
      <c r="G1674" s="29"/>
      <c r="H1674" s="29" t="s">
        <v>3687</v>
      </c>
      <c r="I1674" s="29"/>
      <c r="J1674" s="29"/>
      <c r="K1674" s="29"/>
      <c r="L1674" s="29" t="s">
        <v>8782</v>
      </c>
      <c r="M1674" s="29" t="s">
        <v>8783</v>
      </c>
      <c r="N1674" s="29" t="s">
        <v>3592</v>
      </c>
      <c r="O1674" s="29"/>
      <c r="P1674" s="29" t="s">
        <v>8792</v>
      </c>
      <c r="Q1674" t="s">
        <v>2038</v>
      </c>
      <c r="R1674" t="s">
        <v>2634</v>
      </c>
      <c r="S1674">
        <v>38</v>
      </c>
      <c r="T1674" s="43" t="str">
        <f t="shared" si="70"/>
        <v>2022.085B.Stanwilliamsviridae_nf_2nsf_4ng_6nsp.zip</v>
      </c>
      <c r="U1674" s="43" t="str">
        <f>HYPERLINK("https://ictv.global/taxonomy/taxondetails?taxnode_id=202206785","ictv.global=202206785")</f>
        <v>ictv.global=202206785</v>
      </c>
    </row>
    <row r="1675" spans="1:21">
      <c r="A1675">
        <v>1674</v>
      </c>
      <c r="B1675" s="29" t="s">
        <v>3682</v>
      </c>
      <c r="C1675" s="29"/>
      <c r="D1675" s="29" t="s">
        <v>3683</v>
      </c>
      <c r="E1675" s="29"/>
      <c r="F1675" s="29" t="s">
        <v>3686</v>
      </c>
      <c r="G1675" s="29"/>
      <c r="H1675" s="29" t="s">
        <v>3687</v>
      </c>
      <c r="I1675" s="29"/>
      <c r="J1675" s="29"/>
      <c r="K1675" s="29"/>
      <c r="L1675" s="29" t="s">
        <v>8782</v>
      </c>
      <c r="M1675" s="29" t="s">
        <v>8783</v>
      </c>
      <c r="N1675" s="29" t="s">
        <v>3592</v>
      </c>
      <c r="O1675" s="29"/>
      <c r="P1675" s="29" t="s">
        <v>8793</v>
      </c>
      <c r="Q1675" t="s">
        <v>2038</v>
      </c>
      <c r="R1675" t="s">
        <v>2634</v>
      </c>
      <c r="S1675">
        <v>38</v>
      </c>
      <c r="T1675" s="43" t="str">
        <f t="shared" si="70"/>
        <v>2022.085B.Stanwilliamsviridae_nf_2nsf_4ng_6nsp.zip</v>
      </c>
      <c r="U1675" s="43" t="str">
        <f>HYPERLINK("https://ictv.global/taxonomy/taxondetails?taxnode_id=202206784","ictv.global=202206784")</f>
        <v>ictv.global=202206784</v>
      </c>
    </row>
    <row r="1676" spans="1:21">
      <c r="A1676">
        <v>1675</v>
      </c>
      <c r="B1676" s="29" t="s">
        <v>3682</v>
      </c>
      <c r="C1676" s="29"/>
      <c r="D1676" s="29" t="s">
        <v>3683</v>
      </c>
      <c r="E1676" s="29"/>
      <c r="F1676" s="29" t="s">
        <v>3686</v>
      </c>
      <c r="G1676" s="29"/>
      <c r="H1676" s="29" t="s">
        <v>3687</v>
      </c>
      <c r="I1676" s="29"/>
      <c r="J1676" s="29"/>
      <c r="K1676" s="29"/>
      <c r="L1676" s="29" t="s">
        <v>8782</v>
      </c>
      <c r="M1676" s="29" t="s">
        <v>8783</v>
      </c>
      <c r="N1676" s="29" t="s">
        <v>3592</v>
      </c>
      <c r="O1676" s="29"/>
      <c r="P1676" s="29" t="s">
        <v>8794</v>
      </c>
      <c r="Q1676" t="s">
        <v>2038</v>
      </c>
      <c r="R1676" t="s">
        <v>2634</v>
      </c>
      <c r="S1676">
        <v>38</v>
      </c>
      <c r="T1676" s="43" t="str">
        <f t="shared" si="70"/>
        <v>2022.085B.Stanwilliamsviridae_nf_2nsf_4ng_6nsp.zip</v>
      </c>
      <c r="U1676" s="43" t="str">
        <f>HYPERLINK("https://ictv.global/taxonomy/taxondetails?taxnode_id=202206782","ictv.global=202206782")</f>
        <v>ictv.global=202206782</v>
      </c>
    </row>
    <row r="1677" spans="1:21">
      <c r="A1677">
        <v>1676</v>
      </c>
      <c r="B1677" s="29" t="s">
        <v>3682</v>
      </c>
      <c r="C1677" s="29"/>
      <c r="D1677" s="29" t="s">
        <v>3683</v>
      </c>
      <c r="E1677" s="29"/>
      <c r="F1677" s="29" t="s">
        <v>3686</v>
      </c>
      <c r="G1677" s="29"/>
      <c r="H1677" s="29" t="s">
        <v>3687</v>
      </c>
      <c r="I1677" s="29"/>
      <c r="J1677" s="29"/>
      <c r="K1677" s="29"/>
      <c r="L1677" s="29" t="s">
        <v>8782</v>
      </c>
      <c r="M1677" s="29" t="s">
        <v>8783</v>
      </c>
      <c r="N1677" s="29" t="s">
        <v>3592</v>
      </c>
      <c r="O1677" s="29"/>
      <c r="P1677" s="29" t="s">
        <v>8795</v>
      </c>
      <c r="Q1677" t="s">
        <v>2038</v>
      </c>
      <c r="R1677" t="s">
        <v>2634</v>
      </c>
      <c r="S1677">
        <v>38</v>
      </c>
      <c r="T1677" s="43" t="str">
        <f t="shared" si="70"/>
        <v>2022.085B.Stanwilliamsviridae_nf_2nsf_4ng_6nsp.zip</v>
      </c>
      <c r="U1677" s="43" t="str">
        <f>HYPERLINK("https://ictv.global/taxonomy/taxondetails?taxnode_id=202206781","ictv.global=202206781")</f>
        <v>ictv.global=202206781</v>
      </c>
    </row>
    <row r="1678" spans="1:21">
      <c r="A1678">
        <v>1677</v>
      </c>
      <c r="B1678" s="29" t="s">
        <v>3682</v>
      </c>
      <c r="C1678" s="29"/>
      <c r="D1678" s="29" t="s">
        <v>3683</v>
      </c>
      <c r="E1678" s="29"/>
      <c r="F1678" s="29" t="s">
        <v>3686</v>
      </c>
      <c r="G1678" s="29"/>
      <c r="H1678" s="29" t="s">
        <v>3687</v>
      </c>
      <c r="I1678" s="29"/>
      <c r="J1678" s="29"/>
      <c r="K1678" s="29"/>
      <c r="L1678" s="29" t="s">
        <v>8782</v>
      </c>
      <c r="M1678" s="29" t="s">
        <v>8783</v>
      </c>
      <c r="N1678" s="29" t="s">
        <v>3592</v>
      </c>
      <c r="O1678" s="29"/>
      <c r="P1678" s="29" t="s">
        <v>8796</v>
      </c>
      <c r="Q1678" t="s">
        <v>2038</v>
      </c>
      <c r="R1678" t="s">
        <v>2634</v>
      </c>
      <c r="S1678">
        <v>38</v>
      </c>
      <c r="T1678" s="43" t="str">
        <f t="shared" si="70"/>
        <v>2022.085B.Stanwilliamsviridae_nf_2nsf_4ng_6nsp.zip</v>
      </c>
      <c r="U1678" s="43" t="str">
        <f>HYPERLINK("https://ictv.global/taxonomy/taxondetails?taxnode_id=202206780","ictv.global=202206780")</f>
        <v>ictv.global=202206780</v>
      </c>
    </row>
    <row r="1679" spans="1:21">
      <c r="A1679">
        <v>1678</v>
      </c>
      <c r="B1679" s="29" t="s">
        <v>3682</v>
      </c>
      <c r="C1679" s="29"/>
      <c r="D1679" s="29" t="s">
        <v>3683</v>
      </c>
      <c r="E1679" s="29"/>
      <c r="F1679" s="29" t="s">
        <v>3686</v>
      </c>
      <c r="G1679" s="29"/>
      <c r="H1679" s="29" t="s">
        <v>3687</v>
      </c>
      <c r="I1679" s="29"/>
      <c r="J1679" s="29"/>
      <c r="K1679" s="29"/>
      <c r="L1679" s="29" t="s">
        <v>8782</v>
      </c>
      <c r="M1679" s="29" t="s">
        <v>8783</v>
      </c>
      <c r="N1679" s="29" t="s">
        <v>8797</v>
      </c>
      <c r="O1679" s="29"/>
      <c r="P1679" s="29" t="s">
        <v>8798</v>
      </c>
      <c r="Q1679" t="s">
        <v>2038</v>
      </c>
      <c r="R1679" t="s">
        <v>2632</v>
      </c>
      <c r="S1679">
        <v>38</v>
      </c>
      <c r="T1679" s="43" t="str">
        <f t="shared" si="70"/>
        <v>2022.085B.Stanwilliamsviridae_nf_2nsf_4ng_6nsp.zip</v>
      </c>
      <c r="U1679" s="43" t="str">
        <f>HYPERLINK("https://ictv.global/taxonomy/taxondetails?taxnode_id=202214931","ictv.global=202214931")</f>
        <v>ictv.global=202214931</v>
      </c>
    </row>
    <row r="1680" spans="1:21">
      <c r="A1680">
        <v>1679</v>
      </c>
      <c r="B1680" s="29" t="s">
        <v>3682</v>
      </c>
      <c r="C1680" s="29"/>
      <c r="D1680" s="29" t="s">
        <v>3683</v>
      </c>
      <c r="E1680" s="29"/>
      <c r="F1680" s="29" t="s">
        <v>3686</v>
      </c>
      <c r="G1680" s="29"/>
      <c r="H1680" s="29" t="s">
        <v>3687</v>
      </c>
      <c r="I1680" s="29"/>
      <c r="J1680" s="29"/>
      <c r="K1680" s="29"/>
      <c r="L1680" s="29" t="s">
        <v>8782</v>
      </c>
      <c r="M1680" s="29" t="s">
        <v>8799</v>
      </c>
      <c r="N1680" s="29" t="s">
        <v>4704</v>
      </c>
      <c r="O1680" s="29"/>
      <c r="P1680" s="29" t="s">
        <v>8800</v>
      </c>
      <c r="Q1680" t="s">
        <v>2038</v>
      </c>
      <c r="R1680" t="s">
        <v>2634</v>
      </c>
      <c r="S1680">
        <v>38</v>
      </c>
      <c r="T1680" s="43" t="str">
        <f t="shared" si="70"/>
        <v>2022.085B.Stanwilliamsviridae_nf_2nsf_4ng_6nsp.zip</v>
      </c>
      <c r="U1680" s="43" t="str">
        <f>HYPERLINK("https://ictv.global/taxonomy/taxondetails?taxnode_id=202209262","ictv.global=202209262")</f>
        <v>ictv.global=202209262</v>
      </c>
    </row>
    <row r="1681" spans="1:21">
      <c r="A1681">
        <v>1680</v>
      </c>
      <c r="B1681" s="29" t="s">
        <v>3682</v>
      </c>
      <c r="C1681" s="29"/>
      <c r="D1681" s="29" t="s">
        <v>3683</v>
      </c>
      <c r="E1681" s="29"/>
      <c r="F1681" s="29" t="s">
        <v>3686</v>
      </c>
      <c r="G1681" s="29"/>
      <c r="H1681" s="29" t="s">
        <v>3687</v>
      </c>
      <c r="I1681" s="29"/>
      <c r="J1681" s="29"/>
      <c r="K1681" s="29"/>
      <c r="L1681" s="29" t="s">
        <v>8782</v>
      </c>
      <c r="M1681" s="29" t="s">
        <v>8799</v>
      </c>
      <c r="N1681" s="29" t="s">
        <v>4704</v>
      </c>
      <c r="O1681" s="29"/>
      <c r="P1681" s="29" t="s">
        <v>8801</v>
      </c>
      <c r="Q1681" t="s">
        <v>2038</v>
      </c>
      <c r="R1681" t="s">
        <v>2634</v>
      </c>
      <c r="S1681">
        <v>38</v>
      </c>
      <c r="T1681" s="43" t="str">
        <f t="shared" si="70"/>
        <v>2022.085B.Stanwilliamsviridae_nf_2nsf_4ng_6nsp.zip</v>
      </c>
      <c r="U1681" s="43" t="str">
        <f>HYPERLINK("https://ictv.global/taxonomy/taxondetails?taxnode_id=202209263","ictv.global=202209263")</f>
        <v>ictv.global=202209263</v>
      </c>
    </row>
    <row r="1682" spans="1:21">
      <c r="A1682">
        <v>1681</v>
      </c>
      <c r="B1682" s="29" t="s">
        <v>3682</v>
      </c>
      <c r="C1682" s="29"/>
      <c r="D1682" s="29" t="s">
        <v>3683</v>
      </c>
      <c r="E1682" s="29"/>
      <c r="F1682" s="29" t="s">
        <v>3686</v>
      </c>
      <c r="G1682" s="29"/>
      <c r="H1682" s="29" t="s">
        <v>3687</v>
      </c>
      <c r="I1682" s="29"/>
      <c r="J1682" s="29"/>
      <c r="K1682" s="29"/>
      <c r="L1682" s="29" t="s">
        <v>8782</v>
      </c>
      <c r="M1682" s="29" t="s">
        <v>8799</v>
      </c>
      <c r="N1682" s="29" t="s">
        <v>8802</v>
      </c>
      <c r="O1682" s="29"/>
      <c r="P1682" s="29" t="s">
        <v>8803</v>
      </c>
      <c r="Q1682" t="s">
        <v>2038</v>
      </c>
      <c r="R1682" t="s">
        <v>2632</v>
      </c>
      <c r="S1682">
        <v>38</v>
      </c>
      <c r="T1682" s="43" t="str">
        <f t="shared" si="70"/>
        <v>2022.085B.Stanwilliamsviridae_nf_2nsf_4ng_6nsp.zip</v>
      </c>
      <c r="U1682" s="43" t="str">
        <f>HYPERLINK("https://ictv.global/taxonomy/taxondetails?taxnode_id=202214933","ictv.global=202214933")</f>
        <v>ictv.global=202214933</v>
      </c>
    </row>
    <row r="1683" spans="1:21">
      <c r="A1683">
        <v>1682</v>
      </c>
      <c r="B1683" s="29" t="s">
        <v>3682</v>
      </c>
      <c r="C1683" s="29"/>
      <c r="D1683" s="29" t="s">
        <v>3683</v>
      </c>
      <c r="E1683" s="29"/>
      <c r="F1683" s="29" t="s">
        <v>3686</v>
      </c>
      <c r="G1683" s="29"/>
      <c r="H1683" s="29" t="s">
        <v>3687</v>
      </c>
      <c r="I1683" s="29"/>
      <c r="J1683" s="29"/>
      <c r="K1683" s="29"/>
      <c r="L1683" s="29" t="s">
        <v>8782</v>
      </c>
      <c r="M1683" s="29" t="s">
        <v>8799</v>
      </c>
      <c r="N1683" s="29" t="s">
        <v>8802</v>
      </c>
      <c r="O1683" s="29"/>
      <c r="P1683" s="29" t="s">
        <v>8804</v>
      </c>
      <c r="Q1683" t="s">
        <v>2038</v>
      </c>
      <c r="R1683" t="s">
        <v>2632</v>
      </c>
      <c r="S1683">
        <v>38</v>
      </c>
      <c r="T1683" s="43" t="str">
        <f t="shared" si="70"/>
        <v>2022.085B.Stanwilliamsviridae_nf_2nsf_4ng_6nsp.zip</v>
      </c>
      <c r="U1683" s="43" t="str">
        <f>HYPERLINK("https://ictv.global/taxonomy/taxondetails?taxnode_id=202214934","ictv.global=202214934")</f>
        <v>ictv.global=202214934</v>
      </c>
    </row>
    <row r="1684" spans="1:21">
      <c r="A1684">
        <v>1683</v>
      </c>
      <c r="B1684" s="29" t="s">
        <v>3682</v>
      </c>
      <c r="C1684" s="29"/>
      <c r="D1684" s="29" t="s">
        <v>3683</v>
      </c>
      <c r="E1684" s="29"/>
      <c r="F1684" s="29" t="s">
        <v>3686</v>
      </c>
      <c r="G1684" s="29"/>
      <c r="H1684" s="29" t="s">
        <v>3687</v>
      </c>
      <c r="I1684" s="29"/>
      <c r="J1684" s="29"/>
      <c r="K1684" s="29"/>
      <c r="L1684" s="29" t="s">
        <v>8782</v>
      </c>
      <c r="M1684" s="29" t="s">
        <v>8799</v>
      </c>
      <c r="N1684" s="29" t="s">
        <v>4726</v>
      </c>
      <c r="O1684" s="29"/>
      <c r="P1684" s="29" t="s">
        <v>8805</v>
      </c>
      <c r="Q1684" t="s">
        <v>2038</v>
      </c>
      <c r="R1684" t="s">
        <v>2634</v>
      </c>
      <c r="S1684">
        <v>38</v>
      </c>
      <c r="T1684" s="43" t="str">
        <f t="shared" si="70"/>
        <v>2022.085B.Stanwilliamsviridae_nf_2nsf_4ng_6nsp.zip</v>
      </c>
      <c r="U1684" s="43" t="str">
        <f>HYPERLINK("https://ictv.global/taxonomy/taxondetails?taxnode_id=202210042","ictv.global=202210042")</f>
        <v>ictv.global=202210042</v>
      </c>
    </row>
    <row r="1685" spans="1:21">
      <c r="A1685">
        <v>1684</v>
      </c>
      <c r="B1685" s="29" t="s">
        <v>3682</v>
      </c>
      <c r="C1685" s="29"/>
      <c r="D1685" s="29" t="s">
        <v>3683</v>
      </c>
      <c r="E1685" s="29"/>
      <c r="F1685" s="29" t="s">
        <v>3686</v>
      </c>
      <c r="G1685" s="29"/>
      <c r="H1685" s="29" t="s">
        <v>3687</v>
      </c>
      <c r="I1685" s="29"/>
      <c r="J1685" s="29"/>
      <c r="K1685" s="29"/>
      <c r="L1685" s="29" t="s">
        <v>8782</v>
      </c>
      <c r="M1685" s="29" t="s">
        <v>8799</v>
      </c>
      <c r="N1685" s="29" t="s">
        <v>4726</v>
      </c>
      <c r="O1685" s="29"/>
      <c r="P1685" s="29" t="s">
        <v>8806</v>
      </c>
      <c r="Q1685" t="s">
        <v>2038</v>
      </c>
      <c r="R1685" t="s">
        <v>2634</v>
      </c>
      <c r="S1685">
        <v>38</v>
      </c>
      <c r="T1685" s="43" t="str">
        <f t="shared" si="70"/>
        <v>2022.085B.Stanwilliamsviridae_nf_2nsf_4ng_6nsp.zip</v>
      </c>
      <c r="U1685" s="43" t="str">
        <f>HYPERLINK("https://ictv.global/taxonomy/taxondetails?taxnode_id=202210041","ictv.global=202210041")</f>
        <v>ictv.global=202210041</v>
      </c>
    </row>
    <row r="1686" spans="1:21">
      <c r="A1686">
        <v>1685</v>
      </c>
      <c r="B1686" s="29" t="s">
        <v>3682</v>
      </c>
      <c r="C1686" s="29"/>
      <c r="D1686" s="29" t="s">
        <v>3683</v>
      </c>
      <c r="E1686" s="29"/>
      <c r="F1686" s="29" t="s">
        <v>3686</v>
      </c>
      <c r="G1686" s="29"/>
      <c r="H1686" s="29" t="s">
        <v>3687</v>
      </c>
      <c r="I1686" s="29"/>
      <c r="J1686" s="29"/>
      <c r="K1686" s="29"/>
      <c r="L1686" s="29" t="s">
        <v>8782</v>
      </c>
      <c r="M1686" s="29" t="s">
        <v>8799</v>
      </c>
      <c r="N1686" s="29" t="s">
        <v>8807</v>
      </c>
      <c r="O1686" s="29"/>
      <c r="P1686" s="29" t="s">
        <v>8808</v>
      </c>
      <c r="Q1686" t="s">
        <v>2038</v>
      </c>
      <c r="R1686" t="s">
        <v>2632</v>
      </c>
      <c r="S1686">
        <v>38</v>
      </c>
      <c r="T1686" s="43" t="str">
        <f t="shared" si="70"/>
        <v>2022.085B.Stanwilliamsviridae_nf_2nsf_4ng_6nsp.zip</v>
      </c>
      <c r="U1686" s="43" t="str">
        <f>HYPERLINK("https://ictv.global/taxonomy/taxondetails?taxnode_id=202214936","ictv.global=202214936")</f>
        <v>ictv.global=202214936</v>
      </c>
    </row>
    <row r="1687" spans="1:21">
      <c r="A1687">
        <v>1686</v>
      </c>
      <c r="B1687" s="29" t="s">
        <v>3682</v>
      </c>
      <c r="C1687" s="29"/>
      <c r="D1687" s="29" t="s">
        <v>3683</v>
      </c>
      <c r="E1687" s="29"/>
      <c r="F1687" s="29" t="s">
        <v>3686</v>
      </c>
      <c r="G1687" s="29"/>
      <c r="H1687" s="29" t="s">
        <v>3687</v>
      </c>
      <c r="I1687" s="29"/>
      <c r="J1687" s="29"/>
      <c r="K1687" s="29"/>
      <c r="L1687" s="29" t="s">
        <v>8782</v>
      </c>
      <c r="M1687" s="29" t="s">
        <v>8799</v>
      </c>
      <c r="N1687" s="29" t="s">
        <v>8807</v>
      </c>
      <c r="O1687" s="29"/>
      <c r="P1687" s="29" t="s">
        <v>8809</v>
      </c>
      <c r="Q1687" t="s">
        <v>2038</v>
      </c>
      <c r="R1687" t="s">
        <v>2632</v>
      </c>
      <c r="S1687">
        <v>38</v>
      </c>
      <c r="T1687" s="43" t="str">
        <f t="shared" si="70"/>
        <v>2022.085B.Stanwilliamsviridae_nf_2nsf_4ng_6nsp.zip</v>
      </c>
      <c r="U1687" s="43" t="str">
        <f>HYPERLINK("https://ictv.global/taxonomy/taxondetails?taxnode_id=202214935","ictv.global=202214935")</f>
        <v>ictv.global=202214935</v>
      </c>
    </row>
    <row r="1688" spans="1:21">
      <c r="A1688">
        <v>1687</v>
      </c>
      <c r="B1688" s="29" t="s">
        <v>3682</v>
      </c>
      <c r="C1688" s="29"/>
      <c r="D1688" s="29" t="s">
        <v>3683</v>
      </c>
      <c r="E1688" s="29"/>
      <c r="F1688" s="29" t="s">
        <v>3686</v>
      </c>
      <c r="G1688" s="29"/>
      <c r="H1688" s="29" t="s">
        <v>3687</v>
      </c>
      <c r="I1688" s="29"/>
      <c r="J1688" s="29"/>
      <c r="K1688" s="29"/>
      <c r="L1688" s="29" t="s">
        <v>8782</v>
      </c>
      <c r="M1688" s="29" t="s">
        <v>8799</v>
      </c>
      <c r="N1688" s="29" t="s">
        <v>3619</v>
      </c>
      <c r="O1688" s="29"/>
      <c r="P1688" s="29" t="s">
        <v>8810</v>
      </c>
      <c r="Q1688" t="s">
        <v>2038</v>
      </c>
      <c r="R1688" t="s">
        <v>2634</v>
      </c>
      <c r="S1688">
        <v>38</v>
      </c>
      <c r="T1688" s="43" t="str">
        <f t="shared" si="70"/>
        <v>2022.085B.Stanwilliamsviridae_nf_2nsf_4ng_6nsp.zip</v>
      </c>
      <c r="U1688" s="43" t="str">
        <f>HYPERLINK("https://ictv.global/taxonomy/taxondetails?taxnode_id=202206797","ictv.global=202206797")</f>
        <v>ictv.global=202206797</v>
      </c>
    </row>
    <row r="1689" spans="1:21">
      <c r="A1689">
        <v>1688</v>
      </c>
      <c r="B1689" s="29" t="s">
        <v>3682</v>
      </c>
      <c r="C1689" s="29"/>
      <c r="D1689" s="29" t="s">
        <v>3683</v>
      </c>
      <c r="E1689" s="29"/>
      <c r="F1689" s="29" t="s">
        <v>3686</v>
      </c>
      <c r="G1689" s="29"/>
      <c r="H1689" s="29" t="s">
        <v>3687</v>
      </c>
      <c r="I1689" s="29"/>
      <c r="J1689" s="29"/>
      <c r="K1689" s="29"/>
      <c r="L1689" s="29" t="s">
        <v>8811</v>
      </c>
      <c r="M1689" s="29" t="s">
        <v>4531</v>
      </c>
      <c r="N1689" s="29" t="s">
        <v>4532</v>
      </c>
      <c r="O1689" s="29"/>
      <c r="P1689" s="29" t="s">
        <v>8812</v>
      </c>
      <c r="Q1689" t="s">
        <v>2038</v>
      </c>
      <c r="R1689" t="s">
        <v>2633</v>
      </c>
      <c r="S1689">
        <v>37</v>
      </c>
      <c r="T1689" s="43" t="str">
        <f t="shared" ref="T1689:T1704" si="71">HYPERLINK("https://ictv.global/ictv/proposals/2021.082B.R.Tevens_new_families.zip","2021.082B.R.Tevens_new_families.zip")</f>
        <v>2021.082B.R.Tevens_new_families.zip</v>
      </c>
      <c r="U1689" s="43" t="str">
        <f>HYPERLINK("https://ictv.global/taxonomy/taxondetails?taxnode_id=202209997","ictv.global=202209997")</f>
        <v>ictv.global=202209997</v>
      </c>
    </row>
    <row r="1690" spans="1:21">
      <c r="A1690">
        <v>1689</v>
      </c>
      <c r="B1690" s="29" t="s">
        <v>3682</v>
      </c>
      <c r="C1690" s="29"/>
      <c r="D1690" s="29" t="s">
        <v>3683</v>
      </c>
      <c r="E1690" s="29"/>
      <c r="F1690" s="29" t="s">
        <v>3686</v>
      </c>
      <c r="G1690" s="29"/>
      <c r="H1690" s="29" t="s">
        <v>3687</v>
      </c>
      <c r="I1690" s="29"/>
      <c r="J1690" s="29"/>
      <c r="K1690" s="29"/>
      <c r="L1690" s="29" t="s">
        <v>8811</v>
      </c>
      <c r="M1690" s="29" t="s">
        <v>4531</v>
      </c>
      <c r="N1690" s="29" t="s">
        <v>4532</v>
      </c>
      <c r="O1690" s="29"/>
      <c r="P1690" s="29" t="s">
        <v>8813</v>
      </c>
      <c r="Q1690" t="s">
        <v>2038</v>
      </c>
      <c r="R1690" t="s">
        <v>2633</v>
      </c>
      <c r="S1690">
        <v>37</v>
      </c>
      <c r="T1690" s="43" t="str">
        <f t="shared" si="71"/>
        <v>2021.082B.R.Tevens_new_families.zip</v>
      </c>
      <c r="U1690" s="43" t="str">
        <f>HYPERLINK("https://ictv.global/taxonomy/taxondetails?taxnode_id=202209996","ictv.global=202209996")</f>
        <v>ictv.global=202209996</v>
      </c>
    </row>
    <row r="1691" spans="1:21">
      <c r="A1691">
        <v>1690</v>
      </c>
      <c r="B1691" s="29" t="s">
        <v>3682</v>
      </c>
      <c r="C1691" s="29"/>
      <c r="D1691" s="29" t="s">
        <v>3683</v>
      </c>
      <c r="E1691" s="29"/>
      <c r="F1691" s="29" t="s">
        <v>3686</v>
      </c>
      <c r="G1691" s="29"/>
      <c r="H1691" s="29" t="s">
        <v>3687</v>
      </c>
      <c r="I1691" s="29"/>
      <c r="J1691" s="29"/>
      <c r="K1691" s="29"/>
      <c r="L1691" s="29" t="s">
        <v>8811</v>
      </c>
      <c r="M1691" s="29" t="s">
        <v>4531</v>
      </c>
      <c r="N1691" s="29" t="s">
        <v>4532</v>
      </c>
      <c r="O1691" s="29"/>
      <c r="P1691" s="29" t="s">
        <v>8814</v>
      </c>
      <c r="Q1691" t="s">
        <v>2038</v>
      </c>
      <c r="R1691" t="s">
        <v>2633</v>
      </c>
      <c r="S1691">
        <v>37</v>
      </c>
      <c r="T1691" s="43" t="str">
        <f t="shared" si="71"/>
        <v>2021.082B.R.Tevens_new_families.zip</v>
      </c>
      <c r="U1691" s="43" t="str">
        <f>HYPERLINK("https://ictv.global/taxonomy/taxondetails?taxnode_id=202209995","ictv.global=202209995")</f>
        <v>ictv.global=202209995</v>
      </c>
    </row>
    <row r="1692" spans="1:21">
      <c r="A1692">
        <v>1691</v>
      </c>
      <c r="B1692" s="29" t="s">
        <v>3682</v>
      </c>
      <c r="C1692" s="29"/>
      <c r="D1692" s="29" t="s">
        <v>3683</v>
      </c>
      <c r="E1692" s="29"/>
      <c r="F1692" s="29" t="s">
        <v>3686</v>
      </c>
      <c r="G1692" s="29"/>
      <c r="H1692" s="29" t="s">
        <v>3687</v>
      </c>
      <c r="I1692" s="29"/>
      <c r="J1692" s="29"/>
      <c r="K1692" s="29"/>
      <c r="L1692" s="29" t="s">
        <v>8811</v>
      </c>
      <c r="M1692" s="29" t="s">
        <v>4531</v>
      </c>
      <c r="N1692" s="29" t="s">
        <v>4533</v>
      </c>
      <c r="O1692" s="29"/>
      <c r="P1692" s="29" t="s">
        <v>8815</v>
      </c>
      <c r="Q1692" t="s">
        <v>2038</v>
      </c>
      <c r="R1692" t="s">
        <v>2633</v>
      </c>
      <c r="S1692">
        <v>37</v>
      </c>
      <c r="T1692" s="43" t="str">
        <f t="shared" si="71"/>
        <v>2021.082B.R.Tevens_new_families.zip</v>
      </c>
      <c r="U1692" s="43" t="str">
        <f>HYPERLINK("https://ictv.global/taxonomy/taxondetails?taxnode_id=202200339","ictv.global=202200339")</f>
        <v>ictv.global=202200339</v>
      </c>
    </row>
    <row r="1693" spans="1:21">
      <c r="A1693">
        <v>1692</v>
      </c>
      <c r="B1693" s="29" t="s">
        <v>3682</v>
      </c>
      <c r="C1693" s="29"/>
      <c r="D1693" s="29" t="s">
        <v>3683</v>
      </c>
      <c r="E1693" s="29"/>
      <c r="F1693" s="29" t="s">
        <v>3686</v>
      </c>
      <c r="G1693" s="29"/>
      <c r="H1693" s="29" t="s">
        <v>3687</v>
      </c>
      <c r="I1693" s="29"/>
      <c r="J1693" s="29"/>
      <c r="K1693" s="29"/>
      <c r="L1693" s="29" t="s">
        <v>8811</v>
      </c>
      <c r="M1693" s="29" t="s">
        <v>999</v>
      </c>
      <c r="N1693" s="29" t="s">
        <v>3378</v>
      </c>
      <c r="O1693" s="29"/>
      <c r="P1693" s="29" t="s">
        <v>8816</v>
      </c>
      <c r="Q1693" t="s">
        <v>2038</v>
      </c>
      <c r="R1693" t="s">
        <v>2632</v>
      </c>
      <c r="S1693">
        <v>37</v>
      </c>
      <c r="T1693" s="43" t="str">
        <f t="shared" si="71"/>
        <v>2021.082B.R.Tevens_new_families.zip</v>
      </c>
      <c r="U1693" s="43" t="str">
        <f>HYPERLINK("https://ictv.global/taxonomy/taxondetails?taxnode_id=202213693","ictv.global=202213693")</f>
        <v>ictv.global=202213693</v>
      </c>
    </row>
    <row r="1694" spans="1:21">
      <c r="A1694">
        <v>1693</v>
      </c>
      <c r="B1694" s="29" t="s">
        <v>3682</v>
      </c>
      <c r="C1694" s="29"/>
      <c r="D1694" s="29" t="s">
        <v>3683</v>
      </c>
      <c r="E1694" s="29"/>
      <c r="F1694" s="29" t="s">
        <v>3686</v>
      </c>
      <c r="G1694" s="29"/>
      <c r="H1694" s="29" t="s">
        <v>3687</v>
      </c>
      <c r="I1694" s="29"/>
      <c r="J1694" s="29"/>
      <c r="K1694" s="29"/>
      <c r="L1694" s="29" t="s">
        <v>8811</v>
      </c>
      <c r="M1694" s="29" t="s">
        <v>999</v>
      </c>
      <c r="N1694" s="29" t="s">
        <v>3378</v>
      </c>
      <c r="O1694" s="29"/>
      <c r="P1694" s="29" t="s">
        <v>8817</v>
      </c>
      <c r="Q1694" t="s">
        <v>2038</v>
      </c>
      <c r="R1694" t="s">
        <v>2633</v>
      </c>
      <c r="S1694">
        <v>37</v>
      </c>
      <c r="T1694" s="43" t="str">
        <f t="shared" si="71"/>
        <v>2021.082B.R.Tevens_new_families.zip</v>
      </c>
      <c r="U1694" s="43" t="str">
        <f>HYPERLINK("https://ictv.global/taxonomy/taxondetails?taxnode_id=202200286","ictv.global=202200286")</f>
        <v>ictv.global=202200286</v>
      </c>
    </row>
    <row r="1695" spans="1:21">
      <c r="A1695">
        <v>1694</v>
      </c>
      <c r="B1695" s="29" t="s">
        <v>3682</v>
      </c>
      <c r="C1695" s="29"/>
      <c r="D1695" s="29" t="s">
        <v>3683</v>
      </c>
      <c r="E1695" s="29"/>
      <c r="F1695" s="29" t="s">
        <v>3686</v>
      </c>
      <c r="G1695" s="29"/>
      <c r="H1695" s="29" t="s">
        <v>3687</v>
      </c>
      <c r="I1695" s="29"/>
      <c r="J1695" s="29"/>
      <c r="K1695" s="29"/>
      <c r="L1695" s="29" t="s">
        <v>8811</v>
      </c>
      <c r="M1695" s="29" t="s">
        <v>999</v>
      </c>
      <c r="N1695" s="29" t="s">
        <v>3378</v>
      </c>
      <c r="O1695" s="29"/>
      <c r="P1695" s="29" t="s">
        <v>8818</v>
      </c>
      <c r="Q1695" t="s">
        <v>2038</v>
      </c>
      <c r="R1695" t="s">
        <v>2632</v>
      </c>
      <c r="S1695">
        <v>37</v>
      </c>
      <c r="T1695" s="43" t="str">
        <f t="shared" si="71"/>
        <v>2021.082B.R.Tevens_new_families.zip</v>
      </c>
      <c r="U1695" s="43" t="str">
        <f>HYPERLINK("https://ictv.global/taxonomy/taxondetails?taxnode_id=202213694","ictv.global=202213694")</f>
        <v>ictv.global=202213694</v>
      </c>
    </row>
    <row r="1696" spans="1:21">
      <c r="A1696">
        <v>1695</v>
      </c>
      <c r="B1696" s="29" t="s">
        <v>3682</v>
      </c>
      <c r="C1696" s="29"/>
      <c r="D1696" s="29" t="s">
        <v>3683</v>
      </c>
      <c r="E1696" s="29"/>
      <c r="F1696" s="29" t="s">
        <v>3686</v>
      </c>
      <c r="G1696" s="29"/>
      <c r="H1696" s="29" t="s">
        <v>3687</v>
      </c>
      <c r="I1696" s="29"/>
      <c r="J1696" s="29"/>
      <c r="K1696" s="29"/>
      <c r="L1696" s="29" t="s">
        <v>8811</v>
      </c>
      <c r="M1696" s="29" t="s">
        <v>999</v>
      </c>
      <c r="N1696" s="29" t="s">
        <v>3378</v>
      </c>
      <c r="O1696" s="29"/>
      <c r="P1696" s="29" t="s">
        <v>8819</v>
      </c>
      <c r="Q1696" t="s">
        <v>2038</v>
      </c>
      <c r="R1696" t="s">
        <v>2633</v>
      </c>
      <c r="S1696">
        <v>37</v>
      </c>
      <c r="T1696" s="43" t="str">
        <f t="shared" si="71"/>
        <v>2021.082B.R.Tevens_new_families.zip</v>
      </c>
      <c r="U1696" s="43" t="str">
        <f>HYPERLINK("https://ictv.global/taxonomy/taxondetails?taxnode_id=202200287","ictv.global=202200287")</f>
        <v>ictv.global=202200287</v>
      </c>
    </row>
    <row r="1697" spans="1:21">
      <c r="A1697">
        <v>1696</v>
      </c>
      <c r="B1697" s="29" t="s">
        <v>3682</v>
      </c>
      <c r="C1697" s="29"/>
      <c r="D1697" s="29" t="s">
        <v>3683</v>
      </c>
      <c r="E1697" s="29"/>
      <c r="F1697" s="29" t="s">
        <v>3686</v>
      </c>
      <c r="G1697" s="29"/>
      <c r="H1697" s="29" t="s">
        <v>3687</v>
      </c>
      <c r="I1697" s="29"/>
      <c r="J1697" s="29"/>
      <c r="K1697" s="29"/>
      <c r="L1697" s="29" t="s">
        <v>8811</v>
      </c>
      <c r="M1697" s="29" t="s">
        <v>999</v>
      </c>
      <c r="N1697" s="29" t="s">
        <v>3378</v>
      </c>
      <c r="O1697" s="29"/>
      <c r="P1697" s="29" t="s">
        <v>8820</v>
      </c>
      <c r="Q1697" t="s">
        <v>2038</v>
      </c>
      <c r="R1697" t="s">
        <v>2632</v>
      </c>
      <c r="S1697">
        <v>37</v>
      </c>
      <c r="T1697" s="43" t="str">
        <f t="shared" si="71"/>
        <v>2021.082B.R.Tevens_new_families.zip</v>
      </c>
      <c r="U1697" s="43" t="str">
        <f>HYPERLINK("https://ictv.global/taxonomy/taxondetails?taxnode_id=202213691","ictv.global=202213691")</f>
        <v>ictv.global=202213691</v>
      </c>
    </row>
    <row r="1698" spans="1:21">
      <c r="A1698">
        <v>1697</v>
      </c>
      <c r="B1698" s="29" t="s">
        <v>3682</v>
      </c>
      <c r="C1698" s="29"/>
      <c r="D1698" s="29" t="s">
        <v>3683</v>
      </c>
      <c r="E1698" s="29"/>
      <c r="F1698" s="29" t="s">
        <v>3686</v>
      </c>
      <c r="G1698" s="29"/>
      <c r="H1698" s="29" t="s">
        <v>3687</v>
      </c>
      <c r="I1698" s="29"/>
      <c r="J1698" s="29"/>
      <c r="K1698" s="29"/>
      <c r="L1698" s="29" t="s">
        <v>8811</v>
      </c>
      <c r="M1698" s="29" t="s">
        <v>999</v>
      </c>
      <c r="N1698" s="29" t="s">
        <v>3378</v>
      </c>
      <c r="O1698" s="29"/>
      <c r="P1698" s="29" t="s">
        <v>8821</v>
      </c>
      <c r="Q1698" t="s">
        <v>2038</v>
      </c>
      <c r="R1698" t="s">
        <v>2632</v>
      </c>
      <c r="S1698">
        <v>37</v>
      </c>
      <c r="T1698" s="43" t="str">
        <f t="shared" si="71"/>
        <v>2021.082B.R.Tevens_new_families.zip</v>
      </c>
      <c r="U1698" s="43" t="str">
        <f>HYPERLINK("https://ictv.global/taxonomy/taxondetails?taxnode_id=202213692","ictv.global=202213692")</f>
        <v>ictv.global=202213692</v>
      </c>
    </row>
    <row r="1699" spans="1:21">
      <c r="A1699">
        <v>1698</v>
      </c>
      <c r="B1699" s="29" t="s">
        <v>3682</v>
      </c>
      <c r="C1699" s="29"/>
      <c r="D1699" s="29" t="s">
        <v>3683</v>
      </c>
      <c r="E1699" s="29"/>
      <c r="F1699" s="29" t="s">
        <v>3686</v>
      </c>
      <c r="G1699" s="29"/>
      <c r="H1699" s="29" t="s">
        <v>3687</v>
      </c>
      <c r="I1699" s="29"/>
      <c r="J1699" s="29"/>
      <c r="K1699" s="29"/>
      <c r="L1699" s="29" t="s">
        <v>8811</v>
      </c>
      <c r="M1699" s="29" t="s">
        <v>999</v>
      </c>
      <c r="N1699" s="29" t="s">
        <v>3378</v>
      </c>
      <c r="O1699" s="29"/>
      <c r="P1699" s="29" t="s">
        <v>8822</v>
      </c>
      <c r="Q1699" t="s">
        <v>2038</v>
      </c>
      <c r="R1699" t="s">
        <v>2633</v>
      </c>
      <c r="S1699">
        <v>37</v>
      </c>
      <c r="T1699" s="43" t="str">
        <f t="shared" si="71"/>
        <v>2021.082B.R.Tevens_new_families.zip</v>
      </c>
      <c r="U1699" s="43" t="str">
        <f>HYPERLINK("https://ictv.global/taxonomy/taxondetails?taxnode_id=202200288","ictv.global=202200288")</f>
        <v>ictv.global=202200288</v>
      </c>
    </row>
    <row r="1700" spans="1:21">
      <c r="A1700">
        <v>1699</v>
      </c>
      <c r="B1700" s="29" t="s">
        <v>3682</v>
      </c>
      <c r="C1700" s="29"/>
      <c r="D1700" s="29" t="s">
        <v>3683</v>
      </c>
      <c r="E1700" s="29"/>
      <c r="F1700" s="29" t="s">
        <v>3686</v>
      </c>
      <c r="G1700" s="29"/>
      <c r="H1700" s="29" t="s">
        <v>3687</v>
      </c>
      <c r="I1700" s="29"/>
      <c r="J1700" s="29"/>
      <c r="K1700" s="29"/>
      <c r="L1700" s="29" t="s">
        <v>8811</v>
      </c>
      <c r="M1700" s="29" t="s">
        <v>999</v>
      </c>
      <c r="N1700" s="29" t="s">
        <v>3378</v>
      </c>
      <c r="O1700" s="29"/>
      <c r="P1700" s="29" t="s">
        <v>8823</v>
      </c>
      <c r="Q1700" t="s">
        <v>2038</v>
      </c>
      <c r="R1700" t="s">
        <v>2633</v>
      </c>
      <c r="S1700">
        <v>37</v>
      </c>
      <c r="T1700" s="43" t="str">
        <f t="shared" si="71"/>
        <v>2021.082B.R.Tevens_new_families.zip</v>
      </c>
      <c r="U1700" s="43" t="str">
        <f>HYPERLINK("https://ictv.global/taxonomy/taxondetails?taxnode_id=202200289","ictv.global=202200289")</f>
        <v>ictv.global=202200289</v>
      </c>
    </row>
    <row r="1701" spans="1:21">
      <c r="A1701">
        <v>1700</v>
      </c>
      <c r="B1701" s="29" t="s">
        <v>3682</v>
      </c>
      <c r="C1701" s="29"/>
      <c r="D1701" s="29" t="s">
        <v>3683</v>
      </c>
      <c r="E1701" s="29"/>
      <c r="F1701" s="29" t="s">
        <v>3686</v>
      </c>
      <c r="G1701" s="29"/>
      <c r="H1701" s="29" t="s">
        <v>3687</v>
      </c>
      <c r="I1701" s="29"/>
      <c r="J1701" s="29"/>
      <c r="K1701" s="29"/>
      <c r="L1701" s="29" t="s">
        <v>8811</v>
      </c>
      <c r="M1701" s="29" t="s">
        <v>999</v>
      </c>
      <c r="N1701" s="29" t="s">
        <v>3378</v>
      </c>
      <c r="O1701" s="29"/>
      <c r="P1701" s="29" t="s">
        <v>8824</v>
      </c>
      <c r="Q1701" t="s">
        <v>2038</v>
      </c>
      <c r="R1701" t="s">
        <v>2633</v>
      </c>
      <c r="S1701">
        <v>37</v>
      </c>
      <c r="T1701" s="43" t="str">
        <f t="shared" si="71"/>
        <v>2021.082B.R.Tevens_new_families.zip</v>
      </c>
      <c r="U1701" s="43" t="str">
        <f>HYPERLINK("https://ictv.global/taxonomy/taxondetails?taxnode_id=202207034","ictv.global=202207034")</f>
        <v>ictv.global=202207034</v>
      </c>
    </row>
    <row r="1702" spans="1:21">
      <c r="A1702">
        <v>1701</v>
      </c>
      <c r="B1702" s="29" t="s">
        <v>3682</v>
      </c>
      <c r="C1702" s="29"/>
      <c r="D1702" s="29" t="s">
        <v>3683</v>
      </c>
      <c r="E1702" s="29"/>
      <c r="F1702" s="29" t="s">
        <v>3686</v>
      </c>
      <c r="G1702" s="29"/>
      <c r="H1702" s="29" t="s">
        <v>3687</v>
      </c>
      <c r="I1702" s="29"/>
      <c r="J1702" s="29"/>
      <c r="K1702" s="29"/>
      <c r="L1702" s="29" t="s">
        <v>8811</v>
      </c>
      <c r="M1702" s="29" t="s">
        <v>999</v>
      </c>
      <c r="N1702" s="29" t="s">
        <v>3378</v>
      </c>
      <c r="O1702" s="29"/>
      <c r="P1702" s="29" t="s">
        <v>8825</v>
      </c>
      <c r="Q1702" t="s">
        <v>2038</v>
      </c>
      <c r="R1702" t="s">
        <v>2633</v>
      </c>
      <c r="S1702">
        <v>37</v>
      </c>
      <c r="T1702" s="43" t="str">
        <f t="shared" si="71"/>
        <v>2021.082B.R.Tevens_new_families.zip</v>
      </c>
      <c r="U1702" s="43" t="str">
        <f>HYPERLINK("https://ictv.global/taxonomy/taxondetails?taxnode_id=202200290","ictv.global=202200290")</f>
        <v>ictv.global=202200290</v>
      </c>
    </row>
    <row r="1703" spans="1:21">
      <c r="A1703">
        <v>1702</v>
      </c>
      <c r="B1703" s="29" t="s">
        <v>3682</v>
      </c>
      <c r="C1703" s="29"/>
      <c r="D1703" s="29" t="s">
        <v>3683</v>
      </c>
      <c r="E1703" s="29"/>
      <c r="F1703" s="29" t="s">
        <v>3686</v>
      </c>
      <c r="G1703" s="29"/>
      <c r="H1703" s="29" t="s">
        <v>3687</v>
      </c>
      <c r="I1703" s="29"/>
      <c r="J1703" s="29"/>
      <c r="K1703" s="29"/>
      <c r="L1703" s="29" t="s">
        <v>8811</v>
      </c>
      <c r="M1703" s="29" t="s">
        <v>999</v>
      </c>
      <c r="N1703" s="29" t="s">
        <v>3378</v>
      </c>
      <c r="O1703" s="29"/>
      <c r="P1703" s="29" t="s">
        <v>8826</v>
      </c>
      <c r="Q1703" t="s">
        <v>2038</v>
      </c>
      <c r="R1703" t="s">
        <v>2633</v>
      </c>
      <c r="S1703">
        <v>37</v>
      </c>
      <c r="T1703" s="43" t="str">
        <f t="shared" si="71"/>
        <v>2021.082B.R.Tevens_new_families.zip</v>
      </c>
      <c r="U1703" s="43" t="str">
        <f>HYPERLINK("https://ictv.global/taxonomy/taxondetails?taxnode_id=202200291","ictv.global=202200291")</f>
        <v>ictv.global=202200291</v>
      </c>
    </row>
    <row r="1704" spans="1:21">
      <c r="A1704">
        <v>1703</v>
      </c>
      <c r="B1704" s="29" t="s">
        <v>3682</v>
      </c>
      <c r="C1704" s="29"/>
      <c r="D1704" s="29" t="s">
        <v>3683</v>
      </c>
      <c r="E1704" s="29"/>
      <c r="F1704" s="29" t="s">
        <v>3686</v>
      </c>
      <c r="G1704" s="29"/>
      <c r="H1704" s="29" t="s">
        <v>3687</v>
      </c>
      <c r="I1704" s="29"/>
      <c r="J1704" s="29"/>
      <c r="K1704" s="29"/>
      <c r="L1704" s="29" t="s">
        <v>8811</v>
      </c>
      <c r="M1704" s="29" t="s">
        <v>999</v>
      </c>
      <c r="N1704" s="29" t="s">
        <v>3378</v>
      </c>
      <c r="O1704" s="29"/>
      <c r="P1704" s="29" t="s">
        <v>8827</v>
      </c>
      <c r="Q1704" t="s">
        <v>2038</v>
      </c>
      <c r="R1704" t="s">
        <v>2633</v>
      </c>
      <c r="S1704">
        <v>37</v>
      </c>
      <c r="T1704" s="43" t="str">
        <f t="shared" si="71"/>
        <v>2021.082B.R.Tevens_new_families.zip</v>
      </c>
      <c r="U1704" s="43" t="str">
        <f>HYPERLINK("https://ictv.global/taxonomy/taxondetails?taxnode_id=202207035","ictv.global=202207035")</f>
        <v>ictv.global=202207035</v>
      </c>
    </row>
    <row r="1705" spans="1:21">
      <c r="A1705">
        <v>1704</v>
      </c>
      <c r="B1705" s="29" t="s">
        <v>3682</v>
      </c>
      <c r="C1705" s="29"/>
      <c r="D1705" s="29" t="s">
        <v>3683</v>
      </c>
      <c r="E1705" s="29"/>
      <c r="F1705" s="29" t="s">
        <v>3686</v>
      </c>
      <c r="G1705" s="29"/>
      <c r="H1705" s="29" t="s">
        <v>3687</v>
      </c>
      <c r="I1705" s="29"/>
      <c r="J1705" s="29"/>
      <c r="K1705" s="29"/>
      <c r="L1705" s="29" t="s">
        <v>8811</v>
      </c>
      <c r="M1705" s="29" t="s">
        <v>999</v>
      </c>
      <c r="N1705" s="29" t="s">
        <v>3379</v>
      </c>
      <c r="O1705" s="29"/>
      <c r="P1705" s="29" t="s">
        <v>8828</v>
      </c>
      <c r="Q1705" t="s">
        <v>2038</v>
      </c>
      <c r="R1705" t="s">
        <v>2632</v>
      </c>
      <c r="S1705">
        <v>38</v>
      </c>
      <c r="T1705" s="43" t="str">
        <f>HYPERLINK("https://ictv.global/ictv/proposals/2022.087B.Straboviridae_update.zip","2022.087B.Straboviridae_update.zip")</f>
        <v>2022.087B.Straboviridae_update.zip</v>
      </c>
      <c r="U1705" s="43" t="str">
        <f>HYPERLINK("https://ictv.global/taxonomy/taxondetails?taxnode_id=202214943","ictv.global=202214943")</f>
        <v>ictv.global=202214943</v>
      </c>
    </row>
    <row r="1706" spans="1:21">
      <c r="A1706">
        <v>1705</v>
      </c>
      <c r="B1706" s="29" t="s">
        <v>3682</v>
      </c>
      <c r="C1706" s="29"/>
      <c r="D1706" s="29" t="s">
        <v>3683</v>
      </c>
      <c r="E1706" s="29"/>
      <c r="F1706" s="29" t="s">
        <v>3686</v>
      </c>
      <c r="G1706" s="29"/>
      <c r="H1706" s="29" t="s">
        <v>3687</v>
      </c>
      <c r="I1706" s="29"/>
      <c r="J1706" s="29"/>
      <c r="K1706" s="29"/>
      <c r="L1706" s="29" t="s">
        <v>8811</v>
      </c>
      <c r="M1706" s="29" t="s">
        <v>999</v>
      </c>
      <c r="N1706" s="29" t="s">
        <v>3379</v>
      </c>
      <c r="O1706" s="29"/>
      <c r="P1706" s="29" t="s">
        <v>8829</v>
      </c>
      <c r="Q1706" t="s">
        <v>2038</v>
      </c>
      <c r="R1706" t="s">
        <v>2633</v>
      </c>
      <c r="S1706">
        <v>37</v>
      </c>
      <c r="T1706" s="43" t="str">
        <f t="shared" ref="T1706:T1723" si="72">HYPERLINK("https://ictv.global/ictv/proposals/2021.082B.R.Tevens_new_families.zip","2021.082B.R.Tevens_new_families.zip")</f>
        <v>2021.082B.R.Tevens_new_families.zip</v>
      </c>
      <c r="U1706" s="43" t="str">
        <f>HYPERLINK("https://ictv.global/taxonomy/taxondetails?taxnode_id=202200322","ictv.global=202200322")</f>
        <v>ictv.global=202200322</v>
      </c>
    </row>
    <row r="1707" spans="1:21">
      <c r="A1707">
        <v>1706</v>
      </c>
      <c r="B1707" s="29" t="s">
        <v>3682</v>
      </c>
      <c r="C1707" s="29"/>
      <c r="D1707" s="29" t="s">
        <v>3683</v>
      </c>
      <c r="E1707" s="29"/>
      <c r="F1707" s="29" t="s">
        <v>3686</v>
      </c>
      <c r="G1707" s="29"/>
      <c r="H1707" s="29" t="s">
        <v>3687</v>
      </c>
      <c r="I1707" s="29"/>
      <c r="J1707" s="29"/>
      <c r="K1707" s="29"/>
      <c r="L1707" s="29" t="s">
        <v>8811</v>
      </c>
      <c r="M1707" s="29" t="s">
        <v>999</v>
      </c>
      <c r="N1707" s="29" t="s">
        <v>3379</v>
      </c>
      <c r="O1707" s="29"/>
      <c r="P1707" s="29" t="s">
        <v>8830</v>
      </c>
      <c r="Q1707" t="s">
        <v>2038</v>
      </c>
      <c r="R1707" t="s">
        <v>2633</v>
      </c>
      <c r="S1707">
        <v>37</v>
      </c>
      <c r="T1707" s="43" t="str">
        <f t="shared" si="72"/>
        <v>2021.082B.R.Tevens_new_families.zip</v>
      </c>
      <c r="U1707" s="43" t="str">
        <f>HYPERLINK("https://ictv.global/taxonomy/taxondetails?taxnode_id=202200318","ictv.global=202200318")</f>
        <v>ictv.global=202200318</v>
      </c>
    </row>
    <row r="1708" spans="1:21">
      <c r="A1708">
        <v>1707</v>
      </c>
      <c r="B1708" s="29" t="s">
        <v>3682</v>
      </c>
      <c r="C1708" s="29"/>
      <c r="D1708" s="29" t="s">
        <v>3683</v>
      </c>
      <c r="E1708" s="29"/>
      <c r="F1708" s="29" t="s">
        <v>3686</v>
      </c>
      <c r="G1708" s="29"/>
      <c r="H1708" s="29" t="s">
        <v>3687</v>
      </c>
      <c r="I1708" s="29"/>
      <c r="J1708" s="29"/>
      <c r="K1708" s="29"/>
      <c r="L1708" s="29" t="s">
        <v>8811</v>
      </c>
      <c r="M1708" s="29" t="s">
        <v>999</v>
      </c>
      <c r="N1708" s="29" t="s">
        <v>3379</v>
      </c>
      <c r="O1708" s="29"/>
      <c r="P1708" s="29" t="s">
        <v>8831</v>
      </c>
      <c r="Q1708" t="s">
        <v>2038</v>
      </c>
      <c r="R1708" t="s">
        <v>2633</v>
      </c>
      <c r="S1708">
        <v>37</v>
      </c>
      <c r="T1708" s="43" t="str">
        <f t="shared" si="72"/>
        <v>2021.082B.R.Tevens_new_families.zip</v>
      </c>
      <c r="U1708" s="43" t="str">
        <f>HYPERLINK("https://ictv.global/taxonomy/taxondetails?taxnode_id=202200319","ictv.global=202200319")</f>
        <v>ictv.global=202200319</v>
      </c>
    </row>
    <row r="1709" spans="1:21">
      <c r="A1709">
        <v>1708</v>
      </c>
      <c r="B1709" s="29" t="s">
        <v>3682</v>
      </c>
      <c r="C1709" s="29"/>
      <c r="D1709" s="29" t="s">
        <v>3683</v>
      </c>
      <c r="E1709" s="29"/>
      <c r="F1709" s="29" t="s">
        <v>3686</v>
      </c>
      <c r="G1709" s="29"/>
      <c r="H1709" s="29" t="s">
        <v>3687</v>
      </c>
      <c r="I1709" s="29"/>
      <c r="J1709" s="29"/>
      <c r="K1709" s="29"/>
      <c r="L1709" s="29" t="s">
        <v>8811</v>
      </c>
      <c r="M1709" s="29" t="s">
        <v>999</v>
      </c>
      <c r="N1709" s="29" t="s">
        <v>3379</v>
      </c>
      <c r="O1709" s="29"/>
      <c r="P1709" s="29" t="s">
        <v>8832</v>
      </c>
      <c r="Q1709" t="s">
        <v>2038</v>
      </c>
      <c r="R1709" t="s">
        <v>2633</v>
      </c>
      <c r="S1709">
        <v>37</v>
      </c>
      <c r="T1709" s="43" t="str">
        <f t="shared" si="72"/>
        <v>2021.082B.R.Tevens_new_families.zip</v>
      </c>
      <c r="U1709" s="43" t="str">
        <f>HYPERLINK("https://ictv.global/taxonomy/taxondetails?taxnode_id=202200320","ictv.global=202200320")</f>
        <v>ictv.global=202200320</v>
      </c>
    </row>
    <row r="1710" spans="1:21">
      <c r="A1710">
        <v>1709</v>
      </c>
      <c r="B1710" s="29" t="s">
        <v>3682</v>
      </c>
      <c r="C1710" s="29"/>
      <c r="D1710" s="29" t="s">
        <v>3683</v>
      </c>
      <c r="E1710" s="29"/>
      <c r="F1710" s="29" t="s">
        <v>3686</v>
      </c>
      <c r="G1710" s="29"/>
      <c r="H1710" s="29" t="s">
        <v>3687</v>
      </c>
      <c r="I1710" s="29"/>
      <c r="J1710" s="29"/>
      <c r="K1710" s="29"/>
      <c r="L1710" s="29" t="s">
        <v>8811</v>
      </c>
      <c r="M1710" s="29" t="s">
        <v>999</v>
      </c>
      <c r="N1710" s="29" t="s">
        <v>3379</v>
      </c>
      <c r="O1710" s="29"/>
      <c r="P1710" s="29" t="s">
        <v>8833</v>
      </c>
      <c r="Q1710" t="s">
        <v>2038</v>
      </c>
      <c r="R1710" t="s">
        <v>2633</v>
      </c>
      <c r="S1710">
        <v>37</v>
      </c>
      <c r="T1710" s="43" t="str">
        <f t="shared" si="72"/>
        <v>2021.082B.R.Tevens_new_families.zip</v>
      </c>
      <c r="U1710" s="43" t="str">
        <f>HYPERLINK("https://ictv.global/taxonomy/taxondetails?taxnode_id=202200321","ictv.global=202200321")</f>
        <v>ictv.global=202200321</v>
      </c>
    </row>
    <row r="1711" spans="1:21">
      <c r="A1711">
        <v>1710</v>
      </c>
      <c r="B1711" s="29" t="s">
        <v>3682</v>
      </c>
      <c r="C1711" s="29"/>
      <c r="D1711" s="29" t="s">
        <v>3683</v>
      </c>
      <c r="E1711" s="29"/>
      <c r="F1711" s="29" t="s">
        <v>3686</v>
      </c>
      <c r="G1711" s="29"/>
      <c r="H1711" s="29" t="s">
        <v>3687</v>
      </c>
      <c r="I1711" s="29"/>
      <c r="J1711" s="29"/>
      <c r="K1711" s="29"/>
      <c r="L1711" s="29" t="s">
        <v>8811</v>
      </c>
      <c r="M1711" s="29" t="s">
        <v>999</v>
      </c>
      <c r="N1711" s="29" t="s">
        <v>3380</v>
      </c>
      <c r="O1711" s="29"/>
      <c r="P1711" s="29" t="s">
        <v>8834</v>
      </c>
      <c r="Q1711" t="s">
        <v>2038</v>
      </c>
      <c r="R1711" t="s">
        <v>2632</v>
      </c>
      <c r="S1711">
        <v>37</v>
      </c>
      <c r="T1711" s="43" t="str">
        <f t="shared" si="72"/>
        <v>2021.082B.R.Tevens_new_families.zip</v>
      </c>
      <c r="U1711" s="43" t="str">
        <f>HYPERLINK("https://ictv.global/taxonomy/taxondetails?taxnode_id=202213703","ictv.global=202213703")</f>
        <v>ictv.global=202213703</v>
      </c>
    </row>
    <row r="1712" spans="1:21">
      <c r="A1712">
        <v>1711</v>
      </c>
      <c r="B1712" s="29" t="s">
        <v>3682</v>
      </c>
      <c r="C1712" s="29"/>
      <c r="D1712" s="29" t="s">
        <v>3683</v>
      </c>
      <c r="E1712" s="29"/>
      <c r="F1712" s="29" t="s">
        <v>3686</v>
      </c>
      <c r="G1712" s="29"/>
      <c r="H1712" s="29" t="s">
        <v>3687</v>
      </c>
      <c r="I1712" s="29"/>
      <c r="J1712" s="29"/>
      <c r="K1712" s="29"/>
      <c r="L1712" s="29" t="s">
        <v>8811</v>
      </c>
      <c r="M1712" s="29" t="s">
        <v>999</v>
      </c>
      <c r="N1712" s="29" t="s">
        <v>3380</v>
      </c>
      <c r="O1712" s="29"/>
      <c r="P1712" s="29" t="s">
        <v>8835</v>
      </c>
      <c r="Q1712" t="s">
        <v>2038</v>
      </c>
      <c r="R1712" t="s">
        <v>2633</v>
      </c>
      <c r="S1712">
        <v>37</v>
      </c>
      <c r="T1712" s="43" t="str">
        <f t="shared" si="72"/>
        <v>2021.082B.R.Tevens_new_families.zip</v>
      </c>
      <c r="U1712" s="43" t="str">
        <f>HYPERLINK("https://ictv.global/taxonomy/taxondetails?taxnode_id=202207047","ictv.global=202207047")</f>
        <v>ictv.global=202207047</v>
      </c>
    </row>
    <row r="1713" spans="1:21">
      <c r="A1713">
        <v>1712</v>
      </c>
      <c r="B1713" s="29" t="s">
        <v>3682</v>
      </c>
      <c r="C1713" s="29"/>
      <c r="D1713" s="29" t="s">
        <v>3683</v>
      </c>
      <c r="E1713" s="29"/>
      <c r="F1713" s="29" t="s">
        <v>3686</v>
      </c>
      <c r="G1713" s="29"/>
      <c r="H1713" s="29" t="s">
        <v>3687</v>
      </c>
      <c r="I1713" s="29"/>
      <c r="J1713" s="29"/>
      <c r="K1713" s="29"/>
      <c r="L1713" s="29" t="s">
        <v>8811</v>
      </c>
      <c r="M1713" s="29" t="s">
        <v>999</v>
      </c>
      <c r="N1713" s="29" t="s">
        <v>3380</v>
      </c>
      <c r="O1713" s="29"/>
      <c r="P1713" s="29" t="s">
        <v>8836</v>
      </c>
      <c r="Q1713" t="s">
        <v>2038</v>
      </c>
      <c r="R1713" t="s">
        <v>2633</v>
      </c>
      <c r="S1713">
        <v>37</v>
      </c>
      <c r="T1713" s="43" t="str">
        <f t="shared" si="72"/>
        <v>2021.082B.R.Tevens_new_families.zip</v>
      </c>
      <c r="U1713" s="43" t="str">
        <f>HYPERLINK("https://ictv.global/taxonomy/taxondetails?taxnode_id=202200311","ictv.global=202200311")</f>
        <v>ictv.global=202200311</v>
      </c>
    </row>
    <row r="1714" spans="1:21">
      <c r="A1714">
        <v>1713</v>
      </c>
      <c r="B1714" s="29" t="s">
        <v>3682</v>
      </c>
      <c r="C1714" s="29"/>
      <c r="D1714" s="29" t="s">
        <v>3683</v>
      </c>
      <c r="E1714" s="29"/>
      <c r="F1714" s="29" t="s">
        <v>3686</v>
      </c>
      <c r="G1714" s="29"/>
      <c r="H1714" s="29" t="s">
        <v>3687</v>
      </c>
      <c r="I1714" s="29"/>
      <c r="J1714" s="29"/>
      <c r="K1714" s="29"/>
      <c r="L1714" s="29" t="s">
        <v>8811</v>
      </c>
      <c r="M1714" s="29" t="s">
        <v>999</v>
      </c>
      <c r="N1714" s="29" t="s">
        <v>3380</v>
      </c>
      <c r="O1714" s="29"/>
      <c r="P1714" s="29" t="s">
        <v>8837</v>
      </c>
      <c r="Q1714" t="s">
        <v>2038</v>
      </c>
      <c r="R1714" t="s">
        <v>2633</v>
      </c>
      <c r="S1714">
        <v>37</v>
      </c>
      <c r="T1714" s="43" t="str">
        <f t="shared" si="72"/>
        <v>2021.082B.R.Tevens_new_families.zip</v>
      </c>
      <c r="U1714" s="43" t="str">
        <f>HYPERLINK("https://ictv.global/taxonomy/taxondetails?taxnode_id=202200312","ictv.global=202200312")</f>
        <v>ictv.global=202200312</v>
      </c>
    </row>
    <row r="1715" spans="1:21">
      <c r="A1715">
        <v>1714</v>
      </c>
      <c r="B1715" s="29" t="s">
        <v>3682</v>
      </c>
      <c r="C1715" s="29"/>
      <c r="D1715" s="29" t="s">
        <v>3683</v>
      </c>
      <c r="E1715" s="29"/>
      <c r="F1715" s="29" t="s">
        <v>3686</v>
      </c>
      <c r="G1715" s="29"/>
      <c r="H1715" s="29" t="s">
        <v>3687</v>
      </c>
      <c r="I1715" s="29"/>
      <c r="J1715" s="29"/>
      <c r="K1715" s="29"/>
      <c r="L1715" s="29" t="s">
        <v>8811</v>
      </c>
      <c r="M1715" s="29" t="s">
        <v>999</v>
      </c>
      <c r="N1715" s="29" t="s">
        <v>3380</v>
      </c>
      <c r="O1715" s="29"/>
      <c r="P1715" s="29" t="s">
        <v>8838</v>
      </c>
      <c r="Q1715" t="s">
        <v>2038</v>
      </c>
      <c r="R1715" t="s">
        <v>2633</v>
      </c>
      <c r="S1715">
        <v>37</v>
      </c>
      <c r="T1715" s="43" t="str">
        <f t="shared" si="72"/>
        <v>2021.082B.R.Tevens_new_families.zip</v>
      </c>
      <c r="U1715" s="43" t="str">
        <f>HYPERLINK("https://ictv.global/taxonomy/taxondetails?taxnode_id=202207048","ictv.global=202207048")</f>
        <v>ictv.global=202207048</v>
      </c>
    </row>
    <row r="1716" spans="1:21">
      <c r="A1716">
        <v>1715</v>
      </c>
      <c r="B1716" s="29" t="s">
        <v>3682</v>
      </c>
      <c r="C1716" s="29"/>
      <c r="D1716" s="29" t="s">
        <v>3683</v>
      </c>
      <c r="E1716" s="29"/>
      <c r="F1716" s="29" t="s">
        <v>3686</v>
      </c>
      <c r="G1716" s="29"/>
      <c r="H1716" s="29" t="s">
        <v>3687</v>
      </c>
      <c r="I1716" s="29"/>
      <c r="J1716" s="29"/>
      <c r="K1716" s="29"/>
      <c r="L1716" s="29" t="s">
        <v>8811</v>
      </c>
      <c r="M1716" s="29" t="s">
        <v>999</v>
      </c>
      <c r="N1716" s="29" t="s">
        <v>3381</v>
      </c>
      <c r="O1716" s="29"/>
      <c r="P1716" s="29" t="s">
        <v>8839</v>
      </c>
      <c r="Q1716" t="s">
        <v>2038</v>
      </c>
      <c r="R1716" t="s">
        <v>2633</v>
      </c>
      <c r="S1716">
        <v>37</v>
      </c>
      <c r="T1716" s="43" t="str">
        <f t="shared" si="72"/>
        <v>2021.082B.R.Tevens_new_families.zip</v>
      </c>
      <c r="U1716" s="43" t="str">
        <f>HYPERLINK("https://ictv.global/taxonomy/taxondetails?taxnode_id=202200283","ictv.global=202200283")</f>
        <v>ictv.global=202200283</v>
      </c>
    </row>
    <row r="1717" spans="1:21">
      <c r="A1717">
        <v>1716</v>
      </c>
      <c r="B1717" s="29" t="s">
        <v>3682</v>
      </c>
      <c r="C1717" s="29"/>
      <c r="D1717" s="29" t="s">
        <v>3683</v>
      </c>
      <c r="E1717" s="29"/>
      <c r="F1717" s="29" t="s">
        <v>3686</v>
      </c>
      <c r="G1717" s="29"/>
      <c r="H1717" s="29" t="s">
        <v>3687</v>
      </c>
      <c r="I1717" s="29"/>
      <c r="J1717" s="29"/>
      <c r="K1717" s="29"/>
      <c r="L1717" s="29" t="s">
        <v>8811</v>
      </c>
      <c r="M1717" s="29" t="s">
        <v>999</v>
      </c>
      <c r="N1717" s="29" t="s">
        <v>3381</v>
      </c>
      <c r="O1717" s="29"/>
      <c r="P1717" s="29" t="s">
        <v>8840</v>
      </c>
      <c r="Q1717" t="s">
        <v>2038</v>
      </c>
      <c r="R1717" t="s">
        <v>2632</v>
      </c>
      <c r="S1717">
        <v>37</v>
      </c>
      <c r="T1717" s="43" t="str">
        <f t="shared" si="72"/>
        <v>2021.082B.R.Tevens_new_families.zip</v>
      </c>
      <c r="U1717" s="43" t="str">
        <f>HYPERLINK("https://ictv.global/taxonomy/taxondetails?taxnode_id=202213700","ictv.global=202213700")</f>
        <v>ictv.global=202213700</v>
      </c>
    </row>
    <row r="1718" spans="1:21">
      <c r="A1718">
        <v>1717</v>
      </c>
      <c r="B1718" s="29" t="s">
        <v>3682</v>
      </c>
      <c r="C1718" s="29"/>
      <c r="D1718" s="29" t="s">
        <v>3683</v>
      </c>
      <c r="E1718" s="29"/>
      <c r="F1718" s="29" t="s">
        <v>3686</v>
      </c>
      <c r="G1718" s="29"/>
      <c r="H1718" s="29" t="s">
        <v>3687</v>
      </c>
      <c r="I1718" s="29"/>
      <c r="J1718" s="29"/>
      <c r="K1718" s="29"/>
      <c r="L1718" s="29" t="s">
        <v>8811</v>
      </c>
      <c r="M1718" s="29" t="s">
        <v>999</v>
      </c>
      <c r="N1718" s="29" t="s">
        <v>3381</v>
      </c>
      <c r="O1718" s="29"/>
      <c r="P1718" s="29" t="s">
        <v>8841</v>
      </c>
      <c r="Q1718" t="s">
        <v>2038</v>
      </c>
      <c r="R1718" t="s">
        <v>2632</v>
      </c>
      <c r="S1718">
        <v>37</v>
      </c>
      <c r="T1718" s="43" t="str">
        <f t="shared" si="72"/>
        <v>2021.082B.R.Tevens_new_families.zip</v>
      </c>
      <c r="U1718" s="43" t="str">
        <f>HYPERLINK("https://ictv.global/taxonomy/taxondetails?taxnode_id=202213698","ictv.global=202213698")</f>
        <v>ictv.global=202213698</v>
      </c>
    </row>
    <row r="1719" spans="1:21">
      <c r="A1719">
        <v>1718</v>
      </c>
      <c r="B1719" s="29" t="s">
        <v>3682</v>
      </c>
      <c r="C1719" s="29"/>
      <c r="D1719" s="29" t="s">
        <v>3683</v>
      </c>
      <c r="E1719" s="29"/>
      <c r="F1719" s="29" t="s">
        <v>3686</v>
      </c>
      <c r="G1719" s="29"/>
      <c r="H1719" s="29" t="s">
        <v>3687</v>
      </c>
      <c r="I1719" s="29"/>
      <c r="J1719" s="29"/>
      <c r="K1719" s="29"/>
      <c r="L1719" s="29" t="s">
        <v>8811</v>
      </c>
      <c r="M1719" s="29" t="s">
        <v>999</v>
      </c>
      <c r="N1719" s="29" t="s">
        <v>3381</v>
      </c>
      <c r="O1719" s="29"/>
      <c r="P1719" s="29" t="s">
        <v>8842</v>
      </c>
      <c r="Q1719" t="s">
        <v>2038</v>
      </c>
      <c r="R1719" t="s">
        <v>2632</v>
      </c>
      <c r="S1719">
        <v>37</v>
      </c>
      <c r="T1719" s="43" t="str">
        <f t="shared" si="72"/>
        <v>2021.082B.R.Tevens_new_families.zip</v>
      </c>
      <c r="U1719" s="43" t="str">
        <f>HYPERLINK("https://ictv.global/taxonomy/taxondetails?taxnode_id=202213697","ictv.global=202213697")</f>
        <v>ictv.global=202213697</v>
      </c>
    </row>
    <row r="1720" spans="1:21">
      <c r="A1720">
        <v>1719</v>
      </c>
      <c r="B1720" s="29" t="s">
        <v>3682</v>
      </c>
      <c r="C1720" s="29"/>
      <c r="D1720" s="29" t="s">
        <v>3683</v>
      </c>
      <c r="E1720" s="29"/>
      <c r="F1720" s="29" t="s">
        <v>3686</v>
      </c>
      <c r="G1720" s="29"/>
      <c r="H1720" s="29" t="s">
        <v>3687</v>
      </c>
      <c r="I1720" s="29"/>
      <c r="J1720" s="29"/>
      <c r="K1720" s="29"/>
      <c r="L1720" s="29" t="s">
        <v>8811</v>
      </c>
      <c r="M1720" s="29" t="s">
        <v>999</v>
      </c>
      <c r="N1720" s="29" t="s">
        <v>3381</v>
      </c>
      <c r="O1720" s="29"/>
      <c r="P1720" s="29" t="s">
        <v>8843</v>
      </c>
      <c r="Q1720" t="s">
        <v>2038</v>
      </c>
      <c r="R1720" t="s">
        <v>2632</v>
      </c>
      <c r="S1720">
        <v>37</v>
      </c>
      <c r="T1720" s="43" t="str">
        <f t="shared" si="72"/>
        <v>2021.082B.R.Tevens_new_families.zip</v>
      </c>
      <c r="U1720" s="43" t="str">
        <f>HYPERLINK("https://ictv.global/taxonomy/taxondetails?taxnode_id=202213699","ictv.global=202213699")</f>
        <v>ictv.global=202213699</v>
      </c>
    </row>
    <row r="1721" spans="1:21">
      <c r="A1721">
        <v>1720</v>
      </c>
      <c r="B1721" s="29" t="s">
        <v>3682</v>
      </c>
      <c r="C1721" s="29"/>
      <c r="D1721" s="29" t="s">
        <v>3683</v>
      </c>
      <c r="E1721" s="29"/>
      <c r="F1721" s="29" t="s">
        <v>3686</v>
      </c>
      <c r="G1721" s="29"/>
      <c r="H1721" s="29" t="s">
        <v>3687</v>
      </c>
      <c r="I1721" s="29"/>
      <c r="J1721" s="29"/>
      <c r="K1721" s="29"/>
      <c r="L1721" s="29" t="s">
        <v>8811</v>
      </c>
      <c r="M1721" s="29" t="s">
        <v>999</v>
      </c>
      <c r="N1721" s="29" t="s">
        <v>3381</v>
      </c>
      <c r="O1721" s="29"/>
      <c r="P1721" s="29" t="s">
        <v>8844</v>
      </c>
      <c r="Q1721" t="s">
        <v>2038</v>
      </c>
      <c r="R1721" t="s">
        <v>2633</v>
      </c>
      <c r="S1721">
        <v>37</v>
      </c>
      <c r="T1721" s="43" t="str">
        <f t="shared" si="72"/>
        <v>2021.082B.R.Tevens_new_families.zip</v>
      </c>
      <c r="U1721" s="43" t="str">
        <f>HYPERLINK("https://ictv.global/taxonomy/taxondetails?taxnode_id=202200284","ictv.global=202200284")</f>
        <v>ictv.global=202200284</v>
      </c>
    </row>
    <row r="1722" spans="1:21">
      <c r="A1722">
        <v>1721</v>
      </c>
      <c r="B1722" s="29" t="s">
        <v>3682</v>
      </c>
      <c r="C1722" s="29"/>
      <c r="D1722" s="29" t="s">
        <v>3683</v>
      </c>
      <c r="E1722" s="29"/>
      <c r="F1722" s="29" t="s">
        <v>3686</v>
      </c>
      <c r="G1722" s="29"/>
      <c r="H1722" s="29" t="s">
        <v>3687</v>
      </c>
      <c r="I1722" s="29"/>
      <c r="J1722" s="29"/>
      <c r="K1722" s="29"/>
      <c r="L1722" s="29" t="s">
        <v>8811</v>
      </c>
      <c r="M1722" s="29" t="s">
        <v>999</v>
      </c>
      <c r="N1722" s="29" t="s">
        <v>8845</v>
      </c>
      <c r="O1722" s="29"/>
      <c r="P1722" s="29" t="s">
        <v>8846</v>
      </c>
      <c r="Q1722" t="s">
        <v>2038</v>
      </c>
      <c r="R1722" t="s">
        <v>2632</v>
      </c>
      <c r="S1722">
        <v>37</v>
      </c>
      <c r="T1722" s="43" t="str">
        <f t="shared" si="72"/>
        <v>2021.082B.R.Tevens_new_families.zip</v>
      </c>
      <c r="U1722" s="43" t="str">
        <f>HYPERLINK("https://ictv.global/taxonomy/taxondetails?taxnode_id=202213687","ictv.global=202213687")</f>
        <v>ictv.global=202213687</v>
      </c>
    </row>
    <row r="1723" spans="1:21">
      <c r="A1723">
        <v>1722</v>
      </c>
      <c r="B1723" s="29" t="s">
        <v>3682</v>
      </c>
      <c r="C1723" s="29"/>
      <c r="D1723" s="29" t="s">
        <v>3683</v>
      </c>
      <c r="E1723" s="29"/>
      <c r="F1723" s="29" t="s">
        <v>3686</v>
      </c>
      <c r="G1723" s="29"/>
      <c r="H1723" s="29" t="s">
        <v>3687</v>
      </c>
      <c r="I1723" s="29"/>
      <c r="J1723" s="29"/>
      <c r="K1723" s="29"/>
      <c r="L1723" s="29" t="s">
        <v>8811</v>
      </c>
      <c r="M1723" s="29" t="s">
        <v>999</v>
      </c>
      <c r="N1723" s="29" t="s">
        <v>4561</v>
      </c>
      <c r="O1723" s="29"/>
      <c r="P1723" s="29" t="s">
        <v>8847</v>
      </c>
      <c r="Q1723" t="s">
        <v>2038</v>
      </c>
      <c r="R1723" t="s">
        <v>2633</v>
      </c>
      <c r="S1723">
        <v>37</v>
      </c>
      <c r="T1723" s="43" t="str">
        <f t="shared" si="72"/>
        <v>2021.082B.R.Tevens_new_families.zip</v>
      </c>
      <c r="U1723" s="43" t="str">
        <f>HYPERLINK("https://ictv.global/taxonomy/taxondetails?taxnode_id=202210143","ictv.global=202210143")</f>
        <v>ictv.global=202210143</v>
      </c>
    </row>
    <row r="1724" spans="1:21">
      <c r="A1724">
        <v>1723</v>
      </c>
      <c r="B1724" s="29" t="s">
        <v>3682</v>
      </c>
      <c r="C1724" s="29"/>
      <c r="D1724" s="29" t="s">
        <v>3683</v>
      </c>
      <c r="E1724" s="29"/>
      <c r="F1724" s="29" t="s">
        <v>3686</v>
      </c>
      <c r="G1724" s="29"/>
      <c r="H1724" s="29" t="s">
        <v>3687</v>
      </c>
      <c r="I1724" s="29"/>
      <c r="J1724" s="29"/>
      <c r="K1724" s="29"/>
      <c r="L1724" s="29" t="s">
        <v>8811</v>
      </c>
      <c r="M1724" s="29" t="s">
        <v>999</v>
      </c>
      <c r="N1724" s="29" t="s">
        <v>4561</v>
      </c>
      <c r="O1724" s="29"/>
      <c r="P1724" s="29" t="s">
        <v>8848</v>
      </c>
      <c r="Q1724" t="s">
        <v>2038</v>
      </c>
      <c r="R1724" t="s">
        <v>2632</v>
      </c>
      <c r="S1724">
        <v>38</v>
      </c>
      <c r="T1724" s="43" t="str">
        <f>HYPERLINK("https://ictv.global/ictv/proposals/2022.087B.Straboviridae_update.zip","2022.087B.Straboviridae_update.zip")</f>
        <v>2022.087B.Straboviridae_update.zip</v>
      </c>
      <c r="U1724" s="43" t="str">
        <f>HYPERLINK("https://ictv.global/taxonomy/taxondetails?taxnode_id=202214940","ictv.global=202214940")</f>
        <v>ictv.global=202214940</v>
      </c>
    </row>
    <row r="1725" spans="1:21">
      <c r="A1725">
        <v>1724</v>
      </c>
      <c r="B1725" s="29" t="s">
        <v>3682</v>
      </c>
      <c r="C1725" s="29"/>
      <c r="D1725" s="29" t="s">
        <v>3683</v>
      </c>
      <c r="E1725" s="29"/>
      <c r="F1725" s="29" t="s">
        <v>3686</v>
      </c>
      <c r="G1725" s="29"/>
      <c r="H1725" s="29" t="s">
        <v>3687</v>
      </c>
      <c r="I1725" s="29"/>
      <c r="J1725" s="29"/>
      <c r="K1725" s="29"/>
      <c r="L1725" s="29" t="s">
        <v>8811</v>
      </c>
      <c r="M1725" s="29" t="s">
        <v>999</v>
      </c>
      <c r="N1725" s="29" t="s">
        <v>4561</v>
      </c>
      <c r="O1725" s="29"/>
      <c r="P1725" s="29" t="s">
        <v>8849</v>
      </c>
      <c r="Q1725" t="s">
        <v>2038</v>
      </c>
      <c r="R1725" t="s">
        <v>2632</v>
      </c>
      <c r="S1725">
        <v>38</v>
      </c>
      <c r="T1725" s="43" t="str">
        <f>HYPERLINK("https://ictv.global/ictv/proposals/2022.087B.Straboviridae_update.zip","2022.087B.Straboviridae_update.zip")</f>
        <v>2022.087B.Straboviridae_update.zip</v>
      </c>
      <c r="U1725" s="43" t="str">
        <f>HYPERLINK("https://ictv.global/taxonomy/taxondetails?taxnode_id=202214941","ictv.global=202214941")</f>
        <v>ictv.global=202214941</v>
      </c>
    </row>
    <row r="1726" spans="1:21">
      <c r="A1726">
        <v>1725</v>
      </c>
      <c r="B1726" s="29" t="s">
        <v>3682</v>
      </c>
      <c r="C1726" s="29"/>
      <c r="D1726" s="29" t="s">
        <v>3683</v>
      </c>
      <c r="E1726" s="29"/>
      <c r="F1726" s="29" t="s">
        <v>3686</v>
      </c>
      <c r="G1726" s="29"/>
      <c r="H1726" s="29" t="s">
        <v>3687</v>
      </c>
      <c r="I1726" s="29"/>
      <c r="J1726" s="29"/>
      <c r="K1726" s="29"/>
      <c r="L1726" s="29" t="s">
        <v>8811</v>
      </c>
      <c r="M1726" s="29" t="s">
        <v>999</v>
      </c>
      <c r="N1726" s="29" t="s">
        <v>4561</v>
      </c>
      <c r="O1726" s="29"/>
      <c r="P1726" s="29" t="s">
        <v>8850</v>
      </c>
      <c r="Q1726" t="s">
        <v>2038</v>
      </c>
      <c r="R1726" t="s">
        <v>2633</v>
      </c>
      <c r="S1726">
        <v>37</v>
      </c>
      <c r="T1726" s="43" t="str">
        <f>HYPERLINK("https://ictv.global/ictv/proposals/2021.082B.R.Tevens_new_families.zip","2021.082B.R.Tevens_new_families.zip")</f>
        <v>2021.082B.R.Tevens_new_families.zip</v>
      </c>
      <c r="U1726" s="43" t="str">
        <f>HYPERLINK("https://ictv.global/taxonomy/taxondetails?taxnode_id=202210142","ictv.global=202210142")</f>
        <v>ictv.global=202210142</v>
      </c>
    </row>
    <row r="1727" spans="1:21">
      <c r="A1727">
        <v>1726</v>
      </c>
      <c r="B1727" s="29" t="s">
        <v>3682</v>
      </c>
      <c r="C1727" s="29"/>
      <c r="D1727" s="29" t="s">
        <v>3683</v>
      </c>
      <c r="E1727" s="29"/>
      <c r="F1727" s="29" t="s">
        <v>3686</v>
      </c>
      <c r="G1727" s="29"/>
      <c r="H1727" s="29" t="s">
        <v>3687</v>
      </c>
      <c r="I1727" s="29"/>
      <c r="J1727" s="29"/>
      <c r="K1727" s="29"/>
      <c r="L1727" s="29" t="s">
        <v>8811</v>
      </c>
      <c r="M1727" s="29" t="s">
        <v>999</v>
      </c>
      <c r="N1727" s="29" t="s">
        <v>4561</v>
      </c>
      <c r="O1727" s="29"/>
      <c r="P1727" s="29" t="s">
        <v>8851</v>
      </c>
      <c r="Q1727" t="s">
        <v>2038</v>
      </c>
      <c r="R1727" t="s">
        <v>2632</v>
      </c>
      <c r="S1727">
        <v>38</v>
      </c>
      <c r="T1727" s="43" t="str">
        <f>HYPERLINK("https://ictv.global/ictv/proposals/2022.087B.Straboviridae_update.zip","2022.087B.Straboviridae_update.zip")</f>
        <v>2022.087B.Straboviridae_update.zip</v>
      </c>
      <c r="U1727" s="43" t="str">
        <f>HYPERLINK("https://ictv.global/taxonomy/taxondetails?taxnode_id=202214939","ictv.global=202214939")</f>
        <v>ictv.global=202214939</v>
      </c>
    </row>
    <row r="1728" spans="1:21">
      <c r="A1728">
        <v>1727</v>
      </c>
      <c r="B1728" s="29" t="s">
        <v>3682</v>
      </c>
      <c r="C1728" s="29"/>
      <c r="D1728" s="29" t="s">
        <v>3683</v>
      </c>
      <c r="E1728" s="29"/>
      <c r="F1728" s="29" t="s">
        <v>3686</v>
      </c>
      <c r="G1728" s="29"/>
      <c r="H1728" s="29" t="s">
        <v>3687</v>
      </c>
      <c r="I1728" s="29"/>
      <c r="J1728" s="29"/>
      <c r="K1728" s="29"/>
      <c r="L1728" s="29" t="s">
        <v>8811</v>
      </c>
      <c r="M1728" s="29" t="s">
        <v>999</v>
      </c>
      <c r="N1728" s="29" t="s">
        <v>3382</v>
      </c>
      <c r="O1728" s="29"/>
      <c r="P1728" s="29" t="s">
        <v>8852</v>
      </c>
      <c r="Q1728" t="s">
        <v>2038</v>
      </c>
      <c r="R1728" t="s">
        <v>2633</v>
      </c>
      <c r="S1728">
        <v>37</v>
      </c>
      <c r="T1728" s="43" t="str">
        <f>HYPERLINK("https://ictv.global/ictv/proposals/2021.082B.R.Tevens_new_families.zip","2021.082B.R.Tevens_new_families.zip")</f>
        <v>2021.082B.R.Tevens_new_families.zip</v>
      </c>
      <c r="U1728" s="43" t="str">
        <f>HYPERLINK("https://ictv.global/taxonomy/taxondetails?taxnode_id=202200281","ictv.global=202200281")</f>
        <v>ictv.global=202200281</v>
      </c>
    </row>
    <row r="1729" spans="1:21">
      <c r="A1729">
        <v>1728</v>
      </c>
      <c r="B1729" s="29" t="s">
        <v>3682</v>
      </c>
      <c r="C1729" s="29"/>
      <c r="D1729" s="29" t="s">
        <v>3683</v>
      </c>
      <c r="E1729" s="29"/>
      <c r="F1729" s="29" t="s">
        <v>3686</v>
      </c>
      <c r="G1729" s="29"/>
      <c r="H1729" s="29" t="s">
        <v>3687</v>
      </c>
      <c r="I1729" s="29"/>
      <c r="J1729" s="29"/>
      <c r="K1729" s="29"/>
      <c r="L1729" s="29" t="s">
        <v>8811</v>
      </c>
      <c r="M1729" s="29" t="s">
        <v>999</v>
      </c>
      <c r="N1729" s="29" t="s">
        <v>3382</v>
      </c>
      <c r="O1729" s="29"/>
      <c r="P1729" s="29" t="s">
        <v>8853</v>
      </c>
      <c r="Q1729" t="s">
        <v>2038</v>
      </c>
      <c r="R1729" t="s">
        <v>2632</v>
      </c>
      <c r="S1729">
        <v>37</v>
      </c>
      <c r="T1729" s="43" t="str">
        <f>HYPERLINK("https://ictv.global/ictv/proposals/2021.082B.R.Tevens_new_families.zip","2021.082B.R.Tevens_new_families.zip")</f>
        <v>2021.082B.R.Tevens_new_families.zip</v>
      </c>
      <c r="U1729" s="43" t="str">
        <f>HYPERLINK("https://ictv.global/taxonomy/taxondetails?taxnode_id=202213702","ictv.global=202213702")</f>
        <v>ictv.global=202213702</v>
      </c>
    </row>
    <row r="1730" spans="1:21">
      <c r="A1730">
        <v>1729</v>
      </c>
      <c r="B1730" s="29" t="s">
        <v>3682</v>
      </c>
      <c r="C1730" s="29"/>
      <c r="D1730" s="29" t="s">
        <v>3683</v>
      </c>
      <c r="E1730" s="29"/>
      <c r="F1730" s="29" t="s">
        <v>3686</v>
      </c>
      <c r="G1730" s="29"/>
      <c r="H1730" s="29" t="s">
        <v>3687</v>
      </c>
      <c r="I1730" s="29"/>
      <c r="J1730" s="29"/>
      <c r="K1730" s="29"/>
      <c r="L1730" s="29" t="s">
        <v>8811</v>
      </c>
      <c r="M1730" s="29" t="s">
        <v>999</v>
      </c>
      <c r="N1730" s="29" t="s">
        <v>3382</v>
      </c>
      <c r="O1730" s="29"/>
      <c r="P1730" s="29" t="s">
        <v>8854</v>
      </c>
      <c r="Q1730" t="s">
        <v>2038</v>
      </c>
      <c r="R1730" t="s">
        <v>2632</v>
      </c>
      <c r="S1730">
        <v>37</v>
      </c>
      <c r="T1730" s="43" t="str">
        <f>HYPERLINK("https://ictv.global/ictv/proposals/2021.082B.R.Tevens_new_families.zip","2021.082B.R.Tevens_new_families.zip")</f>
        <v>2021.082B.R.Tevens_new_families.zip</v>
      </c>
      <c r="U1730" s="43" t="str">
        <f>HYPERLINK("https://ictv.global/taxonomy/taxondetails?taxnode_id=202213701","ictv.global=202213701")</f>
        <v>ictv.global=202213701</v>
      </c>
    </row>
    <row r="1731" spans="1:21">
      <c r="A1731">
        <v>1730</v>
      </c>
      <c r="B1731" s="29" t="s">
        <v>3682</v>
      </c>
      <c r="C1731" s="29"/>
      <c r="D1731" s="29" t="s">
        <v>3683</v>
      </c>
      <c r="E1731" s="29"/>
      <c r="F1731" s="29" t="s">
        <v>3686</v>
      </c>
      <c r="G1731" s="29"/>
      <c r="H1731" s="29" t="s">
        <v>3687</v>
      </c>
      <c r="I1731" s="29"/>
      <c r="J1731" s="29"/>
      <c r="K1731" s="29"/>
      <c r="L1731" s="29" t="s">
        <v>8811</v>
      </c>
      <c r="M1731" s="29" t="s">
        <v>999</v>
      </c>
      <c r="N1731" s="29" t="s">
        <v>3382</v>
      </c>
      <c r="O1731" s="29"/>
      <c r="P1731" s="29" t="s">
        <v>8855</v>
      </c>
      <c r="Q1731" t="s">
        <v>2038</v>
      </c>
      <c r="R1731" t="s">
        <v>2633</v>
      </c>
      <c r="S1731">
        <v>37</v>
      </c>
      <c r="T1731" s="43" t="str">
        <f>HYPERLINK("https://ictv.global/ictv/proposals/2021.082B.R.Tevens_new_families.zip","2021.082B.R.Tevens_new_families.zip")</f>
        <v>2021.082B.R.Tevens_new_families.zip</v>
      </c>
      <c r="U1731" s="43" t="str">
        <f>HYPERLINK("https://ictv.global/taxonomy/taxondetails?taxnode_id=202200280","ictv.global=202200280")</f>
        <v>ictv.global=202200280</v>
      </c>
    </row>
    <row r="1732" spans="1:21">
      <c r="A1732">
        <v>1731</v>
      </c>
      <c r="B1732" s="29" t="s">
        <v>3682</v>
      </c>
      <c r="C1732" s="29"/>
      <c r="D1732" s="29" t="s">
        <v>3683</v>
      </c>
      <c r="E1732" s="29"/>
      <c r="F1732" s="29" t="s">
        <v>3686</v>
      </c>
      <c r="G1732" s="29"/>
      <c r="H1732" s="29" t="s">
        <v>3687</v>
      </c>
      <c r="I1732" s="29"/>
      <c r="J1732" s="29"/>
      <c r="K1732" s="29"/>
      <c r="L1732" s="29" t="s">
        <v>8811</v>
      </c>
      <c r="M1732" s="29" t="s">
        <v>999</v>
      </c>
      <c r="N1732" s="29" t="s">
        <v>2413</v>
      </c>
      <c r="O1732" s="29"/>
      <c r="P1732" s="29" t="s">
        <v>8856</v>
      </c>
      <c r="Q1732" t="s">
        <v>2038</v>
      </c>
      <c r="R1732" t="s">
        <v>2633</v>
      </c>
      <c r="S1732">
        <v>37</v>
      </c>
      <c r="T1732" s="43" t="str">
        <f>HYPERLINK("https://ictv.global/ictv/proposals/2021.082B.R.Tevens_new_families.zip","2021.082B.R.Tevens_new_families.zip")</f>
        <v>2021.082B.R.Tevens_new_families.zip</v>
      </c>
      <c r="U1732" s="43" t="str">
        <f>HYPERLINK("https://ictv.global/taxonomy/taxondetails?taxnode_id=202207037","ictv.global=202207037")</f>
        <v>ictv.global=202207037</v>
      </c>
    </row>
    <row r="1733" spans="1:21">
      <c r="A1733">
        <v>1732</v>
      </c>
      <c r="B1733" s="29" t="s">
        <v>3682</v>
      </c>
      <c r="C1733" s="29"/>
      <c r="D1733" s="29" t="s">
        <v>3683</v>
      </c>
      <c r="E1733" s="29"/>
      <c r="F1733" s="29" t="s">
        <v>3686</v>
      </c>
      <c r="G1733" s="29"/>
      <c r="H1733" s="29" t="s">
        <v>3687</v>
      </c>
      <c r="I1733" s="29"/>
      <c r="J1733" s="29"/>
      <c r="K1733" s="29"/>
      <c r="L1733" s="29" t="s">
        <v>8811</v>
      </c>
      <c r="M1733" s="29" t="s">
        <v>999</v>
      </c>
      <c r="N1733" s="29" t="s">
        <v>2413</v>
      </c>
      <c r="O1733" s="29"/>
      <c r="P1733" s="29" t="s">
        <v>8857</v>
      </c>
      <c r="Q1733" t="s">
        <v>2038</v>
      </c>
      <c r="R1733" t="s">
        <v>2632</v>
      </c>
      <c r="S1733">
        <v>38</v>
      </c>
      <c r="T1733" s="43" t="str">
        <f>HYPERLINK("https://ictv.global/ictv/proposals/2022.087B.Straboviridae_update.zip","2022.087B.Straboviridae_update.zip")</f>
        <v>2022.087B.Straboviridae_update.zip</v>
      </c>
      <c r="U1733" s="43" t="str">
        <f>HYPERLINK("https://ictv.global/taxonomy/taxondetails?taxnode_id=202214942","ictv.global=202214942")</f>
        <v>ictv.global=202214942</v>
      </c>
    </row>
    <row r="1734" spans="1:21">
      <c r="A1734">
        <v>1733</v>
      </c>
      <c r="B1734" s="29" t="s">
        <v>3682</v>
      </c>
      <c r="C1734" s="29"/>
      <c r="D1734" s="29" t="s">
        <v>3683</v>
      </c>
      <c r="E1734" s="29"/>
      <c r="F1734" s="29" t="s">
        <v>3686</v>
      </c>
      <c r="G1734" s="29"/>
      <c r="H1734" s="29" t="s">
        <v>3687</v>
      </c>
      <c r="I1734" s="29"/>
      <c r="J1734" s="29"/>
      <c r="K1734" s="29"/>
      <c r="L1734" s="29" t="s">
        <v>8811</v>
      </c>
      <c r="M1734" s="29" t="s">
        <v>999</v>
      </c>
      <c r="N1734" s="29" t="s">
        <v>2413</v>
      </c>
      <c r="O1734" s="29"/>
      <c r="P1734" s="29" t="s">
        <v>8858</v>
      </c>
      <c r="Q1734" t="s">
        <v>2038</v>
      </c>
      <c r="R1734" t="s">
        <v>2633</v>
      </c>
      <c r="S1734">
        <v>37</v>
      </c>
      <c r="T1734" s="43" t="str">
        <f t="shared" ref="T1734:T1753" si="73">HYPERLINK("https://ictv.global/ictv/proposals/2021.082B.R.Tevens_new_families.zip","2021.082B.R.Tevens_new_families.zip")</f>
        <v>2021.082B.R.Tevens_new_families.zip</v>
      </c>
      <c r="U1734" s="43" t="str">
        <f>HYPERLINK("https://ictv.global/taxonomy/taxondetails?taxnode_id=202200299","ictv.global=202200299")</f>
        <v>ictv.global=202200299</v>
      </c>
    </row>
    <row r="1735" spans="1:21">
      <c r="A1735">
        <v>1734</v>
      </c>
      <c r="B1735" s="29" t="s">
        <v>3682</v>
      </c>
      <c r="C1735" s="29"/>
      <c r="D1735" s="29" t="s">
        <v>3683</v>
      </c>
      <c r="E1735" s="29"/>
      <c r="F1735" s="29" t="s">
        <v>3686</v>
      </c>
      <c r="G1735" s="29"/>
      <c r="H1735" s="29" t="s">
        <v>3687</v>
      </c>
      <c r="I1735" s="29"/>
      <c r="J1735" s="29"/>
      <c r="K1735" s="29"/>
      <c r="L1735" s="29" t="s">
        <v>8811</v>
      </c>
      <c r="M1735" s="29" t="s">
        <v>999</v>
      </c>
      <c r="N1735" s="29" t="s">
        <v>2413</v>
      </c>
      <c r="O1735" s="29"/>
      <c r="P1735" s="29" t="s">
        <v>8859</v>
      </c>
      <c r="Q1735" t="s">
        <v>2038</v>
      </c>
      <c r="R1735" t="s">
        <v>2633</v>
      </c>
      <c r="S1735">
        <v>37</v>
      </c>
      <c r="T1735" s="43" t="str">
        <f t="shared" si="73"/>
        <v>2021.082B.R.Tevens_new_families.zip</v>
      </c>
      <c r="U1735" s="43" t="str">
        <f>HYPERLINK("https://ictv.global/taxonomy/taxondetails?taxnode_id=202200300","ictv.global=202200300")</f>
        <v>ictv.global=202200300</v>
      </c>
    </row>
    <row r="1736" spans="1:21">
      <c r="A1736">
        <v>1735</v>
      </c>
      <c r="B1736" s="29" t="s">
        <v>3682</v>
      </c>
      <c r="C1736" s="29"/>
      <c r="D1736" s="29" t="s">
        <v>3683</v>
      </c>
      <c r="E1736" s="29"/>
      <c r="F1736" s="29" t="s">
        <v>3686</v>
      </c>
      <c r="G1736" s="29"/>
      <c r="H1736" s="29" t="s">
        <v>3687</v>
      </c>
      <c r="I1736" s="29"/>
      <c r="J1736" s="29"/>
      <c r="K1736" s="29"/>
      <c r="L1736" s="29" t="s">
        <v>8811</v>
      </c>
      <c r="M1736" s="29" t="s">
        <v>999</v>
      </c>
      <c r="N1736" s="29" t="s">
        <v>3384</v>
      </c>
      <c r="O1736" s="29"/>
      <c r="P1736" s="29" t="s">
        <v>8860</v>
      </c>
      <c r="Q1736" t="s">
        <v>2038</v>
      </c>
      <c r="R1736" t="s">
        <v>2633</v>
      </c>
      <c r="S1736">
        <v>37</v>
      </c>
      <c r="T1736" s="43" t="str">
        <f t="shared" si="73"/>
        <v>2021.082B.R.Tevens_new_families.zip</v>
      </c>
      <c r="U1736" s="43" t="str">
        <f>HYPERLINK("https://ictv.global/taxonomy/taxondetails?taxnode_id=202207045","ictv.global=202207045")</f>
        <v>ictv.global=202207045</v>
      </c>
    </row>
    <row r="1737" spans="1:21">
      <c r="A1737">
        <v>1736</v>
      </c>
      <c r="B1737" s="29" t="s">
        <v>3682</v>
      </c>
      <c r="C1737" s="29"/>
      <c r="D1737" s="29" t="s">
        <v>3683</v>
      </c>
      <c r="E1737" s="29"/>
      <c r="F1737" s="29" t="s">
        <v>3686</v>
      </c>
      <c r="G1737" s="29"/>
      <c r="H1737" s="29" t="s">
        <v>3687</v>
      </c>
      <c r="I1737" s="29"/>
      <c r="J1737" s="29"/>
      <c r="K1737" s="29"/>
      <c r="L1737" s="29" t="s">
        <v>8811</v>
      </c>
      <c r="M1737" s="29" t="s">
        <v>999</v>
      </c>
      <c r="N1737" s="29" t="s">
        <v>3384</v>
      </c>
      <c r="O1737" s="29"/>
      <c r="P1737" s="29" t="s">
        <v>8861</v>
      </c>
      <c r="Q1737" t="s">
        <v>2038</v>
      </c>
      <c r="R1737" t="s">
        <v>2632</v>
      </c>
      <c r="S1737">
        <v>37</v>
      </c>
      <c r="T1737" s="43" t="str">
        <f t="shared" si="73"/>
        <v>2021.082B.R.Tevens_new_families.zip</v>
      </c>
      <c r="U1737" s="43" t="str">
        <f>HYPERLINK("https://ictv.global/taxonomy/taxondetails?taxnode_id=202213706","ictv.global=202213706")</f>
        <v>ictv.global=202213706</v>
      </c>
    </row>
    <row r="1738" spans="1:21">
      <c r="A1738">
        <v>1737</v>
      </c>
      <c r="B1738" s="29" t="s">
        <v>3682</v>
      </c>
      <c r="C1738" s="29"/>
      <c r="D1738" s="29" t="s">
        <v>3683</v>
      </c>
      <c r="E1738" s="29"/>
      <c r="F1738" s="29" t="s">
        <v>3686</v>
      </c>
      <c r="G1738" s="29"/>
      <c r="H1738" s="29" t="s">
        <v>3687</v>
      </c>
      <c r="I1738" s="29"/>
      <c r="J1738" s="29"/>
      <c r="K1738" s="29"/>
      <c r="L1738" s="29" t="s">
        <v>8811</v>
      </c>
      <c r="M1738" s="29" t="s">
        <v>999</v>
      </c>
      <c r="N1738" s="29" t="s">
        <v>3384</v>
      </c>
      <c r="O1738" s="29"/>
      <c r="P1738" s="29" t="s">
        <v>8862</v>
      </c>
      <c r="Q1738" t="s">
        <v>2038</v>
      </c>
      <c r="R1738" t="s">
        <v>2632</v>
      </c>
      <c r="S1738">
        <v>37</v>
      </c>
      <c r="T1738" s="43" t="str">
        <f t="shared" si="73"/>
        <v>2021.082B.R.Tevens_new_families.zip</v>
      </c>
      <c r="U1738" s="43" t="str">
        <f>HYPERLINK("https://ictv.global/taxonomy/taxondetails?taxnode_id=202213704","ictv.global=202213704")</f>
        <v>ictv.global=202213704</v>
      </c>
    </row>
    <row r="1739" spans="1:21">
      <c r="A1739">
        <v>1738</v>
      </c>
      <c r="B1739" s="29" t="s">
        <v>3682</v>
      </c>
      <c r="C1739" s="29"/>
      <c r="D1739" s="29" t="s">
        <v>3683</v>
      </c>
      <c r="E1739" s="29"/>
      <c r="F1739" s="29" t="s">
        <v>3686</v>
      </c>
      <c r="G1739" s="29"/>
      <c r="H1739" s="29" t="s">
        <v>3687</v>
      </c>
      <c r="I1739" s="29"/>
      <c r="J1739" s="29"/>
      <c r="K1739" s="29"/>
      <c r="L1739" s="29" t="s">
        <v>8811</v>
      </c>
      <c r="M1739" s="29" t="s">
        <v>999</v>
      </c>
      <c r="N1739" s="29" t="s">
        <v>3384</v>
      </c>
      <c r="O1739" s="29"/>
      <c r="P1739" s="29" t="s">
        <v>8863</v>
      </c>
      <c r="Q1739" t="s">
        <v>2038</v>
      </c>
      <c r="R1739" t="s">
        <v>2632</v>
      </c>
      <c r="S1739">
        <v>37</v>
      </c>
      <c r="T1739" s="43" t="str">
        <f t="shared" si="73"/>
        <v>2021.082B.R.Tevens_new_families.zip</v>
      </c>
      <c r="U1739" s="43" t="str">
        <f>HYPERLINK("https://ictv.global/taxonomy/taxondetails?taxnode_id=202213705","ictv.global=202213705")</f>
        <v>ictv.global=202213705</v>
      </c>
    </row>
    <row r="1740" spans="1:21">
      <c r="A1740">
        <v>1739</v>
      </c>
      <c r="B1740" s="29" t="s">
        <v>3682</v>
      </c>
      <c r="C1740" s="29"/>
      <c r="D1740" s="29" t="s">
        <v>3683</v>
      </c>
      <c r="E1740" s="29"/>
      <c r="F1740" s="29" t="s">
        <v>3686</v>
      </c>
      <c r="G1740" s="29"/>
      <c r="H1740" s="29" t="s">
        <v>3687</v>
      </c>
      <c r="I1740" s="29"/>
      <c r="J1740" s="29"/>
      <c r="K1740" s="29"/>
      <c r="L1740" s="29" t="s">
        <v>8811</v>
      </c>
      <c r="M1740" s="29" t="s">
        <v>999</v>
      </c>
      <c r="N1740" s="29" t="s">
        <v>3384</v>
      </c>
      <c r="O1740" s="29"/>
      <c r="P1740" s="29" t="s">
        <v>8864</v>
      </c>
      <c r="Q1740" t="s">
        <v>2038</v>
      </c>
      <c r="R1740" t="s">
        <v>2633</v>
      </c>
      <c r="S1740">
        <v>37</v>
      </c>
      <c r="T1740" s="43" t="str">
        <f t="shared" si="73"/>
        <v>2021.082B.R.Tevens_new_families.zip</v>
      </c>
      <c r="U1740" s="43" t="str">
        <f>HYPERLINK("https://ictv.global/taxonomy/taxondetails?taxnode_id=202200306","ictv.global=202200306")</f>
        <v>ictv.global=202200306</v>
      </c>
    </row>
    <row r="1741" spans="1:21">
      <c r="A1741">
        <v>1740</v>
      </c>
      <c r="B1741" s="29" t="s">
        <v>3682</v>
      </c>
      <c r="C1741" s="29"/>
      <c r="D1741" s="29" t="s">
        <v>3683</v>
      </c>
      <c r="E1741" s="29"/>
      <c r="F1741" s="29" t="s">
        <v>3686</v>
      </c>
      <c r="G1741" s="29"/>
      <c r="H1741" s="29" t="s">
        <v>3687</v>
      </c>
      <c r="I1741" s="29"/>
      <c r="J1741" s="29"/>
      <c r="K1741" s="29"/>
      <c r="L1741" s="29" t="s">
        <v>8811</v>
      </c>
      <c r="M1741" s="29" t="s">
        <v>999</v>
      </c>
      <c r="N1741" s="29" t="s">
        <v>3384</v>
      </c>
      <c r="O1741" s="29"/>
      <c r="P1741" s="29" t="s">
        <v>8865</v>
      </c>
      <c r="Q1741" t="s">
        <v>2038</v>
      </c>
      <c r="R1741" t="s">
        <v>2633</v>
      </c>
      <c r="S1741">
        <v>37</v>
      </c>
      <c r="T1741" s="43" t="str">
        <f t="shared" si="73"/>
        <v>2021.082B.R.Tevens_new_families.zip</v>
      </c>
      <c r="U1741" s="43" t="str">
        <f>HYPERLINK("https://ictv.global/taxonomy/taxondetails?taxnode_id=202200307","ictv.global=202200307")</f>
        <v>ictv.global=202200307</v>
      </c>
    </row>
    <row r="1742" spans="1:21">
      <c r="A1742">
        <v>1741</v>
      </c>
      <c r="B1742" s="29" t="s">
        <v>3682</v>
      </c>
      <c r="C1742" s="29"/>
      <c r="D1742" s="29" t="s">
        <v>3683</v>
      </c>
      <c r="E1742" s="29"/>
      <c r="F1742" s="29" t="s">
        <v>3686</v>
      </c>
      <c r="G1742" s="29"/>
      <c r="H1742" s="29" t="s">
        <v>3687</v>
      </c>
      <c r="I1742" s="29"/>
      <c r="J1742" s="29"/>
      <c r="K1742" s="29"/>
      <c r="L1742" s="29" t="s">
        <v>8811</v>
      </c>
      <c r="M1742" s="29" t="s">
        <v>999</v>
      </c>
      <c r="N1742" s="29" t="s">
        <v>3384</v>
      </c>
      <c r="O1742" s="29"/>
      <c r="P1742" s="29" t="s">
        <v>8866</v>
      </c>
      <c r="Q1742" t="s">
        <v>2038</v>
      </c>
      <c r="R1742" t="s">
        <v>2633</v>
      </c>
      <c r="S1742">
        <v>37</v>
      </c>
      <c r="T1742" s="43" t="str">
        <f t="shared" si="73"/>
        <v>2021.082B.R.Tevens_new_families.zip</v>
      </c>
      <c r="U1742" s="43" t="str">
        <f>HYPERLINK("https://ictv.global/taxonomy/taxondetails?taxnode_id=202207042","ictv.global=202207042")</f>
        <v>ictv.global=202207042</v>
      </c>
    </row>
    <row r="1743" spans="1:21">
      <c r="A1743">
        <v>1742</v>
      </c>
      <c r="B1743" s="29" t="s">
        <v>3682</v>
      </c>
      <c r="C1743" s="29"/>
      <c r="D1743" s="29" t="s">
        <v>3683</v>
      </c>
      <c r="E1743" s="29"/>
      <c r="F1743" s="29" t="s">
        <v>3686</v>
      </c>
      <c r="G1743" s="29"/>
      <c r="H1743" s="29" t="s">
        <v>3687</v>
      </c>
      <c r="I1743" s="29"/>
      <c r="J1743" s="29"/>
      <c r="K1743" s="29"/>
      <c r="L1743" s="29" t="s">
        <v>8811</v>
      </c>
      <c r="M1743" s="29" t="s">
        <v>999</v>
      </c>
      <c r="N1743" s="29" t="s">
        <v>3384</v>
      </c>
      <c r="O1743" s="29"/>
      <c r="P1743" s="29" t="s">
        <v>8867</v>
      </c>
      <c r="Q1743" t="s">
        <v>2038</v>
      </c>
      <c r="R1743" t="s">
        <v>2632</v>
      </c>
      <c r="S1743">
        <v>37</v>
      </c>
      <c r="T1743" s="43" t="str">
        <f t="shared" si="73"/>
        <v>2021.082B.R.Tevens_new_families.zip</v>
      </c>
      <c r="U1743" s="43" t="str">
        <f>HYPERLINK("https://ictv.global/taxonomy/taxondetails?taxnode_id=202213708","ictv.global=202213708")</f>
        <v>ictv.global=202213708</v>
      </c>
    </row>
    <row r="1744" spans="1:21">
      <c r="A1744">
        <v>1743</v>
      </c>
      <c r="B1744" s="29" t="s">
        <v>3682</v>
      </c>
      <c r="C1744" s="29"/>
      <c r="D1744" s="29" t="s">
        <v>3683</v>
      </c>
      <c r="E1744" s="29"/>
      <c r="F1744" s="29" t="s">
        <v>3686</v>
      </c>
      <c r="G1744" s="29"/>
      <c r="H1744" s="29" t="s">
        <v>3687</v>
      </c>
      <c r="I1744" s="29"/>
      <c r="J1744" s="29"/>
      <c r="K1744" s="29"/>
      <c r="L1744" s="29" t="s">
        <v>8811</v>
      </c>
      <c r="M1744" s="29" t="s">
        <v>999</v>
      </c>
      <c r="N1744" s="29" t="s">
        <v>3384</v>
      </c>
      <c r="O1744" s="29"/>
      <c r="P1744" s="29" t="s">
        <v>8868</v>
      </c>
      <c r="Q1744" t="s">
        <v>2038</v>
      </c>
      <c r="R1744" t="s">
        <v>2633</v>
      </c>
      <c r="S1744">
        <v>37</v>
      </c>
      <c r="T1744" s="43" t="str">
        <f t="shared" si="73"/>
        <v>2021.082B.R.Tevens_new_families.zip</v>
      </c>
      <c r="U1744" s="43" t="str">
        <f>HYPERLINK("https://ictv.global/taxonomy/taxondetails?taxnode_id=202207040","ictv.global=202207040")</f>
        <v>ictv.global=202207040</v>
      </c>
    </row>
    <row r="1745" spans="1:21">
      <c r="A1745">
        <v>1744</v>
      </c>
      <c r="B1745" s="29" t="s">
        <v>3682</v>
      </c>
      <c r="C1745" s="29"/>
      <c r="D1745" s="29" t="s">
        <v>3683</v>
      </c>
      <c r="E1745" s="29"/>
      <c r="F1745" s="29" t="s">
        <v>3686</v>
      </c>
      <c r="G1745" s="29"/>
      <c r="H1745" s="29" t="s">
        <v>3687</v>
      </c>
      <c r="I1745" s="29"/>
      <c r="J1745" s="29"/>
      <c r="K1745" s="29"/>
      <c r="L1745" s="29" t="s">
        <v>8811</v>
      </c>
      <c r="M1745" s="29" t="s">
        <v>999</v>
      </c>
      <c r="N1745" s="29" t="s">
        <v>3384</v>
      </c>
      <c r="O1745" s="29"/>
      <c r="P1745" s="29" t="s">
        <v>8869</v>
      </c>
      <c r="Q1745" t="s">
        <v>2038</v>
      </c>
      <c r="R1745" t="s">
        <v>2633</v>
      </c>
      <c r="S1745">
        <v>37</v>
      </c>
      <c r="T1745" s="43" t="str">
        <f t="shared" si="73"/>
        <v>2021.082B.R.Tevens_new_families.zip</v>
      </c>
      <c r="U1745" s="43" t="str">
        <f>HYPERLINK("https://ictv.global/taxonomy/taxondetails?taxnode_id=202200308","ictv.global=202200308")</f>
        <v>ictv.global=202200308</v>
      </c>
    </row>
    <row r="1746" spans="1:21">
      <c r="A1746">
        <v>1745</v>
      </c>
      <c r="B1746" s="29" t="s">
        <v>3682</v>
      </c>
      <c r="C1746" s="29"/>
      <c r="D1746" s="29" t="s">
        <v>3683</v>
      </c>
      <c r="E1746" s="29"/>
      <c r="F1746" s="29" t="s">
        <v>3686</v>
      </c>
      <c r="G1746" s="29"/>
      <c r="H1746" s="29" t="s">
        <v>3687</v>
      </c>
      <c r="I1746" s="29"/>
      <c r="J1746" s="29"/>
      <c r="K1746" s="29"/>
      <c r="L1746" s="29" t="s">
        <v>8811</v>
      </c>
      <c r="M1746" s="29" t="s">
        <v>999</v>
      </c>
      <c r="N1746" s="29" t="s">
        <v>3384</v>
      </c>
      <c r="O1746" s="29"/>
      <c r="P1746" s="29" t="s">
        <v>8870</v>
      </c>
      <c r="Q1746" t="s">
        <v>2038</v>
      </c>
      <c r="R1746" t="s">
        <v>2632</v>
      </c>
      <c r="S1746">
        <v>37</v>
      </c>
      <c r="T1746" s="43" t="str">
        <f t="shared" si="73"/>
        <v>2021.082B.R.Tevens_new_families.zip</v>
      </c>
      <c r="U1746" s="43" t="str">
        <f>HYPERLINK("https://ictv.global/taxonomy/taxondetails?taxnode_id=202213707","ictv.global=202213707")</f>
        <v>ictv.global=202213707</v>
      </c>
    </row>
    <row r="1747" spans="1:21">
      <c r="A1747">
        <v>1746</v>
      </c>
      <c r="B1747" s="29" t="s">
        <v>3682</v>
      </c>
      <c r="C1747" s="29"/>
      <c r="D1747" s="29" t="s">
        <v>3683</v>
      </c>
      <c r="E1747" s="29"/>
      <c r="F1747" s="29" t="s">
        <v>3686</v>
      </c>
      <c r="G1747" s="29"/>
      <c r="H1747" s="29" t="s">
        <v>3687</v>
      </c>
      <c r="I1747" s="29"/>
      <c r="J1747" s="29"/>
      <c r="K1747" s="29"/>
      <c r="L1747" s="29" t="s">
        <v>8811</v>
      </c>
      <c r="M1747" s="29" t="s">
        <v>999</v>
      </c>
      <c r="N1747" s="29" t="s">
        <v>3384</v>
      </c>
      <c r="O1747" s="29"/>
      <c r="P1747" s="29" t="s">
        <v>8871</v>
      </c>
      <c r="Q1747" t="s">
        <v>2038</v>
      </c>
      <c r="R1747" t="s">
        <v>2633</v>
      </c>
      <c r="S1747">
        <v>37</v>
      </c>
      <c r="T1747" s="43" t="str">
        <f t="shared" si="73"/>
        <v>2021.082B.R.Tevens_new_families.zip</v>
      </c>
      <c r="U1747" s="43" t="str">
        <f>HYPERLINK("https://ictv.global/taxonomy/taxondetails?taxnode_id=202207044","ictv.global=202207044")</f>
        <v>ictv.global=202207044</v>
      </c>
    </row>
    <row r="1748" spans="1:21">
      <c r="A1748">
        <v>1747</v>
      </c>
      <c r="B1748" s="29" t="s">
        <v>3682</v>
      </c>
      <c r="C1748" s="29"/>
      <c r="D1748" s="29" t="s">
        <v>3683</v>
      </c>
      <c r="E1748" s="29"/>
      <c r="F1748" s="29" t="s">
        <v>3686</v>
      </c>
      <c r="G1748" s="29"/>
      <c r="H1748" s="29" t="s">
        <v>3687</v>
      </c>
      <c r="I1748" s="29"/>
      <c r="J1748" s="29"/>
      <c r="K1748" s="29"/>
      <c r="L1748" s="29" t="s">
        <v>8811</v>
      </c>
      <c r="M1748" s="29" t="s">
        <v>999</v>
      </c>
      <c r="N1748" s="29" t="s">
        <v>3384</v>
      </c>
      <c r="O1748" s="29"/>
      <c r="P1748" s="29" t="s">
        <v>8872</v>
      </c>
      <c r="Q1748" t="s">
        <v>2038</v>
      </c>
      <c r="R1748" t="s">
        <v>2633</v>
      </c>
      <c r="S1748">
        <v>37</v>
      </c>
      <c r="T1748" s="43" t="str">
        <f t="shared" si="73"/>
        <v>2021.082B.R.Tevens_new_families.zip</v>
      </c>
      <c r="U1748" s="43" t="str">
        <f>HYPERLINK("https://ictv.global/taxonomy/taxondetails?taxnode_id=202200309","ictv.global=202200309")</f>
        <v>ictv.global=202200309</v>
      </c>
    </row>
    <row r="1749" spans="1:21">
      <c r="A1749">
        <v>1748</v>
      </c>
      <c r="B1749" s="29" t="s">
        <v>3682</v>
      </c>
      <c r="C1749" s="29"/>
      <c r="D1749" s="29" t="s">
        <v>3683</v>
      </c>
      <c r="E1749" s="29"/>
      <c r="F1749" s="29" t="s">
        <v>3686</v>
      </c>
      <c r="G1749" s="29"/>
      <c r="H1749" s="29" t="s">
        <v>3687</v>
      </c>
      <c r="I1749" s="29"/>
      <c r="J1749" s="29"/>
      <c r="K1749" s="29"/>
      <c r="L1749" s="29" t="s">
        <v>8811</v>
      </c>
      <c r="M1749" s="29" t="s">
        <v>999</v>
      </c>
      <c r="N1749" s="29" t="s">
        <v>8873</v>
      </c>
      <c r="O1749" s="29"/>
      <c r="P1749" s="29" t="s">
        <v>8874</v>
      </c>
      <c r="Q1749" t="s">
        <v>2038</v>
      </c>
      <c r="R1749" t="s">
        <v>2632</v>
      </c>
      <c r="S1749">
        <v>37</v>
      </c>
      <c r="T1749" s="43" t="str">
        <f t="shared" si="73"/>
        <v>2021.082B.R.Tevens_new_families.zip</v>
      </c>
      <c r="U1749" s="43" t="str">
        <f>HYPERLINK("https://ictv.global/taxonomy/taxondetails?taxnode_id=202213690","ictv.global=202213690")</f>
        <v>ictv.global=202213690</v>
      </c>
    </row>
    <row r="1750" spans="1:21">
      <c r="A1750">
        <v>1749</v>
      </c>
      <c r="B1750" s="29" t="s">
        <v>3682</v>
      </c>
      <c r="C1750" s="29"/>
      <c r="D1750" s="29" t="s">
        <v>3683</v>
      </c>
      <c r="E1750" s="29"/>
      <c r="F1750" s="29" t="s">
        <v>3686</v>
      </c>
      <c r="G1750" s="29"/>
      <c r="H1750" s="29" t="s">
        <v>3687</v>
      </c>
      <c r="I1750" s="29"/>
      <c r="J1750" s="29"/>
      <c r="K1750" s="29"/>
      <c r="L1750" s="29" t="s">
        <v>8811</v>
      </c>
      <c r="M1750" s="29" t="s">
        <v>999</v>
      </c>
      <c r="N1750" s="29" t="s">
        <v>8875</v>
      </c>
      <c r="O1750" s="29"/>
      <c r="P1750" s="29" t="s">
        <v>8876</v>
      </c>
      <c r="Q1750" t="s">
        <v>2038</v>
      </c>
      <c r="R1750" t="s">
        <v>2632</v>
      </c>
      <c r="S1750">
        <v>37</v>
      </c>
      <c r="T1750" s="43" t="str">
        <f t="shared" si="73"/>
        <v>2021.082B.R.Tevens_new_families.zip</v>
      </c>
      <c r="U1750" s="43" t="str">
        <f>HYPERLINK("https://ictv.global/taxonomy/taxondetails?taxnode_id=202213696","ictv.global=202213696")</f>
        <v>ictv.global=202213696</v>
      </c>
    </row>
    <row r="1751" spans="1:21">
      <c r="A1751">
        <v>1750</v>
      </c>
      <c r="B1751" s="29" t="s">
        <v>3682</v>
      </c>
      <c r="C1751" s="29"/>
      <c r="D1751" s="29" t="s">
        <v>3683</v>
      </c>
      <c r="E1751" s="29"/>
      <c r="F1751" s="29" t="s">
        <v>3686</v>
      </c>
      <c r="G1751" s="29"/>
      <c r="H1751" s="29" t="s">
        <v>3687</v>
      </c>
      <c r="I1751" s="29"/>
      <c r="J1751" s="29"/>
      <c r="K1751" s="29"/>
      <c r="L1751" s="29" t="s">
        <v>8811</v>
      </c>
      <c r="M1751" s="29" t="s">
        <v>999</v>
      </c>
      <c r="N1751" s="29" t="s">
        <v>3438</v>
      </c>
      <c r="O1751" s="29"/>
      <c r="P1751" s="29" t="s">
        <v>8877</v>
      </c>
      <c r="Q1751" t="s">
        <v>2038</v>
      </c>
      <c r="R1751" t="s">
        <v>2632</v>
      </c>
      <c r="S1751">
        <v>37</v>
      </c>
      <c r="T1751" s="43" t="str">
        <f t="shared" si="73"/>
        <v>2021.082B.R.Tevens_new_families.zip</v>
      </c>
      <c r="U1751" s="43" t="str">
        <f>HYPERLINK("https://ictv.global/taxonomy/taxondetails?taxnode_id=202213685","ictv.global=202213685")</f>
        <v>ictv.global=202213685</v>
      </c>
    </row>
    <row r="1752" spans="1:21">
      <c r="A1752">
        <v>1751</v>
      </c>
      <c r="B1752" s="29" t="s">
        <v>3682</v>
      </c>
      <c r="C1752" s="29"/>
      <c r="D1752" s="29" t="s">
        <v>3683</v>
      </c>
      <c r="E1752" s="29"/>
      <c r="F1752" s="29" t="s">
        <v>3686</v>
      </c>
      <c r="G1752" s="29"/>
      <c r="H1752" s="29" t="s">
        <v>3687</v>
      </c>
      <c r="I1752" s="29"/>
      <c r="J1752" s="29"/>
      <c r="K1752" s="29"/>
      <c r="L1752" s="29" t="s">
        <v>8811</v>
      </c>
      <c r="M1752" s="29" t="s">
        <v>999</v>
      </c>
      <c r="N1752" s="29" t="s">
        <v>3438</v>
      </c>
      <c r="O1752" s="29"/>
      <c r="P1752" s="29" t="s">
        <v>8878</v>
      </c>
      <c r="Q1752" t="s">
        <v>2038</v>
      </c>
      <c r="R1752" t="s">
        <v>2633</v>
      </c>
      <c r="S1752">
        <v>37</v>
      </c>
      <c r="T1752" s="43" t="str">
        <f t="shared" si="73"/>
        <v>2021.082B.R.Tevens_new_families.zip</v>
      </c>
      <c r="U1752" s="43" t="str">
        <f>HYPERLINK("https://ictv.global/taxonomy/taxondetails?taxnode_id=202200510","ictv.global=202200510")</f>
        <v>ictv.global=202200510</v>
      </c>
    </row>
    <row r="1753" spans="1:21">
      <c r="A1753">
        <v>1752</v>
      </c>
      <c r="B1753" s="29" t="s">
        <v>3682</v>
      </c>
      <c r="C1753" s="29"/>
      <c r="D1753" s="29" t="s">
        <v>3683</v>
      </c>
      <c r="E1753" s="29"/>
      <c r="F1753" s="29" t="s">
        <v>3686</v>
      </c>
      <c r="G1753" s="29"/>
      <c r="H1753" s="29" t="s">
        <v>3687</v>
      </c>
      <c r="I1753" s="29"/>
      <c r="J1753" s="29"/>
      <c r="K1753" s="29"/>
      <c r="L1753" s="29" t="s">
        <v>8811</v>
      </c>
      <c r="M1753" s="29" t="s">
        <v>999</v>
      </c>
      <c r="N1753" s="29" t="s">
        <v>3438</v>
      </c>
      <c r="O1753" s="29"/>
      <c r="P1753" s="29" t="s">
        <v>8879</v>
      </c>
      <c r="Q1753" t="s">
        <v>2038</v>
      </c>
      <c r="R1753" t="s">
        <v>2633</v>
      </c>
      <c r="S1753">
        <v>37</v>
      </c>
      <c r="T1753" s="43" t="str">
        <f t="shared" si="73"/>
        <v>2021.082B.R.Tevens_new_families.zip</v>
      </c>
      <c r="U1753" s="43" t="str">
        <f>HYPERLINK("https://ictv.global/taxonomy/taxondetails?taxnode_id=202200511","ictv.global=202200511")</f>
        <v>ictv.global=202200511</v>
      </c>
    </row>
    <row r="1754" spans="1:21">
      <c r="A1754">
        <v>1753</v>
      </c>
      <c r="B1754" s="29" t="s">
        <v>3682</v>
      </c>
      <c r="C1754" s="29"/>
      <c r="D1754" s="29" t="s">
        <v>3683</v>
      </c>
      <c r="E1754" s="29"/>
      <c r="F1754" s="29" t="s">
        <v>3686</v>
      </c>
      <c r="G1754" s="29"/>
      <c r="H1754" s="29" t="s">
        <v>3687</v>
      </c>
      <c r="I1754" s="29"/>
      <c r="J1754" s="29"/>
      <c r="K1754" s="29"/>
      <c r="L1754" s="29" t="s">
        <v>8811</v>
      </c>
      <c r="M1754" s="29" t="s">
        <v>999</v>
      </c>
      <c r="N1754" s="29" t="s">
        <v>3387</v>
      </c>
      <c r="O1754" s="29"/>
      <c r="P1754" s="29" t="s">
        <v>3388</v>
      </c>
      <c r="Q1754" t="s">
        <v>2038</v>
      </c>
      <c r="R1754" t="s">
        <v>2634</v>
      </c>
      <c r="S1754">
        <v>37</v>
      </c>
      <c r="T1754" s="43" t="str">
        <f>HYPERLINK("https://ictv.global/ictv/proposals/2021.001B.R.abolish_Caudovirales.zip","2021.001B.R.abolish_Caudovirales.zip;2021.082B.A.v1.Tevens_new_families.zip")</f>
        <v>2021.001B.R.abolish_Caudovirales.zip;2021.082B.A.v1.Tevens_new_families.zip</v>
      </c>
      <c r="U1754" s="43" t="str">
        <f>HYPERLINK("https://ictv.global/taxonomy/taxondetails?taxnode_id=202207051","ictv.global=202207051")</f>
        <v>ictv.global=202207051</v>
      </c>
    </row>
    <row r="1755" spans="1:21">
      <c r="A1755">
        <v>1754</v>
      </c>
      <c r="B1755" s="29" t="s">
        <v>3682</v>
      </c>
      <c r="C1755" s="29"/>
      <c r="D1755" s="29" t="s">
        <v>3683</v>
      </c>
      <c r="E1755" s="29"/>
      <c r="F1755" s="29" t="s">
        <v>3686</v>
      </c>
      <c r="G1755" s="29"/>
      <c r="H1755" s="29" t="s">
        <v>3687</v>
      </c>
      <c r="I1755" s="29"/>
      <c r="J1755" s="29"/>
      <c r="K1755" s="29"/>
      <c r="L1755" s="29" t="s">
        <v>8811</v>
      </c>
      <c r="M1755" s="29" t="s">
        <v>999</v>
      </c>
      <c r="N1755" s="29" t="s">
        <v>3387</v>
      </c>
      <c r="O1755" s="29"/>
      <c r="P1755" s="29" t="s">
        <v>8880</v>
      </c>
      <c r="Q1755" t="s">
        <v>2038</v>
      </c>
      <c r="R1755" t="s">
        <v>2633</v>
      </c>
      <c r="S1755">
        <v>37</v>
      </c>
      <c r="T1755" s="43" t="str">
        <f t="shared" ref="T1755:T1786" si="74">HYPERLINK("https://ictv.global/ictv/proposals/2021.082B.R.Tevens_new_families.zip","2021.082B.R.Tevens_new_families.zip")</f>
        <v>2021.082B.R.Tevens_new_families.zip</v>
      </c>
      <c r="U1755" s="43" t="str">
        <f>HYPERLINK("https://ictv.global/taxonomy/taxondetails?taxnode_id=202211969","ictv.global=202211969")</f>
        <v>ictv.global=202211969</v>
      </c>
    </row>
    <row r="1756" spans="1:21">
      <c r="A1756">
        <v>1755</v>
      </c>
      <c r="B1756" s="29" t="s">
        <v>3682</v>
      </c>
      <c r="C1756" s="29"/>
      <c r="D1756" s="29" t="s">
        <v>3683</v>
      </c>
      <c r="E1756" s="29"/>
      <c r="F1756" s="29" t="s">
        <v>3686</v>
      </c>
      <c r="G1756" s="29"/>
      <c r="H1756" s="29" t="s">
        <v>3687</v>
      </c>
      <c r="I1756" s="29"/>
      <c r="J1756" s="29"/>
      <c r="K1756" s="29"/>
      <c r="L1756" s="29" t="s">
        <v>8811</v>
      </c>
      <c r="M1756" s="29" t="s">
        <v>999</v>
      </c>
      <c r="N1756" s="29" t="s">
        <v>3387</v>
      </c>
      <c r="O1756" s="29"/>
      <c r="P1756" s="29" t="s">
        <v>8881</v>
      </c>
      <c r="Q1756" t="s">
        <v>2038</v>
      </c>
      <c r="R1756" t="s">
        <v>2633</v>
      </c>
      <c r="S1756">
        <v>37</v>
      </c>
      <c r="T1756" s="43" t="str">
        <f t="shared" si="74"/>
        <v>2021.082B.R.Tevens_new_families.zip</v>
      </c>
      <c r="U1756" s="43" t="str">
        <f>HYPERLINK("https://ictv.global/taxonomy/taxondetails?taxnode_id=202200324","ictv.global=202200324")</f>
        <v>ictv.global=202200324</v>
      </c>
    </row>
    <row r="1757" spans="1:21">
      <c r="A1757">
        <v>1756</v>
      </c>
      <c r="B1757" s="29" t="s">
        <v>3682</v>
      </c>
      <c r="C1757" s="29"/>
      <c r="D1757" s="29" t="s">
        <v>3683</v>
      </c>
      <c r="E1757" s="29"/>
      <c r="F1757" s="29" t="s">
        <v>3686</v>
      </c>
      <c r="G1757" s="29"/>
      <c r="H1757" s="29" t="s">
        <v>3687</v>
      </c>
      <c r="I1757" s="29"/>
      <c r="J1757" s="29"/>
      <c r="K1757" s="29"/>
      <c r="L1757" s="29" t="s">
        <v>8811</v>
      </c>
      <c r="M1757" s="29" t="s">
        <v>999</v>
      </c>
      <c r="N1757" s="29" t="s">
        <v>3387</v>
      </c>
      <c r="O1757" s="29"/>
      <c r="P1757" s="29" t="s">
        <v>8882</v>
      </c>
      <c r="Q1757" t="s">
        <v>2038</v>
      </c>
      <c r="R1757" t="s">
        <v>2633</v>
      </c>
      <c r="S1757">
        <v>37</v>
      </c>
      <c r="T1757" s="43" t="str">
        <f t="shared" si="74"/>
        <v>2021.082B.R.Tevens_new_families.zip</v>
      </c>
      <c r="U1757" s="43" t="str">
        <f>HYPERLINK("https://ictv.global/taxonomy/taxondetails?taxnode_id=202200325","ictv.global=202200325")</f>
        <v>ictv.global=202200325</v>
      </c>
    </row>
    <row r="1758" spans="1:21">
      <c r="A1758">
        <v>1757</v>
      </c>
      <c r="B1758" s="29" t="s">
        <v>3682</v>
      </c>
      <c r="C1758" s="29"/>
      <c r="D1758" s="29" t="s">
        <v>3683</v>
      </c>
      <c r="E1758" s="29"/>
      <c r="F1758" s="29" t="s">
        <v>3686</v>
      </c>
      <c r="G1758" s="29"/>
      <c r="H1758" s="29" t="s">
        <v>3687</v>
      </c>
      <c r="I1758" s="29"/>
      <c r="J1758" s="29"/>
      <c r="K1758" s="29"/>
      <c r="L1758" s="29" t="s">
        <v>8811</v>
      </c>
      <c r="M1758" s="29" t="s">
        <v>999</v>
      </c>
      <c r="N1758" s="29" t="s">
        <v>3387</v>
      </c>
      <c r="O1758" s="29"/>
      <c r="P1758" s="29" t="s">
        <v>8883</v>
      </c>
      <c r="Q1758" t="s">
        <v>2038</v>
      </c>
      <c r="R1758" t="s">
        <v>2633</v>
      </c>
      <c r="S1758">
        <v>37</v>
      </c>
      <c r="T1758" s="43" t="str">
        <f t="shared" si="74"/>
        <v>2021.082B.R.Tevens_new_families.zip</v>
      </c>
      <c r="U1758" s="43" t="str">
        <f>HYPERLINK("https://ictv.global/taxonomy/taxondetails?taxnode_id=202212009","ictv.global=202212009")</f>
        <v>ictv.global=202212009</v>
      </c>
    </row>
    <row r="1759" spans="1:21">
      <c r="A1759">
        <v>1758</v>
      </c>
      <c r="B1759" s="29" t="s">
        <v>3682</v>
      </c>
      <c r="C1759" s="29"/>
      <c r="D1759" s="29" t="s">
        <v>3683</v>
      </c>
      <c r="E1759" s="29"/>
      <c r="F1759" s="29" t="s">
        <v>3686</v>
      </c>
      <c r="G1759" s="29"/>
      <c r="H1759" s="29" t="s">
        <v>3687</v>
      </c>
      <c r="I1759" s="29"/>
      <c r="J1759" s="29"/>
      <c r="K1759" s="29"/>
      <c r="L1759" s="29" t="s">
        <v>8811</v>
      </c>
      <c r="M1759" s="29" t="s">
        <v>999</v>
      </c>
      <c r="N1759" s="29" t="s">
        <v>3387</v>
      </c>
      <c r="O1759" s="29"/>
      <c r="P1759" s="29" t="s">
        <v>8884</v>
      </c>
      <c r="Q1759" t="s">
        <v>2038</v>
      </c>
      <c r="R1759" t="s">
        <v>2633</v>
      </c>
      <c r="S1759">
        <v>37</v>
      </c>
      <c r="T1759" s="43" t="str">
        <f t="shared" si="74"/>
        <v>2021.082B.R.Tevens_new_families.zip</v>
      </c>
      <c r="U1759" s="43" t="str">
        <f>HYPERLINK("https://ictv.global/taxonomy/taxondetails?taxnode_id=202211968","ictv.global=202211968")</f>
        <v>ictv.global=202211968</v>
      </c>
    </row>
    <row r="1760" spans="1:21">
      <c r="A1760">
        <v>1759</v>
      </c>
      <c r="B1760" s="29" t="s">
        <v>3682</v>
      </c>
      <c r="C1760" s="29"/>
      <c r="D1760" s="29" t="s">
        <v>3683</v>
      </c>
      <c r="E1760" s="29"/>
      <c r="F1760" s="29" t="s">
        <v>3686</v>
      </c>
      <c r="G1760" s="29"/>
      <c r="H1760" s="29" t="s">
        <v>3687</v>
      </c>
      <c r="I1760" s="29"/>
      <c r="J1760" s="29"/>
      <c r="K1760" s="29"/>
      <c r="L1760" s="29" t="s">
        <v>8811</v>
      </c>
      <c r="M1760" s="29" t="s">
        <v>999</v>
      </c>
      <c r="N1760" s="29" t="s">
        <v>3387</v>
      </c>
      <c r="O1760" s="29"/>
      <c r="P1760" s="29" t="s">
        <v>8885</v>
      </c>
      <c r="Q1760" t="s">
        <v>2038</v>
      </c>
      <c r="R1760" t="s">
        <v>2633</v>
      </c>
      <c r="S1760">
        <v>37</v>
      </c>
      <c r="T1760" s="43" t="str">
        <f t="shared" si="74"/>
        <v>2021.082B.R.Tevens_new_families.zip</v>
      </c>
      <c r="U1760" s="43" t="str">
        <f>HYPERLINK("https://ictv.global/taxonomy/taxondetails?taxnode_id=202200335","ictv.global=202200335")</f>
        <v>ictv.global=202200335</v>
      </c>
    </row>
    <row r="1761" spans="1:21">
      <c r="A1761">
        <v>1760</v>
      </c>
      <c r="B1761" s="29" t="s">
        <v>3682</v>
      </c>
      <c r="C1761" s="29"/>
      <c r="D1761" s="29" t="s">
        <v>3683</v>
      </c>
      <c r="E1761" s="29"/>
      <c r="F1761" s="29" t="s">
        <v>3686</v>
      </c>
      <c r="G1761" s="29"/>
      <c r="H1761" s="29" t="s">
        <v>3687</v>
      </c>
      <c r="I1761" s="29"/>
      <c r="J1761" s="29"/>
      <c r="K1761" s="29"/>
      <c r="L1761" s="29" t="s">
        <v>8811</v>
      </c>
      <c r="M1761" s="29" t="s">
        <v>999</v>
      </c>
      <c r="N1761" s="29" t="s">
        <v>3387</v>
      </c>
      <c r="O1761" s="29"/>
      <c r="P1761" s="29" t="s">
        <v>8886</v>
      </c>
      <c r="Q1761" t="s">
        <v>2038</v>
      </c>
      <c r="R1761" t="s">
        <v>2633</v>
      </c>
      <c r="S1761">
        <v>37</v>
      </c>
      <c r="T1761" s="43" t="str">
        <f t="shared" si="74"/>
        <v>2021.082B.R.Tevens_new_families.zip</v>
      </c>
      <c r="U1761" s="43" t="str">
        <f>HYPERLINK("https://ictv.global/taxonomy/taxondetails?taxnode_id=202200326","ictv.global=202200326")</f>
        <v>ictv.global=202200326</v>
      </c>
    </row>
    <row r="1762" spans="1:21">
      <c r="A1762">
        <v>1761</v>
      </c>
      <c r="B1762" s="29" t="s">
        <v>3682</v>
      </c>
      <c r="C1762" s="29"/>
      <c r="D1762" s="29" t="s">
        <v>3683</v>
      </c>
      <c r="E1762" s="29"/>
      <c r="F1762" s="29" t="s">
        <v>3686</v>
      </c>
      <c r="G1762" s="29"/>
      <c r="H1762" s="29" t="s">
        <v>3687</v>
      </c>
      <c r="I1762" s="29"/>
      <c r="J1762" s="29"/>
      <c r="K1762" s="29"/>
      <c r="L1762" s="29" t="s">
        <v>8811</v>
      </c>
      <c r="M1762" s="29" t="s">
        <v>999</v>
      </c>
      <c r="N1762" s="29" t="s">
        <v>3387</v>
      </c>
      <c r="O1762" s="29"/>
      <c r="P1762" s="29" t="s">
        <v>8887</v>
      </c>
      <c r="Q1762" t="s">
        <v>2038</v>
      </c>
      <c r="R1762" t="s">
        <v>2633</v>
      </c>
      <c r="S1762">
        <v>37</v>
      </c>
      <c r="T1762" s="43" t="str">
        <f t="shared" si="74"/>
        <v>2021.082B.R.Tevens_new_families.zip</v>
      </c>
      <c r="U1762" s="43" t="str">
        <f>HYPERLINK("https://ictv.global/taxonomy/taxondetails?taxnode_id=202211978","ictv.global=202211978")</f>
        <v>ictv.global=202211978</v>
      </c>
    </row>
    <row r="1763" spans="1:21">
      <c r="A1763">
        <v>1762</v>
      </c>
      <c r="B1763" s="29" t="s">
        <v>3682</v>
      </c>
      <c r="C1763" s="29"/>
      <c r="D1763" s="29" t="s">
        <v>3683</v>
      </c>
      <c r="E1763" s="29"/>
      <c r="F1763" s="29" t="s">
        <v>3686</v>
      </c>
      <c r="G1763" s="29"/>
      <c r="H1763" s="29" t="s">
        <v>3687</v>
      </c>
      <c r="I1763" s="29"/>
      <c r="J1763" s="29"/>
      <c r="K1763" s="29"/>
      <c r="L1763" s="29" t="s">
        <v>8811</v>
      </c>
      <c r="M1763" s="29" t="s">
        <v>999</v>
      </c>
      <c r="N1763" s="29" t="s">
        <v>3387</v>
      </c>
      <c r="O1763" s="29"/>
      <c r="P1763" s="29" t="s">
        <v>8888</v>
      </c>
      <c r="Q1763" t="s">
        <v>2038</v>
      </c>
      <c r="R1763" t="s">
        <v>2633</v>
      </c>
      <c r="S1763">
        <v>37</v>
      </c>
      <c r="T1763" s="43" t="str">
        <f t="shared" si="74"/>
        <v>2021.082B.R.Tevens_new_families.zip</v>
      </c>
      <c r="U1763" s="43" t="str">
        <f>HYPERLINK("https://ictv.global/taxonomy/taxondetails?taxnode_id=202211976","ictv.global=202211976")</f>
        <v>ictv.global=202211976</v>
      </c>
    </row>
    <row r="1764" spans="1:21">
      <c r="A1764">
        <v>1763</v>
      </c>
      <c r="B1764" s="29" t="s">
        <v>3682</v>
      </c>
      <c r="C1764" s="29"/>
      <c r="D1764" s="29" t="s">
        <v>3683</v>
      </c>
      <c r="E1764" s="29"/>
      <c r="F1764" s="29" t="s">
        <v>3686</v>
      </c>
      <c r="G1764" s="29"/>
      <c r="H1764" s="29" t="s">
        <v>3687</v>
      </c>
      <c r="I1764" s="29"/>
      <c r="J1764" s="29"/>
      <c r="K1764" s="29"/>
      <c r="L1764" s="29" t="s">
        <v>8811</v>
      </c>
      <c r="M1764" s="29" t="s">
        <v>999</v>
      </c>
      <c r="N1764" s="29" t="s">
        <v>3387</v>
      </c>
      <c r="O1764" s="29"/>
      <c r="P1764" s="29" t="s">
        <v>8889</v>
      </c>
      <c r="Q1764" t="s">
        <v>2038</v>
      </c>
      <c r="R1764" t="s">
        <v>2633</v>
      </c>
      <c r="S1764">
        <v>37</v>
      </c>
      <c r="T1764" s="43" t="str">
        <f t="shared" si="74"/>
        <v>2021.082B.R.Tevens_new_families.zip</v>
      </c>
      <c r="U1764" s="43" t="str">
        <f>HYPERLINK("https://ictv.global/taxonomy/taxondetails?taxnode_id=202200327","ictv.global=202200327")</f>
        <v>ictv.global=202200327</v>
      </c>
    </row>
    <row r="1765" spans="1:21">
      <c r="A1765">
        <v>1764</v>
      </c>
      <c r="B1765" s="29" t="s">
        <v>3682</v>
      </c>
      <c r="C1765" s="29"/>
      <c r="D1765" s="29" t="s">
        <v>3683</v>
      </c>
      <c r="E1765" s="29"/>
      <c r="F1765" s="29" t="s">
        <v>3686</v>
      </c>
      <c r="G1765" s="29"/>
      <c r="H1765" s="29" t="s">
        <v>3687</v>
      </c>
      <c r="I1765" s="29"/>
      <c r="J1765" s="29"/>
      <c r="K1765" s="29"/>
      <c r="L1765" s="29" t="s">
        <v>8811</v>
      </c>
      <c r="M1765" s="29" t="s">
        <v>999</v>
      </c>
      <c r="N1765" s="29" t="s">
        <v>3387</v>
      </c>
      <c r="O1765" s="29"/>
      <c r="P1765" s="29" t="s">
        <v>8890</v>
      </c>
      <c r="Q1765" t="s">
        <v>2038</v>
      </c>
      <c r="R1765" t="s">
        <v>2633</v>
      </c>
      <c r="S1765">
        <v>37</v>
      </c>
      <c r="T1765" s="43" t="str">
        <f t="shared" si="74"/>
        <v>2021.082B.R.Tevens_new_families.zip</v>
      </c>
      <c r="U1765" s="43" t="str">
        <f>HYPERLINK("https://ictv.global/taxonomy/taxondetails?taxnode_id=202211977","ictv.global=202211977")</f>
        <v>ictv.global=202211977</v>
      </c>
    </row>
    <row r="1766" spans="1:21">
      <c r="A1766">
        <v>1765</v>
      </c>
      <c r="B1766" s="29" t="s">
        <v>3682</v>
      </c>
      <c r="C1766" s="29"/>
      <c r="D1766" s="29" t="s">
        <v>3683</v>
      </c>
      <c r="E1766" s="29"/>
      <c r="F1766" s="29" t="s">
        <v>3686</v>
      </c>
      <c r="G1766" s="29"/>
      <c r="H1766" s="29" t="s">
        <v>3687</v>
      </c>
      <c r="I1766" s="29"/>
      <c r="J1766" s="29"/>
      <c r="K1766" s="29"/>
      <c r="L1766" s="29" t="s">
        <v>8811</v>
      </c>
      <c r="M1766" s="29" t="s">
        <v>999</v>
      </c>
      <c r="N1766" s="29" t="s">
        <v>3387</v>
      </c>
      <c r="O1766" s="29"/>
      <c r="P1766" s="29" t="s">
        <v>8891</v>
      </c>
      <c r="Q1766" t="s">
        <v>2038</v>
      </c>
      <c r="R1766" t="s">
        <v>2633</v>
      </c>
      <c r="S1766">
        <v>37</v>
      </c>
      <c r="T1766" s="43" t="str">
        <f t="shared" si="74"/>
        <v>2021.082B.R.Tevens_new_families.zip</v>
      </c>
      <c r="U1766" s="43" t="str">
        <f>HYPERLINK("https://ictv.global/taxonomy/taxondetails?taxnode_id=202212001","ictv.global=202212001")</f>
        <v>ictv.global=202212001</v>
      </c>
    </row>
    <row r="1767" spans="1:21">
      <c r="A1767">
        <v>1766</v>
      </c>
      <c r="B1767" s="29" t="s">
        <v>3682</v>
      </c>
      <c r="C1767" s="29"/>
      <c r="D1767" s="29" t="s">
        <v>3683</v>
      </c>
      <c r="E1767" s="29"/>
      <c r="F1767" s="29" t="s">
        <v>3686</v>
      </c>
      <c r="G1767" s="29"/>
      <c r="H1767" s="29" t="s">
        <v>3687</v>
      </c>
      <c r="I1767" s="29"/>
      <c r="J1767" s="29"/>
      <c r="K1767" s="29"/>
      <c r="L1767" s="29" t="s">
        <v>8811</v>
      </c>
      <c r="M1767" s="29" t="s">
        <v>999</v>
      </c>
      <c r="N1767" s="29" t="s">
        <v>3387</v>
      </c>
      <c r="O1767" s="29"/>
      <c r="P1767" s="29" t="s">
        <v>8892</v>
      </c>
      <c r="Q1767" t="s">
        <v>2038</v>
      </c>
      <c r="R1767" t="s">
        <v>2633</v>
      </c>
      <c r="S1767">
        <v>37</v>
      </c>
      <c r="T1767" s="43" t="str">
        <f t="shared" si="74"/>
        <v>2021.082B.R.Tevens_new_families.zip</v>
      </c>
      <c r="U1767" s="43" t="str">
        <f>HYPERLINK("https://ictv.global/taxonomy/taxondetails?taxnode_id=202211988","ictv.global=202211988")</f>
        <v>ictv.global=202211988</v>
      </c>
    </row>
    <row r="1768" spans="1:21">
      <c r="A1768">
        <v>1767</v>
      </c>
      <c r="B1768" s="29" t="s">
        <v>3682</v>
      </c>
      <c r="C1768" s="29"/>
      <c r="D1768" s="29" t="s">
        <v>3683</v>
      </c>
      <c r="E1768" s="29"/>
      <c r="F1768" s="29" t="s">
        <v>3686</v>
      </c>
      <c r="G1768" s="29"/>
      <c r="H1768" s="29" t="s">
        <v>3687</v>
      </c>
      <c r="I1768" s="29"/>
      <c r="J1768" s="29"/>
      <c r="K1768" s="29"/>
      <c r="L1768" s="29" t="s">
        <v>8811</v>
      </c>
      <c r="M1768" s="29" t="s">
        <v>999</v>
      </c>
      <c r="N1768" s="29" t="s">
        <v>3387</v>
      </c>
      <c r="O1768" s="29"/>
      <c r="P1768" s="29" t="s">
        <v>8893</v>
      </c>
      <c r="Q1768" t="s">
        <v>2038</v>
      </c>
      <c r="R1768" t="s">
        <v>2633</v>
      </c>
      <c r="S1768">
        <v>37</v>
      </c>
      <c r="T1768" s="43" t="str">
        <f t="shared" si="74"/>
        <v>2021.082B.R.Tevens_new_families.zip</v>
      </c>
      <c r="U1768" s="43" t="str">
        <f>HYPERLINK("https://ictv.global/taxonomy/taxondetails?taxnode_id=202212002","ictv.global=202212002")</f>
        <v>ictv.global=202212002</v>
      </c>
    </row>
    <row r="1769" spans="1:21">
      <c r="A1769">
        <v>1768</v>
      </c>
      <c r="B1769" s="29" t="s">
        <v>3682</v>
      </c>
      <c r="C1769" s="29"/>
      <c r="D1769" s="29" t="s">
        <v>3683</v>
      </c>
      <c r="E1769" s="29"/>
      <c r="F1769" s="29" t="s">
        <v>3686</v>
      </c>
      <c r="G1769" s="29"/>
      <c r="H1769" s="29" t="s">
        <v>3687</v>
      </c>
      <c r="I1769" s="29"/>
      <c r="J1769" s="29"/>
      <c r="K1769" s="29"/>
      <c r="L1769" s="29" t="s">
        <v>8811</v>
      </c>
      <c r="M1769" s="29" t="s">
        <v>999</v>
      </c>
      <c r="N1769" s="29" t="s">
        <v>3387</v>
      </c>
      <c r="O1769" s="29"/>
      <c r="P1769" s="29" t="s">
        <v>8894</v>
      </c>
      <c r="Q1769" t="s">
        <v>2038</v>
      </c>
      <c r="R1769" t="s">
        <v>2632</v>
      </c>
      <c r="S1769">
        <v>37</v>
      </c>
      <c r="T1769" s="43" t="str">
        <f t="shared" si="74"/>
        <v>2021.082B.R.Tevens_new_families.zip</v>
      </c>
      <c r="U1769" s="43" t="str">
        <f>HYPERLINK("https://ictv.global/taxonomy/taxondetails?taxnode_id=202213952","ictv.global=202213952")</f>
        <v>ictv.global=202213952</v>
      </c>
    </row>
    <row r="1770" spans="1:21">
      <c r="A1770">
        <v>1769</v>
      </c>
      <c r="B1770" s="29" t="s">
        <v>3682</v>
      </c>
      <c r="C1770" s="29"/>
      <c r="D1770" s="29" t="s">
        <v>3683</v>
      </c>
      <c r="E1770" s="29"/>
      <c r="F1770" s="29" t="s">
        <v>3686</v>
      </c>
      <c r="G1770" s="29"/>
      <c r="H1770" s="29" t="s">
        <v>3687</v>
      </c>
      <c r="I1770" s="29"/>
      <c r="J1770" s="29"/>
      <c r="K1770" s="29"/>
      <c r="L1770" s="29" t="s">
        <v>8811</v>
      </c>
      <c r="M1770" s="29" t="s">
        <v>999</v>
      </c>
      <c r="N1770" s="29" t="s">
        <v>3387</v>
      </c>
      <c r="O1770" s="29"/>
      <c r="P1770" s="29" t="s">
        <v>8895</v>
      </c>
      <c r="Q1770" t="s">
        <v>2038</v>
      </c>
      <c r="R1770" t="s">
        <v>2633</v>
      </c>
      <c r="S1770">
        <v>37</v>
      </c>
      <c r="T1770" s="43" t="str">
        <f t="shared" si="74"/>
        <v>2021.082B.R.Tevens_new_families.zip</v>
      </c>
      <c r="U1770" s="43" t="str">
        <f>HYPERLINK("https://ictv.global/taxonomy/taxondetails?taxnode_id=202211975","ictv.global=202211975")</f>
        <v>ictv.global=202211975</v>
      </c>
    </row>
    <row r="1771" spans="1:21">
      <c r="A1771">
        <v>1770</v>
      </c>
      <c r="B1771" s="29" t="s">
        <v>3682</v>
      </c>
      <c r="C1771" s="29"/>
      <c r="D1771" s="29" t="s">
        <v>3683</v>
      </c>
      <c r="E1771" s="29"/>
      <c r="F1771" s="29" t="s">
        <v>3686</v>
      </c>
      <c r="G1771" s="29"/>
      <c r="H1771" s="29" t="s">
        <v>3687</v>
      </c>
      <c r="I1771" s="29"/>
      <c r="J1771" s="29"/>
      <c r="K1771" s="29"/>
      <c r="L1771" s="29" t="s">
        <v>8811</v>
      </c>
      <c r="M1771" s="29" t="s">
        <v>999</v>
      </c>
      <c r="N1771" s="29" t="s">
        <v>3387</v>
      </c>
      <c r="O1771" s="29"/>
      <c r="P1771" s="29" t="s">
        <v>8896</v>
      </c>
      <c r="Q1771" t="s">
        <v>2038</v>
      </c>
      <c r="R1771" t="s">
        <v>2633</v>
      </c>
      <c r="S1771">
        <v>37</v>
      </c>
      <c r="T1771" s="43" t="str">
        <f t="shared" si="74"/>
        <v>2021.082B.R.Tevens_new_families.zip</v>
      </c>
      <c r="U1771" s="43" t="str">
        <f>HYPERLINK("https://ictv.global/taxonomy/taxondetails?taxnode_id=202211998","ictv.global=202211998")</f>
        <v>ictv.global=202211998</v>
      </c>
    </row>
    <row r="1772" spans="1:21">
      <c r="A1772">
        <v>1771</v>
      </c>
      <c r="B1772" s="29" t="s">
        <v>3682</v>
      </c>
      <c r="C1772" s="29"/>
      <c r="D1772" s="29" t="s">
        <v>3683</v>
      </c>
      <c r="E1772" s="29"/>
      <c r="F1772" s="29" t="s">
        <v>3686</v>
      </c>
      <c r="G1772" s="29"/>
      <c r="H1772" s="29" t="s">
        <v>3687</v>
      </c>
      <c r="I1772" s="29"/>
      <c r="J1772" s="29"/>
      <c r="K1772" s="29"/>
      <c r="L1772" s="29" t="s">
        <v>8811</v>
      </c>
      <c r="M1772" s="29" t="s">
        <v>999</v>
      </c>
      <c r="N1772" s="29" t="s">
        <v>3387</v>
      </c>
      <c r="O1772" s="29"/>
      <c r="P1772" s="29" t="s">
        <v>8897</v>
      </c>
      <c r="Q1772" t="s">
        <v>2038</v>
      </c>
      <c r="R1772" t="s">
        <v>2632</v>
      </c>
      <c r="S1772">
        <v>37</v>
      </c>
      <c r="T1772" s="43" t="str">
        <f t="shared" si="74"/>
        <v>2021.082B.R.Tevens_new_families.zip</v>
      </c>
      <c r="U1772" s="43" t="str">
        <f>HYPERLINK("https://ictv.global/taxonomy/taxondetails?taxnode_id=202213947","ictv.global=202213947")</f>
        <v>ictv.global=202213947</v>
      </c>
    </row>
    <row r="1773" spans="1:21">
      <c r="A1773">
        <v>1772</v>
      </c>
      <c r="B1773" s="29" t="s">
        <v>3682</v>
      </c>
      <c r="C1773" s="29"/>
      <c r="D1773" s="29" t="s">
        <v>3683</v>
      </c>
      <c r="E1773" s="29"/>
      <c r="F1773" s="29" t="s">
        <v>3686</v>
      </c>
      <c r="G1773" s="29"/>
      <c r="H1773" s="29" t="s">
        <v>3687</v>
      </c>
      <c r="I1773" s="29"/>
      <c r="J1773" s="29"/>
      <c r="K1773" s="29"/>
      <c r="L1773" s="29" t="s">
        <v>8811</v>
      </c>
      <c r="M1773" s="29" t="s">
        <v>999</v>
      </c>
      <c r="N1773" s="29" t="s">
        <v>3387</v>
      </c>
      <c r="O1773" s="29"/>
      <c r="P1773" s="29" t="s">
        <v>8898</v>
      </c>
      <c r="Q1773" t="s">
        <v>2038</v>
      </c>
      <c r="R1773" t="s">
        <v>2633</v>
      </c>
      <c r="S1773">
        <v>37</v>
      </c>
      <c r="T1773" s="43" t="str">
        <f t="shared" si="74"/>
        <v>2021.082B.R.Tevens_new_families.zip</v>
      </c>
      <c r="U1773" s="43" t="str">
        <f>HYPERLINK("https://ictv.global/taxonomy/taxondetails?taxnode_id=202211989","ictv.global=202211989")</f>
        <v>ictv.global=202211989</v>
      </c>
    </row>
    <row r="1774" spans="1:21">
      <c r="A1774">
        <v>1773</v>
      </c>
      <c r="B1774" s="29" t="s">
        <v>3682</v>
      </c>
      <c r="C1774" s="29"/>
      <c r="D1774" s="29" t="s">
        <v>3683</v>
      </c>
      <c r="E1774" s="29"/>
      <c r="F1774" s="29" t="s">
        <v>3686</v>
      </c>
      <c r="G1774" s="29"/>
      <c r="H1774" s="29" t="s">
        <v>3687</v>
      </c>
      <c r="I1774" s="29"/>
      <c r="J1774" s="29"/>
      <c r="K1774" s="29"/>
      <c r="L1774" s="29" t="s">
        <v>8811</v>
      </c>
      <c r="M1774" s="29" t="s">
        <v>999</v>
      </c>
      <c r="N1774" s="29" t="s">
        <v>3387</v>
      </c>
      <c r="O1774" s="29"/>
      <c r="P1774" s="29" t="s">
        <v>8899</v>
      </c>
      <c r="Q1774" t="s">
        <v>2038</v>
      </c>
      <c r="R1774" t="s">
        <v>2633</v>
      </c>
      <c r="S1774">
        <v>37</v>
      </c>
      <c r="T1774" s="43" t="str">
        <f t="shared" si="74"/>
        <v>2021.082B.R.Tevens_new_families.zip</v>
      </c>
      <c r="U1774" s="43" t="str">
        <f>HYPERLINK("https://ictv.global/taxonomy/taxondetails?taxnode_id=202211979","ictv.global=202211979")</f>
        <v>ictv.global=202211979</v>
      </c>
    </row>
    <row r="1775" spans="1:21">
      <c r="A1775">
        <v>1774</v>
      </c>
      <c r="B1775" s="29" t="s">
        <v>3682</v>
      </c>
      <c r="C1775" s="29"/>
      <c r="D1775" s="29" t="s">
        <v>3683</v>
      </c>
      <c r="E1775" s="29"/>
      <c r="F1775" s="29" t="s">
        <v>3686</v>
      </c>
      <c r="G1775" s="29"/>
      <c r="H1775" s="29" t="s">
        <v>3687</v>
      </c>
      <c r="I1775" s="29"/>
      <c r="J1775" s="29"/>
      <c r="K1775" s="29"/>
      <c r="L1775" s="29" t="s">
        <v>8811</v>
      </c>
      <c r="M1775" s="29" t="s">
        <v>999</v>
      </c>
      <c r="N1775" s="29" t="s">
        <v>3387</v>
      </c>
      <c r="O1775" s="29"/>
      <c r="P1775" s="29" t="s">
        <v>8900</v>
      </c>
      <c r="Q1775" t="s">
        <v>2038</v>
      </c>
      <c r="R1775" t="s">
        <v>2633</v>
      </c>
      <c r="S1775">
        <v>37</v>
      </c>
      <c r="T1775" s="43" t="str">
        <f t="shared" si="74"/>
        <v>2021.082B.R.Tevens_new_families.zip</v>
      </c>
      <c r="U1775" s="43" t="str">
        <f>HYPERLINK("https://ictv.global/taxonomy/taxondetails?taxnode_id=202212016","ictv.global=202212016")</f>
        <v>ictv.global=202212016</v>
      </c>
    </row>
    <row r="1776" spans="1:21">
      <c r="A1776">
        <v>1775</v>
      </c>
      <c r="B1776" s="29" t="s">
        <v>3682</v>
      </c>
      <c r="C1776" s="29"/>
      <c r="D1776" s="29" t="s">
        <v>3683</v>
      </c>
      <c r="E1776" s="29"/>
      <c r="F1776" s="29" t="s">
        <v>3686</v>
      </c>
      <c r="G1776" s="29"/>
      <c r="H1776" s="29" t="s">
        <v>3687</v>
      </c>
      <c r="I1776" s="29"/>
      <c r="J1776" s="29"/>
      <c r="K1776" s="29"/>
      <c r="L1776" s="29" t="s">
        <v>8811</v>
      </c>
      <c r="M1776" s="29" t="s">
        <v>999</v>
      </c>
      <c r="N1776" s="29" t="s">
        <v>3387</v>
      </c>
      <c r="O1776" s="29"/>
      <c r="P1776" s="29" t="s">
        <v>8901</v>
      </c>
      <c r="Q1776" t="s">
        <v>2038</v>
      </c>
      <c r="R1776" t="s">
        <v>2632</v>
      </c>
      <c r="S1776">
        <v>37</v>
      </c>
      <c r="T1776" s="43" t="str">
        <f t="shared" si="74"/>
        <v>2021.082B.R.Tevens_new_families.zip</v>
      </c>
      <c r="U1776" s="43" t="str">
        <f>HYPERLINK("https://ictv.global/taxonomy/taxondetails?taxnode_id=202213954","ictv.global=202213954")</f>
        <v>ictv.global=202213954</v>
      </c>
    </row>
    <row r="1777" spans="1:21">
      <c r="A1777">
        <v>1776</v>
      </c>
      <c r="B1777" s="29" t="s">
        <v>3682</v>
      </c>
      <c r="C1777" s="29"/>
      <c r="D1777" s="29" t="s">
        <v>3683</v>
      </c>
      <c r="E1777" s="29"/>
      <c r="F1777" s="29" t="s">
        <v>3686</v>
      </c>
      <c r="G1777" s="29"/>
      <c r="H1777" s="29" t="s">
        <v>3687</v>
      </c>
      <c r="I1777" s="29"/>
      <c r="J1777" s="29"/>
      <c r="K1777" s="29"/>
      <c r="L1777" s="29" t="s">
        <v>8811</v>
      </c>
      <c r="M1777" s="29" t="s">
        <v>999</v>
      </c>
      <c r="N1777" s="29" t="s">
        <v>3387</v>
      </c>
      <c r="O1777" s="29"/>
      <c r="P1777" s="29" t="s">
        <v>8902</v>
      </c>
      <c r="Q1777" t="s">
        <v>2038</v>
      </c>
      <c r="R1777" t="s">
        <v>2632</v>
      </c>
      <c r="S1777">
        <v>37</v>
      </c>
      <c r="T1777" s="43" t="str">
        <f t="shared" si="74"/>
        <v>2021.082B.R.Tevens_new_families.zip</v>
      </c>
      <c r="U1777" s="43" t="str">
        <f>HYPERLINK("https://ictv.global/taxonomy/taxondetails?taxnode_id=202213951","ictv.global=202213951")</f>
        <v>ictv.global=202213951</v>
      </c>
    </row>
    <row r="1778" spans="1:21">
      <c r="A1778">
        <v>1777</v>
      </c>
      <c r="B1778" s="29" t="s">
        <v>3682</v>
      </c>
      <c r="C1778" s="29"/>
      <c r="D1778" s="29" t="s">
        <v>3683</v>
      </c>
      <c r="E1778" s="29"/>
      <c r="F1778" s="29" t="s">
        <v>3686</v>
      </c>
      <c r="G1778" s="29"/>
      <c r="H1778" s="29" t="s">
        <v>3687</v>
      </c>
      <c r="I1778" s="29"/>
      <c r="J1778" s="29"/>
      <c r="K1778" s="29"/>
      <c r="L1778" s="29" t="s">
        <v>8811</v>
      </c>
      <c r="M1778" s="29" t="s">
        <v>999</v>
      </c>
      <c r="N1778" s="29" t="s">
        <v>3387</v>
      </c>
      <c r="O1778" s="29"/>
      <c r="P1778" s="29" t="s">
        <v>8903</v>
      </c>
      <c r="Q1778" t="s">
        <v>2038</v>
      </c>
      <c r="R1778" t="s">
        <v>2633</v>
      </c>
      <c r="S1778">
        <v>37</v>
      </c>
      <c r="T1778" s="43" t="str">
        <f t="shared" si="74"/>
        <v>2021.082B.R.Tevens_new_families.zip</v>
      </c>
      <c r="U1778" s="43" t="str">
        <f>HYPERLINK("https://ictv.global/taxonomy/taxondetails?taxnode_id=202211992","ictv.global=202211992")</f>
        <v>ictv.global=202211992</v>
      </c>
    </row>
    <row r="1779" spans="1:21">
      <c r="A1779">
        <v>1778</v>
      </c>
      <c r="B1779" s="29" t="s">
        <v>3682</v>
      </c>
      <c r="C1779" s="29"/>
      <c r="D1779" s="29" t="s">
        <v>3683</v>
      </c>
      <c r="E1779" s="29"/>
      <c r="F1779" s="29" t="s">
        <v>3686</v>
      </c>
      <c r="G1779" s="29"/>
      <c r="H1779" s="29" t="s">
        <v>3687</v>
      </c>
      <c r="I1779" s="29"/>
      <c r="J1779" s="29"/>
      <c r="K1779" s="29"/>
      <c r="L1779" s="29" t="s">
        <v>8811</v>
      </c>
      <c r="M1779" s="29" t="s">
        <v>999</v>
      </c>
      <c r="N1779" s="29" t="s">
        <v>3387</v>
      </c>
      <c r="O1779" s="29"/>
      <c r="P1779" s="29" t="s">
        <v>8904</v>
      </c>
      <c r="Q1779" t="s">
        <v>2038</v>
      </c>
      <c r="R1779" t="s">
        <v>2633</v>
      </c>
      <c r="S1779">
        <v>37</v>
      </c>
      <c r="T1779" s="43" t="str">
        <f t="shared" si="74"/>
        <v>2021.082B.R.Tevens_new_families.zip</v>
      </c>
      <c r="U1779" s="43" t="str">
        <f>HYPERLINK("https://ictv.global/taxonomy/taxondetails?taxnode_id=202211990","ictv.global=202211990")</f>
        <v>ictv.global=202211990</v>
      </c>
    </row>
    <row r="1780" spans="1:21">
      <c r="A1780">
        <v>1779</v>
      </c>
      <c r="B1780" s="29" t="s">
        <v>3682</v>
      </c>
      <c r="C1780" s="29"/>
      <c r="D1780" s="29" t="s">
        <v>3683</v>
      </c>
      <c r="E1780" s="29"/>
      <c r="F1780" s="29" t="s">
        <v>3686</v>
      </c>
      <c r="G1780" s="29"/>
      <c r="H1780" s="29" t="s">
        <v>3687</v>
      </c>
      <c r="I1780" s="29"/>
      <c r="J1780" s="29"/>
      <c r="K1780" s="29"/>
      <c r="L1780" s="29" t="s">
        <v>8811</v>
      </c>
      <c r="M1780" s="29" t="s">
        <v>999</v>
      </c>
      <c r="N1780" s="29" t="s">
        <v>3387</v>
      </c>
      <c r="O1780" s="29"/>
      <c r="P1780" s="29" t="s">
        <v>8905</v>
      </c>
      <c r="Q1780" t="s">
        <v>2038</v>
      </c>
      <c r="R1780" t="s">
        <v>2633</v>
      </c>
      <c r="S1780">
        <v>37</v>
      </c>
      <c r="T1780" s="43" t="str">
        <f t="shared" si="74"/>
        <v>2021.082B.R.Tevens_new_families.zip</v>
      </c>
      <c r="U1780" s="43" t="str">
        <f>HYPERLINK("https://ictv.global/taxonomy/taxondetails?taxnode_id=202211991","ictv.global=202211991")</f>
        <v>ictv.global=202211991</v>
      </c>
    </row>
    <row r="1781" spans="1:21">
      <c r="A1781">
        <v>1780</v>
      </c>
      <c r="B1781" s="29" t="s">
        <v>3682</v>
      </c>
      <c r="C1781" s="29"/>
      <c r="D1781" s="29" t="s">
        <v>3683</v>
      </c>
      <c r="E1781" s="29"/>
      <c r="F1781" s="29" t="s">
        <v>3686</v>
      </c>
      <c r="G1781" s="29"/>
      <c r="H1781" s="29" t="s">
        <v>3687</v>
      </c>
      <c r="I1781" s="29"/>
      <c r="J1781" s="29"/>
      <c r="K1781" s="29"/>
      <c r="L1781" s="29" t="s">
        <v>8811</v>
      </c>
      <c r="M1781" s="29" t="s">
        <v>999</v>
      </c>
      <c r="N1781" s="29" t="s">
        <v>3387</v>
      </c>
      <c r="O1781" s="29"/>
      <c r="P1781" s="29" t="s">
        <v>8906</v>
      </c>
      <c r="Q1781" t="s">
        <v>2038</v>
      </c>
      <c r="R1781" t="s">
        <v>2633</v>
      </c>
      <c r="S1781">
        <v>37</v>
      </c>
      <c r="T1781" s="43" t="str">
        <f t="shared" si="74"/>
        <v>2021.082B.R.Tevens_new_families.zip</v>
      </c>
      <c r="U1781" s="43" t="str">
        <f>HYPERLINK("https://ictv.global/taxonomy/taxondetails?taxnode_id=202211994","ictv.global=202211994")</f>
        <v>ictv.global=202211994</v>
      </c>
    </row>
    <row r="1782" spans="1:21">
      <c r="A1782">
        <v>1781</v>
      </c>
      <c r="B1782" s="29" t="s">
        <v>3682</v>
      </c>
      <c r="C1782" s="29"/>
      <c r="D1782" s="29" t="s">
        <v>3683</v>
      </c>
      <c r="E1782" s="29"/>
      <c r="F1782" s="29" t="s">
        <v>3686</v>
      </c>
      <c r="G1782" s="29"/>
      <c r="H1782" s="29" t="s">
        <v>3687</v>
      </c>
      <c r="I1782" s="29"/>
      <c r="J1782" s="29"/>
      <c r="K1782" s="29"/>
      <c r="L1782" s="29" t="s">
        <v>8811</v>
      </c>
      <c r="M1782" s="29" t="s">
        <v>999</v>
      </c>
      <c r="N1782" s="29" t="s">
        <v>3387</v>
      </c>
      <c r="O1782" s="29"/>
      <c r="P1782" s="29" t="s">
        <v>8907</v>
      </c>
      <c r="Q1782" t="s">
        <v>2038</v>
      </c>
      <c r="R1782" t="s">
        <v>2633</v>
      </c>
      <c r="S1782">
        <v>37</v>
      </c>
      <c r="T1782" s="43" t="str">
        <f t="shared" si="74"/>
        <v>2021.082B.R.Tevens_new_families.zip</v>
      </c>
      <c r="U1782" s="43" t="str">
        <f>HYPERLINK("https://ictv.global/taxonomy/taxondetails?taxnode_id=202211993","ictv.global=202211993")</f>
        <v>ictv.global=202211993</v>
      </c>
    </row>
    <row r="1783" spans="1:21">
      <c r="A1783">
        <v>1782</v>
      </c>
      <c r="B1783" s="29" t="s">
        <v>3682</v>
      </c>
      <c r="C1783" s="29"/>
      <c r="D1783" s="29" t="s">
        <v>3683</v>
      </c>
      <c r="E1783" s="29"/>
      <c r="F1783" s="29" t="s">
        <v>3686</v>
      </c>
      <c r="G1783" s="29"/>
      <c r="H1783" s="29" t="s">
        <v>3687</v>
      </c>
      <c r="I1783" s="29"/>
      <c r="J1783" s="29"/>
      <c r="K1783" s="29"/>
      <c r="L1783" s="29" t="s">
        <v>8811</v>
      </c>
      <c r="M1783" s="29" t="s">
        <v>999</v>
      </c>
      <c r="N1783" s="29" t="s">
        <v>3387</v>
      </c>
      <c r="O1783" s="29"/>
      <c r="P1783" s="29" t="s">
        <v>8908</v>
      </c>
      <c r="Q1783" t="s">
        <v>2038</v>
      </c>
      <c r="R1783" t="s">
        <v>2633</v>
      </c>
      <c r="S1783">
        <v>37</v>
      </c>
      <c r="T1783" s="43" t="str">
        <f t="shared" si="74"/>
        <v>2021.082B.R.Tevens_new_families.zip</v>
      </c>
      <c r="U1783" s="43" t="str">
        <f>HYPERLINK("https://ictv.global/taxonomy/taxondetails?taxnode_id=202211970","ictv.global=202211970")</f>
        <v>ictv.global=202211970</v>
      </c>
    </row>
    <row r="1784" spans="1:21">
      <c r="A1784">
        <v>1783</v>
      </c>
      <c r="B1784" s="29" t="s">
        <v>3682</v>
      </c>
      <c r="C1784" s="29"/>
      <c r="D1784" s="29" t="s">
        <v>3683</v>
      </c>
      <c r="E1784" s="29"/>
      <c r="F1784" s="29" t="s">
        <v>3686</v>
      </c>
      <c r="G1784" s="29"/>
      <c r="H1784" s="29" t="s">
        <v>3687</v>
      </c>
      <c r="I1784" s="29"/>
      <c r="J1784" s="29"/>
      <c r="K1784" s="29"/>
      <c r="L1784" s="29" t="s">
        <v>8811</v>
      </c>
      <c r="M1784" s="29" t="s">
        <v>999</v>
      </c>
      <c r="N1784" s="29" t="s">
        <v>3387</v>
      </c>
      <c r="O1784" s="29"/>
      <c r="P1784" s="29" t="s">
        <v>8909</v>
      </c>
      <c r="Q1784" t="s">
        <v>2038</v>
      </c>
      <c r="R1784" t="s">
        <v>2633</v>
      </c>
      <c r="S1784">
        <v>37</v>
      </c>
      <c r="T1784" s="43" t="str">
        <f t="shared" si="74"/>
        <v>2021.082B.R.Tevens_new_families.zip</v>
      </c>
      <c r="U1784" s="43" t="str">
        <f>HYPERLINK("https://ictv.global/taxonomy/taxondetails?taxnode_id=202200328","ictv.global=202200328")</f>
        <v>ictv.global=202200328</v>
      </c>
    </row>
    <row r="1785" spans="1:21">
      <c r="A1785">
        <v>1784</v>
      </c>
      <c r="B1785" s="29" t="s">
        <v>3682</v>
      </c>
      <c r="C1785" s="29"/>
      <c r="D1785" s="29" t="s">
        <v>3683</v>
      </c>
      <c r="E1785" s="29"/>
      <c r="F1785" s="29" t="s">
        <v>3686</v>
      </c>
      <c r="G1785" s="29"/>
      <c r="H1785" s="29" t="s">
        <v>3687</v>
      </c>
      <c r="I1785" s="29"/>
      <c r="J1785" s="29"/>
      <c r="K1785" s="29"/>
      <c r="L1785" s="29" t="s">
        <v>8811</v>
      </c>
      <c r="M1785" s="29" t="s">
        <v>999</v>
      </c>
      <c r="N1785" s="29" t="s">
        <v>3387</v>
      </c>
      <c r="O1785" s="29"/>
      <c r="P1785" s="29" t="s">
        <v>8910</v>
      </c>
      <c r="Q1785" t="s">
        <v>2038</v>
      </c>
      <c r="R1785" t="s">
        <v>2633</v>
      </c>
      <c r="S1785">
        <v>37</v>
      </c>
      <c r="T1785" s="43" t="str">
        <f t="shared" si="74"/>
        <v>2021.082B.R.Tevens_new_families.zip</v>
      </c>
      <c r="U1785" s="43" t="str">
        <f>HYPERLINK("https://ictv.global/taxonomy/taxondetails?taxnode_id=202207049","ictv.global=202207049")</f>
        <v>ictv.global=202207049</v>
      </c>
    </row>
    <row r="1786" spans="1:21">
      <c r="A1786">
        <v>1785</v>
      </c>
      <c r="B1786" s="29" t="s">
        <v>3682</v>
      </c>
      <c r="C1786" s="29"/>
      <c r="D1786" s="29" t="s">
        <v>3683</v>
      </c>
      <c r="E1786" s="29"/>
      <c r="F1786" s="29" t="s">
        <v>3686</v>
      </c>
      <c r="G1786" s="29"/>
      <c r="H1786" s="29" t="s">
        <v>3687</v>
      </c>
      <c r="I1786" s="29"/>
      <c r="J1786" s="29"/>
      <c r="K1786" s="29"/>
      <c r="L1786" s="29" t="s">
        <v>8811</v>
      </c>
      <c r="M1786" s="29" t="s">
        <v>999</v>
      </c>
      <c r="N1786" s="29" t="s">
        <v>3387</v>
      </c>
      <c r="O1786" s="29"/>
      <c r="P1786" s="29" t="s">
        <v>8911</v>
      </c>
      <c r="Q1786" t="s">
        <v>2038</v>
      </c>
      <c r="R1786" t="s">
        <v>2633</v>
      </c>
      <c r="S1786">
        <v>37</v>
      </c>
      <c r="T1786" s="43" t="str">
        <f t="shared" si="74"/>
        <v>2021.082B.R.Tevens_new_families.zip</v>
      </c>
      <c r="U1786" s="43" t="str">
        <f>HYPERLINK("https://ictv.global/taxonomy/taxondetails?taxnode_id=202200329","ictv.global=202200329")</f>
        <v>ictv.global=202200329</v>
      </c>
    </row>
    <row r="1787" spans="1:21">
      <c r="A1787">
        <v>1786</v>
      </c>
      <c r="B1787" s="29" t="s">
        <v>3682</v>
      </c>
      <c r="C1787" s="29"/>
      <c r="D1787" s="29" t="s">
        <v>3683</v>
      </c>
      <c r="E1787" s="29"/>
      <c r="F1787" s="29" t="s">
        <v>3686</v>
      </c>
      <c r="G1787" s="29"/>
      <c r="H1787" s="29" t="s">
        <v>3687</v>
      </c>
      <c r="I1787" s="29"/>
      <c r="J1787" s="29"/>
      <c r="K1787" s="29"/>
      <c r="L1787" s="29" t="s">
        <v>8811</v>
      </c>
      <c r="M1787" s="29" t="s">
        <v>999</v>
      </c>
      <c r="N1787" s="29" t="s">
        <v>3387</v>
      </c>
      <c r="O1787" s="29"/>
      <c r="P1787" s="29" t="s">
        <v>8912</v>
      </c>
      <c r="Q1787" t="s">
        <v>2038</v>
      </c>
      <c r="R1787" t="s">
        <v>2633</v>
      </c>
      <c r="S1787">
        <v>37</v>
      </c>
      <c r="T1787" s="43" t="str">
        <f t="shared" ref="T1787:T1815" si="75">HYPERLINK("https://ictv.global/ictv/proposals/2021.082B.R.Tevens_new_families.zip","2021.082B.R.Tevens_new_families.zip")</f>
        <v>2021.082B.R.Tevens_new_families.zip</v>
      </c>
      <c r="U1787" s="43" t="str">
        <f>HYPERLINK("https://ictv.global/taxonomy/taxondetails?taxnode_id=202211995","ictv.global=202211995")</f>
        <v>ictv.global=202211995</v>
      </c>
    </row>
    <row r="1788" spans="1:21">
      <c r="A1788">
        <v>1787</v>
      </c>
      <c r="B1788" s="29" t="s">
        <v>3682</v>
      </c>
      <c r="C1788" s="29"/>
      <c r="D1788" s="29" t="s">
        <v>3683</v>
      </c>
      <c r="E1788" s="29"/>
      <c r="F1788" s="29" t="s">
        <v>3686</v>
      </c>
      <c r="G1788" s="29"/>
      <c r="H1788" s="29" t="s">
        <v>3687</v>
      </c>
      <c r="I1788" s="29"/>
      <c r="J1788" s="29"/>
      <c r="K1788" s="29"/>
      <c r="L1788" s="29" t="s">
        <v>8811</v>
      </c>
      <c r="M1788" s="29" t="s">
        <v>999</v>
      </c>
      <c r="N1788" s="29" t="s">
        <v>3387</v>
      </c>
      <c r="O1788" s="29"/>
      <c r="P1788" s="29" t="s">
        <v>8913</v>
      </c>
      <c r="Q1788" t="s">
        <v>2038</v>
      </c>
      <c r="R1788" t="s">
        <v>2633</v>
      </c>
      <c r="S1788">
        <v>37</v>
      </c>
      <c r="T1788" s="43" t="str">
        <f t="shared" si="75"/>
        <v>2021.082B.R.Tevens_new_families.zip</v>
      </c>
      <c r="U1788" s="43" t="str">
        <f>HYPERLINK("https://ictv.global/taxonomy/taxondetails?taxnode_id=202212010","ictv.global=202212010")</f>
        <v>ictv.global=202212010</v>
      </c>
    </row>
    <row r="1789" spans="1:21">
      <c r="A1789">
        <v>1788</v>
      </c>
      <c r="B1789" s="29" t="s">
        <v>3682</v>
      </c>
      <c r="C1789" s="29"/>
      <c r="D1789" s="29" t="s">
        <v>3683</v>
      </c>
      <c r="E1789" s="29"/>
      <c r="F1789" s="29" t="s">
        <v>3686</v>
      </c>
      <c r="G1789" s="29"/>
      <c r="H1789" s="29" t="s">
        <v>3687</v>
      </c>
      <c r="I1789" s="29"/>
      <c r="J1789" s="29"/>
      <c r="K1789" s="29"/>
      <c r="L1789" s="29" t="s">
        <v>8811</v>
      </c>
      <c r="M1789" s="29" t="s">
        <v>999</v>
      </c>
      <c r="N1789" s="29" t="s">
        <v>3387</v>
      </c>
      <c r="O1789" s="29"/>
      <c r="P1789" s="29" t="s">
        <v>8914</v>
      </c>
      <c r="Q1789" t="s">
        <v>2038</v>
      </c>
      <c r="R1789" t="s">
        <v>2633</v>
      </c>
      <c r="S1789">
        <v>37</v>
      </c>
      <c r="T1789" s="43" t="str">
        <f t="shared" si="75"/>
        <v>2021.082B.R.Tevens_new_families.zip</v>
      </c>
      <c r="U1789" s="43" t="str">
        <f>HYPERLINK("https://ictv.global/taxonomy/taxondetails?taxnode_id=202211996","ictv.global=202211996")</f>
        <v>ictv.global=202211996</v>
      </c>
    </row>
    <row r="1790" spans="1:21">
      <c r="A1790">
        <v>1789</v>
      </c>
      <c r="B1790" s="29" t="s">
        <v>3682</v>
      </c>
      <c r="C1790" s="29"/>
      <c r="D1790" s="29" t="s">
        <v>3683</v>
      </c>
      <c r="E1790" s="29"/>
      <c r="F1790" s="29" t="s">
        <v>3686</v>
      </c>
      <c r="G1790" s="29"/>
      <c r="H1790" s="29" t="s">
        <v>3687</v>
      </c>
      <c r="I1790" s="29"/>
      <c r="J1790" s="29"/>
      <c r="K1790" s="29"/>
      <c r="L1790" s="29" t="s">
        <v>8811</v>
      </c>
      <c r="M1790" s="29" t="s">
        <v>999</v>
      </c>
      <c r="N1790" s="29" t="s">
        <v>3387</v>
      </c>
      <c r="O1790" s="29"/>
      <c r="P1790" s="29" t="s">
        <v>8915</v>
      </c>
      <c r="Q1790" t="s">
        <v>2038</v>
      </c>
      <c r="R1790" t="s">
        <v>2633</v>
      </c>
      <c r="S1790">
        <v>37</v>
      </c>
      <c r="T1790" s="43" t="str">
        <f t="shared" si="75"/>
        <v>2021.082B.R.Tevens_new_families.zip</v>
      </c>
      <c r="U1790" s="43" t="str">
        <f>HYPERLINK("https://ictv.global/taxonomy/taxondetails?taxnode_id=202211971","ictv.global=202211971")</f>
        <v>ictv.global=202211971</v>
      </c>
    </row>
    <row r="1791" spans="1:21">
      <c r="A1791">
        <v>1790</v>
      </c>
      <c r="B1791" s="29" t="s">
        <v>3682</v>
      </c>
      <c r="C1791" s="29"/>
      <c r="D1791" s="29" t="s">
        <v>3683</v>
      </c>
      <c r="E1791" s="29"/>
      <c r="F1791" s="29" t="s">
        <v>3686</v>
      </c>
      <c r="G1791" s="29"/>
      <c r="H1791" s="29" t="s">
        <v>3687</v>
      </c>
      <c r="I1791" s="29"/>
      <c r="J1791" s="29"/>
      <c r="K1791" s="29"/>
      <c r="L1791" s="29" t="s">
        <v>8811</v>
      </c>
      <c r="M1791" s="29" t="s">
        <v>999</v>
      </c>
      <c r="N1791" s="29" t="s">
        <v>3387</v>
      </c>
      <c r="O1791" s="29"/>
      <c r="P1791" s="29" t="s">
        <v>8916</v>
      </c>
      <c r="Q1791" t="s">
        <v>2038</v>
      </c>
      <c r="R1791" t="s">
        <v>2633</v>
      </c>
      <c r="S1791">
        <v>37</v>
      </c>
      <c r="T1791" s="43" t="str">
        <f t="shared" si="75"/>
        <v>2021.082B.R.Tevens_new_families.zip</v>
      </c>
      <c r="U1791" s="43" t="str">
        <f>HYPERLINK("https://ictv.global/taxonomy/taxondetails?taxnode_id=202211980","ictv.global=202211980")</f>
        <v>ictv.global=202211980</v>
      </c>
    </row>
    <row r="1792" spans="1:21">
      <c r="A1792">
        <v>1791</v>
      </c>
      <c r="B1792" s="29" t="s">
        <v>3682</v>
      </c>
      <c r="C1792" s="29"/>
      <c r="D1792" s="29" t="s">
        <v>3683</v>
      </c>
      <c r="E1792" s="29"/>
      <c r="F1792" s="29" t="s">
        <v>3686</v>
      </c>
      <c r="G1792" s="29"/>
      <c r="H1792" s="29" t="s">
        <v>3687</v>
      </c>
      <c r="I1792" s="29"/>
      <c r="J1792" s="29"/>
      <c r="K1792" s="29"/>
      <c r="L1792" s="29" t="s">
        <v>8811</v>
      </c>
      <c r="M1792" s="29" t="s">
        <v>999</v>
      </c>
      <c r="N1792" s="29" t="s">
        <v>3387</v>
      </c>
      <c r="O1792" s="29"/>
      <c r="P1792" s="29" t="s">
        <v>8917</v>
      </c>
      <c r="Q1792" t="s">
        <v>2038</v>
      </c>
      <c r="R1792" t="s">
        <v>2632</v>
      </c>
      <c r="S1792">
        <v>37</v>
      </c>
      <c r="T1792" s="43" t="str">
        <f t="shared" si="75"/>
        <v>2021.082B.R.Tevens_new_families.zip</v>
      </c>
      <c r="U1792" s="43" t="str">
        <f>HYPERLINK("https://ictv.global/taxonomy/taxondetails?taxnode_id=202213948","ictv.global=202213948")</f>
        <v>ictv.global=202213948</v>
      </c>
    </row>
    <row r="1793" spans="1:21">
      <c r="A1793">
        <v>1792</v>
      </c>
      <c r="B1793" s="29" t="s">
        <v>3682</v>
      </c>
      <c r="C1793" s="29"/>
      <c r="D1793" s="29" t="s">
        <v>3683</v>
      </c>
      <c r="E1793" s="29"/>
      <c r="F1793" s="29" t="s">
        <v>3686</v>
      </c>
      <c r="G1793" s="29"/>
      <c r="H1793" s="29" t="s">
        <v>3687</v>
      </c>
      <c r="I1793" s="29"/>
      <c r="J1793" s="29"/>
      <c r="K1793" s="29"/>
      <c r="L1793" s="29" t="s">
        <v>8811</v>
      </c>
      <c r="M1793" s="29" t="s">
        <v>999</v>
      </c>
      <c r="N1793" s="29" t="s">
        <v>3387</v>
      </c>
      <c r="O1793" s="29"/>
      <c r="P1793" s="29" t="s">
        <v>8918</v>
      </c>
      <c r="Q1793" t="s">
        <v>2038</v>
      </c>
      <c r="R1793" t="s">
        <v>2633</v>
      </c>
      <c r="S1793">
        <v>37</v>
      </c>
      <c r="T1793" s="43" t="str">
        <f t="shared" si="75"/>
        <v>2021.082B.R.Tevens_new_families.zip</v>
      </c>
      <c r="U1793" s="43" t="str">
        <f>HYPERLINK("https://ictv.global/taxonomy/taxondetails?taxnode_id=202211997","ictv.global=202211997")</f>
        <v>ictv.global=202211997</v>
      </c>
    </row>
    <row r="1794" spans="1:21">
      <c r="A1794">
        <v>1793</v>
      </c>
      <c r="B1794" s="29" t="s">
        <v>3682</v>
      </c>
      <c r="C1794" s="29"/>
      <c r="D1794" s="29" t="s">
        <v>3683</v>
      </c>
      <c r="E1794" s="29"/>
      <c r="F1794" s="29" t="s">
        <v>3686</v>
      </c>
      <c r="G1794" s="29"/>
      <c r="H1794" s="29" t="s">
        <v>3687</v>
      </c>
      <c r="I1794" s="29"/>
      <c r="J1794" s="29"/>
      <c r="K1794" s="29"/>
      <c r="L1794" s="29" t="s">
        <v>8811</v>
      </c>
      <c r="M1794" s="29" t="s">
        <v>999</v>
      </c>
      <c r="N1794" s="29" t="s">
        <v>3387</v>
      </c>
      <c r="O1794" s="29"/>
      <c r="P1794" s="29" t="s">
        <v>8919</v>
      </c>
      <c r="Q1794" t="s">
        <v>2038</v>
      </c>
      <c r="R1794" t="s">
        <v>2632</v>
      </c>
      <c r="S1794">
        <v>37</v>
      </c>
      <c r="T1794" s="43" t="str">
        <f t="shared" si="75"/>
        <v>2021.082B.R.Tevens_new_families.zip</v>
      </c>
      <c r="U1794" s="43" t="str">
        <f>HYPERLINK("https://ictv.global/taxonomy/taxondetails?taxnode_id=202213953","ictv.global=202213953")</f>
        <v>ictv.global=202213953</v>
      </c>
    </row>
    <row r="1795" spans="1:21">
      <c r="A1795">
        <v>1794</v>
      </c>
      <c r="B1795" s="29" t="s">
        <v>3682</v>
      </c>
      <c r="C1795" s="29"/>
      <c r="D1795" s="29" t="s">
        <v>3683</v>
      </c>
      <c r="E1795" s="29"/>
      <c r="F1795" s="29" t="s">
        <v>3686</v>
      </c>
      <c r="G1795" s="29"/>
      <c r="H1795" s="29" t="s">
        <v>3687</v>
      </c>
      <c r="I1795" s="29"/>
      <c r="J1795" s="29"/>
      <c r="K1795" s="29"/>
      <c r="L1795" s="29" t="s">
        <v>8811</v>
      </c>
      <c r="M1795" s="29" t="s">
        <v>999</v>
      </c>
      <c r="N1795" s="29" t="s">
        <v>3387</v>
      </c>
      <c r="O1795" s="29"/>
      <c r="P1795" s="29" t="s">
        <v>8920</v>
      </c>
      <c r="Q1795" t="s">
        <v>2038</v>
      </c>
      <c r="R1795" t="s">
        <v>2633</v>
      </c>
      <c r="S1795">
        <v>37</v>
      </c>
      <c r="T1795" s="43" t="str">
        <f t="shared" si="75"/>
        <v>2021.082B.R.Tevens_new_families.zip</v>
      </c>
      <c r="U1795" s="43" t="str">
        <f>HYPERLINK("https://ictv.global/taxonomy/taxondetails?taxnode_id=202212005","ictv.global=202212005")</f>
        <v>ictv.global=202212005</v>
      </c>
    </row>
    <row r="1796" spans="1:21">
      <c r="A1796">
        <v>1795</v>
      </c>
      <c r="B1796" s="29" t="s">
        <v>3682</v>
      </c>
      <c r="C1796" s="29"/>
      <c r="D1796" s="29" t="s">
        <v>3683</v>
      </c>
      <c r="E1796" s="29"/>
      <c r="F1796" s="29" t="s">
        <v>3686</v>
      </c>
      <c r="G1796" s="29"/>
      <c r="H1796" s="29" t="s">
        <v>3687</v>
      </c>
      <c r="I1796" s="29"/>
      <c r="J1796" s="29"/>
      <c r="K1796" s="29"/>
      <c r="L1796" s="29" t="s">
        <v>8811</v>
      </c>
      <c r="M1796" s="29" t="s">
        <v>999</v>
      </c>
      <c r="N1796" s="29" t="s">
        <v>3387</v>
      </c>
      <c r="O1796" s="29"/>
      <c r="P1796" s="29" t="s">
        <v>8921</v>
      </c>
      <c r="Q1796" t="s">
        <v>2038</v>
      </c>
      <c r="R1796" t="s">
        <v>2633</v>
      </c>
      <c r="S1796">
        <v>37</v>
      </c>
      <c r="T1796" s="43" t="str">
        <f t="shared" si="75"/>
        <v>2021.082B.R.Tevens_new_families.zip</v>
      </c>
      <c r="U1796" s="43" t="str">
        <f>HYPERLINK("https://ictv.global/taxonomy/taxondetails?taxnode_id=202211999","ictv.global=202211999")</f>
        <v>ictv.global=202211999</v>
      </c>
    </row>
    <row r="1797" spans="1:21">
      <c r="A1797">
        <v>1796</v>
      </c>
      <c r="B1797" s="29" t="s">
        <v>3682</v>
      </c>
      <c r="C1797" s="29"/>
      <c r="D1797" s="29" t="s">
        <v>3683</v>
      </c>
      <c r="E1797" s="29"/>
      <c r="F1797" s="29" t="s">
        <v>3686</v>
      </c>
      <c r="G1797" s="29"/>
      <c r="H1797" s="29" t="s">
        <v>3687</v>
      </c>
      <c r="I1797" s="29"/>
      <c r="J1797" s="29"/>
      <c r="K1797" s="29"/>
      <c r="L1797" s="29" t="s">
        <v>8811</v>
      </c>
      <c r="M1797" s="29" t="s">
        <v>999</v>
      </c>
      <c r="N1797" s="29" t="s">
        <v>3387</v>
      </c>
      <c r="O1797" s="29"/>
      <c r="P1797" s="29" t="s">
        <v>8922</v>
      </c>
      <c r="Q1797" t="s">
        <v>2038</v>
      </c>
      <c r="R1797" t="s">
        <v>2633</v>
      </c>
      <c r="S1797">
        <v>37</v>
      </c>
      <c r="T1797" s="43" t="str">
        <f t="shared" si="75"/>
        <v>2021.082B.R.Tevens_new_families.zip</v>
      </c>
      <c r="U1797" s="43" t="str">
        <f>HYPERLINK("https://ictv.global/taxonomy/taxondetails?taxnode_id=202212000","ictv.global=202212000")</f>
        <v>ictv.global=202212000</v>
      </c>
    </row>
    <row r="1798" spans="1:21">
      <c r="A1798">
        <v>1797</v>
      </c>
      <c r="B1798" s="29" t="s">
        <v>3682</v>
      </c>
      <c r="C1798" s="29"/>
      <c r="D1798" s="29" t="s">
        <v>3683</v>
      </c>
      <c r="E1798" s="29"/>
      <c r="F1798" s="29" t="s">
        <v>3686</v>
      </c>
      <c r="G1798" s="29"/>
      <c r="H1798" s="29" t="s">
        <v>3687</v>
      </c>
      <c r="I1798" s="29"/>
      <c r="J1798" s="29"/>
      <c r="K1798" s="29"/>
      <c r="L1798" s="29" t="s">
        <v>8811</v>
      </c>
      <c r="M1798" s="29" t="s">
        <v>999</v>
      </c>
      <c r="N1798" s="29" t="s">
        <v>3387</v>
      </c>
      <c r="O1798" s="29"/>
      <c r="P1798" s="29" t="s">
        <v>8923</v>
      </c>
      <c r="Q1798" t="s">
        <v>2038</v>
      </c>
      <c r="R1798" t="s">
        <v>2633</v>
      </c>
      <c r="S1798">
        <v>37</v>
      </c>
      <c r="T1798" s="43" t="str">
        <f t="shared" si="75"/>
        <v>2021.082B.R.Tevens_new_families.zip</v>
      </c>
      <c r="U1798" s="43" t="str">
        <f>HYPERLINK("https://ictv.global/taxonomy/taxondetails?taxnode_id=202212003","ictv.global=202212003")</f>
        <v>ictv.global=202212003</v>
      </c>
    </row>
    <row r="1799" spans="1:21">
      <c r="A1799">
        <v>1798</v>
      </c>
      <c r="B1799" s="29" t="s">
        <v>3682</v>
      </c>
      <c r="C1799" s="29"/>
      <c r="D1799" s="29" t="s">
        <v>3683</v>
      </c>
      <c r="E1799" s="29"/>
      <c r="F1799" s="29" t="s">
        <v>3686</v>
      </c>
      <c r="G1799" s="29"/>
      <c r="H1799" s="29" t="s">
        <v>3687</v>
      </c>
      <c r="I1799" s="29"/>
      <c r="J1799" s="29"/>
      <c r="K1799" s="29"/>
      <c r="L1799" s="29" t="s">
        <v>8811</v>
      </c>
      <c r="M1799" s="29" t="s">
        <v>999</v>
      </c>
      <c r="N1799" s="29" t="s">
        <v>3387</v>
      </c>
      <c r="O1799" s="29"/>
      <c r="P1799" s="29" t="s">
        <v>8924</v>
      </c>
      <c r="Q1799" t="s">
        <v>2038</v>
      </c>
      <c r="R1799" t="s">
        <v>2633</v>
      </c>
      <c r="S1799">
        <v>37</v>
      </c>
      <c r="T1799" s="43" t="str">
        <f t="shared" si="75"/>
        <v>2021.082B.R.Tevens_new_families.zip</v>
      </c>
      <c r="U1799" s="43" t="str">
        <f>HYPERLINK("https://ictv.global/taxonomy/taxondetails?taxnode_id=202211981","ictv.global=202211981")</f>
        <v>ictv.global=202211981</v>
      </c>
    </row>
    <row r="1800" spans="1:21">
      <c r="A1800">
        <v>1799</v>
      </c>
      <c r="B1800" s="29" t="s">
        <v>3682</v>
      </c>
      <c r="C1800" s="29"/>
      <c r="D1800" s="29" t="s">
        <v>3683</v>
      </c>
      <c r="E1800" s="29"/>
      <c r="F1800" s="29" t="s">
        <v>3686</v>
      </c>
      <c r="G1800" s="29"/>
      <c r="H1800" s="29" t="s">
        <v>3687</v>
      </c>
      <c r="I1800" s="29"/>
      <c r="J1800" s="29"/>
      <c r="K1800" s="29"/>
      <c r="L1800" s="29" t="s">
        <v>8811</v>
      </c>
      <c r="M1800" s="29" t="s">
        <v>999</v>
      </c>
      <c r="N1800" s="29" t="s">
        <v>3387</v>
      </c>
      <c r="O1800" s="29"/>
      <c r="P1800" s="29" t="s">
        <v>8925</v>
      </c>
      <c r="Q1800" t="s">
        <v>2038</v>
      </c>
      <c r="R1800" t="s">
        <v>2633</v>
      </c>
      <c r="S1800">
        <v>37</v>
      </c>
      <c r="T1800" s="43" t="str">
        <f t="shared" si="75"/>
        <v>2021.082B.R.Tevens_new_families.zip</v>
      </c>
      <c r="U1800" s="43" t="str">
        <f>HYPERLINK("https://ictv.global/taxonomy/taxondetails?taxnode_id=202211982","ictv.global=202211982")</f>
        <v>ictv.global=202211982</v>
      </c>
    </row>
    <row r="1801" spans="1:21">
      <c r="A1801">
        <v>1800</v>
      </c>
      <c r="B1801" s="29" t="s">
        <v>3682</v>
      </c>
      <c r="C1801" s="29"/>
      <c r="D1801" s="29" t="s">
        <v>3683</v>
      </c>
      <c r="E1801" s="29"/>
      <c r="F1801" s="29" t="s">
        <v>3686</v>
      </c>
      <c r="G1801" s="29"/>
      <c r="H1801" s="29" t="s">
        <v>3687</v>
      </c>
      <c r="I1801" s="29"/>
      <c r="J1801" s="29"/>
      <c r="K1801" s="29"/>
      <c r="L1801" s="29" t="s">
        <v>8811</v>
      </c>
      <c r="M1801" s="29" t="s">
        <v>999</v>
      </c>
      <c r="N1801" s="29" t="s">
        <v>3387</v>
      </c>
      <c r="O1801" s="29"/>
      <c r="P1801" s="29" t="s">
        <v>8926</v>
      </c>
      <c r="Q1801" t="s">
        <v>2038</v>
      </c>
      <c r="R1801" t="s">
        <v>2633</v>
      </c>
      <c r="S1801">
        <v>37</v>
      </c>
      <c r="T1801" s="43" t="str">
        <f t="shared" si="75"/>
        <v>2021.082B.R.Tevens_new_families.zip</v>
      </c>
      <c r="U1801" s="43" t="str">
        <f>HYPERLINK("https://ictv.global/taxonomy/taxondetails?taxnode_id=202200333","ictv.global=202200333")</f>
        <v>ictv.global=202200333</v>
      </c>
    </row>
    <row r="1802" spans="1:21">
      <c r="A1802">
        <v>1801</v>
      </c>
      <c r="B1802" s="29" t="s">
        <v>3682</v>
      </c>
      <c r="C1802" s="29"/>
      <c r="D1802" s="29" t="s">
        <v>3683</v>
      </c>
      <c r="E1802" s="29"/>
      <c r="F1802" s="29" t="s">
        <v>3686</v>
      </c>
      <c r="G1802" s="29"/>
      <c r="H1802" s="29" t="s">
        <v>3687</v>
      </c>
      <c r="I1802" s="29"/>
      <c r="J1802" s="29"/>
      <c r="K1802" s="29"/>
      <c r="L1802" s="29" t="s">
        <v>8811</v>
      </c>
      <c r="M1802" s="29" t="s">
        <v>999</v>
      </c>
      <c r="N1802" s="29" t="s">
        <v>3387</v>
      </c>
      <c r="O1802" s="29"/>
      <c r="P1802" s="29" t="s">
        <v>8927</v>
      </c>
      <c r="Q1802" t="s">
        <v>2038</v>
      </c>
      <c r="R1802" t="s">
        <v>2633</v>
      </c>
      <c r="S1802">
        <v>37</v>
      </c>
      <c r="T1802" s="43" t="str">
        <f t="shared" si="75"/>
        <v>2021.082B.R.Tevens_new_families.zip</v>
      </c>
      <c r="U1802" s="43" t="str">
        <f>HYPERLINK("https://ictv.global/taxonomy/taxondetails?taxnode_id=202200336","ictv.global=202200336")</f>
        <v>ictv.global=202200336</v>
      </c>
    </row>
    <row r="1803" spans="1:21">
      <c r="A1803">
        <v>1802</v>
      </c>
      <c r="B1803" s="29" t="s">
        <v>3682</v>
      </c>
      <c r="C1803" s="29"/>
      <c r="D1803" s="29" t="s">
        <v>3683</v>
      </c>
      <c r="E1803" s="29"/>
      <c r="F1803" s="29" t="s">
        <v>3686</v>
      </c>
      <c r="G1803" s="29"/>
      <c r="H1803" s="29" t="s">
        <v>3687</v>
      </c>
      <c r="I1803" s="29"/>
      <c r="J1803" s="29"/>
      <c r="K1803" s="29"/>
      <c r="L1803" s="29" t="s">
        <v>8811</v>
      </c>
      <c r="M1803" s="29" t="s">
        <v>999</v>
      </c>
      <c r="N1803" s="29" t="s">
        <v>3387</v>
      </c>
      <c r="O1803" s="29"/>
      <c r="P1803" s="29" t="s">
        <v>8928</v>
      </c>
      <c r="Q1803" t="s">
        <v>2038</v>
      </c>
      <c r="R1803" t="s">
        <v>2633</v>
      </c>
      <c r="S1803">
        <v>37</v>
      </c>
      <c r="T1803" s="43" t="str">
        <f t="shared" si="75"/>
        <v>2021.082B.R.Tevens_new_families.zip</v>
      </c>
      <c r="U1803" s="43" t="str">
        <f>HYPERLINK("https://ictv.global/taxonomy/taxondetails?taxnode_id=202212017","ictv.global=202212017")</f>
        <v>ictv.global=202212017</v>
      </c>
    </row>
    <row r="1804" spans="1:21">
      <c r="A1804">
        <v>1803</v>
      </c>
      <c r="B1804" s="29" t="s">
        <v>3682</v>
      </c>
      <c r="C1804" s="29"/>
      <c r="D1804" s="29" t="s">
        <v>3683</v>
      </c>
      <c r="E1804" s="29"/>
      <c r="F1804" s="29" t="s">
        <v>3686</v>
      </c>
      <c r="G1804" s="29"/>
      <c r="H1804" s="29" t="s">
        <v>3687</v>
      </c>
      <c r="I1804" s="29"/>
      <c r="J1804" s="29"/>
      <c r="K1804" s="29"/>
      <c r="L1804" s="29" t="s">
        <v>8811</v>
      </c>
      <c r="M1804" s="29" t="s">
        <v>999</v>
      </c>
      <c r="N1804" s="29" t="s">
        <v>3387</v>
      </c>
      <c r="O1804" s="29"/>
      <c r="P1804" s="29" t="s">
        <v>8929</v>
      </c>
      <c r="Q1804" t="s">
        <v>2038</v>
      </c>
      <c r="R1804" t="s">
        <v>2633</v>
      </c>
      <c r="S1804">
        <v>37</v>
      </c>
      <c r="T1804" s="43" t="str">
        <f t="shared" si="75"/>
        <v>2021.082B.R.Tevens_new_families.zip</v>
      </c>
      <c r="U1804" s="43" t="str">
        <f>HYPERLINK("https://ictv.global/taxonomy/taxondetails?taxnode_id=202200330","ictv.global=202200330")</f>
        <v>ictv.global=202200330</v>
      </c>
    </row>
    <row r="1805" spans="1:21">
      <c r="A1805">
        <v>1804</v>
      </c>
      <c r="B1805" s="29" t="s">
        <v>3682</v>
      </c>
      <c r="C1805" s="29"/>
      <c r="D1805" s="29" t="s">
        <v>3683</v>
      </c>
      <c r="E1805" s="29"/>
      <c r="F1805" s="29" t="s">
        <v>3686</v>
      </c>
      <c r="G1805" s="29"/>
      <c r="H1805" s="29" t="s">
        <v>3687</v>
      </c>
      <c r="I1805" s="29"/>
      <c r="J1805" s="29"/>
      <c r="K1805" s="29"/>
      <c r="L1805" s="29" t="s">
        <v>8811</v>
      </c>
      <c r="M1805" s="29" t="s">
        <v>999</v>
      </c>
      <c r="N1805" s="29" t="s">
        <v>3387</v>
      </c>
      <c r="O1805" s="29"/>
      <c r="P1805" s="29" t="s">
        <v>8930</v>
      </c>
      <c r="Q1805" t="s">
        <v>2038</v>
      </c>
      <c r="R1805" t="s">
        <v>2633</v>
      </c>
      <c r="S1805">
        <v>37</v>
      </c>
      <c r="T1805" s="43" t="str">
        <f t="shared" si="75"/>
        <v>2021.082B.R.Tevens_new_families.zip</v>
      </c>
      <c r="U1805" s="43" t="str">
        <f>HYPERLINK("https://ictv.global/taxonomy/taxondetails?taxnode_id=202200331","ictv.global=202200331")</f>
        <v>ictv.global=202200331</v>
      </c>
    </row>
    <row r="1806" spans="1:21">
      <c r="A1806">
        <v>1805</v>
      </c>
      <c r="B1806" s="29" t="s">
        <v>3682</v>
      </c>
      <c r="C1806" s="29"/>
      <c r="D1806" s="29" t="s">
        <v>3683</v>
      </c>
      <c r="E1806" s="29"/>
      <c r="F1806" s="29" t="s">
        <v>3686</v>
      </c>
      <c r="G1806" s="29"/>
      <c r="H1806" s="29" t="s">
        <v>3687</v>
      </c>
      <c r="I1806" s="29"/>
      <c r="J1806" s="29"/>
      <c r="K1806" s="29"/>
      <c r="L1806" s="29" t="s">
        <v>8811</v>
      </c>
      <c r="M1806" s="29" t="s">
        <v>999</v>
      </c>
      <c r="N1806" s="29" t="s">
        <v>3387</v>
      </c>
      <c r="O1806" s="29"/>
      <c r="P1806" s="29" t="s">
        <v>8931</v>
      </c>
      <c r="Q1806" t="s">
        <v>2038</v>
      </c>
      <c r="R1806" t="s">
        <v>2633</v>
      </c>
      <c r="S1806">
        <v>37</v>
      </c>
      <c r="T1806" s="43" t="str">
        <f t="shared" si="75"/>
        <v>2021.082B.R.Tevens_new_families.zip</v>
      </c>
      <c r="U1806" s="43" t="str">
        <f>HYPERLINK("https://ictv.global/taxonomy/taxondetails?taxnode_id=202211972","ictv.global=202211972")</f>
        <v>ictv.global=202211972</v>
      </c>
    </row>
    <row r="1807" spans="1:21">
      <c r="A1807">
        <v>1806</v>
      </c>
      <c r="B1807" s="29" t="s">
        <v>3682</v>
      </c>
      <c r="C1807" s="29"/>
      <c r="D1807" s="29" t="s">
        <v>3683</v>
      </c>
      <c r="E1807" s="29"/>
      <c r="F1807" s="29" t="s">
        <v>3686</v>
      </c>
      <c r="G1807" s="29"/>
      <c r="H1807" s="29" t="s">
        <v>3687</v>
      </c>
      <c r="I1807" s="29"/>
      <c r="J1807" s="29"/>
      <c r="K1807" s="29"/>
      <c r="L1807" s="29" t="s">
        <v>8811</v>
      </c>
      <c r="M1807" s="29" t="s">
        <v>999</v>
      </c>
      <c r="N1807" s="29" t="s">
        <v>3387</v>
      </c>
      <c r="O1807" s="29"/>
      <c r="P1807" s="29" t="s">
        <v>8932</v>
      </c>
      <c r="Q1807" t="s">
        <v>2038</v>
      </c>
      <c r="R1807" t="s">
        <v>2633</v>
      </c>
      <c r="S1807">
        <v>37</v>
      </c>
      <c r="T1807" s="43" t="str">
        <f t="shared" si="75"/>
        <v>2021.082B.R.Tevens_new_families.zip</v>
      </c>
      <c r="U1807" s="43" t="str">
        <f>HYPERLINK("https://ictv.global/taxonomy/taxondetails?taxnode_id=202211973","ictv.global=202211973")</f>
        <v>ictv.global=202211973</v>
      </c>
    </row>
    <row r="1808" spans="1:21">
      <c r="A1808">
        <v>1807</v>
      </c>
      <c r="B1808" s="29" t="s">
        <v>3682</v>
      </c>
      <c r="C1808" s="29"/>
      <c r="D1808" s="29" t="s">
        <v>3683</v>
      </c>
      <c r="E1808" s="29"/>
      <c r="F1808" s="29" t="s">
        <v>3686</v>
      </c>
      <c r="G1808" s="29"/>
      <c r="H1808" s="29" t="s">
        <v>3687</v>
      </c>
      <c r="I1808" s="29"/>
      <c r="J1808" s="29"/>
      <c r="K1808" s="29"/>
      <c r="L1808" s="29" t="s">
        <v>8811</v>
      </c>
      <c r="M1808" s="29" t="s">
        <v>999</v>
      </c>
      <c r="N1808" s="29" t="s">
        <v>3387</v>
      </c>
      <c r="O1808" s="29"/>
      <c r="P1808" s="29" t="s">
        <v>8933</v>
      </c>
      <c r="Q1808" t="s">
        <v>2038</v>
      </c>
      <c r="R1808" t="s">
        <v>2633</v>
      </c>
      <c r="S1808">
        <v>37</v>
      </c>
      <c r="T1808" s="43" t="str">
        <f t="shared" si="75"/>
        <v>2021.082B.R.Tevens_new_families.zip</v>
      </c>
      <c r="U1808" s="43" t="str">
        <f>HYPERLINK("https://ictv.global/taxonomy/taxondetails?taxnode_id=202200342","ictv.global=202200342")</f>
        <v>ictv.global=202200342</v>
      </c>
    </row>
    <row r="1809" spans="1:21">
      <c r="A1809">
        <v>1808</v>
      </c>
      <c r="B1809" s="29" t="s">
        <v>3682</v>
      </c>
      <c r="C1809" s="29"/>
      <c r="D1809" s="29" t="s">
        <v>3683</v>
      </c>
      <c r="E1809" s="29"/>
      <c r="F1809" s="29" t="s">
        <v>3686</v>
      </c>
      <c r="G1809" s="29"/>
      <c r="H1809" s="29" t="s">
        <v>3687</v>
      </c>
      <c r="I1809" s="29"/>
      <c r="J1809" s="29"/>
      <c r="K1809" s="29"/>
      <c r="L1809" s="29" t="s">
        <v>8811</v>
      </c>
      <c r="M1809" s="29" t="s">
        <v>999</v>
      </c>
      <c r="N1809" s="29" t="s">
        <v>3387</v>
      </c>
      <c r="O1809" s="29"/>
      <c r="P1809" s="29" t="s">
        <v>8934</v>
      </c>
      <c r="Q1809" t="s">
        <v>2038</v>
      </c>
      <c r="R1809" t="s">
        <v>2632</v>
      </c>
      <c r="S1809">
        <v>37</v>
      </c>
      <c r="T1809" s="43" t="str">
        <f t="shared" si="75"/>
        <v>2021.082B.R.Tevens_new_families.zip</v>
      </c>
      <c r="U1809" s="43" t="str">
        <f>HYPERLINK("https://ictv.global/taxonomy/taxondetails?taxnode_id=202213945","ictv.global=202213945")</f>
        <v>ictv.global=202213945</v>
      </c>
    </row>
    <row r="1810" spans="1:21">
      <c r="A1810">
        <v>1809</v>
      </c>
      <c r="B1810" s="29" t="s">
        <v>3682</v>
      </c>
      <c r="C1810" s="29"/>
      <c r="D1810" s="29" t="s">
        <v>3683</v>
      </c>
      <c r="E1810" s="29"/>
      <c r="F1810" s="29" t="s">
        <v>3686</v>
      </c>
      <c r="G1810" s="29"/>
      <c r="H1810" s="29" t="s">
        <v>3687</v>
      </c>
      <c r="I1810" s="29"/>
      <c r="J1810" s="29"/>
      <c r="K1810" s="29"/>
      <c r="L1810" s="29" t="s">
        <v>8811</v>
      </c>
      <c r="M1810" s="29" t="s">
        <v>999</v>
      </c>
      <c r="N1810" s="29" t="s">
        <v>3387</v>
      </c>
      <c r="O1810" s="29"/>
      <c r="P1810" s="29" t="s">
        <v>8935</v>
      </c>
      <c r="Q1810" t="s">
        <v>2038</v>
      </c>
      <c r="R1810" t="s">
        <v>2633</v>
      </c>
      <c r="S1810">
        <v>37</v>
      </c>
      <c r="T1810" s="43" t="str">
        <f t="shared" si="75"/>
        <v>2021.082B.R.Tevens_new_families.zip</v>
      </c>
      <c r="U1810" s="43" t="str">
        <f>HYPERLINK("https://ictv.global/taxonomy/taxondetails?taxnode_id=202207050","ictv.global=202207050")</f>
        <v>ictv.global=202207050</v>
      </c>
    </row>
    <row r="1811" spans="1:21">
      <c r="A1811">
        <v>1810</v>
      </c>
      <c r="B1811" s="29" t="s">
        <v>3682</v>
      </c>
      <c r="C1811" s="29"/>
      <c r="D1811" s="29" t="s">
        <v>3683</v>
      </c>
      <c r="E1811" s="29"/>
      <c r="F1811" s="29" t="s">
        <v>3686</v>
      </c>
      <c r="G1811" s="29"/>
      <c r="H1811" s="29" t="s">
        <v>3687</v>
      </c>
      <c r="I1811" s="29"/>
      <c r="J1811" s="29"/>
      <c r="K1811" s="29"/>
      <c r="L1811" s="29" t="s">
        <v>8811</v>
      </c>
      <c r="M1811" s="29" t="s">
        <v>999</v>
      </c>
      <c r="N1811" s="29" t="s">
        <v>3387</v>
      </c>
      <c r="O1811" s="29"/>
      <c r="P1811" s="29" t="s">
        <v>8936</v>
      </c>
      <c r="Q1811" t="s">
        <v>2038</v>
      </c>
      <c r="R1811" t="s">
        <v>2633</v>
      </c>
      <c r="S1811">
        <v>37</v>
      </c>
      <c r="T1811" s="43" t="str">
        <f t="shared" si="75"/>
        <v>2021.082B.R.Tevens_new_families.zip</v>
      </c>
      <c r="U1811" s="43" t="str">
        <f>HYPERLINK("https://ictv.global/taxonomy/taxondetails?taxnode_id=202207052","ictv.global=202207052")</f>
        <v>ictv.global=202207052</v>
      </c>
    </row>
    <row r="1812" spans="1:21">
      <c r="A1812">
        <v>1811</v>
      </c>
      <c r="B1812" s="29" t="s">
        <v>3682</v>
      </c>
      <c r="C1812" s="29"/>
      <c r="D1812" s="29" t="s">
        <v>3683</v>
      </c>
      <c r="E1812" s="29"/>
      <c r="F1812" s="29" t="s">
        <v>3686</v>
      </c>
      <c r="G1812" s="29"/>
      <c r="H1812" s="29" t="s">
        <v>3687</v>
      </c>
      <c r="I1812" s="29"/>
      <c r="J1812" s="29"/>
      <c r="K1812" s="29"/>
      <c r="L1812" s="29" t="s">
        <v>8811</v>
      </c>
      <c r="M1812" s="29" t="s">
        <v>999</v>
      </c>
      <c r="N1812" s="29" t="s">
        <v>3387</v>
      </c>
      <c r="O1812" s="29"/>
      <c r="P1812" s="29" t="s">
        <v>8937</v>
      </c>
      <c r="Q1812" t="s">
        <v>2038</v>
      </c>
      <c r="R1812" t="s">
        <v>2633</v>
      </c>
      <c r="S1812">
        <v>37</v>
      </c>
      <c r="T1812" s="43" t="str">
        <f t="shared" si="75"/>
        <v>2021.082B.R.Tevens_new_families.zip</v>
      </c>
      <c r="U1812" s="43" t="str">
        <f>HYPERLINK("https://ictv.global/taxonomy/taxondetails?taxnode_id=202212011","ictv.global=202212011")</f>
        <v>ictv.global=202212011</v>
      </c>
    </row>
    <row r="1813" spans="1:21">
      <c r="A1813">
        <v>1812</v>
      </c>
      <c r="B1813" s="29" t="s">
        <v>3682</v>
      </c>
      <c r="C1813" s="29"/>
      <c r="D1813" s="29" t="s">
        <v>3683</v>
      </c>
      <c r="E1813" s="29"/>
      <c r="F1813" s="29" t="s">
        <v>3686</v>
      </c>
      <c r="G1813" s="29"/>
      <c r="H1813" s="29" t="s">
        <v>3687</v>
      </c>
      <c r="I1813" s="29"/>
      <c r="J1813" s="29"/>
      <c r="K1813" s="29"/>
      <c r="L1813" s="29" t="s">
        <v>8811</v>
      </c>
      <c r="M1813" s="29" t="s">
        <v>999</v>
      </c>
      <c r="N1813" s="29" t="s">
        <v>3387</v>
      </c>
      <c r="O1813" s="29"/>
      <c r="P1813" s="29" t="s">
        <v>8938</v>
      </c>
      <c r="Q1813" t="s">
        <v>2038</v>
      </c>
      <c r="R1813" t="s">
        <v>2633</v>
      </c>
      <c r="S1813">
        <v>37</v>
      </c>
      <c r="T1813" s="43" t="str">
        <f t="shared" si="75"/>
        <v>2021.082B.R.Tevens_new_families.zip</v>
      </c>
      <c r="U1813" s="43" t="str">
        <f>HYPERLINK("https://ictv.global/taxonomy/taxondetails?taxnode_id=202207053","ictv.global=202207053")</f>
        <v>ictv.global=202207053</v>
      </c>
    </row>
    <row r="1814" spans="1:21">
      <c r="A1814">
        <v>1813</v>
      </c>
      <c r="B1814" s="29" t="s">
        <v>3682</v>
      </c>
      <c r="C1814" s="29"/>
      <c r="D1814" s="29" t="s">
        <v>3683</v>
      </c>
      <c r="E1814" s="29"/>
      <c r="F1814" s="29" t="s">
        <v>3686</v>
      </c>
      <c r="G1814" s="29"/>
      <c r="H1814" s="29" t="s">
        <v>3687</v>
      </c>
      <c r="I1814" s="29"/>
      <c r="J1814" s="29"/>
      <c r="K1814" s="29"/>
      <c r="L1814" s="29" t="s">
        <v>8811</v>
      </c>
      <c r="M1814" s="29" t="s">
        <v>999</v>
      </c>
      <c r="N1814" s="29" t="s">
        <v>3387</v>
      </c>
      <c r="O1814" s="29"/>
      <c r="P1814" s="29" t="s">
        <v>8939</v>
      </c>
      <c r="Q1814" t="s">
        <v>2038</v>
      </c>
      <c r="R1814" t="s">
        <v>2633</v>
      </c>
      <c r="S1814">
        <v>37</v>
      </c>
      <c r="T1814" s="43" t="str">
        <f t="shared" si="75"/>
        <v>2021.082B.R.Tevens_new_families.zip</v>
      </c>
      <c r="U1814" s="43" t="str">
        <f>HYPERLINK("https://ictv.global/taxonomy/taxondetails?taxnode_id=202212007","ictv.global=202212007")</f>
        <v>ictv.global=202212007</v>
      </c>
    </row>
    <row r="1815" spans="1:21">
      <c r="A1815">
        <v>1814</v>
      </c>
      <c r="B1815" s="29" t="s">
        <v>3682</v>
      </c>
      <c r="C1815" s="29"/>
      <c r="D1815" s="29" t="s">
        <v>3683</v>
      </c>
      <c r="E1815" s="29"/>
      <c r="F1815" s="29" t="s">
        <v>3686</v>
      </c>
      <c r="G1815" s="29"/>
      <c r="H1815" s="29" t="s">
        <v>3687</v>
      </c>
      <c r="I1815" s="29"/>
      <c r="J1815" s="29"/>
      <c r="K1815" s="29"/>
      <c r="L1815" s="29" t="s">
        <v>8811</v>
      </c>
      <c r="M1815" s="29" t="s">
        <v>999</v>
      </c>
      <c r="N1815" s="29" t="s">
        <v>3387</v>
      </c>
      <c r="O1815" s="29"/>
      <c r="P1815" s="29" t="s">
        <v>8940</v>
      </c>
      <c r="Q1815" t="s">
        <v>2038</v>
      </c>
      <c r="R1815" t="s">
        <v>2633</v>
      </c>
      <c r="S1815">
        <v>37</v>
      </c>
      <c r="T1815" s="43" t="str">
        <f t="shared" si="75"/>
        <v>2021.082B.R.Tevens_new_families.zip</v>
      </c>
      <c r="U1815" s="43" t="str">
        <f>HYPERLINK("https://ictv.global/taxonomy/taxondetails?taxnode_id=202212012","ictv.global=202212012")</f>
        <v>ictv.global=202212012</v>
      </c>
    </row>
    <row r="1816" spans="1:21">
      <c r="A1816">
        <v>1815</v>
      </c>
      <c r="B1816" s="29" t="s">
        <v>3682</v>
      </c>
      <c r="C1816" s="29"/>
      <c r="D1816" s="29" t="s">
        <v>3683</v>
      </c>
      <c r="E1816" s="29"/>
      <c r="F1816" s="29" t="s">
        <v>3686</v>
      </c>
      <c r="G1816" s="29"/>
      <c r="H1816" s="29" t="s">
        <v>3687</v>
      </c>
      <c r="I1816" s="29"/>
      <c r="J1816" s="29"/>
      <c r="K1816" s="29"/>
      <c r="L1816" s="29" t="s">
        <v>8811</v>
      </c>
      <c r="M1816" s="29" t="s">
        <v>999</v>
      </c>
      <c r="N1816" s="29" t="s">
        <v>3387</v>
      </c>
      <c r="O1816" s="29"/>
      <c r="P1816" s="29" t="s">
        <v>8941</v>
      </c>
      <c r="Q1816" t="s">
        <v>2038</v>
      </c>
      <c r="R1816" t="s">
        <v>2635</v>
      </c>
      <c r="S1816">
        <v>38</v>
      </c>
      <c r="T1816" s="43" t="str">
        <f>HYPERLINK("https://ictv.global/ictv/proposals/2022.087B.Straboviridae_update.zip","2022.087B.Straboviridae_update.zip")</f>
        <v>2022.087B.Straboviridae_update.zip</v>
      </c>
      <c r="U1816" s="43" t="str">
        <f>HYPERLINK("https://ictv.global/taxonomy/taxondetails?taxnode_id=202207055","ictv.global=202207055")</f>
        <v>ictv.global=202207055</v>
      </c>
    </row>
    <row r="1817" spans="1:21">
      <c r="A1817">
        <v>1816</v>
      </c>
      <c r="B1817" s="29" t="s">
        <v>3682</v>
      </c>
      <c r="C1817" s="29"/>
      <c r="D1817" s="29" t="s">
        <v>3683</v>
      </c>
      <c r="E1817" s="29"/>
      <c r="F1817" s="29" t="s">
        <v>3686</v>
      </c>
      <c r="G1817" s="29"/>
      <c r="H1817" s="29" t="s">
        <v>3687</v>
      </c>
      <c r="I1817" s="29"/>
      <c r="J1817" s="29"/>
      <c r="K1817" s="29"/>
      <c r="L1817" s="29" t="s">
        <v>8811</v>
      </c>
      <c r="M1817" s="29" t="s">
        <v>999</v>
      </c>
      <c r="N1817" s="29" t="s">
        <v>3387</v>
      </c>
      <c r="O1817" s="29"/>
      <c r="P1817" s="29" t="s">
        <v>8942</v>
      </c>
      <c r="Q1817" t="s">
        <v>2038</v>
      </c>
      <c r="R1817" t="s">
        <v>2633</v>
      </c>
      <c r="S1817">
        <v>37</v>
      </c>
      <c r="T1817" s="43" t="str">
        <f t="shared" ref="T1817:T1831" si="76">HYPERLINK("https://ictv.global/ictv/proposals/2021.082B.R.Tevens_new_families.zip","2021.082B.R.Tevens_new_families.zip")</f>
        <v>2021.082B.R.Tevens_new_families.zip</v>
      </c>
      <c r="U1817" s="43" t="str">
        <f>HYPERLINK("https://ictv.global/taxonomy/taxondetails?taxnode_id=202200334","ictv.global=202200334")</f>
        <v>ictv.global=202200334</v>
      </c>
    </row>
    <row r="1818" spans="1:21">
      <c r="A1818">
        <v>1817</v>
      </c>
      <c r="B1818" s="29" t="s">
        <v>3682</v>
      </c>
      <c r="C1818" s="29"/>
      <c r="D1818" s="29" t="s">
        <v>3683</v>
      </c>
      <c r="E1818" s="29"/>
      <c r="F1818" s="29" t="s">
        <v>3686</v>
      </c>
      <c r="G1818" s="29"/>
      <c r="H1818" s="29" t="s">
        <v>3687</v>
      </c>
      <c r="I1818" s="29"/>
      <c r="J1818" s="29"/>
      <c r="K1818" s="29"/>
      <c r="L1818" s="29" t="s">
        <v>8811</v>
      </c>
      <c r="M1818" s="29" t="s">
        <v>999</v>
      </c>
      <c r="N1818" s="29" t="s">
        <v>3387</v>
      </c>
      <c r="O1818" s="29"/>
      <c r="P1818" s="29" t="s">
        <v>8943</v>
      </c>
      <c r="Q1818" t="s">
        <v>2038</v>
      </c>
      <c r="R1818" t="s">
        <v>2633</v>
      </c>
      <c r="S1818">
        <v>37</v>
      </c>
      <c r="T1818" s="43" t="str">
        <f t="shared" si="76"/>
        <v>2021.082B.R.Tevens_new_families.zip</v>
      </c>
      <c r="U1818" s="43" t="str">
        <f>HYPERLINK("https://ictv.global/taxonomy/taxondetails?taxnode_id=202212014","ictv.global=202212014")</f>
        <v>ictv.global=202212014</v>
      </c>
    </row>
    <row r="1819" spans="1:21">
      <c r="A1819">
        <v>1818</v>
      </c>
      <c r="B1819" s="29" t="s">
        <v>3682</v>
      </c>
      <c r="C1819" s="29"/>
      <c r="D1819" s="29" t="s">
        <v>3683</v>
      </c>
      <c r="E1819" s="29"/>
      <c r="F1819" s="29" t="s">
        <v>3686</v>
      </c>
      <c r="G1819" s="29"/>
      <c r="H1819" s="29" t="s">
        <v>3687</v>
      </c>
      <c r="I1819" s="29"/>
      <c r="J1819" s="29"/>
      <c r="K1819" s="29"/>
      <c r="L1819" s="29" t="s">
        <v>8811</v>
      </c>
      <c r="M1819" s="29" t="s">
        <v>999</v>
      </c>
      <c r="N1819" s="29" t="s">
        <v>3387</v>
      </c>
      <c r="O1819" s="29"/>
      <c r="P1819" s="29" t="s">
        <v>8944</v>
      </c>
      <c r="Q1819" t="s">
        <v>2038</v>
      </c>
      <c r="R1819" t="s">
        <v>2633</v>
      </c>
      <c r="S1819">
        <v>37</v>
      </c>
      <c r="T1819" s="43" t="str">
        <f t="shared" si="76"/>
        <v>2021.082B.R.Tevens_new_families.zip</v>
      </c>
      <c r="U1819" s="43" t="str">
        <f>HYPERLINK("https://ictv.global/taxonomy/taxondetails?taxnode_id=202212015","ictv.global=202212015")</f>
        <v>ictv.global=202212015</v>
      </c>
    </row>
    <row r="1820" spans="1:21">
      <c r="A1820">
        <v>1819</v>
      </c>
      <c r="B1820" s="29" t="s">
        <v>3682</v>
      </c>
      <c r="C1820" s="29"/>
      <c r="D1820" s="29" t="s">
        <v>3683</v>
      </c>
      <c r="E1820" s="29"/>
      <c r="F1820" s="29" t="s">
        <v>3686</v>
      </c>
      <c r="G1820" s="29"/>
      <c r="H1820" s="29" t="s">
        <v>3687</v>
      </c>
      <c r="I1820" s="29"/>
      <c r="J1820" s="29"/>
      <c r="K1820" s="29"/>
      <c r="L1820" s="29" t="s">
        <v>8811</v>
      </c>
      <c r="M1820" s="29" t="s">
        <v>999</v>
      </c>
      <c r="N1820" s="29" t="s">
        <v>3387</v>
      </c>
      <c r="O1820" s="29"/>
      <c r="P1820" s="29" t="s">
        <v>8945</v>
      </c>
      <c r="Q1820" t="s">
        <v>2038</v>
      </c>
      <c r="R1820" t="s">
        <v>2632</v>
      </c>
      <c r="S1820">
        <v>37</v>
      </c>
      <c r="T1820" s="43" t="str">
        <f t="shared" si="76"/>
        <v>2021.082B.R.Tevens_new_families.zip</v>
      </c>
      <c r="U1820" s="43" t="str">
        <f>HYPERLINK("https://ictv.global/taxonomy/taxondetails?taxnode_id=202213949","ictv.global=202213949")</f>
        <v>ictv.global=202213949</v>
      </c>
    </row>
    <row r="1821" spans="1:21">
      <c r="A1821">
        <v>1820</v>
      </c>
      <c r="B1821" s="29" t="s">
        <v>3682</v>
      </c>
      <c r="C1821" s="29"/>
      <c r="D1821" s="29" t="s">
        <v>3683</v>
      </c>
      <c r="E1821" s="29"/>
      <c r="F1821" s="29" t="s">
        <v>3686</v>
      </c>
      <c r="G1821" s="29"/>
      <c r="H1821" s="29" t="s">
        <v>3687</v>
      </c>
      <c r="I1821" s="29"/>
      <c r="J1821" s="29"/>
      <c r="K1821" s="29"/>
      <c r="L1821" s="29" t="s">
        <v>8811</v>
      </c>
      <c r="M1821" s="29" t="s">
        <v>999</v>
      </c>
      <c r="N1821" s="29" t="s">
        <v>3387</v>
      </c>
      <c r="O1821" s="29"/>
      <c r="P1821" s="29" t="s">
        <v>8946</v>
      </c>
      <c r="Q1821" t="s">
        <v>2038</v>
      </c>
      <c r="R1821" t="s">
        <v>2633</v>
      </c>
      <c r="S1821">
        <v>37</v>
      </c>
      <c r="T1821" s="43" t="str">
        <f t="shared" si="76"/>
        <v>2021.082B.R.Tevens_new_families.zip</v>
      </c>
      <c r="U1821" s="43" t="str">
        <f>HYPERLINK("https://ictv.global/taxonomy/taxondetails?taxnode_id=202207054","ictv.global=202207054")</f>
        <v>ictv.global=202207054</v>
      </c>
    </row>
    <row r="1822" spans="1:21">
      <c r="A1822">
        <v>1821</v>
      </c>
      <c r="B1822" s="29" t="s">
        <v>3682</v>
      </c>
      <c r="C1822" s="29"/>
      <c r="D1822" s="29" t="s">
        <v>3683</v>
      </c>
      <c r="E1822" s="29"/>
      <c r="F1822" s="29" t="s">
        <v>3686</v>
      </c>
      <c r="G1822" s="29"/>
      <c r="H1822" s="29" t="s">
        <v>3687</v>
      </c>
      <c r="I1822" s="29"/>
      <c r="J1822" s="29"/>
      <c r="K1822" s="29"/>
      <c r="L1822" s="29" t="s">
        <v>8811</v>
      </c>
      <c r="M1822" s="29" t="s">
        <v>999</v>
      </c>
      <c r="N1822" s="29" t="s">
        <v>3387</v>
      </c>
      <c r="O1822" s="29"/>
      <c r="P1822" s="29" t="s">
        <v>8947</v>
      </c>
      <c r="Q1822" t="s">
        <v>2038</v>
      </c>
      <c r="R1822" t="s">
        <v>2632</v>
      </c>
      <c r="S1822">
        <v>37</v>
      </c>
      <c r="T1822" s="43" t="str">
        <f t="shared" si="76"/>
        <v>2021.082B.R.Tevens_new_families.zip</v>
      </c>
      <c r="U1822" s="43" t="str">
        <f>HYPERLINK("https://ictv.global/taxonomy/taxondetails?taxnode_id=202213950","ictv.global=202213950")</f>
        <v>ictv.global=202213950</v>
      </c>
    </row>
    <row r="1823" spans="1:21">
      <c r="A1823">
        <v>1822</v>
      </c>
      <c r="B1823" s="29" t="s">
        <v>3682</v>
      </c>
      <c r="C1823" s="29"/>
      <c r="D1823" s="29" t="s">
        <v>3683</v>
      </c>
      <c r="E1823" s="29"/>
      <c r="F1823" s="29" t="s">
        <v>3686</v>
      </c>
      <c r="G1823" s="29"/>
      <c r="H1823" s="29" t="s">
        <v>3687</v>
      </c>
      <c r="I1823" s="29"/>
      <c r="J1823" s="29"/>
      <c r="K1823" s="29"/>
      <c r="L1823" s="29" t="s">
        <v>8811</v>
      </c>
      <c r="M1823" s="29" t="s">
        <v>999</v>
      </c>
      <c r="N1823" s="29" t="s">
        <v>3387</v>
      </c>
      <c r="O1823" s="29"/>
      <c r="P1823" s="29" t="s">
        <v>8948</v>
      </c>
      <c r="Q1823" t="s">
        <v>2038</v>
      </c>
      <c r="R1823" t="s">
        <v>2633</v>
      </c>
      <c r="S1823">
        <v>37</v>
      </c>
      <c r="T1823" s="43" t="str">
        <f t="shared" si="76"/>
        <v>2021.082B.R.Tevens_new_families.zip</v>
      </c>
      <c r="U1823" s="43" t="str">
        <f>HYPERLINK("https://ictv.global/taxonomy/taxondetails?taxnode_id=202212006","ictv.global=202212006")</f>
        <v>ictv.global=202212006</v>
      </c>
    </row>
    <row r="1824" spans="1:21">
      <c r="A1824">
        <v>1823</v>
      </c>
      <c r="B1824" s="29" t="s">
        <v>3682</v>
      </c>
      <c r="C1824" s="29"/>
      <c r="D1824" s="29" t="s">
        <v>3683</v>
      </c>
      <c r="E1824" s="29"/>
      <c r="F1824" s="29" t="s">
        <v>3686</v>
      </c>
      <c r="G1824" s="29"/>
      <c r="H1824" s="29" t="s">
        <v>3687</v>
      </c>
      <c r="I1824" s="29"/>
      <c r="J1824" s="29"/>
      <c r="K1824" s="29"/>
      <c r="L1824" s="29" t="s">
        <v>8811</v>
      </c>
      <c r="M1824" s="29" t="s">
        <v>999</v>
      </c>
      <c r="N1824" s="29" t="s">
        <v>3387</v>
      </c>
      <c r="O1824" s="29"/>
      <c r="P1824" s="29" t="s">
        <v>8949</v>
      </c>
      <c r="Q1824" t="s">
        <v>2038</v>
      </c>
      <c r="R1824" t="s">
        <v>2633</v>
      </c>
      <c r="S1824">
        <v>37</v>
      </c>
      <c r="T1824" s="43" t="str">
        <f t="shared" si="76"/>
        <v>2021.082B.R.Tevens_new_families.zip</v>
      </c>
      <c r="U1824" s="43" t="str">
        <f>HYPERLINK("https://ictv.global/taxonomy/taxondetails?taxnode_id=202211983","ictv.global=202211983")</f>
        <v>ictv.global=202211983</v>
      </c>
    </row>
    <row r="1825" spans="1:21">
      <c r="A1825">
        <v>1824</v>
      </c>
      <c r="B1825" s="29" t="s">
        <v>3682</v>
      </c>
      <c r="C1825" s="29"/>
      <c r="D1825" s="29" t="s">
        <v>3683</v>
      </c>
      <c r="E1825" s="29"/>
      <c r="F1825" s="29" t="s">
        <v>3686</v>
      </c>
      <c r="G1825" s="29"/>
      <c r="H1825" s="29" t="s">
        <v>3687</v>
      </c>
      <c r="I1825" s="29"/>
      <c r="J1825" s="29"/>
      <c r="K1825" s="29"/>
      <c r="L1825" s="29" t="s">
        <v>8811</v>
      </c>
      <c r="M1825" s="29" t="s">
        <v>999</v>
      </c>
      <c r="N1825" s="29" t="s">
        <v>3387</v>
      </c>
      <c r="O1825" s="29"/>
      <c r="P1825" s="29" t="s">
        <v>8950</v>
      </c>
      <c r="Q1825" t="s">
        <v>2038</v>
      </c>
      <c r="R1825" t="s">
        <v>2633</v>
      </c>
      <c r="S1825">
        <v>37</v>
      </c>
      <c r="T1825" s="43" t="str">
        <f t="shared" si="76"/>
        <v>2021.082B.R.Tevens_new_families.zip</v>
      </c>
      <c r="U1825" s="43" t="str">
        <f>HYPERLINK("https://ictv.global/taxonomy/taxondetails?taxnode_id=202200332","ictv.global=202200332")</f>
        <v>ictv.global=202200332</v>
      </c>
    </row>
    <row r="1826" spans="1:21">
      <c r="A1826">
        <v>1825</v>
      </c>
      <c r="B1826" s="29" t="s">
        <v>3682</v>
      </c>
      <c r="C1826" s="29"/>
      <c r="D1826" s="29" t="s">
        <v>3683</v>
      </c>
      <c r="E1826" s="29"/>
      <c r="F1826" s="29" t="s">
        <v>3686</v>
      </c>
      <c r="G1826" s="29"/>
      <c r="H1826" s="29" t="s">
        <v>3687</v>
      </c>
      <c r="I1826" s="29"/>
      <c r="J1826" s="29"/>
      <c r="K1826" s="29"/>
      <c r="L1826" s="29" t="s">
        <v>8811</v>
      </c>
      <c r="M1826" s="29" t="s">
        <v>999</v>
      </c>
      <c r="N1826" s="29" t="s">
        <v>3387</v>
      </c>
      <c r="O1826" s="29"/>
      <c r="P1826" s="29" t="s">
        <v>8951</v>
      </c>
      <c r="Q1826" t="s">
        <v>2038</v>
      </c>
      <c r="R1826" t="s">
        <v>2633</v>
      </c>
      <c r="S1826">
        <v>37</v>
      </c>
      <c r="T1826" s="43" t="str">
        <f t="shared" si="76"/>
        <v>2021.082B.R.Tevens_new_families.zip</v>
      </c>
      <c r="U1826" s="43" t="str">
        <f>HYPERLINK("https://ictv.global/taxonomy/taxondetails?taxnode_id=202211974","ictv.global=202211974")</f>
        <v>ictv.global=202211974</v>
      </c>
    </row>
    <row r="1827" spans="1:21">
      <c r="A1827">
        <v>1826</v>
      </c>
      <c r="B1827" s="29" t="s">
        <v>3682</v>
      </c>
      <c r="C1827" s="29"/>
      <c r="D1827" s="29" t="s">
        <v>3683</v>
      </c>
      <c r="E1827" s="29"/>
      <c r="F1827" s="29" t="s">
        <v>3686</v>
      </c>
      <c r="G1827" s="29"/>
      <c r="H1827" s="29" t="s">
        <v>3687</v>
      </c>
      <c r="I1827" s="29"/>
      <c r="J1827" s="29"/>
      <c r="K1827" s="29"/>
      <c r="L1827" s="29" t="s">
        <v>8811</v>
      </c>
      <c r="M1827" s="29" t="s">
        <v>999</v>
      </c>
      <c r="N1827" s="29" t="s">
        <v>3387</v>
      </c>
      <c r="O1827" s="29"/>
      <c r="P1827" s="29" t="s">
        <v>8952</v>
      </c>
      <c r="Q1827" t="s">
        <v>2038</v>
      </c>
      <c r="R1827" t="s">
        <v>2633</v>
      </c>
      <c r="S1827">
        <v>37</v>
      </c>
      <c r="T1827" s="43" t="str">
        <f t="shared" si="76"/>
        <v>2021.082B.R.Tevens_new_families.zip</v>
      </c>
      <c r="U1827" s="43" t="str">
        <f>HYPERLINK("https://ictv.global/taxonomy/taxondetails?taxnode_id=202211984","ictv.global=202211984")</f>
        <v>ictv.global=202211984</v>
      </c>
    </row>
    <row r="1828" spans="1:21">
      <c r="A1828">
        <v>1827</v>
      </c>
      <c r="B1828" s="29" t="s">
        <v>3682</v>
      </c>
      <c r="C1828" s="29"/>
      <c r="D1828" s="29" t="s">
        <v>3683</v>
      </c>
      <c r="E1828" s="29"/>
      <c r="F1828" s="29" t="s">
        <v>3686</v>
      </c>
      <c r="G1828" s="29"/>
      <c r="H1828" s="29" t="s">
        <v>3687</v>
      </c>
      <c r="I1828" s="29"/>
      <c r="J1828" s="29"/>
      <c r="K1828" s="29"/>
      <c r="L1828" s="29" t="s">
        <v>8811</v>
      </c>
      <c r="M1828" s="29" t="s">
        <v>999</v>
      </c>
      <c r="N1828" s="29" t="s">
        <v>3387</v>
      </c>
      <c r="O1828" s="29"/>
      <c r="P1828" s="29" t="s">
        <v>8953</v>
      </c>
      <c r="Q1828" t="s">
        <v>2038</v>
      </c>
      <c r="R1828" t="s">
        <v>2633</v>
      </c>
      <c r="S1828">
        <v>37</v>
      </c>
      <c r="T1828" s="43" t="str">
        <f t="shared" si="76"/>
        <v>2021.082B.R.Tevens_new_families.zip</v>
      </c>
      <c r="U1828" s="43" t="str">
        <f>HYPERLINK("https://ictv.global/taxonomy/taxondetails?taxnode_id=202211985","ictv.global=202211985")</f>
        <v>ictv.global=202211985</v>
      </c>
    </row>
    <row r="1829" spans="1:21">
      <c r="A1829">
        <v>1828</v>
      </c>
      <c r="B1829" s="29" t="s">
        <v>3682</v>
      </c>
      <c r="C1829" s="29"/>
      <c r="D1829" s="29" t="s">
        <v>3683</v>
      </c>
      <c r="E1829" s="29"/>
      <c r="F1829" s="29" t="s">
        <v>3686</v>
      </c>
      <c r="G1829" s="29"/>
      <c r="H1829" s="29" t="s">
        <v>3687</v>
      </c>
      <c r="I1829" s="29"/>
      <c r="J1829" s="29"/>
      <c r="K1829" s="29"/>
      <c r="L1829" s="29" t="s">
        <v>8811</v>
      </c>
      <c r="M1829" s="29" t="s">
        <v>999</v>
      </c>
      <c r="N1829" s="29" t="s">
        <v>3387</v>
      </c>
      <c r="O1829" s="29"/>
      <c r="P1829" s="29" t="s">
        <v>8954</v>
      </c>
      <c r="Q1829" t="s">
        <v>2038</v>
      </c>
      <c r="R1829" t="s">
        <v>2633</v>
      </c>
      <c r="S1829">
        <v>37</v>
      </c>
      <c r="T1829" s="43" t="str">
        <f t="shared" si="76"/>
        <v>2021.082B.R.Tevens_new_families.zip</v>
      </c>
      <c r="U1829" s="43" t="str">
        <f>HYPERLINK("https://ictv.global/taxonomy/taxondetails?taxnode_id=202211986","ictv.global=202211986")</f>
        <v>ictv.global=202211986</v>
      </c>
    </row>
    <row r="1830" spans="1:21">
      <c r="A1830">
        <v>1829</v>
      </c>
      <c r="B1830" s="29" t="s">
        <v>3682</v>
      </c>
      <c r="C1830" s="29"/>
      <c r="D1830" s="29" t="s">
        <v>3683</v>
      </c>
      <c r="E1830" s="29"/>
      <c r="F1830" s="29" t="s">
        <v>3686</v>
      </c>
      <c r="G1830" s="29"/>
      <c r="H1830" s="29" t="s">
        <v>3687</v>
      </c>
      <c r="I1830" s="29"/>
      <c r="J1830" s="29"/>
      <c r="K1830" s="29"/>
      <c r="L1830" s="29" t="s">
        <v>8811</v>
      </c>
      <c r="M1830" s="29" t="s">
        <v>999</v>
      </c>
      <c r="N1830" s="29" t="s">
        <v>3387</v>
      </c>
      <c r="O1830" s="29"/>
      <c r="P1830" s="29" t="s">
        <v>8955</v>
      </c>
      <c r="Q1830" t="s">
        <v>2038</v>
      </c>
      <c r="R1830" t="s">
        <v>2633</v>
      </c>
      <c r="S1830">
        <v>37</v>
      </c>
      <c r="T1830" s="43" t="str">
        <f t="shared" si="76"/>
        <v>2021.082B.R.Tevens_new_families.zip</v>
      </c>
      <c r="U1830" s="43" t="str">
        <f>HYPERLINK("https://ictv.global/taxonomy/taxondetails?taxnode_id=202211987","ictv.global=202211987")</f>
        <v>ictv.global=202211987</v>
      </c>
    </row>
    <row r="1831" spans="1:21">
      <c r="A1831">
        <v>1830</v>
      </c>
      <c r="B1831" s="29" t="s">
        <v>3682</v>
      </c>
      <c r="C1831" s="29"/>
      <c r="D1831" s="29" t="s">
        <v>3683</v>
      </c>
      <c r="E1831" s="29"/>
      <c r="F1831" s="29" t="s">
        <v>3686</v>
      </c>
      <c r="G1831" s="29"/>
      <c r="H1831" s="29" t="s">
        <v>3687</v>
      </c>
      <c r="I1831" s="29"/>
      <c r="J1831" s="29"/>
      <c r="K1831" s="29"/>
      <c r="L1831" s="29" t="s">
        <v>8811</v>
      </c>
      <c r="M1831" s="29" t="s">
        <v>999</v>
      </c>
      <c r="N1831" s="29" t="s">
        <v>3387</v>
      </c>
      <c r="O1831" s="29"/>
      <c r="P1831" s="29" t="s">
        <v>8956</v>
      </c>
      <c r="Q1831" t="s">
        <v>2038</v>
      </c>
      <c r="R1831" t="s">
        <v>2632</v>
      </c>
      <c r="S1831">
        <v>37</v>
      </c>
      <c r="T1831" s="43" t="str">
        <f t="shared" si="76"/>
        <v>2021.082B.R.Tevens_new_families.zip</v>
      </c>
      <c r="U1831" s="43" t="str">
        <f>HYPERLINK("https://ictv.global/taxonomy/taxondetails?taxnode_id=202213946","ictv.global=202213946")</f>
        <v>ictv.global=202213946</v>
      </c>
    </row>
    <row r="1832" spans="1:21">
      <c r="A1832">
        <v>1831</v>
      </c>
      <c r="B1832" s="29" t="s">
        <v>3682</v>
      </c>
      <c r="C1832" s="29"/>
      <c r="D1832" s="29" t="s">
        <v>3683</v>
      </c>
      <c r="E1832" s="29"/>
      <c r="F1832" s="29" t="s">
        <v>3686</v>
      </c>
      <c r="G1832" s="29"/>
      <c r="H1832" s="29" t="s">
        <v>3687</v>
      </c>
      <c r="I1832" s="29"/>
      <c r="J1832" s="29"/>
      <c r="K1832" s="29"/>
      <c r="L1832" s="29" t="s">
        <v>8811</v>
      </c>
      <c r="M1832" s="29" t="s">
        <v>999</v>
      </c>
      <c r="N1832" s="29" t="s">
        <v>3387</v>
      </c>
      <c r="O1832" s="29"/>
      <c r="P1832" s="29" t="s">
        <v>8957</v>
      </c>
      <c r="Q1832" t="s">
        <v>2038</v>
      </c>
      <c r="R1832" t="s">
        <v>2632</v>
      </c>
      <c r="S1832">
        <v>38</v>
      </c>
      <c r="T1832" s="43" t="str">
        <f>HYPERLINK("https://ictv.global/ictv/proposals/2022.087B.Straboviridae_update.zip","2022.087B.Straboviridae_update.zip")</f>
        <v>2022.087B.Straboviridae_update.zip</v>
      </c>
      <c r="U1832" s="43" t="str">
        <f>HYPERLINK("https://ictv.global/taxonomy/taxondetails?taxnode_id=202214944","ictv.global=202214944")</f>
        <v>ictv.global=202214944</v>
      </c>
    </row>
    <row r="1833" spans="1:21">
      <c r="A1833">
        <v>1832</v>
      </c>
      <c r="B1833" s="29" t="s">
        <v>3682</v>
      </c>
      <c r="C1833" s="29"/>
      <c r="D1833" s="29" t="s">
        <v>3683</v>
      </c>
      <c r="E1833" s="29"/>
      <c r="F1833" s="29" t="s">
        <v>3686</v>
      </c>
      <c r="G1833" s="29"/>
      <c r="H1833" s="29" t="s">
        <v>3687</v>
      </c>
      <c r="I1833" s="29"/>
      <c r="J1833" s="29"/>
      <c r="K1833" s="29"/>
      <c r="L1833" s="29" t="s">
        <v>8811</v>
      </c>
      <c r="M1833" s="29" t="s">
        <v>999</v>
      </c>
      <c r="N1833" s="29" t="s">
        <v>3387</v>
      </c>
      <c r="O1833" s="29"/>
      <c r="P1833" s="29" t="s">
        <v>8958</v>
      </c>
      <c r="Q1833" t="s">
        <v>2038</v>
      </c>
      <c r="R1833" t="s">
        <v>2633</v>
      </c>
      <c r="S1833">
        <v>37</v>
      </c>
      <c r="T1833" s="43" t="str">
        <f t="shared" ref="T1833:T1838" si="77">HYPERLINK("https://ictv.global/ictv/proposals/2021.082B.R.Tevens_new_families.zip","2021.082B.R.Tevens_new_families.zip")</f>
        <v>2021.082B.R.Tevens_new_families.zip</v>
      </c>
      <c r="U1833" s="43" t="str">
        <f>HYPERLINK("https://ictv.global/taxonomy/taxondetails?taxnode_id=202212018","ictv.global=202212018")</f>
        <v>ictv.global=202212018</v>
      </c>
    </row>
    <row r="1834" spans="1:21">
      <c r="A1834">
        <v>1833</v>
      </c>
      <c r="B1834" s="29" t="s">
        <v>3682</v>
      </c>
      <c r="C1834" s="29"/>
      <c r="D1834" s="29" t="s">
        <v>3683</v>
      </c>
      <c r="E1834" s="29"/>
      <c r="F1834" s="29" t="s">
        <v>3686</v>
      </c>
      <c r="G1834" s="29"/>
      <c r="H1834" s="29" t="s">
        <v>3687</v>
      </c>
      <c r="I1834" s="29"/>
      <c r="J1834" s="29"/>
      <c r="K1834" s="29"/>
      <c r="L1834" s="29" t="s">
        <v>8811</v>
      </c>
      <c r="M1834" s="29" t="s">
        <v>999</v>
      </c>
      <c r="N1834" s="29" t="s">
        <v>3387</v>
      </c>
      <c r="O1834" s="29"/>
      <c r="P1834" s="29" t="s">
        <v>8959</v>
      </c>
      <c r="Q1834" t="s">
        <v>2038</v>
      </c>
      <c r="R1834" t="s">
        <v>2633</v>
      </c>
      <c r="S1834">
        <v>37</v>
      </c>
      <c r="T1834" s="43" t="str">
        <f t="shared" si="77"/>
        <v>2021.082B.R.Tevens_new_families.zip</v>
      </c>
      <c r="U1834" s="43" t="str">
        <f>HYPERLINK("https://ictv.global/taxonomy/taxondetails?taxnode_id=202211966","ictv.global=202211966")</f>
        <v>ictv.global=202211966</v>
      </c>
    </row>
    <row r="1835" spans="1:21">
      <c r="A1835">
        <v>1834</v>
      </c>
      <c r="B1835" s="29" t="s">
        <v>3682</v>
      </c>
      <c r="C1835" s="29"/>
      <c r="D1835" s="29" t="s">
        <v>3683</v>
      </c>
      <c r="E1835" s="29"/>
      <c r="F1835" s="29" t="s">
        <v>3686</v>
      </c>
      <c r="G1835" s="29"/>
      <c r="H1835" s="29" t="s">
        <v>3687</v>
      </c>
      <c r="I1835" s="29"/>
      <c r="J1835" s="29"/>
      <c r="K1835" s="29"/>
      <c r="L1835" s="29" t="s">
        <v>8811</v>
      </c>
      <c r="M1835" s="29" t="s">
        <v>999</v>
      </c>
      <c r="N1835" s="29" t="s">
        <v>3387</v>
      </c>
      <c r="O1835" s="29"/>
      <c r="P1835" s="29" t="s">
        <v>8960</v>
      </c>
      <c r="Q1835" t="s">
        <v>2038</v>
      </c>
      <c r="R1835" t="s">
        <v>2633</v>
      </c>
      <c r="S1835">
        <v>37</v>
      </c>
      <c r="T1835" s="43" t="str">
        <f t="shared" si="77"/>
        <v>2021.082B.R.Tevens_new_families.zip</v>
      </c>
      <c r="U1835" s="43" t="str">
        <f>HYPERLINK("https://ictv.global/taxonomy/taxondetails?taxnode_id=202211967","ictv.global=202211967")</f>
        <v>ictv.global=202211967</v>
      </c>
    </row>
    <row r="1836" spans="1:21">
      <c r="A1836">
        <v>1835</v>
      </c>
      <c r="B1836" s="29" t="s">
        <v>3682</v>
      </c>
      <c r="C1836" s="29"/>
      <c r="D1836" s="29" t="s">
        <v>3683</v>
      </c>
      <c r="E1836" s="29"/>
      <c r="F1836" s="29" t="s">
        <v>3686</v>
      </c>
      <c r="G1836" s="29"/>
      <c r="H1836" s="29" t="s">
        <v>3687</v>
      </c>
      <c r="I1836" s="29"/>
      <c r="J1836" s="29"/>
      <c r="K1836" s="29"/>
      <c r="L1836" s="29" t="s">
        <v>8811</v>
      </c>
      <c r="M1836" s="29" t="s">
        <v>999</v>
      </c>
      <c r="N1836" s="29" t="s">
        <v>3387</v>
      </c>
      <c r="O1836" s="29"/>
      <c r="P1836" s="29" t="s">
        <v>8961</v>
      </c>
      <c r="Q1836" t="s">
        <v>2038</v>
      </c>
      <c r="R1836" t="s">
        <v>2633</v>
      </c>
      <c r="S1836">
        <v>37</v>
      </c>
      <c r="T1836" s="43" t="str">
        <f t="shared" si="77"/>
        <v>2021.082B.R.Tevens_new_families.zip</v>
      </c>
      <c r="U1836" s="43" t="str">
        <f>HYPERLINK("https://ictv.global/taxonomy/taxondetails?taxnode_id=202212008","ictv.global=202212008")</f>
        <v>ictv.global=202212008</v>
      </c>
    </row>
    <row r="1837" spans="1:21">
      <c r="A1837">
        <v>1836</v>
      </c>
      <c r="B1837" s="29" t="s">
        <v>3682</v>
      </c>
      <c r="C1837" s="29"/>
      <c r="D1837" s="29" t="s">
        <v>3683</v>
      </c>
      <c r="E1837" s="29"/>
      <c r="F1837" s="29" t="s">
        <v>3686</v>
      </c>
      <c r="G1837" s="29"/>
      <c r="H1837" s="29" t="s">
        <v>3687</v>
      </c>
      <c r="I1837" s="29"/>
      <c r="J1837" s="29"/>
      <c r="K1837" s="29"/>
      <c r="L1837" s="29" t="s">
        <v>8811</v>
      </c>
      <c r="M1837" s="29" t="s">
        <v>999</v>
      </c>
      <c r="N1837" s="29" t="s">
        <v>3443</v>
      </c>
      <c r="O1837" s="29"/>
      <c r="P1837" s="29" t="s">
        <v>8962</v>
      </c>
      <c r="Q1837" t="s">
        <v>2038</v>
      </c>
      <c r="R1837" t="s">
        <v>2633</v>
      </c>
      <c r="S1837">
        <v>37</v>
      </c>
      <c r="T1837" s="43" t="str">
        <f t="shared" si="77"/>
        <v>2021.082B.R.Tevens_new_families.zip</v>
      </c>
      <c r="U1837" s="43" t="str">
        <f>HYPERLINK("https://ictv.global/taxonomy/taxondetails?taxnode_id=202206871","ictv.global=202206871")</f>
        <v>ictv.global=202206871</v>
      </c>
    </row>
    <row r="1838" spans="1:21">
      <c r="A1838">
        <v>1837</v>
      </c>
      <c r="B1838" s="29" t="s">
        <v>3682</v>
      </c>
      <c r="C1838" s="29"/>
      <c r="D1838" s="29" t="s">
        <v>3683</v>
      </c>
      <c r="E1838" s="29"/>
      <c r="F1838" s="29" t="s">
        <v>3686</v>
      </c>
      <c r="G1838" s="29"/>
      <c r="H1838" s="29" t="s">
        <v>3687</v>
      </c>
      <c r="I1838" s="29"/>
      <c r="J1838" s="29"/>
      <c r="K1838" s="29"/>
      <c r="L1838" s="29" t="s">
        <v>8811</v>
      </c>
      <c r="M1838" s="29" t="s">
        <v>999</v>
      </c>
      <c r="N1838" s="29" t="s">
        <v>3443</v>
      </c>
      <c r="O1838" s="29"/>
      <c r="P1838" s="29" t="s">
        <v>8963</v>
      </c>
      <c r="Q1838" t="s">
        <v>2038</v>
      </c>
      <c r="R1838" t="s">
        <v>2632</v>
      </c>
      <c r="S1838">
        <v>37</v>
      </c>
      <c r="T1838" s="43" t="str">
        <f t="shared" si="77"/>
        <v>2021.082B.R.Tevens_new_families.zip</v>
      </c>
      <c r="U1838" s="43" t="str">
        <f>HYPERLINK("https://ictv.global/taxonomy/taxondetails?taxnode_id=202213688","ictv.global=202213688")</f>
        <v>ictv.global=202213688</v>
      </c>
    </row>
    <row r="1839" spans="1:21">
      <c r="A1839">
        <v>1838</v>
      </c>
      <c r="B1839" s="29" t="s">
        <v>3682</v>
      </c>
      <c r="C1839" s="29"/>
      <c r="D1839" s="29" t="s">
        <v>3683</v>
      </c>
      <c r="E1839" s="29"/>
      <c r="F1839" s="29" t="s">
        <v>3686</v>
      </c>
      <c r="G1839" s="29"/>
      <c r="H1839" s="29" t="s">
        <v>3687</v>
      </c>
      <c r="I1839" s="29"/>
      <c r="J1839" s="29"/>
      <c r="K1839" s="29"/>
      <c r="L1839" s="29" t="s">
        <v>8811</v>
      </c>
      <c r="M1839" s="29" t="s">
        <v>999</v>
      </c>
      <c r="N1839" s="29"/>
      <c r="O1839" s="29"/>
      <c r="P1839" s="29" t="s">
        <v>2053</v>
      </c>
      <c r="Q1839" t="s">
        <v>2038</v>
      </c>
      <c r="R1839" t="s">
        <v>2634</v>
      </c>
      <c r="S1839">
        <v>37</v>
      </c>
      <c r="T1839" s="43" t="str">
        <f>HYPERLINK("https://ictv.global/ictv/proposals/2021.001B.R.abolish_Caudovirales.zip","2021.001B.R.abolish_Caudovirales.zip;2021.082B.A.v1.Tevens_new_families.zip")</f>
        <v>2021.001B.R.abolish_Caudovirales.zip;2021.082B.A.v1.Tevens_new_families.zip</v>
      </c>
      <c r="U1839" s="43" t="str">
        <f>HYPERLINK("https://ictv.global/taxonomy/taxondetails?taxnode_id=202200338","ictv.global=202200338")</f>
        <v>ictv.global=202200338</v>
      </c>
    </row>
    <row r="1840" spans="1:21">
      <c r="A1840">
        <v>1839</v>
      </c>
      <c r="B1840" s="29" t="s">
        <v>3682</v>
      </c>
      <c r="C1840" s="29"/>
      <c r="D1840" s="29" t="s">
        <v>3683</v>
      </c>
      <c r="E1840" s="29"/>
      <c r="F1840" s="29" t="s">
        <v>3686</v>
      </c>
      <c r="G1840" s="29"/>
      <c r="H1840" s="29" t="s">
        <v>3687</v>
      </c>
      <c r="I1840" s="29"/>
      <c r="J1840" s="29"/>
      <c r="K1840" s="29"/>
      <c r="L1840" s="29" t="s">
        <v>8811</v>
      </c>
      <c r="M1840" s="29" t="s">
        <v>4541</v>
      </c>
      <c r="N1840" s="29" t="s">
        <v>4542</v>
      </c>
      <c r="O1840" s="29"/>
      <c r="P1840" s="29" t="s">
        <v>8964</v>
      </c>
      <c r="Q1840" t="s">
        <v>2038</v>
      </c>
      <c r="R1840" t="s">
        <v>2633</v>
      </c>
      <c r="S1840">
        <v>37</v>
      </c>
      <c r="T1840" s="43" t="str">
        <f>HYPERLINK("https://ictv.global/ictv/proposals/2021.082B.R.Tevens_new_families.zip","2021.082B.R.Tevens_new_families.zip")</f>
        <v>2021.082B.R.Tevens_new_families.zip</v>
      </c>
      <c r="U1840" s="43" t="str">
        <f>HYPERLINK("https://ictv.global/taxonomy/taxondetails?taxnode_id=202212076","ictv.global=202212076")</f>
        <v>ictv.global=202212076</v>
      </c>
    </row>
    <row r="1841" spans="1:21">
      <c r="A1841">
        <v>1840</v>
      </c>
      <c r="B1841" s="29" t="s">
        <v>3682</v>
      </c>
      <c r="C1841" s="29"/>
      <c r="D1841" s="29" t="s">
        <v>3683</v>
      </c>
      <c r="E1841" s="29"/>
      <c r="F1841" s="29" t="s">
        <v>3686</v>
      </c>
      <c r="G1841" s="29"/>
      <c r="H1841" s="29" t="s">
        <v>3687</v>
      </c>
      <c r="I1841" s="29"/>
      <c r="J1841" s="29"/>
      <c r="K1841" s="29"/>
      <c r="L1841" s="29" t="s">
        <v>8811</v>
      </c>
      <c r="M1841" s="29" t="s">
        <v>4541</v>
      </c>
      <c r="N1841" s="29" t="s">
        <v>4543</v>
      </c>
      <c r="O1841" s="29"/>
      <c r="P1841" s="29" t="s">
        <v>8965</v>
      </c>
      <c r="Q1841" t="s">
        <v>2038</v>
      </c>
      <c r="R1841" t="s">
        <v>2633</v>
      </c>
      <c r="S1841">
        <v>37</v>
      </c>
      <c r="T1841" s="43" t="str">
        <f>HYPERLINK("https://ictv.global/ictv/proposals/2021.082B.R.Tevens_new_families.zip","2021.082B.R.Tevens_new_families.zip")</f>
        <v>2021.082B.R.Tevens_new_families.zip</v>
      </c>
      <c r="U1841" s="43" t="str">
        <f>HYPERLINK("https://ictv.global/taxonomy/taxondetails?taxnode_id=202212064","ictv.global=202212064")</f>
        <v>ictv.global=202212064</v>
      </c>
    </row>
    <row r="1842" spans="1:21">
      <c r="A1842">
        <v>1841</v>
      </c>
      <c r="B1842" s="29" t="s">
        <v>3682</v>
      </c>
      <c r="C1842" s="29"/>
      <c r="D1842" s="29" t="s">
        <v>3683</v>
      </c>
      <c r="E1842" s="29"/>
      <c r="F1842" s="29" t="s">
        <v>3686</v>
      </c>
      <c r="G1842" s="29"/>
      <c r="H1842" s="29" t="s">
        <v>3687</v>
      </c>
      <c r="I1842" s="29"/>
      <c r="J1842" s="29"/>
      <c r="K1842" s="29"/>
      <c r="L1842" s="29" t="s">
        <v>8811</v>
      </c>
      <c r="M1842" s="29" t="s">
        <v>4541</v>
      </c>
      <c r="N1842" s="29" t="s">
        <v>4543</v>
      </c>
      <c r="O1842" s="29"/>
      <c r="P1842" s="29" t="s">
        <v>8966</v>
      </c>
      <c r="Q1842" t="s">
        <v>2038</v>
      </c>
      <c r="R1842" t="s">
        <v>2633</v>
      </c>
      <c r="S1842">
        <v>37</v>
      </c>
      <c r="T1842" s="43" t="str">
        <f>HYPERLINK("https://ictv.global/ictv/proposals/2021.082B.R.Tevens_new_families.zip","2021.082B.R.Tevens_new_families.zip")</f>
        <v>2021.082B.R.Tevens_new_families.zip</v>
      </c>
      <c r="U1842" s="43" t="str">
        <f>HYPERLINK("https://ictv.global/taxonomy/taxondetails?taxnode_id=202212065","ictv.global=202212065")</f>
        <v>ictv.global=202212065</v>
      </c>
    </row>
    <row r="1843" spans="1:21">
      <c r="A1843">
        <v>1842</v>
      </c>
      <c r="B1843" s="29" t="s">
        <v>3682</v>
      </c>
      <c r="C1843" s="29"/>
      <c r="D1843" s="29" t="s">
        <v>3683</v>
      </c>
      <c r="E1843" s="29"/>
      <c r="F1843" s="29" t="s">
        <v>3686</v>
      </c>
      <c r="G1843" s="29"/>
      <c r="H1843" s="29" t="s">
        <v>3687</v>
      </c>
      <c r="I1843" s="29"/>
      <c r="J1843" s="29"/>
      <c r="K1843" s="29"/>
      <c r="L1843" s="29" t="s">
        <v>8811</v>
      </c>
      <c r="M1843" s="29" t="s">
        <v>4541</v>
      </c>
      <c r="N1843" s="29" t="s">
        <v>4544</v>
      </c>
      <c r="O1843" s="29"/>
      <c r="P1843" s="29" t="s">
        <v>4545</v>
      </c>
      <c r="Q1843" t="s">
        <v>2038</v>
      </c>
      <c r="R1843" t="s">
        <v>2634</v>
      </c>
      <c r="S1843">
        <v>37</v>
      </c>
      <c r="T1843" s="43" t="str">
        <f>HYPERLINK("https://ictv.global/ictv/proposals/2021.001B.R.abolish_Caudovirales.zip","2021.001B.R.abolish_Caudovirales.zip;2021.082B.A.v1.Tevens_new_families.zip")</f>
        <v>2021.001B.R.abolish_Caudovirales.zip;2021.082B.A.v1.Tevens_new_families.zip</v>
      </c>
      <c r="U1843" s="43" t="str">
        <f>HYPERLINK("https://ictv.global/taxonomy/taxondetails?taxnode_id=202212062","ictv.global=202212062")</f>
        <v>ictv.global=202212062</v>
      </c>
    </row>
    <row r="1844" spans="1:21">
      <c r="A1844">
        <v>1843</v>
      </c>
      <c r="B1844" s="29" t="s">
        <v>3682</v>
      </c>
      <c r="C1844" s="29"/>
      <c r="D1844" s="29" t="s">
        <v>3683</v>
      </c>
      <c r="E1844" s="29"/>
      <c r="F1844" s="29" t="s">
        <v>3686</v>
      </c>
      <c r="G1844" s="29"/>
      <c r="H1844" s="29" t="s">
        <v>3687</v>
      </c>
      <c r="I1844" s="29"/>
      <c r="J1844" s="29"/>
      <c r="K1844" s="29"/>
      <c r="L1844" s="29" t="s">
        <v>8811</v>
      </c>
      <c r="M1844" s="29" t="s">
        <v>4541</v>
      </c>
      <c r="N1844" s="29" t="s">
        <v>4546</v>
      </c>
      <c r="O1844" s="29"/>
      <c r="P1844" s="29" t="s">
        <v>8967</v>
      </c>
      <c r="Q1844" t="s">
        <v>2038</v>
      </c>
      <c r="R1844" t="s">
        <v>2633</v>
      </c>
      <c r="S1844">
        <v>37</v>
      </c>
      <c r="T1844" s="43" t="str">
        <f t="shared" ref="T1844:T1870" si="78">HYPERLINK("https://ictv.global/ictv/proposals/2021.082B.R.Tevens_new_families.zip","2021.082B.R.Tevens_new_families.zip")</f>
        <v>2021.082B.R.Tevens_new_families.zip</v>
      </c>
      <c r="U1844" s="43" t="str">
        <f>HYPERLINK("https://ictv.global/taxonomy/taxondetails?taxnode_id=202212070","ictv.global=202212070")</f>
        <v>ictv.global=202212070</v>
      </c>
    </row>
    <row r="1845" spans="1:21">
      <c r="A1845">
        <v>1844</v>
      </c>
      <c r="B1845" s="29" t="s">
        <v>3682</v>
      </c>
      <c r="C1845" s="29"/>
      <c r="D1845" s="29" t="s">
        <v>3683</v>
      </c>
      <c r="E1845" s="29"/>
      <c r="F1845" s="29" t="s">
        <v>3686</v>
      </c>
      <c r="G1845" s="29"/>
      <c r="H1845" s="29" t="s">
        <v>3687</v>
      </c>
      <c r="I1845" s="29"/>
      <c r="J1845" s="29"/>
      <c r="K1845" s="29"/>
      <c r="L1845" s="29" t="s">
        <v>8811</v>
      </c>
      <c r="M1845" s="29" t="s">
        <v>4541</v>
      </c>
      <c r="N1845" s="29" t="s">
        <v>4546</v>
      </c>
      <c r="O1845" s="29"/>
      <c r="P1845" s="29" t="s">
        <v>8968</v>
      </c>
      <c r="Q1845" t="s">
        <v>2038</v>
      </c>
      <c r="R1845" t="s">
        <v>2633</v>
      </c>
      <c r="S1845">
        <v>37</v>
      </c>
      <c r="T1845" s="43" t="str">
        <f t="shared" si="78"/>
        <v>2021.082B.R.Tevens_new_families.zip</v>
      </c>
      <c r="U1845" s="43" t="str">
        <f>HYPERLINK("https://ictv.global/taxonomy/taxondetails?taxnode_id=202212069","ictv.global=202212069")</f>
        <v>ictv.global=202212069</v>
      </c>
    </row>
    <row r="1846" spans="1:21">
      <c r="A1846">
        <v>1845</v>
      </c>
      <c r="B1846" s="29" t="s">
        <v>3682</v>
      </c>
      <c r="C1846" s="29"/>
      <c r="D1846" s="29" t="s">
        <v>3683</v>
      </c>
      <c r="E1846" s="29"/>
      <c r="F1846" s="29" t="s">
        <v>3686</v>
      </c>
      <c r="G1846" s="29"/>
      <c r="H1846" s="29" t="s">
        <v>3687</v>
      </c>
      <c r="I1846" s="29"/>
      <c r="J1846" s="29"/>
      <c r="K1846" s="29"/>
      <c r="L1846" s="29" t="s">
        <v>8811</v>
      </c>
      <c r="M1846" s="29" t="s">
        <v>4541</v>
      </c>
      <c r="N1846" s="29" t="s">
        <v>4546</v>
      </c>
      <c r="O1846" s="29"/>
      <c r="P1846" s="29" t="s">
        <v>8969</v>
      </c>
      <c r="Q1846" t="s">
        <v>2038</v>
      </c>
      <c r="R1846" t="s">
        <v>2633</v>
      </c>
      <c r="S1846">
        <v>37</v>
      </c>
      <c r="T1846" s="43" t="str">
        <f t="shared" si="78"/>
        <v>2021.082B.R.Tevens_new_families.zip</v>
      </c>
      <c r="U1846" s="43" t="str">
        <f>HYPERLINK("https://ictv.global/taxonomy/taxondetails?taxnode_id=202212071","ictv.global=202212071")</f>
        <v>ictv.global=202212071</v>
      </c>
    </row>
    <row r="1847" spans="1:21">
      <c r="A1847">
        <v>1846</v>
      </c>
      <c r="B1847" s="29" t="s">
        <v>3682</v>
      </c>
      <c r="C1847" s="29"/>
      <c r="D1847" s="29" t="s">
        <v>3683</v>
      </c>
      <c r="E1847" s="29"/>
      <c r="F1847" s="29" t="s">
        <v>3686</v>
      </c>
      <c r="G1847" s="29"/>
      <c r="H1847" s="29" t="s">
        <v>3687</v>
      </c>
      <c r="I1847" s="29"/>
      <c r="J1847" s="29"/>
      <c r="K1847" s="29"/>
      <c r="L1847" s="29" t="s">
        <v>8811</v>
      </c>
      <c r="M1847" s="29" t="s">
        <v>4541</v>
      </c>
      <c r="N1847" s="29" t="s">
        <v>4546</v>
      </c>
      <c r="O1847" s="29"/>
      <c r="P1847" s="29" t="s">
        <v>8970</v>
      </c>
      <c r="Q1847" t="s">
        <v>2038</v>
      </c>
      <c r="R1847" t="s">
        <v>2633</v>
      </c>
      <c r="S1847">
        <v>37</v>
      </c>
      <c r="T1847" s="43" t="str">
        <f t="shared" si="78"/>
        <v>2021.082B.R.Tevens_new_families.zip</v>
      </c>
      <c r="U1847" s="43" t="str">
        <f>HYPERLINK("https://ictv.global/taxonomy/taxondetails?taxnode_id=202212068","ictv.global=202212068")</f>
        <v>ictv.global=202212068</v>
      </c>
    </row>
    <row r="1848" spans="1:21">
      <c r="A1848">
        <v>1847</v>
      </c>
      <c r="B1848" s="29" t="s">
        <v>3682</v>
      </c>
      <c r="C1848" s="29"/>
      <c r="D1848" s="29" t="s">
        <v>3683</v>
      </c>
      <c r="E1848" s="29"/>
      <c r="F1848" s="29" t="s">
        <v>3686</v>
      </c>
      <c r="G1848" s="29"/>
      <c r="H1848" s="29" t="s">
        <v>3687</v>
      </c>
      <c r="I1848" s="29"/>
      <c r="J1848" s="29"/>
      <c r="K1848" s="29"/>
      <c r="L1848" s="29" t="s">
        <v>8811</v>
      </c>
      <c r="M1848" s="29" t="s">
        <v>4541</v>
      </c>
      <c r="N1848" s="29" t="s">
        <v>4546</v>
      </c>
      <c r="O1848" s="29"/>
      <c r="P1848" s="29" t="s">
        <v>8971</v>
      </c>
      <c r="Q1848" t="s">
        <v>2038</v>
      </c>
      <c r="R1848" t="s">
        <v>2633</v>
      </c>
      <c r="S1848">
        <v>37</v>
      </c>
      <c r="T1848" s="43" t="str">
        <f t="shared" si="78"/>
        <v>2021.082B.R.Tevens_new_families.zip</v>
      </c>
      <c r="U1848" s="43" t="str">
        <f>HYPERLINK("https://ictv.global/taxonomy/taxondetails?taxnode_id=202212072","ictv.global=202212072")</f>
        <v>ictv.global=202212072</v>
      </c>
    </row>
    <row r="1849" spans="1:21">
      <c r="A1849">
        <v>1848</v>
      </c>
      <c r="B1849" s="29" t="s">
        <v>3682</v>
      </c>
      <c r="C1849" s="29"/>
      <c r="D1849" s="29" t="s">
        <v>3683</v>
      </c>
      <c r="E1849" s="29"/>
      <c r="F1849" s="29" t="s">
        <v>3686</v>
      </c>
      <c r="G1849" s="29"/>
      <c r="H1849" s="29" t="s">
        <v>3687</v>
      </c>
      <c r="I1849" s="29"/>
      <c r="J1849" s="29"/>
      <c r="K1849" s="29"/>
      <c r="L1849" s="29" t="s">
        <v>8811</v>
      </c>
      <c r="M1849" s="29" t="s">
        <v>4541</v>
      </c>
      <c r="N1849" s="29" t="s">
        <v>4546</v>
      </c>
      <c r="O1849" s="29"/>
      <c r="P1849" s="29" t="s">
        <v>8972</v>
      </c>
      <c r="Q1849" t="s">
        <v>2038</v>
      </c>
      <c r="R1849" t="s">
        <v>2633</v>
      </c>
      <c r="S1849">
        <v>37</v>
      </c>
      <c r="T1849" s="43" t="str">
        <f t="shared" si="78"/>
        <v>2021.082B.R.Tevens_new_families.zip</v>
      </c>
      <c r="U1849" s="43" t="str">
        <f>HYPERLINK("https://ictv.global/taxonomy/taxondetails?taxnode_id=202212074","ictv.global=202212074")</f>
        <v>ictv.global=202212074</v>
      </c>
    </row>
    <row r="1850" spans="1:21">
      <c r="A1850">
        <v>1849</v>
      </c>
      <c r="B1850" s="29" t="s">
        <v>3682</v>
      </c>
      <c r="C1850" s="29"/>
      <c r="D1850" s="29" t="s">
        <v>3683</v>
      </c>
      <c r="E1850" s="29"/>
      <c r="F1850" s="29" t="s">
        <v>3686</v>
      </c>
      <c r="G1850" s="29"/>
      <c r="H1850" s="29" t="s">
        <v>3687</v>
      </c>
      <c r="I1850" s="29"/>
      <c r="J1850" s="29"/>
      <c r="K1850" s="29"/>
      <c r="L1850" s="29" t="s">
        <v>8811</v>
      </c>
      <c r="M1850" s="29" t="s">
        <v>4541</v>
      </c>
      <c r="N1850" s="29" t="s">
        <v>4546</v>
      </c>
      <c r="O1850" s="29"/>
      <c r="P1850" s="29" t="s">
        <v>8973</v>
      </c>
      <c r="Q1850" t="s">
        <v>2038</v>
      </c>
      <c r="R1850" t="s">
        <v>2633</v>
      </c>
      <c r="S1850">
        <v>37</v>
      </c>
      <c r="T1850" s="43" t="str">
        <f t="shared" si="78"/>
        <v>2021.082B.R.Tevens_new_families.zip</v>
      </c>
      <c r="U1850" s="43" t="str">
        <f>HYPERLINK("https://ictv.global/taxonomy/taxondetails?taxnode_id=202212073","ictv.global=202212073")</f>
        <v>ictv.global=202212073</v>
      </c>
    </row>
    <row r="1851" spans="1:21">
      <c r="A1851">
        <v>1850</v>
      </c>
      <c r="B1851" s="29" t="s">
        <v>3682</v>
      </c>
      <c r="C1851" s="29"/>
      <c r="D1851" s="29" t="s">
        <v>3683</v>
      </c>
      <c r="E1851" s="29"/>
      <c r="F1851" s="29" t="s">
        <v>3686</v>
      </c>
      <c r="G1851" s="29"/>
      <c r="H1851" s="29" t="s">
        <v>3687</v>
      </c>
      <c r="I1851" s="29"/>
      <c r="J1851" s="29"/>
      <c r="K1851" s="29"/>
      <c r="L1851" s="29" t="s">
        <v>8811</v>
      </c>
      <c r="M1851" s="29" t="s">
        <v>4541</v>
      </c>
      <c r="N1851" s="29" t="s">
        <v>4546</v>
      </c>
      <c r="O1851" s="29"/>
      <c r="P1851" s="29" t="s">
        <v>8974</v>
      </c>
      <c r="Q1851" t="s">
        <v>2038</v>
      </c>
      <c r="R1851" t="s">
        <v>2633</v>
      </c>
      <c r="S1851">
        <v>37</v>
      </c>
      <c r="T1851" s="43" t="str">
        <f t="shared" si="78"/>
        <v>2021.082B.R.Tevens_new_families.zip</v>
      </c>
      <c r="U1851" s="43" t="str">
        <f>HYPERLINK("https://ictv.global/taxonomy/taxondetails?taxnode_id=202212067","ictv.global=202212067")</f>
        <v>ictv.global=202212067</v>
      </c>
    </row>
    <row r="1852" spans="1:21">
      <c r="A1852">
        <v>1851</v>
      </c>
      <c r="B1852" s="29" t="s">
        <v>3682</v>
      </c>
      <c r="C1852" s="29"/>
      <c r="D1852" s="29" t="s">
        <v>3683</v>
      </c>
      <c r="E1852" s="29"/>
      <c r="F1852" s="29" t="s">
        <v>3686</v>
      </c>
      <c r="G1852" s="29"/>
      <c r="H1852" s="29" t="s">
        <v>3687</v>
      </c>
      <c r="I1852" s="29"/>
      <c r="J1852" s="29"/>
      <c r="K1852" s="29"/>
      <c r="L1852" s="29" t="s">
        <v>8811</v>
      </c>
      <c r="M1852" s="29" t="s">
        <v>4541</v>
      </c>
      <c r="N1852" s="29" t="s">
        <v>4547</v>
      </c>
      <c r="O1852" s="29"/>
      <c r="P1852" s="29" t="s">
        <v>8975</v>
      </c>
      <c r="Q1852" t="s">
        <v>2038</v>
      </c>
      <c r="R1852" t="s">
        <v>2633</v>
      </c>
      <c r="S1852">
        <v>37</v>
      </c>
      <c r="T1852" s="43" t="str">
        <f t="shared" si="78"/>
        <v>2021.082B.R.Tevens_new_families.zip</v>
      </c>
      <c r="U1852" s="43" t="str">
        <f>HYPERLINK("https://ictv.global/taxonomy/taxondetails?taxnode_id=202212060","ictv.global=202212060")</f>
        <v>ictv.global=202212060</v>
      </c>
    </row>
    <row r="1853" spans="1:21">
      <c r="A1853">
        <v>1852</v>
      </c>
      <c r="B1853" s="29" t="s">
        <v>3682</v>
      </c>
      <c r="C1853" s="29"/>
      <c r="D1853" s="29" t="s">
        <v>3683</v>
      </c>
      <c r="E1853" s="29"/>
      <c r="F1853" s="29" t="s">
        <v>3686</v>
      </c>
      <c r="G1853" s="29"/>
      <c r="H1853" s="29" t="s">
        <v>3687</v>
      </c>
      <c r="I1853" s="29"/>
      <c r="J1853" s="29"/>
      <c r="K1853" s="29"/>
      <c r="L1853" s="29" t="s">
        <v>8811</v>
      </c>
      <c r="M1853" s="29"/>
      <c r="N1853" s="29" t="s">
        <v>8976</v>
      </c>
      <c r="O1853" s="29"/>
      <c r="P1853" s="29" t="s">
        <v>8977</v>
      </c>
      <c r="Q1853" t="s">
        <v>2038</v>
      </c>
      <c r="R1853" t="s">
        <v>2632</v>
      </c>
      <c r="S1853">
        <v>37</v>
      </c>
      <c r="T1853" s="43" t="str">
        <f t="shared" si="78"/>
        <v>2021.082B.R.Tevens_new_families.zip</v>
      </c>
      <c r="U1853" s="43" t="str">
        <f>HYPERLINK("https://ictv.global/taxonomy/taxondetails?taxnode_id=202213672","ictv.global=202213672")</f>
        <v>ictv.global=202213672</v>
      </c>
    </row>
    <row r="1854" spans="1:21">
      <c r="A1854">
        <v>1853</v>
      </c>
      <c r="B1854" s="29" t="s">
        <v>3682</v>
      </c>
      <c r="C1854" s="29"/>
      <c r="D1854" s="29" t="s">
        <v>3683</v>
      </c>
      <c r="E1854" s="29"/>
      <c r="F1854" s="29" t="s">
        <v>3686</v>
      </c>
      <c r="G1854" s="29"/>
      <c r="H1854" s="29" t="s">
        <v>3687</v>
      </c>
      <c r="I1854" s="29"/>
      <c r="J1854" s="29"/>
      <c r="K1854" s="29"/>
      <c r="L1854" s="29" t="s">
        <v>8811</v>
      </c>
      <c r="M1854" s="29"/>
      <c r="N1854" s="29" t="s">
        <v>2058</v>
      </c>
      <c r="O1854" s="29"/>
      <c r="P1854" s="29" t="s">
        <v>8978</v>
      </c>
      <c r="Q1854" t="s">
        <v>2038</v>
      </c>
      <c r="R1854" t="s">
        <v>2633</v>
      </c>
      <c r="S1854">
        <v>37</v>
      </c>
      <c r="T1854" s="43" t="str">
        <f t="shared" si="78"/>
        <v>2021.082B.R.Tevens_new_families.zip</v>
      </c>
      <c r="U1854" s="43" t="str">
        <f>HYPERLINK("https://ictv.global/taxonomy/taxondetails?taxnode_id=202200411","ictv.global=202200411")</f>
        <v>ictv.global=202200411</v>
      </c>
    </row>
    <row r="1855" spans="1:21">
      <c r="A1855">
        <v>1854</v>
      </c>
      <c r="B1855" s="29" t="s">
        <v>3682</v>
      </c>
      <c r="C1855" s="29"/>
      <c r="D1855" s="29" t="s">
        <v>3683</v>
      </c>
      <c r="E1855" s="29"/>
      <c r="F1855" s="29" t="s">
        <v>3686</v>
      </c>
      <c r="G1855" s="29"/>
      <c r="H1855" s="29" t="s">
        <v>3687</v>
      </c>
      <c r="I1855" s="29"/>
      <c r="J1855" s="29"/>
      <c r="K1855" s="29"/>
      <c r="L1855" s="29" t="s">
        <v>8811</v>
      </c>
      <c r="M1855" s="29"/>
      <c r="N1855" s="29" t="s">
        <v>8979</v>
      </c>
      <c r="O1855" s="29"/>
      <c r="P1855" s="29" t="s">
        <v>8980</v>
      </c>
      <c r="Q1855" t="s">
        <v>2038</v>
      </c>
      <c r="R1855" t="s">
        <v>2632</v>
      </c>
      <c r="S1855">
        <v>37</v>
      </c>
      <c r="T1855" s="43" t="str">
        <f t="shared" si="78"/>
        <v>2021.082B.R.Tevens_new_families.zip</v>
      </c>
      <c r="U1855" s="43" t="str">
        <f>HYPERLINK("https://ictv.global/taxonomy/taxondetails?taxnode_id=202213682","ictv.global=202213682")</f>
        <v>ictv.global=202213682</v>
      </c>
    </row>
    <row r="1856" spans="1:21">
      <c r="A1856">
        <v>1855</v>
      </c>
      <c r="B1856" s="29" t="s">
        <v>3682</v>
      </c>
      <c r="C1856" s="29"/>
      <c r="D1856" s="29" t="s">
        <v>3683</v>
      </c>
      <c r="E1856" s="29"/>
      <c r="F1856" s="29" t="s">
        <v>3686</v>
      </c>
      <c r="G1856" s="29"/>
      <c r="H1856" s="29" t="s">
        <v>3687</v>
      </c>
      <c r="I1856" s="29"/>
      <c r="J1856" s="29"/>
      <c r="K1856" s="29"/>
      <c r="L1856" s="29" t="s">
        <v>8811</v>
      </c>
      <c r="M1856" s="29"/>
      <c r="N1856" s="29" t="s">
        <v>8979</v>
      </c>
      <c r="O1856" s="29"/>
      <c r="P1856" s="29" t="s">
        <v>8981</v>
      </c>
      <c r="Q1856" t="s">
        <v>2038</v>
      </c>
      <c r="R1856" t="s">
        <v>2632</v>
      </c>
      <c r="S1856">
        <v>37</v>
      </c>
      <c r="T1856" s="43" t="str">
        <f t="shared" si="78"/>
        <v>2021.082B.R.Tevens_new_families.zip</v>
      </c>
      <c r="U1856" s="43" t="str">
        <f>HYPERLINK("https://ictv.global/taxonomy/taxondetails?taxnode_id=202213681","ictv.global=202213681")</f>
        <v>ictv.global=202213681</v>
      </c>
    </row>
    <row r="1857" spans="1:21">
      <c r="A1857">
        <v>1856</v>
      </c>
      <c r="B1857" s="29" t="s">
        <v>3682</v>
      </c>
      <c r="C1857" s="29"/>
      <c r="D1857" s="29" t="s">
        <v>3683</v>
      </c>
      <c r="E1857" s="29"/>
      <c r="F1857" s="29" t="s">
        <v>3686</v>
      </c>
      <c r="G1857" s="29"/>
      <c r="H1857" s="29" t="s">
        <v>3687</v>
      </c>
      <c r="I1857" s="29"/>
      <c r="J1857" s="29"/>
      <c r="K1857" s="29"/>
      <c r="L1857" s="29" t="s">
        <v>8811</v>
      </c>
      <c r="M1857" s="29"/>
      <c r="N1857" s="29" t="s">
        <v>8979</v>
      </c>
      <c r="O1857" s="29"/>
      <c r="P1857" s="29" t="s">
        <v>8982</v>
      </c>
      <c r="Q1857" t="s">
        <v>2038</v>
      </c>
      <c r="R1857" t="s">
        <v>2632</v>
      </c>
      <c r="S1857">
        <v>37</v>
      </c>
      <c r="T1857" s="43" t="str">
        <f t="shared" si="78"/>
        <v>2021.082B.R.Tevens_new_families.zip</v>
      </c>
      <c r="U1857" s="43" t="str">
        <f>HYPERLINK("https://ictv.global/taxonomy/taxondetails?taxnode_id=202213680","ictv.global=202213680")</f>
        <v>ictv.global=202213680</v>
      </c>
    </row>
    <row r="1858" spans="1:21">
      <c r="A1858">
        <v>1857</v>
      </c>
      <c r="B1858" s="29" t="s">
        <v>3682</v>
      </c>
      <c r="C1858" s="29"/>
      <c r="D1858" s="29" t="s">
        <v>3683</v>
      </c>
      <c r="E1858" s="29"/>
      <c r="F1858" s="29" t="s">
        <v>3686</v>
      </c>
      <c r="G1858" s="29"/>
      <c r="H1858" s="29" t="s">
        <v>3687</v>
      </c>
      <c r="I1858" s="29"/>
      <c r="J1858" s="29"/>
      <c r="K1858" s="29"/>
      <c r="L1858" s="29" t="s">
        <v>8811</v>
      </c>
      <c r="M1858" s="29"/>
      <c r="N1858" s="29" t="s">
        <v>8983</v>
      </c>
      <c r="O1858" s="29"/>
      <c r="P1858" s="29" t="s">
        <v>8984</v>
      </c>
      <c r="Q1858" t="s">
        <v>2038</v>
      </c>
      <c r="R1858" t="s">
        <v>2632</v>
      </c>
      <c r="S1858">
        <v>37</v>
      </c>
      <c r="T1858" s="43" t="str">
        <f t="shared" si="78"/>
        <v>2021.082B.R.Tevens_new_families.zip</v>
      </c>
      <c r="U1858" s="43" t="str">
        <f>HYPERLINK("https://ictv.global/taxonomy/taxondetails?taxnode_id=202213958","ictv.global=202213958")</f>
        <v>ictv.global=202213958</v>
      </c>
    </row>
    <row r="1859" spans="1:21">
      <c r="A1859">
        <v>1858</v>
      </c>
      <c r="B1859" s="29" t="s">
        <v>3682</v>
      </c>
      <c r="C1859" s="29"/>
      <c r="D1859" s="29" t="s">
        <v>3683</v>
      </c>
      <c r="E1859" s="29"/>
      <c r="F1859" s="29" t="s">
        <v>3686</v>
      </c>
      <c r="G1859" s="29"/>
      <c r="H1859" s="29" t="s">
        <v>3687</v>
      </c>
      <c r="I1859" s="29"/>
      <c r="J1859" s="29"/>
      <c r="K1859" s="29"/>
      <c r="L1859" s="29" t="s">
        <v>8811</v>
      </c>
      <c r="M1859" s="29"/>
      <c r="N1859" s="29" t="s">
        <v>8985</v>
      </c>
      <c r="O1859" s="29"/>
      <c r="P1859" s="29" t="s">
        <v>8986</v>
      </c>
      <c r="Q1859" t="s">
        <v>2038</v>
      </c>
      <c r="R1859" t="s">
        <v>2632</v>
      </c>
      <c r="S1859">
        <v>37</v>
      </c>
      <c r="T1859" s="43" t="str">
        <f t="shared" si="78"/>
        <v>2021.082B.R.Tevens_new_families.zip</v>
      </c>
      <c r="U1859" s="43" t="str">
        <f>HYPERLINK("https://ictv.global/taxonomy/taxondetails?taxnode_id=202213668","ictv.global=202213668")</f>
        <v>ictv.global=202213668</v>
      </c>
    </row>
    <row r="1860" spans="1:21">
      <c r="A1860">
        <v>1859</v>
      </c>
      <c r="B1860" s="29" t="s">
        <v>3682</v>
      </c>
      <c r="C1860" s="29"/>
      <c r="D1860" s="29" t="s">
        <v>3683</v>
      </c>
      <c r="E1860" s="29"/>
      <c r="F1860" s="29" t="s">
        <v>3686</v>
      </c>
      <c r="G1860" s="29"/>
      <c r="H1860" s="29" t="s">
        <v>3687</v>
      </c>
      <c r="I1860" s="29"/>
      <c r="J1860" s="29"/>
      <c r="K1860" s="29"/>
      <c r="L1860" s="29" t="s">
        <v>8811</v>
      </c>
      <c r="M1860" s="29"/>
      <c r="N1860" s="29" t="s">
        <v>8987</v>
      </c>
      <c r="O1860" s="29"/>
      <c r="P1860" s="29" t="s">
        <v>8988</v>
      </c>
      <c r="Q1860" t="s">
        <v>2038</v>
      </c>
      <c r="R1860" t="s">
        <v>2633</v>
      </c>
      <c r="S1860">
        <v>37</v>
      </c>
      <c r="T1860" s="43" t="str">
        <f t="shared" si="78"/>
        <v>2021.082B.R.Tevens_new_families.zip</v>
      </c>
      <c r="U1860" s="43" t="str">
        <f>HYPERLINK("https://ictv.global/taxonomy/taxondetails?taxnode_id=202200340","ictv.global=202200340")</f>
        <v>ictv.global=202200340</v>
      </c>
    </row>
    <row r="1861" spans="1:21">
      <c r="A1861">
        <v>1860</v>
      </c>
      <c r="B1861" s="29" t="s">
        <v>3682</v>
      </c>
      <c r="C1861" s="29"/>
      <c r="D1861" s="29" t="s">
        <v>3683</v>
      </c>
      <c r="E1861" s="29"/>
      <c r="F1861" s="29" t="s">
        <v>3686</v>
      </c>
      <c r="G1861" s="29"/>
      <c r="H1861" s="29" t="s">
        <v>3687</v>
      </c>
      <c r="I1861" s="29"/>
      <c r="J1861" s="29"/>
      <c r="K1861" s="29"/>
      <c r="L1861" s="29" t="s">
        <v>8811</v>
      </c>
      <c r="M1861" s="29"/>
      <c r="N1861" s="29" t="s">
        <v>8987</v>
      </c>
      <c r="O1861" s="29"/>
      <c r="P1861" s="29" t="s">
        <v>8989</v>
      </c>
      <c r="Q1861" t="s">
        <v>2038</v>
      </c>
      <c r="R1861" t="s">
        <v>2632</v>
      </c>
      <c r="S1861">
        <v>37</v>
      </c>
      <c r="T1861" s="43" t="str">
        <f t="shared" si="78"/>
        <v>2021.082B.R.Tevens_new_families.zip</v>
      </c>
      <c r="U1861" s="43" t="str">
        <f>HYPERLINK("https://ictv.global/taxonomy/taxondetails?taxnode_id=202213670","ictv.global=202213670")</f>
        <v>ictv.global=202213670</v>
      </c>
    </row>
    <row r="1862" spans="1:21">
      <c r="A1862">
        <v>1861</v>
      </c>
      <c r="B1862" s="29" t="s">
        <v>3682</v>
      </c>
      <c r="C1862" s="29"/>
      <c r="D1862" s="29" t="s">
        <v>3683</v>
      </c>
      <c r="E1862" s="29"/>
      <c r="F1862" s="29" t="s">
        <v>3686</v>
      </c>
      <c r="G1862" s="29"/>
      <c r="H1862" s="29" t="s">
        <v>3687</v>
      </c>
      <c r="I1862" s="29"/>
      <c r="J1862" s="29"/>
      <c r="K1862" s="29"/>
      <c r="L1862" s="29" t="s">
        <v>8811</v>
      </c>
      <c r="M1862" s="29"/>
      <c r="N1862" s="29" t="s">
        <v>8990</v>
      </c>
      <c r="O1862" s="29"/>
      <c r="P1862" s="29" t="s">
        <v>8991</v>
      </c>
      <c r="Q1862" t="s">
        <v>2038</v>
      </c>
      <c r="R1862" t="s">
        <v>2632</v>
      </c>
      <c r="S1862">
        <v>37</v>
      </c>
      <c r="T1862" s="43" t="str">
        <f t="shared" si="78"/>
        <v>2021.082B.R.Tevens_new_families.zip</v>
      </c>
      <c r="U1862" s="43" t="str">
        <f>HYPERLINK("https://ictv.global/taxonomy/taxondetails?taxnode_id=202213678","ictv.global=202213678")</f>
        <v>ictv.global=202213678</v>
      </c>
    </row>
    <row r="1863" spans="1:21">
      <c r="A1863">
        <v>1862</v>
      </c>
      <c r="B1863" s="29" t="s">
        <v>3682</v>
      </c>
      <c r="C1863" s="29"/>
      <c r="D1863" s="29" t="s">
        <v>3683</v>
      </c>
      <c r="E1863" s="29"/>
      <c r="F1863" s="29" t="s">
        <v>3686</v>
      </c>
      <c r="G1863" s="29"/>
      <c r="H1863" s="29" t="s">
        <v>3687</v>
      </c>
      <c r="I1863" s="29"/>
      <c r="J1863" s="29"/>
      <c r="K1863" s="29"/>
      <c r="L1863" s="29" t="s">
        <v>8811</v>
      </c>
      <c r="M1863" s="29"/>
      <c r="N1863" s="29" t="s">
        <v>8992</v>
      </c>
      <c r="O1863" s="29"/>
      <c r="P1863" s="29" t="s">
        <v>8993</v>
      </c>
      <c r="Q1863" t="s">
        <v>2038</v>
      </c>
      <c r="R1863" t="s">
        <v>2632</v>
      </c>
      <c r="S1863">
        <v>37</v>
      </c>
      <c r="T1863" s="43" t="str">
        <f t="shared" si="78"/>
        <v>2021.082B.R.Tevens_new_families.zip</v>
      </c>
      <c r="U1863" s="43" t="str">
        <f>HYPERLINK("https://ictv.global/taxonomy/taxondetails?taxnode_id=202213684","ictv.global=202213684")</f>
        <v>ictv.global=202213684</v>
      </c>
    </row>
    <row r="1864" spans="1:21">
      <c r="A1864">
        <v>1863</v>
      </c>
      <c r="B1864" s="29" t="s">
        <v>3682</v>
      </c>
      <c r="C1864" s="29"/>
      <c r="D1864" s="29" t="s">
        <v>3683</v>
      </c>
      <c r="E1864" s="29"/>
      <c r="F1864" s="29" t="s">
        <v>3686</v>
      </c>
      <c r="G1864" s="29"/>
      <c r="H1864" s="29" t="s">
        <v>3687</v>
      </c>
      <c r="I1864" s="29"/>
      <c r="J1864" s="29"/>
      <c r="K1864" s="29"/>
      <c r="L1864" s="29" t="s">
        <v>8811</v>
      </c>
      <c r="M1864" s="29"/>
      <c r="N1864" s="29" t="s">
        <v>3383</v>
      </c>
      <c r="O1864" s="29"/>
      <c r="P1864" s="29" t="s">
        <v>8994</v>
      </c>
      <c r="Q1864" t="s">
        <v>2038</v>
      </c>
      <c r="R1864" t="s">
        <v>2633</v>
      </c>
      <c r="S1864">
        <v>37</v>
      </c>
      <c r="T1864" s="43" t="str">
        <f t="shared" si="78"/>
        <v>2021.082B.R.Tevens_new_families.zip</v>
      </c>
      <c r="U1864" s="43" t="str">
        <f>HYPERLINK("https://ictv.global/taxonomy/taxondetails?taxnode_id=202207038","ictv.global=202207038")</f>
        <v>ictv.global=202207038</v>
      </c>
    </row>
    <row r="1865" spans="1:21">
      <c r="A1865">
        <v>1864</v>
      </c>
      <c r="B1865" s="29" t="s">
        <v>3682</v>
      </c>
      <c r="C1865" s="29"/>
      <c r="D1865" s="29" t="s">
        <v>3683</v>
      </c>
      <c r="E1865" s="29"/>
      <c r="F1865" s="29" t="s">
        <v>3686</v>
      </c>
      <c r="G1865" s="29"/>
      <c r="H1865" s="29" t="s">
        <v>3687</v>
      </c>
      <c r="I1865" s="29"/>
      <c r="J1865" s="29"/>
      <c r="K1865" s="29"/>
      <c r="L1865" s="29" t="s">
        <v>8811</v>
      </c>
      <c r="M1865" s="29"/>
      <c r="N1865" s="29" t="s">
        <v>3383</v>
      </c>
      <c r="O1865" s="29"/>
      <c r="P1865" s="29" t="s">
        <v>8995</v>
      </c>
      <c r="Q1865" t="s">
        <v>2038</v>
      </c>
      <c r="R1865" t="s">
        <v>2633</v>
      </c>
      <c r="S1865">
        <v>37</v>
      </c>
      <c r="T1865" s="43" t="str">
        <f t="shared" si="78"/>
        <v>2021.082B.R.Tevens_new_families.zip</v>
      </c>
      <c r="U1865" s="43" t="str">
        <f>HYPERLINK("https://ictv.global/taxonomy/taxondetails?taxnode_id=202207039","ictv.global=202207039")</f>
        <v>ictv.global=202207039</v>
      </c>
    </row>
    <row r="1866" spans="1:21">
      <c r="A1866">
        <v>1865</v>
      </c>
      <c r="B1866" s="29" t="s">
        <v>3682</v>
      </c>
      <c r="C1866" s="29"/>
      <c r="D1866" s="29" t="s">
        <v>3683</v>
      </c>
      <c r="E1866" s="29"/>
      <c r="F1866" s="29" t="s">
        <v>3686</v>
      </c>
      <c r="G1866" s="29"/>
      <c r="H1866" s="29" t="s">
        <v>3687</v>
      </c>
      <c r="I1866" s="29"/>
      <c r="J1866" s="29"/>
      <c r="K1866" s="29"/>
      <c r="L1866" s="29" t="s">
        <v>8811</v>
      </c>
      <c r="M1866" s="29"/>
      <c r="N1866" s="29" t="s">
        <v>3383</v>
      </c>
      <c r="O1866" s="29"/>
      <c r="P1866" s="29" t="s">
        <v>8996</v>
      </c>
      <c r="Q1866" t="s">
        <v>2038</v>
      </c>
      <c r="R1866" t="s">
        <v>2633</v>
      </c>
      <c r="S1866">
        <v>37</v>
      </c>
      <c r="T1866" s="43" t="str">
        <f t="shared" si="78"/>
        <v>2021.082B.R.Tevens_new_families.zip</v>
      </c>
      <c r="U1866" s="43" t="str">
        <f>HYPERLINK("https://ictv.global/taxonomy/taxondetails?taxnode_id=202200303","ictv.global=202200303")</f>
        <v>ictv.global=202200303</v>
      </c>
    </row>
    <row r="1867" spans="1:21">
      <c r="A1867">
        <v>1866</v>
      </c>
      <c r="B1867" s="29" t="s">
        <v>3682</v>
      </c>
      <c r="C1867" s="29"/>
      <c r="D1867" s="29" t="s">
        <v>3683</v>
      </c>
      <c r="E1867" s="29"/>
      <c r="F1867" s="29" t="s">
        <v>3686</v>
      </c>
      <c r="G1867" s="29"/>
      <c r="H1867" s="29" t="s">
        <v>3687</v>
      </c>
      <c r="I1867" s="29"/>
      <c r="J1867" s="29"/>
      <c r="K1867" s="29"/>
      <c r="L1867" s="29" t="s">
        <v>8811</v>
      </c>
      <c r="M1867" s="29"/>
      <c r="N1867" s="29" t="s">
        <v>3383</v>
      </c>
      <c r="O1867" s="29"/>
      <c r="P1867" s="29" t="s">
        <v>8997</v>
      </c>
      <c r="Q1867" t="s">
        <v>2038</v>
      </c>
      <c r="R1867" t="s">
        <v>2633</v>
      </c>
      <c r="S1867">
        <v>37</v>
      </c>
      <c r="T1867" s="43" t="str">
        <f t="shared" si="78"/>
        <v>2021.082B.R.Tevens_new_families.zip</v>
      </c>
      <c r="U1867" s="43" t="str">
        <f>HYPERLINK("https://ictv.global/taxonomy/taxondetails?taxnode_id=202200302","ictv.global=202200302")</f>
        <v>ictv.global=202200302</v>
      </c>
    </row>
    <row r="1868" spans="1:21">
      <c r="A1868">
        <v>1867</v>
      </c>
      <c r="B1868" s="29" t="s">
        <v>3682</v>
      </c>
      <c r="C1868" s="29"/>
      <c r="D1868" s="29" t="s">
        <v>3683</v>
      </c>
      <c r="E1868" s="29"/>
      <c r="F1868" s="29" t="s">
        <v>3686</v>
      </c>
      <c r="G1868" s="29"/>
      <c r="H1868" s="29" t="s">
        <v>3687</v>
      </c>
      <c r="I1868" s="29"/>
      <c r="J1868" s="29"/>
      <c r="K1868" s="29"/>
      <c r="L1868" s="29" t="s">
        <v>8811</v>
      </c>
      <c r="M1868" s="29"/>
      <c r="N1868" s="29" t="s">
        <v>3383</v>
      </c>
      <c r="O1868" s="29"/>
      <c r="P1868" s="29" t="s">
        <v>8998</v>
      </c>
      <c r="Q1868" t="s">
        <v>2038</v>
      </c>
      <c r="R1868" t="s">
        <v>2632</v>
      </c>
      <c r="S1868">
        <v>37</v>
      </c>
      <c r="T1868" s="43" t="str">
        <f t="shared" si="78"/>
        <v>2021.082B.R.Tevens_new_families.zip</v>
      </c>
      <c r="U1868" s="43" t="str">
        <f>HYPERLINK("https://ictv.global/taxonomy/taxondetails?taxnode_id=202213676","ictv.global=202213676")</f>
        <v>ictv.global=202213676</v>
      </c>
    </row>
    <row r="1869" spans="1:21">
      <c r="A1869">
        <v>1868</v>
      </c>
      <c r="B1869" s="29" t="s">
        <v>3682</v>
      </c>
      <c r="C1869" s="29"/>
      <c r="D1869" s="29" t="s">
        <v>3683</v>
      </c>
      <c r="E1869" s="29"/>
      <c r="F1869" s="29" t="s">
        <v>3686</v>
      </c>
      <c r="G1869" s="29"/>
      <c r="H1869" s="29" t="s">
        <v>3687</v>
      </c>
      <c r="I1869" s="29"/>
      <c r="J1869" s="29"/>
      <c r="K1869" s="29"/>
      <c r="L1869" s="29" t="s">
        <v>8811</v>
      </c>
      <c r="M1869" s="29"/>
      <c r="N1869" s="29" t="s">
        <v>3383</v>
      </c>
      <c r="O1869" s="29"/>
      <c r="P1869" s="29" t="s">
        <v>8999</v>
      </c>
      <c r="Q1869" t="s">
        <v>2038</v>
      </c>
      <c r="R1869" t="s">
        <v>2633</v>
      </c>
      <c r="S1869">
        <v>37</v>
      </c>
      <c r="T1869" s="43" t="str">
        <f t="shared" si="78"/>
        <v>2021.082B.R.Tevens_new_families.zip</v>
      </c>
      <c r="U1869" s="43" t="str">
        <f>HYPERLINK("https://ictv.global/taxonomy/taxondetails?taxnode_id=202200304","ictv.global=202200304")</f>
        <v>ictv.global=202200304</v>
      </c>
    </row>
    <row r="1870" spans="1:21">
      <c r="A1870">
        <v>1869</v>
      </c>
      <c r="B1870" s="29" t="s">
        <v>3682</v>
      </c>
      <c r="C1870" s="29"/>
      <c r="D1870" s="29" t="s">
        <v>3683</v>
      </c>
      <c r="E1870" s="29"/>
      <c r="F1870" s="29" t="s">
        <v>3686</v>
      </c>
      <c r="G1870" s="29"/>
      <c r="H1870" s="29" t="s">
        <v>3687</v>
      </c>
      <c r="I1870" s="29"/>
      <c r="J1870" s="29"/>
      <c r="K1870" s="29"/>
      <c r="L1870" s="29" t="s">
        <v>8811</v>
      </c>
      <c r="M1870" s="29"/>
      <c r="N1870" s="29" t="s">
        <v>9000</v>
      </c>
      <c r="O1870" s="29"/>
      <c r="P1870" s="29" t="s">
        <v>9001</v>
      </c>
      <c r="Q1870" t="s">
        <v>2038</v>
      </c>
      <c r="R1870" t="s">
        <v>2633</v>
      </c>
      <c r="S1870">
        <v>37</v>
      </c>
      <c r="T1870" s="43" t="str">
        <f t="shared" si="78"/>
        <v>2021.082B.R.Tevens_new_families.zip</v>
      </c>
      <c r="U1870" s="43" t="str">
        <f>HYPERLINK("https://ictv.global/taxonomy/taxondetails?taxnode_id=202200315","ictv.global=202200315")</f>
        <v>ictv.global=202200315</v>
      </c>
    </row>
    <row r="1871" spans="1:21">
      <c r="A1871">
        <v>1870</v>
      </c>
      <c r="B1871" s="29" t="s">
        <v>3682</v>
      </c>
      <c r="C1871" s="29"/>
      <c r="D1871" s="29" t="s">
        <v>3683</v>
      </c>
      <c r="E1871" s="29"/>
      <c r="F1871" s="29" t="s">
        <v>3686</v>
      </c>
      <c r="G1871" s="29"/>
      <c r="H1871" s="29" t="s">
        <v>3687</v>
      </c>
      <c r="I1871" s="29"/>
      <c r="J1871" s="29"/>
      <c r="K1871" s="29"/>
      <c r="L1871" s="29" t="s">
        <v>8811</v>
      </c>
      <c r="M1871" s="29"/>
      <c r="N1871" s="29" t="s">
        <v>9002</v>
      </c>
      <c r="O1871" s="29"/>
      <c r="P1871" s="29" t="s">
        <v>9003</v>
      </c>
      <c r="Q1871" t="s">
        <v>2038</v>
      </c>
      <c r="R1871" t="s">
        <v>2632</v>
      </c>
      <c r="S1871">
        <v>38</v>
      </c>
      <c r="T1871" s="43" t="str">
        <f>HYPERLINK("https://ictv.global/ictv/proposals/2022.055B.Nanhuvirus_ng.zip","2022.055B.Nanhuvirus_ng.zip")</f>
        <v>2022.055B.Nanhuvirus_ng.zip</v>
      </c>
      <c r="U1871" s="43" t="str">
        <f>HYPERLINK("https://ictv.global/taxonomy/taxondetails?taxnode_id=202214692","ictv.global=202214692")</f>
        <v>ictv.global=202214692</v>
      </c>
    </row>
    <row r="1872" spans="1:21">
      <c r="A1872">
        <v>1871</v>
      </c>
      <c r="B1872" s="29" t="s">
        <v>3682</v>
      </c>
      <c r="C1872" s="29"/>
      <c r="D1872" s="29" t="s">
        <v>3683</v>
      </c>
      <c r="E1872" s="29"/>
      <c r="F1872" s="29" t="s">
        <v>3686</v>
      </c>
      <c r="G1872" s="29"/>
      <c r="H1872" s="29" t="s">
        <v>3687</v>
      </c>
      <c r="I1872" s="29"/>
      <c r="J1872" s="29"/>
      <c r="K1872" s="29"/>
      <c r="L1872" s="29" t="s">
        <v>8811</v>
      </c>
      <c r="M1872" s="29"/>
      <c r="N1872" s="29" t="s">
        <v>4540</v>
      </c>
      <c r="O1872" s="29"/>
      <c r="P1872" s="29" t="s">
        <v>9004</v>
      </c>
      <c r="Q1872" t="s">
        <v>2038</v>
      </c>
      <c r="R1872" t="s">
        <v>2633</v>
      </c>
      <c r="S1872">
        <v>37</v>
      </c>
      <c r="T1872" s="43" t="str">
        <f t="shared" ref="T1872:T1896" si="79">HYPERLINK("https://ictv.global/ictv/proposals/2021.082B.R.Tevens_new_families.zip","2021.082B.R.Tevens_new_families.zip")</f>
        <v>2021.082B.R.Tevens_new_families.zip</v>
      </c>
      <c r="U1872" s="43" t="str">
        <f>HYPERLINK("https://ictv.global/taxonomy/taxondetails?taxnode_id=202211630","ictv.global=202211630")</f>
        <v>ictv.global=202211630</v>
      </c>
    </row>
    <row r="1873" spans="1:21">
      <c r="A1873">
        <v>1872</v>
      </c>
      <c r="B1873" s="29" t="s">
        <v>3682</v>
      </c>
      <c r="C1873" s="29"/>
      <c r="D1873" s="29" t="s">
        <v>3683</v>
      </c>
      <c r="E1873" s="29"/>
      <c r="F1873" s="29" t="s">
        <v>3686</v>
      </c>
      <c r="G1873" s="29"/>
      <c r="H1873" s="29" t="s">
        <v>3687</v>
      </c>
      <c r="I1873" s="29"/>
      <c r="J1873" s="29"/>
      <c r="K1873" s="29"/>
      <c r="L1873" s="29" t="s">
        <v>8811</v>
      </c>
      <c r="M1873" s="29"/>
      <c r="N1873" s="29" t="s">
        <v>4540</v>
      </c>
      <c r="O1873" s="29"/>
      <c r="P1873" s="29" t="s">
        <v>9005</v>
      </c>
      <c r="Q1873" t="s">
        <v>2038</v>
      </c>
      <c r="R1873" t="s">
        <v>2633</v>
      </c>
      <c r="S1873">
        <v>37</v>
      </c>
      <c r="T1873" s="43" t="str">
        <f t="shared" si="79"/>
        <v>2021.082B.R.Tevens_new_families.zip</v>
      </c>
      <c r="U1873" s="43" t="str">
        <f>HYPERLINK("https://ictv.global/taxonomy/taxondetails?taxnode_id=202211632","ictv.global=202211632")</f>
        <v>ictv.global=202211632</v>
      </c>
    </row>
    <row r="1874" spans="1:21">
      <c r="A1874">
        <v>1873</v>
      </c>
      <c r="B1874" s="29" t="s">
        <v>3682</v>
      </c>
      <c r="C1874" s="29"/>
      <c r="D1874" s="29" t="s">
        <v>3683</v>
      </c>
      <c r="E1874" s="29"/>
      <c r="F1874" s="29" t="s">
        <v>3686</v>
      </c>
      <c r="G1874" s="29"/>
      <c r="H1874" s="29" t="s">
        <v>3687</v>
      </c>
      <c r="I1874" s="29"/>
      <c r="J1874" s="29"/>
      <c r="K1874" s="29"/>
      <c r="L1874" s="29" t="s">
        <v>8811</v>
      </c>
      <c r="M1874" s="29"/>
      <c r="N1874" s="29" t="s">
        <v>4540</v>
      </c>
      <c r="O1874" s="29"/>
      <c r="P1874" s="29" t="s">
        <v>9006</v>
      </c>
      <c r="Q1874" t="s">
        <v>2038</v>
      </c>
      <c r="R1874" t="s">
        <v>2633</v>
      </c>
      <c r="S1874">
        <v>37</v>
      </c>
      <c r="T1874" s="43" t="str">
        <f t="shared" si="79"/>
        <v>2021.082B.R.Tevens_new_families.zip</v>
      </c>
      <c r="U1874" s="43" t="str">
        <f>HYPERLINK("https://ictv.global/taxonomy/taxondetails?taxnode_id=202211629","ictv.global=202211629")</f>
        <v>ictv.global=202211629</v>
      </c>
    </row>
    <row r="1875" spans="1:21">
      <c r="A1875">
        <v>1874</v>
      </c>
      <c r="B1875" s="29" t="s">
        <v>3682</v>
      </c>
      <c r="C1875" s="29"/>
      <c r="D1875" s="29" t="s">
        <v>3683</v>
      </c>
      <c r="E1875" s="29"/>
      <c r="F1875" s="29" t="s">
        <v>3686</v>
      </c>
      <c r="G1875" s="29"/>
      <c r="H1875" s="29" t="s">
        <v>3687</v>
      </c>
      <c r="I1875" s="29"/>
      <c r="J1875" s="29"/>
      <c r="K1875" s="29"/>
      <c r="L1875" s="29" t="s">
        <v>8811</v>
      </c>
      <c r="M1875" s="29"/>
      <c r="N1875" s="29" t="s">
        <v>4540</v>
      </c>
      <c r="O1875" s="29"/>
      <c r="P1875" s="29" t="s">
        <v>9007</v>
      </c>
      <c r="Q1875" t="s">
        <v>2038</v>
      </c>
      <c r="R1875" t="s">
        <v>2633</v>
      </c>
      <c r="S1875">
        <v>37</v>
      </c>
      <c r="T1875" s="43" t="str">
        <f t="shared" si="79"/>
        <v>2021.082B.R.Tevens_new_families.zip</v>
      </c>
      <c r="U1875" s="43" t="str">
        <f>HYPERLINK("https://ictv.global/taxonomy/taxondetails?taxnode_id=202211631","ictv.global=202211631")</f>
        <v>ictv.global=202211631</v>
      </c>
    </row>
    <row r="1876" spans="1:21">
      <c r="A1876">
        <v>1875</v>
      </c>
      <c r="B1876" s="29" t="s">
        <v>3682</v>
      </c>
      <c r="C1876" s="29"/>
      <c r="D1876" s="29" t="s">
        <v>3683</v>
      </c>
      <c r="E1876" s="29"/>
      <c r="F1876" s="29" t="s">
        <v>3686</v>
      </c>
      <c r="G1876" s="29"/>
      <c r="H1876" s="29" t="s">
        <v>3687</v>
      </c>
      <c r="I1876" s="29"/>
      <c r="J1876" s="29"/>
      <c r="K1876" s="29"/>
      <c r="L1876" s="29" t="s">
        <v>8811</v>
      </c>
      <c r="M1876" s="29"/>
      <c r="N1876" s="29" t="s">
        <v>4540</v>
      </c>
      <c r="O1876" s="29"/>
      <c r="P1876" s="29" t="s">
        <v>9008</v>
      </c>
      <c r="Q1876" t="s">
        <v>2038</v>
      </c>
      <c r="R1876" t="s">
        <v>2633</v>
      </c>
      <c r="S1876">
        <v>37</v>
      </c>
      <c r="T1876" s="43" t="str">
        <f t="shared" si="79"/>
        <v>2021.082B.R.Tevens_new_families.zip</v>
      </c>
      <c r="U1876" s="43" t="str">
        <f>HYPERLINK("https://ictv.global/taxonomy/taxondetails?taxnode_id=202211634","ictv.global=202211634")</f>
        <v>ictv.global=202211634</v>
      </c>
    </row>
    <row r="1877" spans="1:21">
      <c r="A1877">
        <v>1876</v>
      </c>
      <c r="B1877" s="29" t="s">
        <v>3682</v>
      </c>
      <c r="C1877" s="29"/>
      <c r="D1877" s="29" t="s">
        <v>3683</v>
      </c>
      <c r="E1877" s="29"/>
      <c r="F1877" s="29" t="s">
        <v>3686</v>
      </c>
      <c r="G1877" s="29"/>
      <c r="H1877" s="29" t="s">
        <v>3687</v>
      </c>
      <c r="I1877" s="29"/>
      <c r="J1877" s="29"/>
      <c r="K1877" s="29"/>
      <c r="L1877" s="29" t="s">
        <v>8811</v>
      </c>
      <c r="M1877" s="29"/>
      <c r="N1877" s="29" t="s">
        <v>4540</v>
      </c>
      <c r="O1877" s="29"/>
      <c r="P1877" s="29" t="s">
        <v>9009</v>
      </c>
      <c r="Q1877" t="s">
        <v>2038</v>
      </c>
      <c r="R1877" t="s">
        <v>2633</v>
      </c>
      <c r="S1877">
        <v>37</v>
      </c>
      <c r="T1877" s="43" t="str">
        <f t="shared" si="79"/>
        <v>2021.082B.R.Tevens_new_families.zip</v>
      </c>
      <c r="U1877" s="43" t="str">
        <f>HYPERLINK("https://ictv.global/taxonomy/taxondetails?taxnode_id=202211628","ictv.global=202211628")</f>
        <v>ictv.global=202211628</v>
      </c>
    </row>
    <row r="1878" spans="1:21">
      <c r="A1878">
        <v>1877</v>
      </c>
      <c r="B1878" s="29" t="s">
        <v>3682</v>
      </c>
      <c r="C1878" s="29"/>
      <c r="D1878" s="29" t="s">
        <v>3683</v>
      </c>
      <c r="E1878" s="29"/>
      <c r="F1878" s="29" t="s">
        <v>3686</v>
      </c>
      <c r="G1878" s="29"/>
      <c r="H1878" s="29" t="s">
        <v>3687</v>
      </c>
      <c r="I1878" s="29"/>
      <c r="J1878" s="29"/>
      <c r="K1878" s="29"/>
      <c r="L1878" s="29" t="s">
        <v>8811</v>
      </c>
      <c r="M1878" s="29"/>
      <c r="N1878" s="29" t="s">
        <v>4540</v>
      </c>
      <c r="O1878" s="29"/>
      <c r="P1878" s="29" t="s">
        <v>9010</v>
      </c>
      <c r="Q1878" t="s">
        <v>2038</v>
      </c>
      <c r="R1878" t="s">
        <v>2633</v>
      </c>
      <c r="S1878">
        <v>37</v>
      </c>
      <c r="T1878" s="43" t="str">
        <f t="shared" si="79"/>
        <v>2021.082B.R.Tevens_new_families.zip</v>
      </c>
      <c r="U1878" s="43" t="str">
        <f>HYPERLINK("https://ictv.global/taxonomy/taxondetails?taxnode_id=202211633","ictv.global=202211633")</f>
        <v>ictv.global=202211633</v>
      </c>
    </row>
    <row r="1879" spans="1:21">
      <c r="A1879">
        <v>1878</v>
      </c>
      <c r="B1879" s="29" t="s">
        <v>3682</v>
      </c>
      <c r="C1879" s="29"/>
      <c r="D1879" s="29" t="s">
        <v>3683</v>
      </c>
      <c r="E1879" s="29"/>
      <c r="F1879" s="29" t="s">
        <v>3686</v>
      </c>
      <c r="G1879" s="29"/>
      <c r="H1879" s="29" t="s">
        <v>3687</v>
      </c>
      <c r="I1879" s="29"/>
      <c r="J1879" s="29"/>
      <c r="K1879" s="29"/>
      <c r="L1879" s="29" t="s">
        <v>8811</v>
      </c>
      <c r="M1879" s="29"/>
      <c r="N1879" s="29" t="s">
        <v>4540</v>
      </c>
      <c r="O1879" s="29"/>
      <c r="P1879" s="29" t="s">
        <v>9011</v>
      </c>
      <c r="Q1879" t="s">
        <v>2038</v>
      </c>
      <c r="R1879" t="s">
        <v>2633</v>
      </c>
      <c r="S1879">
        <v>37</v>
      </c>
      <c r="T1879" s="43" t="str">
        <f t="shared" si="79"/>
        <v>2021.082B.R.Tevens_new_families.zip</v>
      </c>
      <c r="U1879" s="43" t="str">
        <f>HYPERLINK("https://ictv.global/taxonomy/taxondetails?taxnode_id=202200341","ictv.global=202200341")</f>
        <v>ictv.global=202200341</v>
      </c>
    </row>
    <row r="1880" spans="1:21">
      <c r="A1880">
        <v>1879</v>
      </c>
      <c r="B1880" s="29" t="s">
        <v>3682</v>
      </c>
      <c r="C1880" s="29"/>
      <c r="D1880" s="29" t="s">
        <v>3683</v>
      </c>
      <c r="E1880" s="29"/>
      <c r="F1880" s="29" t="s">
        <v>3686</v>
      </c>
      <c r="G1880" s="29"/>
      <c r="H1880" s="29" t="s">
        <v>3687</v>
      </c>
      <c r="I1880" s="29"/>
      <c r="J1880" s="29"/>
      <c r="K1880" s="29"/>
      <c r="L1880" s="29" t="s">
        <v>8811</v>
      </c>
      <c r="M1880" s="29"/>
      <c r="N1880" s="29" t="s">
        <v>4540</v>
      </c>
      <c r="O1880" s="29"/>
      <c r="P1880" s="29" t="s">
        <v>9012</v>
      </c>
      <c r="Q1880" t="s">
        <v>2038</v>
      </c>
      <c r="R1880" t="s">
        <v>2633</v>
      </c>
      <c r="S1880">
        <v>37</v>
      </c>
      <c r="T1880" s="43" t="str">
        <f t="shared" si="79"/>
        <v>2021.082B.R.Tevens_new_families.zip</v>
      </c>
      <c r="U1880" s="43" t="str">
        <f>HYPERLINK("https://ictv.global/taxonomy/taxondetails?taxnode_id=202200343","ictv.global=202200343")</f>
        <v>ictv.global=202200343</v>
      </c>
    </row>
    <row r="1881" spans="1:21">
      <c r="A1881">
        <v>1880</v>
      </c>
      <c r="B1881" s="29" t="s">
        <v>3682</v>
      </c>
      <c r="C1881" s="29"/>
      <c r="D1881" s="29" t="s">
        <v>3683</v>
      </c>
      <c r="E1881" s="29"/>
      <c r="F1881" s="29" t="s">
        <v>3686</v>
      </c>
      <c r="G1881" s="29"/>
      <c r="H1881" s="29" t="s">
        <v>3687</v>
      </c>
      <c r="I1881" s="29"/>
      <c r="J1881" s="29"/>
      <c r="K1881" s="29"/>
      <c r="L1881" s="29" t="s">
        <v>8811</v>
      </c>
      <c r="M1881" s="29"/>
      <c r="N1881" s="29" t="s">
        <v>3385</v>
      </c>
      <c r="O1881" s="29"/>
      <c r="P1881" s="29" t="s">
        <v>9013</v>
      </c>
      <c r="Q1881" t="s">
        <v>2038</v>
      </c>
      <c r="R1881" t="s">
        <v>2633</v>
      </c>
      <c r="S1881">
        <v>37</v>
      </c>
      <c r="T1881" s="43" t="str">
        <f t="shared" si="79"/>
        <v>2021.082B.R.Tevens_new_families.zip</v>
      </c>
      <c r="U1881" s="43" t="str">
        <f>HYPERLINK("https://ictv.global/taxonomy/taxondetails?taxnode_id=202200314","ictv.global=202200314")</f>
        <v>ictv.global=202200314</v>
      </c>
    </row>
    <row r="1882" spans="1:21">
      <c r="A1882">
        <v>1881</v>
      </c>
      <c r="B1882" s="29" t="s">
        <v>3682</v>
      </c>
      <c r="C1882" s="29"/>
      <c r="D1882" s="29" t="s">
        <v>3683</v>
      </c>
      <c r="E1882" s="29"/>
      <c r="F1882" s="29" t="s">
        <v>3686</v>
      </c>
      <c r="G1882" s="29"/>
      <c r="H1882" s="29" t="s">
        <v>3687</v>
      </c>
      <c r="I1882" s="29"/>
      <c r="J1882" s="29"/>
      <c r="K1882" s="29"/>
      <c r="L1882" s="29" t="s">
        <v>8811</v>
      </c>
      <c r="M1882" s="29"/>
      <c r="N1882" s="29" t="s">
        <v>3385</v>
      </c>
      <c r="O1882" s="29"/>
      <c r="P1882" s="29" t="s">
        <v>9014</v>
      </c>
      <c r="Q1882" t="s">
        <v>2038</v>
      </c>
      <c r="R1882" t="s">
        <v>2633</v>
      </c>
      <c r="S1882">
        <v>37</v>
      </c>
      <c r="T1882" s="43" t="str">
        <f t="shared" si="79"/>
        <v>2021.082B.R.Tevens_new_families.zip</v>
      </c>
      <c r="U1882" s="43" t="str">
        <f>HYPERLINK("https://ictv.global/taxonomy/taxondetails?taxnode_id=202200316","ictv.global=202200316")</f>
        <v>ictv.global=202200316</v>
      </c>
    </row>
    <row r="1883" spans="1:21">
      <c r="A1883">
        <v>1882</v>
      </c>
      <c r="B1883" s="29" t="s">
        <v>3682</v>
      </c>
      <c r="C1883" s="29"/>
      <c r="D1883" s="29" t="s">
        <v>3683</v>
      </c>
      <c r="E1883" s="29"/>
      <c r="F1883" s="29" t="s">
        <v>3686</v>
      </c>
      <c r="G1883" s="29"/>
      <c r="H1883" s="29" t="s">
        <v>3687</v>
      </c>
      <c r="I1883" s="29"/>
      <c r="J1883" s="29"/>
      <c r="K1883" s="29"/>
      <c r="L1883" s="29" t="s">
        <v>8811</v>
      </c>
      <c r="M1883" s="29"/>
      <c r="N1883" s="29" t="s">
        <v>3385</v>
      </c>
      <c r="O1883" s="29"/>
      <c r="P1883" s="29" t="s">
        <v>9015</v>
      </c>
      <c r="Q1883" t="s">
        <v>2038</v>
      </c>
      <c r="R1883" t="s">
        <v>2632</v>
      </c>
      <c r="S1883">
        <v>37</v>
      </c>
      <c r="T1883" s="43" t="str">
        <f t="shared" si="79"/>
        <v>2021.082B.R.Tevens_new_families.zip</v>
      </c>
      <c r="U1883" s="43" t="str">
        <f>HYPERLINK("https://ictv.global/taxonomy/taxondetails?taxnode_id=202213673","ictv.global=202213673")</f>
        <v>ictv.global=202213673</v>
      </c>
    </row>
    <row r="1884" spans="1:21">
      <c r="A1884">
        <v>1883</v>
      </c>
      <c r="B1884" s="29" t="s">
        <v>3682</v>
      </c>
      <c r="C1884" s="29"/>
      <c r="D1884" s="29" t="s">
        <v>3683</v>
      </c>
      <c r="E1884" s="29"/>
      <c r="F1884" s="29" t="s">
        <v>3686</v>
      </c>
      <c r="G1884" s="29"/>
      <c r="H1884" s="29" t="s">
        <v>3687</v>
      </c>
      <c r="I1884" s="29"/>
      <c r="J1884" s="29"/>
      <c r="K1884" s="29"/>
      <c r="L1884" s="29" t="s">
        <v>8811</v>
      </c>
      <c r="M1884" s="29"/>
      <c r="N1884" s="29" t="s">
        <v>3386</v>
      </c>
      <c r="O1884" s="29"/>
      <c r="P1884" s="29" t="s">
        <v>9016</v>
      </c>
      <c r="Q1884" t="s">
        <v>2038</v>
      </c>
      <c r="R1884" t="s">
        <v>2633</v>
      </c>
      <c r="S1884">
        <v>37</v>
      </c>
      <c r="T1884" s="43" t="str">
        <f t="shared" si="79"/>
        <v>2021.082B.R.Tevens_new_families.zip</v>
      </c>
      <c r="U1884" s="43" t="str">
        <f>HYPERLINK("https://ictv.global/taxonomy/taxondetails?taxnode_id=202200293","ictv.global=202200293")</f>
        <v>ictv.global=202200293</v>
      </c>
    </row>
    <row r="1885" spans="1:21">
      <c r="A1885">
        <v>1884</v>
      </c>
      <c r="B1885" s="29" t="s">
        <v>3682</v>
      </c>
      <c r="C1885" s="29"/>
      <c r="D1885" s="29" t="s">
        <v>3683</v>
      </c>
      <c r="E1885" s="29"/>
      <c r="F1885" s="29" t="s">
        <v>3686</v>
      </c>
      <c r="G1885" s="29"/>
      <c r="H1885" s="29" t="s">
        <v>3687</v>
      </c>
      <c r="I1885" s="29"/>
      <c r="J1885" s="29"/>
      <c r="K1885" s="29"/>
      <c r="L1885" s="29" t="s">
        <v>8811</v>
      </c>
      <c r="M1885" s="29"/>
      <c r="N1885" s="29" t="s">
        <v>3386</v>
      </c>
      <c r="O1885" s="29"/>
      <c r="P1885" s="29" t="s">
        <v>9017</v>
      </c>
      <c r="Q1885" t="s">
        <v>2038</v>
      </c>
      <c r="R1885" t="s">
        <v>2633</v>
      </c>
      <c r="S1885">
        <v>37</v>
      </c>
      <c r="T1885" s="43" t="str">
        <f t="shared" si="79"/>
        <v>2021.082B.R.Tevens_new_families.zip</v>
      </c>
      <c r="U1885" s="43" t="str">
        <f>HYPERLINK("https://ictv.global/taxonomy/taxondetails?taxnode_id=202200294","ictv.global=202200294")</f>
        <v>ictv.global=202200294</v>
      </c>
    </row>
    <row r="1886" spans="1:21">
      <c r="A1886">
        <v>1885</v>
      </c>
      <c r="B1886" s="29" t="s">
        <v>3682</v>
      </c>
      <c r="C1886" s="29"/>
      <c r="D1886" s="29" t="s">
        <v>3683</v>
      </c>
      <c r="E1886" s="29"/>
      <c r="F1886" s="29" t="s">
        <v>3686</v>
      </c>
      <c r="G1886" s="29"/>
      <c r="H1886" s="29" t="s">
        <v>3687</v>
      </c>
      <c r="I1886" s="29"/>
      <c r="J1886" s="29"/>
      <c r="K1886" s="29"/>
      <c r="L1886" s="29" t="s">
        <v>8811</v>
      </c>
      <c r="M1886" s="29"/>
      <c r="N1886" s="29" t="s">
        <v>3386</v>
      </c>
      <c r="O1886" s="29"/>
      <c r="P1886" s="29" t="s">
        <v>9018</v>
      </c>
      <c r="Q1886" t="s">
        <v>2038</v>
      </c>
      <c r="R1886" t="s">
        <v>2633</v>
      </c>
      <c r="S1886">
        <v>37</v>
      </c>
      <c r="T1886" s="43" t="str">
        <f t="shared" si="79"/>
        <v>2021.082B.R.Tevens_new_families.zip</v>
      </c>
      <c r="U1886" s="43" t="str">
        <f>HYPERLINK("https://ictv.global/taxonomy/taxondetails?taxnode_id=202200295","ictv.global=202200295")</f>
        <v>ictv.global=202200295</v>
      </c>
    </row>
    <row r="1887" spans="1:21">
      <c r="A1887">
        <v>1886</v>
      </c>
      <c r="B1887" s="29" t="s">
        <v>3682</v>
      </c>
      <c r="C1887" s="29"/>
      <c r="D1887" s="29" t="s">
        <v>3683</v>
      </c>
      <c r="E1887" s="29"/>
      <c r="F1887" s="29" t="s">
        <v>3686</v>
      </c>
      <c r="G1887" s="29"/>
      <c r="H1887" s="29" t="s">
        <v>3687</v>
      </c>
      <c r="I1887" s="29"/>
      <c r="J1887" s="29"/>
      <c r="K1887" s="29"/>
      <c r="L1887" s="29" t="s">
        <v>8811</v>
      </c>
      <c r="M1887" s="29"/>
      <c r="N1887" s="29" t="s">
        <v>3386</v>
      </c>
      <c r="O1887" s="29"/>
      <c r="P1887" s="29" t="s">
        <v>9019</v>
      </c>
      <c r="Q1887" t="s">
        <v>2038</v>
      </c>
      <c r="R1887" t="s">
        <v>2633</v>
      </c>
      <c r="S1887">
        <v>37</v>
      </c>
      <c r="T1887" s="43" t="str">
        <f t="shared" si="79"/>
        <v>2021.082B.R.Tevens_new_families.zip</v>
      </c>
      <c r="U1887" s="43" t="str">
        <f>HYPERLINK("https://ictv.global/taxonomy/taxondetails?taxnode_id=202200296","ictv.global=202200296")</f>
        <v>ictv.global=202200296</v>
      </c>
    </row>
    <row r="1888" spans="1:21">
      <c r="A1888">
        <v>1887</v>
      </c>
      <c r="B1888" s="29" t="s">
        <v>3682</v>
      </c>
      <c r="C1888" s="29"/>
      <c r="D1888" s="29" t="s">
        <v>3683</v>
      </c>
      <c r="E1888" s="29"/>
      <c r="F1888" s="29" t="s">
        <v>3686</v>
      </c>
      <c r="G1888" s="29"/>
      <c r="H1888" s="29" t="s">
        <v>3687</v>
      </c>
      <c r="I1888" s="29"/>
      <c r="J1888" s="29"/>
      <c r="K1888" s="29"/>
      <c r="L1888" s="29" t="s">
        <v>8811</v>
      </c>
      <c r="M1888" s="29"/>
      <c r="N1888" s="29" t="s">
        <v>3386</v>
      </c>
      <c r="O1888" s="29"/>
      <c r="P1888" s="29" t="s">
        <v>9020</v>
      </c>
      <c r="Q1888" t="s">
        <v>2038</v>
      </c>
      <c r="R1888" t="s">
        <v>2632</v>
      </c>
      <c r="S1888">
        <v>37</v>
      </c>
      <c r="T1888" s="43" t="str">
        <f t="shared" si="79"/>
        <v>2021.082B.R.Tevens_new_families.zip</v>
      </c>
      <c r="U1888" s="43" t="str">
        <f>HYPERLINK("https://ictv.global/taxonomy/taxondetails?taxnode_id=202213675","ictv.global=202213675")</f>
        <v>ictv.global=202213675</v>
      </c>
    </row>
    <row r="1889" spans="1:21">
      <c r="A1889">
        <v>1888</v>
      </c>
      <c r="B1889" s="29" t="s">
        <v>3682</v>
      </c>
      <c r="C1889" s="29"/>
      <c r="D1889" s="29" t="s">
        <v>3683</v>
      </c>
      <c r="E1889" s="29"/>
      <c r="F1889" s="29" t="s">
        <v>3686</v>
      </c>
      <c r="G1889" s="29"/>
      <c r="H1889" s="29" t="s">
        <v>3687</v>
      </c>
      <c r="I1889" s="29"/>
      <c r="J1889" s="29"/>
      <c r="K1889" s="29"/>
      <c r="L1889" s="29" t="s">
        <v>8811</v>
      </c>
      <c r="M1889" s="29"/>
      <c r="N1889" s="29" t="s">
        <v>3442</v>
      </c>
      <c r="O1889" s="29"/>
      <c r="P1889" s="29" t="s">
        <v>9021</v>
      </c>
      <c r="Q1889" t="s">
        <v>2038</v>
      </c>
      <c r="R1889" t="s">
        <v>2633</v>
      </c>
      <c r="S1889">
        <v>37</v>
      </c>
      <c r="T1889" s="43" t="str">
        <f t="shared" si="79"/>
        <v>2021.082B.R.Tevens_new_families.zip</v>
      </c>
      <c r="U1889" s="43" t="str">
        <f>HYPERLINK("https://ictv.global/taxonomy/taxondetails?taxnode_id=202200503","ictv.global=202200503")</f>
        <v>ictv.global=202200503</v>
      </c>
    </row>
    <row r="1890" spans="1:21">
      <c r="A1890">
        <v>1889</v>
      </c>
      <c r="B1890" s="29" t="s">
        <v>3682</v>
      </c>
      <c r="C1890" s="29"/>
      <c r="D1890" s="29" t="s">
        <v>3683</v>
      </c>
      <c r="E1890" s="29"/>
      <c r="F1890" s="29" t="s">
        <v>3686</v>
      </c>
      <c r="G1890" s="29"/>
      <c r="H1890" s="29" t="s">
        <v>3687</v>
      </c>
      <c r="I1890" s="29"/>
      <c r="J1890" s="29"/>
      <c r="K1890" s="29"/>
      <c r="L1890" s="29" t="s">
        <v>8811</v>
      </c>
      <c r="M1890" s="29"/>
      <c r="N1890" s="29" t="s">
        <v>3442</v>
      </c>
      <c r="O1890" s="29"/>
      <c r="P1890" s="29" t="s">
        <v>9022</v>
      </c>
      <c r="Q1890" t="s">
        <v>2038</v>
      </c>
      <c r="R1890" t="s">
        <v>2632</v>
      </c>
      <c r="S1890">
        <v>37</v>
      </c>
      <c r="T1890" s="43" t="str">
        <f t="shared" si="79"/>
        <v>2021.082B.R.Tevens_new_families.zip</v>
      </c>
      <c r="U1890" s="43" t="str">
        <f>HYPERLINK("https://ictv.global/taxonomy/taxondetails?taxnode_id=202213955","ictv.global=202213955")</f>
        <v>ictv.global=202213955</v>
      </c>
    </row>
    <row r="1891" spans="1:21">
      <c r="A1891">
        <v>1890</v>
      </c>
      <c r="B1891" s="29" t="s">
        <v>3682</v>
      </c>
      <c r="C1891" s="29"/>
      <c r="D1891" s="29" t="s">
        <v>3683</v>
      </c>
      <c r="E1891" s="29"/>
      <c r="F1891" s="29" t="s">
        <v>3686</v>
      </c>
      <c r="G1891" s="29"/>
      <c r="H1891" s="29" t="s">
        <v>3687</v>
      </c>
      <c r="I1891" s="29"/>
      <c r="J1891" s="29"/>
      <c r="K1891" s="29"/>
      <c r="L1891" s="29" t="s">
        <v>8811</v>
      </c>
      <c r="M1891" s="29"/>
      <c r="N1891" s="29" t="s">
        <v>3442</v>
      </c>
      <c r="O1891" s="29"/>
      <c r="P1891" s="29" t="s">
        <v>9023</v>
      </c>
      <c r="Q1891" t="s">
        <v>2038</v>
      </c>
      <c r="R1891" t="s">
        <v>2632</v>
      </c>
      <c r="S1891">
        <v>37</v>
      </c>
      <c r="T1891" s="43" t="str">
        <f t="shared" si="79"/>
        <v>2021.082B.R.Tevens_new_families.zip</v>
      </c>
      <c r="U1891" s="43" t="str">
        <f>HYPERLINK("https://ictv.global/taxonomy/taxondetails?taxnode_id=202213956","ictv.global=202213956")</f>
        <v>ictv.global=202213956</v>
      </c>
    </row>
    <row r="1892" spans="1:21">
      <c r="A1892">
        <v>1891</v>
      </c>
      <c r="B1892" s="29" t="s">
        <v>3682</v>
      </c>
      <c r="C1892" s="29"/>
      <c r="D1892" s="29" t="s">
        <v>3683</v>
      </c>
      <c r="E1892" s="29"/>
      <c r="F1892" s="29" t="s">
        <v>3686</v>
      </c>
      <c r="G1892" s="29"/>
      <c r="H1892" s="29" t="s">
        <v>3687</v>
      </c>
      <c r="I1892" s="29"/>
      <c r="J1892" s="29"/>
      <c r="K1892" s="29"/>
      <c r="L1892" s="29" t="s">
        <v>8811</v>
      </c>
      <c r="M1892" s="29"/>
      <c r="N1892" s="29" t="s">
        <v>3442</v>
      </c>
      <c r="O1892" s="29"/>
      <c r="P1892" s="29" t="s">
        <v>9024</v>
      </c>
      <c r="Q1892" t="s">
        <v>2038</v>
      </c>
      <c r="R1892" t="s">
        <v>2633</v>
      </c>
      <c r="S1892">
        <v>37</v>
      </c>
      <c r="T1892" s="43" t="str">
        <f t="shared" si="79"/>
        <v>2021.082B.R.Tevens_new_families.zip</v>
      </c>
      <c r="U1892" s="43" t="str">
        <f>HYPERLINK("https://ictv.global/taxonomy/taxondetails?taxnode_id=202200500","ictv.global=202200500")</f>
        <v>ictv.global=202200500</v>
      </c>
    </row>
    <row r="1893" spans="1:21">
      <c r="A1893">
        <v>1892</v>
      </c>
      <c r="B1893" s="29" t="s">
        <v>3682</v>
      </c>
      <c r="C1893" s="29"/>
      <c r="D1893" s="29" t="s">
        <v>3683</v>
      </c>
      <c r="E1893" s="29"/>
      <c r="F1893" s="29" t="s">
        <v>3686</v>
      </c>
      <c r="G1893" s="29"/>
      <c r="H1893" s="29" t="s">
        <v>3687</v>
      </c>
      <c r="I1893" s="29"/>
      <c r="J1893" s="29"/>
      <c r="K1893" s="29"/>
      <c r="L1893" s="29" t="s">
        <v>8811</v>
      </c>
      <c r="M1893" s="29"/>
      <c r="N1893" s="29" t="s">
        <v>3442</v>
      </c>
      <c r="O1893" s="29"/>
      <c r="P1893" s="29" t="s">
        <v>9025</v>
      </c>
      <c r="Q1893" t="s">
        <v>2038</v>
      </c>
      <c r="R1893" t="s">
        <v>2633</v>
      </c>
      <c r="S1893">
        <v>37</v>
      </c>
      <c r="T1893" s="43" t="str">
        <f t="shared" si="79"/>
        <v>2021.082B.R.Tevens_new_families.zip</v>
      </c>
      <c r="U1893" s="43" t="str">
        <f>HYPERLINK("https://ictv.global/taxonomy/taxondetails?taxnode_id=202200501","ictv.global=202200501")</f>
        <v>ictv.global=202200501</v>
      </c>
    </row>
    <row r="1894" spans="1:21">
      <c r="A1894">
        <v>1893</v>
      </c>
      <c r="B1894" s="29" t="s">
        <v>3682</v>
      </c>
      <c r="C1894" s="29"/>
      <c r="D1894" s="29" t="s">
        <v>3683</v>
      </c>
      <c r="E1894" s="29"/>
      <c r="F1894" s="29" t="s">
        <v>3686</v>
      </c>
      <c r="G1894" s="29"/>
      <c r="H1894" s="29" t="s">
        <v>3687</v>
      </c>
      <c r="I1894" s="29"/>
      <c r="J1894" s="29"/>
      <c r="K1894" s="29"/>
      <c r="L1894" s="29" t="s">
        <v>8811</v>
      </c>
      <c r="M1894" s="29"/>
      <c r="N1894" s="29" t="s">
        <v>3442</v>
      </c>
      <c r="O1894" s="29"/>
      <c r="P1894" s="29" t="s">
        <v>9026</v>
      </c>
      <c r="Q1894" t="s">
        <v>2038</v>
      </c>
      <c r="R1894" t="s">
        <v>2633</v>
      </c>
      <c r="S1894">
        <v>37</v>
      </c>
      <c r="T1894" s="43" t="str">
        <f t="shared" si="79"/>
        <v>2021.082B.R.Tevens_new_families.zip</v>
      </c>
      <c r="U1894" s="43" t="str">
        <f>HYPERLINK("https://ictv.global/taxonomy/taxondetails?taxnode_id=202200502","ictv.global=202200502")</f>
        <v>ictv.global=202200502</v>
      </c>
    </row>
    <row r="1895" spans="1:21">
      <c r="A1895">
        <v>1894</v>
      </c>
      <c r="B1895" s="29" t="s">
        <v>3682</v>
      </c>
      <c r="C1895" s="29"/>
      <c r="D1895" s="29" t="s">
        <v>3683</v>
      </c>
      <c r="E1895" s="29"/>
      <c r="F1895" s="29" t="s">
        <v>3686</v>
      </c>
      <c r="G1895" s="29"/>
      <c r="H1895" s="29" t="s">
        <v>3687</v>
      </c>
      <c r="I1895" s="29"/>
      <c r="J1895" s="29"/>
      <c r="K1895" s="29"/>
      <c r="L1895" s="29" t="s">
        <v>8811</v>
      </c>
      <c r="M1895" s="29"/>
      <c r="N1895" s="29" t="s">
        <v>3442</v>
      </c>
      <c r="O1895" s="29"/>
      <c r="P1895" s="29" t="s">
        <v>9027</v>
      </c>
      <c r="Q1895" t="s">
        <v>2038</v>
      </c>
      <c r="R1895" t="s">
        <v>2633</v>
      </c>
      <c r="S1895">
        <v>37</v>
      </c>
      <c r="T1895" s="43" t="str">
        <f t="shared" si="79"/>
        <v>2021.082B.R.Tevens_new_families.zip</v>
      </c>
      <c r="U1895" s="43" t="str">
        <f>HYPERLINK("https://ictv.global/taxonomy/taxondetails?taxnode_id=202207033","ictv.global=202207033")</f>
        <v>ictv.global=202207033</v>
      </c>
    </row>
    <row r="1896" spans="1:21">
      <c r="A1896">
        <v>1895</v>
      </c>
      <c r="B1896" s="29" t="s">
        <v>3682</v>
      </c>
      <c r="C1896" s="29"/>
      <c r="D1896" s="29" t="s">
        <v>3683</v>
      </c>
      <c r="E1896" s="29"/>
      <c r="F1896" s="29" t="s">
        <v>3686</v>
      </c>
      <c r="G1896" s="29"/>
      <c r="H1896" s="29" t="s">
        <v>3687</v>
      </c>
      <c r="I1896" s="29"/>
      <c r="J1896" s="29"/>
      <c r="K1896" s="29"/>
      <c r="L1896" s="29" t="s">
        <v>8811</v>
      </c>
      <c r="M1896" s="29"/>
      <c r="N1896" s="29" t="s">
        <v>3442</v>
      </c>
      <c r="O1896" s="29"/>
      <c r="P1896" s="29" t="s">
        <v>9028</v>
      </c>
      <c r="Q1896" t="s">
        <v>2038</v>
      </c>
      <c r="R1896" t="s">
        <v>2633</v>
      </c>
      <c r="S1896">
        <v>37</v>
      </c>
      <c r="T1896" s="43" t="str">
        <f t="shared" si="79"/>
        <v>2021.082B.R.Tevens_new_families.zip</v>
      </c>
      <c r="U1896" s="43" t="str">
        <f>HYPERLINK("https://ictv.global/taxonomy/taxondetails?taxnode_id=202200498","ictv.global=202200498")</f>
        <v>ictv.global=202200498</v>
      </c>
    </row>
    <row r="1897" spans="1:21">
      <c r="A1897">
        <v>1896</v>
      </c>
      <c r="B1897" s="29" t="s">
        <v>3682</v>
      </c>
      <c r="C1897" s="29"/>
      <c r="D1897" s="29" t="s">
        <v>3683</v>
      </c>
      <c r="E1897" s="29"/>
      <c r="F1897" s="29" t="s">
        <v>3686</v>
      </c>
      <c r="G1897" s="29"/>
      <c r="H1897" s="29" t="s">
        <v>3687</v>
      </c>
      <c r="I1897" s="29"/>
      <c r="J1897" s="29"/>
      <c r="K1897" s="29"/>
      <c r="L1897" s="29" t="s">
        <v>9029</v>
      </c>
      <c r="M1897" s="29"/>
      <c r="N1897" s="29" t="s">
        <v>9030</v>
      </c>
      <c r="O1897" s="29"/>
      <c r="P1897" s="29" t="s">
        <v>9031</v>
      </c>
      <c r="Q1897" t="s">
        <v>2038</v>
      </c>
      <c r="R1897" t="s">
        <v>2632</v>
      </c>
      <c r="S1897">
        <v>37</v>
      </c>
      <c r="T1897" s="43" t="str">
        <f>HYPERLINK("https://ictv.global/ictv/proposals/2021.001A.R.Archaeal_Caudoviricetes.zip","2021.001A.R.Archaeal_Caudoviricetes.zip")</f>
        <v>2021.001A.R.Archaeal_Caudoviricetes.zip</v>
      </c>
      <c r="U1897" s="43" t="str">
        <f>HYPERLINK("https://ictv.global/taxonomy/taxondetails?taxnode_id=202212173","ictv.global=202212173")</f>
        <v>ictv.global=202212173</v>
      </c>
    </row>
    <row r="1898" spans="1:21">
      <c r="A1898">
        <v>1897</v>
      </c>
      <c r="B1898" s="29" t="s">
        <v>3682</v>
      </c>
      <c r="C1898" s="29"/>
      <c r="D1898" s="29" t="s">
        <v>3683</v>
      </c>
      <c r="E1898" s="29"/>
      <c r="F1898" s="29" t="s">
        <v>3686</v>
      </c>
      <c r="G1898" s="29"/>
      <c r="H1898" s="29" t="s">
        <v>3687</v>
      </c>
      <c r="I1898" s="29"/>
      <c r="J1898" s="29"/>
      <c r="K1898" s="29"/>
      <c r="L1898" s="29" t="s">
        <v>9032</v>
      </c>
      <c r="M1898" s="29"/>
      <c r="N1898" s="29" t="s">
        <v>9033</v>
      </c>
      <c r="O1898" s="29"/>
      <c r="P1898" s="29" t="s">
        <v>9034</v>
      </c>
      <c r="Q1898" t="s">
        <v>2038</v>
      </c>
      <c r="R1898" t="s">
        <v>2632</v>
      </c>
      <c r="S1898">
        <v>38</v>
      </c>
      <c r="T1898" s="43" t="str">
        <f>HYPERLINK("https://ictv.global/ictv/proposals/2022.002A.Verdandiviridae_nf_Atrospovirales_no.zip","2022.002A.Verdandiviridae_nf_Atrospovirales_no.zip")</f>
        <v>2022.002A.Verdandiviridae_nf_Atrospovirales_no.zip</v>
      </c>
      <c r="U1898" s="43" t="str">
        <f>HYPERLINK("https://ictv.global/taxonomy/taxondetails?taxnode_id=202214309","ictv.global=202214309")</f>
        <v>ictv.global=202214309</v>
      </c>
    </row>
    <row r="1899" spans="1:21">
      <c r="A1899">
        <v>1898</v>
      </c>
      <c r="B1899" s="29" t="s">
        <v>3682</v>
      </c>
      <c r="C1899" s="29"/>
      <c r="D1899" s="29" t="s">
        <v>3683</v>
      </c>
      <c r="E1899" s="29"/>
      <c r="F1899" s="29" t="s">
        <v>3686</v>
      </c>
      <c r="G1899" s="29"/>
      <c r="H1899" s="29" t="s">
        <v>3687</v>
      </c>
      <c r="I1899" s="29"/>
      <c r="J1899" s="29"/>
      <c r="K1899" s="29"/>
      <c r="L1899" s="29" t="s">
        <v>9032</v>
      </c>
      <c r="M1899" s="29"/>
      <c r="N1899" s="29" t="s">
        <v>9033</v>
      </c>
      <c r="O1899" s="29"/>
      <c r="P1899" s="29" t="s">
        <v>9035</v>
      </c>
      <c r="Q1899" t="s">
        <v>2038</v>
      </c>
      <c r="R1899" t="s">
        <v>2632</v>
      </c>
      <c r="S1899">
        <v>38</v>
      </c>
      <c r="T1899" s="43" t="str">
        <f>HYPERLINK("https://ictv.global/ictv/proposals/2022.002A.Verdandiviridae_nf_Atrospovirales_no.zip","2022.002A.Verdandiviridae_nf_Atrospovirales_no.zip")</f>
        <v>2022.002A.Verdandiviridae_nf_Atrospovirales_no.zip</v>
      </c>
      <c r="U1899" s="43" t="str">
        <f>HYPERLINK("https://ictv.global/taxonomy/taxondetails?taxnode_id=202214308","ictv.global=202214308")</f>
        <v>ictv.global=202214308</v>
      </c>
    </row>
    <row r="1900" spans="1:21">
      <c r="A1900">
        <v>1899</v>
      </c>
      <c r="B1900" s="29" t="s">
        <v>3682</v>
      </c>
      <c r="C1900" s="29"/>
      <c r="D1900" s="29" t="s">
        <v>3683</v>
      </c>
      <c r="E1900" s="29"/>
      <c r="F1900" s="29" t="s">
        <v>3686</v>
      </c>
      <c r="G1900" s="29"/>
      <c r="H1900" s="29" t="s">
        <v>3687</v>
      </c>
      <c r="I1900" s="29"/>
      <c r="J1900" s="29"/>
      <c r="K1900" s="29"/>
      <c r="L1900" s="29" t="s">
        <v>9032</v>
      </c>
      <c r="M1900" s="29"/>
      <c r="N1900" s="29" t="s">
        <v>9036</v>
      </c>
      <c r="O1900" s="29"/>
      <c r="P1900" s="29" t="s">
        <v>9037</v>
      </c>
      <c r="Q1900" t="s">
        <v>2038</v>
      </c>
      <c r="R1900" t="s">
        <v>2632</v>
      </c>
      <c r="S1900">
        <v>38</v>
      </c>
      <c r="T1900" s="43" t="str">
        <f>HYPERLINK("https://ictv.global/ictv/proposals/2022.002A.Verdandiviridae_nf_Atrospovirales_no.zip","2022.002A.Verdandiviridae_nf_Atrospovirales_no.zip")</f>
        <v>2022.002A.Verdandiviridae_nf_Atrospovirales_no.zip</v>
      </c>
      <c r="U1900" s="43" t="str">
        <f>HYPERLINK("https://ictv.global/taxonomy/taxondetails?taxnode_id=202214307","ictv.global=202214307")</f>
        <v>ictv.global=202214307</v>
      </c>
    </row>
    <row r="1901" spans="1:21">
      <c r="A1901">
        <v>1900</v>
      </c>
      <c r="B1901" s="29" t="s">
        <v>3682</v>
      </c>
      <c r="C1901" s="29"/>
      <c r="D1901" s="29" t="s">
        <v>3683</v>
      </c>
      <c r="E1901" s="29"/>
      <c r="F1901" s="29" t="s">
        <v>3686</v>
      </c>
      <c r="G1901" s="29"/>
      <c r="H1901" s="29" t="s">
        <v>3687</v>
      </c>
      <c r="I1901" s="29"/>
      <c r="J1901" s="29"/>
      <c r="K1901" s="29"/>
      <c r="L1901" s="29" t="s">
        <v>9038</v>
      </c>
      <c r="M1901" s="29"/>
      <c r="N1901" s="29" t="s">
        <v>9039</v>
      </c>
      <c r="O1901" s="29"/>
      <c r="P1901" s="29" t="s">
        <v>9040</v>
      </c>
      <c r="Q1901" t="s">
        <v>2038</v>
      </c>
      <c r="R1901" t="s">
        <v>2633</v>
      </c>
      <c r="S1901">
        <v>37</v>
      </c>
      <c r="T1901" s="43" t="str">
        <f>HYPERLINK("https://ictv.global/ictv/proposals/2021.001A.R.Archaeal_Caudoviricetes.zip","2021.001A.R.Archaeal_Caudoviricetes.zip")</f>
        <v>2021.001A.R.Archaeal_Caudoviricetes.zip</v>
      </c>
      <c r="U1901" s="43" t="str">
        <f>HYPERLINK("https://ictv.global/taxonomy/taxondetails?taxnode_id=202208718","ictv.global=202208718")</f>
        <v>ictv.global=202208718</v>
      </c>
    </row>
    <row r="1902" spans="1:21">
      <c r="A1902">
        <v>1901</v>
      </c>
      <c r="B1902" s="29" t="s">
        <v>3682</v>
      </c>
      <c r="C1902" s="29"/>
      <c r="D1902" s="29" t="s">
        <v>3683</v>
      </c>
      <c r="E1902" s="29"/>
      <c r="F1902" s="29" t="s">
        <v>3686</v>
      </c>
      <c r="G1902" s="29"/>
      <c r="H1902" s="29" t="s">
        <v>3687</v>
      </c>
      <c r="I1902" s="29"/>
      <c r="J1902" s="29"/>
      <c r="K1902" s="29"/>
      <c r="L1902" s="29" t="s">
        <v>9038</v>
      </c>
      <c r="M1902" s="29"/>
      <c r="N1902" s="29" t="s">
        <v>2061</v>
      </c>
      <c r="O1902" s="29"/>
      <c r="P1902" s="29" t="s">
        <v>9041</v>
      </c>
      <c r="Q1902" t="s">
        <v>2038</v>
      </c>
      <c r="R1902" t="s">
        <v>2633</v>
      </c>
      <c r="S1902">
        <v>37</v>
      </c>
      <c r="T1902" s="43" t="str">
        <f>HYPERLINK("https://ictv.global/ictv/proposals/2021.001A.R.Archaeal_Caudoviricetes.zip","2021.001A.R.Archaeal_Caudoviricetes.zip")</f>
        <v>2021.001A.R.Archaeal_Caudoviricetes.zip</v>
      </c>
      <c r="U1902" s="43" t="str">
        <f>HYPERLINK("https://ictv.global/taxonomy/taxondetails?taxnode_id=202208719","ictv.global=202208719")</f>
        <v>ictv.global=202208719</v>
      </c>
    </row>
    <row r="1903" spans="1:21">
      <c r="A1903">
        <v>1902</v>
      </c>
      <c r="B1903" s="29" t="s">
        <v>3682</v>
      </c>
      <c r="C1903" s="29"/>
      <c r="D1903" s="29" t="s">
        <v>3683</v>
      </c>
      <c r="E1903" s="29"/>
      <c r="F1903" s="29" t="s">
        <v>3686</v>
      </c>
      <c r="G1903" s="29"/>
      <c r="H1903" s="29" t="s">
        <v>3687</v>
      </c>
      <c r="I1903" s="29"/>
      <c r="J1903" s="29"/>
      <c r="K1903" s="29"/>
      <c r="L1903" s="29" t="s">
        <v>9038</v>
      </c>
      <c r="M1903" s="29"/>
      <c r="N1903" s="29" t="s">
        <v>2061</v>
      </c>
      <c r="O1903" s="29"/>
      <c r="P1903" s="29" t="s">
        <v>9042</v>
      </c>
      <c r="Q1903" t="s">
        <v>2038</v>
      </c>
      <c r="R1903" t="s">
        <v>2633</v>
      </c>
      <c r="S1903">
        <v>37</v>
      </c>
      <c r="T1903" s="43" t="str">
        <f>HYPERLINK("https://ictv.global/ictv/proposals/2021.001A.R.Archaeal_Caudoviricetes.zip","2021.001A.R.Archaeal_Caudoviricetes.zip")</f>
        <v>2021.001A.R.Archaeal_Caudoviricetes.zip</v>
      </c>
      <c r="U1903" s="43" t="str">
        <f>HYPERLINK("https://ictv.global/taxonomy/taxondetails?taxnode_id=202200459","ictv.global=202200459")</f>
        <v>ictv.global=202200459</v>
      </c>
    </row>
    <row r="1904" spans="1:21">
      <c r="A1904">
        <v>1903</v>
      </c>
      <c r="B1904" s="29" t="s">
        <v>3682</v>
      </c>
      <c r="C1904" s="29"/>
      <c r="D1904" s="29" t="s">
        <v>3683</v>
      </c>
      <c r="E1904" s="29"/>
      <c r="F1904" s="29" t="s">
        <v>3686</v>
      </c>
      <c r="G1904" s="29"/>
      <c r="H1904" s="29" t="s">
        <v>3687</v>
      </c>
      <c r="I1904" s="29"/>
      <c r="J1904" s="29"/>
      <c r="K1904" s="29"/>
      <c r="L1904" s="29" t="s">
        <v>9043</v>
      </c>
      <c r="M1904" s="29" t="s">
        <v>9044</v>
      </c>
      <c r="N1904" s="29" t="s">
        <v>9045</v>
      </c>
      <c r="O1904" s="29"/>
      <c r="P1904" s="29" t="s">
        <v>9046</v>
      </c>
      <c r="Q1904" t="s">
        <v>2038</v>
      </c>
      <c r="R1904" t="s">
        <v>2632</v>
      </c>
      <c r="S1904">
        <v>37</v>
      </c>
      <c r="T1904" s="43" t="str">
        <f t="shared" ref="T1904:T1909" si="80">HYPERLINK("https://ictv.global/ictv/proposals/2021.089B.R.Vilmaviridae.zip","2021.089B.R.Vilmaviridae.zip")</f>
        <v>2021.089B.R.Vilmaviridae.zip</v>
      </c>
      <c r="U1904" s="43" t="str">
        <f>HYPERLINK("https://ictv.global/taxonomy/taxondetails?taxnode_id=202212672","ictv.global=202212672")</f>
        <v>ictv.global=202212672</v>
      </c>
    </row>
    <row r="1905" spans="1:21">
      <c r="A1905">
        <v>1904</v>
      </c>
      <c r="B1905" s="29" t="s">
        <v>3682</v>
      </c>
      <c r="C1905" s="29"/>
      <c r="D1905" s="29" t="s">
        <v>3683</v>
      </c>
      <c r="E1905" s="29"/>
      <c r="F1905" s="29" t="s">
        <v>3686</v>
      </c>
      <c r="G1905" s="29"/>
      <c r="H1905" s="29" t="s">
        <v>3687</v>
      </c>
      <c r="I1905" s="29"/>
      <c r="J1905" s="29"/>
      <c r="K1905" s="29"/>
      <c r="L1905" s="29" t="s">
        <v>9043</v>
      </c>
      <c r="M1905" s="29" t="s">
        <v>9044</v>
      </c>
      <c r="N1905" s="29" t="s">
        <v>9045</v>
      </c>
      <c r="O1905" s="29"/>
      <c r="P1905" s="29" t="s">
        <v>9047</v>
      </c>
      <c r="Q1905" t="s">
        <v>2038</v>
      </c>
      <c r="R1905" t="s">
        <v>2632</v>
      </c>
      <c r="S1905">
        <v>37</v>
      </c>
      <c r="T1905" s="43" t="str">
        <f t="shared" si="80"/>
        <v>2021.089B.R.Vilmaviridae.zip</v>
      </c>
      <c r="U1905" s="43" t="str">
        <f>HYPERLINK("https://ictv.global/taxonomy/taxondetails?taxnode_id=202212673","ictv.global=202212673")</f>
        <v>ictv.global=202212673</v>
      </c>
    </row>
    <row r="1906" spans="1:21">
      <c r="A1906">
        <v>1905</v>
      </c>
      <c r="B1906" s="29" t="s">
        <v>3682</v>
      </c>
      <c r="C1906" s="29"/>
      <c r="D1906" s="29" t="s">
        <v>3683</v>
      </c>
      <c r="E1906" s="29"/>
      <c r="F1906" s="29" t="s">
        <v>3686</v>
      </c>
      <c r="G1906" s="29"/>
      <c r="H1906" s="29" t="s">
        <v>3687</v>
      </c>
      <c r="I1906" s="29"/>
      <c r="J1906" s="29"/>
      <c r="K1906" s="29"/>
      <c r="L1906" s="29" t="s">
        <v>9043</v>
      </c>
      <c r="M1906" s="29" t="s">
        <v>9044</v>
      </c>
      <c r="N1906" s="29" t="s">
        <v>2082</v>
      </c>
      <c r="O1906" s="29"/>
      <c r="P1906" s="29" t="s">
        <v>9048</v>
      </c>
      <c r="Q1906" t="s">
        <v>2038</v>
      </c>
      <c r="R1906" t="s">
        <v>2632</v>
      </c>
      <c r="S1906">
        <v>37</v>
      </c>
      <c r="T1906" s="43" t="str">
        <f t="shared" si="80"/>
        <v>2021.089B.R.Vilmaviridae.zip</v>
      </c>
      <c r="U1906" s="43" t="str">
        <f>HYPERLINK("https://ictv.global/taxonomy/taxondetails?taxnode_id=202212683","ictv.global=202212683")</f>
        <v>ictv.global=202212683</v>
      </c>
    </row>
    <row r="1907" spans="1:21">
      <c r="A1907">
        <v>1906</v>
      </c>
      <c r="B1907" s="29" t="s">
        <v>3682</v>
      </c>
      <c r="C1907" s="29"/>
      <c r="D1907" s="29" t="s">
        <v>3683</v>
      </c>
      <c r="E1907" s="29"/>
      <c r="F1907" s="29" t="s">
        <v>3686</v>
      </c>
      <c r="G1907" s="29"/>
      <c r="H1907" s="29" t="s">
        <v>3687</v>
      </c>
      <c r="I1907" s="29"/>
      <c r="J1907" s="29"/>
      <c r="K1907" s="29"/>
      <c r="L1907" s="29" t="s">
        <v>9043</v>
      </c>
      <c r="M1907" s="29" t="s">
        <v>9044</v>
      </c>
      <c r="N1907" s="29" t="s">
        <v>2082</v>
      </c>
      <c r="O1907" s="29"/>
      <c r="P1907" s="29" t="s">
        <v>9049</v>
      </c>
      <c r="Q1907" t="s">
        <v>2038</v>
      </c>
      <c r="R1907" t="s">
        <v>2632</v>
      </c>
      <c r="S1907">
        <v>37</v>
      </c>
      <c r="T1907" s="43" t="str">
        <f t="shared" si="80"/>
        <v>2021.089B.R.Vilmaviridae.zip</v>
      </c>
      <c r="U1907" s="43" t="str">
        <f>HYPERLINK("https://ictv.global/taxonomy/taxondetails?taxnode_id=202212681","ictv.global=202212681")</f>
        <v>ictv.global=202212681</v>
      </c>
    </row>
    <row r="1908" spans="1:21">
      <c r="A1908">
        <v>1907</v>
      </c>
      <c r="B1908" s="29" t="s">
        <v>3682</v>
      </c>
      <c r="C1908" s="29"/>
      <c r="D1908" s="29" t="s">
        <v>3683</v>
      </c>
      <c r="E1908" s="29"/>
      <c r="F1908" s="29" t="s">
        <v>3686</v>
      </c>
      <c r="G1908" s="29"/>
      <c r="H1908" s="29" t="s">
        <v>3687</v>
      </c>
      <c r="I1908" s="29"/>
      <c r="J1908" s="29"/>
      <c r="K1908" s="29"/>
      <c r="L1908" s="29" t="s">
        <v>9043</v>
      </c>
      <c r="M1908" s="29" t="s">
        <v>9044</v>
      </c>
      <c r="N1908" s="29" t="s">
        <v>2082</v>
      </c>
      <c r="O1908" s="29"/>
      <c r="P1908" s="29" t="s">
        <v>9050</v>
      </c>
      <c r="Q1908" t="s">
        <v>2038</v>
      </c>
      <c r="R1908" t="s">
        <v>2632</v>
      </c>
      <c r="S1908">
        <v>37</v>
      </c>
      <c r="T1908" s="43" t="str">
        <f t="shared" si="80"/>
        <v>2021.089B.R.Vilmaviridae.zip</v>
      </c>
      <c r="U1908" s="43" t="str">
        <f>HYPERLINK("https://ictv.global/taxonomy/taxondetails?taxnode_id=202212682","ictv.global=202212682")</f>
        <v>ictv.global=202212682</v>
      </c>
    </row>
    <row r="1909" spans="1:21">
      <c r="A1909">
        <v>1908</v>
      </c>
      <c r="B1909" s="29" t="s">
        <v>3682</v>
      </c>
      <c r="C1909" s="29"/>
      <c r="D1909" s="29" t="s">
        <v>3683</v>
      </c>
      <c r="E1909" s="29"/>
      <c r="F1909" s="29" t="s">
        <v>3686</v>
      </c>
      <c r="G1909" s="29"/>
      <c r="H1909" s="29" t="s">
        <v>3687</v>
      </c>
      <c r="I1909" s="29"/>
      <c r="J1909" s="29"/>
      <c r="K1909" s="29"/>
      <c r="L1909" s="29" t="s">
        <v>9043</v>
      </c>
      <c r="M1909" s="29" t="s">
        <v>9044</v>
      </c>
      <c r="N1909" s="29" t="s">
        <v>2082</v>
      </c>
      <c r="O1909" s="29"/>
      <c r="P1909" s="29" t="s">
        <v>9051</v>
      </c>
      <c r="Q1909" t="s">
        <v>2038</v>
      </c>
      <c r="R1909" t="s">
        <v>2632</v>
      </c>
      <c r="S1909">
        <v>37</v>
      </c>
      <c r="T1909" s="43" t="str">
        <f t="shared" si="80"/>
        <v>2021.089B.R.Vilmaviridae.zip</v>
      </c>
      <c r="U1909" s="43" t="str">
        <f>HYPERLINK("https://ictv.global/taxonomy/taxondetails?taxnode_id=202212680","ictv.global=202212680")</f>
        <v>ictv.global=202212680</v>
      </c>
    </row>
    <row r="1910" spans="1:21">
      <c r="A1910">
        <v>1909</v>
      </c>
      <c r="B1910" s="29" t="s">
        <v>3682</v>
      </c>
      <c r="C1910" s="29"/>
      <c r="D1910" s="29" t="s">
        <v>3683</v>
      </c>
      <c r="E1910" s="29"/>
      <c r="F1910" s="29" t="s">
        <v>3686</v>
      </c>
      <c r="G1910" s="29"/>
      <c r="H1910" s="29" t="s">
        <v>3687</v>
      </c>
      <c r="I1910" s="29"/>
      <c r="J1910" s="29"/>
      <c r="K1910" s="29"/>
      <c r="L1910" s="29" t="s">
        <v>9043</v>
      </c>
      <c r="M1910" s="29" t="s">
        <v>9044</v>
      </c>
      <c r="N1910" s="29" t="s">
        <v>2082</v>
      </c>
      <c r="O1910" s="29"/>
      <c r="P1910" s="29" t="s">
        <v>2083</v>
      </c>
      <c r="Q1910" t="s">
        <v>2038</v>
      </c>
      <c r="R1910" t="s">
        <v>2634</v>
      </c>
      <c r="S1910">
        <v>37</v>
      </c>
      <c r="T1910" s="43" t="str">
        <f>HYPERLINK("https://ictv.global/ictv/proposals/2021.001B.R.abolish_Caudovirales.zip","2021.001B.R.abolish_Caudovirales.zip;2021.089B.A.v1.Vilmaviridae.zip")</f>
        <v>2021.001B.R.abolish_Caudovirales.zip;2021.089B.A.v1.Vilmaviridae.zip</v>
      </c>
      <c r="U1910" s="43" t="str">
        <f>HYPERLINK("https://ictv.global/taxonomy/taxondetails?taxnode_id=202200864","ictv.global=202200864")</f>
        <v>ictv.global=202200864</v>
      </c>
    </row>
    <row r="1911" spans="1:21">
      <c r="A1911">
        <v>1910</v>
      </c>
      <c r="B1911" s="29" t="s">
        <v>3682</v>
      </c>
      <c r="C1911" s="29"/>
      <c r="D1911" s="29" t="s">
        <v>3683</v>
      </c>
      <c r="E1911" s="29"/>
      <c r="F1911" s="29" t="s">
        <v>3686</v>
      </c>
      <c r="G1911" s="29"/>
      <c r="H1911" s="29" t="s">
        <v>3687</v>
      </c>
      <c r="I1911" s="29"/>
      <c r="J1911" s="29"/>
      <c r="K1911" s="29"/>
      <c r="L1911" s="29" t="s">
        <v>9043</v>
      </c>
      <c r="M1911" s="29" t="s">
        <v>9044</v>
      </c>
      <c r="N1911" s="29" t="s">
        <v>2082</v>
      </c>
      <c r="O1911" s="29"/>
      <c r="P1911" s="29" t="s">
        <v>3989</v>
      </c>
      <c r="Q1911" t="s">
        <v>2038</v>
      </c>
      <c r="R1911" t="s">
        <v>2634</v>
      </c>
      <c r="S1911">
        <v>37</v>
      </c>
      <c r="T1911" s="43" t="str">
        <f>HYPERLINK("https://ictv.global/ictv/proposals/2021.001B.R.abolish_Caudovirales.zip","2021.001B.R.abolish_Caudovirales.zip;2021.089B.A.v1.Vilmaviridae.zip")</f>
        <v>2021.001B.R.abolish_Caudovirales.zip;2021.089B.A.v1.Vilmaviridae.zip</v>
      </c>
      <c r="U1911" s="43" t="str">
        <f>HYPERLINK("https://ictv.global/taxonomy/taxondetails?taxnode_id=202200866","ictv.global=202200866")</f>
        <v>ictv.global=202200866</v>
      </c>
    </row>
    <row r="1912" spans="1:21">
      <c r="A1912">
        <v>1911</v>
      </c>
      <c r="B1912" s="29" t="s">
        <v>3682</v>
      </c>
      <c r="C1912" s="29"/>
      <c r="D1912" s="29" t="s">
        <v>3683</v>
      </c>
      <c r="E1912" s="29"/>
      <c r="F1912" s="29" t="s">
        <v>3686</v>
      </c>
      <c r="G1912" s="29"/>
      <c r="H1912" s="29" t="s">
        <v>3687</v>
      </c>
      <c r="I1912" s="29"/>
      <c r="J1912" s="29"/>
      <c r="K1912" s="29"/>
      <c r="L1912" s="29" t="s">
        <v>9043</v>
      </c>
      <c r="M1912" s="29" t="s">
        <v>9044</v>
      </c>
      <c r="N1912" s="29" t="s">
        <v>9052</v>
      </c>
      <c r="O1912" s="29"/>
      <c r="P1912" s="29" t="s">
        <v>9053</v>
      </c>
      <c r="Q1912" t="s">
        <v>2038</v>
      </c>
      <c r="R1912" t="s">
        <v>2632</v>
      </c>
      <c r="S1912">
        <v>37</v>
      </c>
      <c r="T1912" s="43" t="str">
        <f t="shared" ref="T1912:T1922" si="81">HYPERLINK("https://ictv.global/ictv/proposals/2021.089B.R.Vilmaviridae.zip","2021.089B.R.Vilmaviridae.zip")</f>
        <v>2021.089B.R.Vilmaviridae.zip</v>
      </c>
      <c r="U1912" s="43" t="str">
        <f>HYPERLINK("https://ictv.global/taxonomy/taxondetails?taxnode_id=202212666","ictv.global=202212666")</f>
        <v>ictv.global=202212666</v>
      </c>
    </row>
    <row r="1913" spans="1:21">
      <c r="A1913">
        <v>1912</v>
      </c>
      <c r="B1913" s="29" t="s">
        <v>3682</v>
      </c>
      <c r="C1913" s="29"/>
      <c r="D1913" s="29" t="s">
        <v>3683</v>
      </c>
      <c r="E1913" s="29"/>
      <c r="F1913" s="29" t="s">
        <v>3686</v>
      </c>
      <c r="G1913" s="29"/>
      <c r="H1913" s="29" t="s">
        <v>3687</v>
      </c>
      <c r="I1913" s="29"/>
      <c r="J1913" s="29"/>
      <c r="K1913" s="29"/>
      <c r="L1913" s="29" t="s">
        <v>9043</v>
      </c>
      <c r="M1913" s="29" t="s">
        <v>9044</v>
      </c>
      <c r="N1913" s="29" t="s">
        <v>9052</v>
      </c>
      <c r="O1913" s="29"/>
      <c r="P1913" s="29" t="s">
        <v>9054</v>
      </c>
      <c r="Q1913" t="s">
        <v>2038</v>
      </c>
      <c r="R1913" t="s">
        <v>2632</v>
      </c>
      <c r="S1913">
        <v>37</v>
      </c>
      <c r="T1913" s="43" t="str">
        <f t="shared" si="81"/>
        <v>2021.089B.R.Vilmaviridae.zip</v>
      </c>
      <c r="U1913" s="43" t="str">
        <f>HYPERLINK("https://ictv.global/taxonomy/taxondetails?taxnode_id=202212667","ictv.global=202212667")</f>
        <v>ictv.global=202212667</v>
      </c>
    </row>
    <row r="1914" spans="1:21">
      <c r="A1914">
        <v>1913</v>
      </c>
      <c r="B1914" s="29" t="s">
        <v>3682</v>
      </c>
      <c r="C1914" s="29"/>
      <c r="D1914" s="29" t="s">
        <v>3683</v>
      </c>
      <c r="E1914" s="29"/>
      <c r="F1914" s="29" t="s">
        <v>3686</v>
      </c>
      <c r="G1914" s="29"/>
      <c r="H1914" s="29" t="s">
        <v>3687</v>
      </c>
      <c r="I1914" s="29"/>
      <c r="J1914" s="29"/>
      <c r="K1914" s="29"/>
      <c r="L1914" s="29" t="s">
        <v>9043</v>
      </c>
      <c r="M1914" s="29" t="s">
        <v>9044</v>
      </c>
      <c r="N1914" s="29" t="s">
        <v>9052</v>
      </c>
      <c r="O1914" s="29"/>
      <c r="P1914" s="29" t="s">
        <v>9055</v>
      </c>
      <c r="Q1914" t="s">
        <v>2038</v>
      </c>
      <c r="R1914" t="s">
        <v>2633</v>
      </c>
      <c r="S1914">
        <v>37</v>
      </c>
      <c r="T1914" s="43" t="str">
        <f t="shared" si="81"/>
        <v>2021.089B.R.Vilmaviridae.zip</v>
      </c>
      <c r="U1914" s="43" t="str">
        <f>HYPERLINK("https://ictv.global/taxonomy/taxondetails?taxnode_id=202200865","ictv.global=202200865")</f>
        <v>ictv.global=202200865</v>
      </c>
    </row>
    <row r="1915" spans="1:21">
      <c r="A1915">
        <v>1914</v>
      </c>
      <c r="B1915" s="29" t="s">
        <v>3682</v>
      </c>
      <c r="C1915" s="29"/>
      <c r="D1915" s="29" t="s">
        <v>3683</v>
      </c>
      <c r="E1915" s="29"/>
      <c r="F1915" s="29" t="s">
        <v>3686</v>
      </c>
      <c r="G1915" s="29"/>
      <c r="H1915" s="29" t="s">
        <v>3687</v>
      </c>
      <c r="I1915" s="29"/>
      <c r="J1915" s="29"/>
      <c r="K1915" s="29"/>
      <c r="L1915" s="29" t="s">
        <v>9043</v>
      </c>
      <c r="M1915" s="29" t="s">
        <v>9044</v>
      </c>
      <c r="N1915" s="29" t="s">
        <v>9052</v>
      </c>
      <c r="O1915" s="29"/>
      <c r="P1915" s="29" t="s">
        <v>9056</v>
      </c>
      <c r="Q1915" t="s">
        <v>2038</v>
      </c>
      <c r="R1915" t="s">
        <v>2632</v>
      </c>
      <c r="S1915">
        <v>37</v>
      </c>
      <c r="T1915" s="43" t="str">
        <f t="shared" si="81"/>
        <v>2021.089B.R.Vilmaviridae.zip</v>
      </c>
      <c r="U1915" s="43" t="str">
        <f>HYPERLINK("https://ictv.global/taxonomy/taxondetails?taxnode_id=202212668","ictv.global=202212668")</f>
        <v>ictv.global=202212668</v>
      </c>
    </row>
    <row r="1916" spans="1:21">
      <c r="A1916">
        <v>1915</v>
      </c>
      <c r="B1916" s="29" t="s">
        <v>3682</v>
      </c>
      <c r="C1916" s="29"/>
      <c r="D1916" s="29" t="s">
        <v>3683</v>
      </c>
      <c r="E1916" s="29"/>
      <c r="F1916" s="29" t="s">
        <v>3686</v>
      </c>
      <c r="G1916" s="29"/>
      <c r="H1916" s="29" t="s">
        <v>3687</v>
      </c>
      <c r="I1916" s="29"/>
      <c r="J1916" s="29"/>
      <c r="K1916" s="29"/>
      <c r="L1916" s="29" t="s">
        <v>9043</v>
      </c>
      <c r="M1916" s="29" t="s">
        <v>9044</v>
      </c>
      <c r="N1916" s="29" t="s">
        <v>9052</v>
      </c>
      <c r="O1916" s="29"/>
      <c r="P1916" s="29" t="s">
        <v>9057</v>
      </c>
      <c r="Q1916" t="s">
        <v>2038</v>
      </c>
      <c r="R1916" t="s">
        <v>2632</v>
      </c>
      <c r="S1916">
        <v>37</v>
      </c>
      <c r="T1916" s="43" t="str">
        <f t="shared" si="81"/>
        <v>2021.089B.R.Vilmaviridae.zip</v>
      </c>
      <c r="U1916" s="43" t="str">
        <f>HYPERLINK("https://ictv.global/taxonomy/taxondetails?taxnode_id=202212669","ictv.global=202212669")</f>
        <v>ictv.global=202212669</v>
      </c>
    </row>
    <row r="1917" spans="1:21">
      <c r="A1917">
        <v>1916</v>
      </c>
      <c r="B1917" s="29" t="s">
        <v>3682</v>
      </c>
      <c r="C1917" s="29"/>
      <c r="D1917" s="29" t="s">
        <v>3683</v>
      </c>
      <c r="E1917" s="29"/>
      <c r="F1917" s="29" t="s">
        <v>3686</v>
      </c>
      <c r="G1917" s="29"/>
      <c r="H1917" s="29" t="s">
        <v>3687</v>
      </c>
      <c r="I1917" s="29"/>
      <c r="J1917" s="29"/>
      <c r="K1917" s="29"/>
      <c r="L1917" s="29" t="s">
        <v>9043</v>
      </c>
      <c r="M1917" s="29" t="s">
        <v>9044</v>
      </c>
      <c r="N1917" s="29" t="s">
        <v>9052</v>
      </c>
      <c r="O1917" s="29"/>
      <c r="P1917" s="29" t="s">
        <v>9058</v>
      </c>
      <c r="Q1917" t="s">
        <v>2038</v>
      </c>
      <c r="R1917" t="s">
        <v>2633</v>
      </c>
      <c r="S1917">
        <v>37</v>
      </c>
      <c r="T1917" s="43" t="str">
        <f t="shared" si="81"/>
        <v>2021.089B.R.Vilmaviridae.zip</v>
      </c>
      <c r="U1917" s="43" t="str">
        <f>HYPERLINK("https://ictv.global/taxonomy/taxondetails?taxnode_id=202200867","ictv.global=202200867")</f>
        <v>ictv.global=202200867</v>
      </c>
    </row>
    <row r="1918" spans="1:21">
      <c r="A1918">
        <v>1917</v>
      </c>
      <c r="B1918" s="29" t="s">
        <v>3682</v>
      </c>
      <c r="C1918" s="29"/>
      <c r="D1918" s="29" t="s">
        <v>3683</v>
      </c>
      <c r="E1918" s="29"/>
      <c r="F1918" s="29" t="s">
        <v>3686</v>
      </c>
      <c r="G1918" s="29"/>
      <c r="H1918" s="29" t="s">
        <v>3687</v>
      </c>
      <c r="I1918" s="29"/>
      <c r="J1918" s="29"/>
      <c r="K1918" s="29"/>
      <c r="L1918" s="29" t="s">
        <v>9043</v>
      </c>
      <c r="M1918" s="29" t="s">
        <v>9044</v>
      </c>
      <c r="N1918" s="29" t="s">
        <v>9052</v>
      </c>
      <c r="O1918" s="29"/>
      <c r="P1918" s="29" t="s">
        <v>9059</v>
      </c>
      <c r="Q1918" t="s">
        <v>2038</v>
      </c>
      <c r="R1918" t="s">
        <v>2632</v>
      </c>
      <c r="S1918">
        <v>37</v>
      </c>
      <c r="T1918" s="43" t="str">
        <f t="shared" si="81"/>
        <v>2021.089B.R.Vilmaviridae.zip</v>
      </c>
      <c r="U1918" s="43" t="str">
        <f>HYPERLINK("https://ictv.global/taxonomy/taxondetails?taxnode_id=202212670","ictv.global=202212670")</f>
        <v>ictv.global=202212670</v>
      </c>
    </row>
    <row r="1919" spans="1:21">
      <c r="A1919">
        <v>1918</v>
      </c>
      <c r="B1919" s="29" t="s">
        <v>3682</v>
      </c>
      <c r="C1919" s="29"/>
      <c r="D1919" s="29" t="s">
        <v>3683</v>
      </c>
      <c r="E1919" s="29"/>
      <c r="F1919" s="29" t="s">
        <v>3686</v>
      </c>
      <c r="G1919" s="29"/>
      <c r="H1919" s="29" t="s">
        <v>3687</v>
      </c>
      <c r="I1919" s="29"/>
      <c r="J1919" s="29"/>
      <c r="K1919" s="29"/>
      <c r="L1919" s="29" t="s">
        <v>9043</v>
      </c>
      <c r="M1919" s="29" t="s">
        <v>9044</v>
      </c>
      <c r="N1919" s="29" t="s">
        <v>9060</v>
      </c>
      <c r="O1919" s="29"/>
      <c r="P1919" s="29" t="s">
        <v>9061</v>
      </c>
      <c r="Q1919" t="s">
        <v>2038</v>
      </c>
      <c r="R1919" t="s">
        <v>2632</v>
      </c>
      <c r="S1919">
        <v>37</v>
      </c>
      <c r="T1919" s="43" t="str">
        <f t="shared" si="81"/>
        <v>2021.089B.R.Vilmaviridae.zip</v>
      </c>
      <c r="U1919" s="43" t="str">
        <f>HYPERLINK("https://ictv.global/taxonomy/taxondetails?taxnode_id=202212664","ictv.global=202212664")</f>
        <v>ictv.global=202212664</v>
      </c>
    </row>
    <row r="1920" spans="1:21">
      <c r="A1920">
        <v>1919</v>
      </c>
      <c r="B1920" s="29" t="s">
        <v>3682</v>
      </c>
      <c r="C1920" s="29"/>
      <c r="D1920" s="29" t="s">
        <v>3683</v>
      </c>
      <c r="E1920" s="29"/>
      <c r="F1920" s="29" t="s">
        <v>3686</v>
      </c>
      <c r="G1920" s="29"/>
      <c r="H1920" s="29" t="s">
        <v>3687</v>
      </c>
      <c r="I1920" s="29"/>
      <c r="J1920" s="29"/>
      <c r="K1920" s="29"/>
      <c r="L1920" s="29" t="s">
        <v>9043</v>
      </c>
      <c r="M1920" s="29" t="s">
        <v>9044</v>
      </c>
      <c r="N1920" s="29" t="s">
        <v>9060</v>
      </c>
      <c r="O1920" s="29"/>
      <c r="P1920" s="29" t="s">
        <v>9062</v>
      </c>
      <c r="Q1920" t="s">
        <v>2038</v>
      </c>
      <c r="R1920" t="s">
        <v>2632</v>
      </c>
      <c r="S1920">
        <v>37</v>
      </c>
      <c r="T1920" s="43" t="str">
        <f t="shared" si="81"/>
        <v>2021.089B.R.Vilmaviridae.zip</v>
      </c>
      <c r="U1920" s="43" t="str">
        <f>HYPERLINK("https://ictv.global/taxonomy/taxondetails?taxnode_id=202212662","ictv.global=202212662")</f>
        <v>ictv.global=202212662</v>
      </c>
    </row>
    <row r="1921" spans="1:21">
      <c r="A1921">
        <v>1920</v>
      </c>
      <c r="B1921" s="29" t="s">
        <v>3682</v>
      </c>
      <c r="C1921" s="29"/>
      <c r="D1921" s="29" t="s">
        <v>3683</v>
      </c>
      <c r="E1921" s="29"/>
      <c r="F1921" s="29" t="s">
        <v>3686</v>
      </c>
      <c r="G1921" s="29"/>
      <c r="H1921" s="29" t="s">
        <v>3687</v>
      </c>
      <c r="I1921" s="29"/>
      <c r="J1921" s="29"/>
      <c r="K1921" s="29"/>
      <c r="L1921" s="29" t="s">
        <v>9043</v>
      </c>
      <c r="M1921" s="29" t="s">
        <v>9044</v>
      </c>
      <c r="N1921" s="29" t="s">
        <v>9060</v>
      </c>
      <c r="O1921" s="29"/>
      <c r="P1921" s="29" t="s">
        <v>9063</v>
      </c>
      <c r="Q1921" t="s">
        <v>2038</v>
      </c>
      <c r="R1921" t="s">
        <v>2632</v>
      </c>
      <c r="S1921">
        <v>37</v>
      </c>
      <c r="T1921" s="43" t="str">
        <f t="shared" si="81"/>
        <v>2021.089B.R.Vilmaviridae.zip</v>
      </c>
      <c r="U1921" s="43" t="str">
        <f>HYPERLINK("https://ictv.global/taxonomy/taxondetails?taxnode_id=202212661","ictv.global=202212661")</f>
        <v>ictv.global=202212661</v>
      </c>
    </row>
    <row r="1922" spans="1:21">
      <c r="A1922">
        <v>1921</v>
      </c>
      <c r="B1922" s="29" t="s">
        <v>3682</v>
      </c>
      <c r="C1922" s="29"/>
      <c r="D1922" s="29" t="s">
        <v>3683</v>
      </c>
      <c r="E1922" s="29"/>
      <c r="F1922" s="29" t="s">
        <v>3686</v>
      </c>
      <c r="G1922" s="29"/>
      <c r="H1922" s="29" t="s">
        <v>3687</v>
      </c>
      <c r="I1922" s="29"/>
      <c r="J1922" s="29"/>
      <c r="K1922" s="29"/>
      <c r="L1922" s="29" t="s">
        <v>9043</v>
      </c>
      <c r="M1922" s="29" t="s">
        <v>9044</v>
      </c>
      <c r="N1922" s="29" t="s">
        <v>9060</v>
      </c>
      <c r="O1922" s="29"/>
      <c r="P1922" s="29" t="s">
        <v>9064</v>
      </c>
      <c r="Q1922" t="s">
        <v>2038</v>
      </c>
      <c r="R1922" t="s">
        <v>2632</v>
      </c>
      <c r="S1922">
        <v>37</v>
      </c>
      <c r="T1922" s="43" t="str">
        <f t="shared" si="81"/>
        <v>2021.089B.R.Vilmaviridae.zip</v>
      </c>
      <c r="U1922" s="43" t="str">
        <f>HYPERLINK("https://ictv.global/taxonomy/taxondetails?taxnode_id=202212663","ictv.global=202212663")</f>
        <v>ictv.global=202212663</v>
      </c>
    </row>
    <row r="1923" spans="1:21">
      <c r="A1923">
        <v>1922</v>
      </c>
      <c r="B1923" s="29" t="s">
        <v>3682</v>
      </c>
      <c r="C1923" s="29"/>
      <c r="D1923" s="29" t="s">
        <v>3683</v>
      </c>
      <c r="E1923" s="29"/>
      <c r="F1923" s="29" t="s">
        <v>3686</v>
      </c>
      <c r="G1923" s="29"/>
      <c r="H1923" s="29" t="s">
        <v>3687</v>
      </c>
      <c r="I1923" s="29"/>
      <c r="J1923" s="29"/>
      <c r="K1923" s="29"/>
      <c r="L1923" s="29" t="s">
        <v>9043</v>
      </c>
      <c r="M1923" s="29" t="s">
        <v>2389</v>
      </c>
      <c r="N1923" s="29" t="s">
        <v>2390</v>
      </c>
      <c r="O1923" s="29"/>
      <c r="P1923" s="29" t="s">
        <v>9065</v>
      </c>
      <c r="Q1923" t="s">
        <v>2038</v>
      </c>
      <c r="R1923" t="s">
        <v>2633</v>
      </c>
      <c r="S1923">
        <v>37</v>
      </c>
      <c r="T1923" s="43" t="str">
        <f>HYPERLINK("https://ictv.global/ictv/proposals/2021.010B.R.Binomial_names.zip","2021.010B.R.Binomial_names.zip")</f>
        <v>2021.010B.R.Binomial_names.zip</v>
      </c>
      <c r="U1923" s="43" t="str">
        <f>HYPERLINK("https://ictv.global/taxonomy/taxondetails?taxnode_id=202200789","ictv.global=202200789")</f>
        <v>ictv.global=202200789</v>
      </c>
    </row>
    <row r="1924" spans="1:21">
      <c r="A1924">
        <v>1923</v>
      </c>
      <c r="B1924" s="29" t="s">
        <v>3682</v>
      </c>
      <c r="C1924" s="29"/>
      <c r="D1924" s="29" t="s">
        <v>3683</v>
      </c>
      <c r="E1924" s="29"/>
      <c r="F1924" s="29" t="s">
        <v>3686</v>
      </c>
      <c r="G1924" s="29"/>
      <c r="H1924" s="29" t="s">
        <v>3687</v>
      </c>
      <c r="I1924" s="29"/>
      <c r="J1924" s="29"/>
      <c r="K1924" s="29"/>
      <c r="L1924" s="29" t="s">
        <v>9043</v>
      </c>
      <c r="M1924" s="29" t="s">
        <v>2389</v>
      </c>
      <c r="N1924" s="29" t="s">
        <v>2390</v>
      </c>
      <c r="O1924" s="29"/>
      <c r="P1924" s="29" t="s">
        <v>9066</v>
      </c>
      <c r="Q1924" t="s">
        <v>2038</v>
      </c>
      <c r="R1924" t="s">
        <v>2632</v>
      </c>
      <c r="S1924">
        <v>37</v>
      </c>
      <c r="T1924" s="43" t="str">
        <f>HYPERLINK("https://ictv.global/ictv/proposals/2021.089B.R.Vilmaviridae.zip","2021.089B.R.Vilmaviridae.zip")</f>
        <v>2021.089B.R.Vilmaviridae.zip</v>
      </c>
      <c r="U1924" s="43" t="str">
        <f>HYPERLINK("https://ictv.global/taxonomy/taxondetails?taxnode_id=202212679","ictv.global=202212679")</f>
        <v>ictv.global=202212679</v>
      </c>
    </row>
    <row r="1925" spans="1:21">
      <c r="A1925">
        <v>1924</v>
      </c>
      <c r="B1925" s="29" t="s">
        <v>3682</v>
      </c>
      <c r="C1925" s="29"/>
      <c r="D1925" s="29" t="s">
        <v>3683</v>
      </c>
      <c r="E1925" s="29"/>
      <c r="F1925" s="29" t="s">
        <v>3686</v>
      </c>
      <c r="G1925" s="29"/>
      <c r="H1925" s="29" t="s">
        <v>3687</v>
      </c>
      <c r="I1925" s="29"/>
      <c r="J1925" s="29"/>
      <c r="K1925" s="29"/>
      <c r="L1925" s="29" t="s">
        <v>9043</v>
      </c>
      <c r="M1925" s="29" t="s">
        <v>2389</v>
      </c>
      <c r="N1925" s="29" t="s">
        <v>2120</v>
      </c>
      <c r="O1925" s="29"/>
      <c r="P1925" s="29" t="s">
        <v>9067</v>
      </c>
      <c r="Q1925" t="s">
        <v>2038</v>
      </c>
      <c r="R1925" t="s">
        <v>2632</v>
      </c>
      <c r="S1925">
        <v>37</v>
      </c>
      <c r="T1925" s="43" t="str">
        <f>HYPERLINK("https://ictv.global/ictv/proposals/2021.089B.R.Vilmaviridae.zip","2021.089B.R.Vilmaviridae.zip")</f>
        <v>2021.089B.R.Vilmaviridae.zip</v>
      </c>
      <c r="U1925" s="43" t="str">
        <f>HYPERLINK("https://ictv.global/taxonomy/taxondetails?taxnode_id=202212676","ictv.global=202212676")</f>
        <v>ictv.global=202212676</v>
      </c>
    </row>
    <row r="1926" spans="1:21">
      <c r="A1926">
        <v>1925</v>
      </c>
      <c r="B1926" s="29" t="s">
        <v>3682</v>
      </c>
      <c r="C1926" s="29"/>
      <c r="D1926" s="29" t="s">
        <v>3683</v>
      </c>
      <c r="E1926" s="29"/>
      <c r="F1926" s="29" t="s">
        <v>3686</v>
      </c>
      <c r="G1926" s="29"/>
      <c r="H1926" s="29" t="s">
        <v>3687</v>
      </c>
      <c r="I1926" s="29"/>
      <c r="J1926" s="29"/>
      <c r="K1926" s="29"/>
      <c r="L1926" s="29" t="s">
        <v>9043</v>
      </c>
      <c r="M1926" s="29" t="s">
        <v>2389</v>
      </c>
      <c r="N1926" s="29" t="s">
        <v>2120</v>
      </c>
      <c r="O1926" s="29"/>
      <c r="P1926" s="29" t="s">
        <v>9068</v>
      </c>
      <c r="Q1926" t="s">
        <v>2038</v>
      </c>
      <c r="R1926" t="s">
        <v>2632</v>
      </c>
      <c r="S1926">
        <v>37</v>
      </c>
      <c r="T1926" s="43" t="str">
        <f>HYPERLINK("https://ictv.global/ictv/proposals/2021.089B.R.Vilmaviridae.zip","2021.089B.R.Vilmaviridae.zip")</f>
        <v>2021.089B.R.Vilmaviridae.zip</v>
      </c>
      <c r="U1926" s="43" t="str">
        <f>HYPERLINK("https://ictv.global/taxonomy/taxondetails?taxnode_id=202212677","ictv.global=202212677")</f>
        <v>ictv.global=202212677</v>
      </c>
    </row>
    <row r="1927" spans="1:21">
      <c r="A1927">
        <v>1926</v>
      </c>
      <c r="B1927" s="29" t="s">
        <v>3682</v>
      </c>
      <c r="C1927" s="29"/>
      <c r="D1927" s="29" t="s">
        <v>3683</v>
      </c>
      <c r="E1927" s="29"/>
      <c r="F1927" s="29" t="s">
        <v>3686</v>
      </c>
      <c r="G1927" s="29"/>
      <c r="H1927" s="29" t="s">
        <v>3687</v>
      </c>
      <c r="I1927" s="29"/>
      <c r="J1927" s="29"/>
      <c r="K1927" s="29"/>
      <c r="L1927" s="29" t="s">
        <v>9043</v>
      </c>
      <c r="M1927" s="29" t="s">
        <v>2389</v>
      </c>
      <c r="N1927" s="29" t="s">
        <v>2120</v>
      </c>
      <c r="O1927" s="29"/>
      <c r="P1927" s="29" t="s">
        <v>9069</v>
      </c>
      <c r="Q1927" t="s">
        <v>2038</v>
      </c>
      <c r="R1927" t="s">
        <v>2632</v>
      </c>
      <c r="S1927">
        <v>37</v>
      </c>
      <c r="T1927" s="43" t="str">
        <f>HYPERLINK("https://ictv.global/ictv/proposals/2021.089B.R.Vilmaviridae.zip","2021.089B.R.Vilmaviridae.zip")</f>
        <v>2021.089B.R.Vilmaviridae.zip</v>
      </c>
      <c r="U1927" s="43" t="str">
        <f>HYPERLINK("https://ictv.global/taxonomy/taxondetails?taxnode_id=202212678","ictv.global=202212678")</f>
        <v>ictv.global=202212678</v>
      </c>
    </row>
    <row r="1928" spans="1:21">
      <c r="A1928">
        <v>1927</v>
      </c>
      <c r="B1928" s="29" t="s">
        <v>3682</v>
      </c>
      <c r="C1928" s="29"/>
      <c r="D1928" s="29" t="s">
        <v>3683</v>
      </c>
      <c r="E1928" s="29"/>
      <c r="F1928" s="29" t="s">
        <v>3686</v>
      </c>
      <c r="G1928" s="29"/>
      <c r="H1928" s="29" t="s">
        <v>3687</v>
      </c>
      <c r="I1928" s="29"/>
      <c r="J1928" s="29"/>
      <c r="K1928" s="29"/>
      <c r="L1928" s="29" t="s">
        <v>9043</v>
      </c>
      <c r="M1928" s="29" t="s">
        <v>2389</v>
      </c>
      <c r="N1928" s="29" t="s">
        <v>2120</v>
      </c>
      <c r="O1928" s="29"/>
      <c r="P1928" s="29" t="s">
        <v>9070</v>
      </c>
      <c r="Q1928" t="s">
        <v>2038</v>
      </c>
      <c r="R1928" t="s">
        <v>2633</v>
      </c>
      <c r="S1928">
        <v>37</v>
      </c>
      <c r="T1928" s="43" t="str">
        <f>HYPERLINK("https://ictv.global/ictv/proposals/2021.010B.R.Binomial_names.zip","2021.010B.R.Binomial_names.zip")</f>
        <v>2021.010B.R.Binomial_names.zip</v>
      </c>
      <c r="U1928" s="43" t="str">
        <f>HYPERLINK("https://ictv.global/taxonomy/taxondetails?taxnode_id=202200791","ictv.global=202200791")</f>
        <v>ictv.global=202200791</v>
      </c>
    </row>
    <row r="1929" spans="1:21">
      <c r="A1929">
        <v>1928</v>
      </c>
      <c r="B1929" s="29" t="s">
        <v>3682</v>
      </c>
      <c r="C1929" s="29"/>
      <c r="D1929" s="29" t="s">
        <v>3683</v>
      </c>
      <c r="E1929" s="29"/>
      <c r="F1929" s="29" t="s">
        <v>3686</v>
      </c>
      <c r="G1929" s="29"/>
      <c r="H1929" s="29" t="s">
        <v>3687</v>
      </c>
      <c r="I1929" s="29"/>
      <c r="J1929" s="29"/>
      <c r="K1929" s="29"/>
      <c r="L1929" s="29" t="s">
        <v>9043</v>
      </c>
      <c r="M1929" s="29"/>
      <c r="N1929" s="29" t="s">
        <v>9071</v>
      </c>
      <c r="O1929" s="29"/>
      <c r="P1929" s="29" t="s">
        <v>9072</v>
      </c>
      <c r="Q1929" t="s">
        <v>2038</v>
      </c>
      <c r="R1929" t="s">
        <v>2632</v>
      </c>
      <c r="S1929">
        <v>37</v>
      </c>
      <c r="T1929" s="43" t="str">
        <f>HYPERLINK("https://ictv.global/ictv/proposals/2021.089B.R.Vilmaviridae.zip","2021.089B.R.Vilmaviridae.zip")</f>
        <v>2021.089B.R.Vilmaviridae.zip</v>
      </c>
      <c r="U1929" s="43" t="str">
        <f>HYPERLINK("https://ictv.global/taxonomy/taxondetails?taxnode_id=202212675","ictv.global=202212675")</f>
        <v>ictv.global=202212675</v>
      </c>
    </row>
    <row r="1930" spans="1:21">
      <c r="A1930">
        <v>1929</v>
      </c>
      <c r="B1930" s="29" t="s">
        <v>3682</v>
      </c>
      <c r="C1930" s="29"/>
      <c r="D1930" s="29" t="s">
        <v>3683</v>
      </c>
      <c r="E1930" s="29"/>
      <c r="F1930" s="29" t="s">
        <v>3686</v>
      </c>
      <c r="G1930" s="29"/>
      <c r="H1930" s="29" t="s">
        <v>3687</v>
      </c>
      <c r="I1930" s="29"/>
      <c r="J1930" s="29"/>
      <c r="K1930" s="29"/>
      <c r="L1930" s="29" t="s">
        <v>9043</v>
      </c>
      <c r="M1930" s="29"/>
      <c r="N1930" s="29" t="s">
        <v>2448</v>
      </c>
      <c r="O1930" s="29"/>
      <c r="P1930" s="29" t="s">
        <v>2449</v>
      </c>
      <c r="Q1930" t="s">
        <v>2038</v>
      </c>
      <c r="R1930" t="s">
        <v>2634</v>
      </c>
      <c r="S1930">
        <v>37</v>
      </c>
      <c r="T1930" s="43" t="str">
        <f>HYPERLINK("https://ictv.global/ictv/proposals/2021.001B.R.abolish_Caudovirales.zip","2021.001B.R.abolish_Caudovirales.zip;2021.089B.A.v1.Vilmaviridae.zip")</f>
        <v>2021.001B.R.abolish_Caudovirales.zip;2021.089B.A.v1.Vilmaviridae.zip</v>
      </c>
      <c r="U1930" s="43" t="str">
        <f>HYPERLINK("https://ictv.global/taxonomy/taxondetails?taxnode_id=202201371","ictv.global=202201371")</f>
        <v>ictv.global=202201371</v>
      </c>
    </row>
    <row r="1931" spans="1:21">
      <c r="A1931">
        <v>1930</v>
      </c>
      <c r="B1931" s="29" t="s">
        <v>3682</v>
      </c>
      <c r="C1931" s="29"/>
      <c r="D1931" s="29" t="s">
        <v>3683</v>
      </c>
      <c r="E1931" s="29"/>
      <c r="F1931" s="29" t="s">
        <v>3686</v>
      </c>
      <c r="G1931" s="29"/>
      <c r="H1931" s="29" t="s">
        <v>3687</v>
      </c>
      <c r="I1931" s="29"/>
      <c r="J1931" s="29"/>
      <c r="K1931" s="29"/>
      <c r="L1931" s="29" t="s">
        <v>9073</v>
      </c>
      <c r="M1931" s="29"/>
      <c r="N1931" s="29" t="s">
        <v>9074</v>
      </c>
      <c r="O1931" s="29"/>
      <c r="P1931" s="29" t="s">
        <v>9075</v>
      </c>
      <c r="Q1931" t="s">
        <v>2038</v>
      </c>
      <c r="R1931" t="s">
        <v>2632</v>
      </c>
      <c r="S1931">
        <v>37</v>
      </c>
      <c r="T1931" s="43" t="str">
        <f>HYPERLINK("https://ictv.global/ictv/proposals/2021.029B.R.Flavophages_9_families.zip","2021.029B.R.Flavophages_9_families.zip")</f>
        <v>2021.029B.R.Flavophages_9_families.zip</v>
      </c>
      <c r="U1931" s="43" t="str">
        <f>HYPERLINK("https://ictv.global/taxonomy/taxondetails?taxnode_id=202213568","ictv.global=202213568")</f>
        <v>ictv.global=202213568</v>
      </c>
    </row>
    <row r="1932" spans="1:21">
      <c r="A1932">
        <v>1931</v>
      </c>
      <c r="B1932" s="29" t="s">
        <v>3682</v>
      </c>
      <c r="C1932" s="29"/>
      <c r="D1932" s="29" t="s">
        <v>3683</v>
      </c>
      <c r="E1932" s="29"/>
      <c r="F1932" s="29" t="s">
        <v>3686</v>
      </c>
      <c r="G1932" s="29"/>
      <c r="H1932" s="29" t="s">
        <v>3687</v>
      </c>
      <c r="I1932" s="29"/>
      <c r="J1932" s="29"/>
      <c r="K1932" s="29"/>
      <c r="L1932" s="29" t="s">
        <v>9073</v>
      </c>
      <c r="M1932" s="29"/>
      <c r="N1932" s="29" t="s">
        <v>4576</v>
      </c>
      <c r="O1932" s="29"/>
      <c r="P1932" s="29" t="s">
        <v>9076</v>
      </c>
      <c r="Q1932" t="s">
        <v>2038</v>
      </c>
      <c r="R1932" t="s">
        <v>2633</v>
      </c>
      <c r="S1932">
        <v>37</v>
      </c>
      <c r="T1932" s="43" t="str">
        <f>HYPERLINK("https://ictv.global/ictv/proposals/2021.029B.R.Flavophages_9_families.zip","2021.029B.R.Flavophages_9_families.zip")</f>
        <v>2021.029B.R.Flavophages_9_families.zip</v>
      </c>
      <c r="U1932" s="43" t="str">
        <f>HYPERLINK("https://ictv.global/taxonomy/taxondetails?taxnode_id=202210015","ictv.global=202210015")</f>
        <v>ictv.global=202210015</v>
      </c>
    </row>
    <row r="1933" spans="1:21">
      <c r="A1933">
        <v>1932</v>
      </c>
      <c r="B1933" s="29" t="s">
        <v>3682</v>
      </c>
      <c r="C1933" s="29"/>
      <c r="D1933" s="29" t="s">
        <v>3683</v>
      </c>
      <c r="E1933" s="29"/>
      <c r="F1933" s="29" t="s">
        <v>3686</v>
      </c>
      <c r="G1933" s="29"/>
      <c r="H1933" s="29" t="s">
        <v>3687</v>
      </c>
      <c r="I1933" s="29"/>
      <c r="J1933" s="29"/>
      <c r="K1933" s="29"/>
      <c r="L1933" s="29" t="s">
        <v>9073</v>
      </c>
      <c r="M1933" s="29"/>
      <c r="N1933" s="29" t="s">
        <v>4576</v>
      </c>
      <c r="O1933" s="29"/>
      <c r="P1933" s="29" t="s">
        <v>9077</v>
      </c>
      <c r="Q1933" t="s">
        <v>2038</v>
      </c>
      <c r="R1933" t="s">
        <v>2633</v>
      </c>
      <c r="S1933">
        <v>37</v>
      </c>
      <c r="T1933" s="43" t="str">
        <f>HYPERLINK("https://ictv.global/ictv/proposals/2021.029B.R.Flavophages_9_families.zip","2021.029B.R.Flavophages_9_families.zip")</f>
        <v>2021.029B.R.Flavophages_9_families.zip</v>
      </c>
      <c r="U1933" s="43" t="str">
        <f>HYPERLINK("https://ictv.global/taxonomy/taxondetails?taxnode_id=202210014","ictv.global=202210014")</f>
        <v>ictv.global=202210014</v>
      </c>
    </row>
    <row r="1934" spans="1:21">
      <c r="A1934">
        <v>1933</v>
      </c>
      <c r="B1934" s="29" t="s">
        <v>3682</v>
      </c>
      <c r="C1934" s="29"/>
      <c r="D1934" s="29" t="s">
        <v>3683</v>
      </c>
      <c r="E1934" s="29"/>
      <c r="F1934" s="29" t="s">
        <v>3686</v>
      </c>
      <c r="G1934" s="29"/>
      <c r="H1934" s="29" t="s">
        <v>3687</v>
      </c>
      <c r="I1934" s="29"/>
      <c r="J1934" s="29"/>
      <c r="K1934" s="29"/>
      <c r="L1934" s="29" t="s">
        <v>9078</v>
      </c>
      <c r="M1934" s="29" t="s">
        <v>9079</v>
      </c>
      <c r="N1934" s="29" t="s">
        <v>9080</v>
      </c>
      <c r="O1934" s="29"/>
      <c r="P1934" s="29" t="s">
        <v>9081</v>
      </c>
      <c r="Q1934" t="s">
        <v>2038</v>
      </c>
      <c r="R1934" t="s">
        <v>2632</v>
      </c>
      <c r="S1934">
        <v>37</v>
      </c>
      <c r="T1934" s="43" t="str">
        <f t="shared" ref="T1934:T1955" si="82">HYPERLINK("https://ictv.global/ictv/proposals/2021.094B.R.Zierdtviridae.zip","2021.094B.R.Zierdtviridae.zip")</f>
        <v>2021.094B.R.Zierdtviridae.zip</v>
      </c>
      <c r="U1934" s="43" t="str">
        <f>HYPERLINK("https://ictv.global/taxonomy/taxondetails?taxnode_id=202213403","ictv.global=202213403")</f>
        <v>ictv.global=202213403</v>
      </c>
    </row>
    <row r="1935" spans="1:21">
      <c r="A1935">
        <v>1934</v>
      </c>
      <c r="B1935" s="29" t="s">
        <v>3682</v>
      </c>
      <c r="C1935" s="29"/>
      <c r="D1935" s="29" t="s">
        <v>3683</v>
      </c>
      <c r="E1935" s="29"/>
      <c r="F1935" s="29" t="s">
        <v>3686</v>
      </c>
      <c r="G1935" s="29"/>
      <c r="H1935" s="29" t="s">
        <v>3687</v>
      </c>
      <c r="I1935" s="29"/>
      <c r="J1935" s="29"/>
      <c r="K1935" s="29"/>
      <c r="L1935" s="29" t="s">
        <v>9078</v>
      </c>
      <c r="M1935" s="29" t="s">
        <v>9079</v>
      </c>
      <c r="N1935" s="29" t="s">
        <v>9080</v>
      </c>
      <c r="O1935" s="29"/>
      <c r="P1935" s="29" t="s">
        <v>9082</v>
      </c>
      <c r="Q1935" t="s">
        <v>2038</v>
      </c>
      <c r="R1935" t="s">
        <v>2632</v>
      </c>
      <c r="S1935">
        <v>37</v>
      </c>
      <c r="T1935" s="43" t="str">
        <f t="shared" si="82"/>
        <v>2021.094B.R.Zierdtviridae.zip</v>
      </c>
      <c r="U1935" s="43" t="str">
        <f>HYPERLINK("https://ictv.global/taxonomy/taxondetails?taxnode_id=202213400","ictv.global=202213400")</f>
        <v>ictv.global=202213400</v>
      </c>
    </row>
    <row r="1936" spans="1:21">
      <c r="A1936">
        <v>1935</v>
      </c>
      <c r="B1936" s="29" t="s">
        <v>3682</v>
      </c>
      <c r="C1936" s="29"/>
      <c r="D1936" s="29" t="s">
        <v>3683</v>
      </c>
      <c r="E1936" s="29"/>
      <c r="F1936" s="29" t="s">
        <v>3686</v>
      </c>
      <c r="G1936" s="29"/>
      <c r="H1936" s="29" t="s">
        <v>3687</v>
      </c>
      <c r="I1936" s="29"/>
      <c r="J1936" s="29"/>
      <c r="K1936" s="29"/>
      <c r="L1936" s="29" t="s">
        <v>9078</v>
      </c>
      <c r="M1936" s="29" t="s">
        <v>9079</v>
      </c>
      <c r="N1936" s="29" t="s">
        <v>9080</v>
      </c>
      <c r="O1936" s="29"/>
      <c r="P1936" s="29" t="s">
        <v>9083</v>
      </c>
      <c r="Q1936" t="s">
        <v>2038</v>
      </c>
      <c r="R1936" t="s">
        <v>2632</v>
      </c>
      <c r="S1936">
        <v>37</v>
      </c>
      <c r="T1936" s="43" t="str">
        <f t="shared" si="82"/>
        <v>2021.094B.R.Zierdtviridae.zip</v>
      </c>
      <c r="U1936" s="43" t="str">
        <f>HYPERLINK("https://ictv.global/taxonomy/taxondetails?taxnode_id=202213401","ictv.global=202213401")</f>
        <v>ictv.global=202213401</v>
      </c>
    </row>
    <row r="1937" spans="1:21">
      <c r="A1937">
        <v>1936</v>
      </c>
      <c r="B1937" s="29" t="s">
        <v>3682</v>
      </c>
      <c r="C1937" s="29"/>
      <c r="D1937" s="29" t="s">
        <v>3683</v>
      </c>
      <c r="E1937" s="29"/>
      <c r="F1937" s="29" t="s">
        <v>3686</v>
      </c>
      <c r="G1937" s="29"/>
      <c r="H1937" s="29" t="s">
        <v>3687</v>
      </c>
      <c r="I1937" s="29"/>
      <c r="J1937" s="29"/>
      <c r="K1937" s="29"/>
      <c r="L1937" s="29" t="s">
        <v>9078</v>
      </c>
      <c r="M1937" s="29" t="s">
        <v>9079</v>
      </c>
      <c r="N1937" s="29" t="s">
        <v>9080</v>
      </c>
      <c r="O1937" s="29"/>
      <c r="P1937" s="29" t="s">
        <v>9084</v>
      </c>
      <c r="Q1937" t="s">
        <v>2038</v>
      </c>
      <c r="R1937" t="s">
        <v>2632</v>
      </c>
      <c r="S1937">
        <v>37</v>
      </c>
      <c r="T1937" s="43" t="str">
        <f t="shared" si="82"/>
        <v>2021.094B.R.Zierdtviridae.zip</v>
      </c>
      <c r="U1937" s="43" t="str">
        <f>HYPERLINK("https://ictv.global/taxonomy/taxondetails?taxnode_id=202213402","ictv.global=202213402")</f>
        <v>ictv.global=202213402</v>
      </c>
    </row>
    <row r="1938" spans="1:21">
      <c r="A1938">
        <v>1937</v>
      </c>
      <c r="B1938" s="29" t="s">
        <v>3682</v>
      </c>
      <c r="C1938" s="29"/>
      <c r="D1938" s="29" t="s">
        <v>3683</v>
      </c>
      <c r="E1938" s="29"/>
      <c r="F1938" s="29" t="s">
        <v>3686</v>
      </c>
      <c r="G1938" s="29"/>
      <c r="H1938" s="29" t="s">
        <v>3687</v>
      </c>
      <c r="I1938" s="29"/>
      <c r="J1938" s="29"/>
      <c r="K1938" s="29"/>
      <c r="L1938" s="29" t="s">
        <v>9078</v>
      </c>
      <c r="M1938" s="29" t="s">
        <v>9079</v>
      </c>
      <c r="N1938" s="29" t="s">
        <v>9080</v>
      </c>
      <c r="O1938" s="29"/>
      <c r="P1938" s="29" t="s">
        <v>9085</v>
      </c>
      <c r="Q1938" t="s">
        <v>2038</v>
      </c>
      <c r="R1938" t="s">
        <v>2632</v>
      </c>
      <c r="S1938">
        <v>37</v>
      </c>
      <c r="T1938" s="43" t="str">
        <f t="shared" si="82"/>
        <v>2021.094B.R.Zierdtviridae.zip</v>
      </c>
      <c r="U1938" s="43" t="str">
        <f>HYPERLINK("https://ictv.global/taxonomy/taxondetails?taxnode_id=202213404","ictv.global=202213404")</f>
        <v>ictv.global=202213404</v>
      </c>
    </row>
    <row r="1939" spans="1:21">
      <c r="A1939">
        <v>1938</v>
      </c>
      <c r="B1939" s="29" t="s">
        <v>3682</v>
      </c>
      <c r="C1939" s="29"/>
      <c r="D1939" s="29" t="s">
        <v>3683</v>
      </c>
      <c r="E1939" s="29"/>
      <c r="F1939" s="29" t="s">
        <v>3686</v>
      </c>
      <c r="G1939" s="29"/>
      <c r="H1939" s="29" t="s">
        <v>3687</v>
      </c>
      <c r="I1939" s="29"/>
      <c r="J1939" s="29"/>
      <c r="K1939" s="29"/>
      <c r="L1939" s="29" t="s">
        <v>9078</v>
      </c>
      <c r="M1939" s="29" t="s">
        <v>9079</v>
      </c>
      <c r="N1939" s="29" t="s">
        <v>9086</v>
      </c>
      <c r="O1939" s="29"/>
      <c r="P1939" s="29" t="s">
        <v>9087</v>
      </c>
      <c r="Q1939" t="s">
        <v>2038</v>
      </c>
      <c r="R1939" t="s">
        <v>2632</v>
      </c>
      <c r="S1939">
        <v>37</v>
      </c>
      <c r="T1939" s="43" t="str">
        <f t="shared" si="82"/>
        <v>2021.094B.R.Zierdtviridae.zip</v>
      </c>
      <c r="U1939" s="43" t="str">
        <f>HYPERLINK("https://ictv.global/taxonomy/taxondetails?taxnode_id=202213415","ictv.global=202213415")</f>
        <v>ictv.global=202213415</v>
      </c>
    </row>
    <row r="1940" spans="1:21">
      <c r="A1940">
        <v>1939</v>
      </c>
      <c r="B1940" s="29" t="s">
        <v>3682</v>
      </c>
      <c r="C1940" s="29"/>
      <c r="D1940" s="29" t="s">
        <v>3683</v>
      </c>
      <c r="E1940" s="29"/>
      <c r="F1940" s="29" t="s">
        <v>3686</v>
      </c>
      <c r="G1940" s="29"/>
      <c r="H1940" s="29" t="s">
        <v>3687</v>
      </c>
      <c r="I1940" s="29"/>
      <c r="J1940" s="29"/>
      <c r="K1940" s="29"/>
      <c r="L1940" s="29" t="s">
        <v>9078</v>
      </c>
      <c r="M1940" s="29" t="s">
        <v>9079</v>
      </c>
      <c r="N1940" s="29" t="s">
        <v>9086</v>
      </c>
      <c r="O1940" s="29"/>
      <c r="P1940" s="29" t="s">
        <v>9088</v>
      </c>
      <c r="Q1940" t="s">
        <v>2038</v>
      </c>
      <c r="R1940" t="s">
        <v>2632</v>
      </c>
      <c r="S1940">
        <v>37</v>
      </c>
      <c r="T1940" s="43" t="str">
        <f t="shared" si="82"/>
        <v>2021.094B.R.Zierdtviridae.zip</v>
      </c>
      <c r="U1940" s="43" t="str">
        <f>HYPERLINK("https://ictv.global/taxonomy/taxondetails?taxnode_id=202213412","ictv.global=202213412")</f>
        <v>ictv.global=202213412</v>
      </c>
    </row>
    <row r="1941" spans="1:21">
      <c r="A1941">
        <v>1940</v>
      </c>
      <c r="B1941" s="29" t="s">
        <v>3682</v>
      </c>
      <c r="C1941" s="29"/>
      <c r="D1941" s="29" t="s">
        <v>3683</v>
      </c>
      <c r="E1941" s="29"/>
      <c r="F1941" s="29" t="s">
        <v>3686</v>
      </c>
      <c r="G1941" s="29"/>
      <c r="H1941" s="29" t="s">
        <v>3687</v>
      </c>
      <c r="I1941" s="29"/>
      <c r="J1941" s="29"/>
      <c r="K1941" s="29"/>
      <c r="L1941" s="29" t="s">
        <v>9078</v>
      </c>
      <c r="M1941" s="29" t="s">
        <v>9079</v>
      </c>
      <c r="N1941" s="29" t="s">
        <v>9086</v>
      </c>
      <c r="O1941" s="29"/>
      <c r="P1941" s="29" t="s">
        <v>9089</v>
      </c>
      <c r="Q1941" t="s">
        <v>2038</v>
      </c>
      <c r="R1941" t="s">
        <v>2632</v>
      </c>
      <c r="S1941">
        <v>37</v>
      </c>
      <c r="T1941" s="43" t="str">
        <f t="shared" si="82"/>
        <v>2021.094B.R.Zierdtviridae.zip</v>
      </c>
      <c r="U1941" s="43" t="str">
        <f>HYPERLINK("https://ictv.global/taxonomy/taxondetails?taxnode_id=202213414","ictv.global=202213414")</f>
        <v>ictv.global=202213414</v>
      </c>
    </row>
    <row r="1942" spans="1:21">
      <c r="A1942">
        <v>1941</v>
      </c>
      <c r="B1942" s="29" t="s">
        <v>3682</v>
      </c>
      <c r="C1942" s="29"/>
      <c r="D1942" s="29" t="s">
        <v>3683</v>
      </c>
      <c r="E1942" s="29"/>
      <c r="F1942" s="29" t="s">
        <v>3686</v>
      </c>
      <c r="G1942" s="29"/>
      <c r="H1942" s="29" t="s">
        <v>3687</v>
      </c>
      <c r="I1942" s="29"/>
      <c r="J1942" s="29"/>
      <c r="K1942" s="29"/>
      <c r="L1942" s="29" t="s">
        <v>9078</v>
      </c>
      <c r="M1942" s="29" t="s">
        <v>9079</v>
      </c>
      <c r="N1942" s="29" t="s">
        <v>9086</v>
      </c>
      <c r="O1942" s="29"/>
      <c r="P1942" s="29" t="s">
        <v>9090</v>
      </c>
      <c r="Q1942" t="s">
        <v>2038</v>
      </c>
      <c r="R1942" t="s">
        <v>2632</v>
      </c>
      <c r="S1942">
        <v>37</v>
      </c>
      <c r="T1942" s="43" t="str">
        <f t="shared" si="82"/>
        <v>2021.094B.R.Zierdtviridae.zip</v>
      </c>
      <c r="U1942" s="43" t="str">
        <f>HYPERLINK("https://ictv.global/taxonomy/taxondetails?taxnode_id=202213413","ictv.global=202213413")</f>
        <v>ictv.global=202213413</v>
      </c>
    </row>
    <row r="1943" spans="1:21">
      <c r="A1943">
        <v>1942</v>
      </c>
      <c r="B1943" s="29" t="s">
        <v>3682</v>
      </c>
      <c r="C1943" s="29"/>
      <c r="D1943" s="29" t="s">
        <v>3683</v>
      </c>
      <c r="E1943" s="29"/>
      <c r="F1943" s="29" t="s">
        <v>3686</v>
      </c>
      <c r="G1943" s="29"/>
      <c r="H1943" s="29" t="s">
        <v>3687</v>
      </c>
      <c r="I1943" s="29"/>
      <c r="J1943" s="29"/>
      <c r="K1943" s="29"/>
      <c r="L1943" s="29" t="s">
        <v>9078</v>
      </c>
      <c r="M1943" s="29" t="s">
        <v>9079</v>
      </c>
      <c r="N1943" s="29" t="s">
        <v>9091</v>
      </c>
      <c r="O1943" s="29"/>
      <c r="P1943" s="29" t="s">
        <v>9092</v>
      </c>
      <c r="Q1943" t="s">
        <v>2038</v>
      </c>
      <c r="R1943" t="s">
        <v>2632</v>
      </c>
      <c r="S1943">
        <v>37</v>
      </c>
      <c r="T1943" s="43" t="str">
        <f t="shared" si="82"/>
        <v>2021.094B.R.Zierdtviridae.zip</v>
      </c>
      <c r="U1943" s="43" t="str">
        <f>HYPERLINK("https://ictv.global/taxonomy/taxondetails?taxnode_id=202213397","ictv.global=202213397")</f>
        <v>ictv.global=202213397</v>
      </c>
    </row>
    <row r="1944" spans="1:21">
      <c r="A1944">
        <v>1943</v>
      </c>
      <c r="B1944" s="29" t="s">
        <v>3682</v>
      </c>
      <c r="C1944" s="29"/>
      <c r="D1944" s="29" t="s">
        <v>3683</v>
      </c>
      <c r="E1944" s="29"/>
      <c r="F1944" s="29" t="s">
        <v>3686</v>
      </c>
      <c r="G1944" s="29"/>
      <c r="H1944" s="29" t="s">
        <v>3687</v>
      </c>
      <c r="I1944" s="29"/>
      <c r="J1944" s="29"/>
      <c r="K1944" s="29"/>
      <c r="L1944" s="29" t="s">
        <v>9078</v>
      </c>
      <c r="M1944" s="29" t="s">
        <v>9079</v>
      </c>
      <c r="N1944" s="29" t="s">
        <v>9091</v>
      </c>
      <c r="O1944" s="29"/>
      <c r="P1944" s="29" t="s">
        <v>9093</v>
      </c>
      <c r="Q1944" t="s">
        <v>2038</v>
      </c>
      <c r="R1944" t="s">
        <v>2632</v>
      </c>
      <c r="S1944">
        <v>37</v>
      </c>
      <c r="T1944" s="43" t="str">
        <f t="shared" si="82"/>
        <v>2021.094B.R.Zierdtviridae.zip</v>
      </c>
      <c r="U1944" s="43" t="str">
        <f>HYPERLINK("https://ictv.global/taxonomy/taxondetails?taxnode_id=202213396","ictv.global=202213396")</f>
        <v>ictv.global=202213396</v>
      </c>
    </row>
    <row r="1945" spans="1:21">
      <c r="A1945">
        <v>1944</v>
      </c>
      <c r="B1945" s="29" t="s">
        <v>3682</v>
      </c>
      <c r="C1945" s="29"/>
      <c r="D1945" s="29" t="s">
        <v>3683</v>
      </c>
      <c r="E1945" s="29"/>
      <c r="F1945" s="29" t="s">
        <v>3686</v>
      </c>
      <c r="G1945" s="29"/>
      <c r="H1945" s="29" t="s">
        <v>3687</v>
      </c>
      <c r="I1945" s="29"/>
      <c r="J1945" s="29"/>
      <c r="K1945" s="29"/>
      <c r="L1945" s="29" t="s">
        <v>9078</v>
      </c>
      <c r="M1945" s="29" t="s">
        <v>9079</v>
      </c>
      <c r="N1945" s="29" t="s">
        <v>9091</v>
      </c>
      <c r="O1945" s="29"/>
      <c r="P1945" s="29" t="s">
        <v>9094</v>
      </c>
      <c r="Q1945" t="s">
        <v>2038</v>
      </c>
      <c r="R1945" t="s">
        <v>2632</v>
      </c>
      <c r="S1945">
        <v>37</v>
      </c>
      <c r="T1945" s="43" t="str">
        <f t="shared" si="82"/>
        <v>2021.094B.R.Zierdtviridae.zip</v>
      </c>
      <c r="U1945" s="43" t="str">
        <f>HYPERLINK("https://ictv.global/taxonomy/taxondetails?taxnode_id=202213398","ictv.global=202213398")</f>
        <v>ictv.global=202213398</v>
      </c>
    </row>
    <row r="1946" spans="1:21">
      <c r="A1946">
        <v>1945</v>
      </c>
      <c r="B1946" s="29" t="s">
        <v>3682</v>
      </c>
      <c r="C1946" s="29"/>
      <c r="D1946" s="29" t="s">
        <v>3683</v>
      </c>
      <c r="E1946" s="29"/>
      <c r="F1946" s="29" t="s">
        <v>3686</v>
      </c>
      <c r="G1946" s="29"/>
      <c r="H1946" s="29" t="s">
        <v>3687</v>
      </c>
      <c r="I1946" s="29"/>
      <c r="J1946" s="29"/>
      <c r="K1946" s="29"/>
      <c r="L1946" s="29" t="s">
        <v>9078</v>
      </c>
      <c r="M1946" s="29" t="s">
        <v>9079</v>
      </c>
      <c r="N1946" s="29" t="s">
        <v>9095</v>
      </c>
      <c r="O1946" s="29"/>
      <c r="P1946" s="29" t="s">
        <v>9096</v>
      </c>
      <c r="Q1946" t="s">
        <v>2038</v>
      </c>
      <c r="R1946" t="s">
        <v>2632</v>
      </c>
      <c r="S1946">
        <v>37</v>
      </c>
      <c r="T1946" s="43" t="str">
        <f t="shared" si="82"/>
        <v>2021.094B.R.Zierdtviridae.zip</v>
      </c>
      <c r="U1946" s="43" t="str">
        <f>HYPERLINK("https://ictv.global/taxonomy/taxondetails?taxnode_id=202213406","ictv.global=202213406")</f>
        <v>ictv.global=202213406</v>
      </c>
    </row>
    <row r="1947" spans="1:21">
      <c r="A1947">
        <v>1946</v>
      </c>
      <c r="B1947" s="29" t="s">
        <v>3682</v>
      </c>
      <c r="C1947" s="29"/>
      <c r="D1947" s="29" t="s">
        <v>3683</v>
      </c>
      <c r="E1947" s="29"/>
      <c r="F1947" s="29" t="s">
        <v>3686</v>
      </c>
      <c r="G1947" s="29"/>
      <c r="H1947" s="29" t="s">
        <v>3687</v>
      </c>
      <c r="I1947" s="29"/>
      <c r="J1947" s="29"/>
      <c r="K1947" s="29"/>
      <c r="L1947" s="29" t="s">
        <v>9078</v>
      </c>
      <c r="M1947" s="29" t="s">
        <v>9079</v>
      </c>
      <c r="N1947" s="29" t="s">
        <v>9097</v>
      </c>
      <c r="O1947" s="29"/>
      <c r="P1947" s="29" t="s">
        <v>9098</v>
      </c>
      <c r="Q1947" t="s">
        <v>2038</v>
      </c>
      <c r="R1947" t="s">
        <v>2632</v>
      </c>
      <c r="S1947">
        <v>37</v>
      </c>
      <c r="T1947" s="43" t="str">
        <f t="shared" si="82"/>
        <v>2021.094B.R.Zierdtviridae.zip</v>
      </c>
      <c r="U1947" s="43" t="str">
        <f>HYPERLINK("https://ictv.global/taxonomy/taxondetails?taxnode_id=202213410","ictv.global=202213410")</f>
        <v>ictv.global=202213410</v>
      </c>
    </row>
    <row r="1948" spans="1:21">
      <c r="A1948">
        <v>1947</v>
      </c>
      <c r="B1948" s="29" t="s">
        <v>3682</v>
      </c>
      <c r="C1948" s="29"/>
      <c r="D1948" s="29" t="s">
        <v>3683</v>
      </c>
      <c r="E1948" s="29"/>
      <c r="F1948" s="29" t="s">
        <v>3686</v>
      </c>
      <c r="G1948" s="29"/>
      <c r="H1948" s="29" t="s">
        <v>3687</v>
      </c>
      <c r="I1948" s="29"/>
      <c r="J1948" s="29"/>
      <c r="K1948" s="29"/>
      <c r="L1948" s="29" t="s">
        <v>9078</v>
      </c>
      <c r="M1948" s="29" t="s">
        <v>9079</v>
      </c>
      <c r="N1948" s="29" t="s">
        <v>9097</v>
      </c>
      <c r="O1948" s="29"/>
      <c r="P1948" s="29" t="s">
        <v>9099</v>
      </c>
      <c r="Q1948" t="s">
        <v>2038</v>
      </c>
      <c r="R1948" t="s">
        <v>2632</v>
      </c>
      <c r="S1948">
        <v>37</v>
      </c>
      <c r="T1948" s="43" t="str">
        <f t="shared" si="82"/>
        <v>2021.094B.R.Zierdtviridae.zip</v>
      </c>
      <c r="U1948" s="43" t="str">
        <f>HYPERLINK("https://ictv.global/taxonomy/taxondetails?taxnode_id=202213409","ictv.global=202213409")</f>
        <v>ictv.global=202213409</v>
      </c>
    </row>
    <row r="1949" spans="1:21">
      <c r="A1949">
        <v>1948</v>
      </c>
      <c r="B1949" s="29" t="s">
        <v>3682</v>
      </c>
      <c r="C1949" s="29"/>
      <c r="D1949" s="29" t="s">
        <v>3683</v>
      </c>
      <c r="E1949" s="29"/>
      <c r="F1949" s="29" t="s">
        <v>3686</v>
      </c>
      <c r="G1949" s="29"/>
      <c r="H1949" s="29" t="s">
        <v>3687</v>
      </c>
      <c r="I1949" s="29"/>
      <c r="J1949" s="29"/>
      <c r="K1949" s="29"/>
      <c r="L1949" s="29" t="s">
        <v>9078</v>
      </c>
      <c r="M1949" s="29" t="s">
        <v>9079</v>
      </c>
      <c r="N1949" s="29" t="s">
        <v>9097</v>
      </c>
      <c r="O1949" s="29"/>
      <c r="P1949" s="29" t="s">
        <v>9100</v>
      </c>
      <c r="Q1949" t="s">
        <v>2038</v>
      </c>
      <c r="R1949" t="s">
        <v>2632</v>
      </c>
      <c r="S1949">
        <v>37</v>
      </c>
      <c r="T1949" s="43" t="str">
        <f t="shared" si="82"/>
        <v>2021.094B.R.Zierdtviridae.zip</v>
      </c>
      <c r="U1949" s="43" t="str">
        <f>HYPERLINK("https://ictv.global/taxonomy/taxondetails?taxnode_id=202213408","ictv.global=202213408")</f>
        <v>ictv.global=202213408</v>
      </c>
    </row>
    <row r="1950" spans="1:21">
      <c r="A1950">
        <v>1949</v>
      </c>
      <c r="B1950" s="29" t="s">
        <v>3682</v>
      </c>
      <c r="C1950" s="29"/>
      <c r="D1950" s="29" t="s">
        <v>3683</v>
      </c>
      <c r="E1950" s="29"/>
      <c r="F1950" s="29" t="s">
        <v>3686</v>
      </c>
      <c r="G1950" s="29"/>
      <c r="H1950" s="29" t="s">
        <v>3687</v>
      </c>
      <c r="I1950" s="29"/>
      <c r="J1950" s="29"/>
      <c r="K1950" s="29"/>
      <c r="L1950" s="29" t="s">
        <v>9078</v>
      </c>
      <c r="M1950" s="29" t="s">
        <v>9079</v>
      </c>
      <c r="N1950" s="29" t="s">
        <v>9101</v>
      </c>
      <c r="O1950" s="29"/>
      <c r="P1950" s="29" t="s">
        <v>9102</v>
      </c>
      <c r="Q1950" t="s">
        <v>2038</v>
      </c>
      <c r="R1950" t="s">
        <v>2632</v>
      </c>
      <c r="S1950">
        <v>37</v>
      </c>
      <c r="T1950" s="43" t="str">
        <f t="shared" si="82"/>
        <v>2021.094B.R.Zierdtviridae.zip</v>
      </c>
      <c r="U1950" s="43" t="str">
        <f>HYPERLINK("https://ictv.global/taxonomy/taxondetails?taxnode_id=202213392","ictv.global=202213392")</f>
        <v>ictv.global=202213392</v>
      </c>
    </row>
    <row r="1951" spans="1:21">
      <c r="A1951">
        <v>1950</v>
      </c>
      <c r="B1951" s="29" t="s">
        <v>3682</v>
      </c>
      <c r="C1951" s="29"/>
      <c r="D1951" s="29" t="s">
        <v>3683</v>
      </c>
      <c r="E1951" s="29"/>
      <c r="F1951" s="29" t="s">
        <v>3686</v>
      </c>
      <c r="G1951" s="29"/>
      <c r="H1951" s="29" t="s">
        <v>3687</v>
      </c>
      <c r="I1951" s="29"/>
      <c r="J1951" s="29"/>
      <c r="K1951" s="29"/>
      <c r="L1951" s="29" t="s">
        <v>9078</v>
      </c>
      <c r="M1951" s="29" t="s">
        <v>9079</v>
      </c>
      <c r="N1951" s="29" t="s">
        <v>9101</v>
      </c>
      <c r="O1951" s="29"/>
      <c r="P1951" s="29" t="s">
        <v>9103</v>
      </c>
      <c r="Q1951" t="s">
        <v>2038</v>
      </c>
      <c r="R1951" t="s">
        <v>2632</v>
      </c>
      <c r="S1951">
        <v>37</v>
      </c>
      <c r="T1951" s="43" t="str">
        <f t="shared" si="82"/>
        <v>2021.094B.R.Zierdtviridae.zip</v>
      </c>
      <c r="U1951" s="43" t="str">
        <f>HYPERLINK("https://ictv.global/taxonomy/taxondetails?taxnode_id=202213394","ictv.global=202213394")</f>
        <v>ictv.global=202213394</v>
      </c>
    </row>
    <row r="1952" spans="1:21">
      <c r="A1952">
        <v>1951</v>
      </c>
      <c r="B1952" s="29" t="s">
        <v>3682</v>
      </c>
      <c r="C1952" s="29"/>
      <c r="D1952" s="29" t="s">
        <v>3683</v>
      </c>
      <c r="E1952" s="29"/>
      <c r="F1952" s="29" t="s">
        <v>3686</v>
      </c>
      <c r="G1952" s="29"/>
      <c r="H1952" s="29" t="s">
        <v>3687</v>
      </c>
      <c r="I1952" s="29"/>
      <c r="J1952" s="29"/>
      <c r="K1952" s="29"/>
      <c r="L1952" s="29" t="s">
        <v>9078</v>
      </c>
      <c r="M1952" s="29" t="s">
        <v>9079</v>
      </c>
      <c r="N1952" s="29" t="s">
        <v>9101</v>
      </c>
      <c r="O1952" s="29"/>
      <c r="P1952" s="29" t="s">
        <v>9104</v>
      </c>
      <c r="Q1952" t="s">
        <v>2038</v>
      </c>
      <c r="R1952" t="s">
        <v>2632</v>
      </c>
      <c r="S1952">
        <v>37</v>
      </c>
      <c r="T1952" s="43" t="str">
        <f t="shared" si="82"/>
        <v>2021.094B.R.Zierdtviridae.zip</v>
      </c>
      <c r="U1952" s="43" t="str">
        <f>HYPERLINK("https://ictv.global/taxonomy/taxondetails?taxnode_id=202213393","ictv.global=202213393")</f>
        <v>ictv.global=202213393</v>
      </c>
    </row>
    <row r="1953" spans="1:21">
      <c r="A1953">
        <v>1952</v>
      </c>
      <c r="B1953" s="29" t="s">
        <v>3682</v>
      </c>
      <c r="C1953" s="29"/>
      <c r="D1953" s="29" t="s">
        <v>3683</v>
      </c>
      <c r="E1953" s="29"/>
      <c r="F1953" s="29" t="s">
        <v>3686</v>
      </c>
      <c r="G1953" s="29"/>
      <c r="H1953" s="29" t="s">
        <v>3687</v>
      </c>
      <c r="I1953" s="29"/>
      <c r="J1953" s="29"/>
      <c r="K1953" s="29"/>
      <c r="L1953" s="29" t="s">
        <v>9078</v>
      </c>
      <c r="M1953" s="29" t="s">
        <v>9079</v>
      </c>
      <c r="N1953" s="29" t="s">
        <v>9101</v>
      </c>
      <c r="O1953" s="29"/>
      <c r="P1953" s="29" t="s">
        <v>9105</v>
      </c>
      <c r="Q1953" t="s">
        <v>2038</v>
      </c>
      <c r="R1953" t="s">
        <v>2632</v>
      </c>
      <c r="S1953">
        <v>37</v>
      </c>
      <c r="T1953" s="43" t="str">
        <f t="shared" si="82"/>
        <v>2021.094B.R.Zierdtviridae.zip</v>
      </c>
      <c r="U1953" s="43" t="str">
        <f>HYPERLINK("https://ictv.global/taxonomy/taxondetails?taxnode_id=202213391","ictv.global=202213391")</f>
        <v>ictv.global=202213391</v>
      </c>
    </row>
    <row r="1954" spans="1:21">
      <c r="A1954">
        <v>1953</v>
      </c>
      <c r="B1954" s="29" t="s">
        <v>3682</v>
      </c>
      <c r="C1954" s="29"/>
      <c r="D1954" s="29" t="s">
        <v>3683</v>
      </c>
      <c r="E1954" s="29"/>
      <c r="F1954" s="29" t="s">
        <v>3686</v>
      </c>
      <c r="G1954" s="29"/>
      <c r="H1954" s="29" t="s">
        <v>3687</v>
      </c>
      <c r="I1954" s="29"/>
      <c r="J1954" s="29"/>
      <c r="K1954" s="29"/>
      <c r="L1954" s="29" t="s">
        <v>9078</v>
      </c>
      <c r="M1954" s="29" t="s">
        <v>9106</v>
      </c>
      <c r="N1954" s="29" t="s">
        <v>3515</v>
      </c>
      <c r="O1954" s="29"/>
      <c r="P1954" s="29" t="s">
        <v>9107</v>
      </c>
      <c r="Q1954" t="s">
        <v>2038</v>
      </c>
      <c r="R1954" t="s">
        <v>2632</v>
      </c>
      <c r="S1954">
        <v>37</v>
      </c>
      <c r="T1954" s="43" t="str">
        <f t="shared" si="82"/>
        <v>2021.094B.R.Zierdtviridae.zip</v>
      </c>
      <c r="U1954" s="43" t="str">
        <f>HYPERLINK("https://ictv.global/taxonomy/taxondetails?taxnode_id=202213417","ictv.global=202213417")</f>
        <v>ictv.global=202213417</v>
      </c>
    </row>
    <row r="1955" spans="1:21">
      <c r="A1955">
        <v>1954</v>
      </c>
      <c r="B1955" s="29" t="s">
        <v>3682</v>
      </c>
      <c r="C1955" s="29"/>
      <c r="D1955" s="29" t="s">
        <v>3683</v>
      </c>
      <c r="E1955" s="29"/>
      <c r="F1955" s="29" t="s">
        <v>3686</v>
      </c>
      <c r="G1955" s="29"/>
      <c r="H1955" s="29" t="s">
        <v>3687</v>
      </c>
      <c r="I1955" s="29"/>
      <c r="J1955" s="29"/>
      <c r="K1955" s="29"/>
      <c r="L1955" s="29" t="s">
        <v>9078</v>
      </c>
      <c r="M1955" s="29" t="s">
        <v>9106</v>
      </c>
      <c r="N1955" s="29" t="s">
        <v>3515</v>
      </c>
      <c r="O1955" s="29"/>
      <c r="P1955" s="29" t="s">
        <v>9108</v>
      </c>
      <c r="Q1955" t="s">
        <v>2038</v>
      </c>
      <c r="R1955" t="s">
        <v>2632</v>
      </c>
      <c r="S1955">
        <v>37</v>
      </c>
      <c r="T1955" s="43" t="str">
        <f t="shared" si="82"/>
        <v>2021.094B.R.Zierdtviridae.zip</v>
      </c>
      <c r="U1955" s="43" t="str">
        <f>HYPERLINK("https://ictv.global/taxonomy/taxondetails?taxnode_id=202213418","ictv.global=202213418")</f>
        <v>ictv.global=202213418</v>
      </c>
    </row>
    <row r="1956" spans="1:21">
      <c r="A1956">
        <v>1955</v>
      </c>
      <c r="B1956" s="29" t="s">
        <v>3682</v>
      </c>
      <c r="C1956" s="29"/>
      <c r="D1956" s="29" t="s">
        <v>3683</v>
      </c>
      <c r="E1956" s="29"/>
      <c r="F1956" s="29" t="s">
        <v>3686</v>
      </c>
      <c r="G1956" s="29"/>
      <c r="H1956" s="29" t="s">
        <v>3687</v>
      </c>
      <c r="I1956" s="29"/>
      <c r="J1956" s="29"/>
      <c r="K1956" s="29"/>
      <c r="L1956" s="29" t="s">
        <v>9078</v>
      </c>
      <c r="M1956" s="29" t="s">
        <v>9106</v>
      </c>
      <c r="N1956" s="29" t="s">
        <v>3515</v>
      </c>
      <c r="O1956" s="29"/>
      <c r="P1956" s="29" t="s">
        <v>3516</v>
      </c>
      <c r="Q1956" t="s">
        <v>2038</v>
      </c>
      <c r="R1956" t="s">
        <v>2634</v>
      </c>
      <c r="S1956">
        <v>37</v>
      </c>
      <c r="T1956" s="43" t="str">
        <f>HYPERLINK("https://ictv.global/ictv/proposals/2021.001B.R.abolish_Caudovirales.zip","2021.001B.R.abolish_Caudovirales.zip;2021.094B.A.v1.Zierdtviridae.zip")</f>
        <v>2021.001B.R.abolish_Caudovirales.zip;2021.094B.A.v1.Zierdtviridae.zip</v>
      </c>
      <c r="U1956" s="43" t="str">
        <f>HYPERLINK("https://ictv.global/taxonomy/taxondetails?taxnode_id=202206763","ictv.global=202206763")</f>
        <v>ictv.global=202206763</v>
      </c>
    </row>
    <row r="1957" spans="1:21">
      <c r="A1957">
        <v>1956</v>
      </c>
      <c r="B1957" s="29" t="s">
        <v>3682</v>
      </c>
      <c r="C1957" s="29"/>
      <c r="D1957" s="29" t="s">
        <v>3683</v>
      </c>
      <c r="E1957" s="29"/>
      <c r="F1957" s="29" t="s">
        <v>3686</v>
      </c>
      <c r="G1957" s="29"/>
      <c r="H1957" s="29" t="s">
        <v>3687</v>
      </c>
      <c r="I1957" s="29"/>
      <c r="J1957" s="29"/>
      <c r="K1957" s="29"/>
      <c r="L1957" s="29" t="s">
        <v>9078</v>
      </c>
      <c r="M1957" s="29" t="s">
        <v>9106</v>
      </c>
      <c r="N1957" s="29" t="s">
        <v>3515</v>
      </c>
      <c r="O1957" s="29"/>
      <c r="P1957" s="29" t="s">
        <v>3517</v>
      </c>
      <c r="Q1957" t="s">
        <v>2038</v>
      </c>
      <c r="R1957" t="s">
        <v>2634</v>
      </c>
      <c r="S1957">
        <v>37</v>
      </c>
      <c r="T1957" s="43" t="str">
        <f>HYPERLINK("https://ictv.global/ictv/proposals/2021.001B.R.abolish_Caudovirales.zip","2021.001B.R.abolish_Caudovirales.zip;2021.094B.A.v1.Zierdtviridae.zip")</f>
        <v>2021.001B.R.abolish_Caudovirales.zip;2021.094B.A.v1.Zierdtviridae.zip</v>
      </c>
      <c r="U1957" s="43" t="str">
        <f>HYPERLINK("https://ictv.global/taxonomy/taxondetails?taxnode_id=202206765","ictv.global=202206765")</f>
        <v>ictv.global=202206765</v>
      </c>
    </row>
    <row r="1958" spans="1:21">
      <c r="A1958">
        <v>1957</v>
      </c>
      <c r="B1958" s="29" t="s">
        <v>3682</v>
      </c>
      <c r="C1958" s="29"/>
      <c r="D1958" s="29" t="s">
        <v>3683</v>
      </c>
      <c r="E1958" s="29"/>
      <c r="F1958" s="29" t="s">
        <v>3686</v>
      </c>
      <c r="G1958" s="29"/>
      <c r="H1958" s="29" t="s">
        <v>3687</v>
      </c>
      <c r="I1958" s="29"/>
      <c r="J1958" s="29"/>
      <c r="K1958" s="29"/>
      <c r="L1958" s="29" t="s">
        <v>9078</v>
      </c>
      <c r="M1958" s="29" t="s">
        <v>9106</v>
      </c>
      <c r="N1958" s="29" t="s">
        <v>3515</v>
      </c>
      <c r="O1958" s="29"/>
      <c r="P1958" s="29" t="s">
        <v>3518</v>
      </c>
      <c r="Q1958" t="s">
        <v>2038</v>
      </c>
      <c r="R1958" t="s">
        <v>2634</v>
      </c>
      <c r="S1958">
        <v>37</v>
      </c>
      <c r="T1958" s="43" t="str">
        <f>HYPERLINK("https://ictv.global/ictv/proposals/2021.001B.R.abolish_Caudovirales.zip","2021.001B.R.abolish_Caudovirales.zip;2021.094B.A.v1.Zierdtviridae.zip")</f>
        <v>2021.001B.R.abolish_Caudovirales.zip;2021.094B.A.v1.Zierdtviridae.zip</v>
      </c>
      <c r="U1958" s="43" t="str">
        <f>HYPERLINK("https://ictv.global/taxonomy/taxondetails?taxnode_id=202206764","ictv.global=202206764")</f>
        <v>ictv.global=202206764</v>
      </c>
    </row>
    <row r="1959" spans="1:21">
      <c r="A1959">
        <v>1958</v>
      </c>
      <c r="B1959" s="29" t="s">
        <v>3682</v>
      </c>
      <c r="C1959" s="29"/>
      <c r="D1959" s="29" t="s">
        <v>3683</v>
      </c>
      <c r="E1959" s="29"/>
      <c r="F1959" s="29" t="s">
        <v>3686</v>
      </c>
      <c r="G1959" s="29"/>
      <c r="H1959" s="29" t="s">
        <v>3687</v>
      </c>
      <c r="I1959" s="29"/>
      <c r="J1959" s="29"/>
      <c r="K1959" s="29"/>
      <c r="L1959" s="29" t="s">
        <v>9078</v>
      </c>
      <c r="M1959" s="29" t="s">
        <v>9106</v>
      </c>
      <c r="N1959" s="29" t="s">
        <v>3523</v>
      </c>
      <c r="O1959" s="29"/>
      <c r="P1959" s="29" t="s">
        <v>3524</v>
      </c>
      <c r="Q1959" t="s">
        <v>2038</v>
      </c>
      <c r="R1959" t="s">
        <v>2634</v>
      </c>
      <c r="S1959">
        <v>37</v>
      </c>
      <c r="T1959" s="43" t="str">
        <f>HYPERLINK("https://ictv.global/ictv/proposals/2021.001B.R.abolish_Caudovirales.zip","2021.001B.R.abolish_Caudovirales.zip;2021.094B.A.v1.Zierdtviridae.zip")</f>
        <v>2021.001B.R.abolish_Caudovirales.zip;2021.094B.A.v1.Zierdtviridae.zip</v>
      </c>
      <c r="U1959" s="43" t="str">
        <f>HYPERLINK("https://ictv.global/taxonomy/taxondetails?taxnode_id=202206767","ictv.global=202206767")</f>
        <v>ictv.global=202206767</v>
      </c>
    </row>
    <row r="1960" spans="1:21">
      <c r="A1960">
        <v>1959</v>
      </c>
      <c r="B1960" s="29" t="s">
        <v>3682</v>
      </c>
      <c r="C1960" s="29"/>
      <c r="D1960" s="29" t="s">
        <v>3683</v>
      </c>
      <c r="E1960" s="29"/>
      <c r="F1960" s="29" t="s">
        <v>3686</v>
      </c>
      <c r="G1960" s="29"/>
      <c r="H1960" s="29" t="s">
        <v>3687</v>
      </c>
      <c r="I1960" s="29"/>
      <c r="J1960" s="29"/>
      <c r="K1960" s="29"/>
      <c r="L1960" s="29" t="s">
        <v>4794</v>
      </c>
      <c r="M1960" s="29" t="s">
        <v>4795</v>
      </c>
      <c r="N1960" s="29" t="s">
        <v>4796</v>
      </c>
      <c r="O1960" s="29"/>
      <c r="P1960" s="29" t="s">
        <v>9109</v>
      </c>
      <c r="Q1960" t="s">
        <v>2038</v>
      </c>
      <c r="R1960" t="s">
        <v>2633</v>
      </c>
      <c r="S1960">
        <v>37</v>
      </c>
      <c r="T1960" s="43" t="str">
        <f t="shared" ref="T1960:T1970" si="83">HYPERLINK("https://ictv.global/ictv/proposals/2021.010B.R.Binomial_names.zip","2021.010B.R.Binomial_names.zip")</f>
        <v>2021.010B.R.Binomial_names.zip</v>
      </c>
      <c r="U1960" s="43" t="str">
        <f>HYPERLINK("https://ictv.global/taxonomy/taxondetails?taxnode_id=202200707","ictv.global=202200707")</f>
        <v>ictv.global=202200707</v>
      </c>
    </row>
    <row r="1961" spans="1:21">
      <c r="A1961">
        <v>1960</v>
      </c>
      <c r="B1961" s="29" t="s">
        <v>3682</v>
      </c>
      <c r="C1961" s="29"/>
      <c r="D1961" s="29" t="s">
        <v>3683</v>
      </c>
      <c r="E1961" s="29"/>
      <c r="F1961" s="29" t="s">
        <v>3686</v>
      </c>
      <c r="G1961" s="29"/>
      <c r="H1961" s="29" t="s">
        <v>3687</v>
      </c>
      <c r="I1961" s="29"/>
      <c r="J1961" s="29"/>
      <c r="K1961" s="29"/>
      <c r="L1961" s="29" t="s">
        <v>4794</v>
      </c>
      <c r="M1961" s="29" t="s">
        <v>4795</v>
      </c>
      <c r="N1961" s="29" t="s">
        <v>4796</v>
      </c>
      <c r="O1961" s="29"/>
      <c r="P1961" s="29" t="s">
        <v>9110</v>
      </c>
      <c r="Q1961" t="s">
        <v>2038</v>
      </c>
      <c r="R1961" t="s">
        <v>2633</v>
      </c>
      <c r="S1961">
        <v>37</v>
      </c>
      <c r="T1961" s="43" t="str">
        <f t="shared" si="83"/>
        <v>2021.010B.R.Binomial_names.zip</v>
      </c>
      <c r="U1961" s="43" t="str">
        <f>HYPERLINK("https://ictv.global/taxonomy/taxondetails?taxnode_id=202212138","ictv.global=202212138")</f>
        <v>ictv.global=202212138</v>
      </c>
    </row>
    <row r="1962" spans="1:21">
      <c r="A1962">
        <v>1961</v>
      </c>
      <c r="B1962" s="29" t="s">
        <v>3682</v>
      </c>
      <c r="C1962" s="29"/>
      <c r="D1962" s="29" t="s">
        <v>3683</v>
      </c>
      <c r="E1962" s="29"/>
      <c r="F1962" s="29" t="s">
        <v>3686</v>
      </c>
      <c r="G1962" s="29"/>
      <c r="H1962" s="29" t="s">
        <v>3687</v>
      </c>
      <c r="I1962" s="29"/>
      <c r="J1962" s="29"/>
      <c r="K1962" s="29"/>
      <c r="L1962" s="29" t="s">
        <v>4794</v>
      </c>
      <c r="M1962" s="29" t="s">
        <v>4795</v>
      </c>
      <c r="N1962" s="29" t="s">
        <v>4796</v>
      </c>
      <c r="O1962" s="29"/>
      <c r="P1962" s="29" t="s">
        <v>9111</v>
      </c>
      <c r="Q1962" t="s">
        <v>2038</v>
      </c>
      <c r="R1962" t="s">
        <v>2633</v>
      </c>
      <c r="S1962">
        <v>37</v>
      </c>
      <c r="T1962" s="43" t="str">
        <f t="shared" si="83"/>
        <v>2021.010B.R.Binomial_names.zip</v>
      </c>
      <c r="U1962" s="43" t="str">
        <f>HYPERLINK("https://ictv.global/taxonomy/taxondetails?taxnode_id=202212137","ictv.global=202212137")</f>
        <v>ictv.global=202212137</v>
      </c>
    </row>
    <row r="1963" spans="1:21">
      <c r="A1963">
        <v>1962</v>
      </c>
      <c r="B1963" s="29" t="s">
        <v>3682</v>
      </c>
      <c r="C1963" s="29"/>
      <c r="D1963" s="29" t="s">
        <v>3683</v>
      </c>
      <c r="E1963" s="29"/>
      <c r="F1963" s="29" t="s">
        <v>3686</v>
      </c>
      <c r="G1963" s="29"/>
      <c r="H1963" s="29" t="s">
        <v>3687</v>
      </c>
      <c r="I1963" s="29"/>
      <c r="J1963" s="29"/>
      <c r="K1963" s="29"/>
      <c r="L1963" s="29" t="s">
        <v>4794</v>
      </c>
      <c r="M1963" s="29" t="s">
        <v>4795</v>
      </c>
      <c r="N1963" s="29" t="s">
        <v>4797</v>
      </c>
      <c r="O1963" s="29"/>
      <c r="P1963" s="29" t="s">
        <v>9112</v>
      </c>
      <c r="Q1963" t="s">
        <v>2038</v>
      </c>
      <c r="R1963" t="s">
        <v>2633</v>
      </c>
      <c r="S1963">
        <v>37</v>
      </c>
      <c r="T1963" s="43" t="str">
        <f t="shared" si="83"/>
        <v>2021.010B.R.Binomial_names.zip</v>
      </c>
      <c r="U1963" s="43" t="str">
        <f>HYPERLINK("https://ictv.global/taxonomy/taxondetails?taxnode_id=202212140","ictv.global=202212140")</f>
        <v>ictv.global=202212140</v>
      </c>
    </row>
    <row r="1964" spans="1:21">
      <c r="A1964">
        <v>1963</v>
      </c>
      <c r="B1964" s="29" t="s">
        <v>3682</v>
      </c>
      <c r="C1964" s="29"/>
      <c r="D1964" s="29" t="s">
        <v>3683</v>
      </c>
      <c r="E1964" s="29"/>
      <c r="F1964" s="29" t="s">
        <v>3686</v>
      </c>
      <c r="G1964" s="29"/>
      <c r="H1964" s="29" t="s">
        <v>3687</v>
      </c>
      <c r="I1964" s="29"/>
      <c r="J1964" s="29"/>
      <c r="K1964" s="29"/>
      <c r="L1964" s="29" t="s">
        <v>4794</v>
      </c>
      <c r="M1964" s="29"/>
      <c r="N1964" s="29" t="s">
        <v>4798</v>
      </c>
      <c r="O1964" s="29"/>
      <c r="P1964" s="29" t="s">
        <v>9113</v>
      </c>
      <c r="Q1964" t="s">
        <v>2038</v>
      </c>
      <c r="R1964" t="s">
        <v>2633</v>
      </c>
      <c r="S1964">
        <v>37</v>
      </c>
      <c r="T1964" s="43" t="str">
        <f t="shared" si="83"/>
        <v>2021.010B.R.Binomial_names.zip</v>
      </c>
      <c r="U1964" s="43" t="str">
        <f>HYPERLINK("https://ictv.global/taxonomy/taxondetails?taxnode_id=202212147","ictv.global=202212147")</f>
        <v>ictv.global=202212147</v>
      </c>
    </row>
    <row r="1965" spans="1:21">
      <c r="A1965">
        <v>1964</v>
      </c>
      <c r="B1965" s="29" t="s">
        <v>3682</v>
      </c>
      <c r="C1965" s="29"/>
      <c r="D1965" s="29" t="s">
        <v>3683</v>
      </c>
      <c r="E1965" s="29"/>
      <c r="F1965" s="29" t="s">
        <v>3686</v>
      </c>
      <c r="G1965" s="29"/>
      <c r="H1965" s="29" t="s">
        <v>3687</v>
      </c>
      <c r="I1965" s="29"/>
      <c r="J1965" s="29"/>
      <c r="K1965" s="29"/>
      <c r="L1965" s="29" t="s">
        <v>4794</v>
      </c>
      <c r="M1965" s="29"/>
      <c r="N1965" s="29" t="s">
        <v>4799</v>
      </c>
      <c r="O1965" s="29"/>
      <c r="P1965" s="29" t="s">
        <v>9114</v>
      </c>
      <c r="Q1965" t="s">
        <v>2038</v>
      </c>
      <c r="R1965" t="s">
        <v>2633</v>
      </c>
      <c r="S1965">
        <v>37</v>
      </c>
      <c r="T1965" s="43" t="str">
        <f t="shared" si="83"/>
        <v>2021.010B.R.Binomial_names.zip</v>
      </c>
      <c r="U1965" s="43" t="str">
        <f>HYPERLINK("https://ictv.global/taxonomy/taxondetails?taxnode_id=202212142","ictv.global=202212142")</f>
        <v>ictv.global=202212142</v>
      </c>
    </row>
    <row r="1966" spans="1:21">
      <c r="A1966">
        <v>1965</v>
      </c>
      <c r="B1966" s="29" t="s">
        <v>3682</v>
      </c>
      <c r="C1966" s="29"/>
      <c r="D1966" s="29" t="s">
        <v>3683</v>
      </c>
      <c r="E1966" s="29"/>
      <c r="F1966" s="29" t="s">
        <v>3686</v>
      </c>
      <c r="G1966" s="29"/>
      <c r="H1966" s="29" t="s">
        <v>3687</v>
      </c>
      <c r="I1966" s="29"/>
      <c r="J1966" s="29"/>
      <c r="K1966" s="29"/>
      <c r="L1966" s="29" t="s">
        <v>4794</v>
      </c>
      <c r="M1966" s="29"/>
      <c r="N1966" s="29" t="s">
        <v>4800</v>
      </c>
      <c r="O1966" s="29"/>
      <c r="P1966" s="29" t="s">
        <v>9115</v>
      </c>
      <c r="Q1966" t="s">
        <v>2038</v>
      </c>
      <c r="R1966" t="s">
        <v>2633</v>
      </c>
      <c r="S1966">
        <v>37</v>
      </c>
      <c r="T1966" s="43" t="str">
        <f t="shared" si="83"/>
        <v>2021.010B.R.Binomial_names.zip</v>
      </c>
      <c r="U1966" s="43" t="str">
        <f>HYPERLINK("https://ictv.global/taxonomy/taxondetails?taxnode_id=202212152","ictv.global=202212152")</f>
        <v>ictv.global=202212152</v>
      </c>
    </row>
    <row r="1967" spans="1:21">
      <c r="A1967">
        <v>1966</v>
      </c>
      <c r="B1967" s="29" t="s">
        <v>3682</v>
      </c>
      <c r="C1967" s="29"/>
      <c r="D1967" s="29" t="s">
        <v>3683</v>
      </c>
      <c r="E1967" s="29"/>
      <c r="F1967" s="29" t="s">
        <v>3686</v>
      </c>
      <c r="G1967" s="29"/>
      <c r="H1967" s="29" t="s">
        <v>3687</v>
      </c>
      <c r="I1967" s="29"/>
      <c r="J1967" s="29"/>
      <c r="K1967" s="29"/>
      <c r="L1967" s="29" t="s">
        <v>4794</v>
      </c>
      <c r="M1967" s="29"/>
      <c r="N1967" s="29" t="s">
        <v>4800</v>
      </c>
      <c r="O1967" s="29"/>
      <c r="P1967" s="29" t="s">
        <v>9116</v>
      </c>
      <c r="Q1967" t="s">
        <v>2038</v>
      </c>
      <c r="R1967" t="s">
        <v>2633</v>
      </c>
      <c r="S1967">
        <v>37</v>
      </c>
      <c r="T1967" s="43" t="str">
        <f t="shared" si="83"/>
        <v>2021.010B.R.Binomial_names.zip</v>
      </c>
      <c r="U1967" s="43" t="str">
        <f>HYPERLINK("https://ictv.global/taxonomy/taxondetails?taxnode_id=202212151","ictv.global=202212151")</f>
        <v>ictv.global=202212151</v>
      </c>
    </row>
    <row r="1968" spans="1:21">
      <c r="A1968">
        <v>1967</v>
      </c>
      <c r="B1968" s="29" t="s">
        <v>3682</v>
      </c>
      <c r="C1968" s="29"/>
      <c r="D1968" s="29" t="s">
        <v>3683</v>
      </c>
      <c r="E1968" s="29"/>
      <c r="F1968" s="29" t="s">
        <v>3686</v>
      </c>
      <c r="G1968" s="29"/>
      <c r="H1968" s="29" t="s">
        <v>3687</v>
      </c>
      <c r="I1968" s="29"/>
      <c r="J1968" s="29"/>
      <c r="K1968" s="29"/>
      <c r="L1968" s="29" t="s">
        <v>4794</v>
      </c>
      <c r="M1968" s="29"/>
      <c r="N1968" s="29" t="s">
        <v>4801</v>
      </c>
      <c r="O1968" s="29"/>
      <c r="P1968" s="29" t="s">
        <v>9117</v>
      </c>
      <c r="Q1968" t="s">
        <v>2038</v>
      </c>
      <c r="R1968" t="s">
        <v>2633</v>
      </c>
      <c r="S1968">
        <v>37</v>
      </c>
      <c r="T1968" s="43" t="str">
        <f t="shared" si="83"/>
        <v>2021.010B.R.Binomial_names.zip</v>
      </c>
      <c r="U1968" s="43" t="str">
        <f>HYPERLINK("https://ictv.global/taxonomy/taxondetails?taxnode_id=202212149","ictv.global=202212149")</f>
        <v>ictv.global=202212149</v>
      </c>
    </row>
    <row r="1969" spans="1:21">
      <c r="A1969">
        <v>1968</v>
      </c>
      <c r="B1969" s="29" t="s">
        <v>3682</v>
      </c>
      <c r="C1969" s="29"/>
      <c r="D1969" s="29" t="s">
        <v>3683</v>
      </c>
      <c r="E1969" s="29"/>
      <c r="F1969" s="29" t="s">
        <v>3686</v>
      </c>
      <c r="G1969" s="29"/>
      <c r="H1969" s="29" t="s">
        <v>3687</v>
      </c>
      <c r="I1969" s="29"/>
      <c r="J1969" s="29"/>
      <c r="K1969" s="29"/>
      <c r="L1969" s="29" t="s">
        <v>4794</v>
      </c>
      <c r="M1969" s="29"/>
      <c r="N1969" s="29" t="s">
        <v>4802</v>
      </c>
      <c r="O1969" s="29"/>
      <c r="P1969" s="29" t="s">
        <v>9118</v>
      </c>
      <c r="Q1969" t="s">
        <v>2038</v>
      </c>
      <c r="R1969" t="s">
        <v>2633</v>
      </c>
      <c r="S1969">
        <v>37</v>
      </c>
      <c r="T1969" s="43" t="str">
        <f t="shared" si="83"/>
        <v>2021.010B.R.Binomial_names.zip</v>
      </c>
      <c r="U1969" s="43" t="str">
        <f>HYPERLINK("https://ictv.global/taxonomy/taxondetails?taxnode_id=202212145","ictv.global=202212145")</f>
        <v>ictv.global=202212145</v>
      </c>
    </row>
    <row r="1970" spans="1:21">
      <c r="A1970">
        <v>1969</v>
      </c>
      <c r="B1970" s="29" t="s">
        <v>3682</v>
      </c>
      <c r="C1970" s="29"/>
      <c r="D1970" s="29" t="s">
        <v>3683</v>
      </c>
      <c r="E1970" s="29"/>
      <c r="F1970" s="29" t="s">
        <v>3686</v>
      </c>
      <c r="G1970" s="29"/>
      <c r="H1970" s="29" t="s">
        <v>3687</v>
      </c>
      <c r="I1970" s="29"/>
      <c r="J1970" s="29"/>
      <c r="K1970" s="29"/>
      <c r="L1970" s="29" t="s">
        <v>4794</v>
      </c>
      <c r="M1970" s="29"/>
      <c r="N1970" s="29" t="s">
        <v>4803</v>
      </c>
      <c r="O1970" s="29"/>
      <c r="P1970" s="29" t="s">
        <v>9119</v>
      </c>
      <c r="Q1970" t="s">
        <v>2038</v>
      </c>
      <c r="R1970" t="s">
        <v>2633</v>
      </c>
      <c r="S1970">
        <v>37</v>
      </c>
      <c r="T1970" s="43" t="str">
        <f t="shared" si="83"/>
        <v>2021.010B.R.Binomial_names.zip</v>
      </c>
      <c r="U1970" s="43" t="str">
        <f>HYPERLINK("https://ictv.global/taxonomy/taxondetails?taxnode_id=202200708","ictv.global=202200708")</f>
        <v>ictv.global=202200708</v>
      </c>
    </row>
    <row r="1971" spans="1:21">
      <c r="A1971">
        <v>1970</v>
      </c>
      <c r="B1971" s="29" t="s">
        <v>3682</v>
      </c>
      <c r="C1971" s="29"/>
      <c r="D1971" s="29" t="s">
        <v>3683</v>
      </c>
      <c r="E1971" s="29"/>
      <c r="F1971" s="29" t="s">
        <v>3686</v>
      </c>
      <c r="G1971" s="29"/>
      <c r="H1971" s="29" t="s">
        <v>3687</v>
      </c>
      <c r="I1971" s="29"/>
      <c r="J1971" s="29"/>
      <c r="K1971" s="29"/>
      <c r="L1971" s="29"/>
      <c r="M1971" s="29" t="s">
        <v>9120</v>
      </c>
      <c r="N1971" s="29" t="s">
        <v>9121</v>
      </c>
      <c r="O1971" s="29"/>
      <c r="P1971" s="29" t="s">
        <v>9122</v>
      </c>
      <c r="Q1971" t="s">
        <v>2038</v>
      </c>
      <c r="R1971" t="s">
        <v>2632</v>
      </c>
      <c r="S1971">
        <v>38</v>
      </c>
      <c r="T1971" s="43" t="str">
        <f>HYPERLINK("https://ictv.global/ictv/proposals/2022.005B.Andregratiavirinae_Joanripponvirinae_nsf.zip","2022.005B.Andregratiavirinae_Joanripponvirinae_nsf.zip")</f>
        <v>2022.005B.Andregratiavirinae_Joanripponvirinae_nsf.zip</v>
      </c>
      <c r="U1971" s="43" t="str">
        <f>HYPERLINK("https://ictv.global/taxonomy/taxondetails?taxnode_id=202214475","ictv.global=202214475")</f>
        <v>ictv.global=202214475</v>
      </c>
    </row>
    <row r="1972" spans="1:21">
      <c r="A1972">
        <v>1971</v>
      </c>
      <c r="B1972" s="29" t="s">
        <v>3682</v>
      </c>
      <c r="C1972" s="29"/>
      <c r="D1972" s="29" t="s">
        <v>3683</v>
      </c>
      <c r="E1972" s="29"/>
      <c r="F1972" s="29" t="s">
        <v>3686</v>
      </c>
      <c r="G1972" s="29"/>
      <c r="H1972" s="29" t="s">
        <v>3687</v>
      </c>
      <c r="I1972" s="29"/>
      <c r="J1972" s="29"/>
      <c r="K1972" s="29"/>
      <c r="L1972" s="29"/>
      <c r="M1972" s="29" t="s">
        <v>9120</v>
      </c>
      <c r="N1972" s="29" t="s">
        <v>9123</v>
      </c>
      <c r="O1972" s="29"/>
      <c r="P1972" s="29" t="s">
        <v>9124</v>
      </c>
      <c r="Q1972" t="s">
        <v>2038</v>
      </c>
      <c r="R1972" t="s">
        <v>2632</v>
      </c>
      <c r="S1972">
        <v>38</v>
      </c>
      <c r="T1972" s="43" t="str">
        <f>HYPERLINK("https://ictv.global/ictv/proposals/2022.005B.Andregratiavirinae_Joanripponvirinae_nsf.zip","2022.005B.Andregratiavirinae_Joanripponvirinae_nsf.zip")</f>
        <v>2022.005B.Andregratiavirinae_Joanripponvirinae_nsf.zip</v>
      </c>
      <c r="U1972" s="43" t="str">
        <f>HYPERLINK("https://ictv.global/taxonomy/taxondetails?taxnode_id=202214476","ictv.global=202214476")</f>
        <v>ictv.global=202214476</v>
      </c>
    </row>
    <row r="1973" spans="1:21">
      <c r="A1973">
        <v>1972</v>
      </c>
      <c r="B1973" s="29" t="s">
        <v>3682</v>
      </c>
      <c r="C1973" s="29"/>
      <c r="D1973" s="29" t="s">
        <v>3683</v>
      </c>
      <c r="E1973" s="29"/>
      <c r="F1973" s="29" t="s">
        <v>3686</v>
      </c>
      <c r="G1973" s="29"/>
      <c r="H1973" s="29" t="s">
        <v>3687</v>
      </c>
      <c r="I1973" s="29"/>
      <c r="J1973" s="29"/>
      <c r="K1973" s="29"/>
      <c r="L1973" s="29"/>
      <c r="M1973" s="29" t="s">
        <v>9125</v>
      </c>
      <c r="N1973" s="29" t="s">
        <v>9126</v>
      </c>
      <c r="O1973" s="29"/>
      <c r="P1973" s="29" t="s">
        <v>9127</v>
      </c>
      <c r="Q1973" t="s">
        <v>2038</v>
      </c>
      <c r="R1973" t="s">
        <v>2632</v>
      </c>
      <c r="S1973">
        <v>37</v>
      </c>
      <c r="T1973" s="43" t="str">
        <f>HYPERLINK("https://ictv.global/ictv/proposals/2021.002B.R.Andrewesvirinae.zip","2021.002B.R.Andrewesvirinae.zip")</f>
        <v>2021.002B.R.Andrewesvirinae.zip</v>
      </c>
      <c r="U1973" s="43" t="str">
        <f>HYPERLINK("https://ictv.global/taxonomy/taxondetails?taxnode_id=202213119","ictv.global=202213119")</f>
        <v>ictv.global=202213119</v>
      </c>
    </row>
    <row r="1974" spans="1:21">
      <c r="A1974">
        <v>1973</v>
      </c>
      <c r="B1974" s="29" t="s">
        <v>3682</v>
      </c>
      <c r="C1974" s="29"/>
      <c r="D1974" s="29" t="s">
        <v>3683</v>
      </c>
      <c r="E1974" s="29"/>
      <c r="F1974" s="29" t="s">
        <v>3686</v>
      </c>
      <c r="G1974" s="29"/>
      <c r="H1974" s="29" t="s">
        <v>3687</v>
      </c>
      <c r="I1974" s="29"/>
      <c r="J1974" s="29"/>
      <c r="K1974" s="29"/>
      <c r="L1974" s="29"/>
      <c r="M1974" s="29" t="s">
        <v>9125</v>
      </c>
      <c r="N1974" s="29" t="s">
        <v>9128</v>
      </c>
      <c r="O1974" s="29"/>
      <c r="P1974" s="29" t="s">
        <v>9129</v>
      </c>
      <c r="Q1974" t="s">
        <v>2038</v>
      </c>
      <c r="R1974" t="s">
        <v>2632</v>
      </c>
      <c r="S1974">
        <v>37</v>
      </c>
      <c r="T1974" s="43" t="str">
        <f>HYPERLINK("https://ictv.global/ictv/proposals/2021.002B.R.Andrewesvirinae.zip","2021.002B.R.Andrewesvirinae.zip")</f>
        <v>2021.002B.R.Andrewesvirinae.zip</v>
      </c>
      <c r="U1974" s="43" t="str">
        <f>HYPERLINK("https://ictv.global/taxonomy/taxondetails?taxnode_id=202213123","ictv.global=202213123")</f>
        <v>ictv.global=202213123</v>
      </c>
    </row>
    <row r="1975" spans="1:21">
      <c r="A1975">
        <v>1974</v>
      </c>
      <c r="B1975" s="29" t="s">
        <v>3682</v>
      </c>
      <c r="C1975" s="29"/>
      <c r="D1975" s="29" t="s">
        <v>3683</v>
      </c>
      <c r="E1975" s="29"/>
      <c r="F1975" s="29" t="s">
        <v>3686</v>
      </c>
      <c r="G1975" s="29"/>
      <c r="H1975" s="29" t="s">
        <v>3687</v>
      </c>
      <c r="I1975" s="29"/>
      <c r="J1975" s="29"/>
      <c r="K1975" s="29"/>
      <c r="L1975" s="29"/>
      <c r="M1975" s="29" t="s">
        <v>9125</v>
      </c>
      <c r="N1975" s="29" t="s">
        <v>9128</v>
      </c>
      <c r="O1975" s="29"/>
      <c r="P1975" s="29" t="s">
        <v>9130</v>
      </c>
      <c r="Q1975" t="s">
        <v>2038</v>
      </c>
      <c r="R1975" t="s">
        <v>2632</v>
      </c>
      <c r="S1975">
        <v>37</v>
      </c>
      <c r="T1975" s="43" t="str">
        <f>HYPERLINK("https://ictv.global/ictv/proposals/2021.002B.R.Andrewesvirinae.zip","2021.002B.R.Andrewesvirinae.zip")</f>
        <v>2021.002B.R.Andrewesvirinae.zip</v>
      </c>
      <c r="U1975" s="43" t="str">
        <f>HYPERLINK("https://ictv.global/taxonomy/taxondetails?taxnode_id=202213121","ictv.global=202213121")</f>
        <v>ictv.global=202213121</v>
      </c>
    </row>
    <row r="1976" spans="1:21">
      <c r="A1976">
        <v>1975</v>
      </c>
      <c r="B1976" s="29" t="s">
        <v>3682</v>
      </c>
      <c r="C1976" s="29"/>
      <c r="D1976" s="29" t="s">
        <v>3683</v>
      </c>
      <c r="E1976" s="29"/>
      <c r="F1976" s="29" t="s">
        <v>3686</v>
      </c>
      <c r="G1976" s="29"/>
      <c r="H1976" s="29" t="s">
        <v>3687</v>
      </c>
      <c r="I1976" s="29"/>
      <c r="J1976" s="29"/>
      <c r="K1976" s="29"/>
      <c r="L1976" s="29"/>
      <c r="M1976" s="29" t="s">
        <v>9125</v>
      </c>
      <c r="N1976" s="29" t="s">
        <v>9128</v>
      </c>
      <c r="O1976" s="29"/>
      <c r="P1976" s="29" t="s">
        <v>9131</v>
      </c>
      <c r="Q1976" t="s">
        <v>2038</v>
      </c>
      <c r="R1976" t="s">
        <v>2632</v>
      </c>
      <c r="S1976">
        <v>37</v>
      </c>
      <c r="T1976" s="43" t="str">
        <f>HYPERLINK("https://ictv.global/ictv/proposals/2021.002B.R.Andrewesvirinae.zip","2021.002B.R.Andrewesvirinae.zip")</f>
        <v>2021.002B.R.Andrewesvirinae.zip</v>
      </c>
      <c r="U1976" s="43" t="str">
        <f>HYPERLINK("https://ictv.global/taxonomy/taxondetails?taxnode_id=202213122","ictv.global=202213122")</f>
        <v>ictv.global=202213122</v>
      </c>
    </row>
    <row r="1977" spans="1:21">
      <c r="A1977">
        <v>1976</v>
      </c>
      <c r="B1977" s="29" t="s">
        <v>3682</v>
      </c>
      <c r="C1977" s="29"/>
      <c r="D1977" s="29" t="s">
        <v>3683</v>
      </c>
      <c r="E1977" s="29"/>
      <c r="F1977" s="29" t="s">
        <v>3686</v>
      </c>
      <c r="G1977" s="29"/>
      <c r="H1977" s="29" t="s">
        <v>3687</v>
      </c>
      <c r="I1977" s="29"/>
      <c r="J1977" s="29"/>
      <c r="K1977" s="29"/>
      <c r="L1977" s="29"/>
      <c r="M1977" s="29" t="s">
        <v>2419</v>
      </c>
      <c r="N1977" s="29" t="s">
        <v>3489</v>
      </c>
      <c r="O1977" s="29"/>
      <c r="P1977" s="29" t="s">
        <v>9132</v>
      </c>
      <c r="Q1977" t="s">
        <v>2038</v>
      </c>
      <c r="R1977" t="s">
        <v>2633</v>
      </c>
      <c r="S1977">
        <v>37</v>
      </c>
      <c r="T1977" s="43" t="str">
        <f>HYPERLINK("https://ictv.global/ictv/proposals/2021.010B.R.Binomial_names.zip","2021.010B.R.Binomial_names.zip")</f>
        <v>2021.010B.R.Binomial_names.zip</v>
      </c>
      <c r="U1977" s="43" t="str">
        <f>HYPERLINK("https://ictv.global/taxonomy/taxondetails?taxnode_id=202200729","ictv.global=202200729")</f>
        <v>ictv.global=202200729</v>
      </c>
    </row>
    <row r="1978" spans="1:21">
      <c r="A1978">
        <v>1977</v>
      </c>
      <c r="B1978" s="29" t="s">
        <v>3682</v>
      </c>
      <c r="C1978" s="29"/>
      <c r="D1978" s="29" t="s">
        <v>3683</v>
      </c>
      <c r="E1978" s="29"/>
      <c r="F1978" s="29" t="s">
        <v>3686</v>
      </c>
      <c r="G1978" s="29"/>
      <c r="H1978" s="29" t="s">
        <v>3687</v>
      </c>
      <c r="I1978" s="29"/>
      <c r="J1978" s="29"/>
      <c r="K1978" s="29"/>
      <c r="L1978" s="29"/>
      <c r="M1978" s="29" t="s">
        <v>2419</v>
      </c>
      <c r="N1978" s="29" t="s">
        <v>3489</v>
      </c>
      <c r="O1978" s="29"/>
      <c r="P1978" s="29" t="s">
        <v>9133</v>
      </c>
      <c r="Q1978" t="s">
        <v>2038</v>
      </c>
      <c r="R1978" t="s">
        <v>2632</v>
      </c>
      <c r="S1978">
        <v>37</v>
      </c>
      <c r="T1978" s="43" t="str">
        <f>HYPERLINK("https://ictv.global/ictv/proposals/2021.005B.R.Arquatrovirinae.zip","2021.005B.R.Arquatrovirinae.zip")</f>
        <v>2021.005B.R.Arquatrovirinae.zip</v>
      </c>
      <c r="U1978" s="43" t="str">
        <f>HYPERLINK("https://ictv.global/taxonomy/taxondetails?taxnode_id=202213152","ictv.global=202213152")</f>
        <v>ictv.global=202213152</v>
      </c>
    </row>
    <row r="1979" spans="1:21">
      <c r="A1979">
        <v>1978</v>
      </c>
      <c r="B1979" s="29" t="s">
        <v>3682</v>
      </c>
      <c r="C1979" s="29"/>
      <c r="D1979" s="29" t="s">
        <v>3683</v>
      </c>
      <c r="E1979" s="29"/>
      <c r="F1979" s="29" t="s">
        <v>3686</v>
      </c>
      <c r="G1979" s="29"/>
      <c r="H1979" s="29" t="s">
        <v>3687</v>
      </c>
      <c r="I1979" s="29"/>
      <c r="J1979" s="29"/>
      <c r="K1979" s="29"/>
      <c r="L1979" s="29"/>
      <c r="M1979" s="29" t="s">
        <v>2419</v>
      </c>
      <c r="N1979" s="29" t="s">
        <v>3489</v>
      </c>
      <c r="O1979" s="29"/>
      <c r="P1979" s="29" t="s">
        <v>9134</v>
      </c>
      <c r="Q1979" t="s">
        <v>2038</v>
      </c>
      <c r="R1979" t="s">
        <v>2633</v>
      </c>
      <c r="S1979">
        <v>37</v>
      </c>
      <c r="T1979" s="43" t="str">
        <f>HYPERLINK("https://ictv.global/ictv/proposals/2021.010B.R.Binomial_names.zip","2021.010B.R.Binomial_names.zip")</f>
        <v>2021.010B.R.Binomial_names.zip</v>
      </c>
      <c r="U1979" s="43" t="str">
        <f>HYPERLINK("https://ictv.global/taxonomy/taxondetails?taxnode_id=202200730","ictv.global=202200730")</f>
        <v>ictv.global=202200730</v>
      </c>
    </row>
    <row r="1980" spans="1:21">
      <c r="A1980">
        <v>1979</v>
      </c>
      <c r="B1980" s="29" t="s">
        <v>3682</v>
      </c>
      <c r="C1980" s="29"/>
      <c r="D1980" s="29" t="s">
        <v>3683</v>
      </c>
      <c r="E1980" s="29"/>
      <c r="F1980" s="29" t="s">
        <v>3686</v>
      </c>
      <c r="G1980" s="29"/>
      <c r="H1980" s="29" t="s">
        <v>3687</v>
      </c>
      <c r="I1980" s="29"/>
      <c r="J1980" s="29"/>
      <c r="K1980" s="29"/>
      <c r="L1980" s="29"/>
      <c r="M1980" s="29" t="s">
        <v>2419</v>
      </c>
      <c r="N1980" s="29" t="s">
        <v>9135</v>
      </c>
      <c r="O1980" s="29"/>
      <c r="P1980" s="29" t="s">
        <v>9136</v>
      </c>
      <c r="Q1980" t="s">
        <v>2038</v>
      </c>
      <c r="R1980" t="s">
        <v>2632</v>
      </c>
      <c r="S1980">
        <v>37</v>
      </c>
      <c r="T1980" s="43" t="str">
        <f t="shared" ref="T1980:T1985" si="84">HYPERLINK("https://ictv.global/ictv/proposals/2021.005B.R.Arquatrovirinae.zip","2021.005B.R.Arquatrovirinae.zip")</f>
        <v>2021.005B.R.Arquatrovirinae.zip</v>
      </c>
      <c r="U1980" s="43" t="str">
        <f>HYPERLINK("https://ictv.global/taxonomy/taxondetails?taxnode_id=202213150","ictv.global=202213150")</f>
        <v>ictv.global=202213150</v>
      </c>
    </row>
    <row r="1981" spans="1:21">
      <c r="A1981">
        <v>1980</v>
      </c>
      <c r="B1981" s="29" t="s">
        <v>3682</v>
      </c>
      <c r="C1981" s="29"/>
      <c r="D1981" s="29" t="s">
        <v>3683</v>
      </c>
      <c r="E1981" s="29"/>
      <c r="F1981" s="29" t="s">
        <v>3686</v>
      </c>
      <c r="G1981" s="29"/>
      <c r="H1981" s="29" t="s">
        <v>3687</v>
      </c>
      <c r="I1981" s="29"/>
      <c r="J1981" s="29"/>
      <c r="K1981" s="29"/>
      <c r="L1981" s="29"/>
      <c r="M1981" s="29" t="s">
        <v>2419</v>
      </c>
      <c r="N1981" s="29" t="s">
        <v>9135</v>
      </c>
      <c r="O1981" s="29"/>
      <c r="P1981" s="29" t="s">
        <v>9137</v>
      </c>
      <c r="Q1981" t="s">
        <v>2038</v>
      </c>
      <c r="R1981" t="s">
        <v>2632</v>
      </c>
      <c r="S1981">
        <v>37</v>
      </c>
      <c r="T1981" s="43" t="str">
        <f t="shared" si="84"/>
        <v>2021.005B.R.Arquatrovirinae.zip</v>
      </c>
      <c r="U1981" s="43" t="str">
        <f>HYPERLINK("https://ictv.global/taxonomy/taxondetails?taxnode_id=202213147","ictv.global=202213147")</f>
        <v>ictv.global=202213147</v>
      </c>
    </row>
    <row r="1982" spans="1:21">
      <c r="A1982">
        <v>1981</v>
      </c>
      <c r="B1982" s="29" t="s">
        <v>3682</v>
      </c>
      <c r="C1982" s="29"/>
      <c r="D1982" s="29" t="s">
        <v>3683</v>
      </c>
      <c r="E1982" s="29"/>
      <c r="F1982" s="29" t="s">
        <v>3686</v>
      </c>
      <c r="G1982" s="29"/>
      <c r="H1982" s="29" t="s">
        <v>3687</v>
      </c>
      <c r="I1982" s="29"/>
      <c r="J1982" s="29"/>
      <c r="K1982" s="29"/>
      <c r="L1982" s="29"/>
      <c r="M1982" s="29" t="s">
        <v>2419</v>
      </c>
      <c r="N1982" s="29" t="s">
        <v>9135</v>
      </c>
      <c r="O1982" s="29"/>
      <c r="P1982" s="29" t="s">
        <v>9138</v>
      </c>
      <c r="Q1982" t="s">
        <v>2038</v>
      </c>
      <c r="R1982" t="s">
        <v>2632</v>
      </c>
      <c r="S1982">
        <v>37</v>
      </c>
      <c r="T1982" s="43" t="str">
        <f t="shared" si="84"/>
        <v>2021.005B.R.Arquatrovirinae.zip</v>
      </c>
      <c r="U1982" s="43" t="str">
        <f>HYPERLINK("https://ictv.global/taxonomy/taxondetails?taxnode_id=202213149","ictv.global=202213149")</f>
        <v>ictv.global=202213149</v>
      </c>
    </row>
    <row r="1983" spans="1:21">
      <c r="A1983">
        <v>1982</v>
      </c>
      <c r="B1983" s="29" t="s">
        <v>3682</v>
      </c>
      <c r="C1983" s="29"/>
      <c r="D1983" s="29" t="s">
        <v>3683</v>
      </c>
      <c r="E1983" s="29"/>
      <c r="F1983" s="29" t="s">
        <v>3686</v>
      </c>
      <c r="G1983" s="29"/>
      <c r="H1983" s="29" t="s">
        <v>3687</v>
      </c>
      <c r="I1983" s="29"/>
      <c r="J1983" s="29"/>
      <c r="K1983" s="29"/>
      <c r="L1983" s="29"/>
      <c r="M1983" s="29" t="s">
        <v>2419</v>
      </c>
      <c r="N1983" s="29" t="s">
        <v>9135</v>
      </c>
      <c r="O1983" s="29"/>
      <c r="P1983" s="29" t="s">
        <v>9139</v>
      </c>
      <c r="Q1983" t="s">
        <v>2038</v>
      </c>
      <c r="R1983" t="s">
        <v>2632</v>
      </c>
      <c r="S1983">
        <v>37</v>
      </c>
      <c r="T1983" s="43" t="str">
        <f t="shared" si="84"/>
        <v>2021.005B.R.Arquatrovirinae.zip</v>
      </c>
      <c r="U1983" s="43" t="str">
        <f>HYPERLINK("https://ictv.global/taxonomy/taxondetails?taxnode_id=202213148","ictv.global=202213148")</f>
        <v>ictv.global=202213148</v>
      </c>
    </row>
    <row r="1984" spans="1:21">
      <c r="A1984">
        <v>1983</v>
      </c>
      <c r="B1984" s="29" t="s">
        <v>3682</v>
      </c>
      <c r="C1984" s="29"/>
      <c r="D1984" s="29" t="s">
        <v>3683</v>
      </c>
      <c r="E1984" s="29"/>
      <c r="F1984" s="29" t="s">
        <v>3686</v>
      </c>
      <c r="G1984" s="29"/>
      <c r="H1984" s="29" t="s">
        <v>3687</v>
      </c>
      <c r="I1984" s="29"/>
      <c r="J1984" s="29"/>
      <c r="K1984" s="29"/>
      <c r="L1984" s="29"/>
      <c r="M1984" s="29" t="s">
        <v>2419</v>
      </c>
      <c r="N1984" s="29" t="s">
        <v>9135</v>
      </c>
      <c r="O1984" s="29"/>
      <c r="P1984" s="29" t="s">
        <v>9140</v>
      </c>
      <c r="Q1984" t="s">
        <v>2038</v>
      </c>
      <c r="R1984" t="s">
        <v>2632</v>
      </c>
      <c r="S1984">
        <v>37</v>
      </c>
      <c r="T1984" s="43" t="str">
        <f t="shared" si="84"/>
        <v>2021.005B.R.Arquatrovirinae.zip</v>
      </c>
      <c r="U1984" s="43" t="str">
        <f>HYPERLINK("https://ictv.global/taxonomy/taxondetails?taxnode_id=202213151","ictv.global=202213151")</f>
        <v>ictv.global=202213151</v>
      </c>
    </row>
    <row r="1985" spans="1:21">
      <c r="A1985">
        <v>1984</v>
      </c>
      <c r="B1985" s="29" t="s">
        <v>3682</v>
      </c>
      <c r="C1985" s="29"/>
      <c r="D1985" s="29" t="s">
        <v>3683</v>
      </c>
      <c r="E1985" s="29"/>
      <c r="F1985" s="29" t="s">
        <v>3686</v>
      </c>
      <c r="G1985" s="29"/>
      <c r="H1985" s="29" t="s">
        <v>3687</v>
      </c>
      <c r="I1985" s="29"/>
      <c r="J1985" s="29"/>
      <c r="K1985" s="29"/>
      <c r="L1985" s="29"/>
      <c r="M1985" s="29" t="s">
        <v>2419</v>
      </c>
      <c r="N1985" s="29" t="s">
        <v>2420</v>
      </c>
      <c r="O1985" s="29"/>
      <c r="P1985" s="29" t="s">
        <v>9141</v>
      </c>
      <c r="Q1985" t="s">
        <v>2038</v>
      </c>
      <c r="R1985" t="s">
        <v>2632</v>
      </c>
      <c r="S1985">
        <v>37</v>
      </c>
      <c r="T1985" s="43" t="str">
        <f t="shared" si="84"/>
        <v>2021.005B.R.Arquatrovirinae.zip</v>
      </c>
      <c r="U1985" s="43" t="str">
        <f>HYPERLINK("https://ictv.global/taxonomy/taxondetails?taxnode_id=202213158","ictv.global=202213158")</f>
        <v>ictv.global=202213158</v>
      </c>
    </row>
    <row r="1986" spans="1:21">
      <c r="A1986">
        <v>1985</v>
      </c>
      <c r="B1986" s="29" t="s">
        <v>3682</v>
      </c>
      <c r="C1986" s="29"/>
      <c r="D1986" s="29" t="s">
        <v>3683</v>
      </c>
      <c r="E1986" s="29"/>
      <c r="F1986" s="29" t="s">
        <v>3686</v>
      </c>
      <c r="G1986" s="29"/>
      <c r="H1986" s="29" t="s">
        <v>3687</v>
      </c>
      <c r="I1986" s="29"/>
      <c r="J1986" s="29"/>
      <c r="K1986" s="29"/>
      <c r="L1986" s="29"/>
      <c r="M1986" s="29" t="s">
        <v>2419</v>
      </c>
      <c r="N1986" s="29" t="s">
        <v>2420</v>
      </c>
      <c r="O1986" s="29"/>
      <c r="P1986" s="29" t="s">
        <v>9142</v>
      </c>
      <c r="Q1986" t="s">
        <v>2038</v>
      </c>
      <c r="R1986" t="s">
        <v>2633</v>
      </c>
      <c r="S1986">
        <v>37</v>
      </c>
      <c r="T1986" s="43" t="str">
        <f>HYPERLINK("https://ictv.global/ictv/proposals/2021.010B.R.Binomial_names.zip","2021.010B.R.Binomial_names.zip")</f>
        <v>2021.010B.R.Binomial_names.zip</v>
      </c>
      <c r="U1986" s="43" t="str">
        <f>HYPERLINK("https://ictv.global/taxonomy/taxondetails?taxnode_id=202200716","ictv.global=202200716")</f>
        <v>ictv.global=202200716</v>
      </c>
    </row>
    <row r="1987" spans="1:21">
      <c r="A1987">
        <v>1986</v>
      </c>
      <c r="B1987" s="29" t="s">
        <v>3682</v>
      </c>
      <c r="C1987" s="29"/>
      <c r="D1987" s="29" t="s">
        <v>3683</v>
      </c>
      <c r="E1987" s="29"/>
      <c r="F1987" s="29" t="s">
        <v>3686</v>
      </c>
      <c r="G1987" s="29"/>
      <c r="H1987" s="29" t="s">
        <v>3687</v>
      </c>
      <c r="I1987" s="29"/>
      <c r="J1987" s="29"/>
      <c r="K1987" s="29"/>
      <c r="L1987" s="29"/>
      <c r="M1987" s="29" t="s">
        <v>2419</v>
      </c>
      <c r="N1987" s="29" t="s">
        <v>2420</v>
      </c>
      <c r="O1987" s="29"/>
      <c r="P1987" s="29" t="s">
        <v>9143</v>
      </c>
      <c r="Q1987" t="s">
        <v>2038</v>
      </c>
      <c r="R1987" t="s">
        <v>2633</v>
      </c>
      <c r="S1987">
        <v>37</v>
      </c>
      <c r="T1987" s="43" t="str">
        <f>HYPERLINK("https://ictv.global/ictv/proposals/2021.010B.R.Binomial_names.zip","2021.010B.R.Binomial_names.zip")</f>
        <v>2021.010B.R.Binomial_names.zip</v>
      </c>
      <c r="U1987" s="43" t="str">
        <f>HYPERLINK("https://ictv.global/taxonomy/taxondetails?taxnode_id=202200717","ictv.global=202200717")</f>
        <v>ictv.global=202200717</v>
      </c>
    </row>
    <row r="1988" spans="1:21">
      <c r="A1988">
        <v>1987</v>
      </c>
      <c r="B1988" s="29" t="s">
        <v>3682</v>
      </c>
      <c r="C1988" s="29"/>
      <c r="D1988" s="29" t="s">
        <v>3683</v>
      </c>
      <c r="E1988" s="29"/>
      <c r="F1988" s="29" t="s">
        <v>3686</v>
      </c>
      <c r="G1988" s="29"/>
      <c r="H1988" s="29" t="s">
        <v>3687</v>
      </c>
      <c r="I1988" s="29"/>
      <c r="J1988" s="29"/>
      <c r="K1988" s="29"/>
      <c r="L1988" s="29"/>
      <c r="M1988" s="29" t="s">
        <v>2419</v>
      </c>
      <c r="N1988" s="29" t="s">
        <v>2420</v>
      </c>
      <c r="O1988" s="29"/>
      <c r="P1988" s="29" t="s">
        <v>9144</v>
      </c>
      <c r="Q1988" t="s">
        <v>2038</v>
      </c>
      <c r="R1988" t="s">
        <v>2632</v>
      </c>
      <c r="S1988">
        <v>37</v>
      </c>
      <c r="T1988" s="43" t="str">
        <f t="shared" ref="T1988:T1996" si="85">HYPERLINK("https://ictv.global/ictv/proposals/2021.005B.R.Arquatrovirinae.zip","2021.005B.R.Arquatrovirinae.zip")</f>
        <v>2021.005B.R.Arquatrovirinae.zip</v>
      </c>
      <c r="U1988" s="43" t="str">
        <f>HYPERLINK("https://ictv.global/taxonomy/taxondetails?taxnode_id=202213153","ictv.global=202213153")</f>
        <v>ictv.global=202213153</v>
      </c>
    </row>
    <row r="1989" spans="1:21">
      <c r="A1989">
        <v>1988</v>
      </c>
      <c r="B1989" s="29" t="s">
        <v>3682</v>
      </c>
      <c r="C1989" s="29"/>
      <c r="D1989" s="29" t="s">
        <v>3683</v>
      </c>
      <c r="E1989" s="29"/>
      <c r="F1989" s="29" t="s">
        <v>3686</v>
      </c>
      <c r="G1989" s="29"/>
      <c r="H1989" s="29" t="s">
        <v>3687</v>
      </c>
      <c r="I1989" s="29"/>
      <c r="J1989" s="29"/>
      <c r="K1989" s="29"/>
      <c r="L1989" s="29"/>
      <c r="M1989" s="29" t="s">
        <v>2419</v>
      </c>
      <c r="N1989" s="29" t="s">
        <v>2420</v>
      </c>
      <c r="O1989" s="29"/>
      <c r="P1989" s="29" t="s">
        <v>9145</v>
      </c>
      <c r="Q1989" t="s">
        <v>2038</v>
      </c>
      <c r="R1989" t="s">
        <v>2632</v>
      </c>
      <c r="S1989">
        <v>37</v>
      </c>
      <c r="T1989" s="43" t="str">
        <f t="shared" si="85"/>
        <v>2021.005B.R.Arquatrovirinae.zip</v>
      </c>
      <c r="U1989" s="43" t="str">
        <f>HYPERLINK("https://ictv.global/taxonomy/taxondetails?taxnode_id=202213154","ictv.global=202213154")</f>
        <v>ictv.global=202213154</v>
      </c>
    </row>
    <row r="1990" spans="1:21">
      <c r="A1990">
        <v>1989</v>
      </c>
      <c r="B1990" s="29" t="s">
        <v>3682</v>
      </c>
      <c r="C1990" s="29"/>
      <c r="D1990" s="29" t="s">
        <v>3683</v>
      </c>
      <c r="E1990" s="29"/>
      <c r="F1990" s="29" t="s">
        <v>3686</v>
      </c>
      <c r="G1990" s="29"/>
      <c r="H1990" s="29" t="s">
        <v>3687</v>
      </c>
      <c r="I1990" s="29"/>
      <c r="J1990" s="29"/>
      <c r="K1990" s="29"/>
      <c r="L1990" s="29"/>
      <c r="M1990" s="29" t="s">
        <v>2419</v>
      </c>
      <c r="N1990" s="29" t="s">
        <v>2420</v>
      </c>
      <c r="O1990" s="29"/>
      <c r="P1990" s="29" t="s">
        <v>9146</v>
      </c>
      <c r="Q1990" t="s">
        <v>2038</v>
      </c>
      <c r="R1990" t="s">
        <v>2632</v>
      </c>
      <c r="S1990">
        <v>37</v>
      </c>
      <c r="T1990" s="43" t="str">
        <f t="shared" si="85"/>
        <v>2021.005B.R.Arquatrovirinae.zip</v>
      </c>
      <c r="U1990" s="43" t="str">
        <f>HYPERLINK("https://ictv.global/taxonomy/taxondetails?taxnode_id=202213155","ictv.global=202213155")</f>
        <v>ictv.global=202213155</v>
      </c>
    </row>
    <row r="1991" spans="1:21">
      <c r="A1991">
        <v>1990</v>
      </c>
      <c r="B1991" s="29" t="s">
        <v>3682</v>
      </c>
      <c r="C1991" s="29"/>
      <c r="D1991" s="29" t="s">
        <v>3683</v>
      </c>
      <c r="E1991" s="29"/>
      <c r="F1991" s="29" t="s">
        <v>3686</v>
      </c>
      <c r="G1991" s="29"/>
      <c r="H1991" s="29" t="s">
        <v>3687</v>
      </c>
      <c r="I1991" s="29"/>
      <c r="J1991" s="29"/>
      <c r="K1991" s="29"/>
      <c r="L1991" s="29"/>
      <c r="M1991" s="29" t="s">
        <v>2419</v>
      </c>
      <c r="N1991" s="29" t="s">
        <v>2420</v>
      </c>
      <c r="O1991" s="29"/>
      <c r="P1991" s="29" t="s">
        <v>9147</v>
      </c>
      <c r="Q1991" t="s">
        <v>2038</v>
      </c>
      <c r="R1991" t="s">
        <v>2632</v>
      </c>
      <c r="S1991">
        <v>37</v>
      </c>
      <c r="T1991" s="43" t="str">
        <f t="shared" si="85"/>
        <v>2021.005B.R.Arquatrovirinae.zip</v>
      </c>
      <c r="U1991" s="43" t="str">
        <f>HYPERLINK("https://ictv.global/taxonomy/taxondetails?taxnode_id=202213156","ictv.global=202213156")</f>
        <v>ictv.global=202213156</v>
      </c>
    </row>
    <row r="1992" spans="1:21">
      <c r="A1992">
        <v>1991</v>
      </c>
      <c r="B1992" s="29" t="s">
        <v>3682</v>
      </c>
      <c r="C1992" s="29"/>
      <c r="D1992" s="29" t="s">
        <v>3683</v>
      </c>
      <c r="E1992" s="29"/>
      <c r="F1992" s="29" t="s">
        <v>3686</v>
      </c>
      <c r="G1992" s="29"/>
      <c r="H1992" s="29" t="s">
        <v>3687</v>
      </c>
      <c r="I1992" s="29"/>
      <c r="J1992" s="29"/>
      <c r="K1992" s="29"/>
      <c r="L1992" s="29"/>
      <c r="M1992" s="29" t="s">
        <v>2419</v>
      </c>
      <c r="N1992" s="29" t="s">
        <v>2420</v>
      </c>
      <c r="O1992" s="29"/>
      <c r="P1992" s="29" t="s">
        <v>9148</v>
      </c>
      <c r="Q1992" t="s">
        <v>2038</v>
      </c>
      <c r="R1992" t="s">
        <v>2632</v>
      </c>
      <c r="S1992">
        <v>37</v>
      </c>
      <c r="T1992" s="43" t="str">
        <f t="shared" si="85"/>
        <v>2021.005B.R.Arquatrovirinae.zip</v>
      </c>
      <c r="U1992" s="43" t="str">
        <f>HYPERLINK("https://ictv.global/taxonomy/taxondetails?taxnode_id=202213157","ictv.global=202213157")</f>
        <v>ictv.global=202213157</v>
      </c>
    </row>
    <row r="1993" spans="1:21">
      <c r="A1993">
        <v>1992</v>
      </c>
      <c r="B1993" s="29" t="s">
        <v>3682</v>
      </c>
      <c r="C1993" s="29"/>
      <c r="D1993" s="29" t="s">
        <v>3683</v>
      </c>
      <c r="E1993" s="29"/>
      <c r="F1993" s="29" t="s">
        <v>3686</v>
      </c>
      <c r="G1993" s="29"/>
      <c r="H1993" s="29" t="s">
        <v>3687</v>
      </c>
      <c r="I1993" s="29"/>
      <c r="J1993" s="29"/>
      <c r="K1993" s="29"/>
      <c r="L1993" s="29"/>
      <c r="M1993" s="29" t="s">
        <v>2419</v>
      </c>
      <c r="N1993" s="29" t="s">
        <v>9149</v>
      </c>
      <c r="O1993" s="29"/>
      <c r="P1993" s="29" t="s">
        <v>9150</v>
      </c>
      <c r="Q1993" t="s">
        <v>2038</v>
      </c>
      <c r="R1993" t="s">
        <v>2632</v>
      </c>
      <c r="S1993">
        <v>37</v>
      </c>
      <c r="T1993" s="43" t="str">
        <f t="shared" si="85"/>
        <v>2021.005B.R.Arquatrovirinae.zip</v>
      </c>
      <c r="U1993" s="43" t="str">
        <f>HYPERLINK("https://ictv.global/taxonomy/taxondetails?taxnode_id=202213129","ictv.global=202213129")</f>
        <v>ictv.global=202213129</v>
      </c>
    </row>
    <row r="1994" spans="1:21">
      <c r="A1994">
        <v>1993</v>
      </c>
      <c r="B1994" s="29" t="s">
        <v>3682</v>
      </c>
      <c r="C1994" s="29"/>
      <c r="D1994" s="29" t="s">
        <v>3683</v>
      </c>
      <c r="E1994" s="29"/>
      <c r="F1994" s="29" t="s">
        <v>3686</v>
      </c>
      <c r="G1994" s="29"/>
      <c r="H1994" s="29" t="s">
        <v>3687</v>
      </c>
      <c r="I1994" s="29"/>
      <c r="J1994" s="29"/>
      <c r="K1994" s="29"/>
      <c r="L1994" s="29"/>
      <c r="M1994" s="29" t="s">
        <v>2419</v>
      </c>
      <c r="N1994" s="29" t="s">
        <v>9151</v>
      </c>
      <c r="O1994" s="29"/>
      <c r="P1994" s="29" t="s">
        <v>9152</v>
      </c>
      <c r="Q1994" t="s">
        <v>2038</v>
      </c>
      <c r="R1994" t="s">
        <v>2633</v>
      </c>
      <c r="S1994">
        <v>37</v>
      </c>
      <c r="T1994" s="43" t="str">
        <f t="shared" si="85"/>
        <v>2021.005B.R.Arquatrovirinae.zip</v>
      </c>
      <c r="U1994" s="43" t="str">
        <f>HYPERLINK("https://ictv.global/taxonomy/taxondetails?taxnode_id=202200732","ictv.global=202200732")</f>
        <v>ictv.global=202200732</v>
      </c>
    </row>
    <row r="1995" spans="1:21">
      <c r="A1995">
        <v>1994</v>
      </c>
      <c r="B1995" s="29" t="s">
        <v>3682</v>
      </c>
      <c r="C1995" s="29"/>
      <c r="D1995" s="29" t="s">
        <v>3683</v>
      </c>
      <c r="E1995" s="29"/>
      <c r="F1995" s="29" t="s">
        <v>3686</v>
      </c>
      <c r="G1995" s="29"/>
      <c r="H1995" s="29" t="s">
        <v>3687</v>
      </c>
      <c r="I1995" s="29"/>
      <c r="J1995" s="29"/>
      <c r="K1995" s="29"/>
      <c r="L1995" s="29"/>
      <c r="M1995" s="29" t="s">
        <v>2419</v>
      </c>
      <c r="N1995" s="29" t="s">
        <v>9153</v>
      </c>
      <c r="O1995" s="29"/>
      <c r="P1995" s="29" t="s">
        <v>9154</v>
      </c>
      <c r="Q1995" t="s">
        <v>2038</v>
      </c>
      <c r="R1995" t="s">
        <v>2632</v>
      </c>
      <c r="S1995">
        <v>37</v>
      </c>
      <c r="T1995" s="43" t="str">
        <f t="shared" si="85"/>
        <v>2021.005B.R.Arquatrovirinae.zip</v>
      </c>
      <c r="U1995" s="43" t="str">
        <f>HYPERLINK("https://ictv.global/taxonomy/taxondetails?taxnode_id=202213140","ictv.global=202213140")</f>
        <v>ictv.global=202213140</v>
      </c>
    </row>
    <row r="1996" spans="1:21">
      <c r="A1996">
        <v>1995</v>
      </c>
      <c r="B1996" s="29" t="s">
        <v>3682</v>
      </c>
      <c r="C1996" s="29"/>
      <c r="D1996" s="29" t="s">
        <v>3683</v>
      </c>
      <c r="E1996" s="29"/>
      <c r="F1996" s="29" t="s">
        <v>3686</v>
      </c>
      <c r="G1996" s="29"/>
      <c r="H1996" s="29" t="s">
        <v>3687</v>
      </c>
      <c r="I1996" s="29"/>
      <c r="J1996" s="29"/>
      <c r="K1996" s="29"/>
      <c r="L1996" s="29"/>
      <c r="M1996" s="29" t="s">
        <v>2419</v>
      </c>
      <c r="N1996" s="29" t="s">
        <v>9153</v>
      </c>
      <c r="O1996" s="29"/>
      <c r="P1996" s="29" t="s">
        <v>9155</v>
      </c>
      <c r="Q1996" t="s">
        <v>2038</v>
      </c>
      <c r="R1996" t="s">
        <v>2632</v>
      </c>
      <c r="S1996">
        <v>37</v>
      </c>
      <c r="T1996" s="43" t="str">
        <f t="shared" si="85"/>
        <v>2021.005B.R.Arquatrovirinae.zip</v>
      </c>
      <c r="U1996" s="43" t="str">
        <f>HYPERLINK("https://ictv.global/taxonomy/taxondetails?taxnode_id=202213139","ictv.global=202213139")</f>
        <v>ictv.global=202213139</v>
      </c>
    </row>
    <row r="1997" spans="1:21">
      <c r="A1997">
        <v>1996</v>
      </c>
      <c r="B1997" s="29" t="s">
        <v>3682</v>
      </c>
      <c r="C1997" s="29"/>
      <c r="D1997" s="29" t="s">
        <v>3683</v>
      </c>
      <c r="E1997" s="29"/>
      <c r="F1997" s="29" t="s">
        <v>3686</v>
      </c>
      <c r="G1997" s="29"/>
      <c r="H1997" s="29" t="s">
        <v>3687</v>
      </c>
      <c r="I1997" s="29"/>
      <c r="J1997" s="29"/>
      <c r="K1997" s="29"/>
      <c r="L1997" s="29"/>
      <c r="M1997" s="29" t="s">
        <v>2419</v>
      </c>
      <c r="N1997" s="29" t="s">
        <v>9153</v>
      </c>
      <c r="O1997" s="29"/>
      <c r="P1997" s="29" t="s">
        <v>9156</v>
      </c>
      <c r="Q1997" t="s">
        <v>2038</v>
      </c>
      <c r="R1997" t="s">
        <v>2632</v>
      </c>
      <c r="S1997">
        <v>38</v>
      </c>
      <c r="T1997" s="43" t="str">
        <f>HYPERLINK("https://ictv.global/ictv/proposals/2022.041B.Janusvirus_1nsp.zip","2022.041B.Janusvirus_1nsp.zip")</f>
        <v>2022.041B.Janusvirus_1nsp.zip</v>
      </c>
      <c r="U1997" s="43" t="str">
        <f>HYPERLINK("https://ictv.global/taxonomy/taxondetails?taxnode_id=202214639","ictv.global=202214639")</f>
        <v>ictv.global=202214639</v>
      </c>
    </row>
    <row r="1998" spans="1:21">
      <c r="A1998">
        <v>1997</v>
      </c>
      <c r="B1998" s="29" t="s">
        <v>3682</v>
      </c>
      <c r="C1998" s="29"/>
      <c r="D1998" s="29" t="s">
        <v>3683</v>
      </c>
      <c r="E1998" s="29"/>
      <c r="F1998" s="29" t="s">
        <v>3686</v>
      </c>
      <c r="G1998" s="29"/>
      <c r="H1998" s="29" t="s">
        <v>3687</v>
      </c>
      <c r="I1998" s="29"/>
      <c r="J1998" s="29"/>
      <c r="K1998" s="29"/>
      <c r="L1998" s="29"/>
      <c r="M1998" s="29" t="s">
        <v>2419</v>
      </c>
      <c r="N1998" s="29" t="s">
        <v>2421</v>
      </c>
      <c r="O1998" s="29"/>
      <c r="P1998" s="29" t="s">
        <v>9157</v>
      </c>
      <c r="Q1998" t="s">
        <v>2038</v>
      </c>
      <c r="R1998" t="s">
        <v>2633</v>
      </c>
      <c r="S1998">
        <v>37</v>
      </c>
      <c r="T1998" s="43" t="str">
        <f>HYPERLINK("https://ictv.global/ictv/proposals/2021.010B.R.Binomial_names.zip","2021.010B.R.Binomial_names.zip")</f>
        <v>2021.010B.R.Binomial_names.zip</v>
      </c>
      <c r="U1998" s="43" t="str">
        <f>HYPERLINK("https://ictv.global/taxonomy/taxondetails?taxnode_id=202200719","ictv.global=202200719")</f>
        <v>ictv.global=202200719</v>
      </c>
    </row>
    <row r="1999" spans="1:21">
      <c r="A1999">
        <v>1998</v>
      </c>
      <c r="B1999" s="29" t="s">
        <v>3682</v>
      </c>
      <c r="C1999" s="29"/>
      <c r="D1999" s="29" t="s">
        <v>3683</v>
      </c>
      <c r="E1999" s="29"/>
      <c r="F1999" s="29" t="s">
        <v>3686</v>
      </c>
      <c r="G1999" s="29"/>
      <c r="H1999" s="29" t="s">
        <v>3687</v>
      </c>
      <c r="I1999" s="29"/>
      <c r="J1999" s="29"/>
      <c r="K1999" s="29"/>
      <c r="L1999" s="29"/>
      <c r="M1999" s="29" t="s">
        <v>2419</v>
      </c>
      <c r="N1999" s="29" t="s">
        <v>2421</v>
      </c>
      <c r="O1999" s="29"/>
      <c r="P1999" s="29" t="s">
        <v>9158</v>
      </c>
      <c r="Q1999" t="s">
        <v>2038</v>
      </c>
      <c r="R1999" t="s">
        <v>2633</v>
      </c>
      <c r="S1999">
        <v>37</v>
      </c>
      <c r="T1999" s="43" t="str">
        <f>HYPERLINK("https://ictv.global/ictv/proposals/2021.010B.R.Binomial_names.zip","2021.010B.R.Binomial_names.zip")</f>
        <v>2021.010B.R.Binomial_names.zip</v>
      </c>
      <c r="U1999" s="43" t="str">
        <f>HYPERLINK("https://ictv.global/taxonomy/taxondetails?taxnode_id=202200720","ictv.global=202200720")</f>
        <v>ictv.global=202200720</v>
      </c>
    </row>
    <row r="2000" spans="1:21">
      <c r="A2000">
        <v>1999</v>
      </c>
      <c r="B2000" s="29" t="s">
        <v>3682</v>
      </c>
      <c r="C2000" s="29"/>
      <c r="D2000" s="29" t="s">
        <v>3683</v>
      </c>
      <c r="E2000" s="29"/>
      <c r="F2000" s="29" t="s">
        <v>3686</v>
      </c>
      <c r="G2000" s="29"/>
      <c r="H2000" s="29" t="s">
        <v>3687</v>
      </c>
      <c r="I2000" s="29"/>
      <c r="J2000" s="29"/>
      <c r="K2000" s="29"/>
      <c r="L2000" s="29"/>
      <c r="M2000" s="29" t="s">
        <v>2419</v>
      </c>
      <c r="N2000" s="29" t="s">
        <v>2421</v>
      </c>
      <c r="O2000" s="29"/>
      <c r="P2000" s="29" t="s">
        <v>9159</v>
      </c>
      <c r="Q2000" t="s">
        <v>2038</v>
      </c>
      <c r="R2000" t="s">
        <v>2633</v>
      </c>
      <c r="S2000">
        <v>37</v>
      </c>
      <c r="T2000" s="43" t="str">
        <f>HYPERLINK("https://ictv.global/ictv/proposals/2021.010B.R.Binomial_names.zip","2021.010B.R.Binomial_names.zip")</f>
        <v>2021.010B.R.Binomial_names.zip</v>
      </c>
      <c r="U2000" s="43" t="str">
        <f>HYPERLINK("https://ictv.global/taxonomy/taxondetails?taxnode_id=202200721","ictv.global=202200721")</f>
        <v>ictv.global=202200721</v>
      </c>
    </row>
    <row r="2001" spans="1:21">
      <c r="A2001">
        <v>2000</v>
      </c>
      <c r="B2001" s="29" t="s">
        <v>3682</v>
      </c>
      <c r="C2001" s="29"/>
      <c r="D2001" s="29" t="s">
        <v>3683</v>
      </c>
      <c r="E2001" s="29"/>
      <c r="F2001" s="29" t="s">
        <v>3686</v>
      </c>
      <c r="G2001" s="29"/>
      <c r="H2001" s="29" t="s">
        <v>3687</v>
      </c>
      <c r="I2001" s="29"/>
      <c r="J2001" s="29"/>
      <c r="K2001" s="29"/>
      <c r="L2001" s="29"/>
      <c r="M2001" s="29" t="s">
        <v>2419</v>
      </c>
      <c r="N2001" s="29" t="s">
        <v>2421</v>
      </c>
      <c r="O2001" s="29"/>
      <c r="P2001" s="29" t="s">
        <v>9160</v>
      </c>
      <c r="Q2001" t="s">
        <v>2038</v>
      </c>
      <c r="R2001" t="s">
        <v>2632</v>
      </c>
      <c r="S2001">
        <v>37</v>
      </c>
      <c r="T2001" s="43" t="str">
        <f>HYPERLINK("https://ictv.global/ictv/proposals/2021.005B.R.Arquatrovirinae.zip","2021.005B.R.Arquatrovirinae.zip")</f>
        <v>2021.005B.R.Arquatrovirinae.zip</v>
      </c>
      <c r="U2001" s="43" t="str">
        <f>HYPERLINK("https://ictv.global/taxonomy/taxondetails?taxnode_id=202213161","ictv.global=202213161")</f>
        <v>ictv.global=202213161</v>
      </c>
    </row>
    <row r="2002" spans="1:21">
      <c r="A2002">
        <v>2001</v>
      </c>
      <c r="B2002" s="29" t="s">
        <v>3682</v>
      </c>
      <c r="C2002" s="29"/>
      <c r="D2002" s="29" t="s">
        <v>3683</v>
      </c>
      <c r="E2002" s="29"/>
      <c r="F2002" s="29" t="s">
        <v>3686</v>
      </c>
      <c r="G2002" s="29"/>
      <c r="H2002" s="29" t="s">
        <v>3687</v>
      </c>
      <c r="I2002" s="29"/>
      <c r="J2002" s="29"/>
      <c r="K2002" s="29"/>
      <c r="L2002" s="29"/>
      <c r="M2002" s="29" t="s">
        <v>2419</v>
      </c>
      <c r="N2002" s="29" t="s">
        <v>2421</v>
      </c>
      <c r="O2002" s="29"/>
      <c r="P2002" s="29" t="s">
        <v>9161</v>
      </c>
      <c r="Q2002" t="s">
        <v>2038</v>
      </c>
      <c r="R2002" t="s">
        <v>2633</v>
      </c>
      <c r="S2002">
        <v>37</v>
      </c>
      <c r="T2002" s="43" t="str">
        <f>HYPERLINK("https://ictv.global/ictv/proposals/2021.010B.R.Binomial_names.zip","2021.010B.R.Binomial_names.zip")</f>
        <v>2021.010B.R.Binomial_names.zip</v>
      </c>
      <c r="U2002" s="43" t="str">
        <f>HYPERLINK("https://ictv.global/taxonomy/taxondetails?taxnode_id=202200722","ictv.global=202200722")</f>
        <v>ictv.global=202200722</v>
      </c>
    </row>
    <row r="2003" spans="1:21">
      <c r="A2003">
        <v>2002</v>
      </c>
      <c r="B2003" s="29" t="s">
        <v>3682</v>
      </c>
      <c r="C2003" s="29"/>
      <c r="D2003" s="29" t="s">
        <v>3683</v>
      </c>
      <c r="E2003" s="29"/>
      <c r="F2003" s="29" t="s">
        <v>3686</v>
      </c>
      <c r="G2003" s="29"/>
      <c r="H2003" s="29" t="s">
        <v>3687</v>
      </c>
      <c r="I2003" s="29"/>
      <c r="J2003" s="29"/>
      <c r="K2003" s="29"/>
      <c r="L2003" s="29"/>
      <c r="M2003" s="29" t="s">
        <v>2419</v>
      </c>
      <c r="N2003" s="29" t="s">
        <v>2421</v>
      </c>
      <c r="O2003" s="29"/>
      <c r="P2003" s="29" t="s">
        <v>9162</v>
      </c>
      <c r="Q2003" t="s">
        <v>2038</v>
      </c>
      <c r="R2003" t="s">
        <v>2633</v>
      </c>
      <c r="S2003">
        <v>37</v>
      </c>
      <c r="T2003" s="43" t="str">
        <f>HYPERLINK("https://ictv.global/ictv/proposals/2021.010B.R.Binomial_names.zip","2021.010B.R.Binomial_names.zip")</f>
        <v>2021.010B.R.Binomial_names.zip</v>
      </c>
      <c r="U2003" s="43" t="str">
        <f>HYPERLINK("https://ictv.global/taxonomy/taxondetails?taxnode_id=202200723","ictv.global=202200723")</f>
        <v>ictv.global=202200723</v>
      </c>
    </row>
    <row r="2004" spans="1:21">
      <c r="A2004">
        <v>2003</v>
      </c>
      <c r="B2004" s="29" t="s">
        <v>3682</v>
      </c>
      <c r="C2004" s="29"/>
      <c r="D2004" s="29" t="s">
        <v>3683</v>
      </c>
      <c r="E2004" s="29"/>
      <c r="F2004" s="29" t="s">
        <v>3686</v>
      </c>
      <c r="G2004" s="29"/>
      <c r="H2004" s="29" t="s">
        <v>3687</v>
      </c>
      <c r="I2004" s="29"/>
      <c r="J2004" s="29"/>
      <c r="K2004" s="29"/>
      <c r="L2004" s="29"/>
      <c r="M2004" s="29" t="s">
        <v>2419</v>
      </c>
      <c r="N2004" s="29" t="s">
        <v>2421</v>
      </c>
      <c r="O2004" s="29"/>
      <c r="P2004" s="29" t="s">
        <v>9163</v>
      </c>
      <c r="Q2004" t="s">
        <v>2038</v>
      </c>
      <c r="R2004" t="s">
        <v>2633</v>
      </c>
      <c r="S2004">
        <v>37</v>
      </c>
      <c r="T2004" s="43" t="str">
        <f>HYPERLINK("https://ictv.global/ictv/proposals/2021.010B.R.Binomial_names.zip","2021.010B.R.Binomial_names.zip")</f>
        <v>2021.010B.R.Binomial_names.zip</v>
      </c>
      <c r="U2004" s="43" t="str">
        <f>HYPERLINK("https://ictv.global/taxonomy/taxondetails?taxnode_id=202200724","ictv.global=202200724")</f>
        <v>ictv.global=202200724</v>
      </c>
    </row>
    <row r="2005" spans="1:21">
      <c r="A2005">
        <v>2004</v>
      </c>
      <c r="B2005" s="29" t="s">
        <v>3682</v>
      </c>
      <c r="C2005" s="29"/>
      <c r="D2005" s="29" t="s">
        <v>3683</v>
      </c>
      <c r="E2005" s="29"/>
      <c r="F2005" s="29" t="s">
        <v>3686</v>
      </c>
      <c r="G2005" s="29"/>
      <c r="H2005" s="29" t="s">
        <v>3687</v>
      </c>
      <c r="I2005" s="29"/>
      <c r="J2005" s="29"/>
      <c r="K2005" s="29"/>
      <c r="L2005" s="29"/>
      <c r="M2005" s="29" t="s">
        <v>2419</v>
      </c>
      <c r="N2005" s="29" t="s">
        <v>2421</v>
      </c>
      <c r="O2005" s="29"/>
      <c r="P2005" s="29" t="s">
        <v>9164</v>
      </c>
      <c r="Q2005" t="s">
        <v>2038</v>
      </c>
      <c r="R2005" t="s">
        <v>2633</v>
      </c>
      <c r="S2005">
        <v>37</v>
      </c>
      <c r="T2005" s="43" t="str">
        <f>HYPERLINK("https://ictv.global/ictv/proposals/2021.010B.R.Binomial_names.zip","2021.010B.R.Binomial_names.zip")</f>
        <v>2021.010B.R.Binomial_names.zip</v>
      </c>
      <c r="U2005" s="43" t="str">
        <f>HYPERLINK("https://ictv.global/taxonomy/taxondetails?taxnode_id=202200725","ictv.global=202200725")</f>
        <v>ictv.global=202200725</v>
      </c>
    </row>
    <row r="2006" spans="1:21">
      <c r="A2006">
        <v>2005</v>
      </c>
      <c r="B2006" s="29" t="s">
        <v>3682</v>
      </c>
      <c r="C2006" s="29"/>
      <c r="D2006" s="29" t="s">
        <v>3683</v>
      </c>
      <c r="E2006" s="29"/>
      <c r="F2006" s="29" t="s">
        <v>3686</v>
      </c>
      <c r="G2006" s="29"/>
      <c r="H2006" s="29" t="s">
        <v>3687</v>
      </c>
      <c r="I2006" s="29"/>
      <c r="J2006" s="29"/>
      <c r="K2006" s="29"/>
      <c r="L2006" s="29"/>
      <c r="M2006" s="29" t="s">
        <v>2419</v>
      </c>
      <c r="N2006" s="29" t="s">
        <v>2421</v>
      </c>
      <c r="O2006" s="29"/>
      <c r="P2006" s="29" t="s">
        <v>9165</v>
      </c>
      <c r="Q2006" t="s">
        <v>2038</v>
      </c>
      <c r="R2006" t="s">
        <v>2632</v>
      </c>
      <c r="S2006">
        <v>37</v>
      </c>
      <c r="T2006" s="43" t="str">
        <f>HYPERLINK("https://ictv.global/ictv/proposals/2021.005B.R.Arquatrovirinae.zip","2021.005B.R.Arquatrovirinae.zip")</f>
        <v>2021.005B.R.Arquatrovirinae.zip</v>
      </c>
      <c r="U2006" s="43" t="str">
        <f>HYPERLINK("https://ictv.global/taxonomy/taxondetails?taxnode_id=202213162","ictv.global=202213162")</f>
        <v>ictv.global=202213162</v>
      </c>
    </row>
    <row r="2007" spans="1:21">
      <c r="A2007">
        <v>2006</v>
      </c>
      <c r="B2007" s="29" t="s">
        <v>3682</v>
      </c>
      <c r="C2007" s="29"/>
      <c r="D2007" s="29" t="s">
        <v>3683</v>
      </c>
      <c r="E2007" s="29"/>
      <c r="F2007" s="29" t="s">
        <v>3686</v>
      </c>
      <c r="G2007" s="29"/>
      <c r="H2007" s="29" t="s">
        <v>3687</v>
      </c>
      <c r="I2007" s="29"/>
      <c r="J2007" s="29"/>
      <c r="K2007" s="29"/>
      <c r="L2007" s="29"/>
      <c r="M2007" s="29" t="s">
        <v>2419</v>
      </c>
      <c r="N2007" s="29" t="s">
        <v>2421</v>
      </c>
      <c r="O2007" s="29"/>
      <c r="P2007" s="29" t="s">
        <v>9166</v>
      </c>
      <c r="Q2007" t="s">
        <v>2038</v>
      </c>
      <c r="R2007" t="s">
        <v>2632</v>
      </c>
      <c r="S2007">
        <v>37</v>
      </c>
      <c r="T2007" s="43" t="str">
        <f>HYPERLINK("https://ictv.global/ictv/proposals/2021.005B.R.Arquatrovirinae.zip","2021.005B.R.Arquatrovirinae.zip")</f>
        <v>2021.005B.R.Arquatrovirinae.zip</v>
      </c>
      <c r="U2007" s="43" t="str">
        <f>HYPERLINK("https://ictv.global/taxonomy/taxondetails?taxnode_id=202213163","ictv.global=202213163")</f>
        <v>ictv.global=202213163</v>
      </c>
    </row>
    <row r="2008" spans="1:21">
      <c r="A2008">
        <v>2007</v>
      </c>
      <c r="B2008" s="29" t="s">
        <v>3682</v>
      </c>
      <c r="C2008" s="29"/>
      <c r="D2008" s="29" t="s">
        <v>3683</v>
      </c>
      <c r="E2008" s="29"/>
      <c r="F2008" s="29" t="s">
        <v>3686</v>
      </c>
      <c r="G2008" s="29"/>
      <c r="H2008" s="29" t="s">
        <v>3687</v>
      </c>
      <c r="I2008" s="29"/>
      <c r="J2008" s="29"/>
      <c r="K2008" s="29"/>
      <c r="L2008" s="29"/>
      <c r="M2008" s="29" t="s">
        <v>2419</v>
      </c>
      <c r="N2008" s="29" t="s">
        <v>2421</v>
      </c>
      <c r="O2008" s="29"/>
      <c r="P2008" s="29" t="s">
        <v>9167</v>
      </c>
      <c r="Q2008" t="s">
        <v>2038</v>
      </c>
      <c r="R2008" t="s">
        <v>2633</v>
      </c>
      <c r="S2008">
        <v>37</v>
      </c>
      <c r="T2008" s="43" t="str">
        <f>HYPERLINK("https://ictv.global/ictv/proposals/2021.010B.R.Binomial_names.zip","2021.010B.R.Binomial_names.zip")</f>
        <v>2021.010B.R.Binomial_names.zip</v>
      </c>
      <c r="U2008" s="43" t="str">
        <f>HYPERLINK("https://ictv.global/taxonomy/taxondetails?taxnode_id=202200726","ictv.global=202200726")</f>
        <v>ictv.global=202200726</v>
      </c>
    </row>
    <row r="2009" spans="1:21">
      <c r="A2009">
        <v>2008</v>
      </c>
      <c r="B2009" s="29" t="s">
        <v>3682</v>
      </c>
      <c r="C2009" s="29"/>
      <c r="D2009" s="29" t="s">
        <v>3683</v>
      </c>
      <c r="E2009" s="29"/>
      <c r="F2009" s="29" t="s">
        <v>3686</v>
      </c>
      <c r="G2009" s="29"/>
      <c r="H2009" s="29" t="s">
        <v>3687</v>
      </c>
      <c r="I2009" s="29"/>
      <c r="J2009" s="29"/>
      <c r="K2009" s="29"/>
      <c r="L2009" s="29"/>
      <c r="M2009" s="29" t="s">
        <v>2419</v>
      </c>
      <c r="N2009" s="29" t="s">
        <v>2421</v>
      </c>
      <c r="O2009" s="29"/>
      <c r="P2009" s="29" t="s">
        <v>9168</v>
      </c>
      <c r="Q2009" t="s">
        <v>2038</v>
      </c>
      <c r="R2009" t="s">
        <v>2632</v>
      </c>
      <c r="S2009">
        <v>37</v>
      </c>
      <c r="T2009" s="43" t="str">
        <f>HYPERLINK("https://ictv.global/ictv/proposals/2021.005B.R.Arquatrovirinae.zip","2021.005B.R.Arquatrovirinae.zip")</f>
        <v>2021.005B.R.Arquatrovirinae.zip</v>
      </c>
      <c r="U2009" s="43" t="str">
        <f>HYPERLINK("https://ictv.global/taxonomy/taxondetails?taxnode_id=202213160","ictv.global=202213160")</f>
        <v>ictv.global=202213160</v>
      </c>
    </row>
    <row r="2010" spans="1:21">
      <c r="A2010">
        <v>2009</v>
      </c>
      <c r="B2010" s="29" t="s">
        <v>3682</v>
      </c>
      <c r="C2010" s="29"/>
      <c r="D2010" s="29" t="s">
        <v>3683</v>
      </c>
      <c r="E2010" s="29"/>
      <c r="F2010" s="29" t="s">
        <v>3686</v>
      </c>
      <c r="G2010" s="29"/>
      <c r="H2010" s="29" t="s">
        <v>3687</v>
      </c>
      <c r="I2010" s="29"/>
      <c r="J2010" s="29"/>
      <c r="K2010" s="29"/>
      <c r="L2010" s="29"/>
      <c r="M2010" s="29" t="s">
        <v>2419</v>
      </c>
      <c r="N2010" s="29" t="s">
        <v>2421</v>
      </c>
      <c r="O2010" s="29"/>
      <c r="P2010" s="29" t="s">
        <v>9169</v>
      </c>
      <c r="Q2010" t="s">
        <v>2038</v>
      </c>
      <c r="R2010" t="s">
        <v>2632</v>
      </c>
      <c r="S2010">
        <v>37</v>
      </c>
      <c r="T2010" s="43" t="str">
        <f>HYPERLINK("https://ictv.global/ictv/proposals/2021.005B.R.Arquatrovirinae.zip","2021.005B.R.Arquatrovirinae.zip")</f>
        <v>2021.005B.R.Arquatrovirinae.zip</v>
      </c>
      <c r="U2010" s="43" t="str">
        <f>HYPERLINK("https://ictv.global/taxonomy/taxondetails?taxnode_id=202213159","ictv.global=202213159")</f>
        <v>ictv.global=202213159</v>
      </c>
    </row>
    <row r="2011" spans="1:21">
      <c r="A2011">
        <v>2010</v>
      </c>
      <c r="B2011" s="29" t="s">
        <v>3682</v>
      </c>
      <c r="C2011" s="29"/>
      <c r="D2011" s="29" t="s">
        <v>3683</v>
      </c>
      <c r="E2011" s="29"/>
      <c r="F2011" s="29" t="s">
        <v>3686</v>
      </c>
      <c r="G2011" s="29"/>
      <c r="H2011" s="29" t="s">
        <v>3687</v>
      </c>
      <c r="I2011" s="29"/>
      <c r="J2011" s="29"/>
      <c r="K2011" s="29"/>
      <c r="L2011" s="29"/>
      <c r="M2011" s="29" t="s">
        <v>2419</v>
      </c>
      <c r="N2011" s="29" t="s">
        <v>2421</v>
      </c>
      <c r="O2011" s="29"/>
      <c r="P2011" s="29" t="s">
        <v>9170</v>
      </c>
      <c r="Q2011" t="s">
        <v>2038</v>
      </c>
      <c r="R2011" t="s">
        <v>2633</v>
      </c>
      <c r="S2011">
        <v>37</v>
      </c>
      <c r="T2011" s="43" t="str">
        <f>HYPERLINK("https://ictv.global/ictv/proposals/2021.010B.R.Binomial_names.zip","2021.010B.R.Binomial_names.zip")</f>
        <v>2021.010B.R.Binomial_names.zip</v>
      </c>
      <c r="U2011" s="43" t="str">
        <f>HYPERLINK("https://ictv.global/taxonomy/taxondetails?taxnode_id=202200727","ictv.global=202200727")</f>
        <v>ictv.global=202200727</v>
      </c>
    </row>
    <row r="2012" spans="1:21">
      <c r="A2012">
        <v>2011</v>
      </c>
      <c r="B2012" s="29" t="s">
        <v>3682</v>
      </c>
      <c r="C2012" s="29"/>
      <c r="D2012" s="29" t="s">
        <v>3683</v>
      </c>
      <c r="E2012" s="29"/>
      <c r="F2012" s="29" t="s">
        <v>3686</v>
      </c>
      <c r="G2012" s="29"/>
      <c r="H2012" s="29" t="s">
        <v>3687</v>
      </c>
      <c r="I2012" s="29"/>
      <c r="J2012" s="29"/>
      <c r="K2012" s="29"/>
      <c r="L2012" s="29"/>
      <c r="M2012" s="29" t="s">
        <v>2419</v>
      </c>
      <c r="N2012" s="29" t="s">
        <v>9171</v>
      </c>
      <c r="O2012" s="29"/>
      <c r="P2012" s="29" t="s">
        <v>9172</v>
      </c>
      <c r="Q2012" t="s">
        <v>2038</v>
      </c>
      <c r="R2012" t="s">
        <v>2632</v>
      </c>
      <c r="S2012">
        <v>37</v>
      </c>
      <c r="T2012" s="43" t="str">
        <f t="shared" ref="T2012:T2019" si="86">HYPERLINK("https://ictv.global/ictv/proposals/2021.005B.R.Arquatrovirinae.zip","2021.005B.R.Arquatrovirinae.zip")</f>
        <v>2021.005B.R.Arquatrovirinae.zip</v>
      </c>
      <c r="U2012" s="43" t="str">
        <f>HYPERLINK("https://ictv.global/taxonomy/taxondetails?taxnode_id=202213144","ictv.global=202213144")</f>
        <v>ictv.global=202213144</v>
      </c>
    </row>
    <row r="2013" spans="1:21">
      <c r="A2013">
        <v>2012</v>
      </c>
      <c r="B2013" s="29" t="s">
        <v>3682</v>
      </c>
      <c r="C2013" s="29"/>
      <c r="D2013" s="29" t="s">
        <v>3683</v>
      </c>
      <c r="E2013" s="29"/>
      <c r="F2013" s="29" t="s">
        <v>3686</v>
      </c>
      <c r="G2013" s="29"/>
      <c r="H2013" s="29" t="s">
        <v>3687</v>
      </c>
      <c r="I2013" s="29"/>
      <c r="J2013" s="29"/>
      <c r="K2013" s="29"/>
      <c r="L2013" s="29"/>
      <c r="M2013" s="29" t="s">
        <v>2419</v>
      </c>
      <c r="N2013" s="29" t="s">
        <v>9171</v>
      </c>
      <c r="O2013" s="29"/>
      <c r="P2013" s="29" t="s">
        <v>9173</v>
      </c>
      <c r="Q2013" t="s">
        <v>2038</v>
      </c>
      <c r="R2013" t="s">
        <v>2632</v>
      </c>
      <c r="S2013">
        <v>37</v>
      </c>
      <c r="T2013" s="43" t="str">
        <f t="shared" si="86"/>
        <v>2021.005B.R.Arquatrovirinae.zip</v>
      </c>
      <c r="U2013" s="43" t="str">
        <f>HYPERLINK("https://ictv.global/taxonomy/taxondetails?taxnode_id=202213143","ictv.global=202213143")</f>
        <v>ictv.global=202213143</v>
      </c>
    </row>
    <row r="2014" spans="1:21">
      <c r="A2014">
        <v>2013</v>
      </c>
      <c r="B2014" s="29" t="s">
        <v>3682</v>
      </c>
      <c r="C2014" s="29"/>
      <c r="D2014" s="29" t="s">
        <v>3683</v>
      </c>
      <c r="E2014" s="29"/>
      <c r="F2014" s="29" t="s">
        <v>3686</v>
      </c>
      <c r="G2014" s="29"/>
      <c r="H2014" s="29" t="s">
        <v>3687</v>
      </c>
      <c r="I2014" s="29"/>
      <c r="J2014" s="29"/>
      <c r="K2014" s="29"/>
      <c r="L2014" s="29"/>
      <c r="M2014" s="29" t="s">
        <v>2419</v>
      </c>
      <c r="N2014" s="29" t="s">
        <v>9171</v>
      </c>
      <c r="O2014" s="29"/>
      <c r="P2014" s="29" t="s">
        <v>9174</v>
      </c>
      <c r="Q2014" t="s">
        <v>2038</v>
      </c>
      <c r="R2014" t="s">
        <v>2632</v>
      </c>
      <c r="S2014">
        <v>37</v>
      </c>
      <c r="T2014" s="43" t="str">
        <f t="shared" si="86"/>
        <v>2021.005B.R.Arquatrovirinae.zip</v>
      </c>
      <c r="U2014" s="43" t="str">
        <f>HYPERLINK("https://ictv.global/taxonomy/taxondetails?taxnode_id=202213142","ictv.global=202213142")</f>
        <v>ictv.global=202213142</v>
      </c>
    </row>
    <row r="2015" spans="1:21">
      <c r="A2015">
        <v>2014</v>
      </c>
      <c r="B2015" s="29" t="s">
        <v>3682</v>
      </c>
      <c r="C2015" s="29"/>
      <c r="D2015" s="29" t="s">
        <v>3683</v>
      </c>
      <c r="E2015" s="29"/>
      <c r="F2015" s="29" t="s">
        <v>3686</v>
      </c>
      <c r="G2015" s="29"/>
      <c r="H2015" s="29" t="s">
        <v>3687</v>
      </c>
      <c r="I2015" s="29"/>
      <c r="J2015" s="29"/>
      <c r="K2015" s="29"/>
      <c r="L2015" s="29"/>
      <c r="M2015" s="29" t="s">
        <v>2419</v>
      </c>
      <c r="N2015" s="29" t="s">
        <v>9171</v>
      </c>
      <c r="O2015" s="29"/>
      <c r="P2015" s="29" t="s">
        <v>9175</v>
      </c>
      <c r="Q2015" t="s">
        <v>2038</v>
      </c>
      <c r="R2015" t="s">
        <v>2632</v>
      </c>
      <c r="S2015">
        <v>37</v>
      </c>
      <c r="T2015" s="43" t="str">
        <f t="shared" si="86"/>
        <v>2021.005B.R.Arquatrovirinae.zip</v>
      </c>
      <c r="U2015" s="43" t="str">
        <f>HYPERLINK("https://ictv.global/taxonomy/taxondetails?taxnode_id=202213145","ictv.global=202213145")</f>
        <v>ictv.global=202213145</v>
      </c>
    </row>
    <row r="2016" spans="1:21">
      <c r="A2016">
        <v>2015</v>
      </c>
      <c r="B2016" s="29" t="s">
        <v>3682</v>
      </c>
      <c r="C2016" s="29"/>
      <c r="D2016" s="29" t="s">
        <v>3683</v>
      </c>
      <c r="E2016" s="29"/>
      <c r="F2016" s="29" t="s">
        <v>3686</v>
      </c>
      <c r="G2016" s="29"/>
      <c r="H2016" s="29" t="s">
        <v>3687</v>
      </c>
      <c r="I2016" s="29"/>
      <c r="J2016" s="29"/>
      <c r="K2016" s="29"/>
      <c r="L2016" s="29"/>
      <c r="M2016" s="29" t="s">
        <v>2419</v>
      </c>
      <c r="N2016" s="29" t="s">
        <v>9176</v>
      </c>
      <c r="O2016" s="29"/>
      <c r="P2016" s="29" t="s">
        <v>9177</v>
      </c>
      <c r="Q2016" t="s">
        <v>2038</v>
      </c>
      <c r="R2016" t="s">
        <v>2632</v>
      </c>
      <c r="S2016">
        <v>37</v>
      </c>
      <c r="T2016" s="43" t="str">
        <f t="shared" si="86"/>
        <v>2021.005B.R.Arquatrovirinae.zip</v>
      </c>
      <c r="U2016" s="43" t="str">
        <f>HYPERLINK("https://ictv.global/taxonomy/taxondetails?taxnode_id=202213134","ictv.global=202213134")</f>
        <v>ictv.global=202213134</v>
      </c>
    </row>
    <row r="2017" spans="1:21">
      <c r="A2017">
        <v>2016</v>
      </c>
      <c r="B2017" s="29" t="s">
        <v>3682</v>
      </c>
      <c r="C2017" s="29"/>
      <c r="D2017" s="29" t="s">
        <v>3683</v>
      </c>
      <c r="E2017" s="29"/>
      <c r="F2017" s="29" t="s">
        <v>3686</v>
      </c>
      <c r="G2017" s="29"/>
      <c r="H2017" s="29" t="s">
        <v>3687</v>
      </c>
      <c r="I2017" s="29"/>
      <c r="J2017" s="29"/>
      <c r="K2017" s="29"/>
      <c r="L2017" s="29"/>
      <c r="M2017" s="29" t="s">
        <v>2419</v>
      </c>
      <c r="N2017" s="29" t="s">
        <v>9178</v>
      </c>
      <c r="O2017" s="29"/>
      <c r="P2017" s="29" t="s">
        <v>9179</v>
      </c>
      <c r="Q2017" t="s">
        <v>2038</v>
      </c>
      <c r="R2017" t="s">
        <v>2632</v>
      </c>
      <c r="S2017">
        <v>37</v>
      </c>
      <c r="T2017" s="43" t="str">
        <f t="shared" si="86"/>
        <v>2021.005B.R.Arquatrovirinae.zip</v>
      </c>
      <c r="U2017" s="43" t="str">
        <f>HYPERLINK("https://ictv.global/taxonomy/taxondetails?taxnode_id=202213136","ictv.global=202213136")</f>
        <v>ictv.global=202213136</v>
      </c>
    </row>
    <row r="2018" spans="1:21">
      <c r="A2018">
        <v>2017</v>
      </c>
      <c r="B2018" s="29" t="s">
        <v>3682</v>
      </c>
      <c r="C2018" s="29"/>
      <c r="D2018" s="29" t="s">
        <v>3683</v>
      </c>
      <c r="E2018" s="29"/>
      <c r="F2018" s="29" t="s">
        <v>3686</v>
      </c>
      <c r="G2018" s="29"/>
      <c r="H2018" s="29" t="s">
        <v>3687</v>
      </c>
      <c r="I2018" s="29"/>
      <c r="J2018" s="29"/>
      <c r="K2018" s="29"/>
      <c r="L2018" s="29"/>
      <c r="M2018" s="29" t="s">
        <v>2419</v>
      </c>
      <c r="N2018" s="29" t="s">
        <v>9178</v>
      </c>
      <c r="O2018" s="29"/>
      <c r="P2018" s="29" t="s">
        <v>9180</v>
      </c>
      <c r="Q2018" t="s">
        <v>2038</v>
      </c>
      <c r="R2018" t="s">
        <v>2632</v>
      </c>
      <c r="S2018">
        <v>37</v>
      </c>
      <c r="T2018" s="43" t="str">
        <f t="shared" si="86"/>
        <v>2021.005B.R.Arquatrovirinae.zip</v>
      </c>
      <c r="U2018" s="43" t="str">
        <f>HYPERLINK("https://ictv.global/taxonomy/taxondetails?taxnode_id=202213137","ictv.global=202213137")</f>
        <v>ictv.global=202213137</v>
      </c>
    </row>
    <row r="2019" spans="1:21">
      <c r="A2019">
        <v>2018</v>
      </c>
      <c r="B2019" s="29" t="s">
        <v>3682</v>
      </c>
      <c r="C2019" s="29"/>
      <c r="D2019" s="29" t="s">
        <v>3683</v>
      </c>
      <c r="E2019" s="29"/>
      <c r="F2019" s="29" t="s">
        <v>3686</v>
      </c>
      <c r="G2019" s="29"/>
      <c r="H2019" s="29" t="s">
        <v>3687</v>
      </c>
      <c r="I2019" s="29"/>
      <c r="J2019" s="29"/>
      <c r="K2019" s="29"/>
      <c r="L2019" s="29"/>
      <c r="M2019" s="29" t="s">
        <v>2419</v>
      </c>
      <c r="N2019" s="29" t="s">
        <v>9181</v>
      </c>
      <c r="O2019" s="29"/>
      <c r="P2019" s="29" t="s">
        <v>9182</v>
      </c>
      <c r="Q2019" t="s">
        <v>2038</v>
      </c>
      <c r="R2019" t="s">
        <v>2632</v>
      </c>
      <c r="S2019">
        <v>37</v>
      </c>
      <c r="T2019" s="43" t="str">
        <f t="shared" si="86"/>
        <v>2021.005B.R.Arquatrovirinae.zip</v>
      </c>
      <c r="U2019" s="43" t="str">
        <f>HYPERLINK("https://ictv.global/taxonomy/taxondetails?taxnode_id=202213132","ictv.global=202213132")</f>
        <v>ictv.global=202213132</v>
      </c>
    </row>
    <row r="2020" spans="1:21">
      <c r="A2020">
        <v>2019</v>
      </c>
      <c r="B2020" s="29" t="s">
        <v>3682</v>
      </c>
      <c r="C2020" s="29"/>
      <c r="D2020" s="29" t="s">
        <v>3683</v>
      </c>
      <c r="E2020" s="29"/>
      <c r="F2020" s="29" t="s">
        <v>3686</v>
      </c>
      <c r="G2020" s="29"/>
      <c r="H2020" s="29" t="s">
        <v>3687</v>
      </c>
      <c r="I2020" s="29"/>
      <c r="J2020" s="29"/>
      <c r="K2020" s="29"/>
      <c r="L2020" s="29"/>
      <c r="M2020" s="29" t="s">
        <v>9183</v>
      </c>
      <c r="N2020" s="29" t="s">
        <v>9184</v>
      </c>
      <c r="O2020" s="29"/>
      <c r="P2020" s="29" t="s">
        <v>9185</v>
      </c>
      <c r="Q2020" t="s">
        <v>2038</v>
      </c>
      <c r="R2020" t="s">
        <v>2632</v>
      </c>
      <c r="S2020">
        <v>38</v>
      </c>
      <c r="T2020" s="43" t="str">
        <f t="shared" ref="T2020:T2035" si="87">HYPERLINK("https://ictv.global/ictv/proposals/2022.010B.Azeevirinae_nsf.zip","2022.010B.Azeevirinae_nsf.zip")</f>
        <v>2022.010B.Azeevirinae_nsf.zip</v>
      </c>
      <c r="U2020" s="43" t="str">
        <f>HYPERLINK("https://ictv.global/taxonomy/taxondetails?taxnode_id=202214510","ictv.global=202214510")</f>
        <v>ictv.global=202214510</v>
      </c>
    </row>
    <row r="2021" spans="1:21">
      <c r="A2021">
        <v>2020</v>
      </c>
      <c r="B2021" s="29" t="s">
        <v>3682</v>
      </c>
      <c r="C2021" s="29"/>
      <c r="D2021" s="29" t="s">
        <v>3683</v>
      </c>
      <c r="E2021" s="29"/>
      <c r="F2021" s="29" t="s">
        <v>3686</v>
      </c>
      <c r="G2021" s="29"/>
      <c r="H2021" s="29" t="s">
        <v>3687</v>
      </c>
      <c r="I2021" s="29"/>
      <c r="J2021" s="29"/>
      <c r="K2021" s="29"/>
      <c r="L2021" s="29"/>
      <c r="M2021" s="29" t="s">
        <v>9183</v>
      </c>
      <c r="N2021" s="29" t="s">
        <v>4011</v>
      </c>
      <c r="O2021" s="29"/>
      <c r="P2021" s="29" t="s">
        <v>4754</v>
      </c>
      <c r="Q2021" t="s">
        <v>2038</v>
      </c>
      <c r="R2021" t="s">
        <v>2634</v>
      </c>
      <c r="S2021">
        <v>38</v>
      </c>
      <c r="T2021" s="43" t="str">
        <f t="shared" si="87"/>
        <v>2022.010B.Azeevirinae_nsf.zip</v>
      </c>
      <c r="U2021" s="43" t="str">
        <f>HYPERLINK("https://ictv.global/taxonomy/taxondetails?taxnode_id=202208063","ictv.global=202208063")</f>
        <v>ictv.global=202208063</v>
      </c>
    </row>
    <row r="2022" spans="1:21">
      <c r="A2022">
        <v>2021</v>
      </c>
      <c r="B2022" s="29" t="s">
        <v>3682</v>
      </c>
      <c r="C2022" s="29"/>
      <c r="D2022" s="29" t="s">
        <v>3683</v>
      </c>
      <c r="E2022" s="29"/>
      <c r="F2022" s="29" t="s">
        <v>3686</v>
      </c>
      <c r="G2022" s="29"/>
      <c r="H2022" s="29" t="s">
        <v>3687</v>
      </c>
      <c r="I2022" s="29"/>
      <c r="J2022" s="29"/>
      <c r="K2022" s="29"/>
      <c r="L2022" s="29"/>
      <c r="M2022" s="29" t="s">
        <v>9183</v>
      </c>
      <c r="N2022" s="29" t="s">
        <v>4016</v>
      </c>
      <c r="O2022" s="29"/>
      <c r="P2022" s="29" t="s">
        <v>9186</v>
      </c>
      <c r="Q2022" t="s">
        <v>2038</v>
      </c>
      <c r="R2022" t="s">
        <v>2632</v>
      </c>
      <c r="S2022">
        <v>38</v>
      </c>
      <c r="T2022" s="43" t="str">
        <f t="shared" si="87"/>
        <v>2022.010B.Azeevirinae_nsf.zip</v>
      </c>
      <c r="U2022" s="43" t="str">
        <f>HYPERLINK("https://ictv.global/taxonomy/taxondetails?taxnode_id=202214508","ictv.global=202214508")</f>
        <v>ictv.global=202214508</v>
      </c>
    </row>
    <row r="2023" spans="1:21">
      <c r="A2023">
        <v>2022</v>
      </c>
      <c r="B2023" s="29" t="s">
        <v>3682</v>
      </c>
      <c r="C2023" s="29"/>
      <c r="D2023" s="29" t="s">
        <v>3683</v>
      </c>
      <c r="E2023" s="29"/>
      <c r="F2023" s="29" t="s">
        <v>3686</v>
      </c>
      <c r="G2023" s="29"/>
      <c r="H2023" s="29" t="s">
        <v>3687</v>
      </c>
      <c r="I2023" s="29"/>
      <c r="J2023" s="29"/>
      <c r="K2023" s="29"/>
      <c r="L2023" s="29"/>
      <c r="M2023" s="29" t="s">
        <v>9183</v>
      </c>
      <c r="N2023" s="29" t="s">
        <v>4016</v>
      </c>
      <c r="O2023" s="29"/>
      <c r="P2023" s="29" t="s">
        <v>9187</v>
      </c>
      <c r="Q2023" t="s">
        <v>2038</v>
      </c>
      <c r="R2023" t="s">
        <v>2634</v>
      </c>
      <c r="S2023">
        <v>38</v>
      </c>
      <c r="T2023" s="43" t="str">
        <f t="shared" si="87"/>
        <v>2022.010B.Azeevirinae_nsf.zip</v>
      </c>
      <c r="U2023" s="43" t="str">
        <f>HYPERLINK("https://ictv.global/taxonomy/taxondetails?taxnode_id=202208065","ictv.global=202208065")</f>
        <v>ictv.global=202208065</v>
      </c>
    </row>
    <row r="2024" spans="1:21">
      <c r="A2024">
        <v>2023</v>
      </c>
      <c r="B2024" s="29" t="s">
        <v>3682</v>
      </c>
      <c r="C2024" s="29"/>
      <c r="D2024" s="29" t="s">
        <v>3683</v>
      </c>
      <c r="E2024" s="29"/>
      <c r="F2024" s="29" t="s">
        <v>3686</v>
      </c>
      <c r="G2024" s="29"/>
      <c r="H2024" s="29" t="s">
        <v>3687</v>
      </c>
      <c r="I2024" s="29"/>
      <c r="J2024" s="29"/>
      <c r="K2024" s="29"/>
      <c r="L2024" s="29"/>
      <c r="M2024" s="29" t="s">
        <v>9183</v>
      </c>
      <c r="N2024" s="29" t="s">
        <v>4016</v>
      </c>
      <c r="O2024" s="29"/>
      <c r="P2024" s="29" t="s">
        <v>9188</v>
      </c>
      <c r="Q2024" t="s">
        <v>2038</v>
      </c>
      <c r="R2024" t="s">
        <v>2632</v>
      </c>
      <c r="S2024">
        <v>38</v>
      </c>
      <c r="T2024" s="43" t="str">
        <f t="shared" si="87"/>
        <v>2022.010B.Azeevirinae_nsf.zip</v>
      </c>
      <c r="U2024" s="43" t="str">
        <f>HYPERLINK("https://ictv.global/taxonomy/taxondetails?taxnode_id=202214509","ictv.global=202214509")</f>
        <v>ictv.global=202214509</v>
      </c>
    </row>
    <row r="2025" spans="1:21">
      <c r="A2025">
        <v>2024</v>
      </c>
      <c r="B2025" s="29" t="s">
        <v>3682</v>
      </c>
      <c r="C2025" s="29"/>
      <c r="D2025" s="29" t="s">
        <v>3683</v>
      </c>
      <c r="E2025" s="29"/>
      <c r="F2025" s="29" t="s">
        <v>3686</v>
      </c>
      <c r="G2025" s="29"/>
      <c r="H2025" s="29" t="s">
        <v>3687</v>
      </c>
      <c r="I2025" s="29"/>
      <c r="J2025" s="29"/>
      <c r="K2025" s="29"/>
      <c r="L2025" s="29"/>
      <c r="M2025" s="29" t="s">
        <v>9183</v>
      </c>
      <c r="N2025" s="29" t="s">
        <v>4016</v>
      </c>
      <c r="O2025" s="29"/>
      <c r="P2025" s="29" t="s">
        <v>9189</v>
      </c>
      <c r="Q2025" t="s">
        <v>2038</v>
      </c>
      <c r="R2025" t="s">
        <v>2632</v>
      </c>
      <c r="S2025">
        <v>38</v>
      </c>
      <c r="T2025" s="43" t="str">
        <f t="shared" si="87"/>
        <v>2022.010B.Azeevirinae_nsf.zip</v>
      </c>
      <c r="U2025" s="43" t="str">
        <f>HYPERLINK("https://ictv.global/taxonomy/taxondetails?taxnode_id=202214506","ictv.global=202214506")</f>
        <v>ictv.global=202214506</v>
      </c>
    </row>
    <row r="2026" spans="1:21">
      <c r="A2026">
        <v>2025</v>
      </c>
      <c r="B2026" s="29" t="s">
        <v>3682</v>
      </c>
      <c r="C2026" s="29"/>
      <c r="D2026" s="29" t="s">
        <v>3683</v>
      </c>
      <c r="E2026" s="29"/>
      <c r="F2026" s="29" t="s">
        <v>3686</v>
      </c>
      <c r="G2026" s="29"/>
      <c r="H2026" s="29" t="s">
        <v>3687</v>
      </c>
      <c r="I2026" s="29"/>
      <c r="J2026" s="29"/>
      <c r="K2026" s="29"/>
      <c r="L2026" s="29"/>
      <c r="M2026" s="29" t="s">
        <v>9183</v>
      </c>
      <c r="N2026" s="29" t="s">
        <v>4016</v>
      </c>
      <c r="O2026" s="29"/>
      <c r="P2026" s="29" t="s">
        <v>9190</v>
      </c>
      <c r="Q2026" t="s">
        <v>2038</v>
      </c>
      <c r="R2026" t="s">
        <v>2632</v>
      </c>
      <c r="S2026">
        <v>38</v>
      </c>
      <c r="T2026" s="43" t="str">
        <f t="shared" si="87"/>
        <v>2022.010B.Azeevirinae_nsf.zip</v>
      </c>
      <c r="U2026" s="43" t="str">
        <f>HYPERLINK("https://ictv.global/taxonomy/taxondetails?taxnode_id=202214507","ictv.global=202214507")</f>
        <v>ictv.global=202214507</v>
      </c>
    </row>
    <row r="2027" spans="1:21">
      <c r="A2027">
        <v>2026</v>
      </c>
      <c r="B2027" s="29" t="s">
        <v>3682</v>
      </c>
      <c r="C2027" s="29"/>
      <c r="D2027" s="29" t="s">
        <v>3683</v>
      </c>
      <c r="E2027" s="29"/>
      <c r="F2027" s="29" t="s">
        <v>3686</v>
      </c>
      <c r="G2027" s="29"/>
      <c r="H2027" s="29" t="s">
        <v>3687</v>
      </c>
      <c r="I2027" s="29"/>
      <c r="J2027" s="29"/>
      <c r="K2027" s="29"/>
      <c r="L2027" s="29"/>
      <c r="M2027" s="29" t="s">
        <v>9183</v>
      </c>
      <c r="N2027" s="29" t="s">
        <v>4051</v>
      </c>
      <c r="O2027" s="29"/>
      <c r="P2027" s="29" t="s">
        <v>9191</v>
      </c>
      <c r="Q2027" t="s">
        <v>2038</v>
      </c>
      <c r="R2027" t="s">
        <v>2632</v>
      </c>
      <c r="S2027">
        <v>38</v>
      </c>
      <c r="T2027" s="43" t="str">
        <f t="shared" si="87"/>
        <v>2022.010B.Azeevirinae_nsf.zip</v>
      </c>
      <c r="U2027" s="43" t="str">
        <f>HYPERLINK("https://ictv.global/taxonomy/taxondetails?taxnode_id=202214503","ictv.global=202214503")</f>
        <v>ictv.global=202214503</v>
      </c>
    </row>
    <row r="2028" spans="1:21">
      <c r="A2028">
        <v>2027</v>
      </c>
      <c r="B2028" s="29" t="s">
        <v>3682</v>
      </c>
      <c r="C2028" s="29"/>
      <c r="D2028" s="29" t="s">
        <v>3683</v>
      </c>
      <c r="E2028" s="29"/>
      <c r="F2028" s="29" t="s">
        <v>3686</v>
      </c>
      <c r="G2028" s="29"/>
      <c r="H2028" s="29" t="s">
        <v>3687</v>
      </c>
      <c r="I2028" s="29"/>
      <c r="J2028" s="29"/>
      <c r="K2028" s="29"/>
      <c r="L2028" s="29"/>
      <c r="M2028" s="29" t="s">
        <v>9183</v>
      </c>
      <c r="N2028" s="29" t="s">
        <v>4051</v>
      </c>
      <c r="O2028" s="29"/>
      <c r="P2028" s="29" t="s">
        <v>9192</v>
      </c>
      <c r="Q2028" t="s">
        <v>2038</v>
      </c>
      <c r="R2028" t="s">
        <v>2632</v>
      </c>
      <c r="S2028">
        <v>38</v>
      </c>
      <c r="T2028" s="43" t="str">
        <f t="shared" si="87"/>
        <v>2022.010B.Azeevirinae_nsf.zip</v>
      </c>
      <c r="U2028" s="43" t="str">
        <f>HYPERLINK("https://ictv.global/taxonomy/taxondetails?taxnode_id=202214500","ictv.global=202214500")</f>
        <v>ictv.global=202214500</v>
      </c>
    </row>
    <row r="2029" spans="1:21">
      <c r="A2029">
        <v>2028</v>
      </c>
      <c r="B2029" s="29" t="s">
        <v>3682</v>
      </c>
      <c r="C2029" s="29"/>
      <c r="D2029" s="29" t="s">
        <v>3683</v>
      </c>
      <c r="E2029" s="29"/>
      <c r="F2029" s="29" t="s">
        <v>3686</v>
      </c>
      <c r="G2029" s="29"/>
      <c r="H2029" s="29" t="s">
        <v>3687</v>
      </c>
      <c r="I2029" s="29"/>
      <c r="J2029" s="29"/>
      <c r="K2029" s="29"/>
      <c r="L2029" s="29"/>
      <c r="M2029" s="29" t="s">
        <v>9183</v>
      </c>
      <c r="N2029" s="29" t="s">
        <v>4051</v>
      </c>
      <c r="O2029" s="29"/>
      <c r="P2029" s="29" t="s">
        <v>9193</v>
      </c>
      <c r="Q2029" t="s">
        <v>2038</v>
      </c>
      <c r="R2029" t="s">
        <v>2632</v>
      </c>
      <c r="S2029">
        <v>38</v>
      </c>
      <c r="T2029" s="43" t="str">
        <f t="shared" si="87"/>
        <v>2022.010B.Azeevirinae_nsf.zip</v>
      </c>
      <c r="U2029" s="43" t="str">
        <f>HYPERLINK("https://ictv.global/taxonomy/taxondetails?taxnode_id=202214504","ictv.global=202214504")</f>
        <v>ictv.global=202214504</v>
      </c>
    </row>
    <row r="2030" spans="1:21">
      <c r="A2030">
        <v>2029</v>
      </c>
      <c r="B2030" s="29" t="s">
        <v>3682</v>
      </c>
      <c r="C2030" s="29"/>
      <c r="D2030" s="29" t="s">
        <v>3683</v>
      </c>
      <c r="E2030" s="29"/>
      <c r="F2030" s="29" t="s">
        <v>3686</v>
      </c>
      <c r="G2030" s="29"/>
      <c r="H2030" s="29" t="s">
        <v>3687</v>
      </c>
      <c r="I2030" s="29"/>
      <c r="J2030" s="29"/>
      <c r="K2030" s="29"/>
      <c r="L2030" s="29"/>
      <c r="M2030" s="29" t="s">
        <v>9183</v>
      </c>
      <c r="N2030" s="29" t="s">
        <v>4051</v>
      </c>
      <c r="O2030" s="29"/>
      <c r="P2030" s="29" t="s">
        <v>9194</v>
      </c>
      <c r="Q2030" t="s">
        <v>2038</v>
      </c>
      <c r="R2030" t="s">
        <v>2632</v>
      </c>
      <c r="S2030">
        <v>38</v>
      </c>
      <c r="T2030" s="43" t="str">
        <f t="shared" si="87"/>
        <v>2022.010B.Azeevirinae_nsf.zip</v>
      </c>
      <c r="U2030" s="43" t="str">
        <f>HYPERLINK("https://ictv.global/taxonomy/taxondetails?taxnode_id=202214505","ictv.global=202214505")</f>
        <v>ictv.global=202214505</v>
      </c>
    </row>
    <row r="2031" spans="1:21">
      <c r="A2031">
        <v>2030</v>
      </c>
      <c r="B2031" s="29" t="s">
        <v>3682</v>
      </c>
      <c r="C2031" s="29"/>
      <c r="D2031" s="29" t="s">
        <v>3683</v>
      </c>
      <c r="E2031" s="29"/>
      <c r="F2031" s="29" t="s">
        <v>3686</v>
      </c>
      <c r="G2031" s="29"/>
      <c r="H2031" s="29" t="s">
        <v>3687</v>
      </c>
      <c r="I2031" s="29"/>
      <c r="J2031" s="29"/>
      <c r="K2031" s="29"/>
      <c r="L2031" s="29"/>
      <c r="M2031" s="29" t="s">
        <v>9183</v>
      </c>
      <c r="N2031" s="29" t="s">
        <v>4051</v>
      </c>
      <c r="O2031" s="29"/>
      <c r="P2031" s="29" t="s">
        <v>9195</v>
      </c>
      <c r="Q2031" t="s">
        <v>2038</v>
      </c>
      <c r="R2031" t="s">
        <v>2632</v>
      </c>
      <c r="S2031">
        <v>38</v>
      </c>
      <c r="T2031" s="43" t="str">
        <f t="shared" si="87"/>
        <v>2022.010B.Azeevirinae_nsf.zip</v>
      </c>
      <c r="U2031" s="43" t="str">
        <f>HYPERLINK("https://ictv.global/taxonomy/taxondetails?taxnode_id=202214498","ictv.global=202214498")</f>
        <v>ictv.global=202214498</v>
      </c>
    </row>
    <row r="2032" spans="1:21">
      <c r="A2032">
        <v>2031</v>
      </c>
      <c r="B2032" s="29" t="s">
        <v>3682</v>
      </c>
      <c r="C2032" s="29"/>
      <c r="D2032" s="29" t="s">
        <v>3683</v>
      </c>
      <c r="E2032" s="29"/>
      <c r="F2032" s="29" t="s">
        <v>3686</v>
      </c>
      <c r="G2032" s="29"/>
      <c r="H2032" s="29" t="s">
        <v>3687</v>
      </c>
      <c r="I2032" s="29"/>
      <c r="J2032" s="29"/>
      <c r="K2032" s="29"/>
      <c r="L2032" s="29"/>
      <c r="M2032" s="29" t="s">
        <v>9183</v>
      </c>
      <c r="N2032" s="29" t="s">
        <v>4051</v>
      </c>
      <c r="O2032" s="29"/>
      <c r="P2032" s="29" t="s">
        <v>9196</v>
      </c>
      <c r="Q2032" t="s">
        <v>2038</v>
      </c>
      <c r="R2032" t="s">
        <v>2632</v>
      </c>
      <c r="S2032">
        <v>38</v>
      </c>
      <c r="T2032" s="43" t="str">
        <f t="shared" si="87"/>
        <v>2022.010B.Azeevirinae_nsf.zip</v>
      </c>
      <c r="U2032" s="43" t="str">
        <f>HYPERLINK("https://ictv.global/taxonomy/taxondetails?taxnode_id=202214499","ictv.global=202214499")</f>
        <v>ictv.global=202214499</v>
      </c>
    </row>
    <row r="2033" spans="1:21">
      <c r="A2033">
        <v>2032</v>
      </c>
      <c r="B2033" s="29" t="s">
        <v>3682</v>
      </c>
      <c r="C2033" s="29"/>
      <c r="D2033" s="29" t="s">
        <v>3683</v>
      </c>
      <c r="E2033" s="29"/>
      <c r="F2033" s="29" t="s">
        <v>3686</v>
      </c>
      <c r="G2033" s="29"/>
      <c r="H2033" s="29" t="s">
        <v>3687</v>
      </c>
      <c r="I2033" s="29"/>
      <c r="J2033" s="29"/>
      <c r="K2033" s="29"/>
      <c r="L2033" s="29"/>
      <c r="M2033" s="29" t="s">
        <v>9183</v>
      </c>
      <c r="N2033" s="29" t="s">
        <v>4051</v>
      </c>
      <c r="O2033" s="29"/>
      <c r="P2033" s="29" t="s">
        <v>9197</v>
      </c>
      <c r="Q2033" t="s">
        <v>2038</v>
      </c>
      <c r="R2033" t="s">
        <v>2632</v>
      </c>
      <c r="S2033">
        <v>38</v>
      </c>
      <c r="T2033" s="43" t="str">
        <f t="shared" si="87"/>
        <v>2022.010B.Azeevirinae_nsf.zip</v>
      </c>
      <c r="U2033" s="43" t="str">
        <f>HYPERLINK("https://ictv.global/taxonomy/taxondetails?taxnode_id=202214501","ictv.global=202214501")</f>
        <v>ictv.global=202214501</v>
      </c>
    </row>
    <row r="2034" spans="1:21">
      <c r="A2034">
        <v>2033</v>
      </c>
      <c r="B2034" s="29" t="s">
        <v>3682</v>
      </c>
      <c r="C2034" s="29"/>
      <c r="D2034" s="29" t="s">
        <v>3683</v>
      </c>
      <c r="E2034" s="29"/>
      <c r="F2034" s="29" t="s">
        <v>3686</v>
      </c>
      <c r="G2034" s="29"/>
      <c r="H2034" s="29" t="s">
        <v>3687</v>
      </c>
      <c r="I2034" s="29"/>
      <c r="J2034" s="29"/>
      <c r="K2034" s="29"/>
      <c r="L2034" s="29"/>
      <c r="M2034" s="29" t="s">
        <v>9183</v>
      </c>
      <c r="N2034" s="29" t="s">
        <v>4051</v>
      </c>
      <c r="O2034" s="29"/>
      <c r="P2034" s="29" t="s">
        <v>9198</v>
      </c>
      <c r="Q2034" t="s">
        <v>2038</v>
      </c>
      <c r="R2034" t="s">
        <v>2632</v>
      </c>
      <c r="S2034">
        <v>38</v>
      </c>
      <c r="T2034" s="43" t="str">
        <f t="shared" si="87"/>
        <v>2022.010B.Azeevirinae_nsf.zip</v>
      </c>
      <c r="U2034" s="43" t="str">
        <f>HYPERLINK("https://ictv.global/taxonomy/taxondetails?taxnode_id=202214502","ictv.global=202214502")</f>
        <v>ictv.global=202214502</v>
      </c>
    </row>
    <row r="2035" spans="1:21">
      <c r="A2035">
        <v>2034</v>
      </c>
      <c r="B2035" s="29" t="s">
        <v>3682</v>
      </c>
      <c r="C2035" s="29"/>
      <c r="D2035" s="29" t="s">
        <v>3683</v>
      </c>
      <c r="E2035" s="29"/>
      <c r="F2035" s="29" t="s">
        <v>3686</v>
      </c>
      <c r="G2035" s="29"/>
      <c r="H2035" s="29" t="s">
        <v>3687</v>
      </c>
      <c r="I2035" s="29"/>
      <c r="J2035" s="29"/>
      <c r="K2035" s="29"/>
      <c r="L2035" s="29"/>
      <c r="M2035" s="29" t="s">
        <v>9183</v>
      </c>
      <c r="N2035" s="29" t="s">
        <v>4051</v>
      </c>
      <c r="O2035" s="29"/>
      <c r="P2035" s="29" t="s">
        <v>9199</v>
      </c>
      <c r="Q2035" t="s">
        <v>2038</v>
      </c>
      <c r="R2035" t="s">
        <v>2634</v>
      </c>
      <c r="S2035">
        <v>38</v>
      </c>
      <c r="T2035" s="43" t="str">
        <f t="shared" si="87"/>
        <v>2022.010B.Azeevirinae_nsf.zip</v>
      </c>
      <c r="U2035" s="43" t="str">
        <f>HYPERLINK("https://ictv.global/taxonomy/taxondetails?taxnode_id=202208061","ictv.global=202208061")</f>
        <v>ictv.global=202208061</v>
      </c>
    </row>
    <row r="2036" spans="1:21">
      <c r="A2036">
        <v>2035</v>
      </c>
      <c r="B2036" s="29" t="s">
        <v>3682</v>
      </c>
      <c r="C2036" s="29"/>
      <c r="D2036" s="29" t="s">
        <v>3683</v>
      </c>
      <c r="E2036" s="29"/>
      <c r="F2036" s="29" t="s">
        <v>3686</v>
      </c>
      <c r="G2036" s="29"/>
      <c r="H2036" s="29" t="s">
        <v>3687</v>
      </c>
      <c r="I2036" s="29"/>
      <c r="J2036" s="29"/>
      <c r="K2036" s="29"/>
      <c r="L2036" s="29"/>
      <c r="M2036" s="29" t="s">
        <v>4668</v>
      </c>
      <c r="N2036" s="29" t="s">
        <v>4669</v>
      </c>
      <c r="O2036" s="29"/>
      <c r="P2036" s="29" t="s">
        <v>9200</v>
      </c>
      <c r="Q2036" t="s">
        <v>2038</v>
      </c>
      <c r="R2036" t="s">
        <v>2633</v>
      </c>
      <c r="S2036">
        <v>37</v>
      </c>
      <c r="T2036" s="43" t="str">
        <f t="shared" ref="T2036:T2067" si="88">HYPERLINK("https://ictv.global/ictv/proposals/2021.010B.R.Binomial_names.zip","2021.010B.R.Binomial_names.zip")</f>
        <v>2021.010B.R.Binomial_names.zip</v>
      </c>
      <c r="U2036" s="43" t="str">
        <f>HYPERLINK("https://ictv.global/taxonomy/taxondetails?taxnode_id=202209559","ictv.global=202209559")</f>
        <v>ictv.global=202209559</v>
      </c>
    </row>
    <row r="2037" spans="1:21">
      <c r="A2037">
        <v>2036</v>
      </c>
      <c r="B2037" s="29" t="s">
        <v>3682</v>
      </c>
      <c r="C2037" s="29"/>
      <c r="D2037" s="29" t="s">
        <v>3683</v>
      </c>
      <c r="E2037" s="29"/>
      <c r="F2037" s="29" t="s">
        <v>3686</v>
      </c>
      <c r="G2037" s="29"/>
      <c r="H2037" s="29" t="s">
        <v>3687</v>
      </c>
      <c r="I2037" s="29"/>
      <c r="J2037" s="29"/>
      <c r="K2037" s="29"/>
      <c r="L2037" s="29"/>
      <c r="M2037" s="29" t="s">
        <v>4668</v>
      </c>
      <c r="N2037" s="29" t="s">
        <v>4669</v>
      </c>
      <c r="O2037" s="29"/>
      <c r="P2037" s="29" t="s">
        <v>9201</v>
      </c>
      <c r="Q2037" t="s">
        <v>2038</v>
      </c>
      <c r="R2037" t="s">
        <v>2633</v>
      </c>
      <c r="S2037">
        <v>37</v>
      </c>
      <c r="T2037" s="43" t="str">
        <f t="shared" si="88"/>
        <v>2021.010B.R.Binomial_names.zip</v>
      </c>
      <c r="U2037" s="43" t="str">
        <f>HYPERLINK("https://ictv.global/taxonomy/taxondetails?taxnode_id=202201195","ictv.global=202201195")</f>
        <v>ictv.global=202201195</v>
      </c>
    </row>
    <row r="2038" spans="1:21">
      <c r="A2038">
        <v>2037</v>
      </c>
      <c r="B2038" s="29" t="s">
        <v>3682</v>
      </c>
      <c r="C2038" s="29"/>
      <c r="D2038" s="29" t="s">
        <v>3683</v>
      </c>
      <c r="E2038" s="29"/>
      <c r="F2038" s="29" t="s">
        <v>3686</v>
      </c>
      <c r="G2038" s="29"/>
      <c r="H2038" s="29" t="s">
        <v>3687</v>
      </c>
      <c r="I2038" s="29"/>
      <c r="J2038" s="29"/>
      <c r="K2038" s="29"/>
      <c r="L2038" s="29"/>
      <c r="M2038" s="29" t="s">
        <v>4668</v>
      </c>
      <c r="N2038" s="29" t="s">
        <v>4669</v>
      </c>
      <c r="O2038" s="29"/>
      <c r="P2038" s="29" t="s">
        <v>9202</v>
      </c>
      <c r="Q2038" t="s">
        <v>2038</v>
      </c>
      <c r="R2038" t="s">
        <v>2633</v>
      </c>
      <c r="S2038">
        <v>37</v>
      </c>
      <c r="T2038" s="43" t="str">
        <f t="shared" si="88"/>
        <v>2021.010B.R.Binomial_names.zip</v>
      </c>
      <c r="U2038" s="43" t="str">
        <f>HYPERLINK("https://ictv.global/taxonomy/taxondetails?taxnode_id=202201198","ictv.global=202201198")</f>
        <v>ictv.global=202201198</v>
      </c>
    </row>
    <row r="2039" spans="1:21">
      <c r="A2039">
        <v>2038</v>
      </c>
      <c r="B2039" s="29" t="s">
        <v>3682</v>
      </c>
      <c r="C2039" s="29"/>
      <c r="D2039" s="29" t="s">
        <v>3683</v>
      </c>
      <c r="E2039" s="29"/>
      <c r="F2039" s="29" t="s">
        <v>3686</v>
      </c>
      <c r="G2039" s="29"/>
      <c r="H2039" s="29" t="s">
        <v>3687</v>
      </c>
      <c r="I2039" s="29"/>
      <c r="J2039" s="29"/>
      <c r="K2039" s="29"/>
      <c r="L2039" s="29"/>
      <c r="M2039" s="29" t="s">
        <v>4668</v>
      </c>
      <c r="N2039" s="29" t="s">
        <v>4669</v>
      </c>
      <c r="O2039" s="29"/>
      <c r="P2039" s="29" t="s">
        <v>9203</v>
      </c>
      <c r="Q2039" t="s">
        <v>2038</v>
      </c>
      <c r="R2039" t="s">
        <v>2633</v>
      </c>
      <c r="S2039">
        <v>37</v>
      </c>
      <c r="T2039" s="43" t="str">
        <f t="shared" si="88"/>
        <v>2021.010B.R.Binomial_names.zip</v>
      </c>
      <c r="U2039" s="43" t="str">
        <f>HYPERLINK("https://ictv.global/taxonomy/taxondetails?taxnode_id=202201200","ictv.global=202201200")</f>
        <v>ictv.global=202201200</v>
      </c>
    </row>
    <row r="2040" spans="1:21">
      <c r="A2040">
        <v>2039</v>
      </c>
      <c r="B2040" s="29" t="s">
        <v>3682</v>
      </c>
      <c r="C2040" s="29"/>
      <c r="D2040" s="29" t="s">
        <v>3683</v>
      </c>
      <c r="E2040" s="29"/>
      <c r="F2040" s="29" t="s">
        <v>3686</v>
      </c>
      <c r="G2040" s="29"/>
      <c r="H2040" s="29" t="s">
        <v>3687</v>
      </c>
      <c r="I2040" s="29"/>
      <c r="J2040" s="29"/>
      <c r="K2040" s="29"/>
      <c r="L2040" s="29"/>
      <c r="M2040" s="29" t="s">
        <v>4668</v>
      </c>
      <c r="N2040" s="29" t="s">
        <v>4669</v>
      </c>
      <c r="O2040" s="29"/>
      <c r="P2040" s="29" t="s">
        <v>9204</v>
      </c>
      <c r="Q2040" t="s">
        <v>2038</v>
      </c>
      <c r="R2040" t="s">
        <v>2633</v>
      </c>
      <c r="S2040">
        <v>37</v>
      </c>
      <c r="T2040" s="43" t="str">
        <f t="shared" si="88"/>
        <v>2021.010B.R.Binomial_names.zip</v>
      </c>
      <c r="U2040" s="43" t="str">
        <f>HYPERLINK("https://ictv.global/taxonomy/taxondetails?taxnode_id=202201203","ictv.global=202201203")</f>
        <v>ictv.global=202201203</v>
      </c>
    </row>
    <row r="2041" spans="1:21">
      <c r="A2041">
        <v>2040</v>
      </c>
      <c r="B2041" s="29" t="s">
        <v>3682</v>
      </c>
      <c r="C2041" s="29"/>
      <c r="D2041" s="29" t="s">
        <v>3683</v>
      </c>
      <c r="E2041" s="29"/>
      <c r="F2041" s="29" t="s">
        <v>3686</v>
      </c>
      <c r="G2041" s="29"/>
      <c r="H2041" s="29" t="s">
        <v>3687</v>
      </c>
      <c r="I2041" s="29"/>
      <c r="J2041" s="29"/>
      <c r="K2041" s="29"/>
      <c r="L2041" s="29"/>
      <c r="M2041" s="29" t="s">
        <v>4668</v>
      </c>
      <c r="N2041" s="29" t="s">
        <v>4669</v>
      </c>
      <c r="O2041" s="29"/>
      <c r="P2041" s="29" t="s">
        <v>9205</v>
      </c>
      <c r="Q2041" t="s">
        <v>2038</v>
      </c>
      <c r="R2041" t="s">
        <v>2633</v>
      </c>
      <c r="S2041">
        <v>37</v>
      </c>
      <c r="T2041" s="43" t="str">
        <f t="shared" si="88"/>
        <v>2021.010B.R.Binomial_names.zip</v>
      </c>
      <c r="U2041" s="43" t="str">
        <f>HYPERLINK("https://ictv.global/taxonomy/taxondetails?taxnode_id=202201209","ictv.global=202201209")</f>
        <v>ictv.global=202201209</v>
      </c>
    </row>
    <row r="2042" spans="1:21">
      <c r="A2042">
        <v>2041</v>
      </c>
      <c r="B2042" s="29" t="s">
        <v>3682</v>
      </c>
      <c r="C2042" s="29"/>
      <c r="D2042" s="29" t="s">
        <v>3683</v>
      </c>
      <c r="E2042" s="29"/>
      <c r="F2042" s="29" t="s">
        <v>3686</v>
      </c>
      <c r="G2042" s="29"/>
      <c r="H2042" s="29" t="s">
        <v>3687</v>
      </c>
      <c r="I2042" s="29"/>
      <c r="J2042" s="29"/>
      <c r="K2042" s="29"/>
      <c r="L2042" s="29"/>
      <c r="M2042" s="29" t="s">
        <v>4668</v>
      </c>
      <c r="N2042" s="29" t="s">
        <v>4669</v>
      </c>
      <c r="O2042" s="29"/>
      <c r="P2042" s="29" t="s">
        <v>9206</v>
      </c>
      <c r="Q2042" t="s">
        <v>2038</v>
      </c>
      <c r="R2042" t="s">
        <v>2633</v>
      </c>
      <c r="S2042">
        <v>37</v>
      </c>
      <c r="T2042" s="43" t="str">
        <f t="shared" si="88"/>
        <v>2021.010B.R.Binomial_names.zip</v>
      </c>
      <c r="U2042" s="43" t="str">
        <f>HYPERLINK("https://ictv.global/taxonomy/taxondetails?taxnode_id=202201217","ictv.global=202201217")</f>
        <v>ictv.global=202201217</v>
      </c>
    </row>
    <row r="2043" spans="1:21">
      <c r="A2043">
        <v>2042</v>
      </c>
      <c r="B2043" s="29" t="s">
        <v>3682</v>
      </c>
      <c r="C2043" s="29"/>
      <c r="D2043" s="29" t="s">
        <v>3683</v>
      </c>
      <c r="E2043" s="29"/>
      <c r="F2043" s="29" t="s">
        <v>3686</v>
      </c>
      <c r="G2043" s="29"/>
      <c r="H2043" s="29" t="s">
        <v>3687</v>
      </c>
      <c r="I2043" s="29"/>
      <c r="J2043" s="29"/>
      <c r="K2043" s="29"/>
      <c r="L2043" s="29"/>
      <c r="M2043" s="29" t="s">
        <v>4668</v>
      </c>
      <c r="N2043" s="29" t="s">
        <v>4669</v>
      </c>
      <c r="O2043" s="29"/>
      <c r="P2043" s="29" t="s">
        <v>9207</v>
      </c>
      <c r="Q2043" t="s">
        <v>2038</v>
      </c>
      <c r="R2043" t="s">
        <v>2633</v>
      </c>
      <c r="S2043">
        <v>37</v>
      </c>
      <c r="T2043" s="43" t="str">
        <f t="shared" si="88"/>
        <v>2021.010B.R.Binomial_names.zip</v>
      </c>
      <c r="U2043" s="43" t="str">
        <f>HYPERLINK("https://ictv.global/taxonomy/taxondetails?taxnode_id=202209557","ictv.global=202209557")</f>
        <v>ictv.global=202209557</v>
      </c>
    </row>
    <row r="2044" spans="1:21">
      <c r="A2044">
        <v>2043</v>
      </c>
      <c r="B2044" s="29" t="s">
        <v>3682</v>
      </c>
      <c r="C2044" s="29"/>
      <c r="D2044" s="29" t="s">
        <v>3683</v>
      </c>
      <c r="E2044" s="29"/>
      <c r="F2044" s="29" t="s">
        <v>3686</v>
      </c>
      <c r="G2044" s="29"/>
      <c r="H2044" s="29" t="s">
        <v>3687</v>
      </c>
      <c r="I2044" s="29"/>
      <c r="J2044" s="29"/>
      <c r="K2044" s="29"/>
      <c r="L2044" s="29"/>
      <c r="M2044" s="29" t="s">
        <v>4668</v>
      </c>
      <c r="N2044" s="29" t="s">
        <v>4669</v>
      </c>
      <c r="O2044" s="29"/>
      <c r="P2044" s="29" t="s">
        <v>9208</v>
      </c>
      <c r="Q2044" t="s">
        <v>2038</v>
      </c>
      <c r="R2044" t="s">
        <v>2633</v>
      </c>
      <c r="S2044">
        <v>37</v>
      </c>
      <c r="T2044" s="43" t="str">
        <f t="shared" si="88"/>
        <v>2021.010B.R.Binomial_names.zip</v>
      </c>
      <c r="U2044" s="43" t="str">
        <f>HYPERLINK("https://ictv.global/taxonomy/taxondetails?taxnode_id=202201214","ictv.global=202201214")</f>
        <v>ictv.global=202201214</v>
      </c>
    </row>
    <row r="2045" spans="1:21">
      <c r="A2045">
        <v>2044</v>
      </c>
      <c r="B2045" s="29" t="s">
        <v>3682</v>
      </c>
      <c r="C2045" s="29"/>
      <c r="D2045" s="29" t="s">
        <v>3683</v>
      </c>
      <c r="E2045" s="29"/>
      <c r="F2045" s="29" t="s">
        <v>3686</v>
      </c>
      <c r="G2045" s="29"/>
      <c r="H2045" s="29" t="s">
        <v>3687</v>
      </c>
      <c r="I2045" s="29"/>
      <c r="J2045" s="29"/>
      <c r="K2045" s="29"/>
      <c r="L2045" s="29"/>
      <c r="M2045" s="29" t="s">
        <v>4668</v>
      </c>
      <c r="N2045" s="29" t="s">
        <v>4669</v>
      </c>
      <c r="O2045" s="29"/>
      <c r="P2045" s="29" t="s">
        <v>9209</v>
      </c>
      <c r="Q2045" t="s">
        <v>2038</v>
      </c>
      <c r="R2045" t="s">
        <v>2633</v>
      </c>
      <c r="S2045">
        <v>37</v>
      </c>
      <c r="T2045" s="43" t="str">
        <f t="shared" si="88"/>
        <v>2021.010B.R.Binomial_names.zip</v>
      </c>
      <c r="U2045" s="43" t="str">
        <f>HYPERLINK("https://ictv.global/taxonomy/taxondetails?taxnode_id=202201220","ictv.global=202201220")</f>
        <v>ictv.global=202201220</v>
      </c>
    </row>
    <row r="2046" spans="1:21">
      <c r="A2046">
        <v>2045</v>
      </c>
      <c r="B2046" s="29" t="s">
        <v>3682</v>
      </c>
      <c r="C2046" s="29"/>
      <c r="D2046" s="29" t="s">
        <v>3683</v>
      </c>
      <c r="E2046" s="29"/>
      <c r="F2046" s="29" t="s">
        <v>3686</v>
      </c>
      <c r="G2046" s="29"/>
      <c r="H2046" s="29" t="s">
        <v>3687</v>
      </c>
      <c r="I2046" s="29"/>
      <c r="J2046" s="29"/>
      <c r="K2046" s="29"/>
      <c r="L2046" s="29"/>
      <c r="M2046" s="29" t="s">
        <v>4668</v>
      </c>
      <c r="N2046" s="29" t="s">
        <v>4669</v>
      </c>
      <c r="O2046" s="29"/>
      <c r="P2046" s="29" t="s">
        <v>9210</v>
      </c>
      <c r="Q2046" t="s">
        <v>2038</v>
      </c>
      <c r="R2046" t="s">
        <v>2633</v>
      </c>
      <c r="S2046">
        <v>37</v>
      </c>
      <c r="T2046" s="43" t="str">
        <f t="shared" si="88"/>
        <v>2021.010B.R.Binomial_names.zip</v>
      </c>
      <c r="U2046" s="43" t="str">
        <f>HYPERLINK("https://ictv.global/taxonomy/taxondetails?taxnode_id=202201221","ictv.global=202201221")</f>
        <v>ictv.global=202201221</v>
      </c>
    </row>
    <row r="2047" spans="1:21">
      <c r="A2047">
        <v>2046</v>
      </c>
      <c r="B2047" s="29" t="s">
        <v>3682</v>
      </c>
      <c r="C2047" s="29"/>
      <c r="D2047" s="29" t="s">
        <v>3683</v>
      </c>
      <c r="E2047" s="29"/>
      <c r="F2047" s="29" t="s">
        <v>3686</v>
      </c>
      <c r="G2047" s="29"/>
      <c r="H2047" s="29" t="s">
        <v>3687</v>
      </c>
      <c r="I2047" s="29"/>
      <c r="J2047" s="29"/>
      <c r="K2047" s="29"/>
      <c r="L2047" s="29"/>
      <c r="M2047" s="29" t="s">
        <v>4668</v>
      </c>
      <c r="N2047" s="29" t="s">
        <v>4669</v>
      </c>
      <c r="O2047" s="29"/>
      <c r="P2047" s="29" t="s">
        <v>9211</v>
      </c>
      <c r="Q2047" t="s">
        <v>2038</v>
      </c>
      <c r="R2047" t="s">
        <v>2633</v>
      </c>
      <c r="S2047">
        <v>37</v>
      </c>
      <c r="T2047" s="43" t="str">
        <f t="shared" si="88"/>
        <v>2021.010B.R.Binomial_names.zip</v>
      </c>
      <c r="U2047" s="43" t="str">
        <f>HYPERLINK("https://ictv.global/taxonomy/taxondetails?taxnode_id=202201222","ictv.global=202201222")</f>
        <v>ictv.global=202201222</v>
      </c>
    </row>
    <row r="2048" spans="1:21">
      <c r="A2048">
        <v>2047</v>
      </c>
      <c r="B2048" s="29" t="s">
        <v>3682</v>
      </c>
      <c r="C2048" s="29"/>
      <c r="D2048" s="29" t="s">
        <v>3683</v>
      </c>
      <c r="E2048" s="29"/>
      <c r="F2048" s="29" t="s">
        <v>3686</v>
      </c>
      <c r="G2048" s="29"/>
      <c r="H2048" s="29" t="s">
        <v>3687</v>
      </c>
      <c r="I2048" s="29"/>
      <c r="J2048" s="29"/>
      <c r="K2048" s="29"/>
      <c r="L2048" s="29"/>
      <c r="M2048" s="29" t="s">
        <v>4668</v>
      </c>
      <c r="N2048" s="29" t="s">
        <v>4669</v>
      </c>
      <c r="O2048" s="29"/>
      <c r="P2048" s="29" t="s">
        <v>9212</v>
      </c>
      <c r="Q2048" t="s">
        <v>2038</v>
      </c>
      <c r="R2048" t="s">
        <v>2633</v>
      </c>
      <c r="S2048">
        <v>37</v>
      </c>
      <c r="T2048" s="43" t="str">
        <f t="shared" si="88"/>
        <v>2021.010B.R.Binomial_names.zip</v>
      </c>
      <c r="U2048" s="43" t="str">
        <f>HYPERLINK("https://ictv.global/taxonomy/taxondetails?taxnode_id=202209560","ictv.global=202209560")</f>
        <v>ictv.global=202209560</v>
      </c>
    </row>
    <row r="2049" spans="1:21">
      <c r="A2049">
        <v>2048</v>
      </c>
      <c r="B2049" s="29" t="s">
        <v>3682</v>
      </c>
      <c r="C2049" s="29"/>
      <c r="D2049" s="29" t="s">
        <v>3683</v>
      </c>
      <c r="E2049" s="29"/>
      <c r="F2049" s="29" t="s">
        <v>3686</v>
      </c>
      <c r="G2049" s="29"/>
      <c r="H2049" s="29" t="s">
        <v>3687</v>
      </c>
      <c r="I2049" s="29"/>
      <c r="J2049" s="29"/>
      <c r="K2049" s="29"/>
      <c r="L2049" s="29"/>
      <c r="M2049" s="29" t="s">
        <v>4668</v>
      </c>
      <c r="N2049" s="29" t="s">
        <v>4669</v>
      </c>
      <c r="O2049" s="29"/>
      <c r="P2049" s="29" t="s">
        <v>9213</v>
      </c>
      <c r="Q2049" t="s">
        <v>2038</v>
      </c>
      <c r="R2049" t="s">
        <v>2633</v>
      </c>
      <c r="S2049">
        <v>37</v>
      </c>
      <c r="T2049" s="43" t="str">
        <f t="shared" si="88"/>
        <v>2021.010B.R.Binomial_names.zip</v>
      </c>
      <c r="U2049" s="43" t="str">
        <f>HYPERLINK("https://ictv.global/taxonomy/taxondetails?taxnode_id=202209558","ictv.global=202209558")</f>
        <v>ictv.global=202209558</v>
      </c>
    </row>
    <row r="2050" spans="1:21">
      <c r="A2050">
        <v>2049</v>
      </c>
      <c r="B2050" s="29" t="s">
        <v>3682</v>
      </c>
      <c r="C2050" s="29"/>
      <c r="D2050" s="29" t="s">
        <v>3683</v>
      </c>
      <c r="E2050" s="29"/>
      <c r="F2050" s="29" t="s">
        <v>3686</v>
      </c>
      <c r="G2050" s="29"/>
      <c r="H2050" s="29" t="s">
        <v>3687</v>
      </c>
      <c r="I2050" s="29"/>
      <c r="J2050" s="29"/>
      <c r="K2050" s="29"/>
      <c r="L2050" s="29"/>
      <c r="M2050" s="29" t="s">
        <v>4668</v>
      </c>
      <c r="N2050" s="29" t="s">
        <v>4669</v>
      </c>
      <c r="O2050" s="29"/>
      <c r="P2050" s="29" t="s">
        <v>9214</v>
      </c>
      <c r="Q2050" t="s">
        <v>2038</v>
      </c>
      <c r="R2050" t="s">
        <v>2633</v>
      </c>
      <c r="S2050">
        <v>37</v>
      </c>
      <c r="T2050" s="43" t="str">
        <f t="shared" si="88"/>
        <v>2021.010B.R.Binomial_names.zip</v>
      </c>
      <c r="U2050" s="43" t="str">
        <f>HYPERLINK("https://ictv.global/taxonomy/taxondetails?taxnode_id=202201224","ictv.global=202201224")</f>
        <v>ictv.global=202201224</v>
      </c>
    </row>
    <row r="2051" spans="1:21">
      <c r="A2051">
        <v>2050</v>
      </c>
      <c r="B2051" s="29" t="s">
        <v>3682</v>
      </c>
      <c r="C2051" s="29"/>
      <c r="D2051" s="29" t="s">
        <v>3683</v>
      </c>
      <c r="E2051" s="29"/>
      <c r="F2051" s="29" t="s">
        <v>3686</v>
      </c>
      <c r="G2051" s="29"/>
      <c r="H2051" s="29" t="s">
        <v>3687</v>
      </c>
      <c r="I2051" s="29"/>
      <c r="J2051" s="29"/>
      <c r="K2051" s="29"/>
      <c r="L2051" s="29"/>
      <c r="M2051" s="29" t="s">
        <v>4668</v>
      </c>
      <c r="N2051" s="29" t="s">
        <v>4669</v>
      </c>
      <c r="O2051" s="29"/>
      <c r="P2051" s="29" t="s">
        <v>9215</v>
      </c>
      <c r="Q2051" t="s">
        <v>2038</v>
      </c>
      <c r="R2051" t="s">
        <v>2633</v>
      </c>
      <c r="S2051">
        <v>37</v>
      </c>
      <c r="T2051" s="43" t="str">
        <f t="shared" si="88"/>
        <v>2021.010B.R.Binomial_names.zip</v>
      </c>
      <c r="U2051" s="43" t="str">
        <f>HYPERLINK("https://ictv.global/taxonomy/taxondetails?taxnode_id=202209555","ictv.global=202209555")</f>
        <v>ictv.global=202209555</v>
      </c>
    </row>
    <row r="2052" spans="1:21">
      <c r="A2052">
        <v>2051</v>
      </c>
      <c r="B2052" s="29" t="s">
        <v>3682</v>
      </c>
      <c r="C2052" s="29"/>
      <c r="D2052" s="29" t="s">
        <v>3683</v>
      </c>
      <c r="E2052" s="29"/>
      <c r="F2052" s="29" t="s">
        <v>3686</v>
      </c>
      <c r="G2052" s="29"/>
      <c r="H2052" s="29" t="s">
        <v>3687</v>
      </c>
      <c r="I2052" s="29"/>
      <c r="J2052" s="29"/>
      <c r="K2052" s="29"/>
      <c r="L2052" s="29"/>
      <c r="M2052" s="29" t="s">
        <v>4668</v>
      </c>
      <c r="N2052" s="29" t="s">
        <v>4669</v>
      </c>
      <c r="O2052" s="29"/>
      <c r="P2052" s="29" t="s">
        <v>9216</v>
      </c>
      <c r="Q2052" t="s">
        <v>2038</v>
      </c>
      <c r="R2052" t="s">
        <v>2633</v>
      </c>
      <c r="S2052">
        <v>37</v>
      </c>
      <c r="T2052" s="43" t="str">
        <f t="shared" si="88"/>
        <v>2021.010B.R.Binomial_names.zip</v>
      </c>
      <c r="U2052" s="43" t="str">
        <f>HYPERLINK("https://ictv.global/taxonomy/taxondetails?taxnode_id=202209556","ictv.global=202209556")</f>
        <v>ictv.global=202209556</v>
      </c>
    </row>
    <row r="2053" spans="1:21">
      <c r="A2053">
        <v>2052</v>
      </c>
      <c r="B2053" s="29" t="s">
        <v>3682</v>
      </c>
      <c r="C2053" s="29"/>
      <c r="D2053" s="29" t="s">
        <v>3683</v>
      </c>
      <c r="E2053" s="29"/>
      <c r="F2053" s="29" t="s">
        <v>3686</v>
      </c>
      <c r="G2053" s="29"/>
      <c r="H2053" s="29" t="s">
        <v>3687</v>
      </c>
      <c r="I2053" s="29"/>
      <c r="J2053" s="29"/>
      <c r="K2053" s="29"/>
      <c r="L2053" s="29"/>
      <c r="M2053" s="29" t="s">
        <v>4668</v>
      </c>
      <c r="N2053" s="29" t="s">
        <v>4669</v>
      </c>
      <c r="O2053" s="29"/>
      <c r="P2053" s="29" t="s">
        <v>9217</v>
      </c>
      <c r="Q2053" t="s">
        <v>2038</v>
      </c>
      <c r="R2053" t="s">
        <v>2633</v>
      </c>
      <c r="S2053">
        <v>37</v>
      </c>
      <c r="T2053" s="43" t="str">
        <f t="shared" si="88"/>
        <v>2021.010B.R.Binomial_names.zip</v>
      </c>
      <c r="U2053" s="43" t="str">
        <f>HYPERLINK("https://ictv.global/taxonomy/taxondetails?taxnode_id=202209554","ictv.global=202209554")</f>
        <v>ictv.global=202209554</v>
      </c>
    </row>
    <row r="2054" spans="1:21">
      <c r="A2054">
        <v>2053</v>
      </c>
      <c r="B2054" s="29" t="s">
        <v>3682</v>
      </c>
      <c r="C2054" s="29"/>
      <c r="D2054" s="29" t="s">
        <v>3683</v>
      </c>
      <c r="E2054" s="29"/>
      <c r="F2054" s="29" t="s">
        <v>3686</v>
      </c>
      <c r="G2054" s="29"/>
      <c r="H2054" s="29" t="s">
        <v>3687</v>
      </c>
      <c r="I2054" s="29"/>
      <c r="J2054" s="29"/>
      <c r="K2054" s="29"/>
      <c r="L2054" s="29"/>
      <c r="M2054" s="29" t="s">
        <v>4668</v>
      </c>
      <c r="N2054" s="29" t="s">
        <v>2116</v>
      </c>
      <c r="O2054" s="29"/>
      <c r="P2054" s="29" t="s">
        <v>9218</v>
      </c>
      <c r="Q2054" t="s">
        <v>2038</v>
      </c>
      <c r="R2054" t="s">
        <v>2633</v>
      </c>
      <c r="S2054">
        <v>37</v>
      </c>
      <c r="T2054" s="43" t="str">
        <f t="shared" si="88"/>
        <v>2021.010B.R.Binomial_names.zip</v>
      </c>
      <c r="U2054" s="43" t="str">
        <f>HYPERLINK("https://ictv.global/taxonomy/taxondetails?taxnode_id=202209565","ictv.global=202209565")</f>
        <v>ictv.global=202209565</v>
      </c>
    </row>
    <row r="2055" spans="1:21">
      <c r="A2055">
        <v>2054</v>
      </c>
      <c r="B2055" s="29" t="s">
        <v>3682</v>
      </c>
      <c r="C2055" s="29"/>
      <c r="D2055" s="29" t="s">
        <v>3683</v>
      </c>
      <c r="E2055" s="29"/>
      <c r="F2055" s="29" t="s">
        <v>3686</v>
      </c>
      <c r="G2055" s="29"/>
      <c r="H2055" s="29" t="s">
        <v>3687</v>
      </c>
      <c r="I2055" s="29"/>
      <c r="J2055" s="29"/>
      <c r="K2055" s="29"/>
      <c r="L2055" s="29"/>
      <c r="M2055" s="29" t="s">
        <v>4668</v>
      </c>
      <c r="N2055" s="29" t="s">
        <v>2116</v>
      </c>
      <c r="O2055" s="29"/>
      <c r="P2055" s="29" t="s">
        <v>9219</v>
      </c>
      <c r="Q2055" t="s">
        <v>2038</v>
      </c>
      <c r="R2055" t="s">
        <v>2633</v>
      </c>
      <c r="S2055">
        <v>37</v>
      </c>
      <c r="T2055" s="43" t="str">
        <f t="shared" si="88"/>
        <v>2021.010B.R.Binomial_names.zip</v>
      </c>
      <c r="U2055" s="43" t="str">
        <f>HYPERLINK("https://ictv.global/taxonomy/taxondetails?taxnode_id=202209564","ictv.global=202209564")</f>
        <v>ictv.global=202209564</v>
      </c>
    </row>
    <row r="2056" spans="1:21">
      <c r="A2056">
        <v>2055</v>
      </c>
      <c r="B2056" s="29" t="s">
        <v>3682</v>
      </c>
      <c r="C2056" s="29"/>
      <c r="D2056" s="29" t="s">
        <v>3683</v>
      </c>
      <c r="E2056" s="29"/>
      <c r="F2056" s="29" t="s">
        <v>3686</v>
      </c>
      <c r="G2056" s="29"/>
      <c r="H2056" s="29" t="s">
        <v>3687</v>
      </c>
      <c r="I2056" s="29"/>
      <c r="J2056" s="29"/>
      <c r="K2056" s="29"/>
      <c r="L2056" s="29"/>
      <c r="M2056" s="29" t="s">
        <v>4668</v>
      </c>
      <c r="N2056" s="29" t="s">
        <v>2116</v>
      </c>
      <c r="O2056" s="29"/>
      <c r="P2056" s="29" t="s">
        <v>9220</v>
      </c>
      <c r="Q2056" t="s">
        <v>2038</v>
      </c>
      <c r="R2056" t="s">
        <v>2633</v>
      </c>
      <c r="S2056">
        <v>37</v>
      </c>
      <c r="T2056" s="43" t="str">
        <f t="shared" si="88"/>
        <v>2021.010B.R.Binomial_names.zip</v>
      </c>
      <c r="U2056" s="43" t="str">
        <f>HYPERLINK("https://ictv.global/taxonomy/taxondetails?taxnode_id=202209571","ictv.global=202209571")</f>
        <v>ictv.global=202209571</v>
      </c>
    </row>
    <row r="2057" spans="1:21">
      <c r="A2057">
        <v>2056</v>
      </c>
      <c r="B2057" s="29" t="s">
        <v>3682</v>
      </c>
      <c r="C2057" s="29"/>
      <c r="D2057" s="29" t="s">
        <v>3683</v>
      </c>
      <c r="E2057" s="29"/>
      <c r="F2057" s="29" t="s">
        <v>3686</v>
      </c>
      <c r="G2057" s="29"/>
      <c r="H2057" s="29" t="s">
        <v>3687</v>
      </c>
      <c r="I2057" s="29"/>
      <c r="J2057" s="29"/>
      <c r="K2057" s="29"/>
      <c r="L2057" s="29"/>
      <c r="M2057" s="29" t="s">
        <v>4668</v>
      </c>
      <c r="N2057" s="29" t="s">
        <v>2116</v>
      </c>
      <c r="O2057" s="29"/>
      <c r="P2057" s="29" t="s">
        <v>9221</v>
      </c>
      <c r="Q2057" t="s">
        <v>2038</v>
      </c>
      <c r="R2057" t="s">
        <v>2633</v>
      </c>
      <c r="S2057">
        <v>37</v>
      </c>
      <c r="T2057" s="43" t="str">
        <f t="shared" si="88"/>
        <v>2021.010B.R.Binomial_names.zip</v>
      </c>
      <c r="U2057" s="43" t="str">
        <f>HYPERLINK("https://ictv.global/taxonomy/taxondetails?taxnode_id=202201216","ictv.global=202201216")</f>
        <v>ictv.global=202201216</v>
      </c>
    </row>
    <row r="2058" spans="1:21">
      <c r="A2058">
        <v>2057</v>
      </c>
      <c r="B2058" s="29" t="s">
        <v>3682</v>
      </c>
      <c r="C2058" s="29"/>
      <c r="D2058" s="29" t="s">
        <v>3683</v>
      </c>
      <c r="E2058" s="29"/>
      <c r="F2058" s="29" t="s">
        <v>3686</v>
      </c>
      <c r="G2058" s="29"/>
      <c r="H2058" s="29" t="s">
        <v>3687</v>
      </c>
      <c r="I2058" s="29"/>
      <c r="J2058" s="29"/>
      <c r="K2058" s="29"/>
      <c r="L2058" s="29"/>
      <c r="M2058" s="29" t="s">
        <v>4668</v>
      </c>
      <c r="N2058" s="29" t="s">
        <v>2116</v>
      </c>
      <c r="O2058" s="29"/>
      <c r="P2058" s="29" t="s">
        <v>9222</v>
      </c>
      <c r="Q2058" t="s">
        <v>2038</v>
      </c>
      <c r="R2058" t="s">
        <v>2633</v>
      </c>
      <c r="S2058">
        <v>37</v>
      </c>
      <c r="T2058" s="43" t="str">
        <f t="shared" si="88"/>
        <v>2021.010B.R.Binomial_names.zip</v>
      </c>
      <c r="U2058" s="43" t="str">
        <f>HYPERLINK("https://ictv.global/taxonomy/taxondetails?taxnode_id=202201218","ictv.global=202201218")</f>
        <v>ictv.global=202201218</v>
      </c>
    </row>
    <row r="2059" spans="1:21">
      <c r="A2059">
        <v>2058</v>
      </c>
      <c r="B2059" s="29" t="s">
        <v>3682</v>
      </c>
      <c r="C2059" s="29"/>
      <c r="D2059" s="29" t="s">
        <v>3683</v>
      </c>
      <c r="E2059" s="29"/>
      <c r="F2059" s="29" t="s">
        <v>3686</v>
      </c>
      <c r="G2059" s="29"/>
      <c r="H2059" s="29" t="s">
        <v>3687</v>
      </c>
      <c r="I2059" s="29"/>
      <c r="J2059" s="29"/>
      <c r="K2059" s="29"/>
      <c r="L2059" s="29"/>
      <c r="M2059" s="29" t="s">
        <v>4668</v>
      </c>
      <c r="N2059" s="29" t="s">
        <v>2116</v>
      </c>
      <c r="O2059" s="29"/>
      <c r="P2059" s="29" t="s">
        <v>9223</v>
      </c>
      <c r="Q2059" t="s">
        <v>2038</v>
      </c>
      <c r="R2059" t="s">
        <v>2633</v>
      </c>
      <c r="S2059">
        <v>37</v>
      </c>
      <c r="T2059" s="43" t="str">
        <f t="shared" si="88"/>
        <v>2021.010B.R.Binomial_names.zip</v>
      </c>
      <c r="U2059" s="43" t="str">
        <f>HYPERLINK("https://ictv.global/taxonomy/taxondetails?taxnode_id=202201211","ictv.global=202201211")</f>
        <v>ictv.global=202201211</v>
      </c>
    </row>
    <row r="2060" spans="1:21">
      <c r="A2060">
        <v>2059</v>
      </c>
      <c r="B2060" s="29" t="s">
        <v>3682</v>
      </c>
      <c r="C2060" s="29"/>
      <c r="D2060" s="29" t="s">
        <v>3683</v>
      </c>
      <c r="E2060" s="29"/>
      <c r="F2060" s="29" t="s">
        <v>3686</v>
      </c>
      <c r="G2060" s="29"/>
      <c r="H2060" s="29" t="s">
        <v>3687</v>
      </c>
      <c r="I2060" s="29"/>
      <c r="J2060" s="29"/>
      <c r="K2060" s="29"/>
      <c r="L2060" s="29"/>
      <c r="M2060" s="29" t="s">
        <v>4668</v>
      </c>
      <c r="N2060" s="29" t="s">
        <v>2116</v>
      </c>
      <c r="O2060" s="29"/>
      <c r="P2060" s="29" t="s">
        <v>9224</v>
      </c>
      <c r="Q2060" t="s">
        <v>2038</v>
      </c>
      <c r="R2060" t="s">
        <v>2633</v>
      </c>
      <c r="S2060">
        <v>37</v>
      </c>
      <c r="T2060" s="43" t="str">
        <f t="shared" si="88"/>
        <v>2021.010B.R.Binomial_names.zip</v>
      </c>
      <c r="U2060" s="43" t="str">
        <f>HYPERLINK("https://ictv.global/taxonomy/taxondetails?taxnode_id=202209568","ictv.global=202209568")</f>
        <v>ictv.global=202209568</v>
      </c>
    </row>
    <row r="2061" spans="1:21">
      <c r="A2061">
        <v>2060</v>
      </c>
      <c r="B2061" s="29" t="s">
        <v>3682</v>
      </c>
      <c r="C2061" s="29"/>
      <c r="D2061" s="29" t="s">
        <v>3683</v>
      </c>
      <c r="E2061" s="29"/>
      <c r="F2061" s="29" t="s">
        <v>3686</v>
      </c>
      <c r="G2061" s="29"/>
      <c r="H2061" s="29" t="s">
        <v>3687</v>
      </c>
      <c r="I2061" s="29"/>
      <c r="J2061" s="29"/>
      <c r="K2061" s="29"/>
      <c r="L2061" s="29"/>
      <c r="M2061" s="29" t="s">
        <v>4668</v>
      </c>
      <c r="N2061" s="29" t="s">
        <v>2116</v>
      </c>
      <c r="O2061" s="29"/>
      <c r="P2061" s="29" t="s">
        <v>9225</v>
      </c>
      <c r="Q2061" t="s">
        <v>2038</v>
      </c>
      <c r="R2061" t="s">
        <v>2633</v>
      </c>
      <c r="S2061">
        <v>37</v>
      </c>
      <c r="T2061" s="43" t="str">
        <f t="shared" si="88"/>
        <v>2021.010B.R.Binomial_names.zip</v>
      </c>
      <c r="U2061" s="43" t="str">
        <f>HYPERLINK("https://ictv.global/taxonomy/taxondetails?taxnode_id=202209567","ictv.global=202209567")</f>
        <v>ictv.global=202209567</v>
      </c>
    </row>
    <row r="2062" spans="1:21">
      <c r="A2062">
        <v>2061</v>
      </c>
      <c r="B2062" s="29" t="s">
        <v>3682</v>
      </c>
      <c r="C2062" s="29"/>
      <c r="D2062" s="29" t="s">
        <v>3683</v>
      </c>
      <c r="E2062" s="29"/>
      <c r="F2062" s="29" t="s">
        <v>3686</v>
      </c>
      <c r="G2062" s="29"/>
      <c r="H2062" s="29" t="s">
        <v>3687</v>
      </c>
      <c r="I2062" s="29"/>
      <c r="J2062" s="29"/>
      <c r="K2062" s="29"/>
      <c r="L2062" s="29"/>
      <c r="M2062" s="29" t="s">
        <v>4668</v>
      </c>
      <c r="N2062" s="29" t="s">
        <v>2116</v>
      </c>
      <c r="O2062" s="29"/>
      <c r="P2062" s="29" t="s">
        <v>9226</v>
      </c>
      <c r="Q2062" t="s">
        <v>2038</v>
      </c>
      <c r="R2062" t="s">
        <v>2633</v>
      </c>
      <c r="S2062">
        <v>37</v>
      </c>
      <c r="T2062" s="43" t="str">
        <f t="shared" si="88"/>
        <v>2021.010B.R.Binomial_names.zip</v>
      </c>
      <c r="U2062" s="43" t="str">
        <f>HYPERLINK("https://ictv.global/taxonomy/taxondetails?taxnode_id=202201219","ictv.global=202201219")</f>
        <v>ictv.global=202201219</v>
      </c>
    </row>
    <row r="2063" spans="1:21">
      <c r="A2063">
        <v>2062</v>
      </c>
      <c r="B2063" s="29" t="s">
        <v>3682</v>
      </c>
      <c r="C2063" s="29"/>
      <c r="D2063" s="29" t="s">
        <v>3683</v>
      </c>
      <c r="E2063" s="29"/>
      <c r="F2063" s="29" t="s">
        <v>3686</v>
      </c>
      <c r="G2063" s="29"/>
      <c r="H2063" s="29" t="s">
        <v>3687</v>
      </c>
      <c r="I2063" s="29"/>
      <c r="J2063" s="29"/>
      <c r="K2063" s="29"/>
      <c r="L2063" s="29"/>
      <c r="M2063" s="29" t="s">
        <v>4668</v>
      </c>
      <c r="N2063" s="29" t="s">
        <v>2116</v>
      </c>
      <c r="O2063" s="29"/>
      <c r="P2063" s="29" t="s">
        <v>9227</v>
      </c>
      <c r="Q2063" t="s">
        <v>2038</v>
      </c>
      <c r="R2063" t="s">
        <v>2633</v>
      </c>
      <c r="S2063">
        <v>37</v>
      </c>
      <c r="T2063" s="43" t="str">
        <f t="shared" si="88"/>
        <v>2021.010B.R.Binomial_names.zip</v>
      </c>
      <c r="U2063" s="43" t="str">
        <f>HYPERLINK("https://ictv.global/taxonomy/taxondetails?taxnode_id=202201223","ictv.global=202201223")</f>
        <v>ictv.global=202201223</v>
      </c>
    </row>
    <row r="2064" spans="1:21">
      <c r="A2064">
        <v>2063</v>
      </c>
      <c r="B2064" s="29" t="s">
        <v>3682</v>
      </c>
      <c r="C2064" s="29"/>
      <c r="D2064" s="29" t="s">
        <v>3683</v>
      </c>
      <c r="E2064" s="29"/>
      <c r="F2064" s="29" t="s">
        <v>3686</v>
      </c>
      <c r="G2064" s="29"/>
      <c r="H2064" s="29" t="s">
        <v>3687</v>
      </c>
      <c r="I2064" s="29"/>
      <c r="J2064" s="29"/>
      <c r="K2064" s="29"/>
      <c r="L2064" s="29"/>
      <c r="M2064" s="29" t="s">
        <v>4668</v>
      </c>
      <c r="N2064" s="29" t="s">
        <v>2116</v>
      </c>
      <c r="O2064" s="29"/>
      <c r="P2064" s="29" t="s">
        <v>9228</v>
      </c>
      <c r="Q2064" t="s">
        <v>2038</v>
      </c>
      <c r="R2064" t="s">
        <v>2633</v>
      </c>
      <c r="S2064">
        <v>37</v>
      </c>
      <c r="T2064" s="43" t="str">
        <f t="shared" si="88"/>
        <v>2021.010B.R.Binomial_names.zip</v>
      </c>
      <c r="U2064" s="43" t="str">
        <f>HYPERLINK("https://ictv.global/taxonomy/taxondetails?taxnode_id=202201196","ictv.global=202201196")</f>
        <v>ictv.global=202201196</v>
      </c>
    </row>
    <row r="2065" spans="1:21">
      <c r="A2065">
        <v>2064</v>
      </c>
      <c r="B2065" s="29" t="s">
        <v>3682</v>
      </c>
      <c r="C2065" s="29"/>
      <c r="D2065" s="29" t="s">
        <v>3683</v>
      </c>
      <c r="E2065" s="29"/>
      <c r="F2065" s="29" t="s">
        <v>3686</v>
      </c>
      <c r="G2065" s="29"/>
      <c r="H2065" s="29" t="s">
        <v>3687</v>
      </c>
      <c r="I2065" s="29"/>
      <c r="J2065" s="29"/>
      <c r="K2065" s="29"/>
      <c r="L2065" s="29"/>
      <c r="M2065" s="29" t="s">
        <v>4668</v>
      </c>
      <c r="N2065" s="29" t="s">
        <v>2116</v>
      </c>
      <c r="O2065" s="29"/>
      <c r="P2065" s="29" t="s">
        <v>9229</v>
      </c>
      <c r="Q2065" t="s">
        <v>2038</v>
      </c>
      <c r="R2065" t="s">
        <v>2633</v>
      </c>
      <c r="S2065">
        <v>37</v>
      </c>
      <c r="T2065" s="43" t="str">
        <f t="shared" si="88"/>
        <v>2021.010B.R.Binomial_names.zip</v>
      </c>
      <c r="U2065" s="43" t="str">
        <f>HYPERLINK("https://ictv.global/taxonomy/taxondetails?taxnode_id=202201197","ictv.global=202201197")</f>
        <v>ictv.global=202201197</v>
      </c>
    </row>
    <row r="2066" spans="1:21">
      <c r="A2066">
        <v>2065</v>
      </c>
      <c r="B2066" s="29" t="s">
        <v>3682</v>
      </c>
      <c r="C2066" s="29"/>
      <c r="D2066" s="29" t="s">
        <v>3683</v>
      </c>
      <c r="E2066" s="29"/>
      <c r="F2066" s="29" t="s">
        <v>3686</v>
      </c>
      <c r="G2066" s="29"/>
      <c r="H2066" s="29" t="s">
        <v>3687</v>
      </c>
      <c r="I2066" s="29"/>
      <c r="J2066" s="29"/>
      <c r="K2066" s="29"/>
      <c r="L2066" s="29"/>
      <c r="M2066" s="29" t="s">
        <v>4668</v>
      </c>
      <c r="N2066" s="29" t="s">
        <v>2116</v>
      </c>
      <c r="O2066" s="29"/>
      <c r="P2066" s="29" t="s">
        <v>9230</v>
      </c>
      <c r="Q2066" t="s">
        <v>2038</v>
      </c>
      <c r="R2066" t="s">
        <v>2633</v>
      </c>
      <c r="S2066">
        <v>37</v>
      </c>
      <c r="T2066" s="43" t="str">
        <f t="shared" si="88"/>
        <v>2021.010B.R.Binomial_names.zip</v>
      </c>
      <c r="U2066" s="43" t="str">
        <f>HYPERLINK("https://ictv.global/taxonomy/taxondetails?taxnode_id=202201199","ictv.global=202201199")</f>
        <v>ictv.global=202201199</v>
      </c>
    </row>
    <row r="2067" spans="1:21">
      <c r="A2067">
        <v>2066</v>
      </c>
      <c r="B2067" s="29" t="s">
        <v>3682</v>
      </c>
      <c r="C2067" s="29"/>
      <c r="D2067" s="29" t="s">
        <v>3683</v>
      </c>
      <c r="E2067" s="29"/>
      <c r="F2067" s="29" t="s">
        <v>3686</v>
      </c>
      <c r="G2067" s="29"/>
      <c r="H2067" s="29" t="s">
        <v>3687</v>
      </c>
      <c r="I2067" s="29"/>
      <c r="J2067" s="29"/>
      <c r="K2067" s="29"/>
      <c r="L2067" s="29"/>
      <c r="M2067" s="29" t="s">
        <v>4668</v>
      </c>
      <c r="N2067" s="29" t="s">
        <v>2116</v>
      </c>
      <c r="O2067" s="29"/>
      <c r="P2067" s="29" t="s">
        <v>9231</v>
      </c>
      <c r="Q2067" t="s">
        <v>2038</v>
      </c>
      <c r="R2067" t="s">
        <v>2633</v>
      </c>
      <c r="S2067">
        <v>37</v>
      </c>
      <c r="T2067" s="43" t="str">
        <f t="shared" si="88"/>
        <v>2021.010B.R.Binomial_names.zip</v>
      </c>
      <c r="U2067" s="43" t="str">
        <f>HYPERLINK("https://ictv.global/taxonomy/taxondetails?taxnode_id=202201201","ictv.global=202201201")</f>
        <v>ictv.global=202201201</v>
      </c>
    </row>
    <row r="2068" spans="1:21">
      <c r="A2068">
        <v>2067</v>
      </c>
      <c r="B2068" s="29" t="s">
        <v>3682</v>
      </c>
      <c r="C2068" s="29"/>
      <c r="D2068" s="29" t="s">
        <v>3683</v>
      </c>
      <c r="E2068" s="29"/>
      <c r="F2068" s="29" t="s">
        <v>3686</v>
      </c>
      <c r="G2068" s="29"/>
      <c r="H2068" s="29" t="s">
        <v>3687</v>
      </c>
      <c r="I2068" s="29"/>
      <c r="J2068" s="29"/>
      <c r="K2068" s="29"/>
      <c r="L2068" s="29"/>
      <c r="M2068" s="29" t="s">
        <v>4668</v>
      </c>
      <c r="N2068" s="29" t="s">
        <v>2116</v>
      </c>
      <c r="O2068" s="29"/>
      <c r="P2068" s="29" t="s">
        <v>9232</v>
      </c>
      <c r="Q2068" t="s">
        <v>2038</v>
      </c>
      <c r="R2068" t="s">
        <v>2633</v>
      </c>
      <c r="S2068">
        <v>37</v>
      </c>
      <c r="T2068" s="43" t="str">
        <f t="shared" ref="T2068:T2086" si="89">HYPERLINK("https://ictv.global/ictv/proposals/2021.010B.R.Binomial_names.zip","2021.010B.R.Binomial_names.zip")</f>
        <v>2021.010B.R.Binomial_names.zip</v>
      </c>
      <c r="U2068" s="43" t="str">
        <f>HYPERLINK("https://ictv.global/taxonomy/taxondetails?taxnode_id=202201202","ictv.global=202201202")</f>
        <v>ictv.global=202201202</v>
      </c>
    </row>
    <row r="2069" spans="1:21">
      <c r="A2069">
        <v>2068</v>
      </c>
      <c r="B2069" s="29" t="s">
        <v>3682</v>
      </c>
      <c r="C2069" s="29"/>
      <c r="D2069" s="29" t="s">
        <v>3683</v>
      </c>
      <c r="E2069" s="29"/>
      <c r="F2069" s="29" t="s">
        <v>3686</v>
      </c>
      <c r="G2069" s="29"/>
      <c r="H2069" s="29" t="s">
        <v>3687</v>
      </c>
      <c r="I2069" s="29"/>
      <c r="J2069" s="29"/>
      <c r="K2069" s="29"/>
      <c r="L2069" s="29"/>
      <c r="M2069" s="29" t="s">
        <v>4668</v>
      </c>
      <c r="N2069" s="29" t="s">
        <v>2116</v>
      </c>
      <c r="O2069" s="29"/>
      <c r="P2069" s="29" t="s">
        <v>9233</v>
      </c>
      <c r="Q2069" t="s">
        <v>2038</v>
      </c>
      <c r="R2069" t="s">
        <v>2633</v>
      </c>
      <c r="S2069">
        <v>37</v>
      </c>
      <c r="T2069" s="43" t="str">
        <f t="shared" si="89"/>
        <v>2021.010B.R.Binomial_names.zip</v>
      </c>
      <c r="U2069" s="43" t="str">
        <f>HYPERLINK("https://ictv.global/taxonomy/taxondetails?taxnode_id=202201204","ictv.global=202201204")</f>
        <v>ictv.global=202201204</v>
      </c>
    </row>
    <row r="2070" spans="1:21">
      <c r="A2070">
        <v>2069</v>
      </c>
      <c r="B2070" s="29" t="s">
        <v>3682</v>
      </c>
      <c r="C2070" s="29"/>
      <c r="D2070" s="29" t="s">
        <v>3683</v>
      </c>
      <c r="E2070" s="29"/>
      <c r="F2070" s="29" t="s">
        <v>3686</v>
      </c>
      <c r="G2070" s="29"/>
      <c r="H2070" s="29" t="s">
        <v>3687</v>
      </c>
      <c r="I2070" s="29"/>
      <c r="J2070" s="29"/>
      <c r="K2070" s="29"/>
      <c r="L2070" s="29"/>
      <c r="M2070" s="29" t="s">
        <v>4668</v>
      </c>
      <c r="N2070" s="29" t="s">
        <v>2116</v>
      </c>
      <c r="O2070" s="29"/>
      <c r="P2070" s="29" t="s">
        <v>9234</v>
      </c>
      <c r="Q2070" t="s">
        <v>2038</v>
      </c>
      <c r="R2070" t="s">
        <v>2633</v>
      </c>
      <c r="S2070">
        <v>37</v>
      </c>
      <c r="T2070" s="43" t="str">
        <f t="shared" si="89"/>
        <v>2021.010B.R.Binomial_names.zip</v>
      </c>
      <c r="U2070" s="43" t="str">
        <f>HYPERLINK("https://ictv.global/taxonomy/taxondetails?taxnode_id=202201205","ictv.global=202201205")</f>
        <v>ictv.global=202201205</v>
      </c>
    </row>
    <row r="2071" spans="1:21">
      <c r="A2071">
        <v>2070</v>
      </c>
      <c r="B2071" s="29" t="s">
        <v>3682</v>
      </c>
      <c r="C2071" s="29"/>
      <c r="D2071" s="29" t="s">
        <v>3683</v>
      </c>
      <c r="E2071" s="29"/>
      <c r="F2071" s="29" t="s">
        <v>3686</v>
      </c>
      <c r="G2071" s="29"/>
      <c r="H2071" s="29" t="s">
        <v>3687</v>
      </c>
      <c r="I2071" s="29"/>
      <c r="J2071" s="29"/>
      <c r="K2071" s="29"/>
      <c r="L2071" s="29"/>
      <c r="M2071" s="29" t="s">
        <v>4668</v>
      </c>
      <c r="N2071" s="29" t="s">
        <v>2116</v>
      </c>
      <c r="O2071" s="29"/>
      <c r="P2071" s="29" t="s">
        <v>9235</v>
      </c>
      <c r="Q2071" t="s">
        <v>2038</v>
      </c>
      <c r="R2071" t="s">
        <v>2633</v>
      </c>
      <c r="S2071">
        <v>37</v>
      </c>
      <c r="T2071" s="43" t="str">
        <f t="shared" si="89"/>
        <v>2021.010B.R.Binomial_names.zip</v>
      </c>
      <c r="U2071" s="43" t="str">
        <f>HYPERLINK("https://ictv.global/taxonomy/taxondetails?taxnode_id=202201206","ictv.global=202201206")</f>
        <v>ictv.global=202201206</v>
      </c>
    </row>
    <row r="2072" spans="1:21">
      <c r="A2072">
        <v>2071</v>
      </c>
      <c r="B2072" s="29" t="s">
        <v>3682</v>
      </c>
      <c r="C2072" s="29"/>
      <c r="D2072" s="29" t="s">
        <v>3683</v>
      </c>
      <c r="E2072" s="29"/>
      <c r="F2072" s="29" t="s">
        <v>3686</v>
      </c>
      <c r="G2072" s="29"/>
      <c r="H2072" s="29" t="s">
        <v>3687</v>
      </c>
      <c r="I2072" s="29"/>
      <c r="J2072" s="29"/>
      <c r="K2072" s="29"/>
      <c r="L2072" s="29"/>
      <c r="M2072" s="29" t="s">
        <v>4668</v>
      </c>
      <c r="N2072" s="29" t="s">
        <v>2116</v>
      </c>
      <c r="O2072" s="29"/>
      <c r="P2072" s="29" t="s">
        <v>9236</v>
      </c>
      <c r="Q2072" t="s">
        <v>2038</v>
      </c>
      <c r="R2072" t="s">
        <v>2633</v>
      </c>
      <c r="S2072">
        <v>37</v>
      </c>
      <c r="T2072" s="43" t="str">
        <f t="shared" si="89"/>
        <v>2021.010B.R.Binomial_names.zip</v>
      </c>
      <c r="U2072" s="43" t="str">
        <f>HYPERLINK("https://ictv.global/taxonomy/taxondetails?taxnode_id=202201207","ictv.global=202201207")</f>
        <v>ictv.global=202201207</v>
      </c>
    </row>
    <row r="2073" spans="1:21">
      <c r="A2073">
        <v>2072</v>
      </c>
      <c r="B2073" s="29" t="s">
        <v>3682</v>
      </c>
      <c r="C2073" s="29"/>
      <c r="D2073" s="29" t="s">
        <v>3683</v>
      </c>
      <c r="E2073" s="29"/>
      <c r="F2073" s="29" t="s">
        <v>3686</v>
      </c>
      <c r="G2073" s="29"/>
      <c r="H2073" s="29" t="s">
        <v>3687</v>
      </c>
      <c r="I2073" s="29"/>
      <c r="J2073" s="29"/>
      <c r="K2073" s="29"/>
      <c r="L2073" s="29"/>
      <c r="M2073" s="29" t="s">
        <v>4668</v>
      </c>
      <c r="N2073" s="29" t="s">
        <v>2116</v>
      </c>
      <c r="O2073" s="29"/>
      <c r="P2073" s="29" t="s">
        <v>9237</v>
      </c>
      <c r="Q2073" t="s">
        <v>2038</v>
      </c>
      <c r="R2073" t="s">
        <v>2633</v>
      </c>
      <c r="S2073">
        <v>37</v>
      </c>
      <c r="T2073" s="43" t="str">
        <f t="shared" si="89"/>
        <v>2021.010B.R.Binomial_names.zip</v>
      </c>
      <c r="U2073" s="43" t="str">
        <f>HYPERLINK("https://ictv.global/taxonomy/taxondetails?taxnode_id=202209563","ictv.global=202209563")</f>
        <v>ictv.global=202209563</v>
      </c>
    </row>
    <row r="2074" spans="1:21">
      <c r="A2074">
        <v>2073</v>
      </c>
      <c r="B2074" s="29" t="s">
        <v>3682</v>
      </c>
      <c r="C2074" s="29"/>
      <c r="D2074" s="29" t="s">
        <v>3683</v>
      </c>
      <c r="E2074" s="29"/>
      <c r="F2074" s="29" t="s">
        <v>3686</v>
      </c>
      <c r="G2074" s="29"/>
      <c r="H2074" s="29" t="s">
        <v>3687</v>
      </c>
      <c r="I2074" s="29"/>
      <c r="J2074" s="29"/>
      <c r="K2074" s="29"/>
      <c r="L2074" s="29"/>
      <c r="M2074" s="29" t="s">
        <v>4668</v>
      </c>
      <c r="N2074" s="29" t="s">
        <v>2116</v>
      </c>
      <c r="O2074" s="29"/>
      <c r="P2074" s="29" t="s">
        <v>9238</v>
      </c>
      <c r="Q2074" t="s">
        <v>2038</v>
      </c>
      <c r="R2074" t="s">
        <v>2633</v>
      </c>
      <c r="S2074">
        <v>37</v>
      </c>
      <c r="T2074" s="43" t="str">
        <f t="shared" si="89"/>
        <v>2021.010B.R.Binomial_names.zip</v>
      </c>
      <c r="U2074" s="43" t="str">
        <f>HYPERLINK("https://ictv.global/taxonomy/taxondetails?taxnode_id=202201208","ictv.global=202201208")</f>
        <v>ictv.global=202201208</v>
      </c>
    </row>
    <row r="2075" spans="1:21">
      <c r="A2075">
        <v>2074</v>
      </c>
      <c r="B2075" s="29" t="s">
        <v>3682</v>
      </c>
      <c r="C2075" s="29"/>
      <c r="D2075" s="29" t="s">
        <v>3683</v>
      </c>
      <c r="E2075" s="29"/>
      <c r="F2075" s="29" t="s">
        <v>3686</v>
      </c>
      <c r="G2075" s="29"/>
      <c r="H2075" s="29" t="s">
        <v>3687</v>
      </c>
      <c r="I2075" s="29"/>
      <c r="J2075" s="29"/>
      <c r="K2075" s="29"/>
      <c r="L2075" s="29"/>
      <c r="M2075" s="29" t="s">
        <v>4668</v>
      </c>
      <c r="N2075" s="29" t="s">
        <v>2116</v>
      </c>
      <c r="O2075" s="29"/>
      <c r="P2075" s="29" t="s">
        <v>9239</v>
      </c>
      <c r="Q2075" t="s">
        <v>2038</v>
      </c>
      <c r="R2075" t="s">
        <v>2633</v>
      </c>
      <c r="S2075">
        <v>37</v>
      </c>
      <c r="T2075" s="43" t="str">
        <f t="shared" si="89"/>
        <v>2021.010B.R.Binomial_names.zip</v>
      </c>
      <c r="U2075" s="43" t="str">
        <f>HYPERLINK("https://ictv.global/taxonomy/taxondetails?taxnode_id=202209566","ictv.global=202209566")</f>
        <v>ictv.global=202209566</v>
      </c>
    </row>
    <row r="2076" spans="1:21">
      <c r="A2076">
        <v>2075</v>
      </c>
      <c r="B2076" s="29" t="s">
        <v>3682</v>
      </c>
      <c r="C2076" s="29"/>
      <c r="D2076" s="29" t="s">
        <v>3683</v>
      </c>
      <c r="E2076" s="29"/>
      <c r="F2076" s="29" t="s">
        <v>3686</v>
      </c>
      <c r="G2076" s="29"/>
      <c r="H2076" s="29" t="s">
        <v>3687</v>
      </c>
      <c r="I2076" s="29"/>
      <c r="J2076" s="29"/>
      <c r="K2076" s="29"/>
      <c r="L2076" s="29"/>
      <c r="M2076" s="29" t="s">
        <v>4668</v>
      </c>
      <c r="N2076" s="29" t="s">
        <v>2116</v>
      </c>
      <c r="O2076" s="29"/>
      <c r="P2076" s="29" t="s">
        <v>9240</v>
      </c>
      <c r="Q2076" t="s">
        <v>2038</v>
      </c>
      <c r="R2076" t="s">
        <v>2633</v>
      </c>
      <c r="S2076">
        <v>37</v>
      </c>
      <c r="T2076" s="43" t="str">
        <f t="shared" si="89"/>
        <v>2021.010B.R.Binomial_names.zip</v>
      </c>
      <c r="U2076" s="43" t="str">
        <f>HYPERLINK("https://ictv.global/taxonomy/taxondetails?taxnode_id=202209572","ictv.global=202209572")</f>
        <v>ictv.global=202209572</v>
      </c>
    </row>
    <row r="2077" spans="1:21">
      <c r="A2077">
        <v>2076</v>
      </c>
      <c r="B2077" s="29" t="s">
        <v>3682</v>
      </c>
      <c r="C2077" s="29"/>
      <c r="D2077" s="29" t="s">
        <v>3683</v>
      </c>
      <c r="E2077" s="29"/>
      <c r="F2077" s="29" t="s">
        <v>3686</v>
      </c>
      <c r="G2077" s="29"/>
      <c r="H2077" s="29" t="s">
        <v>3687</v>
      </c>
      <c r="I2077" s="29"/>
      <c r="J2077" s="29"/>
      <c r="K2077" s="29"/>
      <c r="L2077" s="29"/>
      <c r="M2077" s="29" t="s">
        <v>4668</v>
      </c>
      <c r="N2077" s="29" t="s">
        <v>2116</v>
      </c>
      <c r="O2077" s="29"/>
      <c r="P2077" s="29" t="s">
        <v>9241</v>
      </c>
      <c r="Q2077" t="s">
        <v>2038</v>
      </c>
      <c r="R2077" t="s">
        <v>2633</v>
      </c>
      <c r="S2077">
        <v>37</v>
      </c>
      <c r="T2077" s="43" t="str">
        <f t="shared" si="89"/>
        <v>2021.010B.R.Binomial_names.zip</v>
      </c>
      <c r="U2077" s="43" t="str">
        <f>HYPERLINK("https://ictv.global/taxonomy/taxondetails?taxnode_id=202209574","ictv.global=202209574")</f>
        <v>ictv.global=202209574</v>
      </c>
    </row>
    <row r="2078" spans="1:21">
      <c r="A2078">
        <v>2077</v>
      </c>
      <c r="B2078" s="29" t="s">
        <v>3682</v>
      </c>
      <c r="C2078" s="29"/>
      <c r="D2078" s="29" t="s">
        <v>3683</v>
      </c>
      <c r="E2078" s="29"/>
      <c r="F2078" s="29" t="s">
        <v>3686</v>
      </c>
      <c r="G2078" s="29"/>
      <c r="H2078" s="29" t="s">
        <v>3687</v>
      </c>
      <c r="I2078" s="29"/>
      <c r="J2078" s="29"/>
      <c r="K2078" s="29"/>
      <c r="L2078" s="29"/>
      <c r="M2078" s="29" t="s">
        <v>4668</v>
      </c>
      <c r="N2078" s="29" t="s">
        <v>2116</v>
      </c>
      <c r="O2078" s="29"/>
      <c r="P2078" s="29" t="s">
        <v>9242</v>
      </c>
      <c r="Q2078" t="s">
        <v>2038</v>
      </c>
      <c r="R2078" t="s">
        <v>2633</v>
      </c>
      <c r="S2078">
        <v>37</v>
      </c>
      <c r="T2078" s="43" t="str">
        <f t="shared" si="89"/>
        <v>2021.010B.R.Binomial_names.zip</v>
      </c>
      <c r="U2078" s="43" t="str">
        <f>HYPERLINK("https://ictv.global/taxonomy/taxondetails?taxnode_id=202209562","ictv.global=202209562")</f>
        <v>ictv.global=202209562</v>
      </c>
    </row>
    <row r="2079" spans="1:21">
      <c r="A2079">
        <v>2078</v>
      </c>
      <c r="B2079" s="29" t="s">
        <v>3682</v>
      </c>
      <c r="C2079" s="29"/>
      <c r="D2079" s="29" t="s">
        <v>3683</v>
      </c>
      <c r="E2079" s="29"/>
      <c r="F2079" s="29" t="s">
        <v>3686</v>
      </c>
      <c r="G2079" s="29"/>
      <c r="H2079" s="29" t="s">
        <v>3687</v>
      </c>
      <c r="I2079" s="29"/>
      <c r="J2079" s="29"/>
      <c r="K2079" s="29"/>
      <c r="L2079" s="29"/>
      <c r="M2079" s="29" t="s">
        <v>4668</v>
      </c>
      <c r="N2079" s="29" t="s">
        <v>2116</v>
      </c>
      <c r="O2079" s="29"/>
      <c r="P2079" s="29" t="s">
        <v>9243</v>
      </c>
      <c r="Q2079" t="s">
        <v>2038</v>
      </c>
      <c r="R2079" t="s">
        <v>2633</v>
      </c>
      <c r="S2079">
        <v>37</v>
      </c>
      <c r="T2079" s="43" t="str">
        <f t="shared" si="89"/>
        <v>2021.010B.R.Binomial_names.zip</v>
      </c>
      <c r="U2079" s="43" t="str">
        <f>HYPERLINK("https://ictv.global/taxonomy/taxondetails?taxnode_id=202209569","ictv.global=202209569")</f>
        <v>ictv.global=202209569</v>
      </c>
    </row>
    <row r="2080" spans="1:21">
      <c r="A2080">
        <v>2079</v>
      </c>
      <c r="B2080" s="29" t="s">
        <v>3682</v>
      </c>
      <c r="C2080" s="29"/>
      <c r="D2080" s="29" t="s">
        <v>3683</v>
      </c>
      <c r="E2080" s="29"/>
      <c r="F2080" s="29" t="s">
        <v>3686</v>
      </c>
      <c r="G2080" s="29"/>
      <c r="H2080" s="29" t="s">
        <v>3687</v>
      </c>
      <c r="I2080" s="29"/>
      <c r="J2080" s="29"/>
      <c r="K2080" s="29"/>
      <c r="L2080" s="29"/>
      <c r="M2080" s="29" t="s">
        <v>4668</v>
      </c>
      <c r="N2080" s="29" t="s">
        <v>2116</v>
      </c>
      <c r="O2080" s="29"/>
      <c r="P2080" s="29" t="s">
        <v>9244</v>
      </c>
      <c r="Q2080" t="s">
        <v>2038</v>
      </c>
      <c r="R2080" t="s">
        <v>2633</v>
      </c>
      <c r="S2080">
        <v>37</v>
      </c>
      <c r="T2080" s="43" t="str">
        <f t="shared" si="89"/>
        <v>2021.010B.R.Binomial_names.zip</v>
      </c>
      <c r="U2080" s="43" t="str">
        <f>HYPERLINK("https://ictv.global/taxonomy/taxondetails?taxnode_id=202209561","ictv.global=202209561")</f>
        <v>ictv.global=202209561</v>
      </c>
    </row>
    <row r="2081" spans="1:21">
      <c r="A2081">
        <v>2080</v>
      </c>
      <c r="B2081" s="29" t="s">
        <v>3682</v>
      </c>
      <c r="C2081" s="29"/>
      <c r="D2081" s="29" t="s">
        <v>3683</v>
      </c>
      <c r="E2081" s="29"/>
      <c r="F2081" s="29" t="s">
        <v>3686</v>
      </c>
      <c r="G2081" s="29"/>
      <c r="H2081" s="29" t="s">
        <v>3687</v>
      </c>
      <c r="I2081" s="29"/>
      <c r="J2081" s="29"/>
      <c r="K2081" s="29"/>
      <c r="L2081" s="29"/>
      <c r="M2081" s="29" t="s">
        <v>4668</v>
      </c>
      <c r="N2081" s="29" t="s">
        <v>2116</v>
      </c>
      <c r="O2081" s="29"/>
      <c r="P2081" s="29" t="s">
        <v>9245</v>
      </c>
      <c r="Q2081" t="s">
        <v>2038</v>
      </c>
      <c r="R2081" t="s">
        <v>2633</v>
      </c>
      <c r="S2081">
        <v>37</v>
      </c>
      <c r="T2081" s="43" t="str">
        <f t="shared" si="89"/>
        <v>2021.010B.R.Binomial_names.zip</v>
      </c>
      <c r="U2081" s="43" t="str">
        <f>HYPERLINK("https://ictv.global/taxonomy/taxondetails?taxnode_id=202209570","ictv.global=202209570")</f>
        <v>ictv.global=202209570</v>
      </c>
    </row>
    <row r="2082" spans="1:21">
      <c r="A2082">
        <v>2081</v>
      </c>
      <c r="B2082" s="29" t="s">
        <v>3682</v>
      </c>
      <c r="C2082" s="29"/>
      <c r="D2082" s="29" t="s">
        <v>3683</v>
      </c>
      <c r="E2082" s="29"/>
      <c r="F2082" s="29" t="s">
        <v>3686</v>
      </c>
      <c r="G2082" s="29"/>
      <c r="H2082" s="29" t="s">
        <v>3687</v>
      </c>
      <c r="I2082" s="29"/>
      <c r="J2082" s="29"/>
      <c r="K2082" s="29"/>
      <c r="L2082" s="29"/>
      <c r="M2082" s="29" t="s">
        <v>4668</v>
      </c>
      <c r="N2082" s="29" t="s">
        <v>2116</v>
      </c>
      <c r="O2082" s="29"/>
      <c r="P2082" s="29" t="s">
        <v>9246</v>
      </c>
      <c r="Q2082" t="s">
        <v>2038</v>
      </c>
      <c r="R2082" t="s">
        <v>2633</v>
      </c>
      <c r="S2082">
        <v>37</v>
      </c>
      <c r="T2082" s="43" t="str">
        <f t="shared" si="89"/>
        <v>2021.010B.R.Binomial_names.zip</v>
      </c>
      <c r="U2082" s="43" t="str">
        <f>HYPERLINK("https://ictv.global/taxonomy/taxondetails?taxnode_id=202209573","ictv.global=202209573")</f>
        <v>ictv.global=202209573</v>
      </c>
    </row>
    <row r="2083" spans="1:21">
      <c r="A2083">
        <v>2082</v>
      </c>
      <c r="B2083" s="29" t="s">
        <v>3682</v>
      </c>
      <c r="C2083" s="29"/>
      <c r="D2083" s="29" t="s">
        <v>3683</v>
      </c>
      <c r="E2083" s="29"/>
      <c r="F2083" s="29" t="s">
        <v>3686</v>
      </c>
      <c r="G2083" s="29"/>
      <c r="H2083" s="29" t="s">
        <v>3687</v>
      </c>
      <c r="I2083" s="29"/>
      <c r="J2083" s="29"/>
      <c r="K2083" s="29"/>
      <c r="L2083" s="29"/>
      <c r="M2083" s="29" t="s">
        <v>4668</v>
      </c>
      <c r="N2083" s="29" t="s">
        <v>2116</v>
      </c>
      <c r="O2083" s="29"/>
      <c r="P2083" s="29" t="s">
        <v>9247</v>
      </c>
      <c r="Q2083" t="s">
        <v>2038</v>
      </c>
      <c r="R2083" t="s">
        <v>2633</v>
      </c>
      <c r="S2083">
        <v>37</v>
      </c>
      <c r="T2083" s="43" t="str">
        <f t="shared" si="89"/>
        <v>2021.010B.R.Binomial_names.zip</v>
      </c>
      <c r="U2083" s="43" t="str">
        <f>HYPERLINK("https://ictv.global/taxonomy/taxondetails?taxnode_id=202201225","ictv.global=202201225")</f>
        <v>ictv.global=202201225</v>
      </c>
    </row>
    <row r="2084" spans="1:21">
      <c r="A2084">
        <v>2083</v>
      </c>
      <c r="B2084" s="29" t="s">
        <v>3682</v>
      </c>
      <c r="C2084" s="29"/>
      <c r="D2084" s="29" t="s">
        <v>3683</v>
      </c>
      <c r="E2084" s="29"/>
      <c r="F2084" s="29" t="s">
        <v>3686</v>
      </c>
      <c r="G2084" s="29"/>
      <c r="H2084" s="29" t="s">
        <v>3687</v>
      </c>
      <c r="I2084" s="29"/>
      <c r="J2084" s="29"/>
      <c r="K2084" s="29"/>
      <c r="L2084" s="29"/>
      <c r="M2084" s="29" t="s">
        <v>2384</v>
      </c>
      <c r="N2084" s="29" t="s">
        <v>2385</v>
      </c>
      <c r="O2084" s="29"/>
      <c r="P2084" s="29" t="s">
        <v>9248</v>
      </c>
      <c r="Q2084" t="s">
        <v>2038</v>
      </c>
      <c r="R2084" t="s">
        <v>2633</v>
      </c>
      <c r="S2084">
        <v>37</v>
      </c>
      <c r="T2084" s="43" t="str">
        <f t="shared" si="89"/>
        <v>2021.010B.R.Binomial_names.zip</v>
      </c>
      <c r="U2084" s="43" t="str">
        <f>HYPERLINK("https://ictv.global/taxonomy/taxondetails?taxnode_id=202200735","ictv.global=202200735")</f>
        <v>ictv.global=202200735</v>
      </c>
    </row>
    <row r="2085" spans="1:21">
      <c r="A2085">
        <v>2084</v>
      </c>
      <c r="B2085" s="29" t="s">
        <v>3682</v>
      </c>
      <c r="C2085" s="29"/>
      <c r="D2085" s="29" t="s">
        <v>3683</v>
      </c>
      <c r="E2085" s="29"/>
      <c r="F2085" s="29" t="s">
        <v>3686</v>
      </c>
      <c r="G2085" s="29"/>
      <c r="H2085" s="29" t="s">
        <v>3687</v>
      </c>
      <c r="I2085" s="29"/>
      <c r="J2085" s="29"/>
      <c r="K2085" s="29"/>
      <c r="L2085" s="29"/>
      <c r="M2085" s="29" t="s">
        <v>2384</v>
      </c>
      <c r="N2085" s="29" t="s">
        <v>2385</v>
      </c>
      <c r="O2085" s="29"/>
      <c r="P2085" s="29" t="s">
        <v>9249</v>
      </c>
      <c r="Q2085" t="s">
        <v>2038</v>
      </c>
      <c r="R2085" t="s">
        <v>2633</v>
      </c>
      <c r="S2085">
        <v>37</v>
      </c>
      <c r="T2085" s="43" t="str">
        <f t="shared" si="89"/>
        <v>2021.010B.R.Binomial_names.zip</v>
      </c>
      <c r="U2085" s="43" t="str">
        <f>HYPERLINK("https://ictv.global/taxonomy/taxondetails?taxnode_id=202200736","ictv.global=202200736")</f>
        <v>ictv.global=202200736</v>
      </c>
    </row>
    <row r="2086" spans="1:21">
      <c r="A2086">
        <v>2085</v>
      </c>
      <c r="B2086" s="29" t="s">
        <v>3682</v>
      </c>
      <c r="C2086" s="29"/>
      <c r="D2086" s="29" t="s">
        <v>3683</v>
      </c>
      <c r="E2086" s="29"/>
      <c r="F2086" s="29" t="s">
        <v>3686</v>
      </c>
      <c r="G2086" s="29"/>
      <c r="H2086" s="29" t="s">
        <v>3687</v>
      </c>
      <c r="I2086" s="29"/>
      <c r="J2086" s="29"/>
      <c r="K2086" s="29"/>
      <c r="L2086" s="29"/>
      <c r="M2086" s="29" t="s">
        <v>2384</v>
      </c>
      <c r="N2086" s="29" t="s">
        <v>2385</v>
      </c>
      <c r="O2086" s="29"/>
      <c r="P2086" s="29" t="s">
        <v>9250</v>
      </c>
      <c r="Q2086" t="s">
        <v>2038</v>
      </c>
      <c r="R2086" t="s">
        <v>2633</v>
      </c>
      <c r="S2086">
        <v>37</v>
      </c>
      <c r="T2086" s="43" t="str">
        <f t="shared" si="89"/>
        <v>2021.010B.R.Binomial_names.zip</v>
      </c>
      <c r="U2086" s="43" t="str">
        <f>HYPERLINK("https://ictv.global/taxonomy/taxondetails?taxnode_id=202200737","ictv.global=202200737")</f>
        <v>ictv.global=202200737</v>
      </c>
    </row>
    <row r="2087" spans="1:21">
      <c r="A2087">
        <v>2086</v>
      </c>
      <c r="B2087" s="29" t="s">
        <v>3682</v>
      </c>
      <c r="C2087" s="29"/>
      <c r="D2087" s="29" t="s">
        <v>3683</v>
      </c>
      <c r="E2087" s="29"/>
      <c r="F2087" s="29" t="s">
        <v>3686</v>
      </c>
      <c r="G2087" s="29"/>
      <c r="H2087" s="29" t="s">
        <v>3687</v>
      </c>
      <c r="I2087" s="29"/>
      <c r="J2087" s="29"/>
      <c r="K2087" s="29"/>
      <c r="L2087" s="29"/>
      <c r="M2087" s="29" t="s">
        <v>2384</v>
      </c>
      <c r="N2087" s="29" t="s">
        <v>2385</v>
      </c>
      <c r="O2087" s="29"/>
      <c r="P2087" s="29" t="s">
        <v>9251</v>
      </c>
      <c r="Q2087" t="s">
        <v>2038</v>
      </c>
      <c r="R2087" t="s">
        <v>2632</v>
      </c>
      <c r="S2087">
        <v>37</v>
      </c>
      <c r="T2087" s="43" t="str">
        <f>HYPERLINK("https://ictv.global/ictv/proposals/2021.007B.R.Bclasvirinae.zip","2021.007B.R.Bclasvirinae.zip")</f>
        <v>2021.007B.R.Bclasvirinae.zip</v>
      </c>
      <c r="U2087" s="43" t="str">
        <f>HYPERLINK("https://ictv.global/taxonomy/taxondetails?taxnode_id=202213192","ictv.global=202213192")</f>
        <v>ictv.global=202213192</v>
      </c>
    </row>
    <row r="2088" spans="1:21">
      <c r="A2088">
        <v>2087</v>
      </c>
      <c r="B2088" s="29" t="s">
        <v>3682</v>
      </c>
      <c r="C2088" s="29"/>
      <c r="D2088" s="29" t="s">
        <v>3683</v>
      </c>
      <c r="E2088" s="29"/>
      <c r="F2088" s="29" t="s">
        <v>3686</v>
      </c>
      <c r="G2088" s="29"/>
      <c r="H2088" s="29" t="s">
        <v>3687</v>
      </c>
      <c r="I2088" s="29"/>
      <c r="J2088" s="29"/>
      <c r="K2088" s="29"/>
      <c r="L2088" s="29"/>
      <c r="M2088" s="29" t="s">
        <v>2384</v>
      </c>
      <c r="N2088" s="29" t="s">
        <v>9252</v>
      </c>
      <c r="O2088" s="29"/>
      <c r="P2088" s="29" t="s">
        <v>9253</v>
      </c>
      <c r="Q2088" t="s">
        <v>2038</v>
      </c>
      <c r="R2088" t="s">
        <v>2632</v>
      </c>
      <c r="S2088">
        <v>37</v>
      </c>
      <c r="T2088" s="43" t="str">
        <f>HYPERLINK("https://ictv.global/ictv/proposals/2021.007B.R.Bclasvirinae.zip","2021.007B.R.Bclasvirinae.zip")</f>
        <v>2021.007B.R.Bclasvirinae.zip</v>
      </c>
      <c r="U2088" s="43" t="str">
        <f>HYPERLINK("https://ictv.global/taxonomy/taxondetails?taxnode_id=202213180","ictv.global=202213180")</f>
        <v>ictv.global=202213180</v>
      </c>
    </row>
    <row r="2089" spans="1:21">
      <c r="A2089">
        <v>2088</v>
      </c>
      <c r="B2089" s="29" t="s">
        <v>3682</v>
      </c>
      <c r="C2089" s="29"/>
      <c r="D2089" s="29" t="s">
        <v>3683</v>
      </c>
      <c r="E2089" s="29"/>
      <c r="F2089" s="29" t="s">
        <v>3686</v>
      </c>
      <c r="G2089" s="29"/>
      <c r="H2089" s="29" t="s">
        <v>3687</v>
      </c>
      <c r="I2089" s="29"/>
      <c r="J2089" s="29"/>
      <c r="K2089" s="29"/>
      <c r="L2089" s="29"/>
      <c r="M2089" s="29" t="s">
        <v>2384</v>
      </c>
      <c r="N2089" s="29" t="s">
        <v>2386</v>
      </c>
      <c r="O2089" s="29"/>
      <c r="P2089" s="29" t="s">
        <v>9254</v>
      </c>
      <c r="Q2089" t="s">
        <v>2038</v>
      </c>
      <c r="R2089" t="s">
        <v>2633</v>
      </c>
      <c r="S2089">
        <v>37</v>
      </c>
      <c r="T2089" s="43" t="str">
        <f>HYPERLINK("https://ictv.global/ictv/proposals/2021.010B.R.Binomial_names.zip","2021.010B.R.Binomial_names.zip")</f>
        <v>2021.010B.R.Binomial_names.zip</v>
      </c>
      <c r="U2089" s="43" t="str">
        <f>HYPERLINK("https://ictv.global/taxonomy/taxondetails?taxnode_id=202200739","ictv.global=202200739")</f>
        <v>ictv.global=202200739</v>
      </c>
    </row>
    <row r="2090" spans="1:21">
      <c r="A2090">
        <v>2089</v>
      </c>
      <c r="B2090" s="29" t="s">
        <v>3682</v>
      </c>
      <c r="C2090" s="29"/>
      <c r="D2090" s="29" t="s">
        <v>3683</v>
      </c>
      <c r="E2090" s="29"/>
      <c r="F2090" s="29" t="s">
        <v>3686</v>
      </c>
      <c r="G2090" s="29"/>
      <c r="H2090" s="29" t="s">
        <v>3687</v>
      </c>
      <c r="I2090" s="29"/>
      <c r="J2090" s="29"/>
      <c r="K2090" s="29"/>
      <c r="L2090" s="29"/>
      <c r="M2090" s="29" t="s">
        <v>2384</v>
      </c>
      <c r="N2090" s="29" t="s">
        <v>2386</v>
      </c>
      <c r="O2090" s="29"/>
      <c r="P2090" s="29" t="s">
        <v>9255</v>
      </c>
      <c r="Q2090" t="s">
        <v>2038</v>
      </c>
      <c r="R2090" t="s">
        <v>2633</v>
      </c>
      <c r="S2090">
        <v>37</v>
      </c>
      <c r="T2090" s="43" t="str">
        <f>HYPERLINK("https://ictv.global/ictv/proposals/2021.010B.R.Binomial_names.zip","2021.010B.R.Binomial_names.zip")</f>
        <v>2021.010B.R.Binomial_names.zip</v>
      </c>
      <c r="U2090" s="43" t="str">
        <f>HYPERLINK("https://ictv.global/taxonomy/taxondetails?taxnode_id=202200740","ictv.global=202200740")</f>
        <v>ictv.global=202200740</v>
      </c>
    </row>
    <row r="2091" spans="1:21">
      <c r="A2091">
        <v>2090</v>
      </c>
      <c r="B2091" s="29" t="s">
        <v>3682</v>
      </c>
      <c r="C2091" s="29"/>
      <c r="D2091" s="29" t="s">
        <v>3683</v>
      </c>
      <c r="E2091" s="29"/>
      <c r="F2091" s="29" t="s">
        <v>3686</v>
      </c>
      <c r="G2091" s="29"/>
      <c r="H2091" s="29" t="s">
        <v>3687</v>
      </c>
      <c r="I2091" s="29"/>
      <c r="J2091" s="29"/>
      <c r="K2091" s="29"/>
      <c r="L2091" s="29"/>
      <c r="M2091" s="29" t="s">
        <v>2384</v>
      </c>
      <c r="N2091" s="29" t="s">
        <v>2386</v>
      </c>
      <c r="O2091" s="29"/>
      <c r="P2091" s="29" t="s">
        <v>9256</v>
      </c>
      <c r="Q2091" t="s">
        <v>2038</v>
      </c>
      <c r="R2091" t="s">
        <v>2633</v>
      </c>
      <c r="S2091">
        <v>37</v>
      </c>
      <c r="T2091" s="43" t="str">
        <f>HYPERLINK("https://ictv.global/ictv/proposals/2021.010B.R.Binomial_names.zip","2021.010B.R.Binomial_names.zip")</f>
        <v>2021.010B.R.Binomial_names.zip</v>
      </c>
      <c r="U2091" s="43" t="str">
        <f>HYPERLINK("https://ictv.global/taxonomy/taxondetails?taxnode_id=202200741","ictv.global=202200741")</f>
        <v>ictv.global=202200741</v>
      </c>
    </row>
    <row r="2092" spans="1:21">
      <c r="A2092">
        <v>2091</v>
      </c>
      <c r="B2092" s="29" t="s">
        <v>3682</v>
      </c>
      <c r="C2092" s="29"/>
      <c r="D2092" s="29" t="s">
        <v>3683</v>
      </c>
      <c r="E2092" s="29"/>
      <c r="F2092" s="29" t="s">
        <v>3686</v>
      </c>
      <c r="G2092" s="29"/>
      <c r="H2092" s="29" t="s">
        <v>3687</v>
      </c>
      <c r="I2092" s="29"/>
      <c r="J2092" s="29"/>
      <c r="K2092" s="29"/>
      <c r="L2092" s="29"/>
      <c r="M2092" s="29" t="s">
        <v>2384</v>
      </c>
      <c r="N2092" s="29" t="s">
        <v>2386</v>
      </c>
      <c r="O2092" s="29"/>
      <c r="P2092" s="29" t="s">
        <v>9257</v>
      </c>
      <c r="Q2092" t="s">
        <v>2038</v>
      </c>
      <c r="R2092" t="s">
        <v>2633</v>
      </c>
      <c r="S2092">
        <v>37</v>
      </c>
      <c r="T2092" s="43" t="str">
        <f>HYPERLINK("https://ictv.global/ictv/proposals/2021.010B.R.Binomial_names.zip","2021.010B.R.Binomial_names.zip")</f>
        <v>2021.010B.R.Binomial_names.zip</v>
      </c>
      <c r="U2092" s="43" t="str">
        <f>HYPERLINK("https://ictv.global/taxonomy/taxondetails?taxnode_id=202200742","ictv.global=202200742")</f>
        <v>ictv.global=202200742</v>
      </c>
    </row>
    <row r="2093" spans="1:21">
      <c r="A2093">
        <v>2092</v>
      </c>
      <c r="B2093" s="29" t="s">
        <v>3682</v>
      </c>
      <c r="C2093" s="29"/>
      <c r="D2093" s="29" t="s">
        <v>3683</v>
      </c>
      <c r="E2093" s="29"/>
      <c r="F2093" s="29" t="s">
        <v>3686</v>
      </c>
      <c r="G2093" s="29"/>
      <c r="H2093" s="29" t="s">
        <v>3687</v>
      </c>
      <c r="I2093" s="29"/>
      <c r="J2093" s="29"/>
      <c r="K2093" s="29"/>
      <c r="L2093" s="29"/>
      <c r="M2093" s="29" t="s">
        <v>2384</v>
      </c>
      <c r="N2093" s="29" t="s">
        <v>2386</v>
      </c>
      <c r="O2093" s="29"/>
      <c r="P2093" s="29" t="s">
        <v>9258</v>
      </c>
      <c r="Q2093" t="s">
        <v>2038</v>
      </c>
      <c r="R2093" t="s">
        <v>2633</v>
      </c>
      <c r="S2093">
        <v>37</v>
      </c>
      <c r="T2093" s="43" t="str">
        <f>HYPERLINK("https://ictv.global/ictv/proposals/2021.010B.R.Binomial_names.zip","2021.010B.R.Binomial_names.zip")</f>
        <v>2021.010B.R.Binomial_names.zip</v>
      </c>
      <c r="U2093" s="43" t="str">
        <f>HYPERLINK("https://ictv.global/taxonomy/taxondetails?taxnode_id=202200743","ictv.global=202200743")</f>
        <v>ictv.global=202200743</v>
      </c>
    </row>
    <row r="2094" spans="1:21">
      <c r="A2094">
        <v>2093</v>
      </c>
      <c r="B2094" s="29" t="s">
        <v>3682</v>
      </c>
      <c r="C2094" s="29"/>
      <c r="D2094" s="29" t="s">
        <v>3683</v>
      </c>
      <c r="E2094" s="29"/>
      <c r="F2094" s="29" t="s">
        <v>3686</v>
      </c>
      <c r="G2094" s="29"/>
      <c r="H2094" s="29" t="s">
        <v>3687</v>
      </c>
      <c r="I2094" s="29"/>
      <c r="J2094" s="29"/>
      <c r="K2094" s="29"/>
      <c r="L2094" s="29"/>
      <c r="M2094" s="29" t="s">
        <v>2384</v>
      </c>
      <c r="N2094" s="29" t="s">
        <v>2386</v>
      </c>
      <c r="O2094" s="29"/>
      <c r="P2094" s="29" t="s">
        <v>9259</v>
      </c>
      <c r="Q2094" t="s">
        <v>2038</v>
      </c>
      <c r="R2094" t="s">
        <v>2632</v>
      </c>
      <c r="S2094">
        <v>37</v>
      </c>
      <c r="T2094" s="43" t="str">
        <f>HYPERLINK("https://ictv.global/ictv/proposals/2021.007B.R.Bclasvirinae.zip","2021.007B.R.Bclasvirinae.zip")</f>
        <v>2021.007B.R.Bclasvirinae.zip</v>
      </c>
      <c r="U2094" s="43" t="str">
        <f>HYPERLINK("https://ictv.global/taxonomy/taxondetails?taxnode_id=202213197","ictv.global=202213197")</f>
        <v>ictv.global=202213197</v>
      </c>
    </row>
    <row r="2095" spans="1:21">
      <c r="A2095">
        <v>2094</v>
      </c>
      <c r="B2095" s="29" t="s">
        <v>3682</v>
      </c>
      <c r="C2095" s="29"/>
      <c r="D2095" s="29" t="s">
        <v>3683</v>
      </c>
      <c r="E2095" s="29"/>
      <c r="F2095" s="29" t="s">
        <v>3686</v>
      </c>
      <c r="G2095" s="29"/>
      <c r="H2095" s="29" t="s">
        <v>3687</v>
      </c>
      <c r="I2095" s="29"/>
      <c r="J2095" s="29"/>
      <c r="K2095" s="29"/>
      <c r="L2095" s="29"/>
      <c r="M2095" s="29" t="s">
        <v>2384</v>
      </c>
      <c r="N2095" s="29" t="s">
        <v>2386</v>
      </c>
      <c r="O2095" s="29"/>
      <c r="P2095" s="29" t="s">
        <v>9260</v>
      </c>
      <c r="Q2095" t="s">
        <v>2038</v>
      </c>
      <c r="R2095" t="s">
        <v>2632</v>
      </c>
      <c r="S2095">
        <v>37</v>
      </c>
      <c r="T2095" s="43" t="str">
        <f>HYPERLINK("https://ictv.global/ictv/proposals/2021.007B.R.Bclasvirinae.zip","2021.007B.R.Bclasvirinae.zip")</f>
        <v>2021.007B.R.Bclasvirinae.zip</v>
      </c>
      <c r="U2095" s="43" t="str">
        <f>HYPERLINK("https://ictv.global/taxonomy/taxondetails?taxnode_id=202213196","ictv.global=202213196")</f>
        <v>ictv.global=202213196</v>
      </c>
    </row>
    <row r="2096" spans="1:21">
      <c r="A2096">
        <v>2095</v>
      </c>
      <c r="B2096" s="29" t="s">
        <v>3682</v>
      </c>
      <c r="C2096" s="29"/>
      <c r="D2096" s="29" t="s">
        <v>3683</v>
      </c>
      <c r="E2096" s="29"/>
      <c r="F2096" s="29" t="s">
        <v>3686</v>
      </c>
      <c r="G2096" s="29"/>
      <c r="H2096" s="29" t="s">
        <v>3687</v>
      </c>
      <c r="I2096" s="29"/>
      <c r="J2096" s="29"/>
      <c r="K2096" s="29"/>
      <c r="L2096" s="29"/>
      <c r="M2096" s="29" t="s">
        <v>2384</v>
      </c>
      <c r="N2096" s="29" t="s">
        <v>2386</v>
      </c>
      <c r="O2096" s="29"/>
      <c r="P2096" s="29" t="s">
        <v>9261</v>
      </c>
      <c r="Q2096" t="s">
        <v>2038</v>
      </c>
      <c r="R2096" t="s">
        <v>2633</v>
      </c>
      <c r="S2096">
        <v>37</v>
      </c>
      <c r="T2096" s="43" t="str">
        <f>HYPERLINK("https://ictv.global/ictv/proposals/2021.010B.R.Binomial_names.zip","2021.010B.R.Binomial_names.zip")</f>
        <v>2021.010B.R.Binomial_names.zip</v>
      </c>
      <c r="U2096" s="43" t="str">
        <f>HYPERLINK("https://ictv.global/taxonomy/taxondetails?taxnode_id=202200744","ictv.global=202200744")</f>
        <v>ictv.global=202200744</v>
      </c>
    </row>
    <row r="2097" spans="1:21">
      <c r="A2097">
        <v>2096</v>
      </c>
      <c r="B2097" s="29" t="s">
        <v>3682</v>
      </c>
      <c r="C2097" s="29"/>
      <c r="D2097" s="29" t="s">
        <v>3683</v>
      </c>
      <c r="E2097" s="29"/>
      <c r="F2097" s="29" t="s">
        <v>3686</v>
      </c>
      <c r="G2097" s="29"/>
      <c r="H2097" s="29" t="s">
        <v>3687</v>
      </c>
      <c r="I2097" s="29"/>
      <c r="J2097" s="29"/>
      <c r="K2097" s="29"/>
      <c r="L2097" s="29"/>
      <c r="M2097" s="29" t="s">
        <v>2384</v>
      </c>
      <c r="N2097" s="29" t="s">
        <v>2386</v>
      </c>
      <c r="O2097" s="29"/>
      <c r="P2097" s="29" t="s">
        <v>9262</v>
      </c>
      <c r="Q2097" t="s">
        <v>2038</v>
      </c>
      <c r="R2097" t="s">
        <v>2633</v>
      </c>
      <c r="S2097">
        <v>37</v>
      </c>
      <c r="T2097" s="43" t="str">
        <f>HYPERLINK("https://ictv.global/ictv/proposals/2021.010B.R.Binomial_names.zip","2021.010B.R.Binomial_names.zip")</f>
        <v>2021.010B.R.Binomial_names.zip</v>
      </c>
      <c r="U2097" s="43" t="str">
        <f>HYPERLINK("https://ictv.global/taxonomy/taxondetails?taxnode_id=202200745","ictv.global=202200745")</f>
        <v>ictv.global=202200745</v>
      </c>
    </row>
    <row r="2098" spans="1:21">
      <c r="A2098">
        <v>2097</v>
      </c>
      <c r="B2098" s="29" t="s">
        <v>3682</v>
      </c>
      <c r="C2098" s="29"/>
      <c r="D2098" s="29" t="s">
        <v>3683</v>
      </c>
      <c r="E2098" s="29"/>
      <c r="F2098" s="29" t="s">
        <v>3686</v>
      </c>
      <c r="G2098" s="29"/>
      <c r="H2098" s="29" t="s">
        <v>3687</v>
      </c>
      <c r="I2098" s="29"/>
      <c r="J2098" s="29"/>
      <c r="K2098" s="29"/>
      <c r="L2098" s="29"/>
      <c r="M2098" s="29" t="s">
        <v>2384</v>
      </c>
      <c r="N2098" s="29" t="s">
        <v>2386</v>
      </c>
      <c r="O2098" s="29"/>
      <c r="P2098" s="29" t="s">
        <v>9263</v>
      </c>
      <c r="Q2098" t="s">
        <v>2038</v>
      </c>
      <c r="R2098" t="s">
        <v>2633</v>
      </c>
      <c r="S2098">
        <v>37</v>
      </c>
      <c r="T2098" s="43" t="str">
        <f>HYPERLINK("https://ictv.global/ictv/proposals/2021.010B.R.Binomial_names.zip","2021.010B.R.Binomial_names.zip")</f>
        <v>2021.010B.R.Binomial_names.zip</v>
      </c>
      <c r="U2098" s="43" t="str">
        <f>HYPERLINK("https://ictv.global/taxonomy/taxondetails?taxnode_id=202200746","ictv.global=202200746")</f>
        <v>ictv.global=202200746</v>
      </c>
    </row>
    <row r="2099" spans="1:21">
      <c r="A2099">
        <v>2098</v>
      </c>
      <c r="B2099" s="29" t="s">
        <v>3682</v>
      </c>
      <c r="C2099" s="29"/>
      <c r="D2099" s="29" t="s">
        <v>3683</v>
      </c>
      <c r="E2099" s="29"/>
      <c r="F2099" s="29" t="s">
        <v>3686</v>
      </c>
      <c r="G2099" s="29"/>
      <c r="H2099" s="29" t="s">
        <v>3687</v>
      </c>
      <c r="I2099" s="29"/>
      <c r="J2099" s="29"/>
      <c r="K2099" s="29"/>
      <c r="L2099" s="29"/>
      <c r="M2099" s="29" t="s">
        <v>2384</v>
      </c>
      <c r="N2099" s="29" t="s">
        <v>2386</v>
      </c>
      <c r="O2099" s="29"/>
      <c r="P2099" s="29" t="s">
        <v>9264</v>
      </c>
      <c r="Q2099" t="s">
        <v>2038</v>
      </c>
      <c r="R2099" t="s">
        <v>2633</v>
      </c>
      <c r="S2099">
        <v>37</v>
      </c>
      <c r="T2099" s="43" t="str">
        <f>HYPERLINK("https://ictv.global/ictv/proposals/2021.010B.R.Binomial_names.zip","2021.010B.R.Binomial_names.zip")</f>
        <v>2021.010B.R.Binomial_names.zip</v>
      </c>
      <c r="U2099" s="43" t="str">
        <f>HYPERLINK("https://ictv.global/taxonomy/taxondetails?taxnode_id=202200747","ictv.global=202200747")</f>
        <v>ictv.global=202200747</v>
      </c>
    </row>
    <row r="2100" spans="1:21">
      <c r="A2100">
        <v>2099</v>
      </c>
      <c r="B2100" s="29" t="s">
        <v>3682</v>
      </c>
      <c r="C2100" s="29"/>
      <c r="D2100" s="29" t="s">
        <v>3683</v>
      </c>
      <c r="E2100" s="29"/>
      <c r="F2100" s="29" t="s">
        <v>3686</v>
      </c>
      <c r="G2100" s="29"/>
      <c r="H2100" s="29" t="s">
        <v>3687</v>
      </c>
      <c r="I2100" s="29"/>
      <c r="J2100" s="29"/>
      <c r="K2100" s="29"/>
      <c r="L2100" s="29"/>
      <c r="M2100" s="29" t="s">
        <v>2384</v>
      </c>
      <c r="N2100" s="29" t="s">
        <v>2386</v>
      </c>
      <c r="O2100" s="29"/>
      <c r="P2100" s="29" t="s">
        <v>9265</v>
      </c>
      <c r="Q2100" t="s">
        <v>2038</v>
      </c>
      <c r="R2100" t="s">
        <v>2633</v>
      </c>
      <c r="S2100">
        <v>37</v>
      </c>
      <c r="T2100" s="43" t="str">
        <f>HYPERLINK("https://ictv.global/ictv/proposals/2021.010B.R.Binomial_names.zip","2021.010B.R.Binomial_names.zip")</f>
        <v>2021.010B.R.Binomial_names.zip</v>
      </c>
      <c r="U2100" s="43" t="str">
        <f>HYPERLINK("https://ictv.global/taxonomy/taxondetails?taxnode_id=202200748","ictv.global=202200748")</f>
        <v>ictv.global=202200748</v>
      </c>
    </row>
    <row r="2101" spans="1:21">
      <c r="A2101">
        <v>2100</v>
      </c>
      <c r="B2101" s="29" t="s">
        <v>3682</v>
      </c>
      <c r="C2101" s="29"/>
      <c r="D2101" s="29" t="s">
        <v>3683</v>
      </c>
      <c r="E2101" s="29"/>
      <c r="F2101" s="29" t="s">
        <v>3686</v>
      </c>
      <c r="G2101" s="29"/>
      <c r="H2101" s="29" t="s">
        <v>3687</v>
      </c>
      <c r="I2101" s="29"/>
      <c r="J2101" s="29"/>
      <c r="K2101" s="29"/>
      <c r="L2101" s="29"/>
      <c r="M2101" s="29" t="s">
        <v>2384</v>
      </c>
      <c r="N2101" s="29" t="s">
        <v>9266</v>
      </c>
      <c r="O2101" s="29"/>
      <c r="P2101" s="29" t="s">
        <v>9267</v>
      </c>
      <c r="Q2101" t="s">
        <v>2038</v>
      </c>
      <c r="R2101" t="s">
        <v>2632</v>
      </c>
      <c r="S2101">
        <v>37</v>
      </c>
      <c r="T2101" s="43" t="str">
        <f>HYPERLINK("https://ictv.global/ictv/proposals/2021.007B.R.Bclasvirinae.zip","2021.007B.R.Bclasvirinae.zip")</f>
        <v>2021.007B.R.Bclasvirinae.zip</v>
      </c>
      <c r="U2101" s="43" t="str">
        <f>HYPERLINK("https://ictv.global/taxonomy/taxondetails?taxnode_id=202213189","ictv.global=202213189")</f>
        <v>ictv.global=202213189</v>
      </c>
    </row>
    <row r="2102" spans="1:21">
      <c r="A2102">
        <v>2101</v>
      </c>
      <c r="B2102" s="29" t="s">
        <v>3682</v>
      </c>
      <c r="C2102" s="29"/>
      <c r="D2102" s="29" t="s">
        <v>3683</v>
      </c>
      <c r="E2102" s="29"/>
      <c r="F2102" s="29" t="s">
        <v>3686</v>
      </c>
      <c r="G2102" s="29"/>
      <c r="H2102" s="29" t="s">
        <v>3687</v>
      </c>
      <c r="I2102" s="29"/>
      <c r="J2102" s="29"/>
      <c r="K2102" s="29"/>
      <c r="L2102" s="29"/>
      <c r="M2102" s="29" t="s">
        <v>2384</v>
      </c>
      <c r="N2102" s="29" t="s">
        <v>9268</v>
      </c>
      <c r="O2102" s="29"/>
      <c r="P2102" s="29" t="s">
        <v>9269</v>
      </c>
      <c r="Q2102" t="s">
        <v>2038</v>
      </c>
      <c r="R2102" t="s">
        <v>2632</v>
      </c>
      <c r="S2102">
        <v>37</v>
      </c>
      <c r="T2102" s="43" t="str">
        <f>HYPERLINK("https://ictv.global/ictv/proposals/2021.007B.R.Bclasvirinae.zip","2021.007B.R.Bclasvirinae.zip")</f>
        <v>2021.007B.R.Bclasvirinae.zip</v>
      </c>
      <c r="U2102" s="43" t="str">
        <f>HYPERLINK("https://ictv.global/taxonomy/taxondetails?taxnode_id=202213191","ictv.global=202213191")</f>
        <v>ictv.global=202213191</v>
      </c>
    </row>
    <row r="2103" spans="1:21">
      <c r="A2103">
        <v>2102</v>
      </c>
      <c r="B2103" s="29" t="s">
        <v>3682</v>
      </c>
      <c r="C2103" s="29"/>
      <c r="D2103" s="29" t="s">
        <v>3683</v>
      </c>
      <c r="E2103" s="29"/>
      <c r="F2103" s="29" t="s">
        <v>3686</v>
      </c>
      <c r="G2103" s="29"/>
      <c r="H2103" s="29" t="s">
        <v>3687</v>
      </c>
      <c r="I2103" s="29"/>
      <c r="J2103" s="29"/>
      <c r="K2103" s="29"/>
      <c r="L2103" s="29"/>
      <c r="M2103" s="29" t="s">
        <v>2384</v>
      </c>
      <c r="N2103" s="29" t="s">
        <v>9270</v>
      </c>
      <c r="O2103" s="29"/>
      <c r="P2103" s="29" t="s">
        <v>9271</v>
      </c>
      <c r="Q2103" t="s">
        <v>2038</v>
      </c>
      <c r="R2103" t="s">
        <v>2632</v>
      </c>
      <c r="S2103">
        <v>37</v>
      </c>
      <c r="T2103" s="43" t="str">
        <f>HYPERLINK("https://ictv.global/ictv/proposals/2021.007B.R.Bclasvirinae.zip","2021.007B.R.Bclasvirinae.zip")</f>
        <v>2021.007B.R.Bclasvirinae.zip</v>
      </c>
      <c r="U2103" s="43" t="str">
        <f>HYPERLINK("https://ictv.global/taxonomy/taxondetails?taxnode_id=202213182","ictv.global=202213182")</f>
        <v>ictv.global=202213182</v>
      </c>
    </row>
    <row r="2104" spans="1:21">
      <c r="A2104">
        <v>2103</v>
      </c>
      <c r="B2104" s="29" t="s">
        <v>3682</v>
      </c>
      <c r="C2104" s="29"/>
      <c r="D2104" s="29" t="s">
        <v>3683</v>
      </c>
      <c r="E2104" s="29"/>
      <c r="F2104" s="29" t="s">
        <v>3686</v>
      </c>
      <c r="G2104" s="29"/>
      <c r="H2104" s="29" t="s">
        <v>3687</v>
      </c>
      <c r="I2104" s="29"/>
      <c r="J2104" s="29"/>
      <c r="K2104" s="29"/>
      <c r="L2104" s="29"/>
      <c r="M2104" s="29" t="s">
        <v>2384</v>
      </c>
      <c r="N2104" s="29" t="s">
        <v>3490</v>
      </c>
      <c r="O2104" s="29"/>
      <c r="P2104" s="29" t="s">
        <v>9272</v>
      </c>
      <c r="Q2104" t="s">
        <v>2038</v>
      </c>
      <c r="R2104" t="s">
        <v>2633</v>
      </c>
      <c r="S2104">
        <v>37</v>
      </c>
      <c r="T2104" s="43" t="str">
        <f>HYPERLINK("https://ictv.global/ictv/proposals/2021.010B.R.Binomial_names.zip","2021.010B.R.Binomial_names.zip")</f>
        <v>2021.010B.R.Binomial_names.zip</v>
      </c>
      <c r="U2104" s="43" t="str">
        <f>HYPERLINK("https://ictv.global/taxonomy/taxondetails?taxnode_id=202200750","ictv.global=202200750")</f>
        <v>ictv.global=202200750</v>
      </c>
    </row>
    <row r="2105" spans="1:21">
      <c r="A2105">
        <v>2104</v>
      </c>
      <c r="B2105" s="29" t="s">
        <v>3682</v>
      </c>
      <c r="C2105" s="29"/>
      <c r="D2105" s="29" t="s">
        <v>3683</v>
      </c>
      <c r="E2105" s="29"/>
      <c r="F2105" s="29" t="s">
        <v>3686</v>
      </c>
      <c r="G2105" s="29"/>
      <c r="H2105" s="29" t="s">
        <v>3687</v>
      </c>
      <c r="I2105" s="29"/>
      <c r="J2105" s="29"/>
      <c r="K2105" s="29"/>
      <c r="L2105" s="29"/>
      <c r="M2105" s="29" t="s">
        <v>2384</v>
      </c>
      <c r="N2105" s="29" t="s">
        <v>3490</v>
      </c>
      <c r="O2105" s="29"/>
      <c r="P2105" s="29" t="s">
        <v>9273</v>
      </c>
      <c r="Q2105" t="s">
        <v>2038</v>
      </c>
      <c r="R2105" t="s">
        <v>2632</v>
      </c>
      <c r="S2105">
        <v>37</v>
      </c>
      <c r="T2105" s="43" t="str">
        <f>HYPERLINK("https://ictv.global/ictv/proposals/2021.007B.R.Bclasvirinae.zip","2021.007B.R.Bclasvirinae.zip")</f>
        <v>2021.007B.R.Bclasvirinae.zip</v>
      </c>
      <c r="U2105" s="43" t="str">
        <f>HYPERLINK("https://ictv.global/taxonomy/taxondetails?taxnode_id=202213195","ictv.global=202213195")</f>
        <v>ictv.global=202213195</v>
      </c>
    </row>
    <row r="2106" spans="1:21">
      <c r="A2106">
        <v>2105</v>
      </c>
      <c r="B2106" s="29" t="s">
        <v>3682</v>
      </c>
      <c r="C2106" s="29"/>
      <c r="D2106" s="29" t="s">
        <v>3683</v>
      </c>
      <c r="E2106" s="29"/>
      <c r="F2106" s="29" t="s">
        <v>3686</v>
      </c>
      <c r="G2106" s="29"/>
      <c r="H2106" s="29" t="s">
        <v>3687</v>
      </c>
      <c r="I2106" s="29"/>
      <c r="J2106" s="29"/>
      <c r="K2106" s="29"/>
      <c r="L2106" s="29"/>
      <c r="M2106" s="29" t="s">
        <v>2384</v>
      </c>
      <c r="N2106" s="29" t="s">
        <v>3490</v>
      </c>
      <c r="O2106" s="29"/>
      <c r="P2106" s="29" t="s">
        <v>9274</v>
      </c>
      <c r="Q2106" t="s">
        <v>2038</v>
      </c>
      <c r="R2106" t="s">
        <v>2633</v>
      </c>
      <c r="S2106">
        <v>37</v>
      </c>
      <c r="T2106" s="43" t="str">
        <f t="shared" ref="T2106:T2114" si="90">HYPERLINK("https://ictv.global/ictv/proposals/2021.010B.R.Binomial_names.zip","2021.010B.R.Binomial_names.zip")</f>
        <v>2021.010B.R.Binomial_names.zip</v>
      </c>
      <c r="U2106" s="43" t="str">
        <f>HYPERLINK("https://ictv.global/taxonomy/taxondetails?taxnode_id=202200751","ictv.global=202200751")</f>
        <v>ictv.global=202200751</v>
      </c>
    </row>
    <row r="2107" spans="1:21">
      <c r="A2107">
        <v>2106</v>
      </c>
      <c r="B2107" s="29" t="s">
        <v>3682</v>
      </c>
      <c r="C2107" s="29"/>
      <c r="D2107" s="29" t="s">
        <v>3683</v>
      </c>
      <c r="E2107" s="29"/>
      <c r="F2107" s="29" t="s">
        <v>3686</v>
      </c>
      <c r="G2107" s="29"/>
      <c r="H2107" s="29" t="s">
        <v>3687</v>
      </c>
      <c r="I2107" s="29"/>
      <c r="J2107" s="29"/>
      <c r="K2107" s="29"/>
      <c r="L2107" s="29"/>
      <c r="M2107" s="29" t="s">
        <v>2384</v>
      </c>
      <c r="N2107" s="29" t="s">
        <v>3490</v>
      </c>
      <c r="O2107" s="29"/>
      <c r="P2107" s="29" t="s">
        <v>9275</v>
      </c>
      <c r="Q2107" t="s">
        <v>2038</v>
      </c>
      <c r="R2107" t="s">
        <v>2633</v>
      </c>
      <c r="S2107">
        <v>37</v>
      </c>
      <c r="T2107" s="43" t="str">
        <f t="shared" si="90"/>
        <v>2021.010B.R.Binomial_names.zip</v>
      </c>
      <c r="U2107" s="43" t="str">
        <f>HYPERLINK("https://ictv.global/taxonomy/taxondetails?taxnode_id=202200752","ictv.global=202200752")</f>
        <v>ictv.global=202200752</v>
      </c>
    </row>
    <row r="2108" spans="1:21">
      <c r="A2108">
        <v>2107</v>
      </c>
      <c r="B2108" s="29" t="s">
        <v>3682</v>
      </c>
      <c r="C2108" s="29"/>
      <c r="D2108" s="29" t="s">
        <v>3683</v>
      </c>
      <c r="E2108" s="29"/>
      <c r="F2108" s="29" t="s">
        <v>3686</v>
      </c>
      <c r="G2108" s="29"/>
      <c r="H2108" s="29" t="s">
        <v>3687</v>
      </c>
      <c r="I2108" s="29"/>
      <c r="J2108" s="29"/>
      <c r="K2108" s="29"/>
      <c r="L2108" s="29"/>
      <c r="M2108" s="29" t="s">
        <v>2384</v>
      </c>
      <c r="N2108" s="29" t="s">
        <v>3490</v>
      </c>
      <c r="O2108" s="29"/>
      <c r="P2108" s="29" t="s">
        <v>9276</v>
      </c>
      <c r="Q2108" t="s">
        <v>2038</v>
      </c>
      <c r="R2108" t="s">
        <v>2633</v>
      </c>
      <c r="S2108">
        <v>37</v>
      </c>
      <c r="T2108" s="43" t="str">
        <f t="shared" si="90"/>
        <v>2021.010B.R.Binomial_names.zip</v>
      </c>
      <c r="U2108" s="43" t="str">
        <f>HYPERLINK("https://ictv.global/taxonomy/taxondetails?taxnode_id=202200753","ictv.global=202200753")</f>
        <v>ictv.global=202200753</v>
      </c>
    </row>
    <row r="2109" spans="1:21">
      <c r="A2109">
        <v>2108</v>
      </c>
      <c r="B2109" s="29" t="s">
        <v>3682</v>
      </c>
      <c r="C2109" s="29"/>
      <c r="D2109" s="29" t="s">
        <v>3683</v>
      </c>
      <c r="E2109" s="29"/>
      <c r="F2109" s="29" t="s">
        <v>3686</v>
      </c>
      <c r="G2109" s="29"/>
      <c r="H2109" s="29" t="s">
        <v>3687</v>
      </c>
      <c r="I2109" s="29"/>
      <c r="J2109" s="29"/>
      <c r="K2109" s="29"/>
      <c r="L2109" s="29"/>
      <c r="M2109" s="29" t="s">
        <v>2384</v>
      </c>
      <c r="N2109" s="29" t="s">
        <v>3490</v>
      </c>
      <c r="O2109" s="29"/>
      <c r="P2109" s="29" t="s">
        <v>9277</v>
      </c>
      <c r="Q2109" t="s">
        <v>2038</v>
      </c>
      <c r="R2109" t="s">
        <v>2633</v>
      </c>
      <c r="S2109">
        <v>37</v>
      </c>
      <c r="T2109" s="43" t="str">
        <f t="shared" si="90"/>
        <v>2021.010B.R.Binomial_names.zip</v>
      </c>
      <c r="U2109" s="43" t="str">
        <f>HYPERLINK("https://ictv.global/taxonomy/taxondetails?taxnode_id=202200754","ictv.global=202200754")</f>
        <v>ictv.global=202200754</v>
      </c>
    </row>
    <row r="2110" spans="1:21">
      <c r="A2110">
        <v>2109</v>
      </c>
      <c r="B2110" s="29" t="s">
        <v>3682</v>
      </c>
      <c r="C2110" s="29"/>
      <c r="D2110" s="29" t="s">
        <v>3683</v>
      </c>
      <c r="E2110" s="29"/>
      <c r="F2110" s="29" t="s">
        <v>3686</v>
      </c>
      <c r="G2110" s="29"/>
      <c r="H2110" s="29" t="s">
        <v>3687</v>
      </c>
      <c r="I2110" s="29"/>
      <c r="J2110" s="29"/>
      <c r="K2110" s="29"/>
      <c r="L2110" s="29"/>
      <c r="M2110" s="29" t="s">
        <v>2384</v>
      </c>
      <c r="N2110" s="29" t="s">
        <v>3490</v>
      </c>
      <c r="O2110" s="29"/>
      <c r="P2110" s="29" t="s">
        <v>9278</v>
      </c>
      <c r="Q2110" t="s">
        <v>2038</v>
      </c>
      <c r="R2110" t="s">
        <v>2633</v>
      </c>
      <c r="S2110">
        <v>37</v>
      </c>
      <c r="T2110" s="43" t="str">
        <f t="shared" si="90"/>
        <v>2021.010B.R.Binomial_names.zip</v>
      </c>
      <c r="U2110" s="43" t="str">
        <f>HYPERLINK("https://ictv.global/taxonomy/taxondetails?taxnode_id=202200755","ictv.global=202200755")</f>
        <v>ictv.global=202200755</v>
      </c>
    </row>
    <row r="2111" spans="1:21">
      <c r="A2111">
        <v>2110</v>
      </c>
      <c r="B2111" s="29" t="s">
        <v>3682</v>
      </c>
      <c r="C2111" s="29"/>
      <c r="D2111" s="29" t="s">
        <v>3683</v>
      </c>
      <c r="E2111" s="29"/>
      <c r="F2111" s="29" t="s">
        <v>3686</v>
      </c>
      <c r="G2111" s="29"/>
      <c r="H2111" s="29" t="s">
        <v>3687</v>
      </c>
      <c r="I2111" s="29"/>
      <c r="J2111" s="29"/>
      <c r="K2111" s="29"/>
      <c r="L2111" s="29"/>
      <c r="M2111" s="29" t="s">
        <v>2384</v>
      </c>
      <c r="N2111" s="29" t="s">
        <v>3490</v>
      </c>
      <c r="O2111" s="29"/>
      <c r="P2111" s="29" t="s">
        <v>9279</v>
      </c>
      <c r="Q2111" t="s">
        <v>2038</v>
      </c>
      <c r="R2111" t="s">
        <v>2633</v>
      </c>
      <c r="S2111">
        <v>37</v>
      </c>
      <c r="T2111" s="43" t="str">
        <f t="shared" si="90"/>
        <v>2021.010B.R.Binomial_names.zip</v>
      </c>
      <c r="U2111" s="43" t="str">
        <f>HYPERLINK("https://ictv.global/taxonomy/taxondetails?taxnode_id=202200756","ictv.global=202200756")</f>
        <v>ictv.global=202200756</v>
      </c>
    </row>
    <row r="2112" spans="1:21">
      <c r="A2112">
        <v>2111</v>
      </c>
      <c r="B2112" s="29" t="s">
        <v>3682</v>
      </c>
      <c r="C2112" s="29"/>
      <c r="D2112" s="29" t="s">
        <v>3683</v>
      </c>
      <c r="E2112" s="29"/>
      <c r="F2112" s="29" t="s">
        <v>3686</v>
      </c>
      <c r="G2112" s="29"/>
      <c r="H2112" s="29" t="s">
        <v>3687</v>
      </c>
      <c r="I2112" s="29"/>
      <c r="J2112" s="29"/>
      <c r="K2112" s="29"/>
      <c r="L2112" s="29"/>
      <c r="M2112" s="29" t="s">
        <v>2384</v>
      </c>
      <c r="N2112" s="29" t="s">
        <v>2387</v>
      </c>
      <c r="O2112" s="29"/>
      <c r="P2112" s="29" t="s">
        <v>9280</v>
      </c>
      <c r="Q2112" t="s">
        <v>2038</v>
      </c>
      <c r="R2112" t="s">
        <v>2633</v>
      </c>
      <c r="S2112">
        <v>37</v>
      </c>
      <c r="T2112" s="43" t="str">
        <f t="shared" si="90"/>
        <v>2021.010B.R.Binomial_names.zip</v>
      </c>
      <c r="U2112" s="43" t="str">
        <f>HYPERLINK("https://ictv.global/taxonomy/taxondetails?taxnode_id=202200758","ictv.global=202200758")</f>
        <v>ictv.global=202200758</v>
      </c>
    </row>
    <row r="2113" spans="1:21">
      <c r="A2113">
        <v>2112</v>
      </c>
      <c r="B2113" s="29" t="s">
        <v>3682</v>
      </c>
      <c r="C2113" s="29"/>
      <c r="D2113" s="29" t="s">
        <v>3683</v>
      </c>
      <c r="E2113" s="29"/>
      <c r="F2113" s="29" t="s">
        <v>3686</v>
      </c>
      <c r="G2113" s="29"/>
      <c r="H2113" s="29" t="s">
        <v>3687</v>
      </c>
      <c r="I2113" s="29"/>
      <c r="J2113" s="29"/>
      <c r="K2113" s="29"/>
      <c r="L2113" s="29"/>
      <c r="M2113" s="29" t="s">
        <v>2384</v>
      </c>
      <c r="N2113" s="29" t="s">
        <v>2387</v>
      </c>
      <c r="O2113" s="29"/>
      <c r="P2113" s="29" t="s">
        <v>9281</v>
      </c>
      <c r="Q2113" t="s">
        <v>2038</v>
      </c>
      <c r="R2113" t="s">
        <v>2633</v>
      </c>
      <c r="S2113">
        <v>37</v>
      </c>
      <c r="T2113" s="43" t="str">
        <f t="shared" si="90"/>
        <v>2021.010B.R.Binomial_names.zip</v>
      </c>
      <c r="U2113" s="43" t="str">
        <f>HYPERLINK("https://ictv.global/taxonomy/taxondetails?taxnode_id=202200759","ictv.global=202200759")</f>
        <v>ictv.global=202200759</v>
      </c>
    </row>
    <row r="2114" spans="1:21">
      <c r="A2114">
        <v>2113</v>
      </c>
      <c r="B2114" s="29" t="s">
        <v>3682</v>
      </c>
      <c r="C2114" s="29"/>
      <c r="D2114" s="29" t="s">
        <v>3683</v>
      </c>
      <c r="E2114" s="29"/>
      <c r="F2114" s="29" t="s">
        <v>3686</v>
      </c>
      <c r="G2114" s="29"/>
      <c r="H2114" s="29" t="s">
        <v>3687</v>
      </c>
      <c r="I2114" s="29"/>
      <c r="J2114" s="29"/>
      <c r="K2114" s="29"/>
      <c r="L2114" s="29"/>
      <c r="M2114" s="29" t="s">
        <v>2384</v>
      </c>
      <c r="N2114" s="29" t="s">
        <v>2387</v>
      </c>
      <c r="O2114" s="29"/>
      <c r="P2114" s="29" t="s">
        <v>9282</v>
      </c>
      <c r="Q2114" t="s">
        <v>2038</v>
      </c>
      <c r="R2114" t="s">
        <v>2633</v>
      </c>
      <c r="S2114">
        <v>37</v>
      </c>
      <c r="T2114" s="43" t="str">
        <f t="shared" si="90"/>
        <v>2021.010B.R.Binomial_names.zip</v>
      </c>
      <c r="U2114" s="43" t="str">
        <f>HYPERLINK("https://ictv.global/taxonomy/taxondetails?taxnode_id=202200760","ictv.global=202200760")</f>
        <v>ictv.global=202200760</v>
      </c>
    </row>
    <row r="2115" spans="1:21">
      <c r="A2115">
        <v>2114</v>
      </c>
      <c r="B2115" s="29" t="s">
        <v>3682</v>
      </c>
      <c r="C2115" s="29"/>
      <c r="D2115" s="29" t="s">
        <v>3683</v>
      </c>
      <c r="E2115" s="29"/>
      <c r="F2115" s="29" t="s">
        <v>3686</v>
      </c>
      <c r="G2115" s="29"/>
      <c r="H2115" s="29" t="s">
        <v>3687</v>
      </c>
      <c r="I2115" s="29"/>
      <c r="J2115" s="29"/>
      <c r="K2115" s="29"/>
      <c r="L2115" s="29"/>
      <c r="M2115" s="29" t="s">
        <v>2384</v>
      </c>
      <c r="N2115" s="29" t="s">
        <v>2387</v>
      </c>
      <c r="O2115" s="29"/>
      <c r="P2115" s="29" t="s">
        <v>9283</v>
      </c>
      <c r="Q2115" t="s">
        <v>2038</v>
      </c>
      <c r="R2115" t="s">
        <v>2632</v>
      </c>
      <c r="S2115">
        <v>37</v>
      </c>
      <c r="T2115" s="43" t="str">
        <f>HYPERLINK("https://ictv.global/ictv/proposals/2021.007B.R.Bclasvirinae.zip","2021.007B.R.Bclasvirinae.zip")</f>
        <v>2021.007B.R.Bclasvirinae.zip</v>
      </c>
      <c r="U2115" s="43" t="str">
        <f>HYPERLINK("https://ictv.global/taxonomy/taxondetails?taxnode_id=202213193","ictv.global=202213193")</f>
        <v>ictv.global=202213193</v>
      </c>
    </row>
    <row r="2116" spans="1:21">
      <c r="A2116">
        <v>2115</v>
      </c>
      <c r="B2116" s="29" t="s">
        <v>3682</v>
      </c>
      <c r="C2116" s="29"/>
      <c r="D2116" s="29" t="s">
        <v>3683</v>
      </c>
      <c r="E2116" s="29"/>
      <c r="F2116" s="29" t="s">
        <v>3686</v>
      </c>
      <c r="G2116" s="29"/>
      <c r="H2116" s="29" t="s">
        <v>3687</v>
      </c>
      <c r="I2116" s="29"/>
      <c r="J2116" s="29"/>
      <c r="K2116" s="29"/>
      <c r="L2116" s="29"/>
      <c r="M2116" s="29" t="s">
        <v>2384</v>
      </c>
      <c r="N2116" s="29" t="s">
        <v>2387</v>
      </c>
      <c r="O2116" s="29"/>
      <c r="P2116" s="29" t="s">
        <v>9284</v>
      </c>
      <c r="Q2116" t="s">
        <v>2038</v>
      </c>
      <c r="R2116" t="s">
        <v>2633</v>
      </c>
      <c r="S2116">
        <v>37</v>
      </c>
      <c r="T2116" s="43" t="str">
        <f>HYPERLINK("https://ictv.global/ictv/proposals/2021.010B.R.Binomial_names.zip","2021.010B.R.Binomial_names.zip")</f>
        <v>2021.010B.R.Binomial_names.zip</v>
      </c>
      <c r="U2116" s="43" t="str">
        <f>HYPERLINK("https://ictv.global/taxonomy/taxondetails?taxnode_id=202200761","ictv.global=202200761")</f>
        <v>ictv.global=202200761</v>
      </c>
    </row>
    <row r="2117" spans="1:21">
      <c r="A2117">
        <v>2116</v>
      </c>
      <c r="B2117" s="29" t="s">
        <v>3682</v>
      </c>
      <c r="C2117" s="29"/>
      <c r="D2117" s="29" t="s">
        <v>3683</v>
      </c>
      <c r="E2117" s="29"/>
      <c r="F2117" s="29" t="s">
        <v>3686</v>
      </c>
      <c r="G2117" s="29"/>
      <c r="H2117" s="29" t="s">
        <v>3687</v>
      </c>
      <c r="I2117" s="29"/>
      <c r="J2117" s="29"/>
      <c r="K2117" s="29"/>
      <c r="L2117" s="29"/>
      <c r="M2117" s="29" t="s">
        <v>2384</v>
      </c>
      <c r="N2117" s="29" t="s">
        <v>9285</v>
      </c>
      <c r="O2117" s="29"/>
      <c r="P2117" s="29" t="s">
        <v>9286</v>
      </c>
      <c r="Q2117" t="s">
        <v>2038</v>
      </c>
      <c r="R2117" t="s">
        <v>2632</v>
      </c>
      <c r="S2117">
        <v>37</v>
      </c>
      <c r="T2117" s="43" t="str">
        <f>HYPERLINK("https://ictv.global/ictv/proposals/2021.007B.R.Bclasvirinae.zip","2021.007B.R.Bclasvirinae.zip")</f>
        <v>2021.007B.R.Bclasvirinae.zip</v>
      </c>
      <c r="U2117" s="43" t="str">
        <f>HYPERLINK("https://ictv.global/taxonomy/taxondetails?taxnode_id=202213187","ictv.global=202213187")</f>
        <v>ictv.global=202213187</v>
      </c>
    </row>
    <row r="2118" spans="1:21">
      <c r="A2118">
        <v>2117</v>
      </c>
      <c r="B2118" s="29" t="s">
        <v>3682</v>
      </c>
      <c r="C2118" s="29"/>
      <c r="D2118" s="29" t="s">
        <v>3683</v>
      </c>
      <c r="E2118" s="29"/>
      <c r="F2118" s="29" t="s">
        <v>3686</v>
      </c>
      <c r="G2118" s="29"/>
      <c r="H2118" s="29" t="s">
        <v>3687</v>
      </c>
      <c r="I2118" s="29"/>
      <c r="J2118" s="29"/>
      <c r="K2118" s="29"/>
      <c r="L2118" s="29"/>
      <c r="M2118" s="29" t="s">
        <v>2384</v>
      </c>
      <c r="N2118" s="29" t="s">
        <v>9285</v>
      </c>
      <c r="O2118" s="29"/>
      <c r="P2118" s="29" t="s">
        <v>9287</v>
      </c>
      <c r="Q2118" t="s">
        <v>2038</v>
      </c>
      <c r="R2118" t="s">
        <v>2632</v>
      </c>
      <c r="S2118">
        <v>37</v>
      </c>
      <c r="T2118" s="43" t="str">
        <f>HYPERLINK("https://ictv.global/ictv/proposals/2021.007B.R.Bclasvirinae.zip","2021.007B.R.Bclasvirinae.zip")</f>
        <v>2021.007B.R.Bclasvirinae.zip</v>
      </c>
      <c r="U2118" s="43" t="str">
        <f>HYPERLINK("https://ictv.global/taxonomy/taxondetails?taxnode_id=202213186","ictv.global=202213186")</f>
        <v>ictv.global=202213186</v>
      </c>
    </row>
    <row r="2119" spans="1:21">
      <c r="A2119">
        <v>2118</v>
      </c>
      <c r="B2119" s="29" t="s">
        <v>3682</v>
      </c>
      <c r="C2119" s="29"/>
      <c r="D2119" s="29" t="s">
        <v>3683</v>
      </c>
      <c r="E2119" s="29"/>
      <c r="F2119" s="29" t="s">
        <v>3686</v>
      </c>
      <c r="G2119" s="29"/>
      <c r="H2119" s="29" t="s">
        <v>3687</v>
      </c>
      <c r="I2119" s="29"/>
      <c r="J2119" s="29"/>
      <c r="K2119" s="29"/>
      <c r="L2119" s="29"/>
      <c r="M2119" s="29" t="s">
        <v>2384</v>
      </c>
      <c r="N2119" s="29" t="s">
        <v>2388</v>
      </c>
      <c r="O2119" s="29"/>
      <c r="P2119" s="29" t="s">
        <v>9288</v>
      </c>
      <c r="Q2119" t="s">
        <v>2038</v>
      </c>
      <c r="R2119" t="s">
        <v>2633</v>
      </c>
      <c r="S2119">
        <v>37</v>
      </c>
      <c r="T2119" s="43" t="str">
        <f>HYPERLINK("https://ictv.global/ictv/proposals/2021.010B.R.Binomial_names.zip","2021.010B.R.Binomial_names.zip")</f>
        <v>2021.010B.R.Binomial_names.zip</v>
      </c>
      <c r="U2119" s="43" t="str">
        <f>HYPERLINK("https://ictv.global/taxonomy/taxondetails?taxnode_id=202200763","ictv.global=202200763")</f>
        <v>ictv.global=202200763</v>
      </c>
    </row>
    <row r="2120" spans="1:21">
      <c r="A2120">
        <v>2119</v>
      </c>
      <c r="B2120" s="29" t="s">
        <v>3682</v>
      </c>
      <c r="C2120" s="29"/>
      <c r="D2120" s="29" t="s">
        <v>3683</v>
      </c>
      <c r="E2120" s="29"/>
      <c r="F2120" s="29" t="s">
        <v>3686</v>
      </c>
      <c r="G2120" s="29"/>
      <c r="H2120" s="29" t="s">
        <v>3687</v>
      </c>
      <c r="I2120" s="29"/>
      <c r="J2120" s="29"/>
      <c r="K2120" s="29"/>
      <c r="L2120" s="29"/>
      <c r="M2120" s="29" t="s">
        <v>2384</v>
      </c>
      <c r="N2120" s="29" t="s">
        <v>2388</v>
      </c>
      <c r="O2120" s="29"/>
      <c r="P2120" s="29" t="s">
        <v>9289</v>
      </c>
      <c r="Q2120" t="s">
        <v>2038</v>
      </c>
      <c r="R2120" t="s">
        <v>2632</v>
      </c>
      <c r="S2120">
        <v>37</v>
      </c>
      <c r="T2120" s="43" t="str">
        <f>HYPERLINK("https://ictv.global/ictv/proposals/2021.007B.R.Bclasvirinae.zip","2021.007B.R.Bclasvirinae.zip")</f>
        <v>2021.007B.R.Bclasvirinae.zip</v>
      </c>
      <c r="U2120" s="43" t="str">
        <f>HYPERLINK("https://ictv.global/taxonomy/taxondetails?taxnode_id=202213194","ictv.global=202213194")</f>
        <v>ictv.global=202213194</v>
      </c>
    </row>
    <row r="2121" spans="1:21">
      <c r="A2121">
        <v>2120</v>
      </c>
      <c r="B2121" s="29" t="s">
        <v>3682</v>
      </c>
      <c r="C2121" s="29"/>
      <c r="D2121" s="29" t="s">
        <v>3683</v>
      </c>
      <c r="E2121" s="29"/>
      <c r="F2121" s="29" t="s">
        <v>3686</v>
      </c>
      <c r="G2121" s="29"/>
      <c r="H2121" s="29" t="s">
        <v>3687</v>
      </c>
      <c r="I2121" s="29"/>
      <c r="J2121" s="29"/>
      <c r="K2121" s="29"/>
      <c r="L2121" s="29"/>
      <c r="M2121" s="29" t="s">
        <v>2384</v>
      </c>
      <c r="N2121" s="29" t="s">
        <v>2388</v>
      </c>
      <c r="O2121" s="29"/>
      <c r="P2121" s="29" t="s">
        <v>9290</v>
      </c>
      <c r="Q2121" t="s">
        <v>2038</v>
      </c>
      <c r="R2121" t="s">
        <v>2633</v>
      </c>
      <c r="S2121">
        <v>37</v>
      </c>
      <c r="T2121" s="43" t="str">
        <f>HYPERLINK("https://ictv.global/ictv/proposals/2021.010B.R.Binomial_names.zip","2021.010B.R.Binomial_names.zip")</f>
        <v>2021.010B.R.Binomial_names.zip</v>
      </c>
      <c r="U2121" s="43" t="str">
        <f>HYPERLINK("https://ictv.global/taxonomy/taxondetails?taxnode_id=202200764","ictv.global=202200764")</f>
        <v>ictv.global=202200764</v>
      </c>
    </row>
    <row r="2122" spans="1:21">
      <c r="A2122">
        <v>2121</v>
      </c>
      <c r="B2122" s="29" t="s">
        <v>3682</v>
      </c>
      <c r="C2122" s="29"/>
      <c r="D2122" s="29" t="s">
        <v>3683</v>
      </c>
      <c r="E2122" s="29"/>
      <c r="F2122" s="29" t="s">
        <v>3686</v>
      </c>
      <c r="G2122" s="29"/>
      <c r="H2122" s="29" t="s">
        <v>3687</v>
      </c>
      <c r="I2122" s="29"/>
      <c r="J2122" s="29"/>
      <c r="K2122" s="29"/>
      <c r="L2122" s="29"/>
      <c r="M2122" s="29" t="s">
        <v>2384</v>
      </c>
      <c r="N2122" s="29" t="s">
        <v>2388</v>
      </c>
      <c r="O2122" s="29"/>
      <c r="P2122" s="29" t="s">
        <v>9291</v>
      </c>
      <c r="Q2122" t="s">
        <v>2038</v>
      </c>
      <c r="R2122" t="s">
        <v>2633</v>
      </c>
      <c r="S2122">
        <v>37</v>
      </c>
      <c r="T2122" s="43" t="str">
        <f>HYPERLINK("https://ictv.global/ictv/proposals/2021.010B.R.Binomial_names.zip","2021.010B.R.Binomial_names.zip")</f>
        <v>2021.010B.R.Binomial_names.zip</v>
      </c>
      <c r="U2122" s="43" t="str">
        <f>HYPERLINK("https://ictv.global/taxonomy/taxondetails?taxnode_id=202201060","ictv.global=202201060")</f>
        <v>ictv.global=202201060</v>
      </c>
    </row>
    <row r="2123" spans="1:21">
      <c r="A2123">
        <v>2122</v>
      </c>
      <c r="B2123" s="29" t="s">
        <v>3682</v>
      </c>
      <c r="C2123" s="29"/>
      <c r="D2123" s="29" t="s">
        <v>3683</v>
      </c>
      <c r="E2123" s="29"/>
      <c r="F2123" s="29" t="s">
        <v>3686</v>
      </c>
      <c r="G2123" s="29"/>
      <c r="H2123" s="29" t="s">
        <v>3687</v>
      </c>
      <c r="I2123" s="29"/>
      <c r="J2123" s="29"/>
      <c r="K2123" s="29"/>
      <c r="L2123" s="29"/>
      <c r="M2123" s="29" t="s">
        <v>2384</v>
      </c>
      <c r="N2123" s="29" t="s">
        <v>9292</v>
      </c>
      <c r="O2123" s="29"/>
      <c r="P2123" s="29" t="s">
        <v>9293</v>
      </c>
      <c r="Q2123" t="s">
        <v>2038</v>
      </c>
      <c r="R2123" t="s">
        <v>2632</v>
      </c>
      <c r="S2123">
        <v>37</v>
      </c>
      <c r="T2123" s="43" t="str">
        <f>HYPERLINK("https://ictv.global/ictv/proposals/2021.007B.R.Bclasvirinae.zip","2021.007B.R.Bclasvirinae.zip")</f>
        <v>2021.007B.R.Bclasvirinae.zip</v>
      </c>
      <c r="U2123" s="43" t="str">
        <f>HYPERLINK("https://ictv.global/taxonomy/taxondetails?taxnode_id=202213184","ictv.global=202213184")</f>
        <v>ictv.global=202213184</v>
      </c>
    </row>
    <row r="2124" spans="1:21">
      <c r="A2124">
        <v>2123</v>
      </c>
      <c r="B2124" s="29" t="s">
        <v>3682</v>
      </c>
      <c r="C2124" s="29"/>
      <c r="D2124" s="29" t="s">
        <v>3683</v>
      </c>
      <c r="E2124" s="29"/>
      <c r="F2124" s="29" t="s">
        <v>3686</v>
      </c>
      <c r="G2124" s="29"/>
      <c r="H2124" s="29" t="s">
        <v>3687</v>
      </c>
      <c r="I2124" s="29"/>
      <c r="J2124" s="29"/>
      <c r="K2124" s="29"/>
      <c r="L2124" s="29"/>
      <c r="M2124" s="29" t="s">
        <v>2384</v>
      </c>
      <c r="N2124" s="29" t="s">
        <v>9294</v>
      </c>
      <c r="O2124" s="29"/>
      <c r="P2124" s="29" t="s">
        <v>9295</v>
      </c>
      <c r="Q2124" t="s">
        <v>2038</v>
      </c>
      <c r="R2124" t="s">
        <v>2632</v>
      </c>
      <c r="S2124">
        <v>37</v>
      </c>
      <c r="T2124" s="43" t="str">
        <f>HYPERLINK("https://ictv.global/ictv/proposals/2021.007B.R.Bclasvirinae.zip","2021.007B.R.Bclasvirinae.zip")</f>
        <v>2021.007B.R.Bclasvirinae.zip</v>
      </c>
      <c r="U2124" s="43" t="str">
        <f>HYPERLINK("https://ictv.global/taxonomy/taxondetails?taxnode_id=202213178","ictv.global=202213178")</f>
        <v>ictv.global=202213178</v>
      </c>
    </row>
    <row r="2125" spans="1:21">
      <c r="A2125">
        <v>2124</v>
      </c>
      <c r="B2125" s="29" t="s">
        <v>3682</v>
      </c>
      <c r="C2125" s="29"/>
      <c r="D2125" s="29" t="s">
        <v>3683</v>
      </c>
      <c r="E2125" s="29"/>
      <c r="F2125" s="29" t="s">
        <v>3686</v>
      </c>
      <c r="G2125" s="29"/>
      <c r="H2125" s="29" t="s">
        <v>3687</v>
      </c>
      <c r="I2125" s="29"/>
      <c r="J2125" s="29"/>
      <c r="K2125" s="29"/>
      <c r="L2125" s="29"/>
      <c r="M2125" s="29" t="s">
        <v>9296</v>
      </c>
      <c r="N2125" s="29" t="s">
        <v>9297</v>
      </c>
      <c r="O2125" s="29"/>
      <c r="P2125" s="29" t="s">
        <v>9298</v>
      </c>
      <c r="Q2125" t="s">
        <v>2038</v>
      </c>
      <c r="R2125" t="s">
        <v>2632</v>
      </c>
      <c r="S2125">
        <v>38</v>
      </c>
      <c r="T2125" s="43" t="str">
        <f>HYPERLINK("https://ictv.global/ictv/proposals/2022.012B.Beaumontvirinae_nsf.zip","2022.012B.Beaumontvirinae_nsf.zip")</f>
        <v>2022.012B.Beaumontvirinae_nsf.zip</v>
      </c>
      <c r="U2125" s="43" t="str">
        <f>HYPERLINK("https://ictv.global/taxonomy/taxondetails?taxnode_id=202214519","ictv.global=202214519")</f>
        <v>ictv.global=202214519</v>
      </c>
    </row>
    <row r="2126" spans="1:21">
      <c r="A2126">
        <v>2125</v>
      </c>
      <c r="B2126" s="29" t="s">
        <v>3682</v>
      </c>
      <c r="C2126" s="29"/>
      <c r="D2126" s="29" t="s">
        <v>3683</v>
      </c>
      <c r="E2126" s="29"/>
      <c r="F2126" s="29" t="s">
        <v>3686</v>
      </c>
      <c r="G2126" s="29"/>
      <c r="H2126" s="29" t="s">
        <v>3687</v>
      </c>
      <c r="I2126" s="29"/>
      <c r="J2126" s="29"/>
      <c r="K2126" s="29"/>
      <c r="L2126" s="29"/>
      <c r="M2126" s="29" t="s">
        <v>9296</v>
      </c>
      <c r="N2126" s="29" t="s">
        <v>9297</v>
      </c>
      <c r="O2126" s="29"/>
      <c r="P2126" s="29" t="s">
        <v>9299</v>
      </c>
      <c r="Q2126" t="s">
        <v>2038</v>
      </c>
      <c r="R2126" t="s">
        <v>2632</v>
      </c>
      <c r="S2126">
        <v>38</v>
      </c>
      <c r="T2126" s="43" t="str">
        <f>HYPERLINK("https://ictv.global/ictv/proposals/2022.012B.Beaumontvirinae_nsf.zip","2022.012B.Beaumontvirinae_nsf.zip")</f>
        <v>2022.012B.Beaumontvirinae_nsf.zip</v>
      </c>
      <c r="U2126" s="43" t="str">
        <f>HYPERLINK("https://ictv.global/taxonomy/taxondetails?taxnode_id=202214520","ictv.global=202214520")</f>
        <v>ictv.global=202214520</v>
      </c>
    </row>
    <row r="2127" spans="1:21">
      <c r="A2127">
        <v>2126</v>
      </c>
      <c r="B2127" s="29" t="s">
        <v>3682</v>
      </c>
      <c r="C2127" s="29"/>
      <c r="D2127" s="29" t="s">
        <v>3683</v>
      </c>
      <c r="E2127" s="29"/>
      <c r="F2127" s="29" t="s">
        <v>3686</v>
      </c>
      <c r="G2127" s="29"/>
      <c r="H2127" s="29" t="s">
        <v>3687</v>
      </c>
      <c r="I2127" s="29"/>
      <c r="J2127" s="29"/>
      <c r="K2127" s="29"/>
      <c r="L2127" s="29"/>
      <c r="M2127" s="29" t="s">
        <v>9296</v>
      </c>
      <c r="N2127" s="29" t="s">
        <v>9297</v>
      </c>
      <c r="O2127" s="29"/>
      <c r="P2127" s="29" t="s">
        <v>9300</v>
      </c>
      <c r="Q2127" t="s">
        <v>2038</v>
      </c>
      <c r="R2127" t="s">
        <v>2632</v>
      </c>
      <c r="S2127">
        <v>38</v>
      </c>
      <c r="T2127" s="43" t="str">
        <f>HYPERLINK("https://ictv.global/ictv/proposals/2022.012B.Beaumontvirinae_nsf.zip","2022.012B.Beaumontvirinae_nsf.zip")</f>
        <v>2022.012B.Beaumontvirinae_nsf.zip</v>
      </c>
      <c r="U2127" s="43" t="str">
        <f>HYPERLINK("https://ictv.global/taxonomy/taxondetails?taxnode_id=202214521","ictv.global=202214521")</f>
        <v>ictv.global=202214521</v>
      </c>
    </row>
    <row r="2128" spans="1:21">
      <c r="A2128">
        <v>2127</v>
      </c>
      <c r="B2128" s="29" t="s">
        <v>3682</v>
      </c>
      <c r="C2128" s="29"/>
      <c r="D2128" s="29" t="s">
        <v>3683</v>
      </c>
      <c r="E2128" s="29"/>
      <c r="F2128" s="29" t="s">
        <v>3686</v>
      </c>
      <c r="G2128" s="29"/>
      <c r="H2128" s="29" t="s">
        <v>3687</v>
      </c>
      <c r="I2128" s="29"/>
      <c r="J2128" s="29"/>
      <c r="K2128" s="29"/>
      <c r="L2128" s="29"/>
      <c r="M2128" s="29" t="s">
        <v>9296</v>
      </c>
      <c r="N2128" s="29" t="s">
        <v>9301</v>
      </c>
      <c r="O2128" s="29"/>
      <c r="P2128" s="29" t="s">
        <v>9302</v>
      </c>
      <c r="Q2128" t="s">
        <v>2038</v>
      </c>
      <c r="R2128" t="s">
        <v>2632</v>
      </c>
      <c r="S2128">
        <v>38</v>
      </c>
      <c r="T2128" s="43" t="str">
        <f>HYPERLINK("https://ictv.global/ictv/proposals/2022.012B.Beaumontvirinae_nsf.zip","2022.012B.Beaumontvirinae_nsf.zip")</f>
        <v>2022.012B.Beaumontvirinae_nsf.zip</v>
      </c>
      <c r="U2128" s="43" t="str">
        <f>HYPERLINK("https://ictv.global/taxonomy/taxondetails?taxnode_id=202214517","ictv.global=202214517")</f>
        <v>ictv.global=202214517</v>
      </c>
    </row>
    <row r="2129" spans="1:21">
      <c r="A2129">
        <v>2128</v>
      </c>
      <c r="B2129" s="29" t="s">
        <v>3682</v>
      </c>
      <c r="C2129" s="29"/>
      <c r="D2129" s="29" t="s">
        <v>3683</v>
      </c>
      <c r="E2129" s="29"/>
      <c r="F2129" s="29" t="s">
        <v>3686</v>
      </c>
      <c r="G2129" s="29"/>
      <c r="H2129" s="29" t="s">
        <v>3687</v>
      </c>
      <c r="I2129" s="29"/>
      <c r="J2129" s="29"/>
      <c r="K2129" s="29"/>
      <c r="L2129" s="29"/>
      <c r="M2129" s="29" t="s">
        <v>9296</v>
      </c>
      <c r="N2129" s="29" t="s">
        <v>9303</v>
      </c>
      <c r="O2129" s="29"/>
      <c r="P2129" s="29" t="s">
        <v>9304</v>
      </c>
      <c r="Q2129" t="s">
        <v>2038</v>
      </c>
      <c r="R2129" t="s">
        <v>2632</v>
      </c>
      <c r="S2129">
        <v>38</v>
      </c>
      <c r="T2129" s="43" t="str">
        <f>HYPERLINK("https://ictv.global/ictv/proposals/2022.012B.Beaumontvirinae_nsf.zip","2022.012B.Beaumontvirinae_nsf.zip")</f>
        <v>2022.012B.Beaumontvirinae_nsf.zip</v>
      </c>
      <c r="U2129" s="43" t="str">
        <f>HYPERLINK("https://ictv.global/taxonomy/taxondetails?taxnode_id=202214518","ictv.global=202214518")</f>
        <v>ictv.global=202214518</v>
      </c>
    </row>
    <row r="2130" spans="1:21">
      <c r="A2130">
        <v>2129</v>
      </c>
      <c r="B2130" s="29" t="s">
        <v>3682</v>
      </c>
      <c r="C2130" s="29"/>
      <c r="D2130" s="29" t="s">
        <v>3683</v>
      </c>
      <c r="E2130" s="29"/>
      <c r="F2130" s="29" t="s">
        <v>3686</v>
      </c>
      <c r="G2130" s="29"/>
      <c r="H2130" s="29" t="s">
        <v>3687</v>
      </c>
      <c r="I2130" s="29"/>
      <c r="J2130" s="29"/>
      <c r="K2130" s="29"/>
      <c r="L2130" s="29"/>
      <c r="M2130" s="29" t="s">
        <v>4588</v>
      </c>
      <c r="N2130" s="29" t="s">
        <v>4589</v>
      </c>
      <c r="O2130" s="29"/>
      <c r="P2130" s="29" t="s">
        <v>9305</v>
      </c>
      <c r="Q2130" t="s">
        <v>2038</v>
      </c>
      <c r="R2130" t="s">
        <v>2633</v>
      </c>
      <c r="S2130">
        <v>37</v>
      </c>
      <c r="T2130" s="43" t="str">
        <f t="shared" ref="T2130:T2159" si="91">HYPERLINK("https://ictv.global/ictv/proposals/2021.010B.R.Binomial_names.zip","2021.010B.R.Binomial_names.zip")</f>
        <v>2021.010B.R.Binomial_names.zip</v>
      </c>
      <c r="U2130" s="43" t="str">
        <f>HYPERLINK("https://ictv.global/taxonomy/taxondetails?taxnode_id=202209630","ictv.global=202209630")</f>
        <v>ictv.global=202209630</v>
      </c>
    </row>
    <row r="2131" spans="1:21">
      <c r="A2131">
        <v>2130</v>
      </c>
      <c r="B2131" s="29" t="s">
        <v>3682</v>
      </c>
      <c r="C2131" s="29"/>
      <c r="D2131" s="29" t="s">
        <v>3683</v>
      </c>
      <c r="E2131" s="29"/>
      <c r="F2131" s="29" t="s">
        <v>3686</v>
      </c>
      <c r="G2131" s="29"/>
      <c r="H2131" s="29" t="s">
        <v>3687</v>
      </c>
      <c r="I2131" s="29"/>
      <c r="J2131" s="29"/>
      <c r="K2131" s="29"/>
      <c r="L2131" s="29"/>
      <c r="M2131" s="29" t="s">
        <v>4588</v>
      </c>
      <c r="N2131" s="29" t="s">
        <v>4590</v>
      </c>
      <c r="O2131" s="29"/>
      <c r="P2131" s="29" t="s">
        <v>9306</v>
      </c>
      <c r="Q2131" t="s">
        <v>2038</v>
      </c>
      <c r="R2131" t="s">
        <v>2633</v>
      </c>
      <c r="S2131">
        <v>37</v>
      </c>
      <c r="T2131" s="43" t="str">
        <f t="shared" si="91"/>
        <v>2021.010B.R.Binomial_names.zip</v>
      </c>
      <c r="U2131" s="43" t="str">
        <f>HYPERLINK("https://ictv.global/taxonomy/taxondetails?taxnode_id=202209628","ictv.global=202209628")</f>
        <v>ictv.global=202209628</v>
      </c>
    </row>
    <row r="2132" spans="1:21">
      <c r="A2132">
        <v>2131</v>
      </c>
      <c r="B2132" s="29" t="s">
        <v>3682</v>
      </c>
      <c r="C2132" s="29"/>
      <c r="D2132" s="29" t="s">
        <v>3683</v>
      </c>
      <c r="E2132" s="29"/>
      <c r="F2132" s="29" t="s">
        <v>3686</v>
      </c>
      <c r="G2132" s="29"/>
      <c r="H2132" s="29" t="s">
        <v>3687</v>
      </c>
      <c r="I2132" s="29"/>
      <c r="J2132" s="29"/>
      <c r="K2132" s="29"/>
      <c r="L2132" s="29"/>
      <c r="M2132" s="29" t="s">
        <v>4588</v>
      </c>
      <c r="N2132" s="29" t="s">
        <v>4591</v>
      </c>
      <c r="O2132" s="29"/>
      <c r="P2132" s="29" t="s">
        <v>9307</v>
      </c>
      <c r="Q2132" t="s">
        <v>2038</v>
      </c>
      <c r="R2132" t="s">
        <v>2633</v>
      </c>
      <c r="S2132">
        <v>37</v>
      </c>
      <c r="T2132" s="43" t="str">
        <f t="shared" si="91"/>
        <v>2021.010B.R.Binomial_names.zip</v>
      </c>
      <c r="U2132" s="43" t="str">
        <f>HYPERLINK("https://ictv.global/taxonomy/taxondetails?taxnode_id=202209634","ictv.global=202209634")</f>
        <v>ictv.global=202209634</v>
      </c>
    </row>
    <row r="2133" spans="1:21">
      <c r="A2133">
        <v>2132</v>
      </c>
      <c r="B2133" s="29" t="s">
        <v>3682</v>
      </c>
      <c r="C2133" s="29"/>
      <c r="D2133" s="29" t="s">
        <v>3683</v>
      </c>
      <c r="E2133" s="29"/>
      <c r="F2133" s="29" t="s">
        <v>3686</v>
      </c>
      <c r="G2133" s="29"/>
      <c r="H2133" s="29" t="s">
        <v>3687</v>
      </c>
      <c r="I2133" s="29"/>
      <c r="J2133" s="29"/>
      <c r="K2133" s="29"/>
      <c r="L2133" s="29"/>
      <c r="M2133" s="29" t="s">
        <v>4588</v>
      </c>
      <c r="N2133" s="29" t="s">
        <v>4591</v>
      </c>
      <c r="O2133" s="29"/>
      <c r="P2133" s="29" t="s">
        <v>9308</v>
      </c>
      <c r="Q2133" t="s">
        <v>2038</v>
      </c>
      <c r="R2133" t="s">
        <v>2633</v>
      </c>
      <c r="S2133">
        <v>37</v>
      </c>
      <c r="T2133" s="43" t="str">
        <f t="shared" si="91"/>
        <v>2021.010B.R.Binomial_names.zip</v>
      </c>
      <c r="U2133" s="43" t="str">
        <f>HYPERLINK("https://ictv.global/taxonomy/taxondetails?taxnode_id=202209632","ictv.global=202209632")</f>
        <v>ictv.global=202209632</v>
      </c>
    </row>
    <row r="2134" spans="1:21">
      <c r="A2134">
        <v>2133</v>
      </c>
      <c r="B2134" s="29" t="s">
        <v>3682</v>
      </c>
      <c r="C2134" s="29"/>
      <c r="D2134" s="29" t="s">
        <v>3683</v>
      </c>
      <c r="E2134" s="29"/>
      <c r="F2134" s="29" t="s">
        <v>3686</v>
      </c>
      <c r="G2134" s="29"/>
      <c r="H2134" s="29" t="s">
        <v>3687</v>
      </c>
      <c r="I2134" s="29"/>
      <c r="J2134" s="29"/>
      <c r="K2134" s="29"/>
      <c r="L2134" s="29"/>
      <c r="M2134" s="29" t="s">
        <v>4588</v>
      </c>
      <c r="N2134" s="29" t="s">
        <v>4591</v>
      </c>
      <c r="O2134" s="29"/>
      <c r="P2134" s="29" t="s">
        <v>9309</v>
      </c>
      <c r="Q2134" t="s">
        <v>2038</v>
      </c>
      <c r="R2134" t="s">
        <v>2633</v>
      </c>
      <c r="S2134">
        <v>37</v>
      </c>
      <c r="T2134" s="43" t="str">
        <f t="shared" si="91"/>
        <v>2021.010B.R.Binomial_names.zip</v>
      </c>
      <c r="U2134" s="43" t="str">
        <f>HYPERLINK("https://ictv.global/taxonomy/taxondetails?taxnode_id=202209633","ictv.global=202209633")</f>
        <v>ictv.global=202209633</v>
      </c>
    </row>
    <row r="2135" spans="1:21">
      <c r="A2135">
        <v>2134</v>
      </c>
      <c r="B2135" s="29" t="s">
        <v>3682</v>
      </c>
      <c r="C2135" s="29"/>
      <c r="D2135" s="29" t="s">
        <v>3683</v>
      </c>
      <c r="E2135" s="29"/>
      <c r="F2135" s="29" t="s">
        <v>3686</v>
      </c>
      <c r="G2135" s="29"/>
      <c r="H2135" s="29" t="s">
        <v>3687</v>
      </c>
      <c r="I2135" s="29"/>
      <c r="J2135" s="29"/>
      <c r="K2135" s="29"/>
      <c r="L2135" s="29"/>
      <c r="M2135" s="29" t="s">
        <v>4670</v>
      </c>
      <c r="N2135" s="29" t="s">
        <v>2081</v>
      </c>
      <c r="O2135" s="29"/>
      <c r="P2135" s="29" t="s">
        <v>9310</v>
      </c>
      <c r="Q2135" t="s">
        <v>2038</v>
      </c>
      <c r="R2135" t="s">
        <v>2633</v>
      </c>
      <c r="S2135">
        <v>37</v>
      </c>
      <c r="T2135" s="43" t="str">
        <f t="shared" si="91"/>
        <v>2021.010B.R.Binomial_names.zip</v>
      </c>
      <c r="U2135" s="43" t="str">
        <f>HYPERLINK("https://ictv.global/taxonomy/taxondetails?taxnode_id=202209695","ictv.global=202209695")</f>
        <v>ictv.global=202209695</v>
      </c>
    </row>
    <row r="2136" spans="1:21">
      <c r="A2136">
        <v>2135</v>
      </c>
      <c r="B2136" s="29" t="s">
        <v>3682</v>
      </c>
      <c r="C2136" s="29"/>
      <c r="D2136" s="29" t="s">
        <v>3683</v>
      </c>
      <c r="E2136" s="29"/>
      <c r="F2136" s="29" t="s">
        <v>3686</v>
      </c>
      <c r="G2136" s="29"/>
      <c r="H2136" s="29" t="s">
        <v>3687</v>
      </c>
      <c r="I2136" s="29"/>
      <c r="J2136" s="29"/>
      <c r="K2136" s="29"/>
      <c r="L2136" s="29"/>
      <c r="M2136" s="29" t="s">
        <v>4670</v>
      </c>
      <c r="N2136" s="29" t="s">
        <v>2081</v>
      </c>
      <c r="O2136" s="29"/>
      <c r="P2136" s="29" t="s">
        <v>9311</v>
      </c>
      <c r="Q2136" t="s">
        <v>2038</v>
      </c>
      <c r="R2136" t="s">
        <v>2633</v>
      </c>
      <c r="S2136">
        <v>37</v>
      </c>
      <c r="T2136" s="43" t="str">
        <f t="shared" si="91"/>
        <v>2021.010B.R.Binomial_names.zip</v>
      </c>
      <c r="U2136" s="43" t="str">
        <f>HYPERLINK("https://ictv.global/taxonomy/taxondetails?taxnode_id=202200861","ictv.global=202200861")</f>
        <v>ictv.global=202200861</v>
      </c>
    </row>
    <row r="2137" spans="1:21">
      <c r="A2137">
        <v>2136</v>
      </c>
      <c r="B2137" s="29" t="s">
        <v>3682</v>
      </c>
      <c r="C2137" s="29"/>
      <c r="D2137" s="29" t="s">
        <v>3683</v>
      </c>
      <c r="E2137" s="29"/>
      <c r="F2137" s="29" t="s">
        <v>3686</v>
      </c>
      <c r="G2137" s="29"/>
      <c r="H2137" s="29" t="s">
        <v>3687</v>
      </c>
      <c r="I2137" s="29"/>
      <c r="J2137" s="29"/>
      <c r="K2137" s="29"/>
      <c r="L2137" s="29"/>
      <c r="M2137" s="29" t="s">
        <v>4670</v>
      </c>
      <c r="N2137" s="29" t="s">
        <v>2081</v>
      </c>
      <c r="O2137" s="29"/>
      <c r="P2137" s="29" t="s">
        <v>9312</v>
      </c>
      <c r="Q2137" t="s">
        <v>2038</v>
      </c>
      <c r="R2137" t="s">
        <v>2633</v>
      </c>
      <c r="S2137">
        <v>37</v>
      </c>
      <c r="T2137" s="43" t="str">
        <f t="shared" si="91"/>
        <v>2021.010B.R.Binomial_names.zip</v>
      </c>
      <c r="U2137" s="43" t="str">
        <f>HYPERLINK("https://ictv.global/taxonomy/taxondetails?taxnode_id=202209694","ictv.global=202209694")</f>
        <v>ictv.global=202209694</v>
      </c>
    </row>
    <row r="2138" spans="1:21">
      <c r="A2138">
        <v>2137</v>
      </c>
      <c r="B2138" s="29" t="s">
        <v>3682</v>
      </c>
      <c r="C2138" s="29"/>
      <c r="D2138" s="29" t="s">
        <v>3683</v>
      </c>
      <c r="E2138" s="29"/>
      <c r="F2138" s="29" t="s">
        <v>3686</v>
      </c>
      <c r="G2138" s="29"/>
      <c r="H2138" s="29" t="s">
        <v>3687</v>
      </c>
      <c r="I2138" s="29"/>
      <c r="J2138" s="29"/>
      <c r="K2138" s="29"/>
      <c r="L2138" s="29"/>
      <c r="M2138" s="29" t="s">
        <v>4670</v>
      </c>
      <c r="N2138" s="29" t="s">
        <v>2081</v>
      </c>
      <c r="O2138" s="29"/>
      <c r="P2138" s="29" t="s">
        <v>9313</v>
      </c>
      <c r="Q2138" t="s">
        <v>2038</v>
      </c>
      <c r="R2138" t="s">
        <v>2633</v>
      </c>
      <c r="S2138">
        <v>37</v>
      </c>
      <c r="T2138" s="43" t="str">
        <f t="shared" si="91"/>
        <v>2021.010B.R.Binomial_names.zip</v>
      </c>
      <c r="U2138" s="43" t="str">
        <f>HYPERLINK("https://ictv.global/taxonomy/taxondetails?taxnode_id=202209697","ictv.global=202209697")</f>
        <v>ictv.global=202209697</v>
      </c>
    </row>
    <row r="2139" spans="1:21">
      <c r="A2139">
        <v>2138</v>
      </c>
      <c r="B2139" s="29" t="s">
        <v>3682</v>
      </c>
      <c r="C2139" s="29"/>
      <c r="D2139" s="29" t="s">
        <v>3683</v>
      </c>
      <c r="E2139" s="29"/>
      <c r="F2139" s="29" t="s">
        <v>3686</v>
      </c>
      <c r="G2139" s="29"/>
      <c r="H2139" s="29" t="s">
        <v>3687</v>
      </c>
      <c r="I2139" s="29"/>
      <c r="J2139" s="29"/>
      <c r="K2139" s="29"/>
      <c r="L2139" s="29"/>
      <c r="M2139" s="29" t="s">
        <v>4670</v>
      </c>
      <c r="N2139" s="29" t="s">
        <v>2081</v>
      </c>
      <c r="O2139" s="29"/>
      <c r="P2139" s="29" t="s">
        <v>9314</v>
      </c>
      <c r="Q2139" t="s">
        <v>2038</v>
      </c>
      <c r="R2139" t="s">
        <v>2633</v>
      </c>
      <c r="S2139">
        <v>37</v>
      </c>
      <c r="T2139" s="43" t="str">
        <f t="shared" si="91"/>
        <v>2021.010B.R.Binomial_names.zip</v>
      </c>
      <c r="U2139" s="43" t="str">
        <f>HYPERLINK("https://ictv.global/taxonomy/taxondetails?taxnode_id=202209693","ictv.global=202209693")</f>
        <v>ictv.global=202209693</v>
      </c>
    </row>
    <row r="2140" spans="1:21">
      <c r="A2140">
        <v>2139</v>
      </c>
      <c r="B2140" s="29" t="s">
        <v>3682</v>
      </c>
      <c r="C2140" s="29"/>
      <c r="D2140" s="29" t="s">
        <v>3683</v>
      </c>
      <c r="E2140" s="29"/>
      <c r="F2140" s="29" t="s">
        <v>3686</v>
      </c>
      <c r="G2140" s="29"/>
      <c r="H2140" s="29" t="s">
        <v>3687</v>
      </c>
      <c r="I2140" s="29"/>
      <c r="J2140" s="29"/>
      <c r="K2140" s="29"/>
      <c r="L2140" s="29"/>
      <c r="M2140" s="29" t="s">
        <v>4670</v>
      </c>
      <c r="N2140" s="29" t="s">
        <v>2081</v>
      </c>
      <c r="O2140" s="29"/>
      <c r="P2140" s="29" t="s">
        <v>9315</v>
      </c>
      <c r="Q2140" t="s">
        <v>2038</v>
      </c>
      <c r="R2140" t="s">
        <v>2633</v>
      </c>
      <c r="S2140">
        <v>37</v>
      </c>
      <c r="T2140" s="43" t="str">
        <f t="shared" si="91"/>
        <v>2021.010B.R.Binomial_names.zip</v>
      </c>
      <c r="U2140" s="43" t="str">
        <f>HYPERLINK("https://ictv.global/taxonomy/taxondetails?taxnode_id=202209688","ictv.global=202209688")</f>
        <v>ictv.global=202209688</v>
      </c>
    </row>
    <row r="2141" spans="1:21">
      <c r="A2141">
        <v>2140</v>
      </c>
      <c r="B2141" s="29" t="s">
        <v>3682</v>
      </c>
      <c r="C2141" s="29"/>
      <c r="D2141" s="29" t="s">
        <v>3683</v>
      </c>
      <c r="E2141" s="29"/>
      <c r="F2141" s="29" t="s">
        <v>3686</v>
      </c>
      <c r="G2141" s="29"/>
      <c r="H2141" s="29" t="s">
        <v>3687</v>
      </c>
      <c r="I2141" s="29"/>
      <c r="J2141" s="29"/>
      <c r="K2141" s="29"/>
      <c r="L2141" s="29"/>
      <c r="M2141" s="29" t="s">
        <v>4670</v>
      </c>
      <c r="N2141" s="29" t="s">
        <v>2081</v>
      </c>
      <c r="O2141" s="29"/>
      <c r="P2141" s="29" t="s">
        <v>9316</v>
      </c>
      <c r="Q2141" t="s">
        <v>2038</v>
      </c>
      <c r="R2141" t="s">
        <v>2633</v>
      </c>
      <c r="S2141">
        <v>37</v>
      </c>
      <c r="T2141" s="43" t="str">
        <f t="shared" si="91"/>
        <v>2021.010B.R.Binomial_names.zip</v>
      </c>
      <c r="U2141" s="43" t="str">
        <f>HYPERLINK("https://ictv.global/taxonomy/taxondetails?taxnode_id=202209690","ictv.global=202209690")</f>
        <v>ictv.global=202209690</v>
      </c>
    </row>
    <row r="2142" spans="1:21">
      <c r="A2142">
        <v>2141</v>
      </c>
      <c r="B2142" s="29" t="s">
        <v>3682</v>
      </c>
      <c r="C2142" s="29"/>
      <c r="D2142" s="29" t="s">
        <v>3683</v>
      </c>
      <c r="E2142" s="29"/>
      <c r="F2142" s="29" t="s">
        <v>3686</v>
      </c>
      <c r="G2142" s="29"/>
      <c r="H2142" s="29" t="s">
        <v>3687</v>
      </c>
      <c r="I2142" s="29"/>
      <c r="J2142" s="29"/>
      <c r="K2142" s="29"/>
      <c r="L2142" s="29"/>
      <c r="M2142" s="29" t="s">
        <v>4670</v>
      </c>
      <c r="N2142" s="29" t="s">
        <v>2081</v>
      </c>
      <c r="O2142" s="29"/>
      <c r="P2142" s="29" t="s">
        <v>9317</v>
      </c>
      <c r="Q2142" t="s">
        <v>2038</v>
      </c>
      <c r="R2142" t="s">
        <v>2633</v>
      </c>
      <c r="S2142">
        <v>37</v>
      </c>
      <c r="T2142" s="43" t="str">
        <f t="shared" si="91"/>
        <v>2021.010B.R.Binomial_names.zip</v>
      </c>
      <c r="U2142" s="43" t="str">
        <f>HYPERLINK("https://ictv.global/taxonomy/taxondetails?taxnode_id=202209689","ictv.global=202209689")</f>
        <v>ictv.global=202209689</v>
      </c>
    </row>
    <row r="2143" spans="1:21">
      <c r="A2143">
        <v>2142</v>
      </c>
      <c r="B2143" s="29" t="s">
        <v>3682</v>
      </c>
      <c r="C2143" s="29"/>
      <c r="D2143" s="29" t="s">
        <v>3683</v>
      </c>
      <c r="E2143" s="29"/>
      <c r="F2143" s="29" t="s">
        <v>3686</v>
      </c>
      <c r="G2143" s="29"/>
      <c r="H2143" s="29" t="s">
        <v>3687</v>
      </c>
      <c r="I2143" s="29"/>
      <c r="J2143" s="29"/>
      <c r="K2143" s="29"/>
      <c r="L2143" s="29"/>
      <c r="M2143" s="29" t="s">
        <v>4670</v>
      </c>
      <c r="N2143" s="29" t="s">
        <v>2081</v>
      </c>
      <c r="O2143" s="29"/>
      <c r="P2143" s="29" t="s">
        <v>9318</v>
      </c>
      <c r="Q2143" t="s">
        <v>2038</v>
      </c>
      <c r="R2143" t="s">
        <v>2633</v>
      </c>
      <c r="S2143">
        <v>37</v>
      </c>
      <c r="T2143" s="43" t="str">
        <f t="shared" si="91"/>
        <v>2021.010B.R.Binomial_names.zip</v>
      </c>
      <c r="U2143" s="43" t="str">
        <f>HYPERLINK("https://ictv.global/taxonomy/taxondetails?taxnode_id=202209687","ictv.global=202209687")</f>
        <v>ictv.global=202209687</v>
      </c>
    </row>
    <row r="2144" spans="1:21">
      <c r="A2144">
        <v>2143</v>
      </c>
      <c r="B2144" s="29" t="s">
        <v>3682</v>
      </c>
      <c r="C2144" s="29"/>
      <c r="D2144" s="29" t="s">
        <v>3683</v>
      </c>
      <c r="E2144" s="29"/>
      <c r="F2144" s="29" t="s">
        <v>3686</v>
      </c>
      <c r="G2144" s="29"/>
      <c r="H2144" s="29" t="s">
        <v>3687</v>
      </c>
      <c r="I2144" s="29"/>
      <c r="J2144" s="29"/>
      <c r="K2144" s="29"/>
      <c r="L2144" s="29"/>
      <c r="M2144" s="29" t="s">
        <v>4670</v>
      </c>
      <c r="N2144" s="29" t="s">
        <v>2081</v>
      </c>
      <c r="O2144" s="29"/>
      <c r="P2144" s="29" t="s">
        <v>9319</v>
      </c>
      <c r="Q2144" t="s">
        <v>2038</v>
      </c>
      <c r="R2144" t="s">
        <v>2633</v>
      </c>
      <c r="S2144">
        <v>37</v>
      </c>
      <c r="T2144" s="43" t="str">
        <f t="shared" si="91"/>
        <v>2021.010B.R.Binomial_names.zip</v>
      </c>
      <c r="U2144" s="43" t="str">
        <f>HYPERLINK("https://ictv.global/taxonomy/taxondetails?taxnode_id=202209686","ictv.global=202209686")</f>
        <v>ictv.global=202209686</v>
      </c>
    </row>
    <row r="2145" spans="1:21">
      <c r="A2145">
        <v>2144</v>
      </c>
      <c r="B2145" s="29" t="s">
        <v>3682</v>
      </c>
      <c r="C2145" s="29"/>
      <c r="D2145" s="29" t="s">
        <v>3683</v>
      </c>
      <c r="E2145" s="29"/>
      <c r="F2145" s="29" t="s">
        <v>3686</v>
      </c>
      <c r="G2145" s="29"/>
      <c r="H2145" s="29" t="s">
        <v>3687</v>
      </c>
      <c r="I2145" s="29"/>
      <c r="J2145" s="29"/>
      <c r="K2145" s="29"/>
      <c r="L2145" s="29"/>
      <c r="M2145" s="29" t="s">
        <v>4670</v>
      </c>
      <c r="N2145" s="29" t="s">
        <v>2081</v>
      </c>
      <c r="O2145" s="29"/>
      <c r="P2145" s="29" t="s">
        <v>9320</v>
      </c>
      <c r="Q2145" t="s">
        <v>2038</v>
      </c>
      <c r="R2145" t="s">
        <v>2633</v>
      </c>
      <c r="S2145">
        <v>37</v>
      </c>
      <c r="T2145" s="43" t="str">
        <f t="shared" si="91"/>
        <v>2021.010B.R.Binomial_names.zip</v>
      </c>
      <c r="U2145" s="43" t="str">
        <f>HYPERLINK("https://ictv.global/taxonomy/taxondetails?taxnode_id=202209696","ictv.global=202209696")</f>
        <v>ictv.global=202209696</v>
      </c>
    </row>
    <row r="2146" spans="1:21">
      <c r="A2146">
        <v>2145</v>
      </c>
      <c r="B2146" s="29" t="s">
        <v>3682</v>
      </c>
      <c r="C2146" s="29"/>
      <c r="D2146" s="29" t="s">
        <v>3683</v>
      </c>
      <c r="E2146" s="29"/>
      <c r="F2146" s="29" t="s">
        <v>3686</v>
      </c>
      <c r="G2146" s="29"/>
      <c r="H2146" s="29" t="s">
        <v>3687</v>
      </c>
      <c r="I2146" s="29"/>
      <c r="J2146" s="29"/>
      <c r="K2146" s="29"/>
      <c r="L2146" s="29"/>
      <c r="M2146" s="29" t="s">
        <v>4670</v>
      </c>
      <c r="N2146" s="29" t="s">
        <v>2081</v>
      </c>
      <c r="O2146" s="29"/>
      <c r="P2146" s="29" t="s">
        <v>9321</v>
      </c>
      <c r="Q2146" t="s">
        <v>2038</v>
      </c>
      <c r="R2146" t="s">
        <v>2633</v>
      </c>
      <c r="S2146">
        <v>37</v>
      </c>
      <c r="T2146" s="43" t="str">
        <f t="shared" si="91"/>
        <v>2021.010B.R.Binomial_names.zip</v>
      </c>
      <c r="U2146" s="43" t="str">
        <f>HYPERLINK("https://ictv.global/taxonomy/taxondetails?taxnode_id=202209698","ictv.global=202209698")</f>
        <v>ictv.global=202209698</v>
      </c>
    </row>
    <row r="2147" spans="1:21">
      <c r="A2147">
        <v>2146</v>
      </c>
      <c r="B2147" s="29" t="s">
        <v>3682</v>
      </c>
      <c r="C2147" s="29"/>
      <c r="D2147" s="29" t="s">
        <v>3683</v>
      </c>
      <c r="E2147" s="29"/>
      <c r="F2147" s="29" t="s">
        <v>3686</v>
      </c>
      <c r="G2147" s="29"/>
      <c r="H2147" s="29" t="s">
        <v>3687</v>
      </c>
      <c r="I2147" s="29"/>
      <c r="J2147" s="29"/>
      <c r="K2147" s="29"/>
      <c r="L2147" s="29"/>
      <c r="M2147" s="29" t="s">
        <v>4670</v>
      </c>
      <c r="N2147" s="29" t="s">
        <v>2081</v>
      </c>
      <c r="O2147" s="29"/>
      <c r="P2147" s="29" t="s">
        <v>9322</v>
      </c>
      <c r="Q2147" t="s">
        <v>2038</v>
      </c>
      <c r="R2147" t="s">
        <v>2633</v>
      </c>
      <c r="S2147">
        <v>37</v>
      </c>
      <c r="T2147" s="43" t="str">
        <f t="shared" si="91"/>
        <v>2021.010B.R.Binomial_names.zip</v>
      </c>
      <c r="U2147" s="43" t="str">
        <f>HYPERLINK("https://ictv.global/taxonomy/taxondetails?taxnode_id=202209691","ictv.global=202209691")</f>
        <v>ictv.global=202209691</v>
      </c>
    </row>
    <row r="2148" spans="1:21">
      <c r="A2148">
        <v>2147</v>
      </c>
      <c r="B2148" s="29" t="s">
        <v>3682</v>
      </c>
      <c r="C2148" s="29"/>
      <c r="D2148" s="29" t="s">
        <v>3683</v>
      </c>
      <c r="E2148" s="29"/>
      <c r="F2148" s="29" t="s">
        <v>3686</v>
      </c>
      <c r="G2148" s="29"/>
      <c r="H2148" s="29" t="s">
        <v>3687</v>
      </c>
      <c r="I2148" s="29"/>
      <c r="J2148" s="29"/>
      <c r="K2148" s="29"/>
      <c r="L2148" s="29"/>
      <c r="M2148" s="29" t="s">
        <v>4670</v>
      </c>
      <c r="N2148" s="29" t="s">
        <v>2081</v>
      </c>
      <c r="O2148" s="29"/>
      <c r="P2148" s="29" t="s">
        <v>9323</v>
      </c>
      <c r="Q2148" t="s">
        <v>2038</v>
      </c>
      <c r="R2148" t="s">
        <v>2633</v>
      </c>
      <c r="S2148">
        <v>37</v>
      </c>
      <c r="T2148" s="43" t="str">
        <f t="shared" si="91"/>
        <v>2021.010B.R.Binomial_names.zip</v>
      </c>
      <c r="U2148" s="43" t="str">
        <f>HYPERLINK("https://ictv.global/taxonomy/taxondetails?taxnode_id=202209692","ictv.global=202209692")</f>
        <v>ictv.global=202209692</v>
      </c>
    </row>
    <row r="2149" spans="1:21">
      <c r="A2149">
        <v>2148</v>
      </c>
      <c r="B2149" s="29" t="s">
        <v>3682</v>
      </c>
      <c r="C2149" s="29"/>
      <c r="D2149" s="29" t="s">
        <v>3683</v>
      </c>
      <c r="E2149" s="29"/>
      <c r="F2149" s="29" t="s">
        <v>3686</v>
      </c>
      <c r="G2149" s="29"/>
      <c r="H2149" s="29" t="s">
        <v>3687</v>
      </c>
      <c r="I2149" s="29"/>
      <c r="J2149" s="29"/>
      <c r="K2149" s="29"/>
      <c r="L2149" s="29"/>
      <c r="M2149" s="29" t="s">
        <v>4670</v>
      </c>
      <c r="N2149" s="29" t="s">
        <v>4671</v>
      </c>
      <c r="O2149" s="29"/>
      <c r="P2149" s="29" t="s">
        <v>9324</v>
      </c>
      <c r="Q2149" t="s">
        <v>2038</v>
      </c>
      <c r="R2149" t="s">
        <v>2633</v>
      </c>
      <c r="S2149">
        <v>37</v>
      </c>
      <c r="T2149" s="43" t="str">
        <f t="shared" si="91"/>
        <v>2021.010B.R.Binomial_names.zip</v>
      </c>
      <c r="U2149" s="43" t="str">
        <f>HYPERLINK("https://ictv.global/taxonomy/taxondetails?taxnode_id=202209685","ictv.global=202209685")</f>
        <v>ictv.global=202209685</v>
      </c>
    </row>
    <row r="2150" spans="1:21">
      <c r="A2150">
        <v>2149</v>
      </c>
      <c r="B2150" s="29" t="s">
        <v>3682</v>
      </c>
      <c r="C2150" s="29"/>
      <c r="D2150" s="29" t="s">
        <v>3683</v>
      </c>
      <c r="E2150" s="29"/>
      <c r="F2150" s="29" t="s">
        <v>3686</v>
      </c>
      <c r="G2150" s="29"/>
      <c r="H2150" s="29" t="s">
        <v>3687</v>
      </c>
      <c r="I2150" s="29"/>
      <c r="J2150" s="29"/>
      <c r="K2150" s="29"/>
      <c r="L2150" s="29"/>
      <c r="M2150" s="29" t="s">
        <v>4670</v>
      </c>
      <c r="N2150" s="29" t="s">
        <v>4671</v>
      </c>
      <c r="O2150" s="29"/>
      <c r="P2150" s="29" t="s">
        <v>9325</v>
      </c>
      <c r="Q2150" t="s">
        <v>2038</v>
      </c>
      <c r="R2150" t="s">
        <v>2633</v>
      </c>
      <c r="S2150">
        <v>37</v>
      </c>
      <c r="T2150" s="43" t="str">
        <f t="shared" si="91"/>
        <v>2021.010B.R.Binomial_names.zip</v>
      </c>
      <c r="U2150" s="43" t="str">
        <f>HYPERLINK("https://ictv.global/taxonomy/taxondetails?taxnode_id=202209683","ictv.global=202209683")</f>
        <v>ictv.global=202209683</v>
      </c>
    </row>
    <row r="2151" spans="1:21">
      <c r="A2151">
        <v>2150</v>
      </c>
      <c r="B2151" s="29" t="s">
        <v>3682</v>
      </c>
      <c r="C2151" s="29"/>
      <c r="D2151" s="29" t="s">
        <v>3683</v>
      </c>
      <c r="E2151" s="29"/>
      <c r="F2151" s="29" t="s">
        <v>3686</v>
      </c>
      <c r="G2151" s="29"/>
      <c r="H2151" s="29" t="s">
        <v>3687</v>
      </c>
      <c r="I2151" s="29"/>
      <c r="J2151" s="29"/>
      <c r="K2151" s="29"/>
      <c r="L2151" s="29"/>
      <c r="M2151" s="29" t="s">
        <v>4670</v>
      </c>
      <c r="N2151" s="29" t="s">
        <v>4671</v>
      </c>
      <c r="O2151" s="29"/>
      <c r="P2151" s="29" t="s">
        <v>9326</v>
      </c>
      <c r="Q2151" t="s">
        <v>2038</v>
      </c>
      <c r="R2151" t="s">
        <v>2633</v>
      </c>
      <c r="S2151">
        <v>37</v>
      </c>
      <c r="T2151" s="43" t="str">
        <f t="shared" si="91"/>
        <v>2021.010B.R.Binomial_names.zip</v>
      </c>
      <c r="U2151" s="43" t="str">
        <f>HYPERLINK("https://ictv.global/taxonomy/taxondetails?taxnode_id=202200860","ictv.global=202200860")</f>
        <v>ictv.global=202200860</v>
      </c>
    </row>
    <row r="2152" spans="1:21">
      <c r="A2152">
        <v>2151</v>
      </c>
      <c r="B2152" s="29" t="s">
        <v>3682</v>
      </c>
      <c r="C2152" s="29"/>
      <c r="D2152" s="29" t="s">
        <v>3683</v>
      </c>
      <c r="E2152" s="29"/>
      <c r="F2152" s="29" t="s">
        <v>3686</v>
      </c>
      <c r="G2152" s="29"/>
      <c r="H2152" s="29" t="s">
        <v>3687</v>
      </c>
      <c r="I2152" s="29"/>
      <c r="J2152" s="29"/>
      <c r="K2152" s="29"/>
      <c r="L2152" s="29"/>
      <c r="M2152" s="29" t="s">
        <v>4670</v>
      </c>
      <c r="N2152" s="29" t="s">
        <v>4671</v>
      </c>
      <c r="O2152" s="29"/>
      <c r="P2152" s="29" t="s">
        <v>9327</v>
      </c>
      <c r="Q2152" t="s">
        <v>2038</v>
      </c>
      <c r="R2152" t="s">
        <v>2633</v>
      </c>
      <c r="S2152">
        <v>37</v>
      </c>
      <c r="T2152" s="43" t="str">
        <f t="shared" si="91"/>
        <v>2021.010B.R.Binomial_names.zip</v>
      </c>
      <c r="U2152" s="43" t="str">
        <f>HYPERLINK("https://ictv.global/taxonomy/taxondetails?taxnode_id=202209684","ictv.global=202209684")</f>
        <v>ictv.global=202209684</v>
      </c>
    </row>
    <row r="2153" spans="1:21">
      <c r="A2153">
        <v>2152</v>
      </c>
      <c r="B2153" s="29" t="s">
        <v>3682</v>
      </c>
      <c r="C2153" s="29"/>
      <c r="D2153" s="29" t="s">
        <v>3683</v>
      </c>
      <c r="E2153" s="29"/>
      <c r="F2153" s="29" t="s">
        <v>3686</v>
      </c>
      <c r="G2153" s="29"/>
      <c r="H2153" s="29" t="s">
        <v>3687</v>
      </c>
      <c r="I2153" s="29"/>
      <c r="J2153" s="29"/>
      <c r="K2153" s="29"/>
      <c r="L2153" s="29"/>
      <c r="M2153" s="29" t="s">
        <v>4670</v>
      </c>
      <c r="N2153" s="29" t="s">
        <v>4671</v>
      </c>
      <c r="O2153" s="29"/>
      <c r="P2153" s="29" t="s">
        <v>9328</v>
      </c>
      <c r="Q2153" t="s">
        <v>2038</v>
      </c>
      <c r="R2153" t="s">
        <v>2633</v>
      </c>
      <c r="S2153">
        <v>37</v>
      </c>
      <c r="T2153" s="43" t="str">
        <f t="shared" si="91"/>
        <v>2021.010B.R.Binomial_names.zip</v>
      </c>
      <c r="U2153" s="43" t="str">
        <f>HYPERLINK("https://ictv.global/taxonomy/taxondetails?taxnode_id=202209681","ictv.global=202209681")</f>
        <v>ictv.global=202209681</v>
      </c>
    </row>
    <row r="2154" spans="1:21">
      <c r="A2154">
        <v>2153</v>
      </c>
      <c r="B2154" s="29" t="s">
        <v>3682</v>
      </c>
      <c r="C2154" s="29"/>
      <c r="D2154" s="29" t="s">
        <v>3683</v>
      </c>
      <c r="E2154" s="29"/>
      <c r="F2154" s="29" t="s">
        <v>3686</v>
      </c>
      <c r="G2154" s="29"/>
      <c r="H2154" s="29" t="s">
        <v>3687</v>
      </c>
      <c r="I2154" s="29"/>
      <c r="J2154" s="29"/>
      <c r="K2154" s="29"/>
      <c r="L2154" s="29"/>
      <c r="M2154" s="29" t="s">
        <v>4670</v>
      </c>
      <c r="N2154" s="29" t="s">
        <v>4671</v>
      </c>
      <c r="O2154" s="29"/>
      <c r="P2154" s="29" t="s">
        <v>9329</v>
      </c>
      <c r="Q2154" t="s">
        <v>2038</v>
      </c>
      <c r="R2154" t="s">
        <v>2633</v>
      </c>
      <c r="S2154">
        <v>37</v>
      </c>
      <c r="T2154" s="43" t="str">
        <f t="shared" si="91"/>
        <v>2021.010B.R.Binomial_names.zip</v>
      </c>
      <c r="U2154" s="43" t="str">
        <f>HYPERLINK("https://ictv.global/taxonomy/taxondetails?taxnode_id=202209678","ictv.global=202209678")</f>
        <v>ictv.global=202209678</v>
      </c>
    </row>
    <row r="2155" spans="1:21">
      <c r="A2155">
        <v>2154</v>
      </c>
      <c r="B2155" s="29" t="s">
        <v>3682</v>
      </c>
      <c r="C2155" s="29"/>
      <c r="D2155" s="29" t="s">
        <v>3683</v>
      </c>
      <c r="E2155" s="29"/>
      <c r="F2155" s="29" t="s">
        <v>3686</v>
      </c>
      <c r="G2155" s="29"/>
      <c r="H2155" s="29" t="s">
        <v>3687</v>
      </c>
      <c r="I2155" s="29"/>
      <c r="J2155" s="29"/>
      <c r="K2155" s="29"/>
      <c r="L2155" s="29"/>
      <c r="M2155" s="29" t="s">
        <v>4670</v>
      </c>
      <c r="N2155" s="29" t="s">
        <v>4671</v>
      </c>
      <c r="O2155" s="29"/>
      <c r="P2155" s="29" t="s">
        <v>9330</v>
      </c>
      <c r="Q2155" t="s">
        <v>2038</v>
      </c>
      <c r="R2155" t="s">
        <v>2633</v>
      </c>
      <c r="S2155">
        <v>37</v>
      </c>
      <c r="T2155" s="43" t="str">
        <f t="shared" si="91"/>
        <v>2021.010B.R.Binomial_names.zip</v>
      </c>
      <c r="U2155" s="43" t="str">
        <f>HYPERLINK("https://ictv.global/taxonomy/taxondetails?taxnode_id=202200862","ictv.global=202200862")</f>
        <v>ictv.global=202200862</v>
      </c>
    </row>
    <row r="2156" spans="1:21">
      <c r="A2156">
        <v>2155</v>
      </c>
      <c r="B2156" s="29" t="s">
        <v>3682</v>
      </c>
      <c r="C2156" s="29"/>
      <c r="D2156" s="29" t="s">
        <v>3683</v>
      </c>
      <c r="E2156" s="29"/>
      <c r="F2156" s="29" t="s">
        <v>3686</v>
      </c>
      <c r="G2156" s="29"/>
      <c r="H2156" s="29" t="s">
        <v>3687</v>
      </c>
      <c r="I2156" s="29"/>
      <c r="J2156" s="29"/>
      <c r="K2156" s="29"/>
      <c r="L2156" s="29"/>
      <c r="M2156" s="29" t="s">
        <v>4670</v>
      </c>
      <c r="N2156" s="29" t="s">
        <v>4671</v>
      </c>
      <c r="O2156" s="29"/>
      <c r="P2156" s="29" t="s">
        <v>9331</v>
      </c>
      <c r="Q2156" t="s">
        <v>2038</v>
      </c>
      <c r="R2156" t="s">
        <v>2633</v>
      </c>
      <c r="S2156">
        <v>37</v>
      </c>
      <c r="T2156" s="43" t="str">
        <f t="shared" si="91"/>
        <v>2021.010B.R.Binomial_names.zip</v>
      </c>
      <c r="U2156" s="43" t="str">
        <f>HYPERLINK("https://ictv.global/taxonomy/taxondetails?taxnode_id=202209680","ictv.global=202209680")</f>
        <v>ictv.global=202209680</v>
      </c>
    </row>
    <row r="2157" spans="1:21">
      <c r="A2157">
        <v>2156</v>
      </c>
      <c r="B2157" s="29" t="s">
        <v>3682</v>
      </c>
      <c r="C2157" s="29"/>
      <c r="D2157" s="29" t="s">
        <v>3683</v>
      </c>
      <c r="E2157" s="29"/>
      <c r="F2157" s="29" t="s">
        <v>3686</v>
      </c>
      <c r="G2157" s="29"/>
      <c r="H2157" s="29" t="s">
        <v>3687</v>
      </c>
      <c r="I2157" s="29"/>
      <c r="J2157" s="29"/>
      <c r="K2157" s="29"/>
      <c r="L2157" s="29"/>
      <c r="M2157" s="29" t="s">
        <v>4670</v>
      </c>
      <c r="N2157" s="29" t="s">
        <v>4671</v>
      </c>
      <c r="O2157" s="29"/>
      <c r="P2157" s="29" t="s">
        <v>9332</v>
      </c>
      <c r="Q2157" t="s">
        <v>2038</v>
      </c>
      <c r="R2157" t="s">
        <v>2633</v>
      </c>
      <c r="S2157">
        <v>37</v>
      </c>
      <c r="T2157" s="43" t="str">
        <f t="shared" si="91"/>
        <v>2021.010B.R.Binomial_names.zip</v>
      </c>
      <c r="U2157" s="43" t="str">
        <f>HYPERLINK("https://ictv.global/taxonomy/taxondetails?taxnode_id=202209682","ictv.global=202209682")</f>
        <v>ictv.global=202209682</v>
      </c>
    </row>
    <row r="2158" spans="1:21">
      <c r="A2158">
        <v>2157</v>
      </c>
      <c r="B2158" s="29" t="s">
        <v>3682</v>
      </c>
      <c r="C2158" s="29"/>
      <c r="D2158" s="29" t="s">
        <v>3683</v>
      </c>
      <c r="E2158" s="29"/>
      <c r="F2158" s="29" t="s">
        <v>3686</v>
      </c>
      <c r="G2158" s="29"/>
      <c r="H2158" s="29" t="s">
        <v>3687</v>
      </c>
      <c r="I2158" s="29"/>
      <c r="J2158" s="29"/>
      <c r="K2158" s="29"/>
      <c r="L2158" s="29"/>
      <c r="M2158" s="29" t="s">
        <v>4670</v>
      </c>
      <c r="N2158" s="29" t="s">
        <v>4671</v>
      </c>
      <c r="O2158" s="29"/>
      <c r="P2158" s="29" t="s">
        <v>9333</v>
      </c>
      <c r="Q2158" t="s">
        <v>2038</v>
      </c>
      <c r="R2158" t="s">
        <v>2633</v>
      </c>
      <c r="S2158">
        <v>37</v>
      </c>
      <c r="T2158" s="43" t="str">
        <f t="shared" si="91"/>
        <v>2021.010B.R.Binomial_names.zip</v>
      </c>
      <c r="U2158" s="43" t="str">
        <f>HYPERLINK("https://ictv.global/taxonomy/taxondetails?taxnode_id=202209679","ictv.global=202209679")</f>
        <v>ictv.global=202209679</v>
      </c>
    </row>
    <row r="2159" spans="1:21">
      <c r="A2159">
        <v>2158</v>
      </c>
      <c r="B2159" s="29" t="s">
        <v>3682</v>
      </c>
      <c r="C2159" s="29"/>
      <c r="D2159" s="29" t="s">
        <v>3683</v>
      </c>
      <c r="E2159" s="29"/>
      <c r="F2159" s="29" t="s">
        <v>3686</v>
      </c>
      <c r="G2159" s="29"/>
      <c r="H2159" s="29" t="s">
        <v>3687</v>
      </c>
      <c r="I2159" s="29"/>
      <c r="J2159" s="29"/>
      <c r="K2159" s="29"/>
      <c r="L2159" s="29"/>
      <c r="M2159" s="29" t="s">
        <v>9334</v>
      </c>
      <c r="N2159" s="29" t="s">
        <v>3398</v>
      </c>
      <c r="O2159" s="29"/>
      <c r="P2159" s="29" t="s">
        <v>9335</v>
      </c>
      <c r="Q2159" t="s">
        <v>2038</v>
      </c>
      <c r="R2159" t="s">
        <v>2633</v>
      </c>
      <c r="S2159">
        <v>37</v>
      </c>
      <c r="T2159" s="43" t="str">
        <f t="shared" si="91"/>
        <v>2021.010B.R.Binomial_names.zip</v>
      </c>
      <c r="U2159" s="43" t="str">
        <f>HYPERLINK("https://ictv.global/taxonomy/taxondetails?taxnode_id=202200413","ictv.global=202200413")</f>
        <v>ictv.global=202200413</v>
      </c>
    </row>
    <row r="2160" spans="1:21">
      <c r="A2160">
        <v>2159</v>
      </c>
      <c r="B2160" s="29" t="s">
        <v>3682</v>
      </c>
      <c r="C2160" s="29"/>
      <c r="D2160" s="29" t="s">
        <v>3683</v>
      </c>
      <c r="E2160" s="29"/>
      <c r="F2160" s="29" t="s">
        <v>3686</v>
      </c>
      <c r="G2160" s="29"/>
      <c r="H2160" s="29" t="s">
        <v>3687</v>
      </c>
      <c r="I2160" s="29"/>
      <c r="J2160" s="29"/>
      <c r="K2160" s="29"/>
      <c r="L2160" s="29"/>
      <c r="M2160" s="29" t="s">
        <v>9334</v>
      </c>
      <c r="N2160" s="29" t="s">
        <v>3398</v>
      </c>
      <c r="O2160" s="29"/>
      <c r="P2160" s="29" t="s">
        <v>9336</v>
      </c>
      <c r="Q2160" t="s">
        <v>2038</v>
      </c>
      <c r="R2160" t="s">
        <v>2632</v>
      </c>
      <c r="S2160">
        <v>37</v>
      </c>
      <c r="T2160" s="43" t="str">
        <f>HYPERLINK("https://ictv.global/ictv/proposals/2021.016B.R.Ceeclamvirinae.zip","2021.016B.R.Ceeclamvirinae.zip")</f>
        <v>2021.016B.R.Ceeclamvirinae.zip</v>
      </c>
      <c r="U2160" s="43" t="str">
        <f>HYPERLINK("https://ictv.global/taxonomy/taxondetails?taxnode_id=202213038","ictv.global=202213038")</f>
        <v>ictv.global=202213038</v>
      </c>
    </row>
    <row r="2161" spans="1:21">
      <c r="A2161">
        <v>2160</v>
      </c>
      <c r="B2161" s="29" t="s">
        <v>3682</v>
      </c>
      <c r="C2161" s="29"/>
      <c r="D2161" s="29" t="s">
        <v>3683</v>
      </c>
      <c r="E2161" s="29"/>
      <c r="F2161" s="29" t="s">
        <v>3686</v>
      </c>
      <c r="G2161" s="29"/>
      <c r="H2161" s="29" t="s">
        <v>3687</v>
      </c>
      <c r="I2161" s="29"/>
      <c r="J2161" s="29"/>
      <c r="K2161" s="29"/>
      <c r="L2161" s="29"/>
      <c r="M2161" s="29" t="s">
        <v>9334</v>
      </c>
      <c r="N2161" s="29" t="s">
        <v>3398</v>
      </c>
      <c r="O2161" s="29"/>
      <c r="P2161" s="29" t="s">
        <v>9337</v>
      </c>
      <c r="Q2161" t="s">
        <v>2038</v>
      </c>
      <c r="R2161" t="s">
        <v>2632</v>
      </c>
      <c r="S2161">
        <v>37</v>
      </c>
      <c r="T2161" s="43" t="str">
        <f>HYPERLINK("https://ictv.global/ictv/proposals/2021.016B.R.Ceeclamvirinae.zip","2021.016B.R.Ceeclamvirinae.zip")</f>
        <v>2021.016B.R.Ceeclamvirinae.zip</v>
      </c>
      <c r="U2161" s="43" t="str">
        <f>HYPERLINK("https://ictv.global/taxonomy/taxondetails?taxnode_id=202213039","ictv.global=202213039")</f>
        <v>ictv.global=202213039</v>
      </c>
    </row>
    <row r="2162" spans="1:21">
      <c r="A2162">
        <v>2161</v>
      </c>
      <c r="B2162" s="29" t="s">
        <v>3682</v>
      </c>
      <c r="C2162" s="29"/>
      <c r="D2162" s="29" t="s">
        <v>3683</v>
      </c>
      <c r="E2162" s="29"/>
      <c r="F2162" s="29" t="s">
        <v>3686</v>
      </c>
      <c r="G2162" s="29"/>
      <c r="H2162" s="29" t="s">
        <v>3687</v>
      </c>
      <c r="I2162" s="29"/>
      <c r="J2162" s="29"/>
      <c r="K2162" s="29"/>
      <c r="L2162" s="29"/>
      <c r="M2162" s="29" t="s">
        <v>9334</v>
      </c>
      <c r="N2162" s="29" t="s">
        <v>3398</v>
      </c>
      <c r="O2162" s="29"/>
      <c r="P2162" s="29" t="s">
        <v>9338</v>
      </c>
      <c r="Q2162" t="s">
        <v>2038</v>
      </c>
      <c r="R2162" t="s">
        <v>2633</v>
      </c>
      <c r="S2162">
        <v>37</v>
      </c>
      <c r="T2162" s="43" t="str">
        <f>HYPERLINK("https://ictv.global/ictv/proposals/2021.010B.R.Binomial_names.zip","2021.010B.R.Binomial_names.zip")</f>
        <v>2021.010B.R.Binomial_names.zip</v>
      </c>
      <c r="U2162" s="43" t="str">
        <f>HYPERLINK("https://ictv.global/taxonomy/taxondetails?taxnode_id=202200414","ictv.global=202200414")</f>
        <v>ictv.global=202200414</v>
      </c>
    </row>
    <row r="2163" spans="1:21">
      <c r="A2163">
        <v>2162</v>
      </c>
      <c r="B2163" s="29" t="s">
        <v>3682</v>
      </c>
      <c r="C2163" s="29"/>
      <c r="D2163" s="29" t="s">
        <v>3683</v>
      </c>
      <c r="E2163" s="29"/>
      <c r="F2163" s="29" t="s">
        <v>3686</v>
      </c>
      <c r="G2163" s="29"/>
      <c r="H2163" s="29" t="s">
        <v>3687</v>
      </c>
      <c r="I2163" s="29"/>
      <c r="J2163" s="29"/>
      <c r="K2163" s="29"/>
      <c r="L2163" s="29"/>
      <c r="M2163" s="29" t="s">
        <v>9334</v>
      </c>
      <c r="N2163" s="29" t="s">
        <v>3398</v>
      </c>
      <c r="O2163" s="29"/>
      <c r="P2163" s="29" t="s">
        <v>9339</v>
      </c>
      <c r="Q2163" t="s">
        <v>2038</v>
      </c>
      <c r="R2163" t="s">
        <v>2632</v>
      </c>
      <c r="S2163">
        <v>37</v>
      </c>
      <c r="T2163" s="43" t="str">
        <f>HYPERLINK("https://ictv.global/ictv/proposals/2021.016B.R.Ceeclamvirinae.zip","2021.016B.R.Ceeclamvirinae.zip")</f>
        <v>2021.016B.R.Ceeclamvirinae.zip</v>
      </c>
      <c r="U2163" s="43" t="str">
        <f>HYPERLINK("https://ictv.global/taxonomy/taxondetails?taxnode_id=202213040","ictv.global=202213040")</f>
        <v>ictv.global=202213040</v>
      </c>
    </row>
    <row r="2164" spans="1:21">
      <c r="A2164">
        <v>2163</v>
      </c>
      <c r="B2164" s="29" t="s">
        <v>3682</v>
      </c>
      <c r="C2164" s="29"/>
      <c r="D2164" s="29" t="s">
        <v>3683</v>
      </c>
      <c r="E2164" s="29"/>
      <c r="F2164" s="29" t="s">
        <v>3686</v>
      </c>
      <c r="G2164" s="29"/>
      <c r="H2164" s="29" t="s">
        <v>3687</v>
      </c>
      <c r="I2164" s="29"/>
      <c r="J2164" s="29"/>
      <c r="K2164" s="29"/>
      <c r="L2164" s="29"/>
      <c r="M2164" s="29" t="s">
        <v>9334</v>
      </c>
      <c r="N2164" s="29" t="s">
        <v>3398</v>
      </c>
      <c r="O2164" s="29"/>
      <c r="P2164" s="29" t="s">
        <v>9340</v>
      </c>
      <c r="Q2164" t="s">
        <v>2038</v>
      </c>
      <c r="R2164" t="s">
        <v>2632</v>
      </c>
      <c r="S2164">
        <v>37</v>
      </c>
      <c r="T2164" s="43" t="str">
        <f>HYPERLINK("https://ictv.global/ictv/proposals/2021.016B.R.Ceeclamvirinae.zip","2021.016B.R.Ceeclamvirinae.zip")</f>
        <v>2021.016B.R.Ceeclamvirinae.zip</v>
      </c>
      <c r="U2164" s="43" t="str">
        <f>HYPERLINK("https://ictv.global/taxonomy/taxondetails?taxnode_id=202213041","ictv.global=202213041")</f>
        <v>ictv.global=202213041</v>
      </c>
    </row>
    <row r="2165" spans="1:21">
      <c r="A2165">
        <v>2164</v>
      </c>
      <c r="B2165" s="29" t="s">
        <v>3682</v>
      </c>
      <c r="C2165" s="29"/>
      <c r="D2165" s="29" t="s">
        <v>3683</v>
      </c>
      <c r="E2165" s="29"/>
      <c r="F2165" s="29" t="s">
        <v>3686</v>
      </c>
      <c r="G2165" s="29"/>
      <c r="H2165" s="29" t="s">
        <v>3687</v>
      </c>
      <c r="I2165" s="29"/>
      <c r="J2165" s="29"/>
      <c r="K2165" s="29"/>
      <c r="L2165" s="29"/>
      <c r="M2165" s="29" t="s">
        <v>9334</v>
      </c>
      <c r="N2165" s="29" t="s">
        <v>3398</v>
      </c>
      <c r="O2165" s="29"/>
      <c r="P2165" s="29" t="s">
        <v>9341</v>
      </c>
      <c r="Q2165" t="s">
        <v>2038</v>
      </c>
      <c r="R2165" t="s">
        <v>2633</v>
      </c>
      <c r="S2165">
        <v>37</v>
      </c>
      <c r="T2165" s="43" t="str">
        <f>HYPERLINK("https://ictv.global/ictv/proposals/2021.010B.R.Binomial_names.zip","2021.010B.R.Binomial_names.zip")</f>
        <v>2021.010B.R.Binomial_names.zip</v>
      </c>
      <c r="U2165" s="43" t="str">
        <f>HYPERLINK("https://ictv.global/taxonomy/taxondetails?taxnode_id=202200415","ictv.global=202200415")</f>
        <v>ictv.global=202200415</v>
      </c>
    </row>
    <row r="2166" spans="1:21">
      <c r="A2166">
        <v>2165</v>
      </c>
      <c r="B2166" s="29" t="s">
        <v>3682</v>
      </c>
      <c r="C2166" s="29"/>
      <c r="D2166" s="29" t="s">
        <v>3683</v>
      </c>
      <c r="E2166" s="29"/>
      <c r="F2166" s="29" t="s">
        <v>3686</v>
      </c>
      <c r="G2166" s="29"/>
      <c r="H2166" s="29" t="s">
        <v>3687</v>
      </c>
      <c r="I2166" s="29"/>
      <c r="J2166" s="29"/>
      <c r="K2166" s="29"/>
      <c r="L2166" s="29"/>
      <c r="M2166" s="29" t="s">
        <v>9334</v>
      </c>
      <c r="N2166" s="29" t="s">
        <v>3398</v>
      </c>
      <c r="O2166" s="29"/>
      <c r="P2166" s="29" t="s">
        <v>9342</v>
      </c>
      <c r="Q2166" t="s">
        <v>2038</v>
      </c>
      <c r="R2166" t="s">
        <v>2633</v>
      </c>
      <c r="S2166">
        <v>37</v>
      </c>
      <c r="T2166" s="43" t="str">
        <f>HYPERLINK("https://ictv.global/ictv/proposals/2021.010B.R.Binomial_names.zip","2021.010B.R.Binomial_names.zip")</f>
        <v>2021.010B.R.Binomial_names.zip</v>
      </c>
      <c r="U2166" s="43" t="str">
        <f>HYPERLINK("https://ictv.global/taxonomy/taxondetails?taxnode_id=202200416","ictv.global=202200416")</f>
        <v>ictv.global=202200416</v>
      </c>
    </row>
    <row r="2167" spans="1:21">
      <c r="A2167">
        <v>2166</v>
      </c>
      <c r="B2167" s="29" t="s">
        <v>3682</v>
      </c>
      <c r="C2167" s="29"/>
      <c r="D2167" s="29" t="s">
        <v>3683</v>
      </c>
      <c r="E2167" s="29"/>
      <c r="F2167" s="29" t="s">
        <v>3686</v>
      </c>
      <c r="G2167" s="29"/>
      <c r="H2167" s="29" t="s">
        <v>3687</v>
      </c>
      <c r="I2167" s="29"/>
      <c r="J2167" s="29"/>
      <c r="K2167" s="29"/>
      <c r="L2167" s="29"/>
      <c r="M2167" s="29" t="s">
        <v>9334</v>
      </c>
      <c r="N2167" s="29" t="s">
        <v>3398</v>
      </c>
      <c r="O2167" s="29"/>
      <c r="P2167" s="29" t="s">
        <v>9343</v>
      </c>
      <c r="Q2167" t="s">
        <v>2038</v>
      </c>
      <c r="R2167" t="s">
        <v>2633</v>
      </c>
      <c r="S2167">
        <v>37</v>
      </c>
      <c r="T2167" s="43" t="str">
        <f>HYPERLINK("https://ictv.global/ictv/proposals/2021.010B.R.Binomial_names.zip","2021.010B.R.Binomial_names.zip")</f>
        <v>2021.010B.R.Binomial_names.zip</v>
      </c>
      <c r="U2167" s="43" t="str">
        <f>HYPERLINK("https://ictv.global/taxonomy/taxondetails?taxnode_id=202200417","ictv.global=202200417")</f>
        <v>ictv.global=202200417</v>
      </c>
    </row>
    <row r="2168" spans="1:21">
      <c r="A2168">
        <v>2167</v>
      </c>
      <c r="B2168" s="29" t="s">
        <v>3682</v>
      </c>
      <c r="C2168" s="29"/>
      <c r="D2168" s="29" t="s">
        <v>3683</v>
      </c>
      <c r="E2168" s="29"/>
      <c r="F2168" s="29" t="s">
        <v>3686</v>
      </c>
      <c r="G2168" s="29"/>
      <c r="H2168" s="29" t="s">
        <v>3687</v>
      </c>
      <c r="I2168" s="29"/>
      <c r="J2168" s="29"/>
      <c r="K2168" s="29"/>
      <c r="L2168" s="29"/>
      <c r="M2168" s="29" t="s">
        <v>9334</v>
      </c>
      <c r="N2168" s="29" t="s">
        <v>3398</v>
      </c>
      <c r="O2168" s="29"/>
      <c r="P2168" s="29" t="s">
        <v>9344</v>
      </c>
      <c r="Q2168" t="s">
        <v>2038</v>
      </c>
      <c r="R2168" t="s">
        <v>2633</v>
      </c>
      <c r="S2168">
        <v>37</v>
      </c>
      <c r="T2168" s="43" t="str">
        <f>HYPERLINK("https://ictv.global/ictv/proposals/2021.010B.R.Binomial_names.zip","2021.010B.R.Binomial_names.zip")</f>
        <v>2021.010B.R.Binomial_names.zip</v>
      </c>
      <c r="U2168" s="43" t="str">
        <f>HYPERLINK("https://ictv.global/taxonomy/taxondetails?taxnode_id=202206997","ictv.global=202206997")</f>
        <v>ictv.global=202206997</v>
      </c>
    </row>
    <row r="2169" spans="1:21">
      <c r="A2169">
        <v>2168</v>
      </c>
      <c r="B2169" s="29" t="s">
        <v>3682</v>
      </c>
      <c r="C2169" s="29"/>
      <c r="D2169" s="29" t="s">
        <v>3683</v>
      </c>
      <c r="E2169" s="29"/>
      <c r="F2169" s="29" t="s">
        <v>3686</v>
      </c>
      <c r="G2169" s="29"/>
      <c r="H2169" s="29" t="s">
        <v>3687</v>
      </c>
      <c r="I2169" s="29"/>
      <c r="J2169" s="29"/>
      <c r="K2169" s="29"/>
      <c r="L2169" s="29"/>
      <c r="M2169" s="29" t="s">
        <v>9334</v>
      </c>
      <c r="N2169" s="29" t="s">
        <v>3398</v>
      </c>
      <c r="O2169" s="29"/>
      <c r="P2169" s="29" t="s">
        <v>9345</v>
      </c>
      <c r="Q2169" t="s">
        <v>2038</v>
      </c>
      <c r="R2169" t="s">
        <v>2632</v>
      </c>
      <c r="S2169">
        <v>37</v>
      </c>
      <c r="T2169" s="43" t="str">
        <f>HYPERLINK("https://ictv.global/ictv/proposals/2021.016B.R.Ceeclamvirinae.zip","2021.016B.R.Ceeclamvirinae.zip")</f>
        <v>2021.016B.R.Ceeclamvirinae.zip</v>
      </c>
      <c r="U2169" s="43" t="str">
        <f>HYPERLINK("https://ictv.global/taxonomy/taxondetails?taxnode_id=202213042","ictv.global=202213042")</f>
        <v>ictv.global=202213042</v>
      </c>
    </row>
    <row r="2170" spans="1:21">
      <c r="A2170">
        <v>2169</v>
      </c>
      <c r="B2170" s="29" t="s">
        <v>3682</v>
      </c>
      <c r="C2170" s="29"/>
      <c r="D2170" s="29" t="s">
        <v>3683</v>
      </c>
      <c r="E2170" s="29"/>
      <c r="F2170" s="29" t="s">
        <v>3686</v>
      </c>
      <c r="G2170" s="29"/>
      <c r="H2170" s="29" t="s">
        <v>3687</v>
      </c>
      <c r="I2170" s="29"/>
      <c r="J2170" s="29"/>
      <c r="K2170" s="29"/>
      <c r="L2170" s="29"/>
      <c r="M2170" s="29" t="s">
        <v>9334</v>
      </c>
      <c r="N2170" s="29" t="s">
        <v>3398</v>
      </c>
      <c r="O2170" s="29"/>
      <c r="P2170" s="29" t="s">
        <v>9346</v>
      </c>
      <c r="Q2170" t="s">
        <v>2038</v>
      </c>
      <c r="R2170" t="s">
        <v>2633</v>
      </c>
      <c r="S2170">
        <v>37</v>
      </c>
      <c r="T2170" s="43" t="str">
        <f>HYPERLINK("https://ictv.global/ictv/proposals/2021.010B.R.Binomial_names.zip","2021.010B.R.Binomial_names.zip")</f>
        <v>2021.010B.R.Binomial_names.zip</v>
      </c>
      <c r="U2170" s="43" t="str">
        <f>HYPERLINK("https://ictv.global/taxonomy/taxondetails?taxnode_id=202200418","ictv.global=202200418")</f>
        <v>ictv.global=202200418</v>
      </c>
    </row>
    <row r="2171" spans="1:21">
      <c r="A2171">
        <v>2170</v>
      </c>
      <c r="B2171" s="29" t="s">
        <v>3682</v>
      </c>
      <c r="C2171" s="29"/>
      <c r="D2171" s="29" t="s">
        <v>3683</v>
      </c>
      <c r="E2171" s="29"/>
      <c r="F2171" s="29" t="s">
        <v>3686</v>
      </c>
      <c r="G2171" s="29"/>
      <c r="H2171" s="29" t="s">
        <v>3687</v>
      </c>
      <c r="I2171" s="29"/>
      <c r="J2171" s="29"/>
      <c r="K2171" s="29"/>
      <c r="L2171" s="29"/>
      <c r="M2171" s="29" t="s">
        <v>9334</v>
      </c>
      <c r="N2171" s="29" t="s">
        <v>3398</v>
      </c>
      <c r="O2171" s="29"/>
      <c r="P2171" s="29" t="s">
        <v>9347</v>
      </c>
      <c r="Q2171" t="s">
        <v>2038</v>
      </c>
      <c r="R2171" t="s">
        <v>2632</v>
      </c>
      <c r="S2171">
        <v>37</v>
      </c>
      <c r="T2171" s="43" t="str">
        <f>HYPERLINK("https://ictv.global/ictv/proposals/2021.016B.R.Ceeclamvirinae.zip","2021.016B.R.Ceeclamvirinae.zip")</f>
        <v>2021.016B.R.Ceeclamvirinae.zip</v>
      </c>
      <c r="U2171" s="43" t="str">
        <f>HYPERLINK("https://ictv.global/taxonomy/taxondetails?taxnode_id=202213043","ictv.global=202213043")</f>
        <v>ictv.global=202213043</v>
      </c>
    </row>
    <row r="2172" spans="1:21">
      <c r="A2172">
        <v>2171</v>
      </c>
      <c r="B2172" s="29" t="s">
        <v>3682</v>
      </c>
      <c r="C2172" s="29"/>
      <c r="D2172" s="29" t="s">
        <v>3683</v>
      </c>
      <c r="E2172" s="29"/>
      <c r="F2172" s="29" t="s">
        <v>3686</v>
      </c>
      <c r="G2172" s="29"/>
      <c r="H2172" s="29" t="s">
        <v>3687</v>
      </c>
      <c r="I2172" s="29"/>
      <c r="J2172" s="29"/>
      <c r="K2172" s="29"/>
      <c r="L2172" s="29"/>
      <c r="M2172" s="29" t="s">
        <v>9334</v>
      </c>
      <c r="N2172" s="29" t="s">
        <v>3398</v>
      </c>
      <c r="O2172" s="29"/>
      <c r="P2172" s="29" t="s">
        <v>9348</v>
      </c>
      <c r="Q2172" t="s">
        <v>2038</v>
      </c>
      <c r="R2172" t="s">
        <v>2632</v>
      </c>
      <c r="S2172">
        <v>37</v>
      </c>
      <c r="T2172" s="43" t="str">
        <f>HYPERLINK("https://ictv.global/ictv/proposals/2021.016B.R.Ceeclamvirinae.zip","2021.016B.R.Ceeclamvirinae.zip")</f>
        <v>2021.016B.R.Ceeclamvirinae.zip</v>
      </c>
      <c r="U2172" s="43" t="str">
        <f>HYPERLINK("https://ictv.global/taxonomy/taxondetails?taxnode_id=202213044","ictv.global=202213044")</f>
        <v>ictv.global=202213044</v>
      </c>
    </row>
    <row r="2173" spans="1:21">
      <c r="A2173">
        <v>2172</v>
      </c>
      <c r="B2173" s="29" t="s">
        <v>3682</v>
      </c>
      <c r="C2173" s="29"/>
      <c r="D2173" s="29" t="s">
        <v>3683</v>
      </c>
      <c r="E2173" s="29"/>
      <c r="F2173" s="29" t="s">
        <v>3686</v>
      </c>
      <c r="G2173" s="29"/>
      <c r="H2173" s="29" t="s">
        <v>3687</v>
      </c>
      <c r="I2173" s="29"/>
      <c r="J2173" s="29"/>
      <c r="K2173" s="29"/>
      <c r="L2173" s="29"/>
      <c r="M2173" s="29" t="s">
        <v>9334</v>
      </c>
      <c r="N2173" s="29" t="s">
        <v>3398</v>
      </c>
      <c r="O2173" s="29"/>
      <c r="P2173" s="29" t="s">
        <v>9349</v>
      </c>
      <c r="Q2173" t="s">
        <v>2038</v>
      </c>
      <c r="R2173" t="s">
        <v>2632</v>
      </c>
      <c r="S2173">
        <v>37</v>
      </c>
      <c r="T2173" s="43" t="str">
        <f>HYPERLINK("https://ictv.global/ictv/proposals/2021.016B.R.Ceeclamvirinae.zip","2021.016B.R.Ceeclamvirinae.zip")</f>
        <v>2021.016B.R.Ceeclamvirinae.zip</v>
      </c>
      <c r="U2173" s="43" t="str">
        <f>HYPERLINK("https://ictv.global/taxonomy/taxondetails?taxnode_id=202213045","ictv.global=202213045")</f>
        <v>ictv.global=202213045</v>
      </c>
    </row>
    <row r="2174" spans="1:21">
      <c r="A2174">
        <v>2173</v>
      </c>
      <c r="B2174" s="29" t="s">
        <v>3682</v>
      </c>
      <c r="C2174" s="29"/>
      <c r="D2174" s="29" t="s">
        <v>3683</v>
      </c>
      <c r="E2174" s="29"/>
      <c r="F2174" s="29" t="s">
        <v>3686</v>
      </c>
      <c r="G2174" s="29"/>
      <c r="H2174" s="29" t="s">
        <v>3687</v>
      </c>
      <c r="I2174" s="29"/>
      <c r="J2174" s="29"/>
      <c r="K2174" s="29"/>
      <c r="L2174" s="29"/>
      <c r="M2174" s="29" t="s">
        <v>9334</v>
      </c>
      <c r="N2174" s="29" t="s">
        <v>3398</v>
      </c>
      <c r="O2174" s="29"/>
      <c r="P2174" s="29" t="s">
        <v>9350</v>
      </c>
      <c r="Q2174" t="s">
        <v>2038</v>
      </c>
      <c r="R2174" t="s">
        <v>2632</v>
      </c>
      <c r="S2174">
        <v>37</v>
      </c>
      <c r="T2174" s="43" t="str">
        <f>HYPERLINK("https://ictv.global/ictv/proposals/2021.016B.R.Ceeclamvirinae.zip","2021.016B.R.Ceeclamvirinae.zip")</f>
        <v>2021.016B.R.Ceeclamvirinae.zip</v>
      </c>
      <c r="U2174" s="43" t="str">
        <f>HYPERLINK("https://ictv.global/taxonomy/taxondetails?taxnode_id=202213046","ictv.global=202213046")</f>
        <v>ictv.global=202213046</v>
      </c>
    </row>
    <row r="2175" spans="1:21">
      <c r="A2175">
        <v>2174</v>
      </c>
      <c r="B2175" s="29" t="s">
        <v>3682</v>
      </c>
      <c r="C2175" s="29"/>
      <c r="D2175" s="29" t="s">
        <v>3683</v>
      </c>
      <c r="E2175" s="29"/>
      <c r="F2175" s="29" t="s">
        <v>3686</v>
      </c>
      <c r="G2175" s="29"/>
      <c r="H2175" s="29" t="s">
        <v>3687</v>
      </c>
      <c r="I2175" s="29"/>
      <c r="J2175" s="29"/>
      <c r="K2175" s="29"/>
      <c r="L2175" s="29"/>
      <c r="M2175" s="29" t="s">
        <v>9334</v>
      </c>
      <c r="N2175" s="29" t="s">
        <v>3398</v>
      </c>
      <c r="O2175" s="29"/>
      <c r="P2175" s="29" t="s">
        <v>9351</v>
      </c>
      <c r="Q2175" t="s">
        <v>2038</v>
      </c>
      <c r="R2175" t="s">
        <v>2633</v>
      </c>
      <c r="S2175">
        <v>37</v>
      </c>
      <c r="T2175" s="43" t="str">
        <f>HYPERLINK("https://ictv.global/ictv/proposals/2021.010B.R.Binomial_names.zip","2021.010B.R.Binomial_names.zip")</f>
        <v>2021.010B.R.Binomial_names.zip</v>
      </c>
      <c r="U2175" s="43" t="str">
        <f>HYPERLINK("https://ictv.global/taxonomy/taxondetails?taxnode_id=202200419","ictv.global=202200419")</f>
        <v>ictv.global=202200419</v>
      </c>
    </row>
    <row r="2176" spans="1:21">
      <c r="A2176">
        <v>2175</v>
      </c>
      <c r="B2176" s="29" t="s">
        <v>3682</v>
      </c>
      <c r="C2176" s="29"/>
      <c r="D2176" s="29" t="s">
        <v>3683</v>
      </c>
      <c r="E2176" s="29"/>
      <c r="F2176" s="29" t="s">
        <v>3686</v>
      </c>
      <c r="G2176" s="29"/>
      <c r="H2176" s="29" t="s">
        <v>3687</v>
      </c>
      <c r="I2176" s="29"/>
      <c r="J2176" s="29"/>
      <c r="K2176" s="29"/>
      <c r="L2176" s="29"/>
      <c r="M2176" s="29" t="s">
        <v>9334</v>
      </c>
      <c r="N2176" s="29" t="s">
        <v>3398</v>
      </c>
      <c r="O2176" s="29"/>
      <c r="P2176" s="29" t="s">
        <v>9352</v>
      </c>
      <c r="Q2176" t="s">
        <v>2038</v>
      </c>
      <c r="R2176" t="s">
        <v>2632</v>
      </c>
      <c r="S2176">
        <v>37</v>
      </c>
      <c r="T2176" s="43" t="str">
        <f>HYPERLINK("https://ictv.global/ictv/proposals/2021.016B.R.Ceeclamvirinae.zip","2021.016B.R.Ceeclamvirinae.zip")</f>
        <v>2021.016B.R.Ceeclamvirinae.zip</v>
      </c>
      <c r="U2176" s="43" t="str">
        <f>HYPERLINK("https://ictv.global/taxonomy/taxondetails?taxnode_id=202213047","ictv.global=202213047")</f>
        <v>ictv.global=202213047</v>
      </c>
    </row>
    <row r="2177" spans="1:21">
      <c r="A2177">
        <v>2176</v>
      </c>
      <c r="B2177" s="29" t="s">
        <v>3682</v>
      </c>
      <c r="C2177" s="29"/>
      <c r="D2177" s="29" t="s">
        <v>3683</v>
      </c>
      <c r="E2177" s="29"/>
      <c r="F2177" s="29" t="s">
        <v>3686</v>
      </c>
      <c r="G2177" s="29"/>
      <c r="H2177" s="29" t="s">
        <v>3687</v>
      </c>
      <c r="I2177" s="29"/>
      <c r="J2177" s="29"/>
      <c r="K2177" s="29"/>
      <c r="L2177" s="29"/>
      <c r="M2177" s="29" t="s">
        <v>9334</v>
      </c>
      <c r="N2177" s="29" t="s">
        <v>9353</v>
      </c>
      <c r="O2177" s="29"/>
      <c r="P2177" s="29" t="s">
        <v>9354</v>
      </c>
      <c r="Q2177" t="s">
        <v>2038</v>
      </c>
      <c r="R2177" t="s">
        <v>2632</v>
      </c>
      <c r="S2177">
        <v>37</v>
      </c>
      <c r="T2177" s="43" t="str">
        <f>HYPERLINK("https://ictv.global/ictv/proposals/2021.016B.R.Ceeclamvirinae.zip","2021.016B.R.Ceeclamvirinae.zip")</f>
        <v>2021.016B.R.Ceeclamvirinae.zip</v>
      </c>
      <c r="U2177" s="43" t="str">
        <f>HYPERLINK("https://ictv.global/taxonomy/taxondetails?taxnode_id=202213037","ictv.global=202213037")</f>
        <v>ictv.global=202213037</v>
      </c>
    </row>
    <row r="2178" spans="1:21">
      <c r="A2178">
        <v>2177</v>
      </c>
      <c r="B2178" s="29" t="s">
        <v>3682</v>
      </c>
      <c r="C2178" s="29"/>
      <c r="D2178" s="29" t="s">
        <v>3683</v>
      </c>
      <c r="E2178" s="29"/>
      <c r="F2178" s="29" t="s">
        <v>3686</v>
      </c>
      <c r="G2178" s="29"/>
      <c r="H2178" s="29" t="s">
        <v>3687</v>
      </c>
      <c r="I2178" s="29"/>
      <c r="J2178" s="29"/>
      <c r="K2178" s="29"/>
      <c r="L2178" s="29"/>
      <c r="M2178" s="29" t="s">
        <v>9334</v>
      </c>
      <c r="N2178" s="29" t="s">
        <v>9353</v>
      </c>
      <c r="O2178" s="29"/>
      <c r="P2178" s="29" t="s">
        <v>9355</v>
      </c>
      <c r="Q2178" t="s">
        <v>2038</v>
      </c>
      <c r="R2178" t="s">
        <v>2632</v>
      </c>
      <c r="S2178">
        <v>37</v>
      </c>
      <c r="T2178" s="43" t="str">
        <f>HYPERLINK("https://ictv.global/ictv/proposals/2021.016B.R.Ceeclamvirinae.zip","2021.016B.R.Ceeclamvirinae.zip")</f>
        <v>2021.016B.R.Ceeclamvirinae.zip</v>
      </c>
      <c r="U2178" s="43" t="str">
        <f>HYPERLINK("https://ictv.global/taxonomy/taxondetails?taxnode_id=202213036","ictv.global=202213036")</f>
        <v>ictv.global=202213036</v>
      </c>
    </row>
    <row r="2179" spans="1:21">
      <c r="A2179">
        <v>2178</v>
      </c>
      <c r="B2179" s="29" t="s">
        <v>3682</v>
      </c>
      <c r="C2179" s="29"/>
      <c r="D2179" s="29" t="s">
        <v>3683</v>
      </c>
      <c r="E2179" s="29"/>
      <c r="F2179" s="29" t="s">
        <v>3686</v>
      </c>
      <c r="G2179" s="29"/>
      <c r="H2179" s="29" t="s">
        <v>3687</v>
      </c>
      <c r="I2179" s="29"/>
      <c r="J2179" s="29"/>
      <c r="K2179" s="29"/>
      <c r="L2179" s="29"/>
      <c r="M2179" s="29" t="s">
        <v>2643</v>
      </c>
      <c r="N2179" s="29" t="s">
        <v>2644</v>
      </c>
      <c r="O2179" s="29"/>
      <c r="P2179" s="29" t="s">
        <v>9356</v>
      </c>
      <c r="Q2179" t="s">
        <v>2038</v>
      </c>
      <c r="R2179" t="s">
        <v>2633</v>
      </c>
      <c r="S2179">
        <v>37</v>
      </c>
      <c r="T2179" s="43" t="str">
        <f>HYPERLINK("https://ictv.global/ictv/proposals/2021.010B.R.Binomial_names.zip","2021.010B.R.Binomial_names.zip")</f>
        <v>2021.010B.R.Binomial_names.zip</v>
      </c>
      <c r="U2179" s="43" t="str">
        <f>HYPERLINK("https://ictv.global/taxonomy/taxondetails?taxnode_id=202200920","ictv.global=202200920")</f>
        <v>ictv.global=202200920</v>
      </c>
    </row>
    <row r="2180" spans="1:21">
      <c r="A2180">
        <v>2179</v>
      </c>
      <c r="B2180" s="29" t="s">
        <v>3682</v>
      </c>
      <c r="C2180" s="29"/>
      <c r="D2180" s="29" t="s">
        <v>3683</v>
      </c>
      <c r="E2180" s="29"/>
      <c r="F2180" s="29" t="s">
        <v>3686</v>
      </c>
      <c r="G2180" s="29"/>
      <c r="H2180" s="29" t="s">
        <v>3687</v>
      </c>
      <c r="I2180" s="29"/>
      <c r="J2180" s="29"/>
      <c r="K2180" s="29"/>
      <c r="L2180" s="29"/>
      <c r="M2180" s="29" t="s">
        <v>2643</v>
      </c>
      <c r="N2180" s="29" t="s">
        <v>2644</v>
      </c>
      <c r="O2180" s="29"/>
      <c r="P2180" s="29" t="s">
        <v>9357</v>
      </c>
      <c r="Q2180" t="s">
        <v>2038</v>
      </c>
      <c r="R2180" t="s">
        <v>2633</v>
      </c>
      <c r="S2180">
        <v>37</v>
      </c>
      <c r="T2180" s="43" t="str">
        <f>HYPERLINK("https://ictv.global/ictv/proposals/2021.010B.R.Binomial_names.zip","2021.010B.R.Binomial_names.zip")</f>
        <v>2021.010B.R.Binomial_names.zip</v>
      </c>
      <c r="U2180" s="43" t="str">
        <f>HYPERLINK("https://ictv.global/taxonomy/taxondetails?taxnode_id=202200921","ictv.global=202200921")</f>
        <v>ictv.global=202200921</v>
      </c>
    </row>
    <row r="2181" spans="1:21">
      <c r="A2181">
        <v>2180</v>
      </c>
      <c r="B2181" s="29" t="s">
        <v>3682</v>
      </c>
      <c r="C2181" s="29"/>
      <c r="D2181" s="29" t="s">
        <v>3683</v>
      </c>
      <c r="E2181" s="29"/>
      <c r="F2181" s="29" t="s">
        <v>3686</v>
      </c>
      <c r="G2181" s="29"/>
      <c r="H2181" s="29" t="s">
        <v>3687</v>
      </c>
      <c r="I2181" s="29"/>
      <c r="J2181" s="29"/>
      <c r="K2181" s="29"/>
      <c r="L2181" s="29"/>
      <c r="M2181" s="29" t="s">
        <v>2643</v>
      </c>
      <c r="N2181" s="29" t="s">
        <v>2644</v>
      </c>
      <c r="O2181" s="29"/>
      <c r="P2181" s="29" t="s">
        <v>9358</v>
      </c>
      <c r="Q2181" t="s">
        <v>2038</v>
      </c>
      <c r="R2181" t="s">
        <v>2632</v>
      </c>
      <c r="S2181">
        <v>37</v>
      </c>
      <c r="T2181" s="43" t="str">
        <f>HYPERLINK("https://ictv.global/ictv/proposals/2021.013B.R.Brujitavirus_new_species.zip","2021.013B.R.Brujitavirus_new_species.zip")</f>
        <v>2021.013B.R.Brujitavirus_new_species.zip</v>
      </c>
      <c r="U2181" s="43" t="str">
        <f>HYPERLINK("https://ictv.global/taxonomy/taxondetails?taxnode_id=202212982","ictv.global=202212982")</f>
        <v>ictv.global=202212982</v>
      </c>
    </row>
    <row r="2182" spans="1:21">
      <c r="A2182">
        <v>2181</v>
      </c>
      <c r="B2182" s="29" t="s">
        <v>3682</v>
      </c>
      <c r="C2182" s="29"/>
      <c r="D2182" s="29" t="s">
        <v>3683</v>
      </c>
      <c r="E2182" s="29"/>
      <c r="F2182" s="29" t="s">
        <v>3686</v>
      </c>
      <c r="G2182" s="29"/>
      <c r="H2182" s="29" t="s">
        <v>3687</v>
      </c>
      <c r="I2182" s="29"/>
      <c r="J2182" s="29"/>
      <c r="K2182" s="29"/>
      <c r="L2182" s="29"/>
      <c r="M2182" s="29" t="s">
        <v>2643</v>
      </c>
      <c r="N2182" s="29" t="s">
        <v>2644</v>
      </c>
      <c r="O2182" s="29"/>
      <c r="P2182" s="29" t="s">
        <v>9359</v>
      </c>
      <c r="Q2182" t="s">
        <v>2038</v>
      </c>
      <c r="R2182" t="s">
        <v>2632</v>
      </c>
      <c r="S2182">
        <v>37</v>
      </c>
      <c r="T2182" s="43" t="str">
        <f>HYPERLINK("https://ictv.global/ictv/proposals/2021.013B.R.Brujitavirus_new_species.zip","2021.013B.R.Brujitavirus_new_species.zip")</f>
        <v>2021.013B.R.Brujitavirus_new_species.zip</v>
      </c>
      <c r="U2182" s="43" t="str">
        <f>HYPERLINK("https://ictv.global/taxonomy/taxondetails?taxnode_id=202212981","ictv.global=202212981")</f>
        <v>ictv.global=202212981</v>
      </c>
    </row>
    <row r="2183" spans="1:21">
      <c r="A2183">
        <v>2182</v>
      </c>
      <c r="B2183" s="29" t="s">
        <v>3682</v>
      </c>
      <c r="C2183" s="29"/>
      <c r="D2183" s="29" t="s">
        <v>3683</v>
      </c>
      <c r="E2183" s="29"/>
      <c r="F2183" s="29" t="s">
        <v>3686</v>
      </c>
      <c r="G2183" s="29"/>
      <c r="H2183" s="29" t="s">
        <v>3687</v>
      </c>
      <c r="I2183" s="29"/>
      <c r="J2183" s="29"/>
      <c r="K2183" s="29"/>
      <c r="L2183" s="29"/>
      <c r="M2183" s="29" t="s">
        <v>2645</v>
      </c>
      <c r="N2183" s="29" t="s">
        <v>2646</v>
      </c>
      <c r="O2183" s="29"/>
      <c r="P2183" s="29" t="s">
        <v>9360</v>
      </c>
      <c r="Q2183" t="s">
        <v>2038</v>
      </c>
      <c r="R2183" t="s">
        <v>2633</v>
      </c>
      <c r="S2183">
        <v>37</v>
      </c>
      <c r="T2183" s="43" t="str">
        <f t="shared" ref="T2183:T2194" si="92">HYPERLINK("https://ictv.global/ictv/proposals/2021.010B.R.Binomial_names.zip","2021.010B.R.Binomial_names.zip")</f>
        <v>2021.010B.R.Binomial_names.zip</v>
      </c>
      <c r="U2183" s="43" t="str">
        <f>HYPERLINK("https://ictv.global/taxonomy/taxondetails?taxnode_id=202205508","ictv.global=202205508")</f>
        <v>ictv.global=202205508</v>
      </c>
    </row>
    <row r="2184" spans="1:21">
      <c r="A2184">
        <v>2183</v>
      </c>
      <c r="B2184" s="29" t="s">
        <v>3682</v>
      </c>
      <c r="C2184" s="29"/>
      <c r="D2184" s="29" t="s">
        <v>3683</v>
      </c>
      <c r="E2184" s="29"/>
      <c r="F2184" s="29" t="s">
        <v>3686</v>
      </c>
      <c r="G2184" s="29"/>
      <c r="H2184" s="29" t="s">
        <v>3687</v>
      </c>
      <c r="I2184" s="29"/>
      <c r="J2184" s="29"/>
      <c r="K2184" s="29"/>
      <c r="L2184" s="29"/>
      <c r="M2184" s="29" t="s">
        <v>2645</v>
      </c>
      <c r="N2184" s="29" t="s">
        <v>2647</v>
      </c>
      <c r="O2184" s="29"/>
      <c r="P2184" s="29" t="s">
        <v>9361</v>
      </c>
      <c r="Q2184" t="s">
        <v>2038</v>
      </c>
      <c r="R2184" t="s">
        <v>2633</v>
      </c>
      <c r="S2184">
        <v>37</v>
      </c>
      <c r="T2184" s="43" t="str">
        <f t="shared" si="92"/>
        <v>2021.010B.R.Binomial_names.zip</v>
      </c>
      <c r="U2184" s="43" t="str">
        <f>HYPERLINK("https://ictv.global/taxonomy/taxondetails?taxnode_id=202205510","ictv.global=202205510")</f>
        <v>ictv.global=202205510</v>
      </c>
    </row>
    <row r="2185" spans="1:21">
      <c r="A2185">
        <v>2184</v>
      </c>
      <c r="B2185" s="29" t="s">
        <v>3682</v>
      </c>
      <c r="C2185" s="29"/>
      <c r="D2185" s="29" t="s">
        <v>3683</v>
      </c>
      <c r="E2185" s="29"/>
      <c r="F2185" s="29" t="s">
        <v>3686</v>
      </c>
      <c r="G2185" s="29"/>
      <c r="H2185" s="29" t="s">
        <v>3687</v>
      </c>
      <c r="I2185" s="29"/>
      <c r="J2185" s="29"/>
      <c r="K2185" s="29"/>
      <c r="L2185" s="29"/>
      <c r="M2185" s="29" t="s">
        <v>4672</v>
      </c>
      <c r="N2185" s="29" t="s">
        <v>4673</v>
      </c>
      <c r="O2185" s="29"/>
      <c r="P2185" s="29" t="s">
        <v>9362</v>
      </c>
      <c r="Q2185" t="s">
        <v>2038</v>
      </c>
      <c r="R2185" t="s">
        <v>2633</v>
      </c>
      <c r="S2185">
        <v>37</v>
      </c>
      <c r="T2185" s="43" t="str">
        <f t="shared" si="92"/>
        <v>2021.010B.R.Binomial_names.zip</v>
      </c>
      <c r="U2185" s="43" t="str">
        <f>HYPERLINK("https://ictv.global/taxonomy/taxondetails?taxnode_id=202209927","ictv.global=202209927")</f>
        <v>ictv.global=202209927</v>
      </c>
    </row>
    <row r="2186" spans="1:21">
      <c r="A2186">
        <v>2185</v>
      </c>
      <c r="B2186" s="29" t="s">
        <v>3682</v>
      </c>
      <c r="C2186" s="29"/>
      <c r="D2186" s="29" t="s">
        <v>3683</v>
      </c>
      <c r="E2186" s="29"/>
      <c r="F2186" s="29" t="s">
        <v>3686</v>
      </c>
      <c r="G2186" s="29"/>
      <c r="H2186" s="29" t="s">
        <v>3687</v>
      </c>
      <c r="I2186" s="29"/>
      <c r="J2186" s="29"/>
      <c r="K2186" s="29"/>
      <c r="L2186" s="29"/>
      <c r="M2186" s="29" t="s">
        <v>4672</v>
      </c>
      <c r="N2186" s="29" t="s">
        <v>4673</v>
      </c>
      <c r="O2186" s="29"/>
      <c r="P2186" s="29" t="s">
        <v>9363</v>
      </c>
      <c r="Q2186" t="s">
        <v>2038</v>
      </c>
      <c r="R2186" t="s">
        <v>2633</v>
      </c>
      <c r="S2186">
        <v>37</v>
      </c>
      <c r="T2186" s="43" t="str">
        <f t="shared" si="92"/>
        <v>2021.010B.R.Binomial_names.zip</v>
      </c>
      <c r="U2186" s="43" t="str">
        <f>HYPERLINK("https://ictv.global/taxonomy/taxondetails?taxnode_id=202209925","ictv.global=202209925")</f>
        <v>ictv.global=202209925</v>
      </c>
    </row>
    <row r="2187" spans="1:21">
      <c r="A2187">
        <v>2186</v>
      </c>
      <c r="B2187" s="29" t="s">
        <v>3682</v>
      </c>
      <c r="C2187" s="29"/>
      <c r="D2187" s="29" t="s">
        <v>3683</v>
      </c>
      <c r="E2187" s="29"/>
      <c r="F2187" s="29" t="s">
        <v>3686</v>
      </c>
      <c r="G2187" s="29"/>
      <c r="H2187" s="29" t="s">
        <v>3687</v>
      </c>
      <c r="I2187" s="29"/>
      <c r="J2187" s="29"/>
      <c r="K2187" s="29"/>
      <c r="L2187" s="29"/>
      <c r="M2187" s="29" t="s">
        <v>4672</v>
      </c>
      <c r="N2187" s="29" t="s">
        <v>4673</v>
      </c>
      <c r="O2187" s="29"/>
      <c r="P2187" s="29" t="s">
        <v>9364</v>
      </c>
      <c r="Q2187" t="s">
        <v>2038</v>
      </c>
      <c r="R2187" t="s">
        <v>2633</v>
      </c>
      <c r="S2187">
        <v>37</v>
      </c>
      <c r="T2187" s="43" t="str">
        <f t="shared" si="92"/>
        <v>2021.010B.R.Binomial_names.zip</v>
      </c>
      <c r="U2187" s="43" t="str">
        <f>HYPERLINK("https://ictv.global/taxonomy/taxondetails?taxnode_id=202209928","ictv.global=202209928")</f>
        <v>ictv.global=202209928</v>
      </c>
    </row>
    <row r="2188" spans="1:21">
      <c r="A2188">
        <v>2187</v>
      </c>
      <c r="B2188" s="29" t="s">
        <v>3682</v>
      </c>
      <c r="C2188" s="29"/>
      <c r="D2188" s="29" t="s">
        <v>3683</v>
      </c>
      <c r="E2188" s="29"/>
      <c r="F2188" s="29" t="s">
        <v>3686</v>
      </c>
      <c r="G2188" s="29"/>
      <c r="H2188" s="29" t="s">
        <v>3687</v>
      </c>
      <c r="I2188" s="29"/>
      <c r="J2188" s="29"/>
      <c r="K2188" s="29"/>
      <c r="L2188" s="29"/>
      <c r="M2188" s="29" t="s">
        <v>4672</v>
      </c>
      <c r="N2188" s="29" t="s">
        <v>4673</v>
      </c>
      <c r="O2188" s="29"/>
      <c r="P2188" s="29" t="s">
        <v>9365</v>
      </c>
      <c r="Q2188" t="s">
        <v>2038</v>
      </c>
      <c r="R2188" t="s">
        <v>2633</v>
      </c>
      <c r="S2188">
        <v>37</v>
      </c>
      <c r="T2188" s="43" t="str">
        <f t="shared" si="92"/>
        <v>2021.010B.R.Binomial_names.zip</v>
      </c>
      <c r="U2188" s="43" t="str">
        <f>HYPERLINK("https://ictv.global/taxonomy/taxondetails?taxnode_id=202209923","ictv.global=202209923")</f>
        <v>ictv.global=202209923</v>
      </c>
    </row>
    <row r="2189" spans="1:21">
      <c r="A2189">
        <v>2188</v>
      </c>
      <c r="B2189" s="29" t="s">
        <v>3682</v>
      </c>
      <c r="C2189" s="29"/>
      <c r="D2189" s="29" t="s">
        <v>3683</v>
      </c>
      <c r="E2189" s="29"/>
      <c r="F2189" s="29" t="s">
        <v>3686</v>
      </c>
      <c r="G2189" s="29"/>
      <c r="H2189" s="29" t="s">
        <v>3687</v>
      </c>
      <c r="I2189" s="29"/>
      <c r="J2189" s="29"/>
      <c r="K2189" s="29"/>
      <c r="L2189" s="29"/>
      <c r="M2189" s="29" t="s">
        <v>4672</v>
      </c>
      <c r="N2189" s="29" t="s">
        <v>4673</v>
      </c>
      <c r="O2189" s="29"/>
      <c r="P2189" s="29" t="s">
        <v>9366</v>
      </c>
      <c r="Q2189" t="s">
        <v>2038</v>
      </c>
      <c r="R2189" t="s">
        <v>2633</v>
      </c>
      <c r="S2189">
        <v>37</v>
      </c>
      <c r="T2189" s="43" t="str">
        <f t="shared" si="92"/>
        <v>2021.010B.R.Binomial_names.zip</v>
      </c>
      <c r="U2189" s="43" t="str">
        <f>HYPERLINK("https://ictv.global/taxonomy/taxondetails?taxnode_id=202209929","ictv.global=202209929")</f>
        <v>ictv.global=202209929</v>
      </c>
    </row>
    <row r="2190" spans="1:21">
      <c r="A2190">
        <v>2189</v>
      </c>
      <c r="B2190" s="29" t="s">
        <v>3682</v>
      </c>
      <c r="C2190" s="29"/>
      <c r="D2190" s="29" t="s">
        <v>3683</v>
      </c>
      <c r="E2190" s="29"/>
      <c r="F2190" s="29" t="s">
        <v>3686</v>
      </c>
      <c r="G2190" s="29"/>
      <c r="H2190" s="29" t="s">
        <v>3687</v>
      </c>
      <c r="I2190" s="29"/>
      <c r="J2190" s="29"/>
      <c r="K2190" s="29"/>
      <c r="L2190" s="29"/>
      <c r="M2190" s="29" t="s">
        <v>4672</v>
      </c>
      <c r="N2190" s="29" t="s">
        <v>4673</v>
      </c>
      <c r="O2190" s="29"/>
      <c r="P2190" s="29" t="s">
        <v>9367</v>
      </c>
      <c r="Q2190" t="s">
        <v>2038</v>
      </c>
      <c r="R2190" t="s">
        <v>2633</v>
      </c>
      <c r="S2190">
        <v>37</v>
      </c>
      <c r="T2190" s="43" t="str">
        <f t="shared" si="92"/>
        <v>2021.010B.R.Binomial_names.zip</v>
      </c>
      <c r="U2190" s="43" t="str">
        <f>HYPERLINK("https://ictv.global/taxonomy/taxondetails?taxnode_id=202209926","ictv.global=202209926")</f>
        <v>ictv.global=202209926</v>
      </c>
    </row>
    <row r="2191" spans="1:21">
      <c r="A2191">
        <v>2190</v>
      </c>
      <c r="B2191" s="29" t="s">
        <v>3682</v>
      </c>
      <c r="C2191" s="29"/>
      <c r="D2191" s="29" t="s">
        <v>3683</v>
      </c>
      <c r="E2191" s="29"/>
      <c r="F2191" s="29" t="s">
        <v>3686</v>
      </c>
      <c r="G2191" s="29"/>
      <c r="H2191" s="29" t="s">
        <v>3687</v>
      </c>
      <c r="I2191" s="29"/>
      <c r="J2191" s="29"/>
      <c r="K2191" s="29"/>
      <c r="L2191" s="29"/>
      <c r="M2191" s="29" t="s">
        <v>4672</v>
      </c>
      <c r="N2191" s="29" t="s">
        <v>4673</v>
      </c>
      <c r="O2191" s="29"/>
      <c r="P2191" s="29" t="s">
        <v>9368</v>
      </c>
      <c r="Q2191" t="s">
        <v>2038</v>
      </c>
      <c r="R2191" t="s">
        <v>2633</v>
      </c>
      <c r="S2191">
        <v>37</v>
      </c>
      <c r="T2191" s="43" t="str">
        <f t="shared" si="92"/>
        <v>2021.010B.R.Binomial_names.zip</v>
      </c>
      <c r="U2191" s="43" t="str">
        <f>HYPERLINK("https://ictv.global/taxonomy/taxondetails?taxnode_id=202209924","ictv.global=202209924")</f>
        <v>ictv.global=202209924</v>
      </c>
    </row>
    <row r="2192" spans="1:21">
      <c r="A2192">
        <v>2191</v>
      </c>
      <c r="B2192" s="29" t="s">
        <v>3682</v>
      </c>
      <c r="C2192" s="29"/>
      <c r="D2192" s="29" t="s">
        <v>3683</v>
      </c>
      <c r="E2192" s="29"/>
      <c r="F2192" s="29" t="s">
        <v>3686</v>
      </c>
      <c r="G2192" s="29"/>
      <c r="H2192" s="29" t="s">
        <v>3687</v>
      </c>
      <c r="I2192" s="29"/>
      <c r="J2192" s="29"/>
      <c r="K2192" s="29"/>
      <c r="L2192" s="29"/>
      <c r="M2192" s="29" t="s">
        <v>4672</v>
      </c>
      <c r="N2192" s="29" t="s">
        <v>4674</v>
      </c>
      <c r="O2192" s="29"/>
      <c r="P2192" s="29" t="s">
        <v>9369</v>
      </c>
      <c r="Q2192" t="s">
        <v>2038</v>
      </c>
      <c r="R2192" t="s">
        <v>2633</v>
      </c>
      <c r="S2192">
        <v>37</v>
      </c>
      <c r="T2192" s="43" t="str">
        <f t="shared" si="92"/>
        <v>2021.010B.R.Binomial_names.zip</v>
      </c>
      <c r="U2192" s="43" t="str">
        <f>HYPERLINK("https://ictv.global/taxonomy/taxondetails?taxnode_id=202209918","ictv.global=202209918")</f>
        <v>ictv.global=202209918</v>
      </c>
    </row>
    <row r="2193" spans="1:21">
      <c r="A2193">
        <v>2192</v>
      </c>
      <c r="B2193" s="29" t="s">
        <v>3682</v>
      </c>
      <c r="C2193" s="29"/>
      <c r="D2193" s="29" t="s">
        <v>3683</v>
      </c>
      <c r="E2193" s="29"/>
      <c r="F2193" s="29" t="s">
        <v>3686</v>
      </c>
      <c r="G2193" s="29"/>
      <c r="H2193" s="29" t="s">
        <v>3687</v>
      </c>
      <c r="I2193" s="29"/>
      <c r="J2193" s="29"/>
      <c r="K2193" s="29"/>
      <c r="L2193" s="29"/>
      <c r="M2193" s="29" t="s">
        <v>4672</v>
      </c>
      <c r="N2193" s="29" t="s">
        <v>4675</v>
      </c>
      <c r="O2193" s="29"/>
      <c r="P2193" s="29" t="s">
        <v>9370</v>
      </c>
      <c r="Q2193" t="s">
        <v>2038</v>
      </c>
      <c r="R2193" t="s">
        <v>2633</v>
      </c>
      <c r="S2193">
        <v>37</v>
      </c>
      <c r="T2193" s="43" t="str">
        <f t="shared" si="92"/>
        <v>2021.010B.R.Binomial_names.zip</v>
      </c>
      <c r="U2193" s="43" t="str">
        <f>HYPERLINK("https://ictv.global/taxonomy/taxondetails?taxnode_id=202209921","ictv.global=202209921")</f>
        <v>ictv.global=202209921</v>
      </c>
    </row>
    <row r="2194" spans="1:21">
      <c r="A2194">
        <v>2193</v>
      </c>
      <c r="B2194" s="29" t="s">
        <v>3682</v>
      </c>
      <c r="C2194" s="29"/>
      <c r="D2194" s="29" t="s">
        <v>3683</v>
      </c>
      <c r="E2194" s="29"/>
      <c r="F2194" s="29" t="s">
        <v>3686</v>
      </c>
      <c r="G2194" s="29"/>
      <c r="H2194" s="29" t="s">
        <v>3687</v>
      </c>
      <c r="I2194" s="29"/>
      <c r="J2194" s="29"/>
      <c r="K2194" s="29"/>
      <c r="L2194" s="29"/>
      <c r="M2194" s="29" t="s">
        <v>4672</v>
      </c>
      <c r="N2194" s="29" t="s">
        <v>4675</v>
      </c>
      <c r="O2194" s="29"/>
      <c r="P2194" s="29" t="s">
        <v>9371</v>
      </c>
      <c r="Q2194" t="s">
        <v>2038</v>
      </c>
      <c r="R2194" t="s">
        <v>2633</v>
      </c>
      <c r="S2194">
        <v>37</v>
      </c>
      <c r="T2194" s="43" t="str">
        <f t="shared" si="92"/>
        <v>2021.010B.R.Binomial_names.zip</v>
      </c>
      <c r="U2194" s="43" t="str">
        <f>HYPERLINK("https://ictv.global/taxonomy/taxondetails?taxnode_id=202209920","ictv.global=202209920")</f>
        <v>ictv.global=202209920</v>
      </c>
    </row>
    <row r="2195" spans="1:21">
      <c r="A2195">
        <v>2194</v>
      </c>
      <c r="B2195" s="29" t="s">
        <v>3682</v>
      </c>
      <c r="C2195" s="29"/>
      <c r="D2195" s="29" t="s">
        <v>3683</v>
      </c>
      <c r="E2195" s="29"/>
      <c r="F2195" s="29" t="s">
        <v>3686</v>
      </c>
      <c r="G2195" s="29"/>
      <c r="H2195" s="29" t="s">
        <v>3687</v>
      </c>
      <c r="I2195" s="29"/>
      <c r="J2195" s="29"/>
      <c r="K2195" s="29"/>
      <c r="L2195" s="29"/>
      <c r="M2195" s="29" t="s">
        <v>9372</v>
      </c>
      <c r="N2195" s="29" t="s">
        <v>9373</v>
      </c>
      <c r="O2195" s="29"/>
      <c r="P2195" s="29" t="s">
        <v>9374</v>
      </c>
      <c r="Q2195" t="s">
        <v>2038</v>
      </c>
      <c r="R2195" t="s">
        <v>2632</v>
      </c>
      <c r="S2195">
        <v>38</v>
      </c>
      <c r="T2195" s="43" t="str">
        <f t="shared" ref="T2195:T2201" si="93">HYPERLINK("https://ictv.global/ictv/proposals/2022.028B.Deeyouvirinae_nsf.zip","2022.028B.Deeyouvirinae_nsf.zip")</f>
        <v>2022.028B.Deeyouvirinae_nsf.zip</v>
      </c>
      <c r="U2195" s="43" t="str">
        <f>HYPERLINK("https://ictv.global/taxonomy/taxondetails?taxnode_id=202214571","ictv.global=202214571")</f>
        <v>ictv.global=202214571</v>
      </c>
    </row>
    <row r="2196" spans="1:21">
      <c r="A2196">
        <v>2195</v>
      </c>
      <c r="B2196" s="29" t="s">
        <v>3682</v>
      </c>
      <c r="C2196" s="29"/>
      <c r="D2196" s="29" t="s">
        <v>3683</v>
      </c>
      <c r="E2196" s="29"/>
      <c r="F2196" s="29" t="s">
        <v>3686</v>
      </c>
      <c r="G2196" s="29"/>
      <c r="H2196" s="29" t="s">
        <v>3687</v>
      </c>
      <c r="I2196" s="29"/>
      <c r="J2196" s="29"/>
      <c r="K2196" s="29"/>
      <c r="L2196" s="29"/>
      <c r="M2196" s="29" t="s">
        <v>9372</v>
      </c>
      <c r="N2196" s="29" t="s">
        <v>9373</v>
      </c>
      <c r="O2196" s="29"/>
      <c r="P2196" s="29" t="s">
        <v>9375</v>
      </c>
      <c r="Q2196" t="s">
        <v>2038</v>
      </c>
      <c r="R2196" t="s">
        <v>2632</v>
      </c>
      <c r="S2196">
        <v>38</v>
      </c>
      <c r="T2196" s="43" t="str">
        <f t="shared" si="93"/>
        <v>2022.028B.Deeyouvirinae_nsf.zip</v>
      </c>
      <c r="U2196" s="43" t="str">
        <f>HYPERLINK("https://ictv.global/taxonomy/taxondetails?taxnode_id=202214573","ictv.global=202214573")</f>
        <v>ictv.global=202214573</v>
      </c>
    </row>
    <row r="2197" spans="1:21">
      <c r="A2197">
        <v>2196</v>
      </c>
      <c r="B2197" s="29" t="s">
        <v>3682</v>
      </c>
      <c r="C2197" s="29"/>
      <c r="D2197" s="29" t="s">
        <v>3683</v>
      </c>
      <c r="E2197" s="29"/>
      <c r="F2197" s="29" t="s">
        <v>3686</v>
      </c>
      <c r="G2197" s="29"/>
      <c r="H2197" s="29" t="s">
        <v>3687</v>
      </c>
      <c r="I2197" s="29"/>
      <c r="J2197" s="29"/>
      <c r="K2197" s="29"/>
      <c r="L2197" s="29"/>
      <c r="M2197" s="29" t="s">
        <v>9372</v>
      </c>
      <c r="N2197" s="29" t="s">
        <v>9373</v>
      </c>
      <c r="O2197" s="29"/>
      <c r="P2197" s="29" t="s">
        <v>9376</v>
      </c>
      <c r="Q2197" t="s">
        <v>2038</v>
      </c>
      <c r="R2197" t="s">
        <v>2632</v>
      </c>
      <c r="S2197">
        <v>38</v>
      </c>
      <c r="T2197" s="43" t="str">
        <f t="shared" si="93"/>
        <v>2022.028B.Deeyouvirinae_nsf.zip</v>
      </c>
      <c r="U2197" s="43" t="str">
        <f>HYPERLINK("https://ictv.global/taxonomy/taxondetails?taxnode_id=202214572","ictv.global=202214572")</f>
        <v>ictv.global=202214572</v>
      </c>
    </row>
    <row r="2198" spans="1:21">
      <c r="A2198">
        <v>2197</v>
      </c>
      <c r="B2198" s="29" t="s">
        <v>3682</v>
      </c>
      <c r="C2198" s="29"/>
      <c r="D2198" s="29" t="s">
        <v>3683</v>
      </c>
      <c r="E2198" s="29"/>
      <c r="F2198" s="29" t="s">
        <v>3686</v>
      </c>
      <c r="G2198" s="29"/>
      <c r="H2198" s="29" t="s">
        <v>3687</v>
      </c>
      <c r="I2198" s="29"/>
      <c r="J2198" s="29"/>
      <c r="K2198" s="29"/>
      <c r="L2198" s="29"/>
      <c r="M2198" s="29" t="s">
        <v>9372</v>
      </c>
      <c r="N2198" s="29" t="s">
        <v>9377</v>
      </c>
      <c r="O2198" s="29"/>
      <c r="P2198" s="29" t="s">
        <v>9378</v>
      </c>
      <c r="Q2198" t="s">
        <v>2038</v>
      </c>
      <c r="R2198" t="s">
        <v>2632</v>
      </c>
      <c r="S2198">
        <v>38</v>
      </c>
      <c r="T2198" s="43" t="str">
        <f t="shared" si="93"/>
        <v>2022.028B.Deeyouvirinae_nsf.zip</v>
      </c>
      <c r="U2198" s="43" t="str">
        <f>HYPERLINK("https://ictv.global/taxonomy/taxondetails?taxnode_id=202214576","ictv.global=202214576")</f>
        <v>ictv.global=202214576</v>
      </c>
    </row>
    <row r="2199" spans="1:21">
      <c r="A2199">
        <v>2198</v>
      </c>
      <c r="B2199" s="29" t="s">
        <v>3682</v>
      </c>
      <c r="C2199" s="29"/>
      <c r="D2199" s="29" t="s">
        <v>3683</v>
      </c>
      <c r="E2199" s="29"/>
      <c r="F2199" s="29" t="s">
        <v>3686</v>
      </c>
      <c r="G2199" s="29"/>
      <c r="H2199" s="29" t="s">
        <v>3687</v>
      </c>
      <c r="I2199" s="29"/>
      <c r="J2199" s="29"/>
      <c r="K2199" s="29"/>
      <c r="L2199" s="29"/>
      <c r="M2199" s="29" t="s">
        <v>9372</v>
      </c>
      <c r="N2199" s="29" t="s">
        <v>9377</v>
      </c>
      <c r="O2199" s="29"/>
      <c r="P2199" s="29" t="s">
        <v>9379</v>
      </c>
      <c r="Q2199" t="s">
        <v>2038</v>
      </c>
      <c r="R2199" t="s">
        <v>2632</v>
      </c>
      <c r="S2199">
        <v>38</v>
      </c>
      <c r="T2199" s="43" t="str">
        <f t="shared" si="93"/>
        <v>2022.028B.Deeyouvirinae_nsf.zip</v>
      </c>
      <c r="U2199" s="43" t="str">
        <f>HYPERLINK("https://ictv.global/taxonomy/taxondetails?taxnode_id=202214574","ictv.global=202214574")</f>
        <v>ictv.global=202214574</v>
      </c>
    </row>
    <row r="2200" spans="1:21">
      <c r="A2200">
        <v>2199</v>
      </c>
      <c r="B2200" s="29" t="s">
        <v>3682</v>
      </c>
      <c r="C2200" s="29"/>
      <c r="D2200" s="29" t="s">
        <v>3683</v>
      </c>
      <c r="E2200" s="29"/>
      <c r="F2200" s="29" t="s">
        <v>3686</v>
      </c>
      <c r="G2200" s="29"/>
      <c r="H2200" s="29" t="s">
        <v>3687</v>
      </c>
      <c r="I2200" s="29"/>
      <c r="J2200" s="29"/>
      <c r="K2200" s="29"/>
      <c r="L2200" s="29"/>
      <c r="M2200" s="29" t="s">
        <v>9372</v>
      </c>
      <c r="N2200" s="29" t="s">
        <v>9377</v>
      </c>
      <c r="O2200" s="29"/>
      <c r="P2200" s="29" t="s">
        <v>9380</v>
      </c>
      <c r="Q2200" t="s">
        <v>2038</v>
      </c>
      <c r="R2200" t="s">
        <v>2632</v>
      </c>
      <c r="S2200">
        <v>38</v>
      </c>
      <c r="T2200" s="43" t="str">
        <f t="shared" si="93"/>
        <v>2022.028B.Deeyouvirinae_nsf.zip</v>
      </c>
      <c r="U2200" s="43" t="str">
        <f>HYPERLINK("https://ictv.global/taxonomy/taxondetails?taxnode_id=202214575","ictv.global=202214575")</f>
        <v>ictv.global=202214575</v>
      </c>
    </row>
    <row r="2201" spans="1:21">
      <c r="A2201">
        <v>2200</v>
      </c>
      <c r="B2201" s="29" t="s">
        <v>3682</v>
      </c>
      <c r="C2201" s="29"/>
      <c r="D2201" s="29" t="s">
        <v>3683</v>
      </c>
      <c r="E2201" s="29"/>
      <c r="F2201" s="29" t="s">
        <v>3686</v>
      </c>
      <c r="G2201" s="29"/>
      <c r="H2201" s="29" t="s">
        <v>3687</v>
      </c>
      <c r="I2201" s="29"/>
      <c r="J2201" s="29"/>
      <c r="K2201" s="29"/>
      <c r="L2201" s="29"/>
      <c r="M2201" s="29" t="s">
        <v>9372</v>
      </c>
      <c r="N2201" s="29" t="s">
        <v>9377</v>
      </c>
      <c r="O2201" s="29"/>
      <c r="P2201" s="29" t="s">
        <v>9381</v>
      </c>
      <c r="Q2201" t="s">
        <v>2038</v>
      </c>
      <c r="R2201" t="s">
        <v>2632</v>
      </c>
      <c r="S2201">
        <v>38</v>
      </c>
      <c r="T2201" s="43" t="str">
        <f t="shared" si="93"/>
        <v>2022.028B.Deeyouvirinae_nsf.zip</v>
      </c>
      <c r="U2201" s="43" t="str">
        <f>HYPERLINK("https://ictv.global/taxonomy/taxondetails?taxnode_id=202214577","ictv.global=202214577")</f>
        <v>ictv.global=202214577</v>
      </c>
    </row>
    <row r="2202" spans="1:21">
      <c r="A2202">
        <v>2201</v>
      </c>
      <c r="B2202" s="29" t="s">
        <v>3682</v>
      </c>
      <c r="C2202" s="29"/>
      <c r="D2202" s="29" t="s">
        <v>3683</v>
      </c>
      <c r="E2202" s="29"/>
      <c r="F2202" s="29" t="s">
        <v>3686</v>
      </c>
      <c r="G2202" s="29"/>
      <c r="H2202" s="29" t="s">
        <v>3687</v>
      </c>
      <c r="I2202" s="29"/>
      <c r="J2202" s="29"/>
      <c r="K2202" s="29"/>
      <c r="L2202" s="29"/>
      <c r="M2202" s="29" t="s">
        <v>3967</v>
      </c>
      <c r="N2202" s="29" t="s">
        <v>3968</v>
      </c>
      <c r="O2202" s="29"/>
      <c r="P2202" s="29" t="s">
        <v>9382</v>
      </c>
      <c r="Q2202" t="s">
        <v>2038</v>
      </c>
      <c r="R2202" t="s">
        <v>2633</v>
      </c>
      <c r="S2202">
        <v>37</v>
      </c>
      <c r="T2202" s="43" t="str">
        <f t="shared" ref="T2202:T2213" si="94">HYPERLINK("https://ictv.global/ictv/proposals/2021.010B.R.Binomial_names.zip","2021.010B.R.Binomial_names.zip")</f>
        <v>2021.010B.R.Binomial_names.zip</v>
      </c>
      <c r="U2202" s="43" t="str">
        <f>HYPERLINK("https://ictv.global/taxonomy/taxondetails?taxnode_id=202207721","ictv.global=202207721")</f>
        <v>ictv.global=202207721</v>
      </c>
    </row>
    <row r="2203" spans="1:21">
      <c r="A2203">
        <v>2202</v>
      </c>
      <c r="B2203" s="29" t="s">
        <v>3682</v>
      </c>
      <c r="C2203" s="29"/>
      <c r="D2203" s="29" t="s">
        <v>3683</v>
      </c>
      <c r="E2203" s="29"/>
      <c r="F2203" s="29" t="s">
        <v>3686</v>
      </c>
      <c r="G2203" s="29"/>
      <c r="H2203" s="29" t="s">
        <v>3687</v>
      </c>
      <c r="I2203" s="29"/>
      <c r="J2203" s="29"/>
      <c r="K2203" s="29"/>
      <c r="L2203" s="29"/>
      <c r="M2203" s="29" t="s">
        <v>3967</v>
      </c>
      <c r="N2203" s="29" t="s">
        <v>3968</v>
      </c>
      <c r="O2203" s="29"/>
      <c r="P2203" s="29" t="s">
        <v>9383</v>
      </c>
      <c r="Q2203" t="s">
        <v>2038</v>
      </c>
      <c r="R2203" t="s">
        <v>2633</v>
      </c>
      <c r="S2203">
        <v>37</v>
      </c>
      <c r="T2203" s="43" t="str">
        <f t="shared" si="94"/>
        <v>2021.010B.R.Binomial_names.zip</v>
      </c>
      <c r="U2203" s="43" t="str">
        <f>HYPERLINK("https://ictv.global/taxonomy/taxondetails?taxnode_id=202207720","ictv.global=202207720")</f>
        <v>ictv.global=202207720</v>
      </c>
    </row>
    <row r="2204" spans="1:21">
      <c r="A2204">
        <v>2203</v>
      </c>
      <c r="B2204" s="29" t="s">
        <v>3682</v>
      </c>
      <c r="C2204" s="29"/>
      <c r="D2204" s="29" t="s">
        <v>3683</v>
      </c>
      <c r="E2204" s="29"/>
      <c r="F2204" s="29" t="s">
        <v>3686</v>
      </c>
      <c r="G2204" s="29"/>
      <c r="H2204" s="29" t="s">
        <v>3687</v>
      </c>
      <c r="I2204" s="29"/>
      <c r="J2204" s="29"/>
      <c r="K2204" s="29"/>
      <c r="L2204" s="29"/>
      <c r="M2204" s="29" t="s">
        <v>3967</v>
      </c>
      <c r="N2204" s="29" t="s">
        <v>3969</v>
      </c>
      <c r="O2204" s="29"/>
      <c r="P2204" s="29" t="s">
        <v>9384</v>
      </c>
      <c r="Q2204" t="s">
        <v>2038</v>
      </c>
      <c r="R2204" t="s">
        <v>2633</v>
      </c>
      <c r="S2204">
        <v>37</v>
      </c>
      <c r="T2204" s="43" t="str">
        <f t="shared" si="94"/>
        <v>2021.010B.R.Binomial_names.zip</v>
      </c>
      <c r="U2204" s="43" t="str">
        <f>HYPERLINK("https://ictv.global/taxonomy/taxondetails?taxnode_id=202207717","ictv.global=202207717")</f>
        <v>ictv.global=202207717</v>
      </c>
    </row>
    <row r="2205" spans="1:21">
      <c r="A2205">
        <v>2204</v>
      </c>
      <c r="B2205" s="29" t="s">
        <v>3682</v>
      </c>
      <c r="C2205" s="29"/>
      <c r="D2205" s="29" t="s">
        <v>3683</v>
      </c>
      <c r="E2205" s="29"/>
      <c r="F2205" s="29" t="s">
        <v>3686</v>
      </c>
      <c r="G2205" s="29"/>
      <c r="H2205" s="29" t="s">
        <v>3687</v>
      </c>
      <c r="I2205" s="29"/>
      <c r="J2205" s="29"/>
      <c r="K2205" s="29"/>
      <c r="L2205" s="29"/>
      <c r="M2205" s="29" t="s">
        <v>3967</v>
      </c>
      <c r="N2205" s="29" t="s">
        <v>3969</v>
      </c>
      <c r="O2205" s="29"/>
      <c r="P2205" s="29" t="s">
        <v>9385</v>
      </c>
      <c r="Q2205" t="s">
        <v>2038</v>
      </c>
      <c r="R2205" t="s">
        <v>2633</v>
      </c>
      <c r="S2205">
        <v>37</v>
      </c>
      <c r="T2205" s="43" t="str">
        <f t="shared" si="94"/>
        <v>2021.010B.R.Binomial_names.zip</v>
      </c>
      <c r="U2205" s="43" t="str">
        <f>HYPERLINK("https://ictv.global/taxonomy/taxondetails?taxnode_id=202207718","ictv.global=202207718")</f>
        <v>ictv.global=202207718</v>
      </c>
    </row>
    <row r="2206" spans="1:21">
      <c r="A2206">
        <v>2205</v>
      </c>
      <c r="B2206" s="29" t="s">
        <v>3682</v>
      </c>
      <c r="C2206" s="29"/>
      <c r="D2206" s="29" t="s">
        <v>3683</v>
      </c>
      <c r="E2206" s="29"/>
      <c r="F2206" s="29" t="s">
        <v>3686</v>
      </c>
      <c r="G2206" s="29"/>
      <c r="H2206" s="29" t="s">
        <v>3687</v>
      </c>
      <c r="I2206" s="29"/>
      <c r="J2206" s="29"/>
      <c r="K2206" s="29"/>
      <c r="L2206" s="29"/>
      <c r="M2206" s="29" t="s">
        <v>3967</v>
      </c>
      <c r="N2206" s="29" t="s">
        <v>3970</v>
      </c>
      <c r="O2206" s="29"/>
      <c r="P2206" s="29" t="s">
        <v>9386</v>
      </c>
      <c r="Q2206" t="s">
        <v>2038</v>
      </c>
      <c r="R2206" t="s">
        <v>2633</v>
      </c>
      <c r="S2206">
        <v>37</v>
      </c>
      <c r="T2206" s="43" t="str">
        <f t="shared" si="94"/>
        <v>2021.010B.R.Binomial_names.zip</v>
      </c>
      <c r="U2206" s="43" t="str">
        <f>HYPERLINK("https://ictv.global/taxonomy/taxondetails?taxnode_id=202207715","ictv.global=202207715")</f>
        <v>ictv.global=202207715</v>
      </c>
    </row>
    <row r="2207" spans="1:21">
      <c r="A2207">
        <v>2206</v>
      </c>
      <c r="B2207" s="29" t="s">
        <v>3682</v>
      </c>
      <c r="C2207" s="29"/>
      <c r="D2207" s="29" t="s">
        <v>3683</v>
      </c>
      <c r="E2207" s="29"/>
      <c r="F2207" s="29" t="s">
        <v>3686</v>
      </c>
      <c r="G2207" s="29"/>
      <c r="H2207" s="29" t="s">
        <v>3687</v>
      </c>
      <c r="I2207" s="29"/>
      <c r="J2207" s="29"/>
      <c r="K2207" s="29"/>
      <c r="L2207" s="29"/>
      <c r="M2207" s="29" t="s">
        <v>3967</v>
      </c>
      <c r="N2207" s="29" t="s">
        <v>3970</v>
      </c>
      <c r="O2207" s="29"/>
      <c r="P2207" s="29" t="s">
        <v>9387</v>
      </c>
      <c r="Q2207" t="s">
        <v>2038</v>
      </c>
      <c r="R2207" t="s">
        <v>2633</v>
      </c>
      <c r="S2207">
        <v>37</v>
      </c>
      <c r="T2207" s="43" t="str">
        <f t="shared" si="94"/>
        <v>2021.010B.R.Binomial_names.zip</v>
      </c>
      <c r="U2207" s="43" t="str">
        <f>HYPERLINK("https://ictv.global/taxonomy/taxondetails?taxnode_id=202201192","ictv.global=202201192")</f>
        <v>ictv.global=202201192</v>
      </c>
    </row>
    <row r="2208" spans="1:21">
      <c r="A2208">
        <v>2207</v>
      </c>
      <c r="B2208" s="29" t="s">
        <v>3682</v>
      </c>
      <c r="C2208" s="29"/>
      <c r="D2208" s="29" t="s">
        <v>3683</v>
      </c>
      <c r="E2208" s="29"/>
      <c r="F2208" s="29" t="s">
        <v>3686</v>
      </c>
      <c r="G2208" s="29"/>
      <c r="H2208" s="29" t="s">
        <v>3687</v>
      </c>
      <c r="I2208" s="29"/>
      <c r="J2208" s="29"/>
      <c r="K2208" s="29"/>
      <c r="L2208" s="29"/>
      <c r="M2208" s="29" t="s">
        <v>3967</v>
      </c>
      <c r="N2208" s="29" t="s">
        <v>3971</v>
      </c>
      <c r="O2208" s="29"/>
      <c r="P2208" s="29" t="s">
        <v>9388</v>
      </c>
      <c r="Q2208" t="s">
        <v>2038</v>
      </c>
      <c r="R2208" t="s">
        <v>2633</v>
      </c>
      <c r="S2208">
        <v>37</v>
      </c>
      <c r="T2208" s="43" t="str">
        <f t="shared" si="94"/>
        <v>2021.010B.R.Binomial_names.zip</v>
      </c>
      <c r="U2208" s="43" t="str">
        <f>HYPERLINK("https://ictv.global/taxonomy/taxondetails?taxnode_id=202201191","ictv.global=202201191")</f>
        <v>ictv.global=202201191</v>
      </c>
    </row>
    <row r="2209" spans="1:21">
      <c r="A2209">
        <v>2208</v>
      </c>
      <c r="B2209" s="29" t="s">
        <v>3682</v>
      </c>
      <c r="C2209" s="29"/>
      <c r="D2209" s="29" t="s">
        <v>3683</v>
      </c>
      <c r="E2209" s="29"/>
      <c r="F2209" s="29" t="s">
        <v>3686</v>
      </c>
      <c r="G2209" s="29"/>
      <c r="H2209" s="29" t="s">
        <v>3687</v>
      </c>
      <c r="I2209" s="29"/>
      <c r="J2209" s="29"/>
      <c r="K2209" s="29"/>
      <c r="L2209" s="29"/>
      <c r="M2209" s="29" t="s">
        <v>3967</v>
      </c>
      <c r="N2209" s="29" t="s">
        <v>3971</v>
      </c>
      <c r="O2209" s="29"/>
      <c r="P2209" s="29" t="s">
        <v>9389</v>
      </c>
      <c r="Q2209" t="s">
        <v>2038</v>
      </c>
      <c r="R2209" t="s">
        <v>2633</v>
      </c>
      <c r="S2209">
        <v>37</v>
      </c>
      <c r="T2209" s="43" t="str">
        <f t="shared" si="94"/>
        <v>2021.010B.R.Binomial_names.zip</v>
      </c>
      <c r="U2209" s="43" t="str">
        <f>HYPERLINK("https://ictv.global/taxonomy/taxondetails?taxnode_id=202201193","ictv.global=202201193")</f>
        <v>ictv.global=202201193</v>
      </c>
    </row>
    <row r="2210" spans="1:21">
      <c r="A2210">
        <v>2209</v>
      </c>
      <c r="B2210" s="29" t="s">
        <v>3682</v>
      </c>
      <c r="C2210" s="29"/>
      <c r="D2210" s="29" t="s">
        <v>3683</v>
      </c>
      <c r="E2210" s="29"/>
      <c r="F2210" s="29" t="s">
        <v>3686</v>
      </c>
      <c r="G2210" s="29"/>
      <c r="H2210" s="29" t="s">
        <v>3687</v>
      </c>
      <c r="I2210" s="29"/>
      <c r="J2210" s="29"/>
      <c r="K2210" s="29"/>
      <c r="L2210" s="29"/>
      <c r="M2210" s="29" t="s">
        <v>4592</v>
      </c>
      <c r="N2210" s="29" t="s">
        <v>4593</v>
      </c>
      <c r="O2210" s="29"/>
      <c r="P2210" s="29" t="s">
        <v>9390</v>
      </c>
      <c r="Q2210" t="s">
        <v>2038</v>
      </c>
      <c r="R2210" t="s">
        <v>2633</v>
      </c>
      <c r="S2210">
        <v>37</v>
      </c>
      <c r="T2210" s="43" t="str">
        <f t="shared" si="94"/>
        <v>2021.010B.R.Binomial_names.zip</v>
      </c>
      <c r="U2210" s="43" t="str">
        <f>HYPERLINK("https://ictv.global/taxonomy/taxondetails?taxnode_id=202209985","ictv.global=202209985")</f>
        <v>ictv.global=202209985</v>
      </c>
    </row>
    <row r="2211" spans="1:21">
      <c r="A2211">
        <v>2210</v>
      </c>
      <c r="B2211" s="29" t="s">
        <v>3682</v>
      </c>
      <c r="C2211" s="29"/>
      <c r="D2211" s="29" t="s">
        <v>3683</v>
      </c>
      <c r="E2211" s="29"/>
      <c r="F2211" s="29" t="s">
        <v>3686</v>
      </c>
      <c r="G2211" s="29"/>
      <c r="H2211" s="29" t="s">
        <v>3687</v>
      </c>
      <c r="I2211" s="29"/>
      <c r="J2211" s="29"/>
      <c r="K2211" s="29"/>
      <c r="L2211" s="29"/>
      <c r="M2211" s="29" t="s">
        <v>4592</v>
      </c>
      <c r="N2211" s="29" t="s">
        <v>4593</v>
      </c>
      <c r="O2211" s="29"/>
      <c r="P2211" s="29" t="s">
        <v>9391</v>
      </c>
      <c r="Q2211" t="s">
        <v>2038</v>
      </c>
      <c r="R2211" t="s">
        <v>2633</v>
      </c>
      <c r="S2211">
        <v>37</v>
      </c>
      <c r="T2211" s="43" t="str">
        <f t="shared" si="94"/>
        <v>2021.010B.R.Binomial_names.zip</v>
      </c>
      <c r="U2211" s="43" t="str">
        <f>HYPERLINK("https://ictv.global/taxonomy/taxondetails?taxnode_id=202209986","ictv.global=202209986")</f>
        <v>ictv.global=202209986</v>
      </c>
    </row>
    <row r="2212" spans="1:21">
      <c r="A2212">
        <v>2211</v>
      </c>
      <c r="B2212" s="29" t="s">
        <v>3682</v>
      </c>
      <c r="C2212" s="29"/>
      <c r="D2212" s="29" t="s">
        <v>3683</v>
      </c>
      <c r="E2212" s="29"/>
      <c r="F2212" s="29" t="s">
        <v>3686</v>
      </c>
      <c r="G2212" s="29"/>
      <c r="H2212" s="29" t="s">
        <v>3687</v>
      </c>
      <c r="I2212" s="29"/>
      <c r="J2212" s="29"/>
      <c r="K2212" s="29"/>
      <c r="L2212" s="29"/>
      <c r="M2212" s="29" t="s">
        <v>4592</v>
      </c>
      <c r="N2212" s="29" t="s">
        <v>4594</v>
      </c>
      <c r="O2212" s="29"/>
      <c r="P2212" s="29" t="s">
        <v>9392</v>
      </c>
      <c r="Q2212" t="s">
        <v>2038</v>
      </c>
      <c r="R2212" t="s">
        <v>2633</v>
      </c>
      <c r="S2212">
        <v>37</v>
      </c>
      <c r="T2212" s="43" t="str">
        <f t="shared" si="94"/>
        <v>2021.010B.R.Binomial_names.zip</v>
      </c>
      <c r="U2212" s="43" t="str">
        <f>HYPERLINK("https://ictv.global/taxonomy/taxondetails?taxnode_id=202209989","ictv.global=202209989")</f>
        <v>ictv.global=202209989</v>
      </c>
    </row>
    <row r="2213" spans="1:21">
      <c r="A2213">
        <v>2212</v>
      </c>
      <c r="B2213" s="29" t="s">
        <v>3682</v>
      </c>
      <c r="C2213" s="29"/>
      <c r="D2213" s="29" t="s">
        <v>3683</v>
      </c>
      <c r="E2213" s="29"/>
      <c r="F2213" s="29" t="s">
        <v>3686</v>
      </c>
      <c r="G2213" s="29"/>
      <c r="H2213" s="29" t="s">
        <v>3687</v>
      </c>
      <c r="I2213" s="29"/>
      <c r="J2213" s="29"/>
      <c r="K2213" s="29"/>
      <c r="L2213" s="29"/>
      <c r="M2213" s="29" t="s">
        <v>4592</v>
      </c>
      <c r="N2213" s="29" t="s">
        <v>4594</v>
      </c>
      <c r="O2213" s="29"/>
      <c r="P2213" s="29" t="s">
        <v>9393</v>
      </c>
      <c r="Q2213" t="s">
        <v>2038</v>
      </c>
      <c r="R2213" t="s">
        <v>2633</v>
      </c>
      <c r="S2213">
        <v>37</v>
      </c>
      <c r="T2213" s="43" t="str">
        <f t="shared" si="94"/>
        <v>2021.010B.R.Binomial_names.zip</v>
      </c>
      <c r="U2213" s="43" t="str">
        <f>HYPERLINK("https://ictv.global/taxonomy/taxondetails?taxnode_id=202209988","ictv.global=202209988")</f>
        <v>ictv.global=202209988</v>
      </c>
    </row>
    <row r="2214" spans="1:21">
      <c r="A2214">
        <v>2213</v>
      </c>
      <c r="B2214" s="29" t="s">
        <v>3682</v>
      </c>
      <c r="C2214" s="29"/>
      <c r="D2214" s="29" t="s">
        <v>3683</v>
      </c>
      <c r="E2214" s="29"/>
      <c r="F2214" s="29" t="s">
        <v>3686</v>
      </c>
      <c r="G2214" s="29"/>
      <c r="H2214" s="29" t="s">
        <v>3687</v>
      </c>
      <c r="I2214" s="29"/>
      <c r="J2214" s="29"/>
      <c r="K2214" s="29"/>
      <c r="L2214" s="29"/>
      <c r="M2214" s="29" t="s">
        <v>1968</v>
      </c>
      <c r="N2214" s="29" t="s">
        <v>3372</v>
      </c>
      <c r="O2214" s="29"/>
      <c r="P2214" s="29" t="s">
        <v>2049</v>
      </c>
      <c r="Q2214" t="s">
        <v>2038</v>
      </c>
      <c r="R2214" t="s">
        <v>2634</v>
      </c>
      <c r="S2214">
        <v>37</v>
      </c>
      <c r="T2214" s="43" t="str">
        <f>HYPERLINK("https://ictv.global/ictv/proposals/2021.001B.R.abolish_Caudovirales.zip","2021.001B.R.abolish_Caudovirales.zip")</f>
        <v>2021.001B.R.abolish_Caudovirales.zip</v>
      </c>
      <c r="U2214" s="43" t="str">
        <f>HYPERLINK("https://ictv.global/taxonomy/taxondetails?taxnode_id=202200197","ictv.global=202200197")</f>
        <v>ictv.global=202200197</v>
      </c>
    </row>
    <row r="2215" spans="1:21">
      <c r="A2215">
        <v>2214</v>
      </c>
      <c r="B2215" s="29" t="s">
        <v>3682</v>
      </c>
      <c r="C2215" s="29"/>
      <c r="D2215" s="29" t="s">
        <v>3683</v>
      </c>
      <c r="E2215" s="29"/>
      <c r="F2215" s="29" t="s">
        <v>3686</v>
      </c>
      <c r="G2215" s="29"/>
      <c r="H2215" s="29" t="s">
        <v>3687</v>
      </c>
      <c r="I2215" s="29"/>
      <c r="J2215" s="29"/>
      <c r="K2215" s="29"/>
      <c r="L2215" s="29"/>
      <c r="M2215" s="29" t="s">
        <v>1968</v>
      </c>
      <c r="N2215" s="29" t="s">
        <v>3372</v>
      </c>
      <c r="O2215" s="29"/>
      <c r="P2215" s="29" t="s">
        <v>9394</v>
      </c>
      <c r="Q2215" t="s">
        <v>2038</v>
      </c>
      <c r="R2215" t="s">
        <v>2633</v>
      </c>
      <c r="S2215">
        <v>37</v>
      </c>
      <c r="T2215" s="43" t="str">
        <f t="shared" ref="T2215:T2222" si="95">HYPERLINK("https://ictv.global/ictv/proposals/2021.010B.R.Binomial_names.zip","2021.010B.R.Binomial_names.zip")</f>
        <v>2021.010B.R.Binomial_names.zip</v>
      </c>
      <c r="U2215" s="43" t="str">
        <f>HYPERLINK("https://ictv.global/taxonomy/taxondetails?taxnode_id=202200194","ictv.global=202200194")</f>
        <v>ictv.global=202200194</v>
      </c>
    </row>
    <row r="2216" spans="1:21">
      <c r="A2216">
        <v>2215</v>
      </c>
      <c r="B2216" s="29" t="s">
        <v>3682</v>
      </c>
      <c r="C2216" s="29"/>
      <c r="D2216" s="29" t="s">
        <v>3683</v>
      </c>
      <c r="E2216" s="29"/>
      <c r="F2216" s="29" t="s">
        <v>3686</v>
      </c>
      <c r="G2216" s="29"/>
      <c r="H2216" s="29" t="s">
        <v>3687</v>
      </c>
      <c r="I2216" s="29"/>
      <c r="J2216" s="29"/>
      <c r="K2216" s="29"/>
      <c r="L2216" s="29"/>
      <c r="M2216" s="29" t="s">
        <v>1968</v>
      </c>
      <c r="N2216" s="29" t="s">
        <v>3372</v>
      </c>
      <c r="O2216" s="29"/>
      <c r="P2216" s="29" t="s">
        <v>9395</v>
      </c>
      <c r="Q2216" t="s">
        <v>2038</v>
      </c>
      <c r="R2216" t="s">
        <v>2633</v>
      </c>
      <c r="S2216">
        <v>37</v>
      </c>
      <c r="T2216" s="43" t="str">
        <f t="shared" si="95"/>
        <v>2021.010B.R.Binomial_names.zip</v>
      </c>
      <c r="U2216" s="43" t="str">
        <f>HYPERLINK("https://ictv.global/taxonomy/taxondetails?taxnode_id=202200195","ictv.global=202200195")</f>
        <v>ictv.global=202200195</v>
      </c>
    </row>
    <row r="2217" spans="1:21">
      <c r="A2217">
        <v>2216</v>
      </c>
      <c r="B2217" s="29" t="s">
        <v>3682</v>
      </c>
      <c r="C2217" s="29"/>
      <c r="D2217" s="29" t="s">
        <v>3683</v>
      </c>
      <c r="E2217" s="29"/>
      <c r="F2217" s="29" t="s">
        <v>3686</v>
      </c>
      <c r="G2217" s="29"/>
      <c r="H2217" s="29" t="s">
        <v>3687</v>
      </c>
      <c r="I2217" s="29"/>
      <c r="J2217" s="29"/>
      <c r="K2217" s="29"/>
      <c r="L2217" s="29"/>
      <c r="M2217" s="29" t="s">
        <v>1968</v>
      </c>
      <c r="N2217" s="29" t="s">
        <v>3372</v>
      </c>
      <c r="O2217" s="29"/>
      <c r="P2217" s="29" t="s">
        <v>9396</v>
      </c>
      <c r="Q2217" t="s">
        <v>2038</v>
      </c>
      <c r="R2217" t="s">
        <v>2633</v>
      </c>
      <c r="S2217">
        <v>37</v>
      </c>
      <c r="T2217" s="43" t="str">
        <f t="shared" si="95"/>
        <v>2021.010B.R.Binomial_names.zip</v>
      </c>
      <c r="U2217" s="43" t="str">
        <f>HYPERLINK("https://ictv.global/taxonomy/taxondetails?taxnode_id=202200196","ictv.global=202200196")</f>
        <v>ictv.global=202200196</v>
      </c>
    </row>
    <row r="2218" spans="1:21">
      <c r="A2218">
        <v>2217</v>
      </c>
      <c r="B2218" s="29" t="s">
        <v>3682</v>
      </c>
      <c r="C2218" s="29"/>
      <c r="D2218" s="29" t="s">
        <v>3683</v>
      </c>
      <c r="E2218" s="29"/>
      <c r="F2218" s="29" t="s">
        <v>3686</v>
      </c>
      <c r="G2218" s="29"/>
      <c r="H2218" s="29" t="s">
        <v>3687</v>
      </c>
      <c r="I2218" s="29"/>
      <c r="J2218" s="29"/>
      <c r="K2218" s="29"/>
      <c r="L2218" s="29"/>
      <c r="M2218" s="29" t="s">
        <v>1968</v>
      </c>
      <c r="N2218" s="29" t="s">
        <v>3373</v>
      </c>
      <c r="O2218" s="29"/>
      <c r="P2218" s="29" t="s">
        <v>9397</v>
      </c>
      <c r="Q2218" t="s">
        <v>2038</v>
      </c>
      <c r="R2218" t="s">
        <v>2633</v>
      </c>
      <c r="S2218">
        <v>37</v>
      </c>
      <c r="T2218" s="43" t="str">
        <f t="shared" si="95"/>
        <v>2021.010B.R.Binomial_names.zip</v>
      </c>
      <c r="U2218" s="43" t="str">
        <f>HYPERLINK("https://ictv.global/taxonomy/taxondetails?taxnode_id=202200199","ictv.global=202200199")</f>
        <v>ictv.global=202200199</v>
      </c>
    </row>
    <row r="2219" spans="1:21">
      <c r="A2219">
        <v>2218</v>
      </c>
      <c r="B2219" s="29" t="s">
        <v>3682</v>
      </c>
      <c r="C2219" s="29"/>
      <c r="D2219" s="29" t="s">
        <v>3683</v>
      </c>
      <c r="E2219" s="29"/>
      <c r="F2219" s="29" t="s">
        <v>3686</v>
      </c>
      <c r="G2219" s="29"/>
      <c r="H2219" s="29" t="s">
        <v>3687</v>
      </c>
      <c r="I2219" s="29"/>
      <c r="J2219" s="29"/>
      <c r="K2219" s="29"/>
      <c r="L2219" s="29"/>
      <c r="M2219" s="29" t="s">
        <v>1968</v>
      </c>
      <c r="N2219" s="29" t="s">
        <v>3373</v>
      </c>
      <c r="O2219" s="29"/>
      <c r="P2219" s="29" t="s">
        <v>9398</v>
      </c>
      <c r="Q2219" t="s">
        <v>2038</v>
      </c>
      <c r="R2219" t="s">
        <v>2633</v>
      </c>
      <c r="S2219">
        <v>37</v>
      </c>
      <c r="T2219" s="43" t="str">
        <f t="shared" si="95"/>
        <v>2021.010B.R.Binomial_names.zip</v>
      </c>
      <c r="U2219" s="43" t="str">
        <f>HYPERLINK("https://ictv.global/taxonomy/taxondetails?taxnode_id=202200200","ictv.global=202200200")</f>
        <v>ictv.global=202200200</v>
      </c>
    </row>
    <row r="2220" spans="1:21">
      <c r="A2220">
        <v>2219</v>
      </c>
      <c r="B2220" s="29" t="s">
        <v>3682</v>
      </c>
      <c r="C2220" s="29"/>
      <c r="D2220" s="29" t="s">
        <v>3683</v>
      </c>
      <c r="E2220" s="29"/>
      <c r="F2220" s="29" t="s">
        <v>3686</v>
      </c>
      <c r="G2220" s="29"/>
      <c r="H2220" s="29" t="s">
        <v>3687</v>
      </c>
      <c r="I2220" s="29"/>
      <c r="J2220" s="29"/>
      <c r="K2220" s="29"/>
      <c r="L2220" s="29"/>
      <c r="M2220" s="29" t="s">
        <v>1968</v>
      </c>
      <c r="N2220" s="29" t="s">
        <v>3373</v>
      </c>
      <c r="O2220" s="29"/>
      <c r="P2220" s="29" t="s">
        <v>9399</v>
      </c>
      <c r="Q2220" t="s">
        <v>2038</v>
      </c>
      <c r="R2220" t="s">
        <v>2633</v>
      </c>
      <c r="S2220">
        <v>37</v>
      </c>
      <c r="T2220" s="43" t="str">
        <f t="shared" si="95"/>
        <v>2021.010B.R.Binomial_names.zip</v>
      </c>
      <c r="U2220" s="43" t="str">
        <f>HYPERLINK("https://ictv.global/taxonomy/taxondetails?taxnode_id=202200201","ictv.global=202200201")</f>
        <v>ictv.global=202200201</v>
      </c>
    </row>
    <row r="2221" spans="1:21">
      <c r="A2221">
        <v>2220</v>
      </c>
      <c r="B2221" s="29" t="s">
        <v>3682</v>
      </c>
      <c r="C2221" s="29"/>
      <c r="D2221" s="29" t="s">
        <v>3683</v>
      </c>
      <c r="E2221" s="29"/>
      <c r="F2221" s="29" t="s">
        <v>3686</v>
      </c>
      <c r="G2221" s="29"/>
      <c r="H2221" s="29" t="s">
        <v>3687</v>
      </c>
      <c r="I2221" s="29"/>
      <c r="J2221" s="29"/>
      <c r="K2221" s="29"/>
      <c r="L2221" s="29"/>
      <c r="M2221" s="29" t="s">
        <v>1968</v>
      </c>
      <c r="N2221" s="29" t="s">
        <v>3373</v>
      </c>
      <c r="O2221" s="29"/>
      <c r="P2221" s="29" t="s">
        <v>9400</v>
      </c>
      <c r="Q2221" t="s">
        <v>2038</v>
      </c>
      <c r="R2221" t="s">
        <v>2633</v>
      </c>
      <c r="S2221">
        <v>37</v>
      </c>
      <c r="T2221" s="43" t="str">
        <f t="shared" si="95"/>
        <v>2021.010B.R.Binomial_names.zip</v>
      </c>
      <c r="U2221" s="43" t="str">
        <f>HYPERLINK("https://ictv.global/taxonomy/taxondetails?taxnode_id=202206998","ictv.global=202206998")</f>
        <v>ictv.global=202206998</v>
      </c>
    </row>
    <row r="2222" spans="1:21">
      <c r="A2222">
        <v>2221</v>
      </c>
      <c r="B2222" s="29" t="s">
        <v>3682</v>
      </c>
      <c r="C2222" s="29"/>
      <c r="D2222" s="29" t="s">
        <v>3683</v>
      </c>
      <c r="E2222" s="29"/>
      <c r="F2222" s="29" t="s">
        <v>3686</v>
      </c>
      <c r="G2222" s="29"/>
      <c r="H2222" s="29" t="s">
        <v>3687</v>
      </c>
      <c r="I2222" s="29"/>
      <c r="J2222" s="29"/>
      <c r="K2222" s="29"/>
      <c r="L2222" s="29"/>
      <c r="M2222" s="29" t="s">
        <v>1968</v>
      </c>
      <c r="N2222" s="29" t="s">
        <v>3373</v>
      </c>
      <c r="O2222" s="29"/>
      <c r="P2222" s="29" t="s">
        <v>9401</v>
      </c>
      <c r="Q2222" t="s">
        <v>2038</v>
      </c>
      <c r="R2222" t="s">
        <v>2633</v>
      </c>
      <c r="S2222">
        <v>37</v>
      </c>
      <c r="T2222" s="43" t="str">
        <f t="shared" si="95"/>
        <v>2021.010B.R.Binomial_names.zip</v>
      </c>
      <c r="U2222" s="43" t="str">
        <f>HYPERLINK("https://ictv.global/taxonomy/taxondetails?taxnode_id=202200202","ictv.global=202200202")</f>
        <v>ictv.global=202200202</v>
      </c>
    </row>
    <row r="2223" spans="1:21">
      <c r="A2223">
        <v>2222</v>
      </c>
      <c r="B2223" s="29" t="s">
        <v>3682</v>
      </c>
      <c r="C2223" s="29"/>
      <c r="D2223" s="29" t="s">
        <v>3683</v>
      </c>
      <c r="E2223" s="29"/>
      <c r="F2223" s="29" t="s">
        <v>3686</v>
      </c>
      <c r="G2223" s="29"/>
      <c r="H2223" s="29" t="s">
        <v>3687</v>
      </c>
      <c r="I2223" s="29"/>
      <c r="J2223" s="29"/>
      <c r="K2223" s="29"/>
      <c r="L2223" s="29"/>
      <c r="M2223" s="29" t="s">
        <v>9402</v>
      </c>
      <c r="N2223" s="29" t="s">
        <v>9403</v>
      </c>
      <c r="O2223" s="29"/>
      <c r="P2223" s="29" t="s">
        <v>9404</v>
      </c>
      <c r="Q2223" t="s">
        <v>2038</v>
      </c>
      <c r="R2223" t="s">
        <v>2632</v>
      </c>
      <c r="S2223">
        <v>37</v>
      </c>
      <c r="T2223" s="43" t="str">
        <f t="shared" ref="T2223:T2233" si="96">HYPERLINK("https://ictv.global/ictv/proposals/2021.032B.R.Gclasvirinae.zip","2021.032B.R.Gclasvirinae.zip")</f>
        <v>2021.032B.R.Gclasvirinae.zip</v>
      </c>
      <c r="U2223" s="43" t="str">
        <f>HYPERLINK("https://ictv.global/taxonomy/taxondetails?taxnode_id=202213593","ictv.global=202213593")</f>
        <v>ictv.global=202213593</v>
      </c>
    </row>
    <row r="2224" spans="1:21">
      <c r="A2224">
        <v>2223</v>
      </c>
      <c r="B2224" s="29" t="s">
        <v>3682</v>
      </c>
      <c r="C2224" s="29"/>
      <c r="D2224" s="29" t="s">
        <v>3683</v>
      </c>
      <c r="E2224" s="29"/>
      <c r="F2224" s="29" t="s">
        <v>3686</v>
      </c>
      <c r="G2224" s="29"/>
      <c r="H2224" s="29" t="s">
        <v>3687</v>
      </c>
      <c r="I2224" s="29"/>
      <c r="J2224" s="29"/>
      <c r="K2224" s="29"/>
      <c r="L2224" s="29"/>
      <c r="M2224" s="29" t="s">
        <v>9402</v>
      </c>
      <c r="N2224" s="29" t="s">
        <v>9405</v>
      </c>
      <c r="O2224" s="29"/>
      <c r="P2224" s="29" t="s">
        <v>9406</v>
      </c>
      <c r="Q2224" t="s">
        <v>2038</v>
      </c>
      <c r="R2224" t="s">
        <v>2632</v>
      </c>
      <c r="S2224">
        <v>37</v>
      </c>
      <c r="T2224" s="43" t="str">
        <f t="shared" si="96"/>
        <v>2021.032B.R.Gclasvirinae.zip</v>
      </c>
      <c r="U2224" s="43" t="str">
        <f>HYPERLINK("https://ictv.global/taxonomy/taxondetails?taxnode_id=202213589","ictv.global=202213589")</f>
        <v>ictv.global=202213589</v>
      </c>
    </row>
    <row r="2225" spans="1:21">
      <c r="A2225">
        <v>2224</v>
      </c>
      <c r="B2225" s="29" t="s">
        <v>3682</v>
      </c>
      <c r="C2225" s="29"/>
      <c r="D2225" s="29" t="s">
        <v>3683</v>
      </c>
      <c r="E2225" s="29"/>
      <c r="F2225" s="29" t="s">
        <v>3686</v>
      </c>
      <c r="G2225" s="29"/>
      <c r="H2225" s="29" t="s">
        <v>3687</v>
      </c>
      <c r="I2225" s="29"/>
      <c r="J2225" s="29"/>
      <c r="K2225" s="29"/>
      <c r="L2225" s="29"/>
      <c r="M2225" s="29" t="s">
        <v>9402</v>
      </c>
      <c r="N2225" s="29" t="s">
        <v>9405</v>
      </c>
      <c r="O2225" s="29"/>
      <c r="P2225" s="29" t="s">
        <v>9407</v>
      </c>
      <c r="Q2225" t="s">
        <v>2038</v>
      </c>
      <c r="R2225" t="s">
        <v>2632</v>
      </c>
      <c r="S2225">
        <v>37</v>
      </c>
      <c r="T2225" s="43" t="str">
        <f t="shared" si="96"/>
        <v>2021.032B.R.Gclasvirinae.zip</v>
      </c>
      <c r="U2225" s="43" t="str">
        <f>HYPERLINK("https://ictv.global/taxonomy/taxondetails?taxnode_id=202213591","ictv.global=202213591")</f>
        <v>ictv.global=202213591</v>
      </c>
    </row>
    <row r="2226" spans="1:21">
      <c r="A2226">
        <v>2225</v>
      </c>
      <c r="B2226" s="29" t="s">
        <v>3682</v>
      </c>
      <c r="C2226" s="29"/>
      <c r="D2226" s="29" t="s">
        <v>3683</v>
      </c>
      <c r="E2226" s="29"/>
      <c r="F2226" s="29" t="s">
        <v>3686</v>
      </c>
      <c r="G2226" s="29"/>
      <c r="H2226" s="29" t="s">
        <v>3687</v>
      </c>
      <c r="I2226" s="29"/>
      <c r="J2226" s="29"/>
      <c r="K2226" s="29"/>
      <c r="L2226" s="29"/>
      <c r="M2226" s="29" t="s">
        <v>9402</v>
      </c>
      <c r="N2226" s="29" t="s">
        <v>9405</v>
      </c>
      <c r="O2226" s="29"/>
      <c r="P2226" s="29" t="s">
        <v>9408</v>
      </c>
      <c r="Q2226" t="s">
        <v>2038</v>
      </c>
      <c r="R2226" t="s">
        <v>2632</v>
      </c>
      <c r="S2226">
        <v>37</v>
      </c>
      <c r="T2226" s="43" t="str">
        <f t="shared" si="96"/>
        <v>2021.032B.R.Gclasvirinae.zip</v>
      </c>
      <c r="U2226" s="43" t="str">
        <f>HYPERLINK("https://ictv.global/taxonomy/taxondetails?taxnode_id=202213590","ictv.global=202213590")</f>
        <v>ictv.global=202213590</v>
      </c>
    </row>
    <row r="2227" spans="1:21">
      <c r="A2227">
        <v>2226</v>
      </c>
      <c r="B2227" s="29" t="s">
        <v>3682</v>
      </c>
      <c r="C2227" s="29"/>
      <c r="D2227" s="29" t="s">
        <v>3683</v>
      </c>
      <c r="E2227" s="29"/>
      <c r="F2227" s="29" t="s">
        <v>3686</v>
      </c>
      <c r="G2227" s="29"/>
      <c r="H2227" s="29" t="s">
        <v>3687</v>
      </c>
      <c r="I2227" s="29"/>
      <c r="J2227" s="29"/>
      <c r="K2227" s="29"/>
      <c r="L2227" s="29"/>
      <c r="M2227" s="29" t="s">
        <v>9402</v>
      </c>
      <c r="N2227" s="29" t="s">
        <v>9409</v>
      </c>
      <c r="O2227" s="29"/>
      <c r="P2227" s="29" t="s">
        <v>9410</v>
      </c>
      <c r="Q2227" t="s">
        <v>2038</v>
      </c>
      <c r="R2227" t="s">
        <v>2632</v>
      </c>
      <c r="S2227">
        <v>37</v>
      </c>
      <c r="T2227" s="43" t="str">
        <f t="shared" si="96"/>
        <v>2021.032B.R.Gclasvirinae.zip</v>
      </c>
      <c r="U2227" s="43" t="str">
        <f>HYPERLINK("https://ictv.global/taxonomy/taxondetails?taxnode_id=202213595","ictv.global=202213595")</f>
        <v>ictv.global=202213595</v>
      </c>
    </row>
    <row r="2228" spans="1:21">
      <c r="A2228">
        <v>2227</v>
      </c>
      <c r="B2228" s="29" t="s">
        <v>3682</v>
      </c>
      <c r="C2228" s="29"/>
      <c r="D2228" s="29" t="s">
        <v>3683</v>
      </c>
      <c r="E2228" s="29"/>
      <c r="F2228" s="29" t="s">
        <v>3686</v>
      </c>
      <c r="G2228" s="29"/>
      <c r="H2228" s="29" t="s">
        <v>3687</v>
      </c>
      <c r="I2228" s="29"/>
      <c r="J2228" s="29"/>
      <c r="K2228" s="29"/>
      <c r="L2228" s="29"/>
      <c r="M2228" s="29" t="s">
        <v>9402</v>
      </c>
      <c r="N2228" s="29" t="s">
        <v>9409</v>
      </c>
      <c r="O2228" s="29"/>
      <c r="P2228" s="29" t="s">
        <v>9411</v>
      </c>
      <c r="Q2228" t="s">
        <v>2038</v>
      </c>
      <c r="R2228" t="s">
        <v>2632</v>
      </c>
      <c r="S2228">
        <v>37</v>
      </c>
      <c r="T2228" s="43" t="str">
        <f t="shared" si="96"/>
        <v>2021.032B.R.Gclasvirinae.zip</v>
      </c>
      <c r="U2228" s="43" t="str">
        <f>HYPERLINK("https://ictv.global/taxonomy/taxondetails?taxnode_id=202213597","ictv.global=202213597")</f>
        <v>ictv.global=202213597</v>
      </c>
    </row>
    <row r="2229" spans="1:21">
      <c r="A2229">
        <v>2228</v>
      </c>
      <c r="B2229" s="29" t="s">
        <v>3682</v>
      </c>
      <c r="C2229" s="29"/>
      <c r="D2229" s="29" t="s">
        <v>3683</v>
      </c>
      <c r="E2229" s="29"/>
      <c r="F2229" s="29" t="s">
        <v>3686</v>
      </c>
      <c r="G2229" s="29"/>
      <c r="H2229" s="29" t="s">
        <v>3687</v>
      </c>
      <c r="I2229" s="29"/>
      <c r="J2229" s="29"/>
      <c r="K2229" s="29"/>
      <c r="L2229" s="29"/>
      <c r="M2229" s="29" t="s">
        <v>9402</v>
      </c>
      <c r="N2229" s="29" t="s">
        <v>9409</v>
      </c>
      <c r="O2229" s="29"/>
      <c r="P2229" s="29" t="s">
        <v>9412</v>
      </c>
      <c r="Q2229" t="s">
        <v>2038</v>
      </c>
      <c r="R2229" t="s">
        <v>2632</v>
      </c>
      <c r="S2229">
        <v>37</v>
      </c>
      <c r="T2229" s="43" t="str">
        <f t="shared" si="96"/>
        <v>2021.032B.R.Gclasvirinae.zip</v>
      </c>
      <c r="U2229" s="43" t="str">
        <f>HYPERLINK("https://ictv.global/taxonomy/taxondetails?taxnode_id=202213596","ictv.global=202213596")</f>
        <v>ictv.global=202213596</v>
      </c>
    </row>
    <row r="2230" spans="1:21">
      <c r="A2230">
        <v>2229</v>
      </c>
      <c r="B2230" s="29" t="s">
        <v>3682</v>
      </c>
      <c r="C2230" s="29"/>
      <c r="D2230" s="29" t="s">
        <v>3683</v>
      </c>
      <c r="E2230" s="29"/>
      <c r="F2230" s="29" t="s">
        <v>3686</v>
      </c>
      <c r="G2230" s="29"/>
      <c r="H2230" s="29" t="s">
        <v>3687</v>
      </c>
      <c r="I2230" s="29"/>
      <c r="J2230" s="29"/>
      <c r="K2230" s="29"/>
      <c r="L2230" s="29"/>
      <c r="M2230" s="29" t="s">
        <v>9402</v>
      </c>
      <c r="N2230" s="29" t="s">
        <v>2111</v>
      </c>
      <c r="O2230" s="29"/>
      <c r="P2230" s="29" t="s">
        <v>9413</v>
      </c>
      <c r="Q2230" t="s">
        <v>2038</v>
      </c>
      <c r="R2230" t="s">
        <v>2632</v>
      </c>
      <c r="S2230">
        <v>37</v>
      </c>
      <c r="T2230" s="43" t="str">
        <f t="shared" si="96"/>
        <v>2021.032B.R.Gclasvirinae.zip</v>
      </c>
      <c r="U2230" s="43" t="str">
        <f>HYPERLINK("https://ictv.global/taxonomy/taxondetails?taxnode_id=202213587","ictv.global=202213587")</f>
        <v>ictv.global=202213587</v>
      </c>
    </row>
    <row r="2231" spans="1:21">
      <c r="A2231">
        <v>2230</v>
      </c>
      <c r="B2231" s="29" t="s">
        <v>3682</v>
      </c>
      <c r="C2231" s="29"/>
      <c r="D2231" s="29" t="s">
        <v>3683</v>
      </c>
      <c r="E2231" s="29"/>
      <c r="F2231" s="29" t="s">
        <v>3686</v>
      </c>
      <c r="G2231" s="29"/>
      <c r="H2231" s="29" t="s">
        <v>3687</v>
      </c>
      <c r="I2231" s="29"/>
      <c r="J2231" s="29"/>
      <c r="K2231" s="29"/>
      <c r="L2231" s="29"/>
      <c r="M2231" s="29" t="s">
        <v>9402</v>
      </c>
      <c r="N2231" s="29" t="s">
        <v>2111</v>
      </c>
      <c r="O2231" s="29"/>
      <c r="P2231" s="29" t="s">
        <v>9414</v>
      </c>
      <c r="Q2231" t="s">
        <v>2038</v>
      </c>
      <c r="R2231" t="s">
        <v>2632</v>
      </c>
      <c r="S2231">
        <v>37</v>
      </c>
      <c r="T2231" s="43" t="str">
        <f t="shared" si="96"/>
        <v>2021.032B.R.Gclasvirinae.zip</v>
      </c>
      <c r="U2231" s="43" t="str">
        <f>HYPERLINK("https://ictv.global/taxonomy/taxondetails?taxnode_id=202213584","ictv.global=202213584")</f>
        <v>ictv.global=202213584</v>
      </c>
    </row>
    <row r="2232" spans="1:21">
      <c r="A2232">
        <v>2231</v>
      </c>
      <c r="B2232" s="29" t="s">
        <v>3682</v>
      </c>
      <c r="C2232" s="29"/>
      <c r="D2232" s="29" t="s">
        <v>3683</v>
      </c>
      <c r="E2232" s="29"/>
      <c r="F2232" s="29" t="s">
        <v>3686</v>
      </c>
      <c r="G2232" s="29"/>
      <c r="H2232" s="29" t="s">
        <v>3687</v>
      </c>
      <c r="I2232" s="29"/>
      <c r="J2232" s="29"/>
      <c r="K2232" s="29"/>
      <c r="L2232" s="29"/>
      <c r="M2232" s="29" t="s">
        <v>9402</v>
      </c>
      <c r="N2232" s="29" t="s">
        <v>2111</v>
      </c>
      <c r="O2232" s="29"/>
      <c r="P2232" s="29" t="s">
        <v>9415</v>
      </c>
      <c r="Q2232" t="s">
        <v>2038</v>
      </c>
      <c r="R2232" t="s">
        <v>2632</v>
      </c>
      <c r="S2232">
        <v>37</v>
      </c>
      <c r="T2232" s="43" t="str">
        <f t="shared" si="96"/>
        <v>2021.032B.R.Gclasvirinae.zip</v>
      </c>
      <c r="U2232" s="43" t="str">
        <f>HYPERLINK("https://ictv.global/taxonomy/taxondetails?taxnode_id=202213586","ictv.global=202213586")</f>
        <v>ictv.global=202213586</v>
      </c>
    </row>
    <row r="2233" spans="1:21">
      <c r="A2233">
        <v>2232</v>
      </c>
      <c r="B2233" s="29" t="s">
        <v>3682</v>
      </c>
      <c r="C2233" s="29"/>
      <c r="D2233" s="29" t="s">
        <v>3683</v>
      </c>
      <c r="E2233" s="29"/>
      <c r="F2233" s="29" t="s">
        <v>3686</v>
      </c>
      <c r="G2233" s="29"/>
      <c r="H2233" s="29" t="s">
        <v>3687</v>
      </c>
      <c r="I2233" s="29"/>
      <c r="J2233" s="29"/>
      <c r="K2233" s="29"/>
      <c r="L2233" s="29"/>
      <c r="M2233" s="29" t="s">
        <v>9402</v>
      </c>
      <c r="N2233" s="29" t="s">
        <v>2111</v>
      </c>
      <c r="O2233" s="29"/>
      <c r="P2233" s="29" t="s">
        <v>9416</v>
      </c>
      <c r="Q2233" t="s">
        <v>2038</v>
      </c>
      <c r="R2233" t="s">
        <v>2632</v>
      </c>
      <c r="S2233">
        <v>37</v>
      </c>
      <c r="T2233" s="43" t="str">
        <f t="shared" si="96"/>
        <v>2021.032B.R.Gclasvirinae.zip</v>
      </c>
      <c r="U2233" s="43" t="str">
        <f>HYPERLINK("https://ictv.global/taxonomy/taxondetails?taxnode_id=202213585","ictv.global=202213585")</f>
        <v>ictv.global=202213585</v>
      </c>
    </row>
    <row r="2234" spans="1:21">
      <c r="A2234">
        <v>2233</v>
      </c>
      <c r="B2234" s="29" t="s">
        <v>3682</v>
      </c>
      <c r="C2234" s="29"/>
      <c r="D2234" s="29" t="s">
        <v>3683</v>
      </c>
      <c r="E2234" s="29"/>
      <c r="F2234" s="29" t="s">
        <v>3686</v>
      </c>
      <c r="G2234" s="29"/>
      <c r="H2234" s="29" t="s">
        <v>3687</v>
      </c>
      <c r="I2234" s="29"/>
      <c r="J2234" s="29"/>
      <c r="K2234" s="29"/>
      <c r="L2234" s="29"/>
      <c r="M2234" s="29" t="s">
        <v>9402</v>
      </c>
      <c r="N2234" s="29" t="s">
        <v>2111</v>
      </c>
      <c r="O2234" s="29"/>
      <c r="P2234" s="29" t="s">
        <v>2112</v>
      </c>
      <c r="Q2234" t="s">
        <v>2038</v>
      </c>
      <c r="R2234" t="s">
        <v>2634</v>
      </c>
      <c r="S2234">
        <v>37</v>
      </c>
      <c r="T2234" s="43" t="str">
        <f>HYPERLINK("https://ictv.global/ictv/proposals/2021.001B.R.abolish_Caudovirales.zip","2021.001B.R.abolish_Caudovirales.zip;2021.032B.A.v1.Gclasvirinae.zip")</f>
        <v>2021.001B.R.abolish_Caudovirales.zip;2021.032B.A.v1.Gclasvirinae.zip</v>
      </c>
      <c r="U2234" s="43" t="str">
        <f>HYPERLINK("https://ictv.global/taxonomy/taxondetails?taxnode_id=202201076","ictv.global=202201076")</f>
        <v>ictv.global=202201076</v>
      </c>
    </row>
    <row r="2235" spans="1:21">
      <c r="A2235">
        <v>2234</v>
      </c>
      <c r="B2235" s="29" t="s">
        <v>3682</v>
      </c>
      <c r="C2235" s="29"/>
      <c r="D2235" s="29" t="s">
        <v>3683</v>
      </c>
      <c r="E2235" s="29"/>
      <c r="F2235" s="29" t="s">
        <v>3686</v>
      </c>
      <c r="G2235" s="29"/>
      <c r="H2235" s="29" t="s">
        <v>3687</v>
      </c>
      <c r="I2235" s="29"/>
      <c r="J2235" s="29"/>
      <c r="K2235" s="29"/>
      <c r="L2235" s="29"/>
      <c r="M2235" s="29" t="s">
        <v>9402</v>
      </c>
      <c r="N2235" s="29" t="s">
        <v>2111</v>
      </c>
      <c r="O2235" s="29"/>
      <c r="P2235" s="29" t="s">
        <v>2113</v>
      </c>
      <c r="Q2235" t="s">
        <v>2038</v>
      </c>
      <c r="R2235" t="s">
        <v>2634</v>
      </c>
      <c r="S2235">
        <v>37</v>
      </c>
      <c r="T2235" s="43" t="str">
        <f>HYPERLINK("https://ictv.global/ictv/proposals/2021.001B.R.abolish_Caudovirales.zip","2021.001B.R.abolish_Caudovirales.zip;2021.032B.A.v1.Gclasvirinae.zip")</f>
        <v>2021.001B.R.abolish_Caudovirales.zip;2021.032B.A.v1.Gclasvirinae.zip</v>
      </c>
      <c r="U2235" s="43" t="str">
        <f>HYPERLINK("https://ictv.global/taxonomy/taxondetails?taxnode_id=202201077","ictv.global=202201077")</f>
        <v>ictv.global=202201077</v>
      </c>
    </row>
    <row r="2236" spans="1:21">
      <c r="A2236">
        <v>2235</v>
      </c>
      <c r="B2236" s="29" t="s">
        <v>3682</v>
      </c>
      <c r="C2236" s="29"/>
      <c r="D2236" s="29" t="s">
        <v>3683</v>
      </c>
      <c r="E2236" s="29"/>
      <c r="F2236" s="29" t="s">
        <v>3686</v>
      </c>
      <c r="G2236" s="29"/>
      <c r="H2236" s="29" t="s">
        <v>3687</v>
      </c>
      <c r="I2236" s="29"/>
      <c r="J2236" s="29"/>
      <c r="K2236" s="29"/>
      <c r="L2236" s="29"/>
      <c r="M2236" s="29" t="s">
        <v>9402</v>
      </c>
      <c r="N2236" s="29" t="s">
        <v>9417</v>
      </c>
      <c r="O2236" s="29"/>
      <c r="P2236" s="29" t="s">
        <v>9418</v>
      </c>
      <c r="Q2236" t="s">
        <v>2038</v>
      </c>
      <c r="R2236" t="s">
        <v>2632</v>
      </c>
      <c r="S2236">
        <v>37</v>
      </c>
      <c r="T2236" s="43" t="str">
        <f>HYPERLINK("https://ictv.global/ictv/proposals/2021.032B.R.Gclasvirinae.zip","2021.032B.R.Gclasvirinae.zip")</f>
        <v>2021.032B.R.Gclasvirinae.zip</v>
      </c>
      <c r="U2236" s="43" t="str">
        <f>HYPERLINK("https://ictv.global/taxonomy/taxondetails?taxnode_id=202213600","ictv.global=202213600")</f>
        <v>ictv.global=202213600</v>
      </c>
    </row>
    <row r="2237" spans="1:21">
      <c r="A2237">
        <v>2236</v>
      </c>
      <c r="B2237" s="29" t="s">
        <v>3682</v>
      </c>
      <c r="C2237" s="29"/>
      <c r="D2237" s="29" t="s">
        <v>3683</v>
      </c>
      <c r="E2237" s="29"/>
      <c r="F2237" s="29" t="s">
        <v>3686</v>
      </c>
      <c r="G2237" s="29"/>
      <c r="H2237" s="29" t="s">
        <v>3687</v>
      </c>
      <c r="I2237" s="29"/>
      <c r="J2237" s="29"/>
      <c r="K2237" s="29"/>
      <c r="L2237" s="29"/>
      <c r="M2237" s="29" t="s">
        <v>9402</v>
      </c>
      <c r="N2237" s="29" t="s">
        <v>9417</v>
      </c>
      <c r="O2237" s="29"/>
      <c r="P2237" s="29" t="s">
        <v>9419</v>
      </c>
      <c r="Q2237" t="s">
        <v>2038</v>
      </c>
      <c r="R2237" t="s">
        <v>2632</v>
      </c>
      <c r="S2237">
        <v>37</v>
      </c>
      <c r="T2237" s="43" t="str">
        <f>HYPERLINK("https://ictv.global/ictv/proposals/2021.032B.R.Gclasvirinae.zip","2021.032B.R.Gclasvirinae.zip")</f>
        <v>2021.032B.R.Gclasvirinae.zip</v>
      </c>
      <c r="U2237" s="43" t="str">
        <f>HYPERLINK("https://ictv.global/taxonomy/taxondetails?taxnode_id=202213599","ictv.global=202213599")</f>
        <v>ictv.global=202213599</v>
      </c>
    </row>
    <row r="2238" spans="1:21">
      <c r="A2238">
        <v>2237</v>
      </c>
      <c r="B2238" s="29" t="s">
        <v>3682</v>
      </c>
      <c r="C2238" s="29"/>
      <c r="D2238" s="29" t="s">
        <v>3683</v>
      </c>
      <c r="E2238" s="29"/>
      <c r="F2238" s="29" t="s">
        <v>3686</v>
      </c>
      <c r="G2238" s="29"/>
      <c r="H2238" s="29" t="s">
        <v>3687</v>
      </c>
      <c r="I2238" s="29"/>
      <c r="J2238" s="29"/>
      <c r="K2238" s="29"/>
      <c r="L2238" s="29"/>
      <c r="M2238" s="29" t="s">
        <v>4676</v>
      </c>
      <c r="N2238" s="29" t="s">
        <v>4677</v>
      </c>
      <c r="O2238" s="29"/>
      <c r="P2238" s="29" t="s">
        <v>9420</v>
      </c>
      <c r="Q2238" t="s">
        <v>2038</v>
      </c>
      <c r="R2238" t="s">
        <v>2633</v>
      </c>
      <c r="S2238">
        <v>37</v>
      </c>
      <c r="T2238" s="43" t="str">
        <f>HYPERLINK("https://ictv.global/ictv/proposals/2021.010B.R.Binomial_names.zip","2021.010B.R.Binomial_names.zip")</f>
        <v>2021.010B.R.Binomial_names.zip</v>
      </c>
      <c r="U2238" s="43" t="str">
        <f>HYPERLINK("https://ictv.global/taxonomy/taxondetails?taxnode_id=202210047","ictv.global=202210047")</f>
        <v>ictv.global=202210047</v>
      </c>
    </row>
    <row r="2239" spans="1:21">
      <c r="A2239">
        <v>2238</v>
      </c>
      <c r="B2239" s="29" t="s">
        <v>3682</v>
      </c>
      <c r="C2239" s="29"/>
      <c r="D2239" s="29" t="s">
        <v>3683</v>
      </c>
      <c r="E2239" s="29"/>
      <c r="F2239" s="29" t="s">
        <v>3686</v>
      </c>
      <c r="G2239" s="29"/>
      <c r="H2239" s="29" t="s">
        <v>3687</v>
      </c>
      <c r="I2239" s="29"/>
      <c r="J2239" s="29"/>
      <c r="K2239" s="29"/>
      <c r="L2239" s="29"/>
      <c r="M2239" s="29" t="s">
        <v>4676</v>
      </c>
      <c r="N2239" s="29" t="s">
        <v>2435</v>
      </c>
      <c r="O2239" s="29"/>
      <c r="P2239" s="29" t="s">
        <v>9421</v>
      </c>
      <c r="Q2239" t="s">
        <v>2038</v>
      </c>
      <c r="R2239" t="s">
        <v>2633</v>
      </c>
      <c r="S2239">
        <v>37</v>
      </c>
      <c r="T2239" s="43" t="str">
        <f>HYPERLINK("https://ictv.global/ictv/proposals/2021.010B.R.Binomial_names.zip","2021.010B.R.Binomial_names.zip")</f>
        <v>2021.010B.R.Binomial_names.zip</v>
      </c>
      <c r="U2239" s="43" t="str">
        <f>HYPERLINK("https://ictv.global/taxonomy/taxondetails?taxnode_id=202200981","ictv.global=202200981")</f>
        <v>ictv.global=202200981</v>
      </c>
    </row>
    <row r="2240" spans="1:21">
      <c r="A2240">
        <v>2239</v>
      </c>
      <c r="B2240" s="29" t="s">
        <v>3682</v>
      </c>
      <c r="C2240" s="29"/>
      <c r="D2240" s="29" t="s">
        <v>3683</v>
      </c>
      <c r="E2240" s="29"/>
      <c r="F2240" s="29" t="s">
        <v>3686</v>
      </c>
      <c r="G2240" s="29"/>
      <c r="H2240" s="29" t="s">
        <v>3687</v>
      </c>
      <c r="I2240" s="29"/>
      <c r="J2240" s="29"/>
      <c r="K2240" s="29"/>
      <c r="L2240" s="29"/>
      <c r="M2240" s="29" t="s">
        <v>4676</v>
      </c>
      <c r="N2240" s="29" t="s">
        <v>2446</v>
      </c>
      <c r="O2240" s="29"/>
      <c r="P2240" s="29" t="s">
        <v>9422</v>
      </c>
      <c r="Q2240" t="s">
        <v>2038</v>
      </c>
      <c r="R2240" t="s">
        <v>2633</v>
      </c>
      <c r="S2240">
        <v>37</v>
      </c>
      <c r="T2240" s="43" t="str">
        <f>HYPERLINK("https://ictv.global/ictv/proposals/2021.010B.R.Binomial_names.zip","2021.010B.R.Binomial_names.zip")</f>
        <v>2021.010B.R.Binomial_names.zip</v>
      </c>
      <c r="U2240" s="43" t="str">
        <f>HYPERLINK("https://ictv.global/taxonomy/taxondetails?taxnode_id=202201365","ictv.global=202201365")</f>
        <v>ictv.global=202201365</v>
      </c>
    </row>
    <row r="2241" spans="1:21">
      <c r="A2241">
        <v>2240</v>
      </c>
      <c r="B2241" s="29" t="s">
        <v>3682</v>
      </c>
      <c r="C2241" s="29"/>
      <c r="D2241" s="29" t="s">
        <v>3683</v>
      </c>
      <c r="E2241" s="29"/>
      <c r="F2241" s="29" t="s">
        <v>3686</v>
      </c>
      <c r="G2241" s="29"/>
      <c r="H2241" s="29" t="s">
        <v>3687</v>
      </c>
      <c r="I2241" s="29"/>
      <c r="J2241" s="29"/>
      <c r="K2241" s="29"/>
      <c r="L2241" s="29"/>
      <c r="M2241" s="29" t="s">
        <v>4676</v>
      </c>
      <c r="N2241" s="29" t="s">
        <v>4678</v>
      </c>
      <c r="O2241" s="29"/>
      <c r="P2241" s="29" t="s">
        <v>9423</v>
      </c>
      <c r="Q2241" t="s">
        <v>2038</v>
      </c>
      <c r="R2241" t="s">
        <v>2633</v>
      </c>
      <c r="S2241">
        <v>37</v>
      </c>
      <c r="T2241" s="43" t="str">
        <f>HYPERLINK("https://ictv.global/ictv/proposals/2021.010B.R.Binomial_names.zip","2021.010B.R.Binomial_names.zip")</f>
        <v>2021.010B.R.Binomial_names.zip</v>
      </c>
      <c r="U2241" s="43" t="str">
        <f>HYPERLINK("https://ictv.global/taxonomy/taxondetails?taxnode_id=202210049","ictv.global=202210049")</f>
        <v>ictv.global=202210049</v>
      </c>
    </row>
    <row r="2242" spans="1:21">
      <c r="A2242">
        <v>2241</v>
      </c>
      <c r="B2242" s="29" t="s">
        <v>3682</v>
      </c>
      <c r="C2242" s="29"/>
      <c r="D2242" s="29" t="s">
        <v>3683</v>
      </c>
      <c r="E2242" s="29"/>
      <c r="F2242" s="29" t="s">
        <v>3686</v>
      </c>
      <c r="G2242" s="29"/>
      <c r="H2242" s="29" t="s">
        <v>3687</v>
      </c>
      <c r="I2242" s="29"/>
      <c r="J2242" s="29"/>
      <c r="K2242" s="29"/>
      <c r="L2242" s="29"/>
      <c r="M2242" s="29" t="s">
        <v>9424</v>
      </c>
      <c r="N2242" s="29" t="s">
        <v>3476</v>
      </c>
      <c r="O2242" s="29"/>
      <c r="P2242" s="29" t="s">
        <v>9425</v>
      </c>
      <c r="Q2242" t="s">
        <v>2038</v>
      </c>
      <c r="R2242" t="s">
        <v>2632</v>
      </c>
      <c r="S2242">
        <v>38</v>
      </c>
      <c r="T2242" s="43" t="str">
        <f t="shared" ref="T2242:T2262" si="97">HYPERLINK("https://ictv.global/ictv/proposals/2022.034B.Gordonclarkvirinae_nsf.zip","2022.034B.Gordonclarkvirinae_nsf.zip")</f>
        <v>2022.034B.Gordonclarkvirinae_nsf.zip</v>
      </c>
      <c r="U2242" s="43" t="str">
        <f>HYPERLINK("https://ictv.global/taxonomy/taxondetails?taxnode_id=202214609","ictv.global=202214609")</f>
        <v>ictv.global=202214609</v>
      </c>
    </row>
    <row r="2243" spans="1:21">
      <c r="A2243">
        <v>2242</v>
      </c>
      <c r="B2243" s="29" t="s">
        <v>3682</v>
      </c>
      <c r="C2243" s="29"/>
      <c r="D2243" s="29" t="s">
        <v>3683</v>
      </c>
      <c r="E2243" s="29"/>
      <c r="F2243" s="29" t="s">
        <v>3686</v>
      </c>
      <c r="G2243" s="29"/>
      <c r="H2243" s="29" t="s">
        <v>3687</v>
      </c>
      <c r="I2243" s="29"/>
      <c r="J2243" s="29"/>
      <c r="K2243" s="29"/>
      <c r="L2243" s="29"/>
      <c r="M2243" s="29" t="s">
        <v>9424</v>
      </c>
      <c r="N2243" s="29" t="s">
        <v>3476</v>
      </c>
      <c r="O2243" s="29"/>
      <c r="P2243" s="29" t="s">
        <v>9426</v>
      </c>
      <c r="Q2243" t="s">
        <v>2038</v>
      </c>
      <c r="R2243" t="s">
        <v>2632</v>
      </c>
      <c r="S2243">
        <v>38</v>
      </c>
      <c r="T2243" s="43" t="str">
        <f t="shared" si="97"/>
        <v>2022.034B.Gordonclarkvirinae_nsf.zip</v>
      </c>
      <c r="U2243" s="43" t="str">
        <f>HYPERLINK("https://ictv.global/taxonomy/taxondetails?taxnode_id=202214606","ictv.global=202214606")</f>
        <v>ictv.global=202214606</v>
      </c>
    </row>
    <row r="2244" spans="1:21">
      <c r="A2244">
        <v>2243</v>
      </c>
      <c r="B2244" s="29" t="s">
        <v>3682</v>
      </c>
      <c r="C2244" s="29"/>
      <c r="D2244" s="29" t="s">
        <v>3683</v>
      </c>
      <c r="E2244" s="29"/>
      <c r="F2244" s="29" t="s">
        <v>3686</v>
      </c>
      <c r="G2244" s="29"/>
      <c r="H2244" s="29" t="s">
        <v>3687</v>
      </c>
      <c r="I2244" s="29"/>
      <c r="J2244" s="29"/>
      <c r="K2244" s="29"/>
      <c r="L2244" s="29"/>
      <c r="M2244" s="29" t="s">
        <v>9424</v>
      </c>
      <c r="N2244" s="29" t="s">
        <v>3476</v>
      </c>
      <c r="O2244" s="29"/>
      <c r="P2244" s="29" t="s">
        <v>9427</v>
      </c>
      <c r="Q2244" t="s">
        <v>2038</v>
      </c>
      <c r="R2244" t="s">
        <v>2632</v>
      </c>
      <c r="S2244">
        <v>38</v>
      </c>
      <c r="T2244" s="43" t="str">
        <f t="shared" si="97"/>
        <v>2022.034B.Gordonclarkvirinae_nsf.zip</v>
      </c>
      <c r="U2244" s="43" t="str">
        <f>HYPERLINK("https://ictv.global/taxonomy/taxondetails?taxnode_id=202214604","ictv.global=202214604")</f>
        <v>ictv.global=202214604</v>
      </c>
    </row>
    <row r="2245" spans="1:21">
      <c r="A2245">
        <v>2244</v>
      </c>
      <c r="B2245" s="29" t="s">
        <v>3682</v>
      </c>
      <c r="C2245" s="29"/>
      <c r="D2245" s="29" t="s">
        <v>3683</v>
      </c>
      <c r="E2245" s="29"/>
      <c r="F2245" s="29" t="s">
        <v>3686</v>
      </c>
      <c r="G2245" s="29"/>
      <c r="H2245" s="29" t="s">
        <v>3687</v>
      </c>
      <c r="I2245" s="29"/>
      <c r="J2245" s="29"/>
      <c r="K2245" s="29"/>
      <c r="L2245" s="29"/>
      <c r="M2245" s="29" t="s">
        <v>9424</v>
      </c>
      <c r="N2245" s="29" t="s">
        <v>3476</v>
      </c>
      <c r="O2245" s="29"/>
      <c r="P2245" s="29" t="s">
        <v>9428</v>
      </c>
      <c r="Q2245" t="s">
        <v>2038</v>
      </c>
      <c r="R2245" t="s">
        <v>2632</v>
      </c>
      <c r="S2245">
        <v>38</v>
      </c>
      <c r="T2245" s="43" t="str">
        <f t="shared" si="97"/>
        <v>2022.034B.Gordonclarkvirinae_nsf.zip</v>
      </c>
      <c r="U2245" s="43" t="str">
        <f>HYPERLINK("https://ictv.global/taxonomy/taxondetails?taxnode_id=202214613","ictv.global=202214613")</f>
        <v>ictv.global=202214613</v>
      </c>
    </row>
    <row r="2246" spans="1:21">
      <c r="A2246">
        <v>2245</v>
      </c>
      <c r="B2246" s="29" t="s">
        <v>3682</v>
      </c>
      <c r="C2246" s="29"/>
      <c r="D2246" s="29" t="s">
        <v>3683</v>
      </c>
      <c r="E2246" s="29"/>
      <c r="F2246" s="29" t="s">
        <v>3686</v>
      </c>
      <c r="G2246" s="29"/>
      <c r="H2246" s="29" t="s">
        <v>3687</v>
      </c>
      <c r="I2246" s="29"/>
      <c r="J2246" s="29"/>
      <c r="K2246" s="29"/>
      <c r="L2246" s="29"/>
      <c r="M2246" s="29" t="s">
        <v>9424</v>
      </c>
      <c r="N2246" s="29" t="s">
        <v>3476</v>
      </c>
      <c r="O2246" s="29"/>
      <c r="P2246" s="29" t="s">
        <v>9429</v>
      </c>
      <c r="Q2246" t="s">
        <v>2038</v>
      </c>
      <c r="R2246" t="s">
        <v>2634</v>
      </c>
      <c r="S2246">
        <v>38</v>
      </c>
      <c r="T2246" s="43" t="str">
        <f t="shared" si="97"/>
        <v>2022.034B.Gordonclarkvirinae_nsf.zip</v>
      </c>
      <c r="U2246" s="43" t="str">
        <f>HYPERLINK("https://ictv.global/taxonomy/taxondetails?taxnode_id=202200688","ictv.global=202200688")</f>
        <v>ictv.global=202200688</v>
      </c>
    </row>
    <row r="2247" spans="1:21">
      <c r="A2247">
        <v>2246</v>
      </c>
      <c r="B2247" s="29" t="s">
        <v>3682</v>
      </c>
      <c r="C2247" s="29"/>
      <c r="D2247" s="29" t="s">
        <v>3683</v>
      </c>
      <c r="E2247" s="29"/>
      <c r="F2247" s="29" t="s">
        <v>3686</v>
      </c>
      <c r="G2247" s="29"/>
      <c r="H2247" s="29" t="s">
        <v>3687</v>
      </c>
      <c r="I2247" s="29"/>
      <c r="J2247" s="29"/>
      <c r="K2247" s="29"/>
      <c r="L2247" s="29"/>
      <c r="M2247" s="29" t="s">
        <v>9424</v>
      </c>
      <c r="N2247" s="29" t="s">
        <v>3476</v>
      </c>
      <c r="O2247" s="29"/>
      <c r="P2247" s="29" t="s">
        <v>9430</v>
      </c>
      <c r="Q2247" t="s">
        <v>2038</v>
      </c>
      <c r="R2247" t="s">
        <v>2632</v>
      </c>
      <c r="S2247">
        <v>38</v>
      </c>
      <c r="T2247" s="43" t="str">
        <f t="shared" si="97"/>
        <v>2022.034B.Gordonclarkvirinae_nsf.zip</v>
      </c>
      <c r="U2247" s="43" t="str">
        <f>HYPERLINK("https://ictv.global/taxonomy/taxondetails?taxnode_id=202214610","ictv.global=202214610")</f>
        <v>ictv.global=202214610</v>
      </c>
    </row>
    <row r="2248" spans="1:21">
      <c r="A2248">
        <v>2247</v>
      </c>
      <c r="B2248" s="29" t="s">
        <v>3682</v>
      </c>
      <c r="C2248" s="29"/>
      <c r="D2248" s="29" t="s">
        <v>3683</v>
      </c>
      <c r="E2248" s="29"/>
      <c r="F2248" s="29" t="s">
        <v>3686</v>
      </c>
      <c r="G2248" s="29"/>
      <c r="H2248" s="29" t="s">
        <v>3687</v>
      </c>
      <c r="I2248" s="29"/>
      <c r="J2248" s="29"/>
      <c r="K2248" s="29"/>
      <c r="L2248" s="29"/>
      <c r="M2248" s="29" t="s">
        <v>9424</v>
      </c>
      <c r="N2248" s="29" t="s">
        <v>3476</v>
      </c>
      <c r="O2248" s="29"/>
      <c r="P2248" s="29" t="s">
        <v>9431</v>
      </c>
      <c r="Q2248" t="s">
        <v>2038</v>
      </c>
      <c r="R2248" t="s">
        <v>2632</v>
      </c>
      <c r="S2248">
        <v>38</v>
      </c>
      <c r="T2248" s="43" t="str">
        <f t="shared" si="97"/>
        <v>2022.034B.Gordonclarkvirinae_nsf.zip</v>
      </c>
      <c r="U2248" s="43" t="str">
        <f>HYPERLINK("https://ictv.global/taxonomy/taxondetails?taxnode_id=202214607","ictv.global=202214607")</f>
        <v>ictv.global=202214607</v>
      </c>
    </row>
    <row r="2249" spans="1:21">
      <c r="A2249">
        <v>2248</v>
      </c>
      <c r="B2249" s="29" t="s">
        <v>3682</v>
      </c>
      <c r="C2249" s="29"/>
      <c r="D2249" s="29" t="s">
        <v>3683</v>
      </c>
      <c r="E2249" s="29"/>
      <c r="F2249" s="29" t="s">
        <v>3686</v>
      </c>
      <c r="G2249" s="29"/>
      <c r="H2249" s="29" t="s">
        <v>3687</v>
      </c>
      <c r="I2249" s="29"/>
      <c r="J2249" s="29"/>
      <c r="K2249" s="29"/>
      <c r="L2249" s="29"/>
      <c r="M2249" s="29" t="s">
        <v>9424</v>
      </c>
      <c r="N2249" s="29" t="s">
        <v>3476</v>
      </c>
      <c r="O2249" s="29"/>
      <c r="P2249" s="29" t="s">
        <v>9432</v>
      </c>
      <c r="Q2249" t="s">
        <v>2038</v>
      </c>
      <c r="R2249" t="s">
        <v>2634</v>
      </c>
      <c r="S2249">
        <v>38</v>
      </c>
      <c r="T2249" s="43" t="str">
        <f t="shared" si="97"/>
        <v>2022.034B.Gordonclarkvirinae_nsf.zip</v>
      </c>
      <c r="U2249" s="43" t="str">
        <f>HYPERLINK("https://ictv.global/taxonomy/taxondetails?taxnode_id=202200690","ictv.global=202200690")</f>
        <v>ictv.global=202200690</v>
      </c>
    </row>
    <row r="2250" spans="1:21">
      <c r="A2250">
        <v>2249</v>
      </c>
      <c r="B2250" s="29" t="s">
        <v>3682</v>
      </c>
      <c r="C2250" s="29"/>
      <c r="D2250" s="29" t="s">
        <v>3683</v>
      </c>
      <c r="E2250" s="29"/>
      <c r="F2250" s="29" t="s">
        <v>3686</v>
      </c>
      <c r="G2250" s="29"/>
      <c r="H2250" s="29" t="s">
        <v>3687</v>
      </c>
      <c r="I2250" s="29"/>
      <c r="J2250" s="29"/>
      <c r="K2250" s="29"/>
      <c r="L2250" s="29"/>
      <c r="M2250" s="29" t="s">
        <v>9424</v>
      </c>
      <c r="N2250" s="29" t="s">
        <v>3476</v>
      </c>
      <c r="O2250" s="29"/>
      <c r="P2250" s="29" t="s">
        <v>9433</v>
      </c>
      <c r="Q2250" t="s">
        <v>2038</v>
      </c>
      <c r="R2250" t="s">
        <v>2632</v>
      </c>
      <c r="S2250">
        <v>38</v>
      </c>
      <c r="T2250" s="43" t="str">
        <f t="shared" si="97"/>
        <v>2022.034B.Gordonclarkvirinae_nsf.zip</v>
      </c>
      <c r="U2250" s="43" t="str">
        <f>HYPERLINK("https://ictv.global/taxonomy/taxondetails?taxnode_id=202214605","ictv.global=202214605")</f>
        <v>ictv.global=202214605</v>
      </c>
    </row>
    <row r="2251" spans="1:21">
      <c r="A2251">
        <v>2250</v>
      </c>
      <c r="B2251" s="29" t="s">
        <v>3682</v>
      </c>
      <c r="C2251" s="29"/>
      <c r="D2251" s="29" t="s">
        <v>3683</v>
      </c>
      <c r="E2251" s="29"/>
      <c r="F2251" s="29" t="s">
        <v>3686</v>
      </c>
      <c r="G2251" s="29"/>
      <c r="H2251" s="29" t="s">
        <v>3687</v>
      </c>
      <c r="I2251" s="29"/>
      <c r="J2251" s="29"/>
      <c r="K2251" s="29"/>
      <c r="L2251" s="29"/>
      <c r="M2251" s="29" t="s">
        <v>9424</v>
      </c>
      <c r="N2251" s="29" t="s">
        <v>3476</v>
      </c>
      <c r="O2251" s="29"/>
      <c r="P2251" s="29" t="s">
        <v>9434</v>
      </c>
      <c r="Q2251" t="s">
        <v>2038</v>
      </c>
      <c r="R2251" t="s">
        <v>2632</v>
      </c>
      <c r="S2251">
        <v>38</v>
      </c>
      <c r="T2251" s="43" t="str">
        <f t="shared" si="97"/>
        <v>2022.034B.Gordonclarkvirinae_nsf.zip</v>
      </c>
      <c r="U2251" s="43" t="str">
        <f>HYPERLINK("https://ictv.global/taxonomy/taxondetails?taxnode_id=202214612","ictv.global=202214612")</f>
        <v>ictv.global=202214612</v>
      </c>
    </row>
    <row r="2252" spans="1:21">
      <c r="A2252">
        <v>2251</v>
      </c>
      <c r="B2252" s="29" t="s">
        <v>3682</v>
      </c>
      <c r="C2252" s="29"/>
      <c r="D2252" s="29" t="s">
        <v>3683</v>
      </c>
      <c r="E2252" s="29"/>
      <c r="F2252" s="29" t="s">
        <v>3686</v>
      </c>
      <c r="G2252" s="29"/>
      <c r="H2252" s="29" t="s">
        <v>3687</v>
      </c>
      <c r="I2252" s="29"/>
      <c r="J2252" s="29"/>
      <c r="K2252" s="29"/>
      <c r="L2252" s="29"/>
      <c r="M2252" s="29" t="s">
        <v>9424</v>
      </c>
      <c r="N2252" s="29" t="s">
        <v>3476</v>
      </c>
      <c r="O2252" s="29"/>
      <c r="P2252" s="29" t="s">
        <v>9435</v>
      </c>
      <c r="Q2252" t="s">
        <v>2038</v>
      </c>
      <c r="R2252" t="s">
        <v>2634</v>
      </c>
      <c r="S2252">
        <v>38</v>
      </c>
      <c r="T2252" s="43" t="str">
        <f t="shared" si="97"/>
        <v>2022.034B.Gordonclarkvirinae_nsf.zip</v>
      </c>
      <c r="U2252" s="43" t="str">
        <f>HYPERLINK("https://ictv.global/taxonomy/taxondetails?taxnode_id=202200691","ictv.global=202200691")</f>
        <v>ictv.global=202200691</v>
      </c>
    </row>
    <row r="2253" spans="1:21">
      <c r="A2253">
        <v>2252</v>
      </c>
      <c r="B2253" s="29" t="s">
        <v>3682</v>
      </c>
      <c r="C2253" s="29"/>
      <c r="D2253" s="29" t="s">
        <v>3683</v>
      </c>
      <c r="E2253" s="29"/>
      <c r="F2253" s="29" t="s">
        <v>3686</v>
      </c>
      <c r="G2253" s="29"/>
      <c r="H2253" s="29" t="s">
        <v>3687</v>
      </c>
      <c r="I2253" s="29"/>
      <c r="J2253" s="29"/>
      <c r="K2253" s="29"/>
      <c r="L2253" s="29"/>
      <c r="M2253" s="29" t="s">
        <v>9424</v>
      </c>
      <c r="N2253" s="29" t="s">
        <v>3476</v>
      </c>
      <c r="O2253" s="29"/>
      <c r="P2253" s="29" t="s">
        <v>9436</v>
      </c>
      <c r="Q2253" t="s">
        <v>2038</v>
      </c>
      <c r="R2253" t="s">
        <v>2632</v>
      </c>
      <c r="S2253">
        <v>38</v>
      </c>
      <c r="T2253" s="43" t="str">
        <f t="shared" si="97"/>
        <v>2022.034B.Gordonclarkvirinae_nsf.zip</v>
      </c>
      <c r="U2253" s="43" t="str">
        <f>HYPERLINK("https://ictv.global/taxonomy/taxondetails?taxnode_id=202214608","ictv.global=202214608")</f>
        <v>ictv.global=202214608</v>
      </c>
    </row>
    <row r="2254" spans="1:21">
      <c r="A2254">
        <v>2253</v>
      </c>
      <c r="B2254" s="29" t="s">
        <v>3682</v>
      </c>
      <c r="C2254" s="29"/>
      <c r="D2254" s="29" t="s">
        <v>3683</v>
      </c>
      <c r="E2254" s="29"/>
      <c r="F2254" s="29" t="s">
        <v>3686</v>
      </c>
      <c r="G2254" s="29"/>
      <c r="H2254" s="29" t="s">
        <v>3687</v>
      </c>
      <c r="I2254" s="29"/>
      <c r="J2254" s="29"/>
      <c r="K2254" s="29"/>
      <c r="L2254" s="29"/>
      <c r="M2254" s="29" t="s">
        <v>9424</v>
      </c>
      <c r="N2254" s="29" t="s">
        <v>3476</v>
      </c>
      <c r="O2254" s="29"/>
      <c r="P2254" s="29" t="s">
        <v>9437</v>
      </c>
      <c r="Q2254" t="s">
        <v>2038</v>
      </c>
      <c r="R2254" t="s">
        <v>2634</v>
      </c>
      <c r="S2254">
        <v>38</v>
      </c>
      <c r="T2254" s="43" t="str">
        <f t="shared" si="97"/>
        <v>2022.034B.Gordonclarkvirinae_nsf.zip</v>
      </c>
      <c r="U2254" s="43" t="str">
        <f>HYPERLINK("https://ictv.global/taxonomy/taxondetails?taxnode_id=202200693","ictv.global=202200693")</f>
        <v>ictv.global=202200693</v>
      </c>
    </row>
    <row r="2255" spans="1:21">
      <c r="A2255">
        <v>2254</v>
      </c>
      <c r="B2255" s="29" t="s">
        <v>3682</v>
      </c>
      <c r="C2255" s="29"/>
      <c r="D2255" s="29" t="s">
        <v>3683</v>
      </c>
      <c r="E2255" s="29"/>
      <c r="F2255" s="29" t="s">
        <v>3686</v>
      </c>
      <c r="G2255" s="29"/>
      <c r="H2255" s="29" t="s">
        <v>3687</v>
      </c>
      <c r="I2255" s="29"/>
      <c r="J2255" s="29"/>
      <c r="K2255" s="29"/>
      <c r="L2255" s="29"/>
      <c r="M2255" s="29" t="s">
        <v>9424</v>
      </c>
      <c r="N2255" s="29" t="s">
        <v>3476</v>
      </c>
      <c r="O2255" s="29"/>
      <c r="P2255" s="29" t="s">
        <v>9438</v>
      </c>
      <c r="Q2255" t="s">
        <v>2038</v>
      </c>
      <c r="R2255" t="s">
        <v>2632</v>
      </c>
      <c r="S2255">
        <v>38</v>
      </c>
      <c r="T2255" s="43" t="str">
        <f t="shared" si="97"/>
        <v>2022.034B.Gordonclarkvirinae_nsf.zip</v>
      </c>
      <c r="U2255" s="43" t="str">
        <f>HYPERLINK("https://ictv.global/taxonomy/taxondetails?taxnode_id=202214611","ictv.global=202214611")</f>
        <v>ictv.global=202214611</v>
      </c>
    </row>
    <row r="2256" spans="1:21">
      <c r="A2256">
        <v>2255</v>
      </c>
      <c r="B2256" s="29" t="s">
        <v>3682</v>
      </c>
      <c r="C2256" s="29"/>
      <c r="D2256" s="29" t="s">
        <v>3683</v>
      </c>
      <c r="E2256" s="29"/>
      <c r="F2256" s="29" t="s">
        <v>3686</v>
      </c>
      <c r="G2256" s="29"/>
      <c r="H2256" s="29" t="s">
        <v>3687</v>
      </c>
      <c r="I2256" s="29"/>
      <c r="J2256" s="29"/>
      <c r="K2256" s="29"/>
      <c r="L2256" s="29"/>
      <c r="M2256" s="29" t="s">
        <v>9424</v>
      </c>
      <c r="N2256" s="29" t="s">
        <v>9439</v>
      </c>
      <c r="O2256" s="29"/>
      <c r="P2256" s="29" t="s">
        <v>9440</v>
      </c>
      <c r="Q2256" t="s">
        <v>2038</v>
      </c>
      <c r="R2256" t="s">
        <v>2632</v>
      </c>
      <c r="S2256">
        <v>38</v>
      </c>
      <c r="T2256" s="43" t="str">
        <f t="shared" si="97"/>
        <v>2022.034B.Gordonclarkvirinae_nsf.zip</v>
      </c>
      <c r="U2256" s="43" t="str">
        <f>HYPERLINK("https://ictv.global/taxonomy/taxondetails?taxnode_id=202214599","ictv.global=202214599")</f>
        <v>ictv.global=202214599</v>
      </c>
    </row>
    <row r="2257" spans="1:21">
      <c r="A2257">
        <v>2256</v>
      </c>
      <c r="B2257" s="29" t="s">
        <v>3682</v>
      </c>
      <c r="C2257" s="29"/>
      <c r="D2257" s="29" t="s">
        <v>3683</v>
      </c>
      <c r="E2257" s="29"/>
      <c r="F2257" s="29" t="s">
        <v>3686</v>
      </c>
      <c r="G2257" s="29"/>
      <c r="H2257" s="29" t="s">
        <v>3687</v>
      </c>
      <c r="I2257" s="29"/>
      <c r="J2257" s="29"/>
      <c r="K2257" s="29"/>
      <c r="L2257" s="29"/>
      <c r="M2257" s="29" t="s">
        <v>9424</v>
      </c>
      <c r="N2257" s="29" t="s">
        <v>9439</v>
      </c>
      <c r="O2257" s="29"/>
      <c r="P2257" s="29" t="s">
        <v>9441</v>
      </c>
      <c r="Q2257" t="s">
        <v>2038</v>
      </c>
      <c r="R2257" t="s">
        <v>2633</v>
      </c>
      <c r="S2257">
        <v>38</v>
      </c>
      <c r="T2257" s="43" t="str">
        <f t="shared" si="97"/>
        <v>2022.034B.Gordonclarkvirinae_nsf.zip</v>
      </c>
      <c r="U2257" s="43" t="str">
        <f>HYPERLINK("https://ictv.global/taxonomy/taxondetails?taxnode_id=202200692","ictv.global=202200692")</f>
        <v>ictv.global=202200692</v>
      </c>
    </row>
    <row r="2258" spans="1:21">
      <c r="A2258">
        <v>2257</v>
      </c>
      <c r="B2258" s="29" t="s">
        <v>3682</v>
      </c>
      <c r="C2258" s="29"/>
      <c r="D2258" s="29" t="s">
        <v>3683</v>
      </c>
      <c r="E2258" s="29"/>
      <c r="F2258" s="29" t="s">
        <v>3686</v>
      </c>
      <c r="G2258" s="29"/>
      <c r="H2258" s="29" t="s">
        <v>3687</v>
      </c>
      <c r="I2258" s="29"/>
      <c r="J2258" s="29"/>
      <c r="K2258" s="29"/>
      <c r="L2258" s="29"/>
      <c r="M2258" s="29" t="s">
        <v>9424</v>
      </c>
      <c r="N2258" s="29" t="s">
        <v>9442</v>
      </c>
      <c r="O2258" s="29"/>
      <c r="P2258" s="29" t="s">
        <v>9443</v>
      </c>
      <c r="Q2258" t="s">
        <v>2038</v>
      </c>
      <c r="R2258" t="s">
        <v>2632</v>
      </c>
      <c r="S2258">
        <v>38</v>
      </c>
      <c r="T2258" s="43" t="str">
        <f t="shared" si="97"/>
        <v>2022.034B.Gordonclarkvirinae_nsf.zip</v>
      </c>
      <c r="U2258" s="43" t="str">
        <f>HYPERLINK("https://ictv.global/taxonomy/taxondetails?taxnode_id=202214602","ictv.global=202214602")</f>
        <v>ictv.global=202214602</v>
      </c>
    </row>
    <row r="2259" spans="1:21">
      <c r="A2259">
        <v>2258</v>
      </c>
      <c r="B2259" s="29" t="s">
        <v>3682</v>
      </c>
      <c r="C2259" s="29"/>
      <c r="D2259" s="29" t="s">
        <v>3683</v>
      </c>
      <c r="E2259" s="29"/>
      <c r="F2259" s="29" t="s">
        <v>3686</v>
      </c>
      <c r="G2259" s="29"/>
      <c r="H2259" s="29" t="s">
        <v>3687</v>
      </c>
      <c r="I2259" s="29"/>
      <c r="J2259" s="29"/>
      <c r="K2259" s="29"/>
      <c r="L2259" s="29"/>
      <c r="M2259" s="29" t="s">
        <v>9424</v>
      </c>
      <c r="N2259" s="29" t="s">
        <v>9442</v>
      </c>
      <c r="O2259" s="29"/>
      <c r="P2259" s="29" t="s">
        <v>9444</v>
      </c>
      <c r="Q2259" t="s">
        <v>2038</v>
      </c>
      <c r="R2259" t="s">
        <v>2633</v>
      </c>
      <c r="S2259">
        <v>38</v>
      </c>
      <c r="T2259" s="43" t="str">
        <f t="shared" si="97"/>
        <v>2022.034B.Gordonclarkvirinae_nsf.zip</v>
      </c>
      <c r="U2259" s="43" t="str">
        <f>HYPERLINK("https://ictv.global/taxonomy/taxondetails?taxnode_id=202200689","ictv.global=202200689")</f>
        <v>ictv.global=202200689</v>
      </c>
    </row>
    <row r="2260" spans="1:21">
      <c r="A2260">
        <v>2259</v>
      </c>
      <c r="B2260" s="29" t="s">
        <v>3682</v>
      </c>
      <c r="C2260" s="29"/>
      <c r="D2260" s="29" t="s">
        <v>3683</v>
      </c>
      <c r="E2260" s="29"/>
      <c r="F2260" s="29" t="s">
        <v>3686</v>
      </c>
      <c r="G2260" s="29"/>
      <c r="H2260" s="29" t="s">
        <v>3687</v>
      </c>
      <c r="I2260" s="29"/>
      <c r="J2260" s="29"/>
      <c r="K2260" s="29"/>
      <c r="L2260" s="29"/>
      <c r="M2260" s="29" t="s">
        <v>9424</v>
      </c>
      <c r="N2260" s="29" t="s">
        <v>9442</v>
      </c>
      <c r="O2260" s="29"/>
      <c r="P2260" s="29" t="s">
        <v>9445</v>
      </c>
      <c r="Q2260" t="s">
        <v>2038</v>
      </c>
      <c r="R2260" t="s">
        <v>2632</v>
      </c>
      <c r="S2260">
        <v>38</v>
      </c>
      <c r="T2260" s="43" t="str">
        <f t="shared" si="97"/>
        <v>2022.034B.Gordonclarkvirinae_nsf.zip</v>
      </c>
      <c r="U2260" s="43" t="str">
        <f>HYPERLINK("https://ictv.global/taxonomy/taxondetails?taxnode_id=202214601","ictv.global=202214601")</f>
        <v>ictv.global=202214601</v>
      </c>
    </row>
    <row r="2261" spans="1:21">
      <c r="A2261">
        <v>2260</v>
      </c>
      <c r="B2261" s="29" t="s">
        <v>3682</v>
      </c>
      <c r="C2261" s="29"/>
      <c r="D2261" s="29" t="s">
        <v>3683</v>
      </c>
      <c r="E2261" s="29"/>
      <c r="F2261" s="29" t="s">
        <v>3686</v>
      </c>
      <c r="G2261" s="29"/>
      <c r="H2261" s="29" t="s">
        <v>3687</v>
      </c>
      <c r="I2261" s="29"/>
      <c r="J2261" s="29"/>
      <c r="K2261" s="29"/>
      <c r="L2261" s="29"/>
      <c r="M2261" s="29" t="s">
        <v>9424</v>
      </c>
      <c r="N2261" s="29" t="s">
        <v>9442</v>
      </c>
      <c r="O2261" s="29"/>
      <c r="P2261" s="29" t="s">
        <v>9446</v>
      </c>
      <c r="Q2261" t="s">
        <v>2038</v>
      </c>
      <c r="R2261" t="s">
        <v>2632</v>
      </c>
      <c r="S2261">
        <v>38</v>
      </c>
      <c r="T2261" s="43" t="str">
        <f t="shared" si="97"/>
        <v>2022.034B.Gordonclarkvirinae_nsf.zip</v>
      </c>
      <c r="U2261" s="43" t="str">
        <f>HYPERLINK("https://ictv.global/taxonomy/taxondetails?taxnode_id=202214603","ictv.global=202214603")</f>
        <v>ictv.global=202214603</v>
      </c>
    </row>
    <row r="2262" spans="1:21">
      <c r="A2262">
        <v>2261</v>
      </c>
      <c r="B2262" s="29" t="s">
        <v>3682</v>
      </c>
      <c r="C2262" s="29"/>
      <c r="D2262" s="29" t="s">
        <v>3683</v>
      </c>
      <c r="E2262" s="29"/>
      <c r="F2262" s="29" t="s">
        <v>3686</v>
      </c>
      <c r="G2262" s="29"/>
      <c r="H2262" s="29" t="s">
        <v>3687</v>
      </c>
      <c r="I2262" s="29"/>
      <c r="J2262" s="29"/>
      <c r="K2262" s="29"/>
      <c r="L2262" s="29"/>
      <c r="M2262" s="29" t="s">
        <v>9424</v>
      </c>
      <c r="N2262" s="29" t="s">
        <v>9442</v>
      </c>
      <c r="O2262" s="29"/>
      <c r="P2262" s="29" t="s">
        <v>9447</v>
      </c>
      <c r="Q2262" t="s">
        <v>2038</v>
      </c>
      <c r="R2262" t="s">
        <v>2632</v>
      </c>
      <c r="S2262">
        <v>38</v>
      </c>
      <c r="T2262" s="43" t="str">
        <f t="shared" si="97"/>
        <v>2022.034B.Gordonclarkvirinae_nsf.zip</v>
      </c>
      <c r="U2262" s="43" t="str">
        <f>HYPERLINK("https://ictv.global/taxonomy/taxondetails?taxnode_id=202214600","ictv.global=202214600")</f>
        <v>ictv.global=202214600</v>
      </c>
    </row>
    <row r="2263" spans="1:21">
      <c r="A2263">
        <v>2262</v>
      </c>
      <c r="B2263" s="29" t="s">
        <v>3682</v>
      </c>
      <c r="C2263" s="29"/>
      <c r="D2263" s="29" t="s">
        <v>3683</v>
      </c>
      <c r="E2263" s="29"/>
      <c r="F2263" s="29" t="s">
        <v>3686</v>
      </c>
      <c r="G2263" s="29"/>
      <c r="H2263" s="29" t="s">
        <v>3687</v>
      </c>
      <c r="I2263" s="29"/>
      <c r="J2263" s="29"/>
      <c r="K2263" s="29"/>
      <c r="L2263" s="29"/>
      <c r="M2263" s="29" t="s">
        <v>4534</v>
      </c>
      <c r="N2263" s="29" t="s">
        <v>3395</v>
      </c>
      <c r="O2263" s="29"/>
      <c r="P2263" s="29" t="s">
        <v>9448</v>
      </c>
      <c r="Q2263" t="s">
        <v>2038</v>
      </c>
      <c r="R2263" t="s">
        <v>2633</v>
      </c>
      <c r="S2263">
        <v>37</v>
      </c>
      <c r="T2263" s="43" t="str">
        <f t="shared" ref="T2263:T2270" si="98">HYPERLINK("https://ictv.global/ictv/proposals/2021.010B.R.Binomial_names.zip","2021.010B.R.Binomial_names.zip")</f>
        <v>2021.010B.R.Binomial_names.zip</v>
      </c>
      <c r="U2263" s="43" t="str">
        <f>HYPERLINK("https://ictv.global/taxonomy/taxondetails?taxnode_id=202206799","ictv.global=202206799")</f>
        <v>ictv.global=202206799</v>
      </c>
    </row>
    <row r="2264" spans="1:21">
      <c r="A2264">
        <v>2263</v>
      </c>
      <c r="B2264" s="29" t="s">
        <v>3682</v>
      </c>
      <c r="C2264" s="29"/>
      <c r="D2264" s="29" t="s">
        <v>3683</v>
      </c>
      <c r="E2264" s="29"/>
      <c r="F2264" s="29" t="s">
        <v>3686</v>
      </c>
      <c r="G2264" s="29"/>
      <c r="H2264" s="29" t="s">
        <v>3687</v>
      </c>
      <c r="I2264" s="29"/>
      <c r="J2264" s="29"/>
      <c r="K2264" s="29"/>
      <c r="L2264" s="29"/>
      <c r="M2264" s="29" t="s">
        <v>4534</v>
      </c>
      <c r="N2264" s="29" t="s">
        <v>3395</v>
      </c>
      <c r="O2264" s="29"/>
      <c r="P2264" s="29" t="s">
        <v>9449</v>
      </c>
      <c r="Q2264" t="s">
        <v>2038</v>
      </c>
      <c r="R2264" t="s">
        <v>2633</v>
      </c>
      <c r="S2264">
        <v>37</v>
      </c>
      <c r="T2264" s="43" t="str">
        <f t="shared" si="98"/>
        <v>2021.010B.R.Binomial_names.zip</v>
      </c>
      <c r="U2264" s="43" t="str">
        <f>HYPERLINK("https://ictv.global/taxonomy/taxondetails?taxnode_id=202210052","ictv.global=202210052")</f>
        <v>ictv.global=202210052</v>
      </c>
    </row>
    <row r="2265" spans="1:21">
      <c r="A2265">
        <v>2264</v>
      </c>
      <c r="B2265" s="29" t="s">
        <v>3682</v>
      </c>
      <c r="C2265" s="29"/>
      <c r="D2265" s="29" t="s">
        <v>3683</v>
      </c>
      <c r="E2265" s="29"/>
      <c r="F2265" s="29" t="s">
        <v>3686</v>
      </c>
      <c r="G2265" s="29"/>
      <c r="H2265" s="29" t="s">
        <v>3687</v>
      </c>
      <c r="I2265" s="29"/>
      <c r="J2265" s="29"/>
      <c r="K2265" s="29"/>
      <c r="L2265" s="29"/>
      <c r="M2265" s="29" t="s">
        <v>4534</v>
      </c>
      <c r="N2265" s="29" t="s">
        <v>3395</v>
      </c>
      <c r="O2265" s="29"/>
      <c r="P2265" s="29" t="s">
        <v>9450</v>
      </c>
      <c r="Q2265" t="s">
        <v>2038</v>
      </c>
      <c r="R2265" t="s">
        <v>2633</v>
      </c>
      <c r="S2265">
        <v>37</v>
      </c>
      <c r="T2265" s="43" t="str">
        <f t="shared" si="98"/>
        <v>2021.010B.R.Binomial_names.zip</v>
      </c>
      <c r="U2265" s="43" t="str">
        <f>HYPERLINK("https://ictv.global/taxonomy/taxondetails?taxnode_id=202210053","ictv.global=202210053")</f>
        <v>ictv.global=202210053</v>
      </c>
    </row>
    <row r="2266" spans="1:21">
      <c r="A2266">
        <v>2265</v>
      </c>
      <c r="B2266" s="29" t="s">
        <v>3682</v>
      </c>
      <c r="C2266" s="29"/>
      <c r="D2266" s="29" t="s">
        <v>3683</v>
      </c>
      <c r="E2266" s="29"/>
      <c r="F2266" s="29" t="s">
        <v>3686</v>
      </c>
      <c r="G2266" s="29"/>
      <c r="H2266" s="29" t="s">
        <v>3687</v>
      </c>
      <c r="I2266" s="29"/>
      <c r="J2266" s="29"/>
      <c r="K2266" s="29"/>
      <c r="L2266" s="29"/>
      <c r="M2266" s="29" t="s">
        <v>4534</v>
      </c>
      <c r="N2266" s="29" t="s">
        <v>3395</v>
      </c>
      <c r="O2266" s="29"/>
      <c r="P2266" s="29" t="s">
        <v>9451</v>
      </c>
      <c r="Q2266" t="s">
        <v>2038</v>
      </c>
      <c r="R2266" t="s">
        <v>2633</v>
      </c>
      <c r="S2266">
        <v>37</v>
      </c>
      <c r="T2266" s="43" t="str">
        <f t="shared" si="98"/>
        <v>2021.010B.R.Binomial_names.zip</v>
      </c>
      <c r="U2266" s="43" t="str">
        <f>HYPERLINK("https://ictv.global/taxonomy/taxondetails?taxnode_id=202210051","ictv.global=202210051")</f>
        <v>ictv.global=202210051</v>
      </c>
    </row>
    <row r="2267" spans="1:21">
      <c r="A2267">
        <v>2266</v>
      </c>
      <c r="B2267" s="29" t="s">
        <v>3682</v>
      </c>
      <c r="C2267" s="29"/>
      <c r="D2267" s="29" t="s">
        <v>3683</v>
      </c>
      <c r="E2267" s="29"/>
      <c r="F2267" s="29" t="s">
        <v>3686</v>
      </c>
      <c r="G2267" s="29"/>
      <c r="H2267" s="29" t="s">
        <v>3687</v>
      </c>
      <c r="I2267" s="29"/>
      <c r="J2267" s="29"/>
      <c r="K2267" s="29"/>
      <c r="L2267" s="29"/>
      <c r="M2267" s="29" t="s">
        <v>4534</v>
      </c>
      <c r="N2267" s="29" t="s">
        <v>3440</v>
      </c>
      <c r="O2267" s="29"/>
      <c r="P2267" s="29" t="s">
        <v>9452</v>
      </c>
      <c r="Q2267" t="s">
        <v>2038</v>
      </c>
      <c r="R2267" t="s">
        <v>2633</v>
      </c>
      <c r="S2267">
        <v>37</v>
      </c>
      <c r="T2267" s="43" t="str">
        <f t="shared" si="98"/>
        <v>2021.010B.R.Binomial_names.zip</v>
      </c>
      <c r="U2267" s="43" t="str">
        <f>HYPERLINK("https://ictv.global/taxonomy/taxondetails?taxnode_id=202206892","ictv.global=202206892")</f>
        <v>ictv.global=202206892</v>
      </c>
    </row>
    <row r="2268" spans="1:21">
      <c r="A2268">
        <v>2267</v>
      </c>
      <c r="B2268" s="29" t="s">
        <v>3682</v>
      </c>
      <c r="C2268" s="29"/>
      <c r="D2268" s="29" t="s">
        <v>3683</v>
      </c>
      <c r="E2268" s="29"/>
      <c r="F2268" s="29" t="s">
        <v>3686</v>
      </c>
      <c r="G2268" s="29"/>
      <c r="H2268" s="29" t="s">
        <v>3687</v>
      </c>
      <c r="I2268" s="29"/>
      <c r="J2268" s="29"/>
      <c r="K2268" s="29"/>
      <c r="L2268" s="29"/>
      <c r="M2268" s="29" t="s">
        <v>4534</v>
      </c>
      <c r="N2268" s="29" t="s">
        <v>3440</v>
      </c>
      <c r="O2268" s="29"/>
      <c r="P2268" s="29" t="s">
        <v>9453</v>
      </c>
      <c r="Q2268" t="s">
        <v>2038</v>
      </c>
      <c r="R2268" t="s">
        <v>2633</v>
      </c>
      <c r="S2268">
        <v>37</v>
      </c>
      <c r="T2268" s="43" t="str">
        <f t="shared" si="98"/>
        <v>2021.010B.R.Binomial_names.zip</v>
      </c>
      <c r="U2268" s="43" t="str">
        <f>HYPERLINK("https://ictv.global/taxonomy/taxondetails?taxnode_id=202206893","ictv.global=202206893")</f>
        <v>ictv.global=202206893</v>
      </c>
    </row>
    <row r="2269" spans="1:21">
      <c r="A2269">
        <v>2268</v>
      </c>
      <c r="B2269" s="29" t="s">
        <v>3682</v>
      </c>
      <c r="C2269" s="29"/>
      <c r="D2269" s="29" t="s">
        <v>3683</v>
      </c>
      <c r="E2269" s="29"/>
      <c r="F2269" s="29" t="s">
        <v>3686</v>
      </c>
      <c r="G2269" s="29"/>
      <c r="H2269" s="29" t="s">
        <v>3687</v>
      </c>
      <c r="I2269" s="29"/>
      <c r="J2269" s="29"/>
      <c r="K2269" s="29"/>
      <c r="L2269" s="29"/>
      <c r="M2269" s="29" t="s">
        <v>9454</v>
      </c>
      <c r="N2269" s="29" t="s">
        <v>4708</v>
      </c>
      <c r="O2269" s="29"/>
      <c r="P2269" s="29" t="s">
        <v>9455</v>
      </c>
      <c r="Q2269" t="s">
        <v>2038</v>
      </c>
      <c r="R2269" t="s">
        <v>2633</v>
      </c>
      <c r="S2269">
        <v>37</v>
      </c>
      <c r="T2269" s="43" t="str">
        <f t="shared" si="98"/>
        <v>2021.010B.R.Binomial_names.zip</v>
      </c>
      <c r="U2269" s="43" t="str">
        <f>HYPERLINK("https://ictv.global/taxonomy/taxondetails?taxnode_id=202200892","ictv.global=202200892")</f>
        <v>ictv.global=202200892</v>
      </c>
    </row>
    <row r="2270" spans="1:21">
      <c r="A2270">
        <v>2269</v>
      </c>
      <c r="B2270" s="29" t="s">
        <v>3682</v>
      </c>
      <c r="C2270" s="29"/>
      <c r="D2270" s="29" t="s">
        <v>3683</v>
      </c>
      <c r="E2270" s="29"/>
      <c r="F2270" s="29" t="s">
        <v>3686</v>
      </c>
      <c r="G2270" s="29"/>
      <c r="H2270" s="29" t="s">
        <v>3687</v>
      </c>
      <c r="I2270" s="29"/>
      <c r="J2270" s="29"/>
      <c r="K2270" s="29"/>
      <c r="L2270" s="29"/>
      <c r="M2270" s="29" t="s">
        <v>9454</v>
      </c>
      <c r="N2270" s="29" t="s">
        <v>4708</v>
      </c>
      <c r="O2270" s="29"/>
      <c r="P2270" s="29" t="s">
        <v>9456</v>
      </c>
      <c r="Q2270" t="s">
        <v>2038</v>
      </c>
      <c r="R2270" t="s">
        <v>2633</v>
      </c>
      <c r="S2270">
        <v>37</v>
      </c>
      <c r="T2270" s="43" t="str">
        <f t="shared" si="98"/>
        <v>2021.010B.R.Binomial_names.zip</v>
      </c>
      <c r="U2270" s="43" t="str">
        <f>HYPERLINK("https://ictv.global/taxonomy/taxondetails?taxnode_id=202200895","ictv.global=202200895")</f>
        <v>ictv.global=202200895</v>
      </c>
    </row>
    <row r="2271" spans="1:21">
      <c r="A2271">
        <v>2270</v>
      </c>
      <c r="B2271" s="29" t="s">
        <v>3682</v>
      </c>
      <c r="C2271" s="29"/>
      <c r="D2271" s="29" t="s">
        <v>3683</v>
      </c>
      <c r="E2271" s="29"/>
      <c r="F2271" s="29" t="s">
        <v>3686</v>
      </c>
      <c r="G2271" s="29"/>
      <c r="H2271" s="29" t="s">
        <v>3687</v>
      </c>
      <c r="I2271" s="29"/>
      <c r="J2271" s="29"/>
      <c r="K2271" s="29"/>
      <c r="L2271" s="29"/>
      <c r="M2271" s="29" t="s">
        <v>9454</v>
      </c>
      <c r="N2271" s="29" t="s">
        <v>4708</v>
      </c>
      <c r="O2271" s="29"/>
      <c r="P2271" s="29" t="s">
        <v>9457</v>
      </c>
      <c r="Q2271" t="s">
        <v>2038</v>
      </c>
      <c r="R2271" t="s">
        <v>2632</v>
      </c>
      <c r="S2271">
        <v>37</v>
      </c>
      <c r="T2271" s="43" t="str">
        <f>HYPERLINK("https://ictv.global/ictv/proposals/2021.035B.R.Gracegardnervirinae.zip","2021.035B.R.Gracegardnervirinae.zip")</f>
        <v>2021.035B.R.Gracegardnervirinae.zip</v>
      </c>
      <c r="U2271" s="43" t="str">
        <f>HYPERLINK("https://ictv.global/taxonomy/taxondetails?taxnode_id=202212340","ictv.global=202212340")</f>
        <v>ictv.global=202212340</v>
      </c>
    </row>
    <row r="2272" spans="1:21">
      <c r="A2272">
        <v>2271</v>
      </c>
      <c r="B2272" s="29" t="s">
        <v>3682</v>
      </c>
      <c r="C2272" s="29"/>
      <c r="D2272" s="29" t="s">
        <v>3683</v>
      </c>
      <c r="E2272" s="29"/>
      <c r="F2272" s="29" t="s">
        <v>3686</v>
      </c>
      <c r="G2272" s="29"/>
      <c r="H2272" s="29" t="s">
        <v>3687</v>
      </c>
      <c r="I2272" s="29"/>
      <c r="J2272" s="29"/>
      <c r="K2272" s="29"/>
      <c r="L2272" s="29"/>
      <c r="M2272" s="29" t="s">
        <v>9454</v>
      </c>
      <c r="N2272" s="29" t="s">
        <v>4708</v>
      </c>
      <c r="O2272" s="29"/>
      <c r="P2272" s="29" t="s">
        <v>9458</v>
      </c>
      <c r="Q2272" t="s">
        <v>2038</v>
      </c>
      <c r="R2272" t="s">
        <v>2632</v>
      </c>
      <c r="S2272">
        <v>37</v>
      </c>
      <c r="T2272" s="43" t="str">
        <f>HYPERLINK("https://ictv.global/ictv/proposals/2021.035B.R.Gracegardnervirinae.zip","2021.035B.R.Gracegardnervirinae.zip")</f>
        <v>2021.035B.R.Gracegardnervirinae.zip</v>
      </c>
      <c r="U2272" s="43" t="str">
        <f>HYPERLINK("https://ictv.global/taxonomy/taxondetails?taxnode_id=202212341","ictv.global=202212341")</f>
        <v>ictv.global=202212341</v>
      </c>
    </row>
    <row r="2273" spans="1:21">
      <c r="A2273">
        <v>2272</v>
      </c>
      <c r="B2273" s="29" t="s">
        <v>3682</v>
      </c>
      <c r="C2273" s="29"/>
      <c r="D2273" s="29" t="s">
        <v>3683</v>
      </c>
      <c r="E2273" s="29"/>
      <c r="F2273" s="29" t="s">
        <v>3686</v>
      </c>
      <c r="G2273" s="29"/>
      <c r="H2273" s="29" t="s">
        <v>3687</v>
      </c>
      <c r="I2273" s="29"/>
      <c r="J2273" s="29"/>
      <c r="K2273" s="29"/>
      <c r="L2273" s="29"/>
      <c r="M2273" s="29" t="s">
        <v>9454</v>
      </c>
      <c r="N2273" s="29" t="s">
        <v>4708</v>
      </c>
      <c r="O2273" s="29"/>
      <c r="P2273" s="29" t="s">
        <v>9459</v>
      </c>
      <c r="Q2273" t="s">
        <v>2038</v>
      </c>
      <c r="R2273" t="s">
        <v>2633</v>
      </c>
      <c r="S2273">
        <v>37</v>
      </c>
      <c r="T2273" s="43" t="str">
        <f>HYPERLINK("https://ictv.global/ictv/proposals/2021.010B.R.Binomial_names.zip","2021.010B.R.Binomial_names.zip")</f>
        <v>2021.010B.R.Binomial_names.zip</v>
      </c>
      <c r="U2273" s="43" t="str">
        <f>HYPERLINK("https://ictv.global/taxonomy/taxondetails?taxnode_id=202200918","ictv.global=202200918")</f>
        <v>ictv.global=202200918</v>
      </c>
    </row>
    <row r="2274" spans="1:21">
      <c r="A2274">
        <v>2273</v>
      </c>
      <c r="B2274" s="29" t="s">
        <v>3682</v>
      </c>
      <c r="C2274" s="29"/>
      <c r="D2274" s="29" t="s">
        <v>3683</v>
      </c>
      <c r="E2274" s="29"/>
      <c r="F2274" s="29" t="s">
        <v>3686</v>
      </c>
      <c r="G2274" s="29"/>
      <c r="H2274" s="29" t="s">
        <v>3687</v>
      </c>
      <c r="I2274" s="29"/>
      <c r="J2274" s="29"/>
      <c r="K2274" s="29"/>
      <c r="L2274" s="29"/>
      <c r="M2274" s="29" t="s">
        <v>9454</v>
      </c>
      <c r="N2274" s="29" t="s">
        <v>4708</v>
      </c>
      <c r="O2274" s="29"/>
      <c r="P2274" s="29" t="s">
        <v>9460</v>
      </c>
      <c r="Q2274" t="s">
        <v>2038</v>
      </c>
      <c r="R2274" t="s">
        <v>2632</v>
      </c>
      <c r="S2274">
        <v>37</v>
      </c>
      <c r="T2274" s="43" t="str">
        <f t="shared" ref="T2274:T2305" si="99">HYPERLINK("https://ictv.global/ictv/proposals/2021.035B.R.Gracegardnervirinae.zip","2021.035B.R.Gracegardnervirinae.zip")</f>
        <v>2021.035B.R.Gracegardnervirinae.zip</v>
      </c>
      <c r="U2274" s="43" t="str">
        <f>HYPERLINK("https://ictv.global/taxonomy/taxondetails?taxnode_id=202212342","ictv.global=202212342")</f>
        <v>ictv.global=202212342</v>
      </c>
    </row>
    <row r="2275" spans="1:21">
      <c r="A2275">
        <v>2274</v>
      </c>
      <c r="B2275" s="29" t="s">
        <v>3682</v>
      </c>
      <c r="C2275" s="29"/>
      <c r="D2275" s="29" t="s">
        <v>3683</v>
      </c>
      <c r="E2275" s="29"/>
      <c r="F2275" s="29" t="s">
        <v>3686</v>
      </c>
      <c r="G2275" s="29"/>
      <c r="H2275" s="29" t="s">
        <v>3687</v>
      </c>
      <c r="I2275" s="29"/>
      <c r="J2275" s="29"/>
      <c r="K2275" s="29"/>
      <c r="L2275" s="29"/>
      <c r="M2275" s="29" t="s">
        <v>9454</v>
      </c>
      <c r="N2275" s="29" t="s">
        <v>3522</v>
      </c>
      <c r="O2275" s="29"/>
      <c r="P2275" s="29" t="s">
        <v>9461</v>
      </c>
      <c r="Q2275" t="s">
        <v>2038</v>
      </c>
      <c r="R2275" t="s">
        <v>2632</v>
      </c>
      <c r="S2275">
        <v>37</v>
      </c>
      <c r="T2275" s="43" t="str">
        <f t="shared" si="99"/>
        <v>2021.035B.R.Gracegardnervirinae.zip</v>
      </c>
      <c r="U2275" s="43" t="str">
        <f>HYPERLINK("https://ictv.global/taxonomy/taxondetails?taxnode_id=202212257","ictv.global=202212257")</f>
        <v>ictv.global=202212257</v>
      </c>
    </row>
    <row r="2276" spans="1:21">
      <c r="A2276">
        <v>2275</v>
      </c>
      <c r="B2276" s="29" t="s">
        <v>3682</v>
      </c>
      <c r="C2276" s="29"/>
      <c r="D2276" s="29" t="s">
        <v>3683</v>
      </c>
      <c r="E2276" s="29"/>
      <c r="F2276" s="29" t="s">
        <v>3686</v>
      </c>
      <c r="G2276" s="29"/>
      <c r="H2276" s="29" t="s">
        <v>3687</v>
      </c>
      <c r="I2276" s="29"/>
      <c r="J2276" s="29"/>
      <c r="K2276" s="29"/>
      <c r="L2276" s="29"/>
      <c r="M2276" s="29" t="s">
        <v>9454</v>
      </c>
      <c r="N2276" s="29" t="s">
        <v>3522</v>
      </c>
      <c r="O2276" s="29"/>
      <c r="P2276" s="29" t="s">
        <v>9462</v>
      </c>
      <c r="Q2276" t="s">
        <v>2038</v>
      </c>
      <c r="R2276" t="s">
        <v>2632</v>
      </c>
      <c r="S2276">
        <v>37</v>
      </c>
      <c r="T2276" s="43" t="str">
        <f t="shared" si="99"/>
        <v>2021.035B.R.Gracegardnervirinae.zip</v>
      </c>
      <c r="U2276" s="43" t="str">
        <f>HYPERLINK("https://ictv.global/taxonomy/taxondetails?taxnode_id=202212258","ictv.global=202212258")</f>
        <v>ictv.global=202212258</v>
      </c>
    </row>
    <row r="2277" spans="1:21">
      <c r="A2277">
        <v>2276</v>
      </c>
      <c r="B2277" s="29" t="s">
        <v>3682</v>
      </c>
      <c r="C2277" s="29"/>
      <c r="D2277" s="29" t="s">
        <v>3683</v>
      </c>
      <c r="E2277" s="29"/>
      <c r="F2277" s="29" t="s">
        <v>3686</v>
      </c>
      <c r="G2277" s="29"/>
      <c r="H2277" s="29" t="s">
        <v>3687</v>
      </c>
      <c r="I2277" s="29"/>
      <c r="J2277" s="29"/>
      <c r="K2277" s="29"/>
      <c r="L2277" s="29"/>
      <c r="M2277" s="29" t="s">
        <v>9454</v>
      </c>
      <c r="N2277" s="29" t="s">
        <v>3522</v>
      </c>
      <c r="O2277" s="29"/>
      <c r="P2277" s="29" t="s">
        <v>9463</v>
      </c>
      <c r="Q2277" t="s">
        <v>2038</v>
      </c>
      <c r="R2277" t="s">
        <v>2632</v>
      </c>
      <c r="S2277">
        <v>37</v>
      </c>
      <c r="T2277" s="43" t="str">
        <f t="shared" si="99"/>
        <v>2021.035B.R.Gracegardnervirinae.zip</v>
      </c>
      <c r="U2277" s="43" t="str">
        <f>HYPERLINK("https://ictv.global/taxonomy/taxondetails?taxnode_id=202212259","ictv.global=202212259")</f>
        <v>ictv.global=202212259</v>
      </c>
    </row>
    <row r="2278" spans="1:21">
      <c r="A2278">
        <v>2277</v>
      </c>
      <c r="B2278" s="29" t="s">
        <v>3682</v>
      </c>
      <c r="C2278" s="29"/>
      <c r="D2278" s="29" t="s">
        <v>3683</v>
      </c>
      <c r="E2278" s="29"/>
      <c r="F2278" s="29" t="s">
        <v>3686</v>
      </c>
      <c r="G2278" s="29"/>
      <c r="H2278" s="29" t="s">
        <v>3687</v>
      </c>
      <c r="I2278" s="29"/>
      <c r="J2278" s="29"/>
      <c r="K2278" s="29"/>
      <c r="L2278" s="29"/>
      <c r="M2278" s="29" t="s">
        <v>9454</v>
      </c>
      <c r="N2278" s="29" t="s">
        <v>3522</v>
      </c>
      <c r="O2278" s="29"/>
      <c r="P2278" s="29" t="s">
        <v>9464</v>
      </c>
      <c r="Q2278" t="s">
        <v>2038</v>
      </c>
      <c r="R2278" t="s">
        <v>2632</v>
      </c>
      <c r="S2278">
        <v>37</v>
      </c>
      <c r="T2278" s="43" t="str">
        <f t="shared" si="99"/>
        <v>2021.035B.R.Gracegardnervirinae.zip</v>
      </c>
      <c r="U2278" s="43" t="str">
        <f>HYPERLINK("https://ictv.global/taxonomy/taxondetails?taxnode_id=202212260","ictv.global=202212260")</f>
        <v>ictv.global=202212260</v>
      </c>
    </row>
    <row r="2279" spans="1:21">
      <c r="A2279">
        <v>2278</v>
      </c>
      <c r="B2279" s="29" t="s">
        <v>3682</v>
      </c>
      <c r="C2279" s="29"/>
      <c r="D2279" s="29" t="s">
        <v>3683</v>
      </c>
      <c r="E2279" s="29"/>
      <c r="F2279" s="29" t="s">
        <v>3686</v>
      </c>
      <c r="G2279" s="29"/>
      <c r="H2279" s="29" t="s">
        <v>3687</v>
      </c>
      <c r="I2279" s="29"/>
      <c r="J2279" s="29"/>
      <c r="K2279" s="29"/>
      <c r="L2279" s="29"/>
      <c r="M2279" s="29" t="s">
        <v>9454</v>
      </c>
      <c r="N2279" s="29" t="s">
        <v>3522</v>
      </c>
      <c r="O2279" s="29"/>
      <c r="P2279" s="29" t="s">
        <v>9465</v>
      </c>
      <c r="Q2279" t="s">
        <v>2038</v>
      </c>
      <c r="R2279" t="s">
        <v>2632</v>
      </c>
      <c r="S2279">
        <v>37</v>
      </c>
      <c r="T2279" s="43" t="str">
        <f t="shared" si="99"/>
        <v>2021.035B.R.Gracegardnervirinae.zip</v>
      </c>
      <c r="U2279" s="43" t="str">
        <f>HYPERLINK("https://ictv.global/taxonomy/taxondetails?taxnode_id=202212261","ictv.global=202212261")</f>
        <v>ictv.global=202212261</v>
      </c>
    </row>
    <row r="2280" spans="1:21">
      <c r="A2280">
        <v>2279</v>
      </c>
      <c r="B2280" s="29" t="s">
        <v>3682</v>
      </c>
      <c r="C2280" s="29"/>
      <c r="D2280" s="29" t="s">
        <v>3683</v>
      </c>
      <c r="E2280" s="29"/>
      <c r="F2280" s="29" t="s">
        <v>3686</v>
      </c>
      <c r="G2280" s="29"/>
      <c r="H2280" s="29" t="s">
        <v>3687</v>
      </c>
      <c r="I2280" s="29"/>
      <c r="J2280" s="29"/>
      <c r="K2280" s="29"/>
      <c r="L2280" s="29"/>
      <c r="M2280" s="29" t="s">
        <v>9454</v>
      </c>
      <c r="N2280" s="29" t="s">
        <v>3522</v>
      </c>
      <c r="O2280" s="29"/>
      <c r="P2280" s="29" t="s">
        <v>9466</v>
      </c>
      <c r="Q2280" t="s">
        <v>2038</v>
      </c>
      <c r="R2280" t="s">
        <v>2632</v>
      </c>
      <c r="S2280">
        <v>37</v>
      </c>
      <c r="T2280" s="43" t="str">
        <f t="shared" si="99"/>
        <v>2021.035B.R.Gracegardnervirinae.zip</v>
      </c>
      <c r="U2280" s="43" t="str">
        <f>HYPERLINK("https://ictv.global/taxonomy/taxondetails?taxnode_id=202212262","ictv.global=202212262")</f>
        <v>ictv.global=202212262</v>
      </c>
    </row>
    <row r="2281" spans="1:21">
      <c r="A2281">
        <v>2280</v>
      </c>
      <c r="B2281" s="29" t="s">
        <v>3682</v>
      </c>
      <c r="C2281" s="29"/>
      <c r="D2281" s="29" t="s">
        <v>3683</v>
      </c>
      <c r="E2281" s="29"/>
      <c r="F2281" s="29" t="s">
        <v>3686</v>
      </c>
      <c r="G2281" s="29"/>
      <c r="H2281" s="29" t="s">
        <v>3687</v>
      </c>
      <c r="I2281" s="29"/>
      <c r="J2281" s="29"/>
      <c r="K2281" s="29"/>
      <c r="L2281" s="29"/>
      <c r="M2281" s="29" t="s">
        <v>9454</v>
      </c>
      <c r="N2281" s="29" t="s">
        <v>3522</v>
      </c>
      <c r="O2281" s="29"/>
      <c r="P2281" s="29" t="s">
        <v>9467</v>
      </c>
      <c r="Q2281" t="s">
        <v>2038</v>
      </c>
      <c r="R2281" t="s">
        <v>2632</v>
      </c>
      <c r="S2281">
        <v>37</v>
      </c>
      <c r="T2281" s="43" t="str">
        <f t="shared" si="99"/>
        <v>2021.035B.R.Gracegardnervirinae.zip</v>
      </c>
      <c r="U2281" s="43" t="str">
        <f>HYPERLINK("https://ictv.global/taxonomy/taxondetails?taxnode_id=202212263","ictv.global=202212263")</f>
        <v>ictv.global=202212263</v>
      </c>
    </row>
    <row r="2282" spans="1:21">
      <c r="A2282">
        <v>2281</v>
      </c>
      <c r="B2282" s="29" t="s">
        <v>3682</v>
      </c>
      <c r="C2282" s="29"/>
      <c r="D2282" s="29" t="s">
        <v>3683</v>
      </c>
      <c r="E2282" s="29"/>
      <c r="F2282" s="29" t="s">
        <v>3686</v>
      </c>
      <c r="G2282" s="29"/>
      <c r="H2282" s="29" t="s">
        <v>3687</v>
      </c>
      <c r="I2282" s="29"/>
      <c r="J2282" s="29"/>
      <c r="K2282" s="29"/>
      <c r="L2282" s="29"/>
      <c r="M2282" s="29" t="s">
        <v>9454</v>
      </c>
      <c r="N2282" s="29" t="s">
        <v>3522</v>
      </c>
      <c r="O2282" s="29"/>
      <c r="P2282" s="29" t="s">
        <v>9468</v>
      </c>
      <c r="Q2282" t="s">
        <v>2038</v>
      </c>
      <c r="R2282" t="s">
        <v>2632</v>
      </c>
      <c r="S2282">
        <v>37</v>
      </c>
      <c r="T2282" s="43" t="str">
        <f t="shared" si="99"/>
        <v>2021.035B.R.Gracegardnervirinae.zip</v>
      </c>
      <c r="U2282" s="43" t="str">
        <f>HYPERLINK("https://ictv.global/taxonomy/taxondetails?taxnode_id=202212264","ictv.global=202212264")</f>
        <v>ictv.global=202212264</v>
      </c>
    </row>
    <row r="2283" spans="1:21">
      <c r="A2283">
        <v>2282</v>
      </c>
      <c r="B2283" s="29" t="s">
        <v>3682</v>
      </c>
      <c r="C2283" s="29"/>
      <c r="D2283" s="29" t="s">
        <v>3683</v>
      </c>
      <c r="E2283" s="29"/>
      <c r="F2283" s="29" t="s">
        <v>3686</v>
      </c>
      <c r="G2283" s="29"/>
      <c r="H2283" s="29" t="s">
        <v>3687</v>
      </c>
      <c r="I2283" s="29"/>
      <c r="J2283" s="29"/>
      <c r="K2283" s="29"/>
      <c r="L2283" s="29"/>
      <c r="M2283" s="29" t="s">
        <v>9454</v>
      </c>
      <c r="N2283" s="29" t="s">
        <v>3522</v>
      </c>
      <c r="O2283" s="29"/>
      <c r="P2283" s="29" t="s">
        <v>9469</v>
      </c>
      <c r="Q2283" t="s">
        <v>2038</v>
      </c>
      <c r="R2283" t="s">
        <v>2632</v>
      </c>
      <c r="S2283">
        <v>37</v>
      </c>
      <c r="T2283" s="43" t="str">
        <f t="shared" si="99"/>
        <v>2021.035B.R.Gracegardnervirinae.zip</v>
      </c>
      <c r="U2283" s="43" t="str">
        <f>HYPERLINK("https://ictv.global/taxonomy/taxondetails?taxnode_id=202212265","ictv.global=202212265")</f>
        <v>ictv.global=202212265</v>
      </c>
    </row>
    <row r="2284" spans="1:21">
      <c r="A2284">
        <v>2283</v>
      </c>
      <c r="B2284" s="29" t="s">
        <v>3682</v>
      </c>
      <c r="C2284" s="29"/>
      <c r="D2284" s="29" t="s">
        <v>3683</v>
      </c>
      <c r="E2284" s="29"/>
      <c r="F2284" s="29" t="s">
        <v>3686</v>
      </c>
      <c r="G2284" s="29"/>
      <c r="H2284" s="29" t="s">
        <v>3687</v>
      </c>
      <c r="I2284" s="29"/>
      <c r="J2284" s="29"/>
      <c r="K2284" s="29"/>
      <c r="L2284" s="29"/>
      <c r="M2284" s="29" t="s">
        <v>9454</v>
      </c>
      <c r="N2284" s="29" t="s">
        <v>3522</v>
      </c>
      <c r="O2284" s="29"/>
      <c r="P2284" s="29" t="s">
        <v>9470</v>
      </c>
      <c r="Q2284" t="s">
        <v>2038</v>
      </c>
      <c r="R2284" t="s">
        <v>2632</v>
      </c>
      <c r="S2284">
        <v>37</v>
      </c>
      <c r="T2284" s="43" t="str">
        <f t="shared" si="99"/>
        <v>2021.035B.R.Gracegardnervirinae.zip</v>
      </c>
      <c r="U2284" s="43" t="str">
        <f>HYPERLINK("https://ictv.global/taxonomy/taxondetails?taxnode_id=202212266","ictv.global=202212266")</f>
        <v>ictv.global=202212266</v>
      </c>
    </row>
    <row r="2285" spans="1:21">
      <c r="A2285">
        <v>2284</v>
      </c>
      <c r="B2285" s="29" t="s">
        <v>3682</v>
      </c>
      <c r="C2285" s="29"/>
      <c r="D2285" s="29" t="s">
        <v>3683</v>
      </c>
      <c r="E2285" s="29"/>
      <c r="F2285" s="29" t="s">
        <v>3686</v>
      </c>
      <c r="G2285" s="29"/>
      <c r="H2285" s="29" t="s">
        <v>3687</v>
      </c>
      <c r="I2285" s="29"/>
      <c r="J2285" s="29"/>
      <c r="K2285" s="29"/>
      <c r="L2285" s="29"/>
      <c r="M2285" s="29" t="s">
        <v>9454</v>
      </c>
      <c r="N2285" s="29" t="s">
        <v>3522</v>
      </c>
      <c r="O2285" s="29"/>
      <c r="P2285" s="29" t="s">
        <v>9471</v>
      </c>
      <c r="Q2285" t="s">
        <v>2038</v>
      </c>
      <c r="R2285" t="s">
        <v>2632</v>
      </c>
      <c r="S2285">
        <v>37</v>
      </c>
      <c r="T2285" s="43" t="str">
        <f t="shared" si="99"/>
        <v>2021.035B.R.Gracegardnervirinae.zip</v>
      </c>
      <c r="U2285" s="43" t="str">
        <f>HYPERLINK("https://ictv.global/taxonomy/taxondetails?taxnode_id=202212267","ictv.global=202212267")</f>
        <v>ictv.global=202212267</v>
      </c>
    </row>
    <row r="2286" spans="1:21">
      <c r="A2286">
        <v>2285</v>
      </c>
      <c r="B2286" s="29" t="s">
        <v>3682</v>
      </c>
      <c r="C2286" s="29"/>
      <c r="D2286" s="29" t="s">
        <v>3683</v>
      </c>
      <c r="E2286" s="29"/>
      <c r="F2286" s="29" t="s">
        <v>3686</v>
      </c>
      <c r="G2286" s="29"/>
      <c r="H2286" s="29" t="s">
        <v>3687</v>
      </c>
      <c r="I2286" s="29"/>
      <c r="J2286" s="29"/>
      <c r="K2286" s="29"/>
      <c r="L2286" s="29"/>
      <c r="M2286" s="29" t="s">
        <v>9454</v>
      </c>
      <c r="N2286" s="29" t="s">
        <v>3522</v>
      </c>
      <c r="O2286" s="29"/>
      <c r="P2286" s="29" t="s">
        <v>9472</v>
      </c>
      <c r="Q2286" t="s">
        <v>2038</v>
      </c>
      <c r="R2286" t="s">
        <v>2632</v>
      </c>
      <c r="S2286">
        <v>37</v>
      </c>
      <c r="T2286" s="43" t="str">
        <f t="shared" si="99"/>
        <v>2021.035B.R.Gracegardnervirinae.zip</v>
      </c>
      <c r="U2286" s="43" t="str">
        <f>HYPERLINK("https://ictv.global/taxonomy/taxondetails?taxnode_id=202212268","ictv.global=202212268")</f>
        <v>ictv.global=202212268</v>
      </c>
    </row>
    <row r="2287" spans="1:21">
      <c r="A2287">
        <v>2286</v>
      </c>
      <c r="B2287" s="29" t="s">
        <v>3682</v>
      </c>
      <c r="C2287" s="29"/>
      <c r="D2287" s="29" t="s">
        <v>3683</v>
      </c>
      <c r="E2287" s="29"/>
      <c r="F2287" s="29" t="s">
        <v>3686</v>
      </c>
      <c r="G2287" s="29"/>
      <c r="H2287" s="29" t="s">
        <v>3687</v>
      </c>
      <c r="I2287" s="29"/>
      <c r="J2287" s="29"/>
      <c r="K2287" s="29"/>
      <c r="L2287" s="29"/>
      <c r="M2287" s="29" t="s">
        <v>9454</v>
      </c>
      <c r="N2287" s="29" t="s">
        <v>3522</v>
      </c>
      <c r="O2287" s="29"/>
      <c r="P2287" s="29" t="s">
        <v>9473</v>
      </c>
      <c r="Q2287" t="s">
        <v>2038</v>
      </c>
      <c r="R2287" t="s">
        <v>2632</v>
      </c>
      <c r="S2287">
        <v>37</v>
      </c>
      <c r="T2287" s="43" t="str">
        <f t="shared" si="99"/>
        <v>2021.035B.R.Gracegardnervirinae.zip</v>
      </c>
      <c r="U2287" s="43" t="str">
        <f>HYPERLINK("https://ictv.global/taxonomy/taxondetails?taxnode_id=202212269","ictv.global=202212269")</f>
        <v>ictv.global=202212269</v>
      </c>
    </row>
    <row r="2288" spans="1:21">
      <c r="A2288">
        <v>2287</v>
      </c>
      <c r="B2288" s="29" t="s">
        <v>3682</v>
      </c>
      <c r="C2288" s="29"/>
      <c r="D2288" s="29" t="s">
        <v>3683</v>
      </c>
      <c r="E2288" s="29"/>
      <c r="F2288" s="29" t="s">
        <v>3686</v>
      </c>
      <c r="G2288" s="29"/>
      <c r="H2288" s="29" t="s">
        <v>3687</v>
      </c>
      <c r="I2288" s="29"/>
      <c r="J2288" s="29"/>
      <c r="K2288" s="29"/>
      <c r="L2288" s="29"/>
      <c r="M2288" s="29" t="s">
        <v>9454</v>
      </c>
      <c r="N2288" s="29" t="s">
        <v>3522</v>
      </c>
      <c r="O2288" s="29"/>
      <c r="P2288" s="29" t="s">
        <v>9474</v>
      </c>
      <c r="Q2288" t="s">
        <v>2038</v>
      </c>
      <c r="R2288" t="s">
        <v>2632</v>
      </c>
      <c r="S2288">
        <v>37</v>
      </c>
      <c r="T2288" s="43" t="str">
        <f t="shared" si="99"/>
        <v>2021.035B.R.Gracegardnervirinae.zip</v>
      </c>
      <c r="U2288" s="43" t="str">
        <f>HYPERLINK("https://ictv.global/taxonomy/taxondetails?taxnode_id=202212270","ictv.global=202212270")</f>
        <v>ictv.global=202212270</v>
      </c>
    </row>
    <row r="2289" spans="1:21">
      <c r="A2289">
        <v>2288</v>
      </c>
      <c r="B2289" s="29" t="s">
        <v>3682</v>
      </c>
      <c r="C2289" s="29"/>
      <c r="D2289" s="29" t="s">
        <v>3683</v>
      </c>
      <c r="E2289" s="29"/>
      <c r="F2289" s="29" t="s">
        <v>3686</v>
      </c>
      <c r="G2289" s="29"/>
      <c r="H2289" s="29" t="s">
        <v>3687</v>
      </c>
      <c r="I2289" s="29"/>
      <c r="J2289" s="29"/>
      <c r="K2289" s="29"/>
      <c r="L2289" s="29"/>
      <c r="M2289" s="29" t="s">
        <v>9454</v>
      </c>
      <c r="N2289" s="29" t="s">
        <v>3522</v>
      </c>
      <c r="O2289" s="29"/>
      <c r="P2289" s="29" t="s">
        <v>9475</v>
      </c>
      <c r="Q2289" t="s">
        <v>2038</v>
      </c>
      <c r="R2289" t="s">
        <v>2632</v>
      </c>
      <c r="S2289">
        <v>37</v>
      </c>
      <c r="T2289" s="43" t="str">
        <f t="shared" si="99"/>
        <v>2021.035B.R.Gracegardnervirinae.zip</v>
      </c>
      <c r="U2289" s="43" t="str">
        <f>HYPERLINK("https://ictv.global/taxonomy/taxondetails?taxnode_id=202212271","ictv.global=202212271")</f>
        <v>ictv.global=202212271</v>
      </c>
    </row>
    <row r="2290" spans="1:21">
      <c r="A2290">
        <v>2289</v>
      </c>
      <c r="B2290" s="29" t="s">
        <v>3682</v>
      </c>
      <c r="C2290" s="29"/>
      <c r="D2290" s="29" t="s">
        <v>3683</v>
      </c>
      <c r="E2290" s="29"/>
      <c r="F2290" s="29" t="s">
        <v>3686</v>
      </c>
      <c r="G2290" s="29"/>
      <c r="H2290" s="29" t="s">
        <v>3687</v>
      </c>
      <c r="I2290" s="29"/>
      <c r="J2290" s="29"/>
      <c r="K2290" s="29"/>
      <c r="L2290" s="29"/>
      <c r="M2290" s="29" t="s">
        <v>9454</v>
      </c>
      <c r="N2290" s="29" t="s">
        <v>3522</v>
      </c>
      <c r="O2290" s="29"/>
      <c r="P2290" s="29" t="s">
        <v>9476</v>
      </c>
      <c r="Q2290" t="s">
        <v>2038</v>
      </c>
      <c r="R2290" t="s">
        <v>2632</v>
      </c>
      <c r="S2290">
        <v>37</v>
      </c>
      <c r="T2290" s="43" t="str">
        <f t="shared" si="99"/>
        <v>2021.035B.R.Gracegardnervirinae.zip</v>
      </c>
      <c r="U2290" s="43" t="str">
        <f>HYPERLINK("https://ictv.global/taxonomy/taxondetails?taxnode_id=202212272","ictv.global=202212272")</f>
        <v>ictv.global=202212272</v>
      </c>
    </row>
    <row r="2291" spans="1:21">
      <c r="A2291">
        <v>2290</v>
      </c>
      <c r="B2291" s="29" t="s">
        <v>3682</v>
      </c>
      <c r="C2291" s="29"/>
      <c r="D2291" s="29" t="s">
        <v>3683</v>
      </c>
      <c r="E2291" s="29"/>
      <c r="F2291" s="29" t="s">
        <v>3686</v>
      </c>
      <c r="G2291" s="29"/>
      <c r="H2291" s="29" t="s">
        <v>3687</v>
      </c>
      <c r="I2291" s="29"/>
      <c r="J2291" s="29"/>
      <c r="K2291" s="29"/>
      <c r="L2291" s="29"/>
      <c r="M2291" s="29" t="s">
        <v>9454</v>
      </c>
      <c r="N2291" s="29" t="s">
        <v>3522</v>
      </c>
      <c r="O2291" s="29"/>
      <c r="P2291" s="29" t="s">
        <v>9477</v>
      </c>
      <c r="Q2291" t="s">
        <v>2038</v>
      </c>
      <c r="R2291" t="s">
        <v>2632</v>
      </c>
      <c r="S2291">
        <v>37</v>
      </c>
      <c r="T2291" s="43" t="str">
        <f t="shared" si="99"/>
        <v>2021.035B.R.Gracegardnervirinae.zip</v>
      </c>
      <c r="U2291" s="43" t="str">
        <f>HYPERLINK("https://ictv.global/taxonomy/taxondetails?taxnode_id=202212273","ictv.global=202212273")</f>
        <v>ictv.global=202212273</v>
      </c>
    </row>
    <row r="2292" spans="1:21">
      <c r="A2292">
        <v>2291</v>
      </c>
      <c r="B2292" s="29" t="s">
        <v>3682</v>
      </c>
      <c r="C2292" s="29"/>
      <c r="D2292" s="29" t="s">
        <v>3683</v>
      </c>
      <c r="E2292" s="29"/>
      <c r="F2292" s="29" t="s">
        <v>3686</v>
      </c>
      <c r="G2292" s="29"/>
      <c r="H2292" s="29" t="s">
        <v>3687</v>
      </c>
      <c r="I2292" s="29"/>
      <c r="J2292" s="29"/>
      <c r="K2292" s="29"/>
      <c r="L2292" s="29"/>
      <c r="M2292" s="29" t="s">
        <v>9454</v>
      </c>
      <c r="N2292" s="29" t="s">
        <v>3522</v>
      </c>
      <c r="O2292" s="29"/>
      <c r="P2292" s="29" t="s">
        <v>9478</v>
      </c>
      <c r="Q2292" t="s">
        <v>2038</v>
      </c>
      <c r="R2292" t="s">
        <v>2632</v>
      </c>
      <c r="S2292">
        <v>37</v>
      </c>
      <c r="T2292" s="43" t="str">
        <f t="shared" si="99"/>
        <v>2021.035B.R.Gracegardnervirinae.zip</v>
      </c>
      <c r="U2292" s="43" t="str">
        <f>HYPERLINK("https://ictv.global/taxonomy/taxondetails?taxnode_id=202212274","ictv.global=202212274")</f>
        <v>ictv.global=202212274</v>
      </c>
    </row>
    <row r="2293" spans="1:21">
      <c r="A2293">
        <v>2292</v>
      </c>
      <c r="B2293" s="29" t="s">
        <v>3682</v>
      </c>
      <c r="C2293" s="29"/>
      <c r="D2293" s="29" t="s">
        <v>3683</v>
      </c>
      <c r="E2293" s="29"/>
      <c r="F2293" s="29" t="s">
        <v>3686</v>
      </c>
      <c r="G2293" s="29"/>
      <c r="H2293" s="29" t="s">
        <v>3687</v>
      </c>
      <c r="I2293" s="29"/>
      <c r="J2293" s="29"/>
      <c r="K2293" s="29"/>
      <c r="L2293" s="29"/>
      <c r="M2293" s="29" t="s">
        <v>9454</v>
      </c>
      <c r="N2293" s="29" t="s">
        <v>3522</v>
      </c>
      <c r="O2293" s="29"/>
      <c r="P2293" s="29" t="s">
        <v>9479</v>
      </c>
      <c r="Q2293" t="s">
        <v>2038</v>
      </c>
      <c r="R2293" t="s">
        <v>2632</v>
      </c>
      <c r="S2293">
        <v>37</v>
      </c>
      <c r="T2293" s="43" t="str">
        <f t="shared" si="99"/>
        <v>2021.035B.R.Gracegardnervirinae.zip</v>
      </c>
      <c r="U2293" s="43" t="str">
        <f>HYPERLINK("https://ictv.global/taxonomy/taxondetails?taxnode_id=202212275","ictv.global=202212275")</f>
        <v>ictv.global=202212275</v>
      </c>
    </row>
    <row r="2294" spans="1:21">
      <c r="A2294">
        <v>2293</v>
      </c>
      <c r="B2294" s="29" t="s">
        <v>3682</v>
      </c>
      <c r="C2294" s="29"/>
      <c r="D2294" s="29" t="s">
        <v>3683</v>
      </c>
      <c r="E2294" s="29"/>
      <c r="F2294" s="29" t="s">
        <v>3686</v>
      </c>
      <c r="G2294" s="29"/>
      <c r="H2294" s="29" t="s">
        <v>3687</v>
      </c>
      <c r="I2294" s="29"/>
      <c r="J2294" s="29"/>
      <c r="K2294" s="29"/>
      <c r="L2294" s="29"/>
      <c r="M2294" s="29" t="s">
        <v>9454</v>
      </c>
      <c r="N2294" s="29" t="s">
        <v>3522</v>
      </c>
      <c r="O2294" s="29"/>
      <c r="P2294" s="29" t="s">
        <v>9480</v>
      </c>
      <c r="Q2294" t="s">
        <v>2038</v>
      </c>
      <c r="R2294" t="s">
        <v>2632</v>
      </c>
      <c r="S2294">
        <v>37</v>
      </c>
      <c r="T2294" s="43" t="str">
        <f t="shared" si="99"/>
        <v>2021.035B.R.Gracegardnervirinae.zip</v>
      </c>
      <c r="U2294" s="43" t="str">
        <f>HYPERLINK("https://ictv.global/taxonomy/taxondetails?taxnode_id=202212276","ictv.global=202212276")</f>
        <v>ictv.global=202212276</v>
      </c>
    </row>
    <row r="2295" spans="1:21">
      <c r="A2295">
        <v>2294</v>
      </c>
      <c r="B2295" s="29" t="s">
        <v>3682</v>
      </c>
      <c r="C2295" s="29"/>
      <c r="D2295" s="29" t="s">
        <v>3683</v>
      </c>
      <c r="E2295" s="29"/>
      <c r="F2295" s="29" t="s">
        <v>3686</v>
      </c>
      <c r="G2295" s="29"/>
      <c r="H2295" s="29" t="s">
        <v>3687</v>
      </c>
      <c r="I2295" s="29"/>
      <c r="J2295" s="29"/>
      <c r="K2295" s="29"/>
      <c r="L2295" s="29"/>
      <c r="M2295" s="29" t="s">
        <v>9454</v>
      </c>
      <c r="N2295" s="29" t="s">
        <v>3522</v>
      </c>
      <c r="O2295" s="29"/>
      <c r="P2295" s="29" t="s">
        <v>9481</v>
      </c>
      <c r="Q2295" t="s">
        <v>2038</v>
      </c>
      <c r="R2295" t="s">
        <v>2632</v>
      </c>
      <c r="S2295">
        <v>37</v>
      </c>
      <c r="T2295" s="43" t="str">
        <f t="shared" si="99"/>
        <v>2021.035B.R.Gracegardnervirinae.zip</v>
      </c>
      <c r="U2295" s="43" t="str">
        <f>HYPERLINK("https://ictv.global/taxonomy/taxondetails?taxnode_id=202212277","ictv.global=202212277")</f>
        <v>ictv.global=202212277</v>
      </c>
    </row>
    <row r="2296" spans="1:21">
      <c r="A2296">
        <v>2295</v>
      </c>
      <c r="B2296" s="29" t="s">
        <v>3682</v>
      </c>
      <c r="C2296" s="29"/>
      <c r="D2296" s="29" t="s">
        <v>3683</v>
      </c>
      <c r="E2296" s="29"/>
      <c r="F2296" s="29" t="s">
        <v>3686</v>
      </c>
      <c r="G2296" s="29"/>
      <c r="H2296" s="29" t="s">
        <v>3687</v>
      </c>
      <c r="I2296" s="29"/>
      <c r="J2296" s="29"/>
      <c r="K2296" s="29"/>
      <c r="L2296" s="29"/>
      <c r="M2296" s="29" t="s">
        <v>9454</v>
      </c>
      <c r="N2296" s="29" t="s">
        <v>3522</v>
      </c>
      <c r="O2296" s="29"/>
      <c r="P2296" s="29" t="s">
        <v>9482</v>
      </c>
      <c r="Q2296" t="s">
        <v>2038</v>
      </c>
      <c r="R2296" t="s">
        <v>2632</v>
      </c>
      <c r="S2296">
        <v>37</v>
      </c>
      <c r="T2296" s="43" t="str">
        <f t="shared" si="99"/>
        <v>2021.035B.R.Gracegardnervirinae.zip</v>
      </c>
      <c r="U2296" s="43" t="str">
        <f>HYPERLINK("https://ictv.global/taxonomy/taxondetails?taxnode_id=202212278","ictv.global=202212278")</f>
        <v>ictv.global=202212278</v>
      </c>
    </row>
    <row r="2297" spans="1:21">
      <c r="A2297">
        <v>2296</v>
      </c>
      <c r="B2297" s="29" t="s">
        <v>3682</v>
      </c>
      <c r="C2297" s="29"/>
      <c r="D2297" s="29" t="s">
        <v>3683</v>
      </c>
      <c r="E2297" s="29"/>
      <c r="F2297" s="29" t="s">
        <v>3686</v>
      </c>
      <c r="G2297" s="29"/>
      <c r="H2297" s="29" t="s">
        <v>3687</v>
      </c>
      <c r="I2297" s="29"/>
      <c r="J2297" s="29"/>
      <c r="K2297" s="29"/>
      <c r="L2297" s="29"/>
      <c r="M2297" s="29" t="s">
        <v>9454</v>
      </c>
      <c r="N2297" s="29" t="s">
        <v>3522</v>
      </c>
      <c r="O2297" s="29"/>
      <c r="P2297" s="29" t="s">
        <v>9483</v>
      </c>
      <c r="Q2297" t="s">
        <v>2038</v>
      </c>
      <c r="R2297" t="s">
        <v>2632</v>
      </c>
      <c r="S2297">
        <v>37</v>
      </c>
      <c r="T2297" s="43" t="str">
        <f t="shared" si="99"/>
        <v>2021.035B.R.Gracegardnervirinae.zip</v>
      </c>
      <c r="U2297" s="43" t="str">
        <f>HYPERLINK("https://ictv.global/taxonomy/taxondetails?taxnode_id=202212279","ictv.global=202212279")</f>
        <v>ictv.global=202212279</v>
      </c>
    </row>
    <row r="2298" spans="1:21">
      <c r="A2298">
        <v>2297</v>
      </c>
      <c r="B2298" s="29" t="s">
        <v>3682</v>
      </c>
      <c r="C2298" s="29"/>
      <c r="D2298" s="29" t="s">
        <v>3683</v>
      </c>
      <c r="E2298" s="29"/>
      <c r="F2298" s="29" t="s">
        <v>3686</v>
      </c>
      <c r="G2298" s="29"/>
      <c r="H2298" s="29" t="s">
        <v>3687</v>
      </c>
      <c r="I2298" s="29"/>
      <c r="J2298" s="29"/>
      <c r="K2298" s="29"/>
      <c r="L2298" s="29"/>
      <c r="M2298" s="29" t="s">
        <v>9454</v>
      </c>
      <c r="N2298" s="29" t="s">
        <v>3522</v>
      </c>
      <c r="O2298" s="29"/>
      <c r="P2298" s="29" t="s">
        <v>9484</v>
      </c>
      <c r="Q2298" t="s">
        <v>2038</v>
      </c>
      <c r="R2298" t="s">
        <v>2632</v>
      </c>
      <c r="S2298">
        <v>37</v>
      </c>
      <c r="T2298" s="43" t="str">
        <f t="shared" si="99"/>
        <v>2021.035B.R.Gracegardnervirinae.zip</v>
      </c>
      <c r="U2298" s="43" t="str">
        <f>HYPERLINK("https://ictv.global/taxonomy/taxondetails?taxnode_id=202212280","ictv.global=202212280")</f>
        <v>ictv.global=202212280</v>
      </c>
    </row>
    <row r="2299" spans="1:21">
      <c r="A2299">
        <v>2298</v>
      </c>
      <c r="B2299" s="29" t="s">
        <v>3682</v>
      </c>
      <c r="C2299" s="29"/>
      <c r="D2299" s="29" t="s">
        <v>3683</v>
      </c>
      <c r="E2299" s="29"/>
      <c r="F2299" s="29" t="s">
        <v>3686</v>
      </c>
      <c r="G2299" s="29"/>
      <c r="H2299" s="29" t="s">
        <v>3687</v>
      </c>
      <c r="I2299" s="29"/>
      <c r="J2299" s="29"/>
      <c r="K2299" s="29"/>
      <c r="L2299" s="29"/>
      <c r="M2299" s="29" t="s">
        <v>9454</v>
      </c>
      <c r="N2299" s="29" t="s">
        <v>3522</v>
      </c>
      <c r="O2299" s="29"/>
      <c r="P2299" s="29" t="s">
        <v>9485</v>
      </c>
      <c r="Q2299" t="s">
        <v>2038</v>
      </c>
      <c r="R2299" t="s">
        <v>2632</v>
      </c>
      <c r="S2299">
        <v>37</v>
      </c>
      <c r="T2299" s="43" t="str">
        <f t="shared" si="99"/>
        <v>2021.035B.R.Gracegardnervirinae.zip</v>
      </c>
      <c r="U2299" s="43" t="str">
        <f>HYPERLINK("https://ictv.global/taxonomy/taxondetails?taxnode_id=202212281","ictv.global=202212281")</f>
        <v>ictv.global=202212281</v>
      </c>
    </row>
    <row r="2300" spans="1:21">
      <c r="A2300">
        <v>2299</v>
      </c>
      <c r="B2300" s="29" t="s">
        <v>3682</v>
      </c>
      <c r="C2300" s="29"/>
      <c r="D2300" s="29" t="s">
        <v>3683</v>
      </c>
      <c r="E2300" s="29"/>
      <c r="F2300" s="29" t="s">
        <v>3686</v>
      </c>
      <c r="G2300" s="29"/>
      <c r="H2300" s="29" t="s">
        <v>3687</v>
      </c>
      <c r="I2300" s="29"/>
      <c r="J2300" s="29"/>
      <c r="K2300" s="29"/>
      <c r="L2300" s="29"/>
      <c r="M2300" s="29" t="s">
        <v>9454</v>
      </c>
      <c r="N2300" s="29" t="s">
        <v>3522</v>
      </c>
      <c r="O2300" s="29"/>
      <c r="P2300" s="29" t="s">
        <v>9486</v>
      </c>
      <c r="Q2300" t="s">
        <v>2038</v>
      </c>
      <c r="R2300" t="s">
        <v>2632</v>
      </c>
      <c r="S2300">
        <v>37</v>
      </c>
      <c r="T2300" s="43" t="str">
        <f t="shared" si="99"/>
        <v>2021.035B.R.Gracegardnervirinae.zip</v>
      </c>
      <c r="U2300" s="43" t="str">
        <f>HYPERLINK("https://ictv.global/taxonomy/taxondetails?taxnode_id=202212282","ictv.global=202212282")</f>
        <v>ictv.global=202212282</v>
      </c>
    </row>
    <row r="2301" spans="1:21">
      <c r="A2301">
        <v>2300</v>
      </c>
      <c r="B2301" s="29" t="s">
        <v>3682</v>
      </c>
      <c r="C2301" s="29"/>
      <c r="D2301" s="29" t="s">
        <v>3683</v>
      </c>
      <c r="E2301" s="29"/>
      <c r="F2301" s="29" t="s">
        <v>3686</v>
      </c>
      <c r="G2301" s="29"/>
      <c r="H2301" s="29" t="s">
        <v>3687</v>
      </c>
      <c r="I2301" s="29"/>
      <c r="J2301" s="29"/>
      <c r="K2301" s="29"/>
      <c r="L2301" s="29"/>
      <c r="M2301" s="29" t="s">
        <v>9454</v>
      </c>
      <c r="N2301" s="29" t="s">
        <v>3522</v>
      </c>
      <c r="O2301" s="29"/>
      <c r="P2301" s="29" t="s">
        <v>9487</v>
      </c>
      <c r="Q2301" t="s">
        <v>2038</v>
      </c>
      <c r="R2301" t="s">
        <v>2632</v>
      </c>
      <c r="S2301">
        <v>37</v>
      </c>
      <c r="T2301" s="43" t="str">
        <f t="shared" si="99"/>
        <v>2021.035B.R.Gracegardnervirinae.zip</v>
      </c>
      <c r="U2301" s="43" t="str">
        <f>HYPERLINK("https://ictv.global/taxonomy/taxondetails?taxnode_id=202212283","ictv.global=202212283")</f>
        <v>ictv.global=202212283</v>
      </c>
    </row>
    <row r="2302" spans="1:21">
      <c r="A2302">
        <v>2301</v>
      </c>
      <c r="B2302" s="29" t="s">
        <v>3682</v>
      </c>
      <c r="C2302" s="29"/>
      <c r="D2302" s="29" t="s">
        <v>3683</v>
      </c>
      <c r="E2302" s="29"/>
      <c r="F2302" s="29" t="s">
        <v>3686</v>
      </c>
      <c r="G2302" s="29"/>
      <c r="H2302" s="29" t="s">
        <v>3687</v>
      </c>
      <c r="I2302" s="29"/>
      <c r="J2302" s="29"/>
      <c r="K2302" s="29"/>
      <c r="L2302" s="29"/>
      <c r="M2302" s="29" t="s">
        <v>9454</v>
      </c>
      <c r="N2302" s="29" t="s">
        <v>3522</v>
      </c>
      <c r="O2302" s="29"/>
      <c r="P2302" s="29" t="s">
        <v>9488</v>
      </c>
      <c r="Q2302" t="s">
        <v>2038</v>
      </c>
      <c r="R2302" t="s">
        <v>2632</v>
      </c>
      <c r="S2302">
        <v>37</v>
      </c>
      <c r="T2302" s="43" t="str">
        <f t="shared" si="99"/>
        <v>2021.035B.R.Gracegardnervirinae.zip</v>
      </c>
      <c r="U2302" s="43" t="str">
        <f>HYPERLINK("https://ictv.global/taxonomy/taxondetails?taxnode_id=202212284","ictv.global=202212284")</f>
        <v>ictv.global=202212284</v>
      </c>
    </row>
    <row r="2303" spans="1:21">
      <c r="A2303">
        <v>2302</v>
      </c>
      <c r="B2303" s="29" t="s">
        <v>3682</v>
      </c>
      <c r="C2303" s="29"/>
      <c r="D2303" s="29" t="s">
        <v>3683</v>
      </c>
      <c r="E2303" s="29"/>
      <c r="F2303" s="29" t="s">
        <v>3686</v>
      </c>
      <c r="G2303" s="29"/>
      <c r="H2303" s="29" t="s">
        <v>3687</v>
      </c>
      <c r="I2303" s="29"/>
      <c r="J2303" s="29"/>
      <c r="K2303" s="29"/>
      <c r="L2303" s="29"/>
      <c r="M2303" s="29" t="s">
        <v>9454</v>
      </c>
      <c r="N2303" s="29" t="s">
        <v>3522</v>
      </c>
      <c r="O2303" s="29"/>
      <c r="P2303" s="29" t="s">
        <v>9489</v>
      </c>
      <c r="Q2303" t="s">
        <v>2038</v>
      </c>
      <c r="R2303" t="s">
        <v>2632</v>
      </c>
      <c r="S2303">
        <v>37</v>
      </c>
      <c r="T2303" s="43" t="str">
        <f t="shared" si="99"/>
        <v>2021.035B.R.Gracegardnervirinae.zip</v>
      </c>
      <c r="U2303" s="43" t="str">
        <f>HYPERLINK("https://ictv.global/taxonomy/taxondetails?taxnode_id=202212285","ictv.global=202212285")</f>
        <v>ictv.global=202212285</v>
      </c>
    </row>
    <row r="2304" spans="1:21">
      <c r="A2304">
        <v>2303</v>
      </c>
      <c r="B2304" s="29" t="s">
        <v>3682</v>
      </c>
      <c r="C2304" s="29"/>
      <c r="D2304" s="29" t="s">
        <v>3683</v>
      </c>
      <c r="E2304" s="29"/>
      <c r="F2304" s="29" t="s">
        <v>3686</v>
      </c>
      <c r="G2304" s="29"/>
      <c r="H2304" s="29" t="s">
        <v>3687</v>
      </c>
      <c r="I2304" s="29"/>
      <c r="J2304" s="29"/>
      <c r="K2304" s="29"/>
      <c r="L2304" s="29"/>
      <c r="M2304" s="29" t="s">
        <v>9454</v>
      </c>
      <c r="N2304" s="29" t="s">
        <v>3522</v>
      </c>
      <c r="O2304" s="29"/>
      <c r="P2304" s="29" t="s">
        <v>9490</v>
      </c>
      <c r="Q2304" t="s">
        <v>2038</v>
      </c>
      <c r="R2304" t="s">
        <v>2632</v>
      </c>
      <c r="S2304">
        <v>37</v>
      </c>
      <c r="T2304" s="43" t="str">
        <f t="shared" si="99"/>
        <v>2021.035B.R.Gracegardnervirinae.zip</v>
      </c>
      <c r="U2304" s="43" t="str">
        <f>HYPERLINK("https://ictv.global/taxonomy/taxondetails?taxnode_id=202212286","ictv.global=202212286")</f>
        <v>ictv.global=202212286</v>
      </c>
    </row>
    <row r="2305" spans="1:21">
      <c r="A2305">
        <v>2304</v>
      </c>
      <c r="B2305" s="29" t="s">
        <v>3682</v>
      </c>
      <c r="C2305" s="29"/>
      <c r="D2305" s="29" t="s">
        <v>3683</v>
      </c>
      <c r="E2305" s="29"/>
      <c r="F2305" s="29" t="s">
        <v>3686</v>
      </c>
      <c r="G2305" s="29"/>
      <c r="H2305" s="29" t="s">
        <v>3687</v>
      </c>
      <c r="I2305" s="29"/>
      <c r="J2305" s="29"/>
      <c r="K2305" s="29"/>
      <c r="L2305" s="29"/>
      <c r="M2305" s="29" t="s">
        <v>9454</v>
      </c>
      <c r="N2305" s="29" t="s">
        <v>3522</v>
      </c>
      <c r="O2305" s="29"/>
      <c r="P2305" s="29" t="s">
        <v>9491</v>
      </c>
      <c r="Q2305" t="s">
        <v>2038</v>
      </c>
      <c r="R2305" t="s">
        <v>2632</v>
      </c>
      <c r="S2305">
        <v>37</v>
      </c>
      <c r="T2305" s="43" t="str">
        <f t="shared" si="99"/>
        <v>2021.035B.R.Gracegardnervirinae.zip</v>
      </c>
      <c r="U2305" s="43" t="str">
        <f>HYPERLINK("https://ictv.global/taxonomy/taxondetails?taxnode_id=202212287","ictv.global=202212287")</f>
        <v>ictv.global=202212287</v>
      </c>
    </row>
    <row r="2306" spans="1:21">
      <c r="A2306">
        <v>2305</v>
      </c>
      <c r="B2306" s="29" t="s">
        <v>3682</v>
      </c>
      <c r="C2306" s="29"/>
      <c r="D2306" s="29" t="s">
        <v>3683</v>
      </c>
      <c r="E2306" s="29"/>
      <c r="F2306" s="29" t="s">
        <v>3686</v>
      </c>
      <c r="G2306" s="29"/>
      <c r="H2306" s="29" t="s">
        <v>3687</v>
      </c>
      <c r="I2306" s="29"/>
      <c r="J2306" s="29"/>
      <c r="K2306" s="29"/>
      <c r="L2306" s="29"/>
      <c r="M2306" s="29" t="s">
        <v>9454</v>
      </c>
      <c r="N2306" s="29" t="s">
        <v>3522</v>
      </c>
      <c r="O2306" s="29"/>
      <c r="P2306" s="29" t="s">
        <v>9492</v>
      </c>
      <c r="Q2306" t="s">
        <v>2038</v>
      </c>
      <c r="R2306" t="s">
        <v>2632</v>
      </c>
      <c r="S2306">
        <v>37</v>
      </c>
      <c r="T2306" s="43" t="str">
        <f t="shared" ref="T2306:T2337" si="100">HYPERLINK("https://ictv.global/ictv/proposals/2021.035B.R.Gracegardnervirinae.zip","2021.035B.R.Gracegardnervirinae.zip")</f>
        <v>2021.035B.R.Gracegardnervirinae.zip</v>
      </c>
      <c r="U2306" s="43" t="str">
        <f>HYPERLINK("https://ictv.global/taxonomy/taxondetails?taxnode_id=202212288","ictv.global=202212288")</f>
        <v>ictv.global=202212288</v>
      </c>
    </row>
    <row r="2307" spans="1:21">
      <c r="A2307">
        <v>2306</v>
      </c>
      <c r="B2307" s="29" t="s">
        <v>3682</v>
      </c>
      <c r="C2307" s="29"/>
      <c r="D2307" s="29" t="s">
        <v>3683</v>
      </c>
      <c r="E2307" s="29"/>
      <c r="F2307" s="29" t="s">
        <v>3686</v>
      </c>
      <c r="G2307" s="29"/>
      <c r="H2307" s="29" t="s">
        <v>3687</v>
      </c>
      <c r="I2307" s="29"/>
      <c r="J2307" s="29"/>
      <c r="K2307" s="29"/>
      <c r="L2307" s="29"/>
      <c r="M2307" s="29" t="s">
        <v>9454</v>
      </c>
      <c r="N2307" s="29" t="s">
        <v>3522</v>
      </c>
      <c r="O2307" s="29"/>
      <c r="P2307" s="29" t="s">
        <v>9493</v>
      </c>
      <c r="Q2307" t="s">
        <v>2038</v>
      </c>
      <c r="R2307" t="s">
        <v>2632</v>
      </c>
      <c r="S2307">
        <v>37</v>
      </c>
      <c r="T2307" s="43" t="str">
        <f t="shared" si="100"/>
        <v>2021.035B.R.Gracegardnervirinae.zip</v>
      </c>
      <c r="U2307" s="43" t="str">
        <f>HYPERLINK("https://ictv.global/taxonomy/taxondetails?taxnode_id=202212289","ictv.global=202212289")</f>
        <v>ictv.global=202212289</v>
      </c>
    </row>
    <row r="2308" spans="1:21">
      <c r="A2308">
        <v>2307</v>
      </c>
      <c r="B2308" s="29" t="s">
        <v>3682</v>
      </c>
      <c r="C2308" s="29"/>
      <c r="D2308" s="29" t="s">
        <v>3683</v>
      </c>
      <c r="E2308" s="29"/>
      <c r="F2308" s="29" t="s">
        <v>3686</v>
      </c>
      <c r="G2308" s="29"/>
      <c r="H2308" s="29" t="s">
        <v>3687</v>
      </c>
      <c r="I2308" s="29"/>
      <c r="J2308" s="29"/>
      <c r="K2308" s="29"/>
      <c r="L2308" s="29"/>
      <c r="M2308" s="29" t="s">
        <v>9454</v>
      </c>
      <c r="N2308" s="29" t="s">
        <v>3522</v>
      </c>
      <c r="O2308" s="29"/>
      <c r="P2308" s="29" t="s">
        <v>9494</v>
      </c>
      <c r="Q2308" t="s">
        <v>2038</v>
      </c>
      <c r="R2308" t="s">
        <v>2632</v>
      </c>
      <c r="S2308">
        <v>37</v>
      </c>
      <c r="T2308" s="43" t="str">
        <f t="shared" si="100"/>
        <v>2021.035B.R.Gracegardnervirinae.zip</v>
      </c>
      <c r="U2308" s="43" t="str">
        <f>HYPERLINK("https://ictv.global/taxonomy/taxondetails?taxnode_id=202212290","ictv.global=202212290")</f>
        <v>ictv.global=202212290</v>
      </c>
    </row>
    <row r="2309" spans="1:21">
      <c r="A2309">
        <v>2308</v>
      </c>
      <c r="B2309" s="29" t="s">
        <v>3682</v>
      </c>
      <c r="C2309" s="29"/>
      <c r="D2309" s="29" t="s">
        <v>3683</v>
      </c>
      <c r="E2309" s="29"/>
      <c r="F2309" s="29" t="s">
        <v>3686</v>
      </c>
      <c r="G2309" s="29"/>
      <c r="H2309" s="29" t="s">
        <v>3687</v>
      </c>
      <c r="I2309" s="29"/>
      <c r="J2309" s="29"/>
      <c r="K2309" s="29"/>
      <c r="L2309" s="29"/>
      <c r="M2309" s="29" t="s">
        <v>9454</v>
      </c>
      <c r="N2309" s="29" t="s">
        <v>3522</v>
      </c>
      <c r="O2309" s="29"/>
      <c r="P2309" s="29" t="s">
        <v>9495</v>
      </c>
      <c r="Q2309" t="s">
        <v>2038</v>
      </c>
      <c r="R2309" t="s">
        <v>2632</v>
      </c>
      <c r="S2309">
        <v>37</v>
      </c>
      <c r="T2309" s="43" t="str">
        <f t="shared" si="100"/>
        <v>2021.035B.R.Gracegardnervirinae.zip</v>
      </c>
      <c r="U2309" s="43" t="str">
        <f>HYPERLINK("https://ictv.global/taxonomy/taxondetails?taxnode_id=202212291","ictv.global=202212291")</f>
        <v>ictv.global=202212291</v>
      </c>
    </row>
    <row r="2310" spans="1:21">
      <c r="A2310">
        <v>2309</v>
      </c>
      <c r="B2310" s="29" t="s">
        <v>3682</v>
      </c>
      <c r="C2310" s="29"/>
      <c r="D2310" s="29" t="s">
        <v>3683</v>
      </c>
      <c r="E2310" s="29"/>
      <c r="F2310" s="29" t="s">
        <v>3686</v>
      </c>
      <c r="G2310" s="29"/>
      <c r="H2310" s="29" t="s">
        <v>3687</v>
      </c>
      <c r="I2310" s="29"/>
      <c r="J2310" s="29"/>
      <c r="K2310" s="29"/>
      <c r="L2310" s="29"/>
      <c r="M2310" s="29" t="s">
        <v>9454</v>
      </c>
      <c r="N2310" s="29" t="s">
        <v>3522</v>
      </c>
      <c r="O2310" s="29"/>
      <c r="P2310" s="29" t="s">
        <v>9496</v>
      </c>
      <c r="Q2310" t="s">
        <v>2038</v>
      </c>
      <c r="R2310" t="s">
        <v>2632</v>
      </c>
      <c r="S2310">
        <v>37</v>
      </c>
      <c r="T2310" s="43" t="str">
        <f t="shared" si="100"/>
        <v>2021.035B.R.Gracegardnervirinae.zip</v>
      </c>
      <c r="U2310" s="43" t="str">
        <f>HYPERLINK("https://ictv.global/taxonomy/taxondetails?taxnode_id=202212292","ictv.global=202212292")</f>
        <v>ictv.global=202212292</v>
      </c>
    </row>
    <row r="2311" spans="1:21">
      <c r="A2311">
        <v>2310</v>
      </c>
      <c r="B2311" s="29" t="s">
        <v>3682</v>
      </c>
      <c r="C2311" s="29"/>
      <c r="D2311" s="29" t="s">
        <v>3683</v>
      </c>
      <c r="E2311" s="29"/>
      <c r="F2311" s="29" t="s">
        <v>3686</v>
      </c>
      <c r="G2311" s="29"/>
      <c r="H2311" s="29" t="s">
        <v>3687</v>
      </c>
      <c r="I2311" s="29"/>
      <c r="J2311" s="29"/>
      <c r="K2311" s="29"/>
      <c r="L2311" s="29"/>
      <c r="M2311" s="29" t="s">
        <v>9454</v>
      </c>
      <c r="N2311" s="29" t="s">
        <v>3522</v>
      </c>
      <c r="O2311" s="29"/>
      <c r="P2311" s="29" t="s">
        <v>9497</v>
      </c>
      <c r="Q2311" t="s">
        <v>2038</v>
      </c>
      <c r="R2311" t="s">
        <v>2632</v>
      </c>
      <c r="S2311">
        <v>37</v>
      </c>
      <c r="T2311" s="43" t="str">
        <f t="shared" si="100"/>
        <v>2021.035B.R.Gracegardnervirinae.zip</v>
      </c>
      <c r="U2311" s="43" t="str">
        <f>HYPERLINK("https://ictv.global/taxonomy/taxondetails?taxnode_id=202212293","ictv.global=202212293")</f>
        <v>ictv.global=202212293</v>
      </c>
    </row>
    <row r="2312" spans="1:21">
      <c r="A2312">
        <v>2311</v>
      </c>
      <c r="B2312" s="29" t="s">
        <v>3682</v>
      </c>
      <c r="C2312" s="29"/>
      <c r="D2312" s="29" t="s">
        <v>3683</v>
      </c>
      <c r="E2312" s="29"/>
      <c r="F2312" s="29" t="s">
        <v>3686</v>
      </c>
      <c r="G2312" s="29"/>
      <c r="H2312" s="29" t="s">
        <v>3687</v>
      </c>
      <c r="I2312" s="29"/>
      <c r="J2312" s="29"/>
      <c r="K2312" s="29"/>
      <c r="L2312" s="29"/>
      <c r="M2312" s="29" t="s">
        <v>9454</v>
      </c>
      <c r="N2312" s="29" t="s">
        <v>3522</v>
      </c>
      <c r="O2312" s="29"/>
      <c r="P2312" s="29" t="s">
        <v>9498</v>
      </c>
      <c r="Q2312" t="s">
        <v>2038</v>
      </c>
      <c r="R2312" t="s">
        <v>2632</v>
      </c>
      <c r="S2312">
        <v>37</v>
      </c>
      <c r="T2312" s="43" t="str">
        <f t="shared" si="100"/>
        <v>2021.035B.R.Gracegardnervirinae.zip</v>
      </c>
      <c r="U2312" s="43" t="str">
        <f>HYPERLINK("https://ictv.global/taxonomy/taxondetails?taxnode_id=202212294","ictv.global=202212294")</f>
        <v>ictv.global=202212294</v>
      </c>
    </row>
    <row r="2313" spans="1:21">
      <c r="A2313">
        <v>2312</v>
      </c>
      <c r="B2313" s="29" t="s">
        <v>3682</v>
      </c>
      <c r="C2313" s="29"/>
      <c r="D2313" s="29" t="s">
        <v>3683</v>
      </c>
      <c r="E2313" s="29"/>
      <c r="F2313" s="29" t="s">
        <v>3686</v>
      </c>
      <c r="G2313" s="29"/>
      <c r="H2313" s="29" t="s">
        <v>3687</v>
      </c>
      <c r="I2313" s="29"/>
      <c r="J2313" s="29"/>
      <c r="K2313" s="29"/>
      <c r="L2313" s="29"/>
      <c r="M2313" s="29" t="s">
        <v>9454</v>
      </c>
      <c r="N2313" s="29" t="s">
        <v>3522</v>
      </c>
      <c r="O2313" s="29"/>
      <c r="P2313" s="29" t="s">
        <v>9499</v>
      </c>
      <c r="Q2313" t="s">
        <v>2038</v>
      </c>
      <c r="R2313" t="s">
        <v>2632</v>
      </c>
      <c r="S2313">
        <v>37</v>
      </c>
      <c r="T2313" s="43" t="str">
        <f t="shared" si="100"/>
        <v>2021.035B.R.Gracegardnervirinae.zip</v>
      </c>
      <c r="U2313" s="43" t="str">
        <f>HYPERLINK("https://ictv.global/taxonomy/taxondetails?taxnode_id=202212295","ictv.global=202212295")</f>
        <v>ictv.global=202212295</v>
      </c>
    </row>
    <row r="2314" spans="1:21">
      <c r="A2314">
        <v>2313</v>
      </c>
      <c r="B2314" s="29" t="s">
        <v>3682</v>
      </c>
      <c r="C2314" s="29"/>
      <c r="D2314" s="29" t="s">
        <v>3683</v>
      </c>
      <c r="E2314" s="29"/>
      <c r="F2314" s="29" t="s">
        <v>3686</v>
      </c>
      <c r="G2314" s="29"/>
      <c r="H2314" s="29" t="s">
        <v>3687</v>
      </c>
      <c r="I2314" s="29"/>
      <c r="J2314" s="29"/>
      <c r="K2314" s="29"/>
      <c r="L2314" s="29"/>
      <c r="M2314" s="29" t="s">
        <v>9454</v>
      </c>
      <c r="N2314" s="29" t="s">
        <v>3522</v>
      </c>
      <c r="O2314" s="29"/>
      <c r="P2314" s="29" t="s">
        <v>9500</v>
      </c>
      <c r="Q2314" t="s">
        <v>2038</v>
      </c>
      <c r="R2314" t="s">
        <v>2632</v>
      </c>
      <c r="S2314">
        <v>37</v>
      </c>
      <c r="T2314" s="43" t="str">
        <f t="shared" si="100"/>
        <v>2021.035B.R.Gracegardnervirinae.zip</v>
      </c>
      <c r="U2314" s="43" t="str">
        <f>HYPERLINK("https://ictv.global/taxonomy/taxondetails?taxnode_id=202212296","ictv.global=202212296")</f>
        <v>ictv.global=202212296</v>
      </c>
    </row>
    <row r="2315" spans="1:21">
      <c r="A2315">
        <v>2314</v>
      </c>
      <c r="B2315" s="29" t="s">
        <v>3682</v>
      </c>
      <c r="C2315" s="29"/>
      <c r="D2315" s="29" t="s">
        <v>3683</v>
      </c>
      <c r="E2315" s="29"/>
      <c r="F2315" s="29" t="s">
        <v>3686</v>
      </c>
      <c r="G2315" s="29"/>
      <c r="H2315" s="29" t="s">
        <v>3687</v>
      </c>
      <c r="I2315" s="29"/>
      <c r="J2315" s="29"/>
      <c r="K2315" s="29"/>
      <c r="L2315" s="29"/>
      <c r="M2315" s="29" t="s">
        <v>9454</v>
      </c>
      <c r="N2315" s="29" t="s">
        <v>3522</v>
      </c>
      <c r="O2315" s="29"/>
      <c r="P2315" s="29" t="s">
        <v>9501</v>
      </c>
      <c r="Q2315" t="s">
        <v>2038</v>
      </c>
      <c r="R2315" t="s">
        <v>2632</v>
      </c>
      <c r="S2315">
        <v>37</v>
      </c>
      <c r="T2315" s="43" t="str">
        <f t="shared" si="100"/>
        <v>2021.035B.R.Gracegardnervirinae.zip</v>
      </c>
      <c r="U2315" s="43" t="str">
        <f>HYPERLINK("https://ictv.global/taxonomy/taxondetails?taxnode_id=202212297","ictv.global=202212297")</f>
        <v>ictv.global=202212297</v>
      </c>
    </row>
    <row r="2316" spans="1:21">
      <c r="A2316">
        <v>2315</v>
      </c>
      <c r="B2316" s="29" t="s">
        <v>3682</v>
      </c>
      <c r="C2316" s="29"/>
      <c r="D2316" s="29" t="s">
        <v>3683</v>
      </c>
      <c r="E2316" s="29"/>
      <c r="F2316" s="29" t="s">
        <v>3686</v>
      </c>
      <c r="G2316" s="29"/>
      <c r="H2316" s="29" t="s">
        <v>3687</v>
      </c>
      <c r="I2316" s="29"/>
      <c r="J2316" s="29"/>
      <c r="K2316" s="29"/>
      <c r="L2316" s="29"/>
      <c r="M2316" s="29" t="s">
        <v>9454</v>
      </c>
      <c r="N2316" s="29" t="s">
        <v>3522</v>
      </c>
      <c r="O2316" s="29"/>
      <c r="P2316" s="29" t="s">
        <v>9502</v>
      </c>
      <c r="Q2316" t="s">
        <v>2038</v>
      </c>
      <c r="R2316" t="s">
        <v>2632</v>
      </c>
      <c r="S2316">
        <v>37</v>
      </c>
      <c r="T2316" s="43" t="str">
        <f t="shared" si="100"/>
        <v>2021.035B.R.Gracegardnervirinae.zip</v>
      </c>
      <c r="U2316" s="43" t="str">
        <f>HYPERLINK("https://ictv.global/taxonomy/taxondetails?taxnode_id=202212298","ictv.global=202212298")</f>
        <v>ictv.global=202212298</v>
      </c>
    </row>
    <row r="2317" spans="1:21">
      <c r="A2317">
        <v>2316</v>
      </c>
      <c r="B2317" s="29" t="s">
        <v>3682</v>
      </c>
      <c r="C2317" s="29"/>
      <c r="D2317" s="29" t="s">
        <v>3683</v>
      </c>
      <c r="E2317" s="29"/>
      <c r="F2317" s="29" t="s">
        <v>3686</v>
      </c>
      <c r="G2317" s="29"/>
      <c r="H2317" s="29" t="s">
        <v>3687</v>
      </c>
      <c r="I2317" s="29"/>
      <c r="J2317" s="29"/>
      <c r="K2317" s="29"/>
      <c r="L2317" s="29"/>
      <c r="M2317" s="29" t="s">
        <v>9454</v>
      </c>
      <c r="N2317" s="29" t="s">
        <v>3522</v>
      </c>
      <c r="O2317" s="29"/>
      <c r="P2317" s="29" t="s">
        <v>9503</v>
      </c>
      <c r="Q2317" t="s">
        <v>2038</v>
      </c>
      <c r="R2317" t="s">
        <v>2632</v>
      </c>
      <c r="S2317">
        <v>37</v>
      </c>
      <c r="T2317" s="43" t="str">
        <f t="shared" si="100"/>
        <v>2021.035B.R.Gracegardnervirinae.zip</v>
      </c>
      <c r="U2317" s="43" t="str">
        <f>HYPERLINK("https://ictv.global/taxonomy/taxondetails?taxnode_id=202212299","ictv.global=202212299")</f>
        <v>ictv.global=202212299</v>
      </c>
    </row>
    <row r="2318" spans="1:21">
      <c r="A2318">
        <v>2317</v>
      </c>
      <c r="B2318" s="29" t="s">
        <v>3682</v>
      </c>
      <c r="C2318" s="29"/>
      <c r="D2318" s="29" t="s">
        <v>3683</v>
      </c>
      <c r="E2318" s="29"/>
      <c r="F2318" s="29" t="s">
        <v>3686</v>
      </c>
      <c r="G2318" s="29"/>
      <c r="H2318" s="29" t="s">
        <v>3687</v>
      </c>
      <c r="I2318" s="29"/>
      <c r="J2318" s="29"/>
      <c r="K2318" s="29"/>
      <c r="L2318" s="29"/>
      <c r="M2318" s="29" t="s">
        <v>9454</v>
      </c>
      <c r="N2318" s="29" t="s">
        <v>3522</v>
      </c>
      <c r="O2318" s="29"/>
      <c r="P2318" s="29" t="s">
        <v>9504</v>
      </c>
      <c r="Q2318" t="s">
        <v>2038</v>
      </c>
      <c r="R2318" t="s">
        <v>2632</v>
      </c>
      <c r="S2318">
        <v>37</v>
      </c>
      <c r="T2318" s="43" t="str">
        <f t="shared" si="100"/>
        <v>2021.035B.R.Gracegardnervirinae.zip</v>
      </c>
      <c r="U2318" s="43" t="str">
        <f>HYPERLINK("https://ictv.global/taxonomy/taxondetails?taxnode_id=202212300","ictv.global=202212300")</f>
        <v>ictv.global=202212300</v>
      </c>
    </row>
    <row r="2319" spans="1:21">
      <c r="A2319">
        <v>2318</v>
      </c>
      <c r="B2319" s="29" t="s">
        <v>3682</v>
      </c>
      <c r="C2319" s="29"/>
      <c r="D2319" s="29" t="s">
        <v>3683</v>
      </c>
      <c r="E2319" s="29"/>
      <c r="F2319" s="29" t="s">
        <v>3686</v>
      </c>
      <c r="G2319" s="29"/>
      <c r="H2319" s="29" t="s">
        <v>3687</v>
      </c>
      <c r="I2319" s="29"/>
      <c r="J2319" s="29"/>
      <c r="K2319" s="29"/>
      <c r="L2319" s="29"/>
      <c r="M2319" s="29" t="s">
        <v>9454</v>
      </c>
      <c r="N2319" s="29" t="s">
        <v>3522</v>
      </c>
      <c r="O2319" s="29"/>
      <c r="P2319" s="29" t="s">
        <v>9505</v>
      </c>
      <c r="Q2319" t="s">
        <v>2038</v>
      </c>
      <c r="R2319" t="s">
        <v>2632</v>
      </c>
      <c r="S2319">
        <v>37</v>
      </c>
      <c r="T2319" s="43" t="str">
        <f t="shared" si="100"/>
        <v>2021.035B.R.Gracegardnervirinae.zip</v>
      </c>
      <c r="U2319" s="43" t="str">
        <f>HYPERLINK("https://ictv.global/taxonomy/taxondetails?taxnode_id=202212301","ictv.global=202212301")</f>
        <v>ictv.global=202212301</v>
      </c>
    </row>
    <row r="2320" spans="1:21">
      <c r="A2320">
        <v>2319</v>
      </c>
      <c r="B2320" s="29" t="s">
        <v>3682</v>
      </c>
      <c r="C2320" s="29"/>
      <c r="D2320" s="29" t="s">
        <v>3683</v>
      </c>
      <c r="E2320" s="29"/>
      <c r="F2320" s="29" t="s">
        <v>3686</v>
      </c>
      <c r="G2320" s="29"/>
      <c r="H2320" s="29" t="s">
        <v>3687</v>
      </c>
      <c r="I2320" s="29"/>
      <c r="J2320" s="29"/>
      <c r="K2320" s="29"/>
      <c r="L2320" s="29"/>
      <c r="M2320" s="29" t="s">
        <v>9454</v>
      </c>
      <c r="N2320" s="29" t="s">
        <v>3522</v>
      </c>
      <c r="O2320" s="29"/>
      <c r="P2320" s="29" t="s">
        <v>9506</v>
      </c>
      <c r="Q2320" t="s">
        <v>2038</v>
      </c>
      <c r="R2320" t="s">
        <v>2632</v>
      </c>
      <c r="S2320">
        <v>37</v>
      </c>
      <c r="T2320" s="43" t="str">
        <f t="shared" si="100"/>
        <v>2021.035B.R.Gracegardnervirinae.zip</v>
      </c>
      <c r="U2320" s="43" t="str">
        <f>HYPERLINK("https://ictv.global/taxonomy/taxondetails?taxnode_id=202212302","ictv.global=202212302")</f>
        <v>ictv.global=202212302</v>
      </c>
    </row>
    <row r="2321" spans="1:21">
      <c r="A2321">
        <v>2320</v>
      </c>
      <c r="B2321" s="29" t="s">
        <v>3682</v>
      </c>
      <c r="C2321" s="29"/>
      <c r="D2321" s="29" t="s">
        <v>3683</v>
      </c>
      <c r="E2321" s="29"/>
      <c r="F2321" s="29" t="s">
        <v>3686</v>
      </c>
      <c r="G2321" s="29"/>
      <c r="H2321" s="29" t="s">
        <v>3687</v>
      </c>
      <c r="I2321" s="29"/>
      <c r="J2321" s="29"/>
      <c r="K2321" s="29"/>
      <c r="L2321" s="29"/>
      <c r="M2321" s="29" t="s">
        <v>9454</v>
      </c>
      <c r="N2321" s="29" t="s">
        <v>3522</v>
      </c>
      <c r="O2321" s="29"/>
      <c r="P2321" s="29" t="s">
        <v>9507</v>
      </c>
      <c r="Q2321" t="s">
        <v>2038</v>
      </c>
      <c r="R2321" t="s">
        <v>2632</v>
      </c>
      <c r="S2321">
        <v>37</v>
      </c>
      <c r="T2321" s="43" t="str">
        <f t="shared" si="100"/>
        <v>2021.035B.R.Gracegardnervirinae.zip</v>
      </c>
      <c r="U2321" s="43" t="str">
        <f>HYPERLINK("https://ictv.global/taxonomy/taxondetails?taxnode_id=202212303","ictv.global=202212303")</f>
        <v>ictv.global=202212303</v>
      </c>
    </row>
    <row r="2322" spans="1:21">
      <c r="A2322">
        <v>2321</v>
      </c>
      <c r="B2322" s="29" t="s">
        <v>3682</v>
      </c>
      <c r="C2322" s="29"/>
      <c r="D2322" s="29" t="s">
        <v>3683</v>
      </c>
      <c r="E2322" s="29"/>
      <c r="F2322" s="29" t="s">
        <v>3686</v>
      </c>
      <c r="G2322" s="29"/>
      <c r="H2322" s="29" t="s">
        <v>3687</v>
      </c>
      <c r="I2322" s="29"/>
      <c r="J2322" s="29"/>
      <c r="K2322" s="29"/>
      <c r="L2322" s="29"/>
      <c r="M2322" s="29" t="s">
        <v>9454</v>
      </c>
      <c r="N2322" s="29" t="s">
        <v>3522</v>
      </c>
      <c r="O2322" s="29"/>
      <c r="P2322" s="29" t="s">
        <v>9508</v>
      </c>
      <c r="Q2322" t="s">
        <v>2038</v>
      </c>
      <c r="R2322" t="s">
        <v>2632</v>
      </c>
      <c r="S2322">
        <v>37</v>
      </c>
      <c r="T2322" s="43" t="str">
        <f t="shared" si="100"/>
        <v>2021.035B.R.Gracegardnervirinae.zip</v>
      </c>
      <c r="U2322" s="43" t="str">
        <f>HYPERLINK("https://ictv.global/taxonomy/taxondetails?taxnode_id=202212304","ictv.global=202212304")</f>
        <v>ictv.global=202212304</v>
      </c>
    </row>
    <row r="2323" spans="1:21">
      <c r="A2323">
        <v>2322</v>
      </c>
      <c r="B2323" s="29" t="s">
        <v>3682</v>
      </c>
      <c r="C2323" s="29"/>
      <c r="D2323" s="29" t="s">
        <v>3683</v>
      </c>
      <c r="E2323" s="29"/>
      <c r="F2323" s="29" t="s">
        <v>3686</v>
      </c>
      <c r="G2323" s="29"/>
      <c r="H2323" s="29" t="s">
        <v>3687</v>
      </c>
      <c r="I2323" s="29"/>
      <c r="J2323" s="29"/>
      <c r="K2323" s="29"/>
      <c r="L2323" s="29"/>
      <c r="M2323" s="29" t="s">
        <v>9454</v>
      </c>
      <c r="N2323" s="29" t="s">
        <v>3522</v>
      </c>
      <c r="O2323" s="29"/>
      <c r="P2323" s="29" t="s">
        <v>9509</v>
      </c>
      <c r="Q2323" t="s">
        <v>2038</v>
      </c>
      <c r="R2323" t="s">
        <v>2632</v>
      </c>
      <c r="S2323">
        <v>37</v>
      </c>
      <c r="T2323" s="43" t="str">
        <f t="shared" si="100"/>
        <v>2021.035B.R.Gracegardnervirinae.zip</v>
      </c>
      <c r="U2323" s="43" t="str">
        <f>HYPERLINK("https://ictv.global/taxonomy/taxondetails?taxnode_id=202212305","ictv.global=202212305")</f>
        <v>ictv.global=202212305</v>
      </c>
    </row>
    <row r="2324" spans="1:21">
      <c r="A2324">
        <v>2323</v>
      </c>
      <c r="B2324" s="29" t="s">
        <v>3682</v>
      </c>
      <c r="C2324" s="29"/>
      <c r="D2324" s="29" t="s">
        <v>3683</v>
      </c>
      <c r="E2324" s="29"/>
      <c r="F2324" s="29" t="s">
        <v>3686</v>
      </c>
      <c r="G2324" s="29"/>
      <c r="H2324" s="29" t="s">
        <v>3687</v>
      </c>
      <c r="I2324" s="29"/>
      <c r="J2324" s="29"/>
      <c r="K2324" s="29"/>
      <c r="L2324" s="29"/>
      <c r="M2324" s="29" t="s">
        <v>9454</v>
      </c>
      <c r="N2324" s="29" t="s">
        <v>3522</v>
      </c>
      <c r="O2324" s="29"/>
      <c r="P2324" s="29" t="s">
        <v>9510</v>
      </c>
      <c r="Q2324" t="s">
        <v>2038</v>
      </c>
      <c r="R2324" t="s">
        <v>2632</v>
      </c>
      <c r="S2324">
        <v>37</v>
      </c>
      <c r="T2324" s="43" t="str">
        <f t="shared" si="100"/>
        <v>2021.035B.R.Gracegardnervirinae.zip</v>
      </c>
      <c r="U2324" s="43" t="str">
        <f>HYPERLINK("https://ictv.global/taxonomy/taxondetails?taxnode_id=202212306","ictv.global=202212306")</f>
        <v>ictv.global=202212306</v>
      </c>
    </row>
    <row r="2325" spans="1:21">
      <c r="A2325">
        <v>2324</v>
      </c>
      <c r="B2325" s="29" t="s">
        <v>3682</v>
      </c>
      <c r="C2325" s="29"/>
      <c r="D2325" s="29" t="s">
        <v>3683</v>
      </c>
      <c r="E2325" s="29"/>
      <c r="F2325" s="29" t="s">
        <v>3686</v>
      </c>
      <c r="G2325" s="29"/>
      <c r="H2325" s="29" t="s">
        <v>3687</v>
      </c>
      <c r="I2325" s="29"/>
      <c r="J2325" s="29"/>
      <c r="K2325" s="29"/>
      <c r="L2325" s="29"/>
      <c r="M2325" s="29" t="s">
        <v>9454</v>
      </c>
      <c r="N2325" s="29" t="s">
        <v>3522</v>
      </c>
      <c r="O2325" s="29"/>
      <c r="P2325" s="29" t="s">
        <v>9511</v>
      </c>
      <c r="Q2325" t="s">
        <v>2038</v>
      </c>
      <c r="R2325" t="s">
        <v>2632</v>
      </c>
      <c r="S2325">
        <v>37</v>
      </c>
      <c r="T2325" s="43" t="str">
        <f t="shared" si="100"/>
        <v>2021.035B.R.Gracegardnervirinae.zip</v>
      </c>
      <c r="U2325" s="43" t="str">
        <f>HYPERLINK("https://ictv.global/taxonomy/taxondetails?taxnode_id=202212307","ictv.global=202212307")</f>
        <v>ictv.global=202212307</v>
      </c>
    </row>
    <row r="2326" spans="1:21">
      <c r="A2326">
        <v>2325</v>
      </c>
      <c r="B2326" s="29" t="s">
        <v>3682</v>
      </c>
      <c r="C2326" s="29"/>
      <c r="D2326" s="29" t="s">
        <v>3683</v>
      </c>
      <c r="E2326" s="29"/>
      <c r="F2326" s="29" t="s">
        <v>3686</v>
      </c>
      <c r="G2326" s="29"/>
      <c r="H2326" s="29" t="s">
        <v>3687</v>
      </c>
      <c r="I2326" s="29"/>
      <c r="J2326" s="29"/>
      <c r="K2326" s="29"/>
      <c r="L2326" s="29"/>
      <c r="M2326" s="29" t="s">
        <v>9454</v>
      </c>
      <c r="N2326" s="29" t="s">
        <v>3522</v>
      </c>
      <c r="O2326" s="29"/>
      <c r="P2326" s="29" t="s">
        <v>9512</v>
      </c>
      <c r="Q2326" t="s">
        <v>2038</v>
      </c>
      <c r="R2326" t="s">
        <v>2632</v>
      </c>
      <c r="S2326">
        <v>37</v>
      </c>
      <c r="T2326" s="43" t="str">
        <f t="shared" si="100"/>
        <v>2021.035B.R.Gracegardnervirinae.zip</v>
      </c>
      <c r="U2326" s="43" t="str">
        <f>HYPERLINK("https://ictv.global/taxonomy/taxondetails?taxnode_id=202212308","ictv.global=202212308")</f>
        <v>ictv.global=202212308</v>
      </c>
    </row>
    <row r="2327" spans="1:21">
      <c r="A2327">
        <v>2326</v>
      </c>
      <c r="B2327" s="29" t="s">
        <v>3682</v>
      </c>
      <c r="C2327" s="29"/>
      <c r="D2327" s="29" t="s">
        <v>3683</v>
      </c>
      <c r="E2327" s="29"/>
      <c r="F2327" s="29" t="s">
        <v>3686</v>
      </c>
      <c r="G2327" s="29"/>
      <c r="H2327" s="29" t="s">
        <v>3687</v>
      </c>
      <c r="I2327" s="29"/>
      <c r="J2327" s="29"/>
      <c r="K2327" s="29"/>
      <c r="L2327" s="29"/>
      <c r="M2327" s="29" t="s">
        <v>9454</v>
      </c>
      <c r="N2327" s="29" t="s">
        <v>3522</v>
      </c>
      <c r="O2327" s="29"/>
      <c r="P2327" s="29" t="s">
        <v>9513</v>
      </c>
      <c r="Q2327" t="s">
        <v>2038</v>
      </c>
      <c r="R2327" t="s">
        <v>2632</v>
      </c>
      <c r="S2327">
        <v>37</v>
      </c>
      <c r="T2327" s="43" t="str">
        <f t="shared" si="100"/>
        <v>2021.035B.R.Gracegardnervirinae.zip</v>
      </c>
      <c r="U2327" s="43" t="str">
        <f>HYPERLINK("https://ictv.global/taxonomy/taxondetails?taxnode_id=202212309","ictv.global=202212309")</f>
        <v>ictv.global=202212309</v>
      </c>
    </row>
    <row r="2328" spans="1:21">
      <c r="A2328">
        <v>2327</v>
      </c>
      <c r="B2328" s="29" t="s">
        <v>3682</v>
      </c>
      <c r="C2328" s="29"/>
      <c r="D2328" s="29" t="s">
        <v>3683</v>
      </c>
      <c r="E2328" s="29"/>
      <c r="F2328" s="29" t="s">
        <v>3686</v>
      </c>
      <c r="G2328" s="29"/>
      <c r="H2328" s="29" t="s">
        <v>3687</v>
      </c>
      <c r="I2328" s="29"/>
      <c r="J2328" s="29"/>
      <c r="K2328" s="29"/>
      <c r="L2328" s="29"/>
      <c r="M2328" s="29" t="s">
        <v>9454</v>
      </c>
      <c r="N2328" s="29" t="s">
        <v>3522</v>
      </c>
      <c r="O2328" s="29"/>
      <c r="P2328" s="29" t="s">
        <v>9514</v>
      </c>
      <c r="Q2328" t="s">
        <v>2038</v>
      </c>
      <c r="R2328" t="s">
        <v>2632</v>
      </c>
      <c r="S2328">
        <v>37</v>
      </c>
      <c r="T2328" s="43" t="str">
        <f t="shared" si="100"/>
        <v>2021.035B.R.Gracegardnervirinae.zip</v>
      </c>
      <c r="U2328" s="43" t="str">
        <f>HYPERLINK("https://ictv.global/taxonomy/taxondetails?taxnode_id=202212310","ictv.global=202212310")</f>
        <v>ictv.global=202212310</v>
      </c>
    </row>
    <row r="2329" spans="1:21">
      <c r="A2329">
        <v>2328</v>
      </c>
      <c r="B2329" s="29" t="s">
        <v>3682</v>
      </c>
      <c r="C2329" s="29"/>
      <c r="D2329" s="29" t="s">
        <v>3683</v>
      </c>
      <c r="E2329" s="29"/>
      <c r="F2329" s="29" t="s">
        <v>3686</v>
      </c>
      <c r="G2329" s="29"/>
      <c r="H2329" s="29" t="s">
        <v>3687</v>
      </c>
      <c r="I2329" s="29"/>
      <c r="J2329" s="29"/>
      <c r="K2329" s="29"/>
      <c r="L2329" s="29"/>
      <c r="M2329" s="29" t="s">
        <v>9454</v>
      </c>
      <c r="N2329" s="29" t="s">
        <v>3522</v>
      </c>
      <c r="O2329" s="29"/>
      <c r="P2329" s="29" t="s">
        <v>9515</v>
      </c>
      <c r="Q2329" t="s">
        <v>2038</v>
      </c>
      <c r="R2329" t="s">
        <v>2632</v>
      </c>
      <c r="S2329">
        <v>37</v>
      </c>
      <c r="T2329" s="43" t="str">
        <f t="shared" si="100"/>
        <v>2021.035B.R.Gracegardnervirinae.zip</v>
      </c>
      <c r="U2329" s="43" t="str">
        <f>HYPERLINK("https://ictv.global/taxonomy/taxondetails?taxnode_id=202212311","ictv.global=202212311")</f>
        <v>ictv.global=202212311</v>
      </c>
    </row>
    <row r="2330" spans="1:21">
      <c r="A2330">
        <v>2329</v>
      </c>
      <c r="B2330" s="29" t="s">
        <v>3682</v>
      </c>
      <c r="C2330" s="29"/>
      <c r="D2330" s="29" t="s">
        <v>3683</v>
      </c>
      <c r="E2330" s="29"/>
      <c r="F2330" s="29" t="s">
        <v>3686</v>
      </c>
      <c r="G2330" s="29"/>
      <c r="H2330" s="29" t="s">
        <v>3687</v>
      </c>
      <c r="I2330" s="29"/>
      <c r="J2330" s="29"/>
      <c r="K2330" s="29"/>
      <c r="L2330" s="29"/>
      <c r="M2330" s="29" t="s">
        <v>9454</v>
      </c>
      <c r="N2330" s="29" t="s">
        <v>3522</v>
      </c>
      <c r="O2330" s="29"/>
      <c r="P2330" s="29" t="s">
        <v>9516</v>
      </c>
      <c r="Q2330" t="s">
        <v>2038</v>
      </c>
      <c r="R2330" t="s">
        <v>2632</v>
      </c>
      <c r="S2330">
        <v>37</v>
      </c>
      <c r="T2330" s="43" t="str">
        <f t="shared" si="100"/>
        <v>2021.035B.R.Gracegardnervirinae.zip</v>
      </c>
      <c r="U2330" s="43" t="str">
        <f>HYPERLINK("https://ictv.global/taxonomy/taxondetails?taxnode_id=202212312","ictv.global=202212312")</f>
        <v>ictv.global=202212312</v>
      </c>
    </row>
    <row r="2331" spans="1:21">
      <c r="A2331">
        <v>2330</v>
      </c>
      <c r="B2331" s="29" t="s">
        <v>3682</v>
      </c>
      <c r="C2331" s="29"/>
      <c r="D2331" s="29" t="s">
        <v>3683</v>
      </c>
      <c r="E2331" s="29"/>
      <c r="F2331" s="29" t="s">
        <v>3686</v>
      </c>
      <c r="G2331" s="29"/>
      <c r="H2331" s="29" t="s">
        <v>3687</v>
      </c>
      <c r="I2331" s="29"/>
      <c r="J2331" s="29"/>
      <c r="K2331" s="29"/>
      <c r="L2331" s="29"/>
      <c r="M2331" s="29" t="s">
        <v>9454</v>
      </c>
      <c r="N2331" s="29" t="s">
        <v>3522</v>
      </c>
      <c r="O2331" s="29"/>
      <c r="P2331" s="29" t="s">
        <v>9517</v>
      </c>
      <c r="Q2331" t="s">
        <v>2038</v>
      </c>
      <c r="R2331" t="s">
        <v>2632</v>
      </c>
      <c r="S2331">
        <v>37</v>
      </c>
      <c r="T2331" s="43" t="str">
        <f t="shared" si="100"/>
        <v>2021.035B.R.Gracegardnervirinae.zip</v>
      </c>
      <c r="U2331" s="43" t="str">
        <f>HYPERLINK("https://ictv.global/taxonomy/taxondetails?taxnode_id=202212313","ictv.global=202212313")</f>
        <v>ictv.global=202212313</v>
      </c>
    </row>
    <row r="2332" spans="1:21">
      <c r="A2332">
        <v>2331</v>
      </c>
      <c r="B2332" s="29" t="s">
        <v>3682</v>
      </c>
      <c r="C2332" s="29"/>
      <c r="D2332" s="29" t="s">
        <v>3683</v>
      </c>
      <c r="E2332" s="29"/>
      <c r="F2332" s="29" t="s">
        <v>3686</v>
      </c>
      <c r="G2332" s="29"/>
      <c r="H2332" s="29" t="s">
        <v>3687</v>
      </c>
      <c r="I2332" s="29"/>
      <c r="J2332" s="29"/>
      <c r="K2332" s="29"/>
      <c r="L2332" s="29"/>
      <c r="M2332" s="29" t="s">
        <v>9454</v>
      </c>
      <c r="N2332" s="29" t="s">
        <v>3522</v>
      </c>
      <c r="O2332" s="29"/>
      <c r="P2332" s="29" t="s">
        <v>9518</v>
      </c>
      <c r="Q2332" t="s">
        <v>2038</v>
      </c>
      <c r="R2332" t="s">
        <v>2632</v>
      </c>
      <c r="S2332">
        <v>37</v>
      </c>
      <c r="T2332" s="43" t="str">
        <f t="shared" si="100"/>
        <v>2021.035B.R.Gracegardnervirinae.zip</v>
      </c>
      <c r="U2332" s="43" t="str">
        <f>HYPERLINK("https://ictv.global/taxonomy/taxondetails?taxnode_id=202212314","ictv.global=202212314")</f>
        <v>ictv.global=202212314</v>
      </c>
    </row>
    <row r="2333" spans="1:21">
      <c r="A2333">
        <v>2332</v>
      </c>
      <c r="B2333" s="29" t="s">
        <v>3682</v>
      </c>
      <c r="C2333" s="29"/>
      <c r="D2333" s="29" t="s">
        <v>3683</v>
      </c>
      <c r="E2333" s="29"/>
      <c r="F2333" s="29" t="s">
        <v>3686</v>
      </c>
      <c r="G2333" s="29"/>
      <c r="H2333" s="29" t="s">
        <v>3687</v>
      </c>
      <c r="I2333" s="29"/>
      <c r="J2333" s="29"/>
      <c r="K2333" s="29"/>
      <c r="L2333" s="29"/>
      <c r="M2333" s="29" t="s">
        <v>9454</v>
      </c>
      <c r="N2333" s="29" t="s">
        <v>3522</v>
      </c>
      <c r="O2333" s="29"/>
      <c r="P2333" s="29" t="s">
        <v>9519</v>
      </c>
      <c r="Q2333" t="s">
        <v>2038</v>
      </c>
      <c r="R2333" t="s">
        <v>2632</v>
      </c>
      <c r="S2333">
        <v>37</v>
      </c>
      <c r="T2333" s="43" t="str">
        <f t="shared" si="100"/>
        <v>2021.035B.R.Gracegardnervirinae.zip</v>
      </c>
      <c r="U2333" s="43" t="str">
        <f>HYPERLINK("https://ictv.global/taxonomy/taxondetails?taxnode_id=202212315","ictv.global=202212315")</f>
        <v>ictv.global=202212315</v>
      </c>
    </row>
    <row r="2334" spans="1:21">
      <c r="A2334">
        <v>2333</v>
      </c>
      <c r="B2334" s="29" t="s">
        <v>3682</v>
      </c>
      <c r="C2334" s="29"/>
      <c r="D2334" s="29" t="s">
        <v>3683</v>
      </c>
      <c r="E2334" s="29"/>
      <c r="F2334" s="29" t="s">
        <v>3686</v>
      </c>
      <c r="G2334" s="29"/>
      <c r="H2334" s="29" t="s">
        <v>3687</v>
      </c>
      <c r="I2334" s="29"/>
      <c r="J2334" s="29"/>
      <c r="K2334" s="29"/>
      <c r="L2334" s="29"/>
      <c r="M2334" s="29" t="s">
        <v>9454</v>
      </c>
      <c r="N2334" s="29" t="s">
        <v>3522</v>
      </c>
      <c r="O2334" s="29"/>
      <c r="P2334" s="29" t="s">
        <v>9520</v>
      </c>
      <c r="Q2334" t="s">
        <v>2038</v>
      </c>
      <c r="R2334" t="s">
        <v>2632</v>
      </c>
      <c r="S2334">
        <v>37</v>
      </c>
      <c r="T2334" s="43" t="str">
        <f t="shared" si="100"/>
        <v>2021.035B.R.Gracegardnervirinae.zip</v>
      </c>
      <c r="U2334" s="43" t="str">
        <f>HYPERLINK("https://ictv.global/taxonomy/taxondetails?taxnode_id=202212316","ictv.global=202212316")</f>
        <v>ictv.global=202212316</v>
      </c>
    </row>
    <row r="2335" spans="1:21">
      <c r="A2335">
        <v>2334</v>
      </c>
      <c r="B2335" s="29" t="s">
        <v>3682</v>
      </c>
      <c r="C2335" s="29"/>
      <c r="D2335" s="29" t="s">
        <v>3683</v>
      </c>
      <c r="E2335" s="29"/>
      <c r="F2335" s="29" t="s">
        <v>3686</v>
      </c>
      <c r="G2335" s="29"/>
      <c r="H2335" s="29" t="s">
        <v>3687</v>
      </c>
      <c r="I2335" s="29"/>
      <c r="J2335" s="29"/>
      <c r="K2335" s="29"/>
      <c r="L2335" s="29"/>
      <c r="M2335" s="29" t="s">
        <v>9454</v>
      </c>
      <c r="N2335" s="29" t="s">
        <v>3522</v>
      </c>
      <c r="O2335" s="29"/>
      <c r="P2335" s="29" t="s">
        <v>9521</v>
      </c>
      <c r="Q2335" t="s">
        <v>2038</v>
      </c>
      <c r="R2335" t="s">
        <v>2632</v>
      </c>
      <c r="S2335">
        <v>37</v>
      </c>
      <c r="T2335" s="43" t="str">
        <f t="shared" si="100"/>
        <v>2021.035B.R.Gracegardnervirinae.zip</v>
      </c>
      <c r="U2335" s="43" t="str">
        <f>HYPERLINK("https://ictv.global/taxonomy/taxondetails?taxnode_id=202212317","ictv.global=202212317")</f>
        <v>ictv.global=202212317</v>
      </c>
    </row>
    <row r="2336" spans="1:21">
      <c r="A2336">
        <v>2335</v>
      </c>
      <c r="B2336" s="29" t="s">
        <v>3682</v>
      </c>
      <c r="C2336" s="29"/>
      <c r="D2336" s="29" t="s">
        <v>3683</v>
      </c>
      <c r="E2336" s="29"/>
      <c r="F2336" s="29" t="s">
        <v>3686</v>
      </c>
      <c r="G2336" s="29"/>
      <c r="H2336" s="29" t="s">
        <v>3687</v>
      </c>
      <c r="I2336" s="29"/>
      <c r="J2336" s="29"/>
      <c r="K2336" s="29"/>
      <c r="L2336" s="29"/>
      <c r="M2336" s="29" t="s">
        <v>9454</v>
      </c>
      <c r="N2336" s="29" t="s">
        <v>3522</v>
      </c>
      <c r="O2336" s="29"/>
      <c r="P2336" s="29" t="s">
        <v>9522</v>
      </c>
      <c r="Q2336" t="s">
        <v>2038</v>
      </c>
      <c r="R2336" t="s">
        <v>2632</v>
      </c>
      <c r="S2336">
        <v>37</v>
      </c>
      <c r="T2336" s="43" t="str">
        <f t="shared" si="100"/>
        <v>2021.035B.R.Gracegardnervirinae.zip</v>
      </c>
      <c r="U2336" s="43" t="str">
        <f>HYPERLINK("https://ictv.global/taxonomy/taxondetails?taxnode_id=202212318","ictv.global=202212318")</f>
        <v>ictv.global=202212318</v>
      </c>
    </row>
    <row r="2337" spans="1:21">
      <c r="A2337">
        <v>2336</v>
      </c>
      <c r="B2337" s="29" t="s">
        <v>3682</v>
      </c>
      <c r="C2337" s="29"/>
      <c r="D2337" s="29" t="s">
        <v>3683</v>
      </c>
      <c r="E2337" s="29"/>
      <c r="F2337" s="29" t="s">
        <v>3686</v>
      </c>
      <c r="G2337" s="29"/>
      <c r="H2337" s="29" t="s">
        <v>3687</v>
      </c>
      <c r="I2337" s="29"/>
      <c r="J2337" s="29"/>
      <c r="K2337" s="29"/>
      <c r="L2337" s="29"/>
      <c r="M2337" s="29" t="s">
        <v>9454</v>
      </c>
      <c r="N2337" s="29" t="s">
        <v>3522</v>
      </c>
      <c r="O2337" s="29"/>
      <c r="P2337" s="29" t="s">
        <v>9523</v>
      </c>
      <c r="Q2337" t="s">
        <v>2038</v>
      </c>
      <c r="R2337" t="s">
        <v>2632</v>
      </c>
      <c r="S2337">
        <v>37</v>
      </c>
      <c r="T2337" s="43" t="str">
        <f t="shared" si="100"/>
        <v>2021.035B.R.Gracegardnervirinae.zip</v>
      </c>
      <c r="U2337" s="43" t="str">
        <f>HYPERLINK("https://ictv.global/taxonomy/taxondetails?taxnode_id=202212319","ictv.global=202212319")</f>
        <v>ictv.global=202212319</v>
      </c>
    </row>
    <row r="2338" spans="1:21">
      <c r="A2338">
        <v>2337</v>
      </c>
      <c r="B2338" s="29" t="s">
        <v>3682</v>
      </c>
      <c r="C2338" s="29"/>
      <c r="D2338" s="29" t="s">
        <v>3683</v>
      </c>
      <c r="E2338" s="29"/>
      <c r="F2338" s="29" t="s">
        <v>3686</v>
      </c>
      <c r="G2338" s="29"/>
      <c r="H2338" s="29" t="s">
        <v>3687</v>
      </c>
      <c r="I2338" s="29"/>
      <c r="J2338" s="29"/>
      <c r="K2338" s="29"/>
      <c r="L2338" s="29"/>
      <c r="M2338" s="29" t="s">
        <v>9454</v>
      </c>
      <c r="N2338" s="29" t="s">
        <v>3522</v>
      </c>
      <c r="O2338" s="29"/>
      <c r="P2338" s="29" t="s">
        <v>9524</v>
      </c>
      <c r="Q2338" t="s">
        <v>2038</v>
      </c>
      <c r="R2338" t="s">
        <v>2632</v>
      </c>
      <c r="S2338">
        <v>37</v>
      </c>
      <c r="T2338" s="43" t="str">
        <f t="shared" ref="T2338:T2355" si="101">HYPERLINK("https://ictv.global/ictv/proposals/2021.035B.R.Gracegardnervirinae.zip","2021.035B.R.Gracegardnervirinae.zip")</f>
        <v>2021.035B.R.Gracegardnervirinae.zip</v>
      </c>
      <c r="U2338" s="43" t="str">
        <f>HYPERLINK("https://ictv.global/taxonomy/taxondetails?taxnode_id=202212320","ictv.global=202212320")</f>
        <v>ictv.global=202212320</v>
      </c>
    </row>
    <row r="2339" spans="1:21">
      <c r="A2339">
        <v>2338</v>
      </c>
      <c r="B2339" s="29" t="s">
        <v>3682</v>
      </c>
      <c r="C2339" s="29"/>
      <c r="D2339" s="29" t="s">
        <v>3683</v>
      </c>
      <c r="E2339" s="29"/>
      <c r="F2339" s="29" t="s">
        <v>3686</v>
      </c>
      <c r="G2339" s="29"/>
      <c r="H2339" s="29" t="s">
        <v>3687</v>
      </c>
      <c r="I2339" s="29"/>
      <c r="J2339" s="29"/>
      <c r="K2339" s="29"/>
      <c r="L2339" s="29"/>
      <c r="M2339" s="29" t="s">
        <v>9454</v>
      </c>
      <c r="N2339" s="29" t="s">
        <v>3522</v>
      </c>
      <c r="O2339" s="29"/>
      <c r="P2339" s="29" t="s">
        <v>9525</v>
      </c>
      <c r="Q2339" t="s">
        <v>2038</v>
      </c>
      <c r="R2339" t="s">
        <v>2632</v>
      </c>
      <c r="S2339">
        <v>37</v>
      </c>
      <c r="T2339" s="43" t="str">
        <f t="shared" si="101"/>
        <v>2021.035B.R.Gracegardnervirinae.zip</v>
      </c>
      <c r="U2339" s="43" t="str">
        <f>HYPERLINK("https://ictv.global/taxonomy/taxondetails?taxnode_id=202212321","ictv.global=202212321")</f>
        <v>ictv.global=202212321</v>
      </c>
    </row>
    <row r="2340" spans="1:21">
      <c r="A2340">
        <v>2339</v>
      </c>
      <c r="B2340" s="29" t="s">
        <v>3682</v>
      </c>
      <c r="C2340" s="29"/>
      <c r="D2340" s="29" t="s">
        <v>3683</v>
      </c>
      <c r="E2340" s="29"/>
      <c r="F2340" s="29" t="s">
        <v>3686</v>
      </c>
      <c r="G2340" s="29"/>
      <c r="H2340" s="29" t="s">
        <v>3687</v>
      </c>
      <c r="I2340" s="29"/>
      <c r="J2340" s="29"/>
      <c r="K2340" s="29"/>
      <c r="L2340" s="29"/>
      <c r="M2340" s="29" t="s">
        <v>9454</v>
      </c>
      <c r="N2340" s="29" t="s">
        <v>3522</v>
      </c>
      <c r="O2340" s="29"/>
      <c r="P2340" s="29" t="s">
        <v>9526</v>
      </c>
      <c r="Q2340" t="s">
        <v>2038</v>
      </c>
      <c r="R2340" t="s">
        <v>2632</v>
      </c>
      <c r="S2340">
        <v>37</v>
      </c>
      <c r="T2340" s="43" t="str">
        <f t="shared" si="101"/>
        <v>2021.035B.R.Gracegardnervirinae.zip</v>
      </c>
      <c r="U2340" s="43" t="str">
        <f>HYPERLINK("https://ictv.global/taxonomy/taxondetails?taxnode_id=202212322","ictv.global=202212322")</f>
        <v>ictv.global=202212322</v>
      </c>
    </row>
    <row r="2341" spans="1:21">
      <c r="A2341">
        <v>2340</v>
      </c>
      <c r="B2341" s="29" t="s">
        <v>3682</v>
      </c>
      <c r="C2341" s="29"/>
      <c r="D2341" s="29" t="s">
        <v>3683</v>
      </c>
      <c r="E2341" s="29"/>
      <c r="F2341" s="29" t="s">
        <v>3686</v>
      </c>
      <c r="G2341" s="29"/>
      <c r="H2341" s="29" t="s">
        <v>3687</v>
      </c>
      <c r="I2341" s="29"/>
      <c r="J2341" s="29"/>
      <c r="K2341" s="29"/>
      <c r="L2341" s="29"/>
      <c r="M2341" s="29" t="s">
        <v>9454</v>
      </c>
      <c r="N2341" s="29" t="s">
        <v>3522</v>
      </c>
      <c r="O2341" s="29"/>
      <c r="P2341" s="29" t="s">
        <v>9527</v>
      </c>
      <c r="Q2341" t="s">
        <v>2038</v>
      </c>
      <c r="R2341" t="s">
        <v>2632</v>
      </c>
      <c r="S2341">
        <v>37</v>
      </c>
      <c r="T2341" s="43" t="str">
        <f t="shared" si="101"/>
        <v>2021.035B.R.Gracegardnervirinae.zip</v>
      </c>
      <c r="U2341" s="43" t="str">
        <f>HYPERLINK("https://ictv.global/taxonomy/taxondetails?taxnode_id=202212323","ictv.global=202212323")</f>
        <v>ictv.global=202212323</v>
      </c>
    </row>
    <row r="2342" spans="1:21">
      <c r="A2342">
        <v>2341</v>
      </c>
      <c r="B2342" s="29" t="s">
        <v>3682</v>
      </c>
      <c r="C2342" s="29"/>
      <c r="D2342" s="29" t="s">
        <v>3683</v>
      </c>
      <c r="E2342" s="29"/>
      <c r="F2342" s="29" t="s">
        <v>3686</v>
      </c>
      <c r="G2342" s="29"/>
      <c r="H2342" s="29" t="s">
        <v>3687</v>
      </c>
      <c r="I2342" s="29"/>
      <c r="J2342" s="29"/>
      <c r="K2342" s="29"/>
      <c r="L2342" s="29"/>
      <c r="M2342" s="29" t="s">
        <v>9454</v>
      </c>
      <c r="N2342" s="29" t="s">
        <v>3522</v>
      </c>
      <c r="O2342" s="29"/>
      <c r="P2342" s="29" t="s">
        <v>9528</v>
      </c>
      <c r="Q2342" t="s">
        <v>2038</v>
      </c>
      <c r="R2342" t="s">
        <v>2632</v>
      </c>
      <c r="S2342">
        <v>37</v>
      </c>
      <c r="T2342" s="43" t="str">
        <f t="shared" si="101"/>
        <v>2021.035B.R.Gracegardnervirinae.zip</v>
      </c>
      <c r="U2342" s="43" t="str">
        <f>HYPERLINK("https://ictv.global/taxonomy/taxondetails?taxnode_id=202212324","ictv.global=202212324")</f>
        <v>ictv.global=202212324</v>
      </c>
    </row>
    <row r="2343" spans="1:21">
      <c r="A2343">
        <v>2342</v>
      </c>
      <c r="B2343" s="29" t="s">
        <v>3682</v>
      </c>
      <c r="C2343" s="29"/>
      <c r="D2343" s="29" t="s">
        <v>3683</v>
      </c>
      <c r="E2343" s="29"/>
      <c r="F2343" s="29" t="s">
        <v>3686</v>
      </c>
      <c r="G2343" s="29"/>
      <c r="H2343" s="29" t="s">
        <v>3687</v>
      </c>
      <c r="I2343" s="29"/>
      <c r="J2343" s="29"/>
      <c r="K2343" s="29"/>
      <c r="L2343" s="29"/>
      <c r="M2343" s="29" t="s">
        <v>9454</v>
      </c>
      <c r="N2343" s="29" t="s">
        <v>3522</v>
      </c>
      <c r="O2343" s="29"/>
      <c r="P2343" s="29" t="s">
        <v>9529</v>
      </c>
      <c r="Q2343" t="s">
        <v>2038</v>
      </c>
      <c r="R2343" t="s">
        <v>2632</v>
      </c>
      <c r="S2343">
        <v>37</v>
      </c>
      <c r="T2343" s="43" t="str">
        <f t="shared" si="101"/>
        <v>2021.035B.R.Gracegardnervirinae.zip</v>
      </c>
      <c r="U2343" s="43" t="str">
        <f>HYPERLINK("https://ictv.global/taxonomy/taxondetails?taxnode_id=202212325","ictv.global=202212325")</f>
        <v>ictv.global=202212325</v>
      </c>
    </row>
    <row r="2344" spans="1:21">
      <c r="A2344">
        <v>2343</v>
      </c>
      <c r="B2344" s="29" t="s">
        <v>3682</v>
      </c>
      <c r="C2344" s="29"/>
      <c r="D2344" s="29" t="s">
        <v>3683</v>
      </c>
      <c r="E2344" s="29"/>
      <c r="F2344" s="29" t="s">
        <v>3686</v>
      </c>
      <c r="G2344" s="29"/>
      <c r="H2344" s="29" t="s">
        <v>3687</v>
      </c>
      <c r="I2344" s="29"/>
      <c r="J2344" s="29"/>
      <c r="K2344" s="29"/>
      <c r="L2344" s="29"/>
      <c r="M2344" s="29" t="s">
        <v>9454</v>
      </c>
      <c r="N2344" s="29" t="s">
        <v>3522</v>
      </c>
      <c r="O2344" s="29"/>
      <c r="P2344" s="29" t="s">
        <v>9530</v>
      </c>
      <c r="Q2344" t="s">
        <v>2038</v>
      </c>
      <c r="R2344" t="s">
        <v>2632</v>
      </c>
      <c r="S2344">
        <v>37</v>
      </c>
      <c r="T2344" s="43" t="str">
        <f t="shared" si="101"/>
        <v>2021.035B.R.Gracegardnervirinae.zip</v>
      </c>
      <c r="U2344" s="43" t="str">
        <f>HYPERLINK("https://ictv.global/taxonomy/taxondetails?taxnode_id=202212326","ictv.global=202212326")</f>
        <v>ictv.global=202212326</v>
      </c>
    </row>
    <row r="2345" spans="1:21">
      <c r="A2345">
        <v>2344</v>
      </c>
      <c r="B2345" s="29" t="s">
        <v>3682</v>
      </c>
      <c r="C2345" s="29"/>
      <c r="D2345" s="29" t="s">
        <v>3683</v>
      </c>
      <c r="E2345" s="29"/>
      <c r="F2345" s="29" t="s">
        <v>3686</v>
      </c>
      <c r="G2345" s="29"/>
      <c r="H2345" s="29" t="s">
        <v>3687</v>
      </c>
      <c r="I2345" s="29"/>
      <c r="J2345" s="29"/>
      <c r="K2345" s="29"/>
      <c r="L2345" s="29"/>
      <c r="M2345" s="29" t="s">
        <v>9454</v>
      </c>
      <c r="N2345" s="29" t="s">
        <v>3522</v>
      </c>
      <c r="O2345" s="29"/>
      <c r="P2345" s="29" t="s">
        <v>9531</v>
      </c>
      <c r="Q2345" t="s">
        <v>2038</v>
      </c>
      <c r="R2345" t="s">
        <v>2632</v>
      </c>
      <c r="S2345">
        <v>37</v>
      </c>
      <c r="T2345" s="43" t="str">
        <f t="shared" si="101"/>
        <v>2021.035B.R.Gracegardnervirinae.zip</v>
      </c>
      <c r="U2345" s="43" t="str">
        <f>HYPERLINK("https://ictv.global/taxonomy/taxondetails?taxnode_id=202212327","ictv.global=202212327")</f>
        <v>ictv.global=202212327</v>
      </c>
    </row>
    <row r="2346" spans="1:21">
      <c r="A2346">
        <v>2345</v>
      </c>
      <c r="B2346" s="29" t="s">
        <v>3682</v>
      </c>
      <c r="C2346" s="29"/>
      <c r="D2346" s="29" t="s">
        <v>3683</v>
      </c>
      <c r="E2346" s="29"/>
      <c r="F2346" s="29" t="s">
        <v>3686</v>
      </c>
      <c r="G2346" s="29"/>
      <c r="H2346" s="29" t="s">
        <v>3687</v>
      </c>
      <c r="I2346" s="29"/>
      <c r="J2346" s="29"/>
      <c r="K2346" s="29"/>
      <c r="L2346" s="29"/>
      <c r="M2346" s="29" t="s">
        <v>9454</v>
      </c>
      <c r="N2346" s="29" t="s">
        <v>3522</v>
      </c>
      <c r="O2346" s="29"/>
      <c r="P2346" s="29" t="s">
        <v>9532</v>
      </c>
      <c r="Q2346" t="s">
        <v>2038</v>
      </c>
      <c r="R2346" t="s">
        <v>2632</v>
      </c>
      <c r="S2346">
        <v>37</v>
      </c>
      <c r="T2346" s="43" t="str">
        <f t="shared" si="101"/>
        <v>2021.035B.R.Gracegardnervirinae.zip</v>
      </c>
      <c r="U2346" s="43" t="str">
        <f>HYPERLINK("https://ictv.global/taxonomy/taxondetails?taxnode_id=202212328","ictv.global=202212328")</f>
        <v>ictv.global=202212328</v>
      </c>
    </row>
    <row r="2347" spans="1:21">
      <c r="A2347">
        <v>2346</v>
      </c>
      <c r="B2347" s="29" t="s">
        <v>3682</v>
      </c>
      <c r="C2347" s="29"/>
      <c r="D2347" s="29" t="s">
        <v>3683</v>
      </c>
      <c r="E2347" s="29"/>
      <c r="F2347" s="29" t="s">
        <v>3686</v>
      </c>
      <c r="G2347" s="29"/>
      <c r="H2347" s="29" t="s">
        <v>3687</v>
      </c>
      <c r="I2347" s="29"/>
      <c r="J2347" s="29"/>
      <c r="K2347" s="29"/>
      <c r="L2347" s="29"/>
      <c r="M2347" s="29" t="s">
        <v>9454</v>
      </c>
      <c r="N2347" s="29" t="s">
        <v>3522</v>
      </c>
      <c r="O2347" s="29"/>
      <c r="P2347" s="29" t="s">
        <v>9533</v>
      </c>
      <c r="Q2347" t="s">
        <v>2038</v>
      </c>
      <c r="R2347" t="s">
        <v>2632</v>
      </c>
      <c r="S2347">
        <v>37</v>
      </c>
      <c r="T2347" s="43" t="str">
        <f t="shared" si="101"/>
        <v>2021.035B.R.Gracegardnervirinae.zip</v>
      </c>
      <c r="U2347" s="43" t="str">
        <f>HYPERLINK("https://ictv.global/taxonomy/taxondetails?taxnode_id=202212329","ictv.global=202212329")</f>
        <v>ictv.global=202212329</v>
      </c>
    </row>
    <row r="2348" spans="1:21">
      <c r="A2348">
        <v>2347</v>
      </c>
      <c r="B2348" s="29" t="s">
        <v>3682</v>
      </c>
      <c r="C2348" s="29"/>
      <c r="D2348" s="29" t="s">
        <v>3683</v>
      </c>
      <c r="E2348" s="29"/>
      <c r="F2348" s="29" t="s">
        <v>3686</v>
      </c>
      <c r="G2348" s="29"/>
      <c r="H2348" s="29" t="s">
        <v>3687</v>
      </c>
      <c r="I2348" s="29"/>
      <c r="J2348" s="29"/>
      <c r="K2348" s="29"/>
      <c r="L2348" s="29"/>
      <c r="M2348" s="29" t="s">
        <v>9454</v>
      </c>
      <c r="N2348" s="29" t="s">
        <v>3522</v>
      </c>
      <c r="O2348" s="29"/>
      <c r="P2348" s="29" t="s">
        <v>9534</v>
      </c>
      <c r="Q2348" t="s">
        <v>2038</v>
      </c>
      <c r="R2348" t="s">
        <v>2632</v>
      </c>
      <c r="S2348">
        <v>37</v>
      </c>
      <c r="T2348" s="43" t="str">
        <f t="shared" si="101"/>
        <v>2021.035B.R.Gracegardnervirinae.zip</v>
      </c>
      <c r="U2348" s="43" t="str">
        <f>HYPERLINK("https://ictv.global/taxonomy/taxondetails?taxnode_id=202212330","ictv.global=202212330")</f>
        <v>ictv.global=202212330</v>
      </c>
    </row>
    <row r="2349" spans="1:21">
      <c r="A2349">
        <v>2348</v>
      </c>
      <c r="B2349" s="29" t="s">
        <v>3682</v>
      </c>
      <c r="C2349" s="29"/>
      <c r="D2349" s="29" t="s">
        <v>3683</v>
      </c>
      <c r="E2349" s="29"/>
      <c r="F2349" s="29" t="s">
        <v>3686</v>
      </c>
      <c r="G2349" s="29"/>
      <c r="H2349" s="29" t="s">
        <v>3687</v>
      </c>
      <c r="I2349" s="29"/>
      <c r="J2349" s="29"/>
      <c r="K2349" s="29"/>
      <c r="L2349" s="29"/>
      <c r="M2349" s="29" t="s">
        <v>9454</v>
      </c>
      <c r="N2349" s="29" t="s">
        <v>3522</v>
      </c>
      <c r="O2349" s="29"/>
      <c r="P2349" s="29" t="s">
        <v>9535</v>
      </c>
      <c r="Q2349" t="s">
        <v>2038</v>
      </c>
      <c r="R2349" t="s">
        <v>2632</v>
      </c>
      <c r="S2349">
        <v>37</v>
      </c>
      <c r="T2349" s="43" t="str">
        <f t="shared" si="101"/>
        <v>2021.035B.R.Gracegardnervirinae.zip</v>
      </c>
      <c r="U2349" s="43" t="str">
        <f>HYPERLINK("https://ictv.global/taxonomy/taxondetails?taxnode_id=202212331","ictv.global=202212331")</f>
        <v>ictv.global=202212331</v>
      </c>
    </row>
    <row r="2350" spans="1:21">
      <c r="A2350">
        <v>2349</v>
      </c>
      <c r="B2350" s="29" t="s">
        <v>3682</v>
      </c>
      <c r="C2350" s="29"/>
      <c r="D2350" s="29" t="s">
        <v>3683</v>
      </c>
      <c r="E2350" s="29"/>
      <c r="F2350" s="29" t="s">
        <v>3686</v>
      </c>
      <c r="G2350" s="29"/>
      <c r="H2350" s="29" t="s">
        <v>3687</v>
      </c>
      <c r="I2350" s="29"/>
      <c r="J2350" s="29"/>
      <c r="K2350" s="29"/>
      <c r="L2350" s="29"/>
      <c r="M2350" s="29" t="s">
        <v>9454</v>
      </c>
      <c r="N2350" s="29" t="s">
        <v>3522</v>
      </c>
      <c r="O2350" s="29"/>
      <c r="P2350" s="29" t="s">
        <v>9536</v>
      </c>
      <c r="Q2350" t="s">
        <v>2038</v>
      </c>
      <c r="R2350" t="s">
        <v>2632</v>
      </c>
      <c r="S2350">
        <v>37</v>
      </c>
      <c r="T2350" s="43" t="str">
        <f t="shared" si="101"/>
        <v>2021.035B.R.Gracegardnervirinae.zip</v>
      </c>
      <c r="U2350" s="43" t="str">
        <f>HYPERLINK("https://ictv.global/taxonomy/taxondetails?taxnode_id=202212332","ictv.global=202212332")</f>
        <v>ictv.global=202212332</v>
      </c>
    </row>
    <row r="2351" spans="1:21">
      <c r="A2351">
        <v>2350</v>
      </c>
      <c r="B2351" s="29" t="s">
        <v>3682</v>
      </c>
      <c r="C2351" s="29"/>
      <c r="D2351" s="29" t="s">
        <v>3683</v>
      </c>
      <c r="E2351" s="29"/>
      <c r="F2351" s="29" t="s">
        <v>3686</v>
      </c>
      <c r="G2351" s="29"/>
      <c r="H2351" s="29" t="s">
        <v>3687</v>
      </c>
      <c r="I2351" s="29"/>
      <c r="J2351" s="29"/>
      <c r="K2351" s="29"/>
      <c r="L2351" s="29"/>
      <c r="M2351" s="29" t="s">
        <v>9454</v>
      </c>
      <c r="N2351" s="29" t="s">
        <v>3522</v>
      </c>
      <c r="O2351" s="29"/>
      <c r="P2351" s="29" t="s">
        <v>9537</v>
      </c>
      <c r="Q2351" t="s">
        <v>2038</v>
      </c>
      <c r="R2351" t="s">
        <v>2632</v>
      </c>
      <c r="S2351">
        <v>37</v>
      </c>
      <c r="T2351" s="43" t="str">
        <f t="shared" si="101"/>
        <v>2021.035B.R.Gracegardnervirinae.zip</v>
      </c>
      <c r="U2351" s="43" t="str">
        <f>HYPERLINK("https://ictv.global/taxonomy/taxondetails?taxnode_id=202212333","ictv.global=202212333")</f>
        <v>ictv.global=202212333</v>
      </c>
    </row>
    <row r="2352" spans="1:21">
      <c r="A2352">
        <v>2351</v>
      </c>
      <c r="B2352" s="29" t="s">
        <v>3682</v>
      </c>
      <c r="C2352" s="29"/>
      <c r="D2352" s="29" t="s">
        <v>3683</v>
      </c>
      <c r="E2352" s="29"/>
      <c r="F2352" s="29" t="s">
        <v>3686</v>
      </c>
      <c r="G2352" s="29"/>
      <c r="H2352" s="29" t="s">
        <v>3687</v>
      </c>
      <c r="I2352" s="29"/>
      <c r="J2352" s="29"/>
      <c r="K2352" s="29"/>
      <c r="L2352" s="29"/>
      <c r="M2352" s="29" t="s">
        <v>9454</v>
      </c>
      <c r="N2352" s="29" t="s">
        <v>3522</v>
      </c>
      <c r="O2352" s="29"/>
      <c r="P2352" s="29" t="s">
        <v>9538</v>
      </c>
      <c r="Q2352" t="s">
        <v>2038</v>
      </c>
      <c r="R2352" t="s">
        <v>2632</v>
      </c>
      <c r="S2352">
        <v>37</v>
      </c>
      <c r="T2352" s="43" t="str">
        <f t="shared" si="101"/>
        <v>2021.035B.R.Gracegardnervirinae.zip</v>
      </c>
      <c r="U2352" s="43" t="str">
        <f>HYPERLINK("https://ictv.global/taxonomy/taxondetails?taxnode_id=202212334","ictv.global=202212334")</f>
        <v>ictv.global=202212334</v>
      </c>
    </row>
    <row r="2353" spans="1:21">
      <c r="A2353">
        <v>2352</v>
      </c>
      <c r="B2353" s="29" t="s">
        <v>3682</v>
      </c>
      <c r="C2353" s="29"/>
      <c r="D2353" s="29" t="s">
        <v>3683</v>
      </c>
      <c r="E2353" s="29"/>
      <c r="F2353" s="29" t="s">
        <v>3686</v>
      </c>
      <c r="G2353" s="29"/>
      <c r="H2353" s="29" t="s">
        <v>3687</v>
      </c>
      <c r="I2353" s="29"/>
      <c r="J2353" s="29"/>
      <c r="K2353" s="29"/>
      <c r="L2353" s="29"/>
      <c r="M2353" s="29" t="s">
        <v>9454</v>
      </c>
      <c r="N2353" s="29" t="s">
        <v>3522</v>
      </c>
      <c r="O2353" s="29"/>
      <c r="P2353" s="29" t="s">
        <v>9539</v>
      </c>
      <c r="Q2353" t="s">
        <v>2038</v>
      </c>
      <c r="R2353" t="s">
        <v>2632</v>
      </c>
      <c r="S2353">
        <v>37</v>
      </c>
      <c r="T2353" s="43" t="str">
        <f t="shared" si="101"/>
        <v>2021.035B.R.Gracegardnervirinae.zip</v>
      </c>
      <c r="U2353" s="43" t="str">
        <f>HYPERLINK("https://ictv.global/taxonomy/taxondetails?taxnode_id=202212335","ictv.global=202212335")</f>
        <v>ictv.global=202212335</v>
      </c>
    </row>
    <row r="2354" spans="1:21">
      <c r="A2354">
        <v>2353</v>
      </c>
      <c r="B2354" s="29" t="s">
        <v>3682</v>
      </c>
      <c r="C2354" s="29"/>
      <c r="D2354" s="29" t="s">
        <v>3683</v>
      </c>
      <c r="E2354" s="29"/>
      <c r="F2354" s="29" t="s">
        <v>3686</v>
      </c>
      <c r="G2354" s="29"/>
      <c r="H2354" s="29" t="s">
        <v>3687</v>
      </c>
      <c r="I2354" s="29"/>
      <c r="J2354" s="29"/>
      <c r="K2354" s="29"/>
      <c r="L2354" s="29"/>
      <c r="M2354" s="29" t="s">
        <v>9454</v>
      </c>
      <c r="N2354" s="29" t="s">
        <v>3522</v>
      </c>
      <c r="O2354" s="29"/>
      <c r="P2354" s="29" t="s">
        <v>9540</v>
      </c>
      <c r="Q2354" t="s">
        <v>2038</v>
      </c>
      <c r="R2354" t="s">
        <v>2632</v>
      </c>
      <c r="S2354">
        <v>37</v>
      </c>
      <c r="T2354" s="43" t="str">
        <f t="shared" si="101"/>
        <v>2021.035B.R.Gracegardnervirinae.zip</v>
      </c>
      <c r="U2354" s="43" t="str">
        <f>HYPERLINK("https://ictv.global/taxonomy/taxondetails?taxnode_id=202212336","ictv.global=202212336")</f>
        <v>ictv.global=202212336</v>
      </c>
    </row>
    <row r="2355" spans="1:21">
      <c r="A2355">
        <v>2354</v>
      </c>
      <c r="B2355" s="29" t="s">
        <v>3682</v>
      </c>
      <c r="C2355" s="29"/>
      <c r="D2355" s="29" t="s">
        <v>3683</v>
      </c>
      <c r="E2355" s="29"/>
      <c r="F2355" s="29" t="s">
        <v>3686</v>
      </c>
      <c r="G2355" s="29"/>
      <c r="H2355" s="29" t="s">
        <v>3687</v>
      </c>
      <c r="I2355" s="29"/>
      <c r="J2355" s="29"/>
      <c r="K2355" s="29"/>
      <c r="L2355" s="29"/>
      <c r="M2355" s="29" t="s">
        <v>9454</v>
      </c>
      <c r="N2355" s="29" t="s">
        <v>3522</v>
      </c>
      <c r="O2355" s="29"/>
      <c r="P2355" s="29" t="s">
        <v>9541</v>
      </c>
      <c r="Q2355" t="s">
        <v>2038</v>
      </c>
      <c r="R2355" t="s">
        <v>2632</v>
      </c>
      <c r="S2355">
        <v>37</v>
      </c>
      <c r="T2355" s="43" t="str">
        <f t="shared" si="101"/>
        <v>2021.035B.R.Gracegardnervirinae.zip</v>
      </c>
      <c r="U2355" s="43" t="str">
        <f>HYPERLINK("https://ictv.global/taxonomy/taxondetails?taxnode_id=202212337","ictv.global=202212337")</f>
        <v>ictv.global=202212337</v>
      </c>
    </row>
    <row r="2356" spans="1:21">
      <c r="A2356">
        <v>2355</v>
      </c>
      <c r="B2356" s="29" t="s">
        <v>3682</v>
      </c>
      <c r="C2356" s="29"/>
      <c r="D2356" s="29" t="s">
        <v>3683</v>
      </c>
      <c r="E2356" s="29"/>
      <c r="F2356" s="29" t="s">
        <v>3686</v>
      </c>
      <c r="G2356" s="29"/>
      <c r="H2356" s="29" t="s">
        <v>3687</v>
      </c>
      <c r="I2356" s="29"/>
      <c r="J2356" s="29"/>
      <c r="K2356" s="29"/>
      <c r="L2356" s="29"/>
      <c r="M2356" s="29" t="s">
        <v>9454</v>
      </c>
      <c r="N2356" s="29" t="s">
        <v>3522</v>
      </c>
      <c r="O2356" s="29"/>
      <c r="P2356" s="29" t="s">
        <v>2087</v>
      </c>
      <c r="Q2356" t="s">
        <v>2038</v>
      </c>
      <c r="R2356" t="s">
        <v>2634</v>
      </c>
      <c r="S2356">
        <v>37</v>
      </c>
      <c r="T2356" s="43" t="str">
        <f t="shared" ref="T2356:T2381" si="102">HYPERLINK("https://ictv.global/ictv/proposals/2021.001B.R.abolish_Caudovirales.zip","2021.001B.R.abolish_Caudovirales.zip;2021.035B.A.v1.Gracegardnervirinae.zip")</f>
        <v>2021.001B.R.abolish_Caudovirales.zip;2021.035B.A.v1.Gracegardnervirinae.zip</v>
      </c>
      <c r="U2356" s="43" t="str">
        <f>HYPERLINK("https://ictv.global/taxonomy/taxondetails?taxnode_id=202200891","ictv.global=202200891")</f>
        <v>ictv.global=202200891</v>
      </c>
    </row>
    <row r="2357" spans="1:21">
      <c r="A2357">
        <v>2356</v>
      </c>
      <c r="B2357" s="29" t="s">
        <v>3682</v>
      </c>
      <c r="C2357" s="29"/>
      <c r="D2357" s="29" t="s">
        <v>3683</v>
      </c>
      <c r="E2357" s="29"/>
      <c r="F2357" s="29" t="s">
        <v>3686</v>
      </c>
      <c r="G2357" s="29"/>
      <c r="H2357" s="29" t="s">
        <v>3687</v>
      </c>
      <c r="I2357" s="29"/>
      <c r="J2357" s="29"/>
      <c r="K2357" s="29"/>
      <c r="L2357" s="29"/>
      <c r="M2357" s="29" t="s">
        <v>9454</v>
      </c>
      <c r="N2357" s="29" t="s">
        <v>3522</v>
      </c>
      <c r="O2357" s="29"/>
      <c r="P2357" s="29" t="s">
        <v>2088</v>
      </c>
      <c r="Q2357" t="s">
        <v>2038</v>
      </c>
      <c r="R2357" t="s">
        <v>2634</v>
      </c>
      <c r="S2357">
        <v>37</v>
      </c>
      <c r="T2357" s="43" t="str">
        <f t="shared" si="102"/>
        <v>2021.001B.R.abolish_Caudovirales.zip;2021.035B.A.v1.Gracegardnervirinae.zip</v>
      </c>
      <c r="U2357" s="43" t="str">
        <f>HYPERLINK("https://ictv.global/taxonomy/taxondetails?taxnode_id=202200893","ictv.global=202200893")</f>
        <v>ictv.global=202200893</v>
      </c>
    </row>
    <row r="2358" spans="1:21">
      <c r="A2358">
        <v>2357</v>
      </c>
      <c r="B2358" s="29" t="s">
        <v>3682</v>
      </c>
      <c r="C2358" s="29"/>
      <c r="D2358" s="29" t="s">
        <v>3683</v>
      </c>
      <c r="E2358" s="29"/>
      <c r="F2358" s="29" t="s">
        <v>3686</v>
      </c>
      <c r="G2358" s="29"/>
      <c r="H2358" s="29" t="s">
        <v>3687</v>
      </c>
      <c r="I2358" s="29"/>
      <c r="J2358" s="29"/>
      <c r="K2358" s="29"/>
      <c r="L2358" s="29"/>
      <c r="M2358" s="29" t="s">
        <v>9454</v>
      </c>
      <c r="N2358" s="29" t="s">
        <v>3522</v>
      </c>
      <c r="O2358" s="29"/>
      <c r="P2358" s="29" t="s">
        <v>2089</v>
      </c>
      <c r="Q2358" t="s">
        <v>2038</v>
      </c>
      <c r="R2358" t="s">
        <v>2634</v>
      </c>
      <c r="S2358">
        <v>37</v>
      </c>
      <c r="T2358" s="43" t="str">
        <f t="shared" si="102"/>
        <v>2021.001B.R.abolish_Caudovirales.zip;2021.035B.A.v1.Gracegardnervirinae.zip</v>
      </c>
      <c r="U2358" s="43" t="str">
        <f>HYPERLINK("https://ictv.global/taxonomy/taxondetails?taxnode_id=202200894","ictv.global=202200894")</f>
        <v>ictv.global=202200894</v>
      </c>
    </row>
    <row r="2359" spans="1:21">
      <c r="A2359">
        <v>2358</v>
      </c>
      <c r="B2359" s="29" t="s">
        <v>3682</v>
      </c>
      <c r="C2359" s="29"/>
      <c r="D2359" s="29" t="s">
        <v>3683</v>
      </c>
      <c r="E2359" s="29"/>
      <c r="F2359" s="29" t="s">
        <v>3686</v>
      </c>
      <c r="G2359" s="29"/>
      <c r="H2359" s="29" t="s">
        <v>3687</v>
      </c>
      <c r="I2359" s="29"/>
      <c r="J2359" s="29"/>
      <c r="K2359" s="29"/>
      <c r="L2359" s="29"/>
      <c r="M2359" s="29" t="s">
        <v>9454</v>
      </c>
      <c r="N2359" s="29" t="s">
        <v>3522</v>
      </c>
      <c r="O2359" s="29"/>
      <c r="P2359" s="29" t="s">
        <v>3990</v>
      </c>
      <c r="Q2359" t="s">
        <v>2038</v>
      </c>
      <c r="R2359" t="s">
        <v>2634</v>
      </c>
      <c r="S2359">
        <v>37</v>
      </c>
      <c r="T2359" s="43" t="str">
        <f t="shared" si="102"/>
        <v>2021.001B.R.abolish_Caudovirales.zip;2021.035B.A.v1.Gracegardnervirinae.zip</v>
      </c>
      <c r="U2359" s="43" t="str">
        <f>HYPERLINK("https://ictv.global/taxonomy/taxondetails?taxnode_id=202200896","ictv.global=202200896")</f>
        <v>ictv.global=202200896</v>
      </c>
    </row>
    <row r="2360" spans="1:21">
      <c r="A2360">
        <v>2359</v>
      </c>
      <c r="B2360" s="29" t="s">
        <v>3682</v>
      </c>
      <c r="C2360" s="29"/>
      <c r="D2360" s="29" t="s">
        <v>3683</v>
      </c>
      <c r="E2360" s="29"/>
      <c r="F2360" s="29" t="s">
        <v>3686</v>
      </c>
      <c r="G2360" s="29"/>
      <c r="H2360" s="29" t="s">
        <v>3687</v>
      </c>
      <c r="I2360" s="29"/>
      <c r="J2360" s="29"/>
      <c r="K2360" s="29"/>
      <c r="L2360" s="29"/>
      <c r="M2360" s="29" t="s">
        <v>9454</v>
      </c>
      <c r="N2360" s="29" t="s">
        <v>3522</v>
      </c>
      <c r="O2360" s="29"/>
      <c r="P2360" s="29" t="s">
        <v>2090</v>
      </c>
      <c r="Q2360" t="s">
        <v>2038</v>
      </c>
      <c r="R2360" t="s">
        <v>2634</v>
      </c>
      <c r="S2360">
        <v>37</v>
      </c>
      <c r="T2360" s="43" t="str">
        <f t="shared" si="102"/>
        <v>2021.001B.R.abolish_Caudovirales.zip;2021.035B.A.v1.Gracegardnervirinae.zip</v>
      </c>
      <c r="U2360" s="43" t="str">
        <f>HYPERLINK("https://ictv.global/taxonomy/taxondetails?taxnode_id=202200897","ictv.global=202200897")</f>
        <v>ictv.global=202200897</v>
      </c>
    </row>
    <row r="2361" spans="1:21">
      <c r="A2361">
        <v>2360</v>
      </c>
      <c r="B2361" s="29" t="s">
        <v>3682</v>
      </c>
      <c r="C2361" s="29"/>
      <c r="D2361" s="29" t="s">
        <v>3683</v>
      </c>
      <c r="E2361" s="29"/>
      <c r="F2361" s="29" t="s">
        <v>3686</v>
      </c>
      <c r="G2361" s="29"/>
      <c r="H2361" s="29" t="s">
        <v>3687</v>
      </c>
      <c r="I2361" s="29"/>
      <c r="J2361" s="29"/>
      <c r="K2361" s="29"/>
      <c r="L2361" s="29"/>
      <c r="M2361" s="29" t="s">
        <v>9454</v>
      </c>
      <c r="N2361" s="29" t="s">
        <v>3522</v>
      </c>
      <c r="O2361" s="29"/>
      <c r="P2361" s="29" t="s">
        <v>2091</v>
      </c>
      <c r="Q2361" t="s">
        <v>2038</v>
      </c>
      <c r="R2361" t="s">
        <v>2634</v>
      </c>
      <c r="S2361">
        <v>37</v>
      </c>
      <c r="T2361" s="43" t="str">
        <f t="shared" si="102"/>
        <v>2021.001B.R.abolish_Caudovirales.zip;2021.035B.A.v1.Gracegardnervirinae.zip</v>
      </c>
      <c r="U2361" s="43" t="str">
        <f>HYPERLINK("https://ictv.global/taxonomy/taxondetails?taxnode_id=202200898","ictv.global=202200898")</f>
        <v>ictv.global=202200898</v>
      </c>
    </row>
    <row r="2362" spans="1:21">
      <c r="A2362">
        <v>2361</v>
      </c>
      <c r="B2362" s="29" t="s">
        <v>3682</v>
      </c>
      <c r="C2362" s="29"/>
      <c r="D2362" s="29" t="s">
        <v>3683</v>
      </c>
      <c r="E2362" s="29"/>
      <c r="F2362" s="29" t="s">
        <v>3686</v>
      </c>
      <c r="G2362" s="29"/>
      <c r="H2362" s="29" t="s">
        <v>3687</v>
      </c>
      <c r="I2362" s="29"/>
      <c r="J2362" s="29"/>
      <c r="K2362" s="29"/>
      <c r="L2362" s="29"/>
      <c r="M2362" s="29" t="s">
        <v>9454</v>
      </c>
      <c r="N2362" s="29" t="s">
        <v>3522</v>
      </c>
      <c r="O2362" s="29"/>
      <c r="P2362" s="29" t="s">
        <v>3991</v>
      </c>
      <c r="Q2362" t="s">
        <v>2038</v>
      </c>
      <c r="R2362" t="s">
        <v>2634</v>
      </c>
      <c r="S2362">
        <v>37</v>
      </c>
      <c r="T2362" s="43" t="str">
        <f t="shared" si="102"/>
        <v>2021.001B.R.abolish_Caudovirales.zip;2021.035B.A.v1.Gracegardnervirinae.zip</v>
      </c>
      <c r="U2362" s="43" t="str">
        <f>HYPERLINK("https://ictv.global/taxonomy/taxondetails?taxnode_id=202200899","ictv.global=202200899")</f>
        <v>ictv.global=202200899</v>
      </c>
    </row>
    <row r="2363" spans="1:21">
      <c r="A2363">
        <v>2362</v>
      </c>
      <c r="B2363" s="29" t="s">
        <v>3682</v>
      </c>
      <c r="C2363" s="29"/>
      <c r="D2363" s="29" t="s">
        <v>3683</v>
      </c>
      <c r="E2363" s="29"/>
      <c r="F2363" s="29" t="s">
        <v>3686</v>
      </c>
      <c r="G2363" s="29"/>
      <c r="H2363" s="29" t="s">
        <v>3687</v>
      </c>
      <c r="I2363" s="29"/>
      <c r="J2363" s="29"/>
      <c r="K2363" s="29"/>
      <c r="L2363" s="29"/>
      <c r="M2363" s="29" t="s">
        <v>9454</v>
      </c>
      <c r="N2363" s="29" t="s">
        <v>3522</v>
      </c>
      <c r="O2363" s="29"/>
      <c r="P2363" s="29" t="s">
        <v>2092</v>
      </c>
      <c r="Q2363" t="s">
        <v>2038</v>
      </c>
      <c r="R2363" t="s">
        <v>2634</v>
      </c>
      <c r="S2363">
        <v>37</v>
      </c>
      <c r="T2363" s="43" t="str">
        <f t="shared" si="102"/>
        <v>2021.001B.R.abolish_Caudovirales.zip;2021.035B.A.v1.Gracegardnervirinae.zip</v>
      </c>
      <c r="U2363" s="43" t="str">
        <f>HYPERLINK("https://ictv.global/taxonomy/taxondetails?taxnode_id=202200900","ictv.global=202200900")</f>
        <v>ictv.global=202200900</v>
      </c>
    </row>
    <row r="2364" spans="1:21">
      <c r="A2364">
        <v>2363</v>
      </c>
      <c r="B2364" s="29" t="s">
        <v>3682</v>
      </c>
      <c r="C2364" s="29"/>
      <c r="D2364" s="29" t="s">
        <v>3683</v>
      </c>
      <c r="E2364" s="29"/>
      <c r="F2364" s="29" t="s">
        <v>3686</v>
      </c>
      <c r="G2364" s="29"/>
      <c r="H2364" s="29" t="s">
        <v>3687</v>
      </c>
      <c r="I2364" s="29"/>
      <c r="J2364" s="29"/>
      <c r="K2364" s="29"/>
      <c r="L2364" s="29"/>
      <c r="M2364" s="29" t="s">
        <v>9454</v>
      </c>
      <c r="N2364" s="29" t="s">
        <v>3522</v>
      </c>
      <c r="O2364" s="29"/>
      <c r="P2364" s="29" t="s">
        <v>2093</v>
      </c>
      <c r="Q2364" t="s">
        <v>2038</v>
      </c>
      <c r="R2364" t="s">
        <v>2634</v>
      </c>
      <c r="S2364">
        <v>37</v>
      </c>
      <c r="T2364" s="43" t="str">
        <f t="shared" si="102"/>
        <v>2021.001B.R.abolish_Caudovirales.zip;2021.035B.A.v1.Gracegardnervirinae.zip</v>
      </c>
      <c r="U2364" s="43" t="str">
        <f>HYPERLINK("https://ictv.global/taxonomy/taxondetails?taxnode_id=202200901","ictv.global=202200901")</f>
        <v>ictv.global=202200901</v>
      </c>
    </row>
    <row r="2365" spans="1:21">
      <c r="A2365">
        <v>2364</v>
      </c>
      <c r="B2365" s="29" t="s">
        <v>3682</v>
      </c>
      <c r="C2365" s="29"/>
      <c r="D2365" s="29" t="s">
        <v>3683</v>
      </c>
      <c r="E2365" s="29"/>
      <c r="F2365" s="29" t="s">
        <v>3686</v>
      </c>
      <c r="G2365" s="29"/>
      <c r="H2365" s="29" t="s">
        <v>3687</v>
      </c>
      <c r="I2365" s="29"/>
      <c r="J2365" s="29"/>
      <c r="K2365" s="29"/>
      <c r="L2365" s="29"/>
      <c r="M2365" s="29" t="s">
        <v>9454</v>
      </c>
      <c r="N2365" s="29" t="s">
        <v>3522</v>
      </c>
      <c r="O2365" s="29"/>
      <c r="P2365" s="29" t="s">
        <v>3992</v>
      </c>
      <c r="Q2365" t="s">
        <v>2038</v>
      </c>
      <c r="R2365" t="s">
        <v>2634</v>
      </c>
      <c r="S2365">
        <v>37</v>
      </c>
      <c r="T2365" s="43" t="str">
        <f t="shared" si="102"/>
        <v>2021.001B.R.abolish_Caudovirales.zip;2021.035B.A.v1.Gracegardnervirinae.zip</v>
      </c>
      <c r="U2365" s="43" t="str">
        <f>HYPERLINK("https://ictv.global/taxonomy/taxondetails?taxnode_id=202200902","ictv.global=202200902")</f>
        <v>ictv.global=202200902</v>
      </c>
    </row>
    <row r="2366" spans="1:21">
      <c r="A2366">
        <v>2365</v>
      </c>
      <c r="B2366" s="29" t="s">
        <v>3682</v>
      </c>
      <c r="C2366" s="29"/>
      <c r="D2366" s="29" t="s">
        <v>3683</v>
      </c>
      <c r="E2366" s="29"/>
      <c r="F2366" s="29" t="s">
        <v>3686</v>
      </c>
      <c r="G2366" s="29"/>
      <c r="H2366" s="29" t="s">
        <v>3687</v>
      </c>
      <c r="I2366" s="29"/>
      <c r="J2366" s="29"/>
      <c r="K2366" s="29"/>
      <c r="L2366" s="29"/>
      <c r="M2366" s="29" t="s">
        <v>9454</v>
      </c>
      <c r="N2366" s="29" t="s">
        <v>3522</v>
      </c>
      <c r="O2366" s="29"/>
      <c r="P2366" s="29" t="s">
        <v>2094</v>
      </c>
      <c r="Q2366" t="s">
        <v>2038</v>
      </c>
      <c r="R2366" t="s">
        <v>2634</v>
      </c>
      <c r="S2366">
        <v>37</v>
      </c>
      <c r="T2366" s="43" t="str">
        <f t="shared" si="102"/>
        <v>2021.001B.R.abolish_Caudovirales.zip;2021.035B.A.v1.Gracegardnervirinae.zip</v>
      </c>
      <c r="U2366" s="43" t="str">
        <f>HYPERLINK("https://ictv.global/taxonomy/taxondetails?taxnode_id=202200903","ictv.global=202200903")</f>
        <v>ictv.global=202200903</v>
      </c>
    </row>
    <row r="2367" spans="1:21">
      <c r="A2367">
        <v>2366</v>
      </c>
      <c r="B2367" s="29" t="s">
        <v>3682</v>
      </c>
      <c r="C2367" s="29"/>
      <c r="D2367" s="29" t="s">
        <v>3683</v>
      </c>
      <c r="E2367" s="29"/>
      <c r="F2367" s="29" t="s">
        <v>3686</v>
      </c>
      <c r="G2367" s="29"/>
      <c r="H2367" s="29" t="s">
        <v>3687</v>
      </c>
      <c r="I2367" s="29"/>
      <c r="J2367" s="29"/>
      <c r="K2367" s="29"/>
      <c r="L2367" s="29"/>
      <c r="M2367" s="29" t="s">
        <v>9454</v>
      </c>
      <c r="N2367" s="29" t="s">
        <v>3522</v>
      </c>
      <c r="O2367" s="29"/>
      <c r="P2367" s="29" t="s">
        <v>2095</v>
      </c>
      <c r="Q2367" t="s">
        <v>2038</v>
      </c>
      <c r="R2367" t="s">
        <v>2634</v>
      </c>
      <c r="S2367">
        <v>37</v>
      </c>
      <c r="T2367" s="43" t="str">
        <f t="shared" si="102"/>
        <v>2021.001B.R.abolish_Caudovirales.zip;2021.035B.A.v1.Gracegardnervirinae.zip</v>
      </c>
      <c r="U2367" s="43" t="str">
        <f>HYPERLINK("https://ictv.global/taxonomy/taxondetails?taxnode_id=202200904","ictv.global=202200904")</f>
        <v>ictv.global=202200904</v>
      </c>
    </row>
    <row r="2368" spans="1:21">
      <c r="A2368">
        <v>2367</v>
      </c>
      <c r="B2368" s="29" t="s">
        <v>3682</v>
      </c>
      <c r="C2368" s="29"/>
      <c r="D2368" s="29" t="s">
        <v>3683</v>
      </c>
      <c r="E2368" s="29"/>
      <c r="F2368" s="29" t="s">
        <v>3686</v>
      </c>
      <c r="G2368" s="29"/>
      <c r="H2368" s="29" t="s">
        <v>3687</v>
      </c>
      <c r="I2368" s="29"/>
      <c r="J2368" s="29"/>
      <c r="K2368" s="29"/>
      <c r="L2368" s="29"/>
      <c r="M2368" s="29" t="s">
        <v>9454</v>
      </c>
      <c r="N2368" s="29" t="s">
        <v>3522</v>
      </c>
      <c r="O2368" s="29"/>
      <c r="P2368" s="29" t="s">
        <v>2096</v>
      </c>
      <c r="Q2368" t="s">
        <v>2038</v>
      </c>
      <c r="R2368" t="s">
        <v>2634</v>
      </c>
      <c r="S2368">
        <v>37</v>
      </c>
      <c r="T2368" s="43" t="str">
        <f t="shared" si="102"/>
        <v>2021.001B.R.abolish_Caudovirales.zip;2021.035B.A.v1.Gracegardnervirinae.zip</v>
      </c>
      <c r="U2368" s="43" t="str">
        <f>HYPERLINK("https://ictv.global/taxonomy/taxondetails?taxnode_id=202200905","ictv.global=202200905")</f>
        <v>ictv.global=202200905</v>
      </c>
    </row>
    <row r="2369" spans="1:21">
      <c r="A2369">
        <v>2368</v>
      </c>
      <c r="B2369" s="29" t="s">
        <v>3682</v>
      </c>
      <c r="C2369" s="29"/>
      <c r="D2369" s="29" t="s">
        <v>3683</v>
      </c>
      <c r="E2369" s="29"/>
      <c r="F2369" s="29" t="s">
        <v>3686</v>
      </c>
      <c r="G2369" s="29"/>
      <c r="H2369" s="29" t="s">
        <v>3687</v>
      </c>
      <c r="I2369" s="29"/>
      <c r="J2369" s="29"/>
      <c r="K2369" s="29"/>
      <c r="L2369" s="29"/>
      <c r="M2369" s="29" t="s">
        <v>9454</v>
      </c>
      <c r="N2369" s="29" t="s">
        <v>3522</v>
      </c>
      <c r="O2369" s="29"/>
      <c r="P2369" s="29" t="s">
        <v>2097</v>
      </c>
      <c r="Q2369" t="s">
        <v>2038</v>
      </c>
      <c r="R2369" t="s">
        <v>2634</v>
      </c>
      <c r="S2369">
        <v>37</v>
      </c>
      <c r="T2369" s="43" t="str">
        <f t="shared" si="102"/>
        <v>2021.001B.R.abolish_Caudovirales.zip;2021.035B.A.v1.Gracegardnervirinae.zip</v>
      </c>
      <c r="U2369" s="43" t="str">
        <f>HYPERLINK("https://ictv.global/taxonomy/taxondetails?taxnode_id=202200906","ictv.global=202200906")</f>
        <v>ictv.global=202200906</v>
      </c>
    </row>
    <row r="2370" spans="1:21">
      <c r="A2370">
        <v>2369</v>
      </c>
      <c r="B2370" s="29" t="s">
        <v>3682</v>
      </c>
      <c r="C2370" s="29"/>
      <c r="D2370" s="29" t="s">
        <v>3683</v>
      </c>
      <c r="E2370" s="29"/>
      <c r="F2370" s="29" t="s">
        <v>3686</v>
      </c>
      <c r="G2370" s="29"/>
      <c r="H2370" s="29" t="s">
        <v>3687</v>
      </c>
      <c r="I2370" s="29"/>
      <c r="J2370" s="29"/>
      <c r="K2370" s="29"/>
      <c r="L2370" s="29"/>
      <c r="M2370" s="29" t="s">
        <v>9454</v>
      </c>
      <c r="N2370" s="29" t="s">
        <v>3522</v>
      </c>
      <c r="O2370" s="29"/>
      <c r="P2370" s="29" t="s">
        <v>2098</v>
      </c>
      <c r="Q2370" t="s">
        <v>2038</v>
      </c>
      <c r="R2370" t="s">
        <v>2634</v>
      </c>
      <c r="S2370">
        <v>37</v>
      </c>
      <c r="T2370" s="43" t="str">
        <f t="shared" si="102"/>
        <v>2021.001B.R.abolish_Caudovirales.zip;2021.035B.A.v1.Gracegardnervirinae.zip</v>
      </c>
      <c r="U2370" s="43" t="str">
        <f>HYPERLINK("https://ictv.global/taxonomy/taxondetails?taxnode_id=202200907","ictv.global=202200907")</f>
        <v>ictv.global=202200907</v>
      </c>
    </row>
    <row r="2371" spans="1:21">
      <c r="A2371">
        <v>2370</v>
      </c>
      <c r="B2371" s="29" t="s">
        <v>3682</v>
      </c>
      <c r="C2371" s="29"/>
      <c r="D2371" s="29" t="s">
        <v>3683</v>
      </c>
      <c r="E2371" s="29"/>
      <c r="F2371" s="29" t="s">
        <v>3686</v>
      </c>
      <c r="G2371" s="29"/>
      <c r="H2371" s="29" t="s">
        <v>3687</v>
      </c>
      <c r="I2371" s="29"/>
      <c r="J2371" s="29"/>
      <c r="K2371" s="29"/>
      <c r="L2371" s="29"/>
      <c r="M2371" s="29" t="s">
        <v>9454</v>
      </c>
      <c r="N2371" s="29" t="s">
        <v>3522</v>
      </c>
      <c r="O2371" s="29"/>
      <c r="P2371" s="29" t="s">
        <v>2099</v>
      </c>
      <c r="Q2371" t="s">
        <v>2038</v>
      </c>
      <c r="R2371" t="s">
        <v>2634</v>
      </c>
      <c r="S2371">
        <v>37</v>
      </c>
      <c r="T2371" s="43" t="str">
        <f t="shared" si="102"/>
        <v>2021.001B.R.abolish_Caudovirales.zip;2021.035B.A.v1.Gracegardnervirinae.zip</v>
      </c>
      <c r="U2371" s="43" t="str">
        <f>HYPERLINK("https://ictv.global/taxonomy/taxondetails?taxnode_id=202200908","ictv.global=202200908")</f>
        <v>ictv.global=202200908</v>
      </c>
    </row>
    <row r="2372" spans="1:21">
      <c r="A2372">
        <v>2371</v>
      </c>
      <c r="B2372" s="29" t="s">
        <v>3682</v>
      </c>
      <c r="C2372" s="29"/>
      <c r="D2372" s="29" t="s">
        <v>3683</v>
      </c>
      <c r="E2372" s="29"/>
      <c r="F2372" s="29" t="s">
        <v>3686</v>
      </c>
      <c r="G2372" s="29"/>
      <c r="H2372" s="29" t="s">
        <v>3687</v>
      </c>
      <c r="I2372" s="29"/>
      <c r="J2372" s="29"/>
      <c r="K2372" s="29"/>
      <c r="L2372" s="29"/>
      <c r="M2372" s="29" t="s">
        <v>9454</v>
      </c>
      <c r="N2372" s="29" t="s">
        <v>3522</v>
      </c>
      <c r="O2372" s="29"/>
      <c r="P2372" s="29" t="s">
        <v>2100</v>
      </c>
      <c r="Q2372" t="s">
        <v>2038</v>
      </c>
      <c r="R2372" t="s">
        <v>2634</v>
      </c>
      <c r="S2372">
        <v>37</v>
      </c>
      <c r="T2372" s="43" t="str">
        <f t="shared" si="102"/>
        <v>2021.001B.R.abolish_Caudovirales.zip;2021.035B.A.v1.Gracegardnervirinae.zip</v>
      </c>
      <c r="U2372" s="43" t="str">
        <f>HYPERLINK("https://ictv.global/taxonomy/taxondetails?taxnode_id=202200909","ictv.global=202200909")</f>
        <v>ictv.global=202200909</v>
      </c>
    </row>
    <row r="2373" spans="1:21">
      <c r="A2373">
        <v>2372</v>
      </c>
      <c r="B2373" s="29" t="s">
        <v>3682</v>
      </c>
      <c r="C2373" s="29"/>
      <c r="D2373" s="29" t="s">
        <v>3683</v>
      </c>
      <c r="E2373" s="29"/>
      <c r="F2373" s="29" t="s">
        <v>3686</v>
      </c>
      <c r="G2373" s="29"/>
      <c r="H2373" s="29" t="s">
        <v>3687</v>
      </c>
      <c r="I2373" s="29"/>
      <c r="J2373" s="29"/>
      <c r="K2373" s="29"/>
      <c r="L2373" s="29"/>
      <c r="M2373" s="29" t="s">
        <v>9454</v>
      </c>
      <c r="N2373" s="29" t="s">
        <v>3522</v>
      </c>
      <c r="O2373" s="29"/>
      <c r="P2373" s="29" t="s">
        <v>3993</v>
      </c>
      <c r="Q2373" t="s">
        <v>2038</v>
      </c>
      <c r="R2373" t="s">
        <v>2634</v>
      </c>
      <c r="S2373">
        <v>37</v>
      </c>
      <c r="T2373" s="43" t="str">
        <f t="shared" si="102"/>
        <v>2021.001B.R.abolish_Caudovirales.zip;2021.035B.A.v1.Gracegardnervirinae.zip</v>
      </c>
      <c r="U2373" s="43" t="str">
        <f>HYPERLINK("https://ictv.global/taxonomy/taxondetails?taxnode_id=202200910","ictv.global=202200910")</f>
        <v>ictv.global=202200910</v>
      </c>
    </row>
    <row r="2374" spans="1:21">
      <c r="A2374">
        <v>2373</v>
      </c>
      <c r="B2374" s="29" t="s">
        <v>3682</v>
      </c>
      <c r="C2374" s="29"/>
      <c r="D2374" s="29" t="s">
        <v>3683</v>
      </c>
      <c r="E2374" s="29"/>
      <c r="F2374" s="29" t="s">
        <v>3686</v>
      </c>
      <c r="G2374" s="29"/>
      <c r="H2374" s="29" t="s">
        <v>3687</v>
      </c>
      <c r="I2374" s="29"/>
      <c r="J2374" s="29"/>
      <c r="K2374" s="29"/>
      <c r="L2374" s="29"/>
      <c r="M2374" s="29" t="s">
        <v>9454</v>
      </c>
      <c r="N2374" s="29" t="s">
        <v>3522</v>
      </c>
      <c r="O2374" s="29"/>
      <c r="P2374" s="29" t="s">
        <v>2101</v>
      </c>
      <c r="Q2374" t="s">
        <v>2038</v>
      </c>
      <c r="R2374" t="s">
        <v>2634</v>
      </c>
      <c r="S2374">
        <v>37</v>
      </c>
      <c r="T2374" s="43" t="str">
        <f t="shared" si="102"/>
        <v>2021.001B.R.abolish_Caudovirales.zip;2021.035B.A.v1.Gracegardnervirinae.zip</v>
      </c>
      <c r="U2374" s="43" t="str">
        <f>HYPERLINK("https://ictv.global/taxonomy/taxondetails?taxnode_id=202200911","ictv.global=202200911")</f>
        <v>ictv.global=202200911</v>
      </c>
    </row>
    <row r="2375" spans="1:21">
      <c r="A2375">
        <v>2374</v>
      </c>
      <c r="B2375" s="29" t="s">
        <v>3682</v>
      </c>
      <c r="C2375" s="29"/>
      <c r="D2375" s="29" t="s">
        <v>3683</v>
      </c>
      <c r="E2375" s="29"/>
      <c r="F2375" s="29" t="s">
        <v>3686</v>
      </c>
      <c r="G2375" s="29"/>
      <c r="H2375" s="29" t="s">
        <v>3687</v>
      </c>
      <c r="I2375" s="29"/>
      <c r="J2375" s="29"/>
      <c r="K2375" s="29"/>
      <c r="L2375" s="29"/>
      <c r="M2375" s="29" t="s">
        <v>9454</v>
      </c>
      <c r="N2375" s="29" t="s">
        <v>3522</v>
      </c>
      <c r="O2375" s="29"/>
      <c r="P2375" s="29" t="s">
        <v>2102</v>
      </c>
      <c r="Q2375" t="s">
        <v>2038</v>
      </c>
      <c r="R2375" t="s">
        <v>2634</v>
      </c>
      <c r="S2375">
        <v>37</v>
      </c>
      <c r="T2375" s="43" t="str">
        <f t="shared" si="102"/>
        <v>2021.001B.R.abolish_Caudovirales.zip;2021.035B.A.v1.Gracegardnervirinae.zip</v>
      </c>
      <c r="U2375" s="43" t="str">
        <f>HYPERLINK("https://ictv.global/taxonomy/taxondetails?taxnode_id=202200912","ictv.global=202200912")</f>
        <v>ictv.global=202200912</v>
      </c>
    </row>
    <row r="2376" spans="1:21">
      <c r="A2376">
        <v>2375</v>
      </c>
      <c r="B2376" s="29" t="s">
        <v>3682</v>
      </c>
      <c r="C2376" s="29"/>
      <c r="D2376" s="29" t="s">
        <v>3683</v>
      </c>
      <c r="E2376" s="29"/>
      <c r="F2376" s="29" t="s">
        <v>3686</v>
      </c>
      <c r="G2376" s="29"/>
      <c r="H2376" s="29" t="s">
        <v>3687</v>
      </c>
      <c r="I2376" s="29"/>
      <c r="J2376" s="29"/>
      <c r="K2376" s="29"/>
      <c r="L2376" s="29"/>
      <c r="M2376" s="29" t="s">
        <v>9454</v>
      </c>
      <c r="N2376" s="29" t="s">
        <v>3522</v>
      </c>
      <c r="O2376" s="29"/>
      <c r="P2376" s="29" t="s">
        <v>2103</v>
      </c>
      <c r="Q2376" t="s">
        <v>2038</v>
      </c>
      <c r="R2376" t="s">
        <v>2634</v>
      </c>
      <c r="S2376">
        <v>37</v>
      </c>
      <c r="T2376" s="43" t="str">
        <f t="shared" si="102"/>
        <v>2021.001B.R.abolish_Caudovirales.zip;2021.035B.A.v1.Gracegardnervirinae.zip</v>
      </c>
      <c r="U2376" s="43" t="str">
        <f>HYPERLINK("https://ictv.global/taxonomy/taxondetails?taxnode_id=202200913","ictv.global=202200913")</f>
        <v>ictv.global=202200913</v>
      </c>
    </row>
    <row r="2377" spans="1:21">
      <c r="A2377">
        <v>2376</v>
      </c>
      <c r="B2377" s="29" t="s">
        <v>3682</v>
      </c>
      <c r="C2377" s="29"/>
      <c r="D2377" s="29" t="s">
        <v>3683</v>
      </c>
      <c r="E2377" s="29"/>
      <c r="F2377" s="29" t="s">
        <v>3686</v>
      </c>
      <c r="G2377" s="29"/>
      <c r="H2377" s="29" t="s">
        <v>3687</v>
      </c>
      <c r="I2377" s="29"/>
      <c r="J2377" s="29"/>
      <c r="K2377" s="29"/>
      <c r="L2377" s="29"/>
      <c r="M2377" s="29" t="s">
        <v>9454</v>
      </c>
      <c r="N2377" s="29" t="s">
        <v>3522</v>
      </c>
      <c r="O2377" s="29"/>
      <c r="P2377" s="29" t="s">
        <v>2104</v>
      </c>
      <c r="Q2377" t="s">
        <v>2038</v>
      </c>
      <c r="R2377" t="s">
        <v>2634</v>
      </c>
      <c r="S2377">
        <v>37</v>
      </c>
      <c r="T2377" s="43" t="str">
        <f t="shared" si="102"/>
        <v>2021.001B.R.abolish_Caudovirales.zip;2021.035B.A.v1.Gracegardnervirinae.zip</v>
      </c>
      <c r="U2377" s="43" t="str">
        <f>HYPERLINK("https://ictv.global/taxonomy/taxondetails?taxnode_id=202200914","ictv.global=202200914")</f>
        <v>ictv.global=202200914</v>
      </c>
    </row>
    <row r="2378" spans="1:21">
      <c r="A2378">
        <v>2377</v>
      </c>
      <c r="B2378" s="29" t="s">
        <v>3682</v>
      </c>
      <c r="C2378" s="29"/>
      <c r="D2378" s="29" t="s">
        <v>3683</v>
      </c>
      <c r="E2378" s="29"/>
      <c r="F2378" s="29" t="s">
        <v>3686</v>
      </c>
      <c r="G2378" s="29"/>
      <c r="H2378" s="29" t="s">
        <v>3687</v>
      </c>
      <c r="I2378" s="29"/>
      <c r="J2378" s="29"/>
      <c r="K2378" s="29"/>
      <c r="L2378" s="29"/>
      <c r="M2378" s="29" t="s">
        <v>9454</v>
      </c>
      <c r="N2378" s="29" t="s">
        <v>3522</v>
      </c>
      <c r="O2378" s="29"/>
      <c r="P2378" s="29" t="s">
        <v>2105</v>
      </c>
      <c r="Q2378" t="s">
        <v>2038</v>
      </c>
      <c r="R2378" t="s">
        <v>2634</v>
      </c>
      <c r="S2378">
        <v>37</v>
      </c>
      <c r="T2378" s="43" t="str">
        <f t="shared" si="102"/>
        <v>2021.001B.R.abolish_Caudovirales.zip;2021.035B.A.v1.Gracegardnervirinae.zip</v>
      </c>
      <c r="U2378" s="43" t="str">
        <f>HYPERLINK("https://ictv.global/taxonomy/taxondetails?taxnode_id=202200915","ictv.global=202200915")</f>
        <v>ictv.global=202200915</v>
      </c>
    </row>
    <row r="2379" spans="1:21">
      <c r="A2379">
        <v>2378</v>
      </c>
      <c r="B2379" s="29" t="s">
        <v>3682</v>
      </c>
      <c r="C2379" s="29"/>
      <c r="D2379" s="29" t="s">
        <v>3683</v>
      </c>
      <c r="E2379" s="29"/>
      <c r="F2379" s="29" t="s">
        <v>3686</v>
      </c>
      <c r="G2379" s="29"/>
      <c r="H2379" s="29" t="s">
        <v>3687</v>
      </c>
      <c r="I2379" s="29"/>
      <c r="J2379" s="29"/>
      <c r="K2379" s="29"/>
      <c r="L2379" s="29"/>
      <c r="M2379" s="29" t="s">
        <v>9454</v>
      </c>
      <c r="N2379" s="29" t="s">
        <v>3522</v>
      </c>
      <c r="O2379" s="29"/>
      <c r="P2379" s="29" t="s">
        <v>2106</v>
      </c>
      <c r="Q2379" t="s">
        <v>2038</v>
      </c>
      <c r="R2379" t="s">
        <v>2634</v>
      </c>
      <c r="S2379">
        <v>37</v>
      </c>
      <c r="T2379" s="43" t="str">
        <f t="shared" si="102"/>
        <v>2021.001B.R.abolish_Caudovirales.zip;2021.035B.A.v1.Gracegardnervirinae.zip</v>
      </c>
      <c r="U2379" s="43" t="str">
        <f>HYPERLINK("https://ictv.global/taxonomy/taxondetails?taxnode_id=202200916","ictv.global=202200916")</f>
        <v>ictv.global=202200916</v>
      </c>
    </row>
    <row r="2380" spans="1:21">
      <c r="A2380">
        <v>2379</v>
      </c>
      <c r="B2380" s="29" t="s">
        <v>3682</v>
      </c>
      <c r="C2380" s="29"/>
      <c r="D2380" s="29" t="s">
        <v>3683</v>
      </c>
      <c r="E2380" s="29"/>
      <c r="F2380" s="29" t="s">
        <v>3686</v>
      </c>
      <c r="G2380" s="29"/>
      <c r="H2380" s="29" t="s">
        <v>3687</v>
      </c>
      <c r="I2380" s="29"/>
      <c r="J2380" s="29"/>
      <c r="K2380" s="29"/>
      <c r="L2380" s="29"/>
      <c r="M2380" s="29" t="s">
        <v>9454</v>
      </c>
      <c r="N2380" s="29" t="s">
        <v>3522</v>
      </c>
      <c r="O2380" s="29"/>
      <c r="P2380" s="29" t="s">
        <v>2107</v>
      </c>
      <c r="Q2380" t="s">
        <v>2038</v>
      </c>
      <c r="R2380" t="s">
        <v>2634</v>
      </c>
      <c r="S2380">
        <v>37</v>
      </c>
      <c r="T2380" s="43" t="str">
        <f t="shared" si="102"/>
        <v>2021.001B.R.abolish_Caudovirales.zip;2021.035B.A.v1.Gracegardnervirinae.zip</v>
      </c>
      <c r="U2380" s="43" t="str">
        <f>HYPERLINK("https://ictv.global/taxonomy/taxondetails?taxnode_id=202200917","ictv.global=202200917")</f>
        <v>ictv.global=202200917</v>
      </c>
    </row>
    <row r="2381" spans="1:21">
      <c r="A2381">
        <v>2380</v>
      </c>
      <c r="B2381" s="29" t="s">
        <v>3682</v>
      </c>
      <c r="C2381" s="29"/>
      <c r="D2381" s="29" t="s">
        <v>3683</v>
      </c>
      <c r="E2381" s="29"/>
      <c r="F2381" s="29" t="s">
        <v>3686</v>
      </c>
      <c r="G2381" s="29"/>
      <c r="H2381" s="29" t="s">
        <v>3687</v>
      </c>
      <c r="I2381" s="29"/>
      <c r="J2381" s="29"/>
      <c r="K2381" s="29"/>
      <c r="L2381" s="29"/>
      <c r="M2381" s="29" t="s">
        <v>9454</v>
      </c>
      <c r="N2381" s="29" t="s">
        <v>4716</v>
      </c>
      <c r="O2381" s="29"/>
      <c r="P2381" s="29" t="s">
        <v>4717</v>
      </c>
      <c r="Q2381" t="s">
        <v>2038</v>
      </c>
      <c r="R2381" t="s">
        <v>2634</v>
      </c>
      <c r="S2381">
        <v>37</v>
      </c>
      <c r="T2381" s="43" t="str">
        <f t="shared" si="102"/>
        <v>2021.001B.R.abolish_Caudovirales.zip;2021.035B.A.v1.Gracegardnervirinae.zip</v>
      </c>
      <c r="U2381" s="43" t="str">
        <f>HYPERLINK("https://ictv.global/taxonomy/taxondetails?taxnode_id=202209899","ictv.global=202209899")</f>
        <v>ictv.global=202209899</v>
      </c>
    </row>
    <row r="2382" spans="1:21">
      <c r="A2382">
        <v>2381</v>
      </c>
      <c r="B2382" s="29" t="s">
        <v>3682</v>
      </c>
      <c r="C2382" s="29"/>
      <c r="D2382" s="29" t="s">
        <v>3683</v>
      </c>
      <c r="E2382" s="29"/>
      <c r="F2382" s="29" t="s">
        <v>3686</v>
      </c>
      <c r="G2382" s="29"/>
      <c r="H2382" s="29" t="s">
        <v>3687</v>
      </c>
      <c r="I2382" s="29"/>
      <c r="J2382" s="29"/>
      <c r="K2382" s="29"/>
      <c r="L2382" s="29"/>
      <c r="M2382" s="29" t="s">
        <v>9454</v>
      </c>
      <c r="N2382" s="29" t="s">
        <v>9542</v>
      </c>
      <c r="O2382" s="29"/>
      <c r="P2382" s="29" t="s">
        <v>9543</v>
      </c>
      <c r="Q2382" t="s">
        <v>2038</v>
      </c>
      <c r="R2382" t="s">
        <v>2632</v>
      </c>
      <c r="S2382">
        <v>37</v>
      </c>
      <c r="T2382" s="43" t="str">
        <f>HYPERLINK("https://ictv.global/ictv/proposals/2021.035B.R.Gracegardnervirinae.zip","2021.035B.R.Gracegardnervirinae.zip")</f>
        <v>2021.035B.R.Gracegardnervirinae.zip</v>
      </c>
      <c r="U2382" s="43" t="str">
        <f>HYPERLINK("https://ictv.global/taxonomy/taxondetails?taxnode_id=202212339","ictv.global=202212339")</f>
        <v>ictv.global=202212339</v>
      </c>
    </row>
    <row r="2383" spans="1:21">
      <c r="A2383">
        <v>2382</v>
      </c>
      <c r="B2383" s="29" t="s">
        <v>3682</v>
      </c>
      <c r="C2383" s="29"/>
      <c r="D2383" s="29" t="s">
        <v>3683</v>
      </c>
      <c r="E2383" s="29"/>
      <c r="F2383" s="29" t="s">
        <v>3686</v>
      </c>
      <c r="G2383" s="29"/>
      <c r="H2383" s="29" t="s">
        <v>3687</v>
      </c>
      <c r="I2383" s="29"/>
      <c r="J2383" s="29"/>
      <c r="K2383" s="29"/>
      <c r="L2383" s="29"/>
      <c r="M2383" s="29" t="s">
        <v>9454</v>
      </c>
      <c r="N2383" s="29" t="s">
        <v>4777</v>
      </c>
      <c r="O2383" s="29"/>
      <c r="P2383" s="29" t="s">
        <v>4778</v>
      </c>
      <c r="Q2383" t="s">
        <v>2038</v>
      </c>
      <c r="R2383" t="s">
        <v>2634</v>
      </c>
      <c r="S2383">
        <v>37</v>
      </c>
      <c r="T2383" s="43" t="str">
        <f>HYPERLINK("https://ictv.global/ictv/proposals/2021.001B.R.abolish_Caudovirales.zip","2021.001B.R.abolish_Caudovirales.zip;2021.035B.A.v1.Gracegardnervirinae.zip")</f>
        <v>2021.001B.R.abolish_Caudovirales.zip;2021.035B.A.v1.Gracegardnervirinae.zip</v>
      </c>
      <c r="U2383" s="43" t="str">
        <f>HYPERLINK("https://ictv.global/taxonomy/taxondetails?taxnode_id=202211958","ictv.global=202211958")</f>
        <v>ictv.global=202211958</v>
      </c>
    </row>
    <row r="2384" spans="1:21">
      <c r="A2384">
        <v>2383</v>
      </c>
      <c r="B2384" s="29" t="s">
        <v>3682</v>
      </c>
      <c r="C2384" s="29"/>
      <c r="D2384" s="29" t="s">
        <v>3683</v>
      </c>
      <c r="E2384" s="29"/>
      <c r="F2384" s="29" t="s">
        <v>3686</v>
      </c>
      <c r="G2384" s="29"/>
      <c r="H2384" s="29" t="s">
        <v>3687</v>
      </c>
      <c r="I2384" s="29"/>
      <c r="J2384" s="29"/>
      <c r="K2384" s="29"/>
      <c r="L2384" s="29"/>
      <c r="M2384" s="29" t="s">
        <v>9454</v>
      </c>
      <c r="N2384" s="29" t="s">
        <v>4783</v>
      </c>
      <c r="O2384" s="29"/>
      <c r="P2384" s="29" t="s">
        <v>4784</v>
      </c>
      <c r="Q2384" t="s">
        <v>2038</v>
      </c>
      <c r="R2384" t="s">
        <v>2634</v>
      </c>
      <c r="S2384">
        <v>37</v>
      </c>
      <c r="T2384" s="43" t="str">
        <f>HYPERLINK("https://ictv.global/ictv/proposals/2021.001B.R.abolish_Caudovirales.zip","2021.001B.R.abolish_Caudovirales.zip;2021.035B.A.v1.Gracegardnervirinae.zip")</f>
        <v>2021.001B.R.abolish_Caudovirales.zip;2021.035B.A.v1.Gracegardnervirinae.zip</v>
      </c>
      <c r="U2384" s="43" t="str">
        <f>HYPERLINK("https://ictv.global/taxonomy/taxondetails?taxnode_id=202212027","ictv.global=202212027")</f>
        <v>ictv.global=202212027</v>
      </c>
    </row>
    <row r="2385" spans="1:21">
      <c r="A2385">
        <v>2384</v>
      </c>
      <c r="B2385" s="29" t="s">
        <v>3682</v>
      </c>
      <c r="C2385" s="29"/>
      <c r="D2385" s="29" t="s">
        <v>3683</v>
      </c>
      <c r="E2385" s="29"/>
      <c r="F2385" s="29" t="s">
        <v>3686</v>
      </c>
      <c r="G2385" s="29"/>
      <c r="H2385" s="29" t="s">
        <v>3687</v>
      </c>
      <c r="I2385" s="29"/>
      <c r="J2385" s="29"/>
      <c r="K2385" s="29"/>
      <c r="L2385" s="29"/>
      <c r="M2385" s="29" t="s">
        <v>9454</v>
      </c>
      <c r="N2385" s="29" t="s">
        <v>4783</v>
      </c>
      <c r="O2385" s="29"/>
      <c r="P2385" s="29" t="s">
        <v>4785</v>
      </c>
      <c r="Q2385" t="s">
        <v>2038</v>
      </c>
      <c r="R2385" t="s">
        <v>2634</v>
      </c>
      <c r="S2385">
        <v>37</v>
      </c>
      <c r="T2385" s="43" t="str">
        <f>HYPERLINK("https://ictv.global/ictv/proposals/2021.001B.R.abolish_Caudovirales.zip","2021.001B.R.abolish_Caudovirales.zip;2021.035B.A.v1.Gracegardnervirinae.zip")</f>
        <v>2021.001B.R.abolish_Caudovirales.zip;2021.035B.A.v1.Gracegardnervirinae.zip</v>
      </c>
      <c r="U2385" s="43" t="str">
        <f>HYPERLINK("https://ictv.global/taxonomy/taxondetails?taxnode_id=202212028","ictv.global=202212028")</f>
        <v>ictv.global=202212028</v>
      </c>
    </row>
    <row r="2386" spans="1:21">
      <c r="A2386">
        <v>2385</v>
      </c>
      <c r="B2386" s="29" t="s">
        <v>3682</v>
      </c>
      <c r="C2386" s="29"/>
      <c r="D2386" s="29" t="s">
        <v>3683</v>
      </c>
      <c r="E2386" s="29"/>
      <c r="F2386" s="29" t="s">
        <v>3686</v>
      </c>
      <c r="G2386" s="29"/>
      <c r="H2386" s="29" t="s">
        <v>3687</v>
      </c>
      <c r="I2386" s="29"/>
      <c r="J2386" s="29"/>
      <c r="K2386" s="29"/>
      <c r="L2386" s="29"/>
      <c r="M2386" s="29" t="s">
        <v>9454</v>
      </c>
      <c r="N2386" s="29" t="s">
        <v>4783</v>
      </c>
      <c r="O2386" s="29"/>
      <c r="P2386" s="29" t="s">
        <v>4786</v>
      </c>
      <c r="Q2386" t="s">
        <v>2038</v>
      </c>
      <c r="R2386" t="s">
        <v>2634</v>
      </c>
      <c r="S2386">
        <v>37</v>
      </c>
      <c r="T2386" s="43" t="str">
        <f>HYPERLINK("https://ictv.global/ictv/proposals/2021.001B.R.abolish_Caudovirales.zip","2021.001B.R.abolish_Caudovirales.zip;2021.035B.A.v1.Gracegardnervirinae.zip")</f>
        <v>2021.001B.R.abolish_Caudovirales.zip;2021.035B.A.v1.Gracegardnervirinae.zip</v>
      </c>
      <c r="U2386" s="43" t="str">
        <f>HYPERLINK("https://ictv.global/taxonomy/taxondetails?taxnode_id=202212026","ictv.global=202212026")</f>
        <v>ictv.global=202212026</v>
      </c>
    </row>
    <row r="2387" spans="1:21">
      <c r="A2387">
        <v>2386</v>
      </c>
      <c r="B2387" s="29" t="s">
        <v>3682</v>
      </c>
      <c r="C2387" s="29"/>
      <c r="D2387" s="29" t="s">
        <v>3683</v>
      </c>
      <c r="E2387" s="29"/>
      <c r="F2387" s="29" t="s">
        <v>3686</v>
      </c>
      <c r="G2387" s="29"/>
      <c r="H2387" s="29" t="s">
        <v>3687</v>
      </c>
      <c r="I2387" s="29"/>
      <c r="J2387" s="29"/>
      <c r="K2387" s="29"/>
      <c r="L2387" s="29"/>
      <c r="M2387" s="29" t="s">
        <v>2073</v>
      </c>
      <c r="N2387" s="29" t="s">
        <v>3491</v>
      </c>
      <c r="O2387" s="29"/>
      <c r="P2387" s="29" t="s">
        <v>9544</v>
      </c>
      <c r="Q2387" t="s">
        <v>2038</v>
      </c>
      <c r="R2387" t="s">
        <v>2633</v>
      </c>
      <c r="S2387">
        <v>37</v>
      </c>
      <c r="T2387" s="43" t="str">
        <f t="shared" ref="T2387:T2423" si="103">HYPERLINK("https://ictv.global/ictv/proposals/2021.010B.R.Binomial_names.zip","2021.010B.R.Binomial_names.zip")</f>
        <v>2021.010B.R.Binomial_names.zip</v>
      </c>
      <c r="U2387" s="43" t="str">
        <f>HYPERLINK("https://ictv.global/taxonomy/taxondetails?taxnode_id=202200786","ictv.global=202200786")</f>
        <v>ictv.global=202200786</v>
      </c>
    </row>
    <row r="2388" spans="1:21">
      <c r="A2388">
        <v>2387</v>
      </c>
      <c r="B2388" s="29" t="s">
        <v>3682</v>
      </c>
      <c r="C2388" s="29"/>
      <c r="D2388" s="29" t="s">
        <v>3683</v>
      </c>
      <c r="E2388" s="29"/>
      <c r="F2388" s="29" t="s">
        <v>3686</v>
      </c>
      <c r="G2388" s="29"/>
      <c r="H2388" s="29" t="s">
        <v>3687</v>
      </c>
      <c r="I2388" s="29"/>
      <c r="J2388" s="29"/>
      <c r="K2388" s="29"/>
      <c r="L2388" s="29"/>
      <c r="M2388" s="29" t="s">
        <v>2073</v>
      </c>
      <c r="N2388" s="29" t="s">
        <v>2074</v>
      </c>
      <c r="O2388" s="29"/>
      <c r="P2388" s="29" t="s">
        <v>9545</v>
      </c>
      <c r="Q2388" t="s">
        <v>2038</v>
      </c>
      <c r="R2388" t="s">
        <v>2633</v>
      </c>
      <c r="S2388">
        <v>37</v>
      </c>
      <c r="T2388" s="43" t="str">
        <f t="shared" si="103"/>
        <v>2021.010B.R.Binomial_names.zip</v>
      </c>
      <c r="U2388" s="43" t="str">
        <f>HYPERLINK("https://ictv.global/taxonomy/taxondetails?taxnode_id=202200767","ictv.global=202200767")</f>
        <v>ictv.global=202200767</v>
      </c>
    </row>
    <row r="2389" spans="1:21">
      <c r="A2389">
        <v>2388</v>
      </c>
      <c r="B2389" s="29" t="s">
        <v>3682</v>
      </c>
      <c r="C2389" s="29"/>
      <c r="D2389" s="29" t="s">
        <v>3683</v>
      </c>
      <c r="E2389" s="29"/>
      <c r="F2389" s="29" t="s">
        <v>3686</v>
      </c>
      <c r="G2389" s="29"/>
      <c r="H2389" s="29" t="s">
        <v>3687</v>
      </c>
      <c r="I2389" s="29"/>
      <c r="J2389" s="29"/>
      <c r="K2389" s="29"/>
      <c r="L2389" s="29"/>
      <c r="M2389" s="29" t="s">
        <v>2073</v>
      </c>
      <c r="N2389" s="29" t="s">
        <v>2074</v>
      </c>
      <c r="O2389" s="29"/>
      <c r="P2389" s="29" t="s">
        <v>9546</v>
      </c>
      <c r="Q2389" t="s">
        <v>2038</v>
      </c>
      <c r="R2389" t="s">
        <v>2633</v>
      </c>
      <c r="S2389">
        <v>37</v>
      </c>
      <c r="T2389" s="43" t="str">
        <f t="shared" si="103"/>
        <v>2021.010B.R.Binomial_names.zip</v>
      </c>
      <c r="U2389" s="43" t="str">
        <f>HYPERLINK("https://ictv.global/taxonomy/taxondetails?taxnode_id=202200768","ictv.global=202200768")</f>
        <v>ictv.global=202200768</v>
      </c>
    </row>
    <row r="2390" spans="1:21">
      <c r="A2390">
        <v>2389</v>
      </c>
      <c r="B2390" s="29" t="s">
        <v>3682</v>
      </c>
      <c r="C2390" s="29"/>
      <c r="D2390" s="29" t="s">
        <v>3683</v>
      </c>
      <c r="E2390" s="29"/>
      <c r="F2390" s="29" t="s">
        <v>3686</v>
      </c>
      <c r="G2390" s="29"/>
      <c r="H2390" s="29" t="s">
        <v>3687</v>
      </c>
      <c r="I2390" s="29"/>
      <c r="J2390" s="29"/>
      <c r="K2390" s="29"/>
      <c r="L2390" s="29"/>
      <c r="M2390" s="29" t="s">
        <v>2073</v>
      </c>
      <c r="N2390" s="29" t="s">
        <v>2074</v>
      </c>
      <c r="O2390" s="29"/>
      <c r="P2390" s="29" t="s">
        <v>9547</v>
      </c>
      <c r="Q2390" t="s">
        <v>2038</v>
      </c>
      <c r="R2390" t="s">
        <v>2633</v>
      </c>
      <c r="S2390">
        <v>37</v>
      </c>
      <c r="T2390" s="43" t="str">
        <f t="shared" si="103"/>
        <v>2021.010B.R.Binomial_names.zip</v>
      </c>
      <c r="U2390" s="43" t="str">
        <f>HYPERLINK("https://ictv.global/taxonomy/taxondetails?taxnode_id=202200769","ictv.global=202200769")</f>
        <v>ictv.global=202200769</v>
      </c>
    </row>
    <row r="2391" spans="1:21">
      <c r="A2391">
        <v>2390</v>
      </c>
      <c r="B2391" s="29" t="s">
        <v>3682</v>
      </c>
      <c r="C2391" s="29"/>
      <c r="D2391" s="29" t="s">
        <v>3683</v>
      </c>
      <c r="E2391" s="29"/>
      <c r="F2391" s="29" t="s">
        <v>3686</v>
      </c>
      <c r="G2391" s="29"/>
      <c r="H2391" s="29" t="s">
        <v>3687</v>
      </c>
      <c r="I2391" s="29"/>
      <c r="J2391" s="29"/>
      <c r="K2391" s="29"/>
      <c r="L2391" s="29"/>
      <c r="M2391" s="29" t="s">
        <v>2073</v>
      </c>
      <c r="N2391" s="29" t="s">
        <v>2074</v>
      </c>
      <c r="O2391" s="29"/>
      <c r="P2391" s="29" t="s">
        <v>9548</v>
      </c>
      <c r="Q2391" t="s">
        <v>2038</v>
      </c>
      <c r="R2391" t="s">
        <v>2633</v>
      </c>
      <c r="S2391">
        <v>37</v>
      </c>
      <c r="T2391" s="43" t="str">
        <f t="shared" si="103"/>
        <v>2021.010B.R.Binomial_names.zip</v>
      </c>
      <c r="U2391" s="43" t="str">
        <f>HYPERLINK("https://ictv.global/taxonomy/taxondetails?taxnode_id=202200770","ictv.global=202200770")</f>
        <v>ictv.global=202200770</v>
      </c>
    </row>
    <row r="2392" spans="1:21">
      <c r="A2392">
        <v>2391</v>
      </c>
      <c r="B2392" s="29" t="s">
        <v>3682</v>
      </c>
      <c r="C2392" s="29"/>
      <c r="D2392" s="29" t="s">
        <v>3683</v>
      </c>
      <c r="E2392" s="29"/>
      <c r="F2392" s="29" t="s">
        <v>3686</v>
      </c>
      <c r="G2392" s="29"/>
      <c r="H2392" s="29" t="s">
        <v>3687</v>
      </c>
      <c r="I2392" s="29"/>
      <c r="J2392" s="29"/>
      <c r="K2392" s="29"/>
      <c r="L2392" s="29"/>
      <c r="M2392" s="29" t="s">
        <v>2073</v>
      </c>
      <c r="N2392" s="29" t="s">
        <v>2074</v>
      </c>
      <c r="O2392" s="29"/>
      <c r="P2392" s="29" t="s">
        <v>9549</v>
      </c>
      <c r="Q2392" t="s">
        <v>2038</v>
      </c>
      <c r="R2392" t="s">
        <v>2633</v>
      </c>
      <c r="S2392">
        <v>37</v>
      </c>
      <c r="T2392" s="43" t="str">
        <f t="shared" si="103"/>
        <v>2021.010B.R.Binomial_names.zip</v>
      </c>
      <c r="U2392" s="43" t="str">
        <f>HYPERLINK("https://ictv.global/taxonomy/taxondetails?taxnode_id=202200771","ictv.global=202200771")</f>
        <v>ictv.global=202200771</v>
      </c>
    </row>
    <row r="2393" spans="1:21">
      <c r="A2393">
        <v>2392</v>
      </c>
      <c r="B2393" s="29" t="s">
        <v>3682</v>
      </c>
      <c r="C2393" s="29"/>
      <c r="D2393" s="29" t="s">
        <v>3683</v>
      </c>
      <c r="E2393" s="29"/>
      <c r="F2393" s="29" t="s">
        <v>3686</v>
      </c>
      <c r="G2393" s="29"/>
      <c r="H2393" s="29" t="s">
        <v>3687</v>
      </c>
      <c r="I2393" s="29"/>
      <c r="J2393" s="29"/>
      <c r="K2393" s="29"/>
      <c r="L2393" s="29"/>
      <c r="M2393" s="29" t="s">
        <v>2073</v>
      </c>
      <c r="N2393" s="29" t="s">
        <v>2074</v>
      </c>
      <c r="O2393" s="29"/>
      <c r="P2393" s="29" t="s">
        <v>9550</v>
      </c>
      <c r="Q2393" t="s">
        <v>2038</v>
      </c>
      <c r="R2393" t="s">
        <v>2633</v>
      </c>
      <c r="S2393">
        <v>37</v>
      </c>
      <c r="T2393" s="43" t="str">
        <f t="shared" si="103"/>
        <v>2021.010B.R.Binomial_names.zip</v>
      </c>
      <c r="U2393" s="43" t="str">
        <f>HYPERLINK("https://ictv.global/taxonomy/taxondetails?taxnode_id=202200772","ictv.global=202200772")</f>
        <v>ictv.global=202200772</v>
      </c>
    </row>
    <row r="2394" spans="1:21">
      <c r="A2394">
        <v>2393</v>
      </c>
      <c r="B2394" s="29" t="s">
        <v>3682</v>
      </c>
      <c r="C2394" s="29"/>
      <c r="D2394" s="29" t="s">
        <v>3683</v>
      </c>
      <c r="E2394" s="29"/>
      <c r="F2394" s="29" t="s">
        <v>3686</v>
      </c>
      <c r="G2394" s="29"/>
      <c r="H2394" s="29" t="s">
        <v>3687</v>
      </c>
      <c r="I2394" s="29"/>
      <c r="J2394" s="29"/>
      <c r="K2394" s="29"/>
      <c r="L2394" s="29"/>
      <c r="M2394" s="29" t="s">
        <v>2073</v>
      </c>
      <c r="N2394" s="29" t="s">
        <v>2074</v>
      </c>
      <c r="O2394" s="29"/>
      <c r="P2394" s="29" t="s">
        <v>9551</v>
      </c>
      <c r="Q2394" t="s">
        <v>2038</v>
      </c>
      <c r="R2394" t="s">
        <v>2633</v>
      </c>
      <c r="S2394">
        <v>37</v>
      </c>
      <c r="T2394" s="43" t="str">
        <f t="shared" si="103"/>
        <v>2021.010B.R.Binomial_names.zip</v>
      </c>
      <c r="U2394" s="43" t="str">
        <f>HYPERLINK("https://ictv.global/taxonomy/taxondetails?taxnode_id=202200773","ictv.global=202200773")</f>
        <v>ictv.global=202200773</v>
      </c>
    </row>
    <row r="2395" spans="1:21">
      <c r="A2395">
        <v>2394</v>
      </c>
      <c r="B2395" s="29" t="s">
        <v>3682</v>
      </c>
      <c r="C2395" s="29"/>
      <c r="D2395" s="29" t="s">
        <v>3683</v>
      </c>
      <c r="E2395" s="29"/>
      <c r="F2395" s="29" t="s">
        <v>3686</v>
      </c>
      <c r="G2395" s="29"/>
      <c r="H2395" s="29" t="s">
        <v>3687</v>
      </c>
      <c r="I2395" s="29"/>
      <c r="J2395" s="29"/>
      <c r="K2395" s="29"/>
      <c r="L2395" s="29"/>
      <c r="M2395" s="29" t="s">
        <v>2073</v>
      </c>
      <c r="N2395" s="29" t="s">
        <v>2074</v>
      </c>
      <c r="O2395" s="29"/>
      <c r="P2395" s="29" t="s">
        <v>9552</v>
      </c>
      <c r="Q2395" t="s">
        <v>2038</v>
      </c>
      <c r="R2395" t="s">
        <v>2633</v>
      </c>
      <c r="S2395">
        <v>37</v>
      </c>
      <c r="T2395" s="43" t="str">
        <f t="shared" si="103"/>
        <v>2021.010B.R.Binomial_names.zip</v>
      </c>
      <c r="U2395" s="43" t="str">
        <f>HYPERLINK("https://ictv.global/taxonomy/taxondetails?taxnode_id=202200774","ictv.global=202200774")</f>
        <v>ictv.global=202200774</v>
      </c>
    </row>
    <row r="2396" spans="1:21">
      <c r="A2396">
        <v>2395</v>
      </c>
      <c r="B2396" s="29" t="s">
        <v>3682</v>
      </c>
      <c r="C2396" s="29"/>
      <c r="D2396" s="29" t="s">
        <v>3683</v>
      </c>
      <c r="E2396" s="29"/>
      <c r="F2396" s="29" t="s">
        <v>3686</v>
      </c>
      <c r="G2396" s="29"/>
      <c r="H2396" s="29" t="s">
        <v>3687</v>
      </c>
      <c r="I2396" s="29"/>
      <c r="J2396" s="29"/>
      <c r="K2396" s="29"/>
      <c r="L2396" s="29"/>
      <c r="M2396" s="29" t="s">
        <v>2073</v>
      </c>
      <c r="N2396" s="29" t="s">
        <v>2074</v>
      </c>
      <c r="O2396" s="29"/>
      <c r="P2396" s="29" t="s">
        <v>9553</v>
      </c>
      <c r="Q2396" t="s">
        <v>2038</v>
      </c>
      <c r="R2396" t="s">
        <v>2633</v>
      </c>
      <c r="S2396">
        <v>37</v>
      </c>
      <c r="T2396" s="43" t="str">
        <f t="shared" si="103"/>
        <v>2021.010B.R.Binomial_names.zip</v>
      </c>
      <c r="U2396" s="43" t="str">
        <f>HYPERLINK("https://ictv.global/taxonomy/taxondetails?taxnode_id=202200775","ictv.global=202200775")</f>
        <v>ictv.global=202200775</v>
      </c>
    </row>
    <row r="2397" spans="1:21">
      <c r="A2397">
        <v>2396</v>
      </c>
      <c r="B2397" s="29" t="s">
        <v>3682</v>
      </c>
      <c r="C2397" s="29"/>
      <c r="D2397" s="29" t="s">
        <v>3683</v>
      </c>
      <c r="E2397" s="29"/>
      <c r="F2397" s="29" t="s">
        <v>3686</v>
      </c>
      <c r="G2397" s="29"/>
      <c r="H2397" s="29" t="s">
        <v>3687</v>
      </c>
      <c r="I2397" s="29"/>
      <c r="J2397" s="29"/>
      <c r="K2397" s="29"/>
      <c r="L2397" s="29"/>
      <c r="M2397" s="29" t="s">
        <v>2073</v>
      </c>
      <c r="N2397" s="29" t="s">
        <v>2074</v>
      </c>
      <c r="O2397" s="29"/>
      <c r="P2397" s="29" t="s">
        <v>9554</v>
      </c>
      <c r="Q2397" t="s">
        <v>2038</v>
      </c>
      <c r="R2397" t="s">
        <v>2633</v>
      </c>
      <c r="S2397">
        <v>37</v>
      </c>
      <c r="T2397" s="43" t="str">
        <f t="shared" si="103"/>
        <v>2021.010B.R.Binomial_names.zip</v>
      </c>
      <c r="U2397" s="43" t="str">
        <f>HYPERLINK("https://ictv.global/taxonomy/taxondetails?taxnode_id=202200776","ictv.global=202200776")</f>
        <v>ictv.global=202200776</v>
      </c>
    </row>
    <row r="2398" spans="1:21">
      <c r="A2398">
        <v>2397</v>
      </c>
      <c r="B2398" s="29" t="s">
        <v>3682</v>
      </c>
      <c r="C2398" s="29"/>
      <c r="D2398" s="29" t="s">
        <v>3683</v>
      </c>
      <c r="E2398" s="29"/>
      <c r="F2398" s="29" t="s">
        <v>3686</v>
      </c>
      <c r="G2398" s="29"/>
      <c r="H2398" s="29" t="s">
        <v>3687</v>
      </c>
      <c r="I2398" s="29"/>
      <c r="J2398" s="29"/>
      <c r="K2398" s="29"/>
      <c r="L2398" s="29"/>
      <c r="M2398" s="29" t="s">
        <v>2073</v>
      </c>
      <c r="N2398" s="29" t="s">
        <v>2074</v>
      </c>
      <c r="O2398" s="29"/>
      <c r="P2398" s="29" t="s">
        <v>9555</v>
      </c>
      <c r="Q2398" t="s">
        <v>2038</v>
      </c>
      <c r="R2398" t="s">
        <v>2633</v>
      </c>
      <c r="S2398">
        <v>37</v>
      </c>
      <c r="T2398" s="43" t="str">
        <f t="shared" si="103"/>
        <v>2021.010B.R.Binomial_names.zip</v>
      </c>
      <c r="U2398" s="43" t="str">
        <f>HYPERLINK("https://ictv.global/taxonomy/taxondetails?taxnode_id=202200777","ictv.global=202200777")</f>
        <v>ictv.global=202200777</v>
      </c>
    </row>
    <row r="2399" spans="1:21">
      <c r="A2399">
        <v>2398</v>
      </c>
      <c r="B2399" s="29" t="s">
        <v>3682</v>
      </c>
      <c r="C2399" s="29"/>
      <c r="D2399" s="29" t="s">
        <v>3683</v>
      </c>
      <c r="E2399" s="29"/>
      <c r="F2399" s="29" t="s">
        <v>3686</v>
      </c>
      <c r="G2399" s="29"/>
      <c r="H2399" s="29" t="s">
        <v>3687</v>
      </c>
      <c r="I2399" s="29"/>
      <c r="J2399" s="29"/>
      <c r="K2399" s="29"/>
      <c r="L2399" s="29"/>
      <c r="M2399" s="29" t="s">
        <v>2073</v>
      </c>
      <c r="N2399" s="29" t="s">
        <v>2074</v>
      </c>
      <c r="O2399" s="29"/>
      <c r="P2399" s="29" t="s">
        <v>9556</v>
      </c>
      <c r="Q2399" t="s">
        <v>2038</v>
      </c>
      <c r="R2399" t="s">
        <v>2633</v>
      </c>
      <c r="S2399">
        <v>37</v>
      </c>
      <c r="T2399" s="43" t="str">
        <f t="shared" si="103"/>
        <v>2021.010B.R.Binomial_names.zip</v>
      </c>
      <c r="U2399" s="43" t="str">
        <f>HYPERLINK("https://ictv.global/taxonomy/taxondetails?taxnode_id=202200778","ictv.global=202200778")</f>
        <v>ictv.global=202200778</v>
      </c>
    </row>
    <row r="2400" spans="1:21">
      <c r="A2400">
        <v>2399</v>
      </c>
      <c r="B2400" s="29" t="s">
        <v>3682</v>
      </c>
      <c r="C2400" s="29"/>
      <c r="D2400" s="29" t="s">
        <v>3683</v>
      </c>
      <c r="E2400" s="29"/>
      <c r="F2400" s="29" t="s">
        <v>3686</v>
      </c>
      <c r="G2400" s="29"/>
      <c r="H2400" s="29" t="s">
        <v>3687</v>
      </c>
      <c r="I2400" s="29"/>
      <c r="J2400" s="29"/>
      <c r="K2400" s="29"/>
      <c r="L2400" s="29"/>
      <c r="M2400" s="29" t="s">
        <v>2073</v>
      </c>
      <c r="N2400" s="29" t="s">
        <v>2074</v>
      </c>
      <c r="O2400" s="29"/>
      <c r="P2400" s="29" t="s">
        <v>9557</v>
      </c>
      <c r="Q2400" t="s">
        <v>2038</v>
      </c>
      <c r="R2400" t="s">
        <v>2633</v>
      </c>
      <c r="S2400">
        <v>37</v>
      </c>
      <c r="T2400" s="43" t="str">
        <f t="shared" si="103"/>
        <v>2021.010B.R.Binomial_names.zip</v>
      </c>
      <c r="U2400" s="43" t="str">
        <f>HYPERLINK("https://ictv.global/taxonomy/taxondetails?taxnode_id=202200779","ictv.global=202200779")</f>
        <v>ictv.global=202200779</v>
      </c>
    </row>
    <row r="2401" spans="1:21">
      <c r="A2401">
        <v>2400</v>
      </c>
      <c r="B2401" s="29" t="s">
        <v>3682</v>
      </c>
      <c r="C2401" s="29"/>
      <c r="D2401" s="29" t="s">
        <v>3683</v>
      </c>
      <c r="E2401" s="29"/>
      <c r="F2401" s="29" t="s">
        <v>3686</v>
      </c>
      <c r="G2401" s="29"/>
      <c r="H2401" s="29" t="s">
        <v>3687</v>
      </c>
      <c r="I2401" s="29"/>
      <c r="J2401" s="29"/>
      <c r="K2401" s="29"/>
      <c r="L2401" s="29"/>
      <c r="M2401" s="29" t="s">
        <v>2073</v>
      </c>
      <c r="N2401" s="29" t="s">
        <v>3492</v>
      </c>
      <c r="O2401" s="29"/>
      <c r="P2401" s="29" t="s">
        <v>9558</v>
      </c>
      <c r="Q2401" t="s">
        <v>2038</v>
      </c>
      <c r="R2401" t="s">
        <v>2633</v>
      </c>
      <c r="S2401">
        <v>37</v>
      </c>
      <c r="T2401" s="43" t="str">
        <f t="shared" si="103"/>
        <v>2021.010B.R.Binomial_names.zip</v>
      </c>
      <c r="U2401" s="43" t="str">
        <f>HYPERLINK("https://ictv.global/taxonomy/taxondetails?taxnode_id=202206957","ictv.global=202206957")</f>
        <v>ictv.global=202206957</v>
      </c>
    </row>
    <row r="2402" spans="1:21">
      <c r="A2402">
        <v>2401</v>
      </c>
      <c r="B2402" s="29" t="s">
        <v>3682</v>
      </c>
      <c r="C2402" s="29"/>
      <c r="D2402" s="29" t="s">
        <v>3683</v>
      </c>
      <c r="E2402" s="29"/>
      <c r="F2402" s="29" t="s">
        <v>3686</v>
      </c>
      <c r="G2402" s="29"/>
      <c r="H2402" s="29" t="s">
        <v>3687</v>
      </c>
      <c r="I2402" s="29"/>
      <c r="J2402" s="29"/>
      <c r="K2402" s="29"/>
      <c r="L2402" s="29"/>
      <c r="M2402" s="29" t="s">
        <v>2073</v>
      </c>
      <c r="N2402" s="29" t="s">
        <v>3492</v>
      </c>
      <c r="O2402" s="29"/>
      <c r="P2402" s="29" t="s">
        <v>9559</v>
      </c>
      <c r="Q2402" t="s">
        <v>2038</v>
      </c>
      <c r="R2402" t="s">
        <v>2633</v>
      </c>
      <c r="S2402">
        <v>37</v>
      </c>
      <c r="T2402" s="43" t="str">
        <f t="shared" si="103"/>
        <v>2021.010B.R.Binomial_names.zip</v>
      </c>
      <c r="U2402" s="43" t="str">
        <f>HYPERLINK("https://ictv.global/taxonomy/taxondetails?taxnode_id=202200781","ictv.global=202200781")</f>
        <v>ictv.global=202200781</v>
      </c>
    </row>
    <row r="2403" spans="1:21">
      <c r="A2403">
        <v>2402</v>
      </c>
      <c r="B2403" s="29" t="s">
        <v>3682</v>
      </c>
      <c r="C2403" s="29"/>
      <c r="D2403" s="29" t="s">
        <v>3683</v>
      </c>
      <c r="E2403" s="29"/>
      <c r="F2403" s="29" t="s">
        <v>3686</v>
      </c>
      <c r="G2403" s="29"/>
      <c r="H2403" s="29" t="s">
        <v>3687</v>
      </c>
      <c r="I2403" s="29"/>
      <c r="J2403" s="29"/>
      <c r="K2403" s="29"/>
      <c r="L2403" s="29"/>
      <c r="M2403" s="29" t="s">
        <v>2073</v>
      </c>
      <c r="N2403" s="29" t="s">
        <v>3492</v>
      </c>
      <c r="O2403" s="29"/>
      <c r="P2403" s="29" t="s">
        <v>9560</v>
      </c>
      <c r="Q2403" t="s">
        <v>2038</v>
      </c>
      <c r="R2403" t="s">
        <v>2633</v>
      </c>
      <c r="S2403">
        <v>37</v>
      </c>
      <c r="T2403" s="43" t="str">
        <f t="shared" si="103"/>
        <v>2021.010B.R.Binomial_names.zip</v>
      </c>
      <c r="U2403" s="43" t="str">
        <f>HYPERLINK("https://ictv.global/taxonomy/taxondetails?taxnode_id=202200782","ictv.global=202200782")</f>
        <v>ictv.global=202200782</v>
      </c>
    </row>
    <row r="2404" spans="1:21">
      <c r="A2404">
        <v>2403</v>
      </c>
      <c r="B2404" s="29" t="s">
        <v>3682</v>
      </c>
      <c r="C2404" s="29"/>
      <c r="D2404" s="29" t="s">
        <v>3683</v>
      </c>
      <c r="E2404" s="29"/>
      <c r="F2404" s="29" t="s">
        <v>3686</v>
      </c>
      <c r="G2404" s="29"/>
      <c r="H2404" s="29" t="s">
        <v>3687</v>
      </c>
      <c r="I2404" s="29"/>
      <c r="J2404" s="29"/>
      <c r="K2404" s="29"/>
      <c r="L2404" s="29"/>
      <c r="M2404" s="29" t="s">
        <v>2073</v>
      </c>
      <c r="N2404" s="29" t="s">
        <v>3492</v>
      </c>
      <c r="O2404" s="29"/>
      <c r="P2404" s="29" t="s">
        <v>9561</v>
      </c>
      <c r="Q2404" t="s">
        <v>2038</v>
      </c>
      <c r="R2404" t="s">
        <v>2633</v>
      </c>
      <c r="S2404">
        <v>37</v>
      </c>
      <c r="T2404" s="43" t="str">
        <f t="shared" si="103"/>
        <v>2021.010B.R.Binomial_names.zip</v>
      </c>
      <c r="U2404" s="43" t="str">
        <f>HYPERLINK("https://ictv.global/taxonomy/taxondetails?taxnode_id=202200783","ictv.global=202200783")</f>
        <v>ictv.global=202200783</v>
      </c>
    </row>
    <row r="2405" spans="1:21">
      <c r="A2405">
        <v>2404</v>
      </c>
      <c r="B2405" s="29" t="s">
        <v>3682</v>
      </c>
      <c r="C2405" s="29"/>
      <c r="D2405" s="29" t="s">
        <v>3683</v>
      </c>
      <c r="E2405" s="29"/>
      <c r="F2405" s="29" t="s">
        <v>3686</v>
      </c>
      <c r="G2405" s="29"/>
      <c r="H2405" s="29" t="s">
        <v>3687</v>
      </c>
      <c r="I2405" s="29"/>
      <c r="J2405" s="29"/>
      <c r="K2405" s="29"/>
      <c r="L2405" s="29"/>
      <c r="M2405" s="29" t="s">
        <v>2073</v>
      </c>
      <c r="N2405" s="29" t="s">
        <v>3492</v>
      </c>
      <c r="O2405" s="29"/>
      <c r="P2405" s="29" t="s">
        <v>9562</v>
      </c>
      <c r="Q2405" t="s">
        <v>2038</v>
      </c>
      <c r="R2405" t="s">
        <v>2633</v>
      </c>
      <c r="S2405">
        <v>37</v>
      </c>
      <c r="T2405" s="43" t="str">
        <f t="shared" si="103"/>
        <v>2021.010B.R.Binomial_names.zip</v>
      </c>
      <c r="U2405" s="43" t="str">
        <f>HYPERLINK("https://ictv.global/taxonomy/taxondetails?taxnode_id=202200784","ictv.global=202200784")</f>
        <v>ictv.global=202200784</v>
      </c>
    </row>
    <row r="2406" spans="1:21">
      <c r="A2406">
        <v>2405</v>
      </c>
      <c r="B2406" s="29" t="s">
        <v>3682</v>
      </c>
      <c r="C2406" s="29"/>
      <c r="D2406" s="29" t="s">
        <v>3683</v>
      </c>
      <c r="E2406" s="29"/>
      <c r="F2406" s="29" t="s">
        <v>3686</v>
      </c>
      <c r="G2406" s="29"/>
      <c r="H2406" s="29" t="s">
        <v>3687</v>
      </c>
      <c r="I2406" s="29"/>
      <c r="J2406" s="29"/>
      <c r="K2406" s="29"/>
      <c r="L2406" s="29"/>
      <c r="M2406" s="29" t="s">
        <v>2073</v>
      </c>
      <c r="N2406" s="29" t="s">
        <v>3492</v>
      </c>
      <c r="O2406" s="29"/>
      <c r="P2406" s="29" t="s">
        <v>9563</v>
      </c>
      <c r="Q2406" t="s">
        <v>2038</v>
      </c>
      <c r="R2406" t="s">
        <v>2633</v>
      </c>
      <c r="S2406">
        <v>37</v>
      </c>
      <c r="T2406" s="43" t="str">
        <f t="shared" si="103"/>
        <v>2021.010B.R.Binomial_names.zip</v>
      </c>
      <c r="U2406" s="43" t="str">
        <f>HYPERLINK("https://ictv.global/taxonomy/taxondetails?taxnode_id=202208019","ictv.global=202208019")</f>
        <v>ictv.global=202208019</v>
      </c>
    </row>
    <row r="2407" spans="1:21">
      <c r="A2407">
        <v>2406</v>
      </c>
      <c r="B2407" s="29" t="s">
        <v>3682</v>
      </c>
      <c r="C2407" s="29"/>
      <c r="D2407" s="29" t="s">
        <v>3683</v>
      </c>
      <c r="E2407" s="29"/>
      <c r="F2407" s="29" t="s">
        <v>3686</v>
      </c>
      <c r="G2407" s="29"/>
      <c r="H2407" s="29" t="s">
        <v>3687</v>
      </c>
      <c r="I2407" s="29"/>
      <c r="J2407" s="29"/>
      <c r="K2407" s="29"/>
      <c r="L2407" s="29"/>
      <c r="M2407" s="29" t="s">
        <v>4679</v>
      </c>
      <c r="N2407" s="29" t="s">
        <v>4680</v>
      </c>
      <c r="O2407" s="29"/>
      <c r="P2407" s="29" t="s">
        <v>9564</v>
      </c>
      <c r="Q2407" t="s">
        <v>2038</v>
      </c>
      <c r="R2407" t="s">
        <v>2633</v>
      </c>
      <c r="S2407">
        <v>37</v>
      </c>
      <c r="T2407" s="43" t="str">
        <f t="shared" si="103"/>
        <v>2021.010B.R.Binomial_names.zip</v>
      </c>
      <c r="U2407" s="43" t="str">
        <f>HYPERLINK("https://ictv.global/taxonomy/taxondetails?taxnode_id=202210071","ictv.global=202210071")</f>
        <v>ictv.global=202210071</v>
      </c>
    </row>
    <row r="2408" spans="1:21">
      <c r="A2408">
        <v>2407</v>
      </c>
      <c r="B2408" s="29" t="s">
        <v>3682</v>
      </c>
      <c r="C2408" s="29"/>
      <c r="D2408" s="29" t="s">
        <v>3683</v>
      </c>
      <c r="E2408" s="29"/>
      <c r="F2408" s="29" t="s">
        <v>3686</v>
      </c>
      <c r="G2408" s="29"/>
      <c r="H2408" s="29" t="s">
        <v>3687</v>
      </c>
      <c r="I2408" s="29"/>
      <c r="J2408" s="29"/>
      <c r="K2408" s="29"/>
      <c r="L2408" s="29"/>
      <c r="M2408" s="29" t="s">
        <v>4679</v>
      </c>
      <c r="N2408" s="29" t="s">
        <v>4680</v>
      </c>
      <c r="O2408" s="29"/>
      <c r="P2408" s="29" t="s">
        <v>9565</v>
      </c>
      <c r="Q2408" t="s">
        <v>2038</v>
      </c>
      <c r="R2408" t="s">
        <v>2633</v>
      </c>
      <c r="S2408">
        <v>37</v>
      </c>
      <c r="T2408" s="43" t="str">
        <f t="shared" si="103"/>
        <v>2021.010B.R.Binomial_names.zip</v>
      </c>
      <c r="U2408" s="43" t="str">
        <f>HYPERLINK("https://ictv.global/taxonomy/taxondetails?taxnode_id=202210072","ictv.global=202210072")</f>
        <v>ictv.global=202210072</v>
      </c>
    </row>
    <row r="2409" spans="1:21">
      <c r="A2409">
        <v>2408</v>
      </c>
      <c r="B2409" s="29" t="s">
        <v>3682</v>
      </c>
      <c r="C2409" s="29"/>
      <c r="D2409" s="29" t="s">
        <v>3683</v>
      </c>
      <c r="E2409" s="29"/>
      <c r="F2409" s="29" t="s">
        <v>3686</v>
      </c>
      <c r="G2409" s="29"/>
      <c r="H2409" s="29" t="s">
        <v>3687</v>
      </c>
      <c r="I2409" s="29"/>
      <c r="J2409" s="29"/>
      <c r="K2409" s="29"/>
      <c r="L2409" s="29"/>
      <c r="M2409" s="29" t="s">
        <v>4679</v>
      </c>
      <c r="N2409" s="29" t="s">
        <v>4681</v>
      </c>
      <c r="O2409" s="29"/>
      <c r="P2409" s="29" t="s">
        <v>9566</v>
      </c>
      <c r="Q2409" t="s">
        <v>2038</v>
      </c>
      <c r="R2409" t="s">
        <v>2633</v>
      </c>
      <c r="S2409">
        <v>37</v>
      </c>
      <c r="T2409" s="43" t="str">
        <f t="shared" si="103"/>
        <v>2021.010B.R.Binomial_names.zip</v>
      </c>
      <c r="U2409" s="43" t="str">
        <f>HYPERLINK("https://ictv.global/taxonomy/taxondetails?taxnode_id=202210074","ictv.global=202210074")</f>
        <v>ictv.global=202210074</v>
      </c>
    </row>
    <row r="2410" spans="1:21">
      <c r="A2410">
        <v>2409</v>
      </c>
      <c r="B2410" s="29" t="s">
        <v>3682</v>
      </c>
      <c r="C2410" s="29"/>
      <c r="D2410" s="29" t="s">
        <v>3683</v>
      </c>
      <c r="E2410" s="29"/>
      <c r="F2410" s="29" t="s">
        <v>3686</v>
      </c>
      <c r="G2410" s="29"/>
      <c r="H2410" s="29" t="s">
        <v>3687</v>
      </c>
      <c r="I2410" s="29"/>
      <c r="J2410" s="29"/>
      <c r="K2410" s="29"/>
      <c r="L2410" s="29"/>
      <c r="M2410" s="29" t="s">
        <v>4682</v>
      </c>
      <c r="N2410" s="29" t="s">
        <v>4683</v>
      </c>
      <c r="O2410" s="29"/>
      <c r="P2410" s="29" t="s">
        <v>9567</v>
      </c>
      <c r="Q2410" t="s">
        <v>2038</v>
      </c>
      <c r="R2410" t="s">
        <v>2633</v>
      </c>
      <c r="S2410">
        <v>37</v>
      </c>
      <c r="T2410" s="43" t="str">
        <f t="shared" si="103"/>
        <v>2021.010B.R.Binomial_names.zip</v>
      </c>
      <c r="U2410" s="43" t="str">
        <f>HYPERLINK("https://ictv.global/taxonomy/taxondetails?taxnode_id=202201071","ictv.global=202201071")</f>
        <v>ictv.global=202201071</v>
      </c>
    </row>
    <row r="2411" spans="1:21">
      <c r="A2411">
        <v>2410</v>
      </c>
      <c r="B2411" s="29" t="s">
        <v>3682</v>
      </c>
      <c r="C2411" s="29"/>
      <c r="D2411" s="29" t="s">
        <v>3683</v>
      </c>
      <c r="E2411" s="29"/>
      <c r="F2411" s="29" t="s">
        <v>3686</v>
      </c>
      <c r="G2411" s="29"/>
      <c r="H2411" s="29" t="s">
        <v>3687</v>
      </c>
      <c r="I2411" s="29"/>
      <c r="J2411" s="29"/>
      <c r="K2411" s="29"/>
      <c r="L2411" s="29"/>
      <c r="M2411" s="29" t="s">
        <v>4682</v>
      </c>
      <c r="N2411" s="29" t="s">
        <v>4684</v>
      </c>
      <c r="O2411" s="29"/>
      <c r="P2411" s="29" t="s">
        <v>9568</v>
      </c>
      <c r="Q2411" t="s">
        <v>2038</v>
      </c>
      <c r="R2411" t="s">
        <v>2633</v>
      </c>
      <c r="S2411">
        <v>37</v>
      </c>
      <c r="T2411" s="43" t="str">
        <f t="shared" si="103"/>
        <v>2021.010B.R.Binomial_names.zip</v>
      </c>
      <c r="U2411" s="43" t="str">
        <f>HYPERLINK("https://ictv.global/taxonomy/taxondetails?taxnode_id=202205555","ictv.global=202205555")</f>
        <v>ictv.global=202205555</v>
      </c>
    </row>
    <row r="2412" spans="1:21">
      <c r="A2412">
        <v>2411</v>
      </c>
      <c r="B2412" s="29" t="s">
        <v>3682</v>
      </c>
      <c r="C2412" s="29"/>
      <c r="D2412" s="29" t="s">
        <v>3683</v>
      </c>
      <c r="E2412" s="29"/>
      <c r="F2412" s="29" t="s">
        <v>3686</v>
      </c>
      <c r="G2412" s="29"/>
      <c r="H2412" s="29" t="s">
        <v>3687</v>
      </c>
      <c r="I2412" s="29"/>
      <c r="J2412" s="29"/>
      <c r="K2412" s="29"/>
      <c r="L2412" s="29"/>
      <c r="M2412" s="29" t="s">
        <v>4682</v>
      </c>
      <c r="N2412" s="29" t="s">
        <v>4685</v>
      </c>
      <c r="O2412" s="29"/>
      <c r="P2412" s="29" t="s">
        <v>9569</v>
      </c>
      <c r="Q2412" t="s">
        <v>2038</v>
      </c>
      <c r="R2412" t="s">
        <v>2633</v>
      </c>
      <c r="S2412">
        <v>37</v>
      </c>
      <c r="T2412" s="43" t="str">
        <f t="shared" si="103"/>
        <v>2021.010B.R.Binomial_names.zip</v>
      </c>
      <c r="U2412" s="43" t="str">
        <f>HYPERLINK("https://ictv.global/taxonomy/taxondetails?taxnode_id=202205549","ictv.global=202205549")</f>
        <v>ictv.global=202205549</v>
      </c>
    </row>
    <row r="2413" spans="1:21">
      <c r="A2413">
        <v>2412</v>
      </c>
      <c r="B2413" s="29" t="s">
        <v>3682</v>
      </c>
      <c r="C2413" s="29"/>
      <c r="D2413" s="29" t="s">
        <v>3683</v>
      </c>
      <c r="E2413" s="29"/>
      <c r="F2413" s="29" t="s">
        <v>3686</v>
      </c>
      <c r="G2413" s="29"/>
      <c r="H2413" s="29" t="s">
        <v>3687</v>
      </c>
      <c r="I2413" s="29"/>
      <c r="J2413" s="29"/>
      <c r="K2413" s="29"/>
      <c r="L2413" s="29"/>
      <c r="M2413" s="29" t="s">
        <v>4682</v>
      </c>
      <c r="N2413" s="29" t="s">
        <v>4685</v>
      </c>
      <c r="O2413" s="29"/>
      <c r="P2413" s="29" t="s">
        <v>9570</v>
      </c>
      <c r="Q2413" t="s">
        <v>2038</v>
      </c>
      <c r="R2413" t="s">
        <v>2633</v>
      </c>
      <c r="S2413">
        <v>37</v>
      </c>
      <c r="T2413" s="43" t="str">
        <f t="shared" si="103"/>
        <v>2021.010B.R.Binomial_names.zip</v>
      </c>
      <c r="U2413" s="43" t="str">
        <f>HYPERLINK("https://ictv.global/taxonomy/taxondetails?taxnode_id=202205551","ictv.global=202205551")</f>
        <v>ictv.global=202205551</v>
      </c>
    </row>
    <row r="2414" spans="1:21">
      <c r="A2414">
        <v>2413</v>
      </c>
      <c r="B2414" s="29" t="s">
        <v>3682</v>
      </c>
      <c r="C2414" s="29"/>
      <c r="D2414" s="29" t="s">
        <v>3683</v>
      </c>
      <c r="E2414" s="29"/>
      <c r="F2414" s="29" t="s">
        <v>3686</v>
      </c>
      <c r="G2414" s="29"/>
      <c r="H2414" s="29" t="s">
        <v>3687</v>
      </c>
      <c r="I2414" s="29"/>
      <c r="J2414" s="29"/>
      <c r="K2414" s="29"/>
      <c r="L2414" s="29"/>
      <c r="M2414" s="29" t="s">
        <v>4682</v>
      </c>
      <c r="N2414" s="29" t="s">
        <v>4686</v>
      </c>
      <c r="O2414" s="29"/>
      <c r="P2414" s="29" t="s">
        <v>9571</v>
      </c>
      <c r="Q2414" t="s">
        <v>2038</v>
      </c>
      <c r="R2414" t="s">
        <v>2633</v>
      </c>
      <c r="S2414">
        <v>37</v>
      </c>
      <c r="T2414" s="43" t="str">
        <f t="shared" si="103"/>
        <v>2021.010B.R.Binomial_names.zip</v>
      </c>
      <c r="U2414" s="43" t="str">
        <f>HYPERLINK("https://ictv.global/taxonomy/taxondetails?taxnode_id=202210093","ictv.global=202210093")</f>
        <v>ictv.global=202210093</v>
      </c>
    </row>
    <row r="2415" spans="1:21">
      <c r="A2415">
        <v>2414</v>
      </c>
      <c r="B2415" s="29" t="s">
        <v>3682</v>
      </c>
      <c r="C2415" s="29"/>
      <c r="D2415" s="29" t="s">
        <v>3683</v>
      </c>
      <c r="E2415" s="29"/>
      <c r="F2415" s="29" t="s">
        <v>3686</v>
      </c>
      <c r="G2415" s="29"/>
      <c r="H2415" s="29" t="s">
        <v>3687</v>
      </c>
      <c r="I2415" s="29"/>
      <c r="J2415" s="29"/>
      <c r="K2415" s="29"/>
      <c r="L2415" s="29"/>
      <c r="M2415" s="29" t="s">
        <v>4682</v>
      </c>
      <c r="N2415" s="29" t="s">
        <v>4687</v>
      </c>
      <c r="O2415" s="29"/>
      <c r="P2415" s="29" t="s">
        <v>9572</v>
      </c>
      <c r="Q2415" t="s">
        <v>2038</v>
      </c>
      <c r="R2415" t="s">
        <v>2633</v>
      </c>
      <c r="S2415">
        <v>37</v>
      </c>
      <c r="T2415" s="43" t="str">
        <f t="shared" si="103"/>
        <v>2021.010B.R.Binomial_names.zip</v>
      </c>
      <c r="U2415" s="43" t="str">
        <f>HYPERLINK("https://ictv.global/taxonomy/taxondetails?taxnode_id=202205553","ictv.global=202205553")</f>
        <v>ictv.global=202205553</v>
      </c>
    </row>
    <row r="2416" spans="1:21">
      <c r="A2416">
        <v>2415</v>
      </c>
      <c r="B2416" s="29" t="s">
        <v>3682</v>
      </c>
      <c r="C2416" s="29"/>
      <c r="D2416" s="29" t="s">
        <v>3683</v>
      </c>
      <c r="E2416" s="29"/>
      <c r="F2416" s="29" t="s">
        <v>3686</v>
      </c>
      <c r="G2416" s="29"/>
      <c r="H2416" s="29" t="s">
        <v>3687</v>
      </c>
      <c r="I2416" s="29"/>
      <c r="J2416" s="29"/>
      <c r="K2416" s="29"/>
      <c r="L2416" s="29"/>
      <c r="M2416" s="29" t="s">
        <v>4682</v>
      </c>
      <c r="N2416" s="29" t="s">
        <v>4687</v>
      </c>
      <c r="O2416" s="29"/>
      <c r="P2416" s="29" t="s">
        <v>9573</v>
      </c>
      <c r="Q2416" t="s">
        <v>2038</v>
      </c>
      <c r="R2416" t="s">
        <v>2633</v>
      </c>
      <c r="S2416">
        <v>37</v>
      </c>
      <c r="T2416" s="43" t="str">
        <f t="shared" si="103"/>
        <v>2021.010B.R.Binomial_names.zip</v>
      </c>
      <c r="U2416" s="43" t="str">
        <f>HYPERLINK("https://ictv.global/taxonomy/taxondetails?taxnode_id=202205552","ictv.global=202205552")</f>
        <v>ictv.global=202205552</v>
      </c>
    </row>
    <row r="2417" spans="1:21">
      <c r="A2417">
        <v>2416</v>
      </c>
      <c r="B2417" s="29" t="s">
        <v>3682</v>
      </c>
      <c r="C2417" s="29"/>
      <c r="D2417" s="29" t="s">
        <v>3683</v>
      </c>
      <c r="E2417" s="29"/>
      <c r="F2417" s="29" t="s">
        <v>3686</v>
      </c>
      <c r="G2417" s="29"/>
      <c r="H2417" s="29" t="s">
        <v>3687</v>
      </c>
      <c r="I2417" s="29"/>
      <c r="J2417" s="29"/>
      <c r="K2417" s="29"/>
      <c r="L2417" s="29"/>
      <c r="M2417" s="29" t="s">
        <v>4682</v>
      </c>
      <c r="N2417" s="29" t="s">
        <v>4688</v>
      </c>
      <c r="O2417" s="29"/>
      <c r="P2417" s="29" t="s">
        <v>9574</v>
      </c>
      <c r="Q2417" t="s">
        <v>2038</v>
      </c>
      <c r="R2417" t="s">
        <v>2633</v>
      </c>
      <c r="S2417">
        <v>37</v>
      </c>
      <c r="T2417" s="43" t="str">
        <f t="shared" si="103"/>
        <v>2021.010B.R.Binomial_names.zip</v>
      </c>
      <c r="U2417" s="43" t="str">
        <f>HYPERLINK("https://ictv.global/taxonomy/taxondetails?taxnode_id=202201070","ictv.global=202201070")</f>
        <v>ictv.global=202201070</v>
      </c>
    </row>
    <row r="2418" spans="1:21">
      <c r="A2418">
        <v>2417</v>
      </c>
      <c r="B2418" s="29" t="s">
        <v>3682</v>
      </c>
      <c r="C2418" s="29"/>
      <c r="D2418" s="29" t="s">
        <v>3683</v>
      </c>
      <c r="E2418" s="29"/>
      <c r="F2418" s="29" t="s">
        <v>3686</v>
      </c>
      <c r="G2418" s="29"/>
      <c r="H2418" s="29" t="s">
        <v>3687</v>
      </c>
      <c r="I2418" s="29"/>
      <c r="J2418" s="29"/>
      <c r="K2418" s="29"/>
      <c r="L2418" s="29"/>
      <c r="M2418" s="29" t="s">
        <v>4682</v>
      </c>
      <c r="N2418" s="29" t="s">
        <v>4688</v>
      </c>
      <c r="O2418" s="29"/>
      <c r="P2418" s="29" t="s">
        <v>9575</v>
      </c>
      <c r="Q2418" t="s">
        <v>2038</v>
      </c>
      <c r="R2418" t="s">
        <v>2633</v>
      </c>
      <c r="S2418">
        <v>37</v>
      </c>
      <c r="T2418" s="43" t="str">
        <f t="shared" si="103"/>
        <v>2021.010B.R.Binomial_names.zip</v>
      </c>
      <c r="U2418" s="43" t="str">
        <f>HYPERLINK("https://ictv.global/taxonomy/taxondetails?taxnode_id=202205556","ictv.global=202205556")</f>
        <v>ictv.global=202205556</v>
      </c>
    </row>
    <row r="2419" spans="1:21">
      <c r="A2419">
        <v>2418</v>
      </c>
      <c r="B2419" s="29" t="s">
        <v>3682</v>
      </c>
      <c r="C2419" s="29"/>
      <c r="D2419" s="29" t="s">
        <v>3683</v>
      </c>
      <c r="E2419" s="29"/>
      <c r="F2419" s="29" t="s">
        <v>3686</v>
      </c>
      <c r="G2419" s="29"/>
      <c r="H2419" s="29" t="s">
        <v>3687</v>
      </c>
      <c r="I2419" s="29"/>
      <c r="J2419" s="29"/>
      <c r="K2419" s="29"/>
      <c r="L2419" s="29"/>
      <c r="M2419" s="29" t="s">
        <v>4682</v>
      </c>
      <c r="N2419" s="29" t="s">
        <v>4689</v>
      </c>
      <c r="O2419" s="29"/>
      <c r="P2419" s="29" t="s">
        <v>9576</v>
      </c>
      <c r="Q2419" t="s">
        <v>2038</v>
      </c>
      <c r="R2419" t="s">
        <v>2633</v>
      </c>
      <c r="S2419">
        <v>37</v>
      </c>
      <c r="T2419" s="43" t="str">
        <f t="shared" si="103"/>
        <v>2021.010B.R.Binomial_names.zip</v>
      </c>
      <c r="U2419" s="43" t="str">
        <f>HYPERLINK("https://ictv.global/taxonomy/taxondetails?taxnode_id=202205548","ictv.global=202205548")</f>
        <v>ictv.global=202205548</v>
      </c>
    </row>
    <row r="2420" spans="1:21">
      <c r="A2420">
        <v>2419</v>
      </c>
      <c r="B2420" s="29" t="s">
        <v>3682</v>
      </c>
      <c r="C2420" s="29"/>
      <c r="D2420" s="29" t="s">
        <v>3683</v>
      </c>
      <c r="E2420" s="29"/>
      <c r="F2420" s="29" t="s">
        <v>3686</v>
      </c>
      <c r="G2420" s="29"/>
      <c r="H2420" s="29" t="s">
        <v>3687</v>
      </c>
      <c r="I2420" s="29"/>
      <c r="J2420" s="29"/>
      <c r="K2420" s="29"/>
      <c r="L2420" s="29"/>
      <c r="M2420" s="29" t="s">
        <v>4682</v>
      </c>
      <c r="N2420" s="29" t="s">
        <v>4689</v>
      </c>
      <c r="O2420" s="29"/>
      <c r="P2420" s="29" t="s">
        <v>9577</v>
      </c>
      <c r="Q2420" t="s">
        <v>2038</v>
      </c>
      <c r="R2420" t="s">
        <v>2633</v>
      </c>
      <c r="S2420">
        <v>37</v>
      </c>
      <c r="T2420" s="43" t="str">
        <f t="shared" si="103"/>
        <v>2021.010B.R.Binomial_names.zip</v>
      </c>
      <c r="U2420" s="43" t="str">
        <f>HYPERLINK("https://ictv.global/taxonomy/taxondetails?taxnode_id=202205554","ictv.global=202205554")</f>
        <v>ictv.global=202205554</v>
      </c>
    </row>
    <row r="2421" spans="1:21">
      <c r="A2421">
        <v>2420</v>
      </c>
      <c r="B2421" s="29" t="s">
        <v>3682</v>
      </c>
      <c r="C2421" s="29"/>
      <c r="D2421" s="29" t="s">
        <v>3683</v>
      </c>
      <c r="E2421" s="29"/>
      <c r="F2421" s="29" t="s">
        <v>3686</v>
      </c>
      <c r="G2421" s="29"/>
      <c r="H2421" s="29" t="s">
        <v>3687</v>
      </c>
      <c r="I2421" s="29"/>
      <c r="J2421" s="29"/>
      <c r="K2421" s="29"/>
      <c r="L2421" s="29"/>
      <c r="M2421" s="29" t="s">
        <v>4682</v>
      </c>
      <c r="N2421" s="29" t="s">
        <v>4690</v>
      </c>
      <c r="O2421" s="29"/>
      <c r="P2421" s="29" t="s">
        <v>9578</v>
      </c>
      <c r="Q2421" t="s">
        <v>2038</v>
      </c>
      <c r="R2421" t="s">
        <v>2633</v>
      </c>
      <c r="S2421">
        <v>37</v>
      </c>
      <c r="T2421" s="43" t="str">
        <f t="shared" si="103"/>
        <v>2021.010B.R.Binomial_names.zip</v>
      </c>
      <c r="U2421" s="43" t="str">
        <f>HYPERLINK("https://ictv.global/taxonomy/taxondetails?taxnode_id=202210098","ictv.global=202210098")</f>
        <v>ictv.global=202210098</v>
      </c>
    </row>
    <row r="2422" spans="1:21">
      <c r="A2422">
        <v>2421</v>
      </c>
      <c r="B2422" s="29" t="s">
        <v>3682</v>
      </c>
      <c r="C2422" s="29"/>
      <c r="D2422" s="29" t="s">
        <v>3683</v>
      </c>
      <c r="E2422" s="29"/>
      <c r="F2422" s="29" t="s">
        <v>3686</v>
      </c>
      <c r="G2422" s="29"/>
      <c r="H2422" s="29" t="s">
        <v>3687</v>
      </c>
      <c r="I2422" s="29"/>
      <c r="J2422" s="29"/>
      <c r="K2422" s="29"/>
      <c r="L2422" s="29"/>
      <c r="M2422" s="29" t="s">
        <v>4682</v>
      </c>
      <c r="N2422" s="29" t="s">
        <v>4690</v>
      </c>
      <c r="O2422" s="29"/>
      <c r="P2422" s="29" t="s">
        <v>9579</v>
      </c>
      <c r="Q2422" t="s">
        <v>2038</v>
      </c>
      <c r="R2422" t="s">
        <v>2633</v>
      </c>
      <c r="S2422">
        <v>37</v>
      </c>
      <c r="T2422" s="43" t="str">
        <f t="shared" si="103"/>
        <v>2021.010B.R.Binomial_names.zip</v>
      </c>
      <c r="U2422" s="43" t="str">
        <f>HYPERLINK("https://ictv.global/taxonomy/taxondetails?taxnode_id=202205550","ictv.global=202205550")</f>
        <v>ictv.global=202205550</v>
      </c>
    </row>
    <row r="2423" spans="1:21">
      <c r="A2423">
        <v>2422</v>
      </c>
      <c r="B2423" s="29" t="s">
        <v>3682</v>
      </c>
      <c r="C2423" s="29"/>
      <c r="D2423" s="29" t="s">
        <v>3683</v>
      </c>
      <c r="E2423" s="29"/>
      <c r="F2423" s="29" t="s">
        <v>3686</v>
      </c>
      <c r="G2423" s="29"/>
      <c r="H2423" s="29" t="s">
        <v>3687</v>
      </c>
      <c r="I2423" s="29"/>
      <c r="J2423" s="29"/>
      <c r="K2423" s="29"/>
      <c r="L2423" s="29"/>
      <c r="M2423" s="29" t="s">
        <v>4682</v>
      </c>
      <c r="N2423" s="29" t="s">
        <v>4691</v>
      </c>
      <c r="O2423" s="29"/>
      <c r="P2423" s="29" t="s">
        <v>9580</v>
      </c>
      <c r="Q2423" t="s">
        <v>2038</v>
      </c>
      <c r="R2423" t="s">
        <v>2633</v>
      </c>
      <c r="S2423">
        <v>37</v>
      </c>
      <c r="T2423" s="43" t="str">
        <f t="shared" si="103"/>
        <v>2021.010B.R.Binomial_names.zip</v>
      </c>
      <c r="U2423" s="43" t="str">
        <f>HYPERLINK("https://ictv.global/taxonomy/taxondetails?taxnode_id=202210095","ictv.global=202210095")</f>
        <v>ictv.global=202210095</v>
      </c>
    </row>
    <row r="2424" spans="1:21">
      <c r="A2424">
        <v>2423</v>
      </c>
      <c r="B2424" s="29" t="s">
        <v>3682</v>
      </c>
      <c r="C2424" s="29"/>
      <c r="D2424" s="29" t="s">
        <v>3683</v>
      </c>
      <c r="E2424" s="29"/>
      <c r="F2424" s="29" t="s">
        <v>3686</v>
      </c>
      <c r="G2424" s="29"/>
      <c r="H2424" s="29" t="s">
        <v>3687</v>
      </c>
      <c r="I2424" s="29"/>
      <c r="J2424" s="29"/>
      <c r="K2424" s="29"/>
      <c r="L2424" s="29"/>
      <c r="M2424" s="29" t="s">
        <v>9581</v>
      </c>
      <c r="N2424" s="29" t="s">
        <v>9582</v>
      </c>
      <c r="O2424" s="29"/>
      <c r="P2424" s="29" t="s">
        <v>9583</v>
      </c>
      <c r="Q2424" t="s">
        <v>2038</v>
      </c>
      <c r="R2424" t="s">
        <v>2632</v>
      </c>
      <c r="S2424">
        <v>38</v>
      </c>
      <c r="T2424" s="43" t="str">
        <f>HYPERLINK("https://ictv.global/ictv/proposals/2022.039B.Iiscvirinae_nsf.zip","2022.039B.Iiscvirinae_nsf.zip")</f>
        <v>2022.039B.Iiscvirinae_nsf.zip</v>
      </c>
      <c r="U2424" s="43" t="str">
        <f>HYPERLINK("https://ictv.global/taxonomy/taxondetails?taxnode_id=202214636","ictv.global=202214636")</f>
        <v>ictv.global=202214636</v>
      </c>
    </row>
    <row r="2425" spans="1:21">
      <c r="A2425">
        <v>2424</v>
      </c>
      <c r="B2425" s="29" t="s">
        <v>3682</v>
      </c>
      <c r="C2425" s="29"/>
      <c r="D2425" s="29" t="s">
        <v>3683</v>
      </c>
      <c r="E2425" s="29"/>
      <c r="F2425" s="29" t="s">
        <v>3686</v>
      </c>
      <c r="G2425" s="29"/>
      <c r="H2425" s="29" t="s">
        <v>3687</v>
      </c>
      <c r="I2425" s="29"/>
      <c r="J2425" s="29"/>
      <c r="K2425" s="29"/>
      <c r="L2425" s="29"/>
      <c r="M2425" s="29" t="s">
        <v>9581</v>
      </c>
      <c r="N2425" s="29" t="s">
        <v>3413</v>
      </c>
      <c r="O2425" s="29"/>
      <c r="P2425" s="29" t="s">
        <v>9584</v>
      </c>
      <c r="Q2425" t="s">
        <v>2038</v>
      </c>
      <c r="R2425" t="s">
        <v>2634</v>
      </c>
      <c r="S2425">
        <v>38</v>
      </c>
      <c r="T2425" s="43" t="str">
        <f>HYPERLINK("https://ictv.global/ictv/proposals/2022.039B.Iiscvirinae_nsf.zip","2022.039B.Iiscvirinae_nsf.zip")</f>
        <v>2022.039B.Iiscvirinae_nsf.zip</v>
      </c>
      <c r="U2425" s="43" t="str">
        <f>HYPERLINK("https://ictv.global/taxonomy/taxondetails?taxnode_id=202200429","ictv.global=202200429")</f>
        <v>ictv.global=202200429</v>
      </c>
    </row>
    <row r="2426" spans="1:21">
      <c r="A2426">
        <v>2425</v>
      </c>
      <c r="B2426" s="29" t="s">
        <v>3682</v>
      </c>
      <c r="C2426" s="29"/>
      <c r="D2426" s="29" t="s">
        <v>3683</v>
      </c>
      <c r="E2426" s="29"/>
      <c r="F2426" s="29" t="s">
        <v>3686</v>
      </c>
      <c r="G2426" s="29"/>
      <c r="H2426" s="29" t="s">
        <v>3687</v>
      </c>
      <c r="I2426" s="29"/>
      <c r="J2426" s="29"/>
      <c r="K2426" s="29"/>
      <c r="L2426" s="29"/>
      <c r="M2426" s="29" t="s">
        <v>9581</v>
      </c>
      <c r="N2426" s="29" t="s">
        <v>3413</v>
      </c>
      <c r="O2426" s="29"/>
      <c r="P2426" s="29" t="s">
        <v>9585</v>
      </c>
      <c r="Q2426" t="s">
        <v>2038</v>
      </c>
      <c r="R2426" t="s">
        <v>2634</v>
      </c>
      <c r="S2426">
        <v>38</v>
      </c>
      <c r="T2426" s="43" t="str">
        <f>HYPERLINK("https://ictv.global/ictv/proposals/2022.039B.Iiscvirinae_nsf.zip","2022.039B.Iiscvirinae_nsf.zip")</f>
        <v>2022.039B.Iiscvirinae_nsf.zip</v>
      </c>
      <c r="U2426" s="43" t="str">
        <f>HYPERLINK("https://ictv.global/taxonomy/taxondetails?taxnode_id=202206999","ictv.global=202206999")</f>
        <v>ictv.global=202206999</v>
      </c>
    </row>
    <row r="2427" spans="1:21">
      <c r="A2427">
        <v>2426</v>
      </c>
      <c r="B2427" s="29" t="s">
        <v>3682</v>
      </c>
      <c r="C2427" s="29"/>
      <c r="D2427" s="29" t="s">
        <v>3683</v>
      </c>
      <c r="E2427" s="29"/>
      <c r="F2427" s="29" t="s">
        <v>3686</v>
      </c>
      <c r="G2427" s="29"/>
      <c r="H2427" s="29" t="s">
        <v>3687</v>
      </c>
      <c r="I2427" s="29"/>
      <c r="J2427" s="29"/>
      <c r="K2427" s="29"/>
      <c r="L2427" s="29"/>
      <c r="M2427" s="29" t="s">
        <v>9581</v>
      </c>
      <c r="N2427" s="29" t="s">
        <v>3413</v>
      </c>
      <c r="O2427" s="29"/>
      <c r="P2427" s="29" t="s">
        <v>9586</v>
      </c>
      <c r="Q2427" t="s">
        <v>2038</v>
      </c>
      <c r="R2427" t="s">
        <v>2634</v>
      </c>
      <c r="S2427">
        <v>38</v>
      </c>
      <c r="T2427" s="43" t="str">
        <f>HYPERLINK("https://ictv.global/ictv/proposals/2022.039B.Iiscvirinae_nsf.zip","2022.039B.Iiscvirinae_nsf.zip")</f>
        <v>2022.039B.Iiscvirinae_nsf.zip</v>
      </c>
      <c r="U2427" s="43" t="str">
        <f>HYPERLINK("https://ictv.global/taxonomy/taxondetails?taxnode_id=202200430","ictv.global=202200430")</f>
        <v>ictv.global=202200430</v>
      </c>
    </row>
    <row r="2428" spans="1:21">
      <c r="A2428">
        <v>2427</v>
      </c>
      <c r="B2428" s="29" t="s">
        <v>3682</v>
      </c>
      <c r="C2428" s="29"/>
      <c r="D2428" s="29" t="s">
        <v>3683</v>
      </c>
      <c r="E2428" s="29"/>
      <c r="F2428" s="29" t="s">
        <v>3686</v>
      </c>
      <c r="G2428" s="29"/>
      <c r="H2428" s="29" t="s">
        <v>3687</v>
      </c>
      <c r="I2428" s="29"/>
      <c r="J2428" s="29"/>
      <c r="K2428" s="29"/>
      <c r="L2428" s="29"/>
      <c r="M2428" s="29" t="s">
        <v>9587</v>
      </c>
      <c r="N2428" s="29" t="s">
        <v>9588</v>
      </c>
      <c r="O2428" s="29"/>
      <c r="P2428" s="29" t="s">
        <v>9589</v>
      </c>
      <c r="Q2428" t="s">
        <v>2038</v>
      </c>
      <c r="R2428" t="s">
        <v>2632</v>
      </c>
      <c r="S2428">
        <v>38</v>
      </c>
      <c r="T2428" s="43" t="str">
        <f t="shared" ref="T2428:T2435" si="104">HYPERLINK("https://ictv.global/ictv/proposals/2022.005B.Andregratiavirinae_Joanripponvirinae_nsf.zip","2022.005B.Andregratiavirinae_Joanripponvirinae_nsf.zip")</f>
        <v>2022.005B.Andregratiavirinae_Joanripponvirinae_nsf.zip</v>
      </c>
      <c r="U2428" s="43" t="str">
        <f>HYPERLINK("https://ictv.global/taxonomy/taxondetails?taxnode_id=202214479","ictv.global=202214479")</f>
        <v>ictv.global=202214479</v>
      </c>
    </row>
    <row r="2429" spans="1:21">
      <c r="A2429">
        <v>2428</v>
      </c>
      <c r="B2429" s="29" t="s">
        <v>3682</v>
      </c>
      <c r="C2429" s="29"/>
      <c r="D2429" s="29" t="s">
        <v>3683</v>
      </c>
      <c r="E2429" s="29"/>
      <c r="F2429" s="29" t="s">
        <v>3686</v>
      </c>
      <c r="G2429" s="29"/>
      <c r="H2429" s="29" t="s">
        <v>3687</v>
      </c>
      <c r="I2429" s="29"/>
      <c r="J2429" s="29"/>
      <c r="K2429" s="29"/>
      <c r="L2429" s="29"/>
      <c r="M2429" s="29" t="s">
        <v>9587</v>
      </c>
      <c r="N2429" s="29" t="s">
        <v>9590</v>
      </c>
      <c r="O2429" s="29"/>
      <c r="P2429" s="29" t="s">
        <v>9591</v>
      </c>
      <c r="Q2429" t="s">
        <v>2038</v>
      </c>
      <c r="R2429" t="s">
        <v>2632</v>
      </c>
      <c r="S2429">
        <v>38</v>
      </c>
      <c r="T2429" s="43" t="str">
        <f t="shared" si="104"/>
        <v>2022.005B.Andregratiavirinae_Joanripponvirinae_nsf.zip</v>
      </c>
      <c r="U2429" s="43" t="str">
        <f>HYPERLINK("https://ictv.global/taxonomy/taxondetails?taxnode_id=202214478","ictv.global=202214478")</f>
        <v>ictv.global=202214478</v>
      </c>
    </row>
    <row r="2430" spans="1:21">
      <c r="A2430">
        <v>2429</v>
      </c>
      <c r="B2430" s="29" t="s">
        <v>3682</v>
      </c>
      <c r="C2430" s="29"/>
      <c r="D2430" s="29" t="s">
        <v>3683</v>
      </c>
      <c r="E2430" s="29"/>
      <c r="F2430" s="29" t="s">
        <v>3686</v>
      </c>
      <c r="G2430" s="29"/>
      <c r="H2430" s="29" t="s">
        <v>3687</v>
      </c>
      <c r="I2430" s="29"/>
      <c r="J2430" s="29"/>
      <c r="K2430" s="29"/>
      <c r="L2430" s="29"/>
      <c r="M2430" s="29" t="s">
        <v>9587</v>
      </c>
      <c r="N2430" s="29" t="s">
        <v>9590</v>
      </c>
      <c r="O2430" s="29"/>
      <c r="P2430" s="29" t="s">
        <v>9592</v>
      </c>
      <c r="Q2430" t="s">
        <v>2038</v>
      </c>
      <c r="R2430" t="s">
        <v>2632</v>
      </c>
      <c r="S2430">
        <v>38</v>
      </c>
      <c r="T2430" s="43" t="str">
        <f t="shared" si="104"/>
        <v>2022.005B.Andregratiavirinae_Joanripponvirinae_nsf.zip</v>
      </c>
      <c r="U2430" s="43" t="str">
        <f>HYPERLINK("https://ictv.global/taxonomy/taxondetails?taxnode_id=202214477","ictv.global=202214477")</f>
        <v>ictv.global=202214477</v>
      </c>
    </row>
    <row r="2431" spans="1:21">
      <c r="A2431">
        <v>2430</v>
      </c>
      <c r="B2431" s="29" t="s">
        <v>3682</v>
      </c>
      <c r="C2431" s="29"/>
      <c r="D2431" s="29" t="s">
        <v>3683</v>
      </c>
      <c r="E2431" s="29"/>
      <c r="F2431" s="29" t="s">
        <v>3686</v>
      </c>
      <c r="G2431" s="29"/>
      <c r="H2431" s="29" t="s">
        <v>3687</v>
      </c>
      <c r="I2431" s="29"/>
      <c r="J2431" s="29"/>
      <c r="K2431" s="29"/>
      <c r="L2431" s="29"/>
      <c r="M2431" s="29" t="s">
        <v>9587</v>
      </c>
      <c r="N2431" s="29" t="s">
        <v>9593</v>
      </c>
      <c r="O2431" s="29"/>
      <c r="P2431" s="29" t="s">
        <v>9594</v>
      </c>
      <c r="Q2431" t="s">
        <v>2038</v>
      </c>
      <c r="R2431" t="s">
        <v>2632</v>
      </c>
      <c r="S2431">
        <v>38</v>
      </c>
      <c r="T2431" s="43" t="str">
        <f t="shared" si="104"/>
        <v>2022.005B.Andregratiavirinae_Joanripponvirinae_nsf.zip</v>
      </c>
      <c r="U2431" s="43" t="str">
        <f>HYPERLINK("https://ictv.global/taxonomy/taxondetails?taxnode_id=202214484","ictv.global=202214484")</f>
        <v>ictv.global=202214484</v>
      </c>
    </row>
    <row r="2432" spans="1:21">
      <c r="A2432">
        <v>2431</v>
      </c>
      <c r="B2432" s="29" t="s">
        <v>3682</v>
      </c>
      <c r="C2432" s="29"/>
      <c r="D2432" s="29" t="s">
        <v>3683</v>
      </c>
      <c r="E2432" s="29"/>
      <c r="F2432" s="29" t="s">
        <v>3686</v>
      </c>
      <c r="G2432" s="29"/>
      <c r="H2432" s="29" t="s">
        <v>3687</v>
      </c>
      <c r="I2432" s="29"/>
      <c r="J2432" s="29"/>
      <c r="K2432" s="29"/>
      <c r="L2432" s="29"/>
      <c r="M2432" s="29" t="s">
        <v>9587</v>
      </c>
      <c r="N2432" s="29" t="s">
        <v>9593</v>
      </c>
      <c r="O2432" s="29"/>
      <c r="P2432" s="29" t="s">
        <v>9595</v>
      </c>
      <c r="Q2432" t="s">
        <v>2038</v>
      </c>
      <c r="R2432" t="s">
        <v>2632</v>
      </c>
      <c r="S2432">
        <v>38</v>
      </c>
      <c r="T2432" s="43" t="str">
        <f t="shared" si="104"/>
        <v>2022.005B.Andregratiavirinae_Joanripponvirinae_nsf.zip</v>
      </c>
      <c r="U2432" s="43" t="str">
        <f>HYPERLINK("https://ictv.global/taxonomy/taxondetails?taxnode_id=202214481","ictv.global=202214481")</f>
        <v>ictv.global=202214481</v>
      </c>
    </row>
    <row r="2433" spans="1:21">
      <c r="A2433">
        <v>2432</v>
      </c>
      <c r="B2433" s="29" t="s">
        <v>3682</v>
      </c>
      <c r="C2433" s="29"/>
      <c r="D2433" s="29" t="s">
        <v>3683</v>
      </c>
      <c r="E2433" s="29"/>
      <c r="F2433" s="29" t="s">
        <v>3686</v>
      </c>
      <c r="G2433" s="29"/>
      <c r="H2433" s="29" t="s">
        <v>3687</v>
      </c>
      <c r="I2433" s="29"/>
      <c r="J2433" s="29"/>
      <c r="K2433" s="29"/>
      <c r="L2433" s="29"/>
      <c r="M2433" s="29" t="s">
        <v>9587</v>
      </c>
      <c r="N2433" s="29" t="s">
        <v>9593</v>
      </c>
      <c r="O2433" s="29"/>
      <c r="P2433" s="29" t="s">
        <v>9596</v>
      </c>
      <c r="Q2433" t="s">
        <v>2038</v>
      </c>
      <c r="R2433" t="s">
        <v>2632</v>
      </c>
      <c r="S2433">
        <v>38</v>
      </c>
      <c r="T2433" s="43" t="str">
        <f t="shared" si="104"/>
        <v>2022.005B.Andregratiavirinae_Joanripponvirinae_nsf.zip</v>
      </c>
      <c r="U2433" s="43" t="str">
        <f>HYPERLINK("https://ictv.global/taxonomy/taxondetails?taxnode_id=202214483","ictv.global=202214483")</f>
        <v>ictv.global=202214483</v>
      </c>
    </row>
    <row r="2434" spans="1:21">
      <c r="A2434">
        <v>2433</v>
      </c>
      <c r="B2434" s="29" t="s">
        <v>3682</v>
      </c>
      <c r="C2434" s="29"/>
      <c r="D2434" s="29" t="s">
        <v>3683</v>
      </c>
      <c r="E2434" s="29"/>
      <c r="F2434" s="29" t="s">
        <v>3686</v>
      </c>
      <c r="G2434" s="29"/>
      <c r="H2434" s="29" t="s">
        <v>3687</v>
      </c>
      <c r="I2434" s="29"/>
      <c r="J2434" s="29"/>
      <c r="K2434" s="29"/>
      <c r="L2434" s="29"/>
      <c r="M2434" s="29" t="s">
        <v>9587</v>
      </c>
      <c r="N2434" s="29" t="s">
        <v>9593</v>
      </c>
      <c r="O2434" s="29"/>
      <c r="P2434" s="29" t="s">
        <v>9597</v>
      </c>
      <c r="Q2434" t="s">
        <v>2038</v>
      </c>
      <c r="R2434" t="s">
        <v>2632</v>
      </c>
      <c r="S2434">
        <v>38</v>
      </c>
      <c r="T2434" s="43" t="str">
        <f t="shared" si="104"/>
        <v>2022.005B.Andregratiavirinae_Joanripponvirinae_nsf.zip</v>
      </c>
      <c r="U2434" s="43" t="str">
        <f>HYPERLINK("https://ictv.global/taxonomy/taxondetails?taxnode_id=202214482","ictv.global=202214482")</f>
        <v>ictv.global=202214482</v>
      </c>
    </row>
    <row r="2435" spans="1:21">
      <c r="A2435">
        <v>2434</v>
      </c>
      <c r="B2435" s="29" t="s">
        <v>3682</v>
      </c>
      <c r="C2435" s="29"/>
      <c r="D2435" s="29" t="s">
        <v>3683</v>
      </c>
      <c r="E2435" s="29"/>
      <c r="F2435" s="29" t="s">
        <v>3686</v>
      </c>
      <c r="G2435" s="29"/>
      <c r="H2435" s="29" t="s">
        <v>3687</v>
      </c>
      <c r="I2435" s="29"/>
      <c r="J2435" s="29"/>
      <c r="K2435" s="29"/>
      <c r="L2435" s="29"/>
      <c r="M2435" s="29" t="s">
        <v>9587</v>
      </c>
      <c r="N2435" s="29" t="s">
        <v>9593</v>
      </c>
      <c r="O2435" s="29"/>
      <c r="P2435" s="29" t="s">
        <v>9598</v>
      </c>
      <c r="Q2435" t="s">
        <v>2038</v>
      </c>
      <c r="R2435" t="s">
        <v>2632</v>
      </c>
      <c r="S2435">
        <v>38</v>
      </c>
      <c r="T2435" s="43" t="str">
        <f t="shared" si="104"/>
        <v>2022.005B.Andregratiavirinae_Joanripponvirinae_nsf.zip</v>
      </c>
      <c r="U2435" s="43" t="str">
        <f>HYPERLINK("https://ictv.global/taxonomy/taxondetails?taxnode_id=202214480","ictv.global=202214480")</f>
        <v>ictv.global=202214480</v>
      </c>
    </row>
    <row r="2436" spans="1:21">
      <c r="A2436">
        <v>2435</v>
      </c>
      <c r="B2436" s="29" t="s">
        <v>3682</v>
      </c>
      <c r="C2436" s="29"/>
      <c r="D2436" s="29" t="s">
        <v>3683</v>
      </c>
      <c r="E2436" s="29"/>
      <c r="F2436" s="29" t="s">
        <v>3686</v>
      </c>
      <c r="G2436" s="29"/>
      <c r="H2436" s="29" t="s">
        <v>3687</v>
      </c>
      <c r="I2436" s="29"/>
      <c r="J2436" s="29"/>
      <c r="K2436" s="29"/>
      <c r="L2436" s="29"/>
      <c r="M2436" s="29" t="s">
        <v>9599</v>
      </c>
      <c r="N2436" s="29" t="s">
        <v>9600</v>
      </c>
      <c r="O2436" s="29"/>
      <c r="P2436" s="29" t="s">
        <v>9601</v>
      </c>
      <c r="Q2436" t="s">
        <v>2038</v>
      </c>
      <c r="R2436" t="s">
        <v>2632</v>
      </c>
      <c r="S2436">
        <v>37</v>
      </c>
      <c r="T2436" s="43" t="str">
        <f>HYPERLINK("https://ictv.global/ictv/proposals/2021.038B.R.Kantovirinae.zip","2021.038B.R.Kantovirinae.zip")</f>
        <v>2021.038B.R.Kantovirinae.zip</v>
      </c>
      <c r="U2436" s="43" t="str">
        <f>HYPERLINK("https://ictv.global/taxonomy/taxondetails?taxnode_id=202212352","ictv.global=202212352")</f>
        <v>ictv.global=202212352</v>
      </c>
    </row>
    <row r="2437" spans="1:21">
      <c r="A2437">
        <v>2436</v>
      </c>
      <c r="B2437" s="29" t="s">
        <v>3682</v>
      </c>
      <c r="C2437" s="29"/>
      <c r="D2437" s="29" t="s">
        <v>3683</v>
      </c>
      <c r="E2437" s="29"/>
      <c r="F2437" s="29" t="s">
        <v>3686</v>
      </c>
      <c r="G2437" s="29"/>
      <c r="H2437" s="29" t="s">
        <v>3687</v>
      </c>
      <c r="I2437" s="29"/>
      <c r="J2437" s="29"/>
      <c r="K2437" s="29"/>
      <c r="L2437" s="29"/>
      <c r="M2437" s="29" t="s">
        <v>9599</v>
      </c>
      <c r="N2437" s="29" t="s">
        <v>9600</v>
      </c>
      <c r="O2437" s="29"/>
      <c r="P2437" s="29" t="s">
        <v>9602</v>
      </c>
      <c r="Q2437" t="s">
        <v>2038</v>
      </c>
      <c r="R2437" t="s">
        <v>2632</v>
      </c>
      <c r="S2437">
        <v>37</v>
      </c>
      <c r="T2437" s="43" t="str">
        <f>HYPERLINK("https://ictv.global/ictv/proposals/2021.038B.R.Kantovirinae.zip","2021.038B.R.Kantovirinae.zip")</f>
        <v>2021.038B.R.Kantovirinae.zip</v>
      </c>
      <c r="U2437" s="43" t="str">
        <f>HYPERLINK("https://ictv.global/taxonomy/taxondetails?taxnode_id=202212353","ictv.global=202212353")</f>
        <v>ictv.global=202212353</v>
      </c>
    </row>
    <row r="2438" spans="1:21">
      <c r="A2438">
        <v>2437</v>
      </c>
      <c r="B2438" s="29" t="s">
        <v>3682</v>
      </c>
      <c r="C2438" s="29"/>
      <c r="D2438" s="29" t="s">
        <v>3683</v>
      </c>
      <c r="E2438" s="29"/>
      <c r="F2438" s="29" t="s">
        <v>3686</v>
      </c>
      <c r="G2438" s="29"/>
      <c r="H2438" s="29" t="s">
        <v>3687</v>
      </c>
      <c r="I2438" s="29"/>
      <c r="J2438" s="29"/>
      <c r="K2438" s="29"/>
      <c r="L2438" s="29"/>
      <c r="M2438" s="29" t="s">
        <v>9599</v>
      </c>
      <c r="N2438" s="29" t="s">
        <v>9603</v>
      </c>
      <c r="O2438" s="29"/>
      <c r="P2438" s="29" t="s">
        <v>9604</v>
      </c>
      <c r="Q2438" t="s">
        <v>2038</v>
      </c>
      <c r="R2438" t="s">
        <v>2633</v>
      </c>
      <c r="S2438">
        <v>37</v>
      </c>
      <c r="T2438" s="43" t="str">
        <f>HYPERLINK("https://ictv.global/ictv/proposals/2021.038B.R.Kantovirinae.zip","2021.038B.R.Kantovirinae.zip")</f>
        <v>2021.038B.R.Kantovirinae.zip</v>
      </c>
      <c r="U2438" s="43" t="str">
        <f>HYPERLINK("https://ictv.global/taxonomy/taxondetails?taxnode_id=202200406","ictv.global=202200406")</f>
        <v>ictv.global=202200406</v>
      </c>
    </row>
    <row r="2439" spans="1:21">
      <c r="A2439">
        <v>2438</v>
      </c>
      <c r="B2439" s="29" t="s">
        <v>3682</v>
      </c>
      <c r="C2439" s="29"/>
      <c r="D2439" s="29" t="s">
        <v>3683</v>
      </c>
      <c r="E2439" s="29"/>
      <c r="F2439" s="29" t="s">
        <v>3686</v>
      </c>
      <c r="G2439" s="29"/>
      <c r="H2439" s="29" t="s">
        <v>3687</v>
      </c>
      <c r="I2439" s="29"/>
      <c r="J2439" s="29"/>
      <c r="K2439" s="29"/>
      <c r="L2439" s="29"/>
      <c r="M2439" s="29" t="s">
        <v>9599</v>
      </c>
      <c r="N2439" s="29" t="s">
        <v>9603</v>
      </c>
      <c r="O2439" s="29"/>
      <c r="P2439" s="29" t="s">
        <v>9605</v>
      </c>
      <c r="Q2439" t="s">
        <v>2038</v>
      </c>
      <c r="R2439" t="s">
        <v>2632</v>
      </c>
      <c r="S2439">
        <v>37</v>
      </c>
      <c r="T2439" s="43" t="str">
        <f>HYPERLINK("https://ictv.global/ictv/proposals/2021.038B.R.Kantovirinae.zip","2021.038B.R.Kantovirinae.zip")</f>
        <v>2021.038B.R.Kantovirinae.zip</v>
      </c>
      <c r="U2439" s="43" t="str">
        <f>HYPERLINK("https://ictv.global/taxonomy/taxondetails?taxnode_id=202212349","ictv.global=202212349")</f>
        <v>ictv.global=202212349</v>
      </c>
    </row>
    <row r="2440" spans="1:21">
      <c r="A2440">
        <v>2439</v>
      </c>
      <c r="B2440" s="29" t="s">
        <v>3682</v>
      </c>
      <c r="C2440" s="29"/>
      <c r="D2440" s="29" t="s">
        <v>3683</v>
      </c>
      <c r="E2440" s="29"/>
      <c r="F2440" s="29" t="s">
        <v>3686</v>
      </c>
      <c r="G2440" s="29"/>
      <c r="H2440" s="29" t="s">
        <v>3687</v>
      </c>
      <c r="I2440" s="29"/>
      <c r="J2440" s="29"/>
      <c r="K2440" s="29"/>
      <c r="L2440" s="29"/>
      <c r="M2440" s="29" t="s">
        <v>9599</v>
      </c>
      <c r="N2440" s="29" t="s">
        <v>9603</v>
      </c>
      <c r="O2440" s="29"/>
      <c r="P2440" s="29" t="s">
        <v>9606</v>
      </c>
      <c r="Q2440" t="s">
        <v>2038</v>
      </c>
      <c r="R2440" t="s">
        <v>2632</v>
      </c>
      <c r="S2440">
        <v>37</v>
      </c>
      <c r="T2440" s="43" t="str">
        <f>HYPERLINK("https://ictv.global/ictv/proposals/2021.038B.R.Kantovirinae.zip","2021.038B.R.Kantovirinae.zip")</f>
        <v>2021.038B.R.Kantovirinae.zip</v>
      </c>
      <c r="U2440" s="43" t="str">
        <f>HYPERLINK("https://ictv.global/taxonomy/taxondetails?taxnode_id=202212350","ictv.global=202212350")</f>
        <v>ictv.global=202212350</v>
      </c>
    </row>
    <row r="2441" spans="1:21">
      <c r="A2441">
        <v>2440</v>
      </c>
      <c r="B2441" s="29" t="s">
        <v>3682</v>
      </c>
      <c r="C2441" s="29"/>
      <c r="D2441" s="29" t="s">
        <v>3683</v>
      </c>
      <c r="E2441" s="29"/>
      <c r="F2441" s="29" t="s">
        <v>3686</v>
      </c>
      <c r="G2441" s="29"/>
      <c r="H2441" s="29" t="s">
        <v>3687</v>
      </c>
      <c r="I2441" s="29"/>
      <c r="J2441" s="29"/>
      <c r="K2441" s="29"/>
      <c r="L2441" s="29"/>
      <c r="M2441" s="29" t="s">
        <v>3972</v>
      </c>
      <c r="N2441" s="29" t="s">
        <v>3973</v>
      </c>
      <c r="O2441" s="29"/>
      <c r="P2441" s="29" t="s">
        <v>9607</v>
      </c>
      <c r="Q2441" t="s">
        <v>2038</v>
      </c>
      <c r="R2441" t="s">
        <v>2633</v>
      </c>
      <c r="S2441">
        <v>37</v>
      </c>
      <c r="T2441" s="43" t="str">
        <f t="shared" ref="T2441:T2458" si="105">HYPERLINK("https://ictv.global/ictv/proposals/2021.010B.R.Binomial_names.zip","2021.010B.R.Binomial_names.zip")</f>
        <v>2021.010B.R.Binomial_names.zip</v>
      </c>
      <c r="U2441" s="43" t="str">
        <f>HYPERLINK("https://ictv.global/taxonomy/taxondetails?taxnode_id=202207882","ictv.global=202207882")</f>
        <v>ictv.global=202207882</v>
      </c>
    </row>
    <row r="2442" spans="1:21">
      <c r="A2442">
        <v>2441</v>
      </c>
      <c r="B2442" s="29" t="s">
        <v>3682</v>
      </c>
      <c r="C2442" s="29"/>
      <c r="D2442" s="29" t="s">
        <v>3683</v>
      </c>
      <c r="E2442" s="29"/>
      <c r="F2442" s="29" t="s">
        <v>3686</v>
      </c>
      <c r="G2442" s="29"/>
      <c r="H2442" s="29" t="s">
        <v>3687</v>
      </c>
      <c r="I2442" s="29"/>
      <c r="J2442" s="29"/>
      <c r="K2442" s="29"/>
      <c r="L2442" s="29"/>
      <c r="M2442" s="29" t="s">
        <v>3972</v>
      </c>
      <c r="N2442" s="29" t="s">
        <v>3973</v>
      </c>
      <c r="O2442" s="29"/>
      <c r="P2442" s="29" t="s">
        <v>9608</v>
      </c>
      <c r="Q2442" t="s">
        <v>2038</v>
      </c>
      <c r="R2442" t="s">
        <v>2633</v>
      </c>
      <c r="S2442">
        <v>37</v>
      </c>
      <c r="T2442" s="43" t="str">
        <f t="shared" si="105"/>
        <v>2021.010B.R.Binomial_names.zip</v>
      </c>
      <c r="U2442" s="43" t="str">
        <f>HYPERLINK("https://ictv.global/taxonomy/taxondetails?taxnode_id=202207884","ictv.global=202207884")</f>
        <v>ictv.global=202207884</v>
      </c>
    </row>
    <row r="2443" spans="1:21">
      <c r="A2443">
        <v>2442</v>
      </c>
      <c r="B2443" s="29" t="s">
        <v>3682</v>
      </c>
      <c r="C2443" s="29"/>
      <c r="D2443" s="29" t="s">
        <v>3683</v>
      </c>
      <c r="E2443" s="29"/>
      <c r="F2443" s="29" t="s">
        <v>3686</v>
      </c>
      <c r="G2443" s="29"/>
      <c r="H2443" s="29" t="s">
        <v>3687</v>
      </c>
      <c r="I2443" s="29"/>
      <c r="J2443" s="29"/>
      <c r="K2443" s="29"/>
      <c r="L2443" s="29"/>
      <c r="M2443" s="29" t="s">
        <v>3972</v>
      </c>
      <c r="N2443" s="29" t="s">
        <v>3973</v>
      </c>
      <c r="O2443" s="29"/>
      <c r="P2443" s="29" t="s">
        <v>9609</v>
      </c>
      <c r="Q2443" t="s">
        <v>2038</v>
      </c>
      <c r="R2443" t="s">
        <v>2633</v>
      </c>
      <c r="S2443">
        <v>37</v>
      </c>
      <c r="T2443" s="43" t="str">
        <f t="shared" si="105"/>
        <v>2021.010B.R.Binomial_names.zip</v>
      </c>
      <c r="U2443" s="43" t="str">
        <f>HYPERLINK("https://ictv.global/taxonomy/taxondetails?taxnode_id=202207881","ictv.global=202207881")</f>
        <v>ictv.global=202207881</v>
      </c>
    </row>
    <row r="2444" spans="1:21">
      <c r="A2444">
        <v>2443</v>
      </c>
      <c r="B2444" s="29" t="s">
        <v>3682</v>
      </c>
      <c r="C2444" s="29"/>
      <c r="D2444" s="29" t="s">
        <v>3683</v>
      </c>
      <c r="E2444" s="29"/>
      <c r="F2444" s="29" t="s">
        <v>3686</v>
      </c>
      <c r="G2444" s="29"/>
      <c r="H2444" s="29" t="s">
        <v>3687</v>
      </c>
      <c r="I2444" s="29"/>
      <c r="J2444" s="29"/>
      <c r="K2444" s="29"/>
      <c r="L2444" s="29"/>
      <c r="M2444" s="29" t="s">
        <v>3972</v>
      </c>
      <c r="N2444" s="29" t="s">
        <v>3973</v>
      </c>
      <c r="O2444" s="29"/>
      <c r="P2444" s="29" t="s">
        <v>9610</v>
      </c>
      <c r="Q2444" t="s">
        <v>2038</v>
      </c>
      <c r="R2444" t="s">
        <v>2633</v>
      </c>
      <c r="S2444">
        <v>37</v>
      </c>
      <c r="T2444" s="43" t="str">
        <f t="shared" si="105"/>
        <v>2021.010B.R.Binomial_names.zip</v>
      </c>
      <c r="U2444" s="43" t="str">
        <f>HYPERLINK("https://ictv.global/taxonomy/taxondetails?taxnode_id=202207883","ictv.global=202207883")</f>
        <v>ictv.global=202207883</v>
      </c>
    </row>
    <row r="2445" spans="1:21">
      <c r="A2445">
        <v>2444</v>
      </c>
      <c r="B2445" s="29" t="s">
        <v>3682</v>
      </c>
      <c r="C2445" s="29"/>
      <c r="D2445" s="29" t="s">
        <v>3683</v>
      </c>
      <c r="E2445" s="29"/>
      <c r="F2445" s="29" t="s">
        <v>3686</v>
      </c>
      <c r="G2445" s="29"/>
      <c r="H2445" s="29" t="s">
        <v>3687</v>
      </c>
      <c r="I2445" s="29"/>
      <c r="J2445" s="29"/>
      <c r="K2445" s="29"/>
      <c r="L2445" s="29"/>
      <c r="M2445" s="29" t="s">
        <v>3972</v>
      </c>
      <c r="N2445" s="29" t="s">
        <v>3974</v>
      </c>
      <c r="O2445" s="29"/>
      <c r="P2445" s="29" t="s">
        <v>9611</v>
      </c>
      <c r="Q2445" t="s">
        <v>2038</v>
      </c>
      <c r="R2445" t="s">
        <v>2633</v>
      </c>
      <c r="S2445">
        <v>37</v>
      </c>
      <c r="T2445" s="43" t="str">
        <f t="shared" si="105"/>
        <v>2021.010B.R.Binomial_names.zip</v>
      </c>
      <c r="U2445" s="43" t="str">
        <f>HYPERLINK("https://ictv.global/taxonomy/taxondetails?taxnode_id=202207886","ictv.global=202207886")</f>
        <v>ictv.global=202207886</v>
      </c>
    </row>
    <row r="2446" spans="1:21">
      <c r="A2446">
        <v>2445</v>
      </c>
      <c r="B2446" s="29" t="s">
        <v>3682</v>
      </c>
      <c r="C2446" s="29"/>
      <c r="D2446" s="29" t="s">
        <v>3683</v>
      </c>
      <c r="E2446" s="29"/>
      <c r="F2446" s="29" t="s">
        <v>3686</v>
      </c>
      <c r="G2446" s="29"/>
      <c r="H2446" s="29" t="s">
        <v>3687</v>
      </c>
      <c r="I2446" s="29"/>
      <c r="J2446" s="29"/>
      <c r="K2446" s="29"/>
      <c r="L2446" s="29"/>
      <c r="M2446" s="29" t="s">
        <v>3972</v>
      </c>
      <c r="N2446" s="29" t="s">
        <v>3975</v>
      </c>
      <c r="O2446" s="29"/>
      <c r="P2446" s="29" t="s">
        <v>9612</v>
      </c>
      <c r="Q2446" t="s">
        <v>2038</v>
      </c>
      <c r="R2446" t="s">
        <v>2633</v>
      </c>
      <c r="S2446">
        <v>37</v>
      </c>
      <c r="T2446" s="43" t="str">
        <f t="shared" si="105"/>
        <v>2021.010B.R.Binomial_names.zip</v>
      </c>
      <c r="U2446" s="43" t="str">
        <f>HYPERLINK("https://ictv.global/taxonomy/taxondetails?taxnode_id=202207888","ictv.global=202207888")</f>
        <v>ictv.global=202207888</v>
      </c>
    </row>
    <row r="2447" spans="1:21">
      <c r="A2447">
        <v>2446</v>
      </c>
      <c r="B2447" s="29" t="s">
        <v>3682</v>
      </c>
      <c r="C2447" s="29"/>
      <c r="D2447" s="29" t="s">
        <v>3683</v>
      </c>
      <c r="E2447" s="29"/>
      <c r="F2447" s="29" t="s">
        <v>3686</v>
      </c>
      <c r="G2447" s="29"/>
      <c r="H2447" s="29" t="s">
        <v>3687</v>
      </c>
      <c r="I2447" s="29"/>
      <c r="J2447" s="29"/>
      <c r="K2447" s="29"/>
      <c r="L2447" s="29"/>
      <c r="M2447" s="29" t="s">
        <v>2648</v>
      </c>
      <c r="N2447" s="29" t="s">
        <v>3493</v>
      </c>
      <c r="O2447" s="29"/>
      <c r="P2447" s="29" t="s">
        <v>9613</v>
      </c>
      <c r="Q2447" t="s">
        <v>2038</v>
      </c>
      <c r="R2447" t="s">
        <v>2633</v>
      </c>
      <c r="S2447">
        <v>37</v>
      </c>
      <c r="T2447" s="43" t="str">
        <f t="shared" si="105"/>
        <v>2021.010B.R.Binomial_names.zip</v>
      </c>
      <c r="U2447" s="43" t="str">
        <f>HYPERLINK("https://ictv.global/taxonomy/taxondetails?taxnode_id=202210215","ictv.global=202210215")</f>
        <v>ictv.global=202210215</v>
      </c>
    </row>
    <row r="2448" spans="1:21">
      <c r="A2448">
        <v>2447</v>
      </c>
      <c r="B2448" s="29" t="s">
        <v>3682</v>
      </c>
      <c r="C2448" s="29"/>
      <c r="D2448" s="29" t="s">
        <v>3683</v>
      </c>
      <c r="E2448" s="29"/>
      <c r="F2448" s="29" t="s">
        <v>3686</v>
      </c>
      <c r="G2448" s="29"/>
      <c r="H2448" s="29" t="s">
        <v>3687</v>
      </c>
      <c r="I2448" s="29"/>
      <c r="J2448" s="29"/>
      <c r="K2448" s="29"/>
      <c r="L2448" s="29"/>
      <c r="M2448" s="29" t="s">
        <v>2648</v>
      </c>
      <c r="N2448" s="29" t="s">
        <v>3493</v>
      </c>
      <c r="O2448" s="29"/>
      <c r="P2448" s="29" t="s">
        <v>9614</v>
      </c>
      <c r="Q2448" t="s">
        <v>2038</v>
      </c>
      <c r="R2448" t="s">
        <v>2633</v>
      </c>
      <c r="S2448">
        <v>37</v>
      </c>
      <c r="T2448" s="43" t="str">
        <f t="shared" si="105"/>
        <v>2021.010B.R.Binomial_names.zip</v>
      </c>
      <c r="U2448" s="43" t="str">
        <f>HYPERLINK("https://ictv.global/taxonomy/taxondetails?taxnode_id=202205513","ictv.global=202205513")</f>
        <v>ictv.global=202205513</v>
      </c>
    </row>
    <row r="2449" spans="1:21">
      <c r="A2449">
        <v>2448</v>
      </c>
      <c r="B2449" s="29" t="s">
        <v>3682</v>
      </c>
      <c r="C2449" s="29"/>
      <c r="D2449" s="29" t="s">
        <v>3683</v>
      </c>
      <c r="E2449" s="29"/>
      <c r="F2449" s="29" t="s">
        <v>3686</v>
      </c>
      <c r="G2449" s="29"/>
      <c r="H2449" s="29" t="s">
        <v>3687</v>
      </c>
      <c r="I2449" s="29"/>
      <c r="J2449" s="29"/>
      <c r="K2449" s="29"/>
      <c r="L2449" s="29"/>
      <c r="M2449" s="29" t="s">
        <v>2648</v>
      </c>
      <c r="N2449" s="29" t="s">
        <v>3493</v>
      </c>
      <c r="O2449" s="29"/>
      <c r="P2449" s="29" t="s">
        <v>9615</v>
      </c>
      <c r="Q2449" t="s">
        <v>2038</v>
      </c>
      <c r="R2449" t="s">
        <v>2633</v>
      </c>
      <c r="S2449">
        <v>37</v>
      </c>
      <c r="T2449" s="43" t="str">
        <f t="shared" si="105"/>
        <v>2021.010B.R.Binomial_names.zip</v>
      </c>
      <c r="U2449" s="43" t="str">
        <f>HYPERLINK("https://ictv.global/taxonomy/taxondetails?taxnode_id=202205514","ictv.global=202205514")</f>
        <v>ictv.global=202205514</v>
      </c>
    </row>
    <row r="2450" spans="1:21">
      <c r="A2450">
        <v>2449</v>
      </c>
      <c r="B2450" s="29" t="s">
        <v>3682</v>
      </c>
      <c r="C2450" s="29"/>
      <c r="D2450" s="29" t="s">
        <v>3683</v>
      </c>
      <c r="E2450" s="29"/>
      <c r="F2450" s="29" t="s">
        <v>3686</v>
      </c>
      <c r="G2450" s="29"/>
      <c r="H2450" s="29" t="s">
        <v>3687</v>
      </c>
      <c r="I2450" s="29"/>
      <c r="J2450" s="29"/>
      <c r="K2450" s="29"/>
      <c r="L2450" s="29"/>
      <c r="M2450" s="29" t="s">
        <v>2648</v>
      </c>
      <c r="N2450" s="29" t="s">
        <v>3493</v>
      </c>
      <c r="O2450" s="29"/>
      <c r="P2450" s="29" t="s">
        <v>9616</v>
      </c>
      <c r="Q2450" t="s">
        <v>2038</v>
      </c>
      <c r="R2450" t="s">
        <v>2633</v>
      </c>
      <c r="S2450">
        <v>37</v>
      </c>
      <c r="T2450" s="43" t="str">
        <f t="shared" si="105"/>
        <v>2021.010B.R.Binomial_names.zip</v>
      </c>
      <c r="U2450" s="43" t="str">
        <f>HYPERLINK("https://ictv.global/taxonomy/taxondetails?taxnode_id=202205515","ictv.global=202205515")</f>
        <v>ictv.global=202205515</v>
      </c>
    </row>
    <row r="2451" spans="1:21">
      <c r="A2451">
        <v>2450</v>
      </c>
      <c r="B2451" s="29" t="s">
        <v>3682</v>
      </c>
      <c r="C2451" s="29"/>
      <c r="D2451" s="29" t="s">
        <v>3683</v>
      </c>
      <c r="E2451" s="29"/>
      <c r="F2451" s="29" t="s">
        <v>3686</v>
      </c>
      <c r="G2451" s="29"/>
      <c r="H2451" s="29" t="s">
        <v>3687</v>
      </c>
      <c r="I2451" s="29"/>
      <c r="J2451" s="29"/>
      <c r="K2451" s="29"/>
      <c r="L2451" s="29"/>
      <c r="M2451" s="29" t="s">
        <v>2648</v>
      </c>
      <c r="N2451" s="29" t="s">
        <v>3493</v>
      </c>
      <c r="O2451" s="29"/>
      <c r="P2451" s="29" t="s">
        <v>9617</v>
      </c>
      <c r="Q2451" t="s">
        <v>2038</v>
      </c>
      <c r="R2451" t="s">
        <v>2633</v>
      </c>
      <c r="S2451">
        <v>37</v>
      </c>
      <c r="T2451" s="43" t="str">
        <f t="shared" si="105"/>
        <v>2021.010B.R.Binomial_names.zip</v>
      </c>
      <c r="U2451" s="43" t="str">
        <f>HYPERLINK("https://ictv.global/taxonomy/taxondetails?taxnode_id=202205516","ictv.global=202205516")</f>
        <v>ictv.global=202205516</v>
      </c>
    </row>
    <row r="2452" spans="1:21">
      <c r="A2452">
        <v>2451</v>
      </c>
      <c r="B2452" s="29" t="s">
        <v>3682</v>
      </c>
      <c r="C2452" s="29"/>
      <c r="D2452" s="29" t="s">
        <v>3683</v>
      </c>
      <c r="E2452" s="29"/>
      <c r="F2452" s="29" t="s">
        <v>3686</v>
      </c>
      <c r="G2452" s="29"/>
      <c r="H2452" s="29" t="s">
        <v>3687</v>
      </c>
      <c r="I2452" s="29"/>
      <c r="J2452" s="29"/>
      <c r="K2452" s="29"/>
      <c r="L2452" s="29"/>
      <c r="M2452" s="29" t="s">
        <v>2648</v>
      </c>
      <c r="N2452" s="29" t="s">
        <v>3493</v>
      </c>
      <c r="O2452" s="29"/>
      <c r="P2452" s="29" t="s">
        <v>9618</v>
      </c>
      <c r="Q2452" t="s">
        <v>2038</v>
      </c>
      <c r="R2452" t="s">
        <v>2633</v>
      </c>
      <c r="S2452">
        <v>37</v>
      </c>
      <c r="T2452" s="43" t="str">
        <f t="shared" si="105"/>
        <v>2021.010B.R.Binomial_names.zip</v>
      </c>
      <c r="U2452" s="43" t="str">
        <f>HYPERLINK("https://ictv.global/taxonomy/taxondetails?taxnode_id=202205518","ictv.global=202205518")</f>
        <v>ictv.global=202205518</v>
      </c>
    </row>
    <row r="2453" spans="1:21">
      <c r="A2453">
        <v>2452</v>
      </c>
      <c r="B2453" s="29" t="s">
        <v>3682</v>
      </c>
      <c r="C2453" s="29"/>
      <c r="D2453" s="29" t="s">
        <v>3683</v>
      </c>
      <c r="E2453" s="29"/>
      <c r="F2453" s="29" t="s">
        <v>3686</v>
      </c>
      <c r="G2453" s="29"/>
      <c r="H2453" s="29" t="s">
        <v>3687</v>
      </c>
      <c r="I2453" s="29"/>
      <c r="J2453" s="29"/>
      <c r="K2453" s="29"/>
      <c r="L2453" s="29"/>
      <c r="M2453" s="29" t="s">
        <v>2648</v>
      </c>
      <c r="N2453" s="29" t="s">
        <v>3493</v>
      </c>
      <c r="O2453" s="29"/>
      <c r="P2453" s="29" t="s">
        <v>9619</v>
      </c>
      <c r="Q2453" t="s">
        <v>2038</v>
      </c>
      <c r="R2453" t="s">
        <v>2633</v>
      </c>
      <c r="S2453">
        <v>37</v>
      </c>
      <c r="T2453" s="43" t="str">
        <f t="shared" si="105"/>
        <v>2021.010B.R.Binomial_names.zip</v>
      </c>
      <c r="U2453" s="43" t="str">
        <f>HYPERLINK("https://ictv.global/taxonomy/taxondetails?taxnode_id=202210214","ictv.global=202210214")</f>
        <v>ictv.global=202210214</v>
      </c>
    </row>
    <row r="2454" spans="1:21">
      <c r="A2454">
        <v>2453</v>
      </c>
      <c r="B2454" s="29" t="s">
        <v>3682</v>
      </c>
      <c r="C2454" s="29"/>
      <c r="D2454" s="29" t="s">
        <v>3683</v>
      </c>
      <c r="E2454" s="29"/>
      <c r="F2454" s="29" t="s">
        <v>3686</v>
      </c>
      <c r="G2454" s="29"/>
      <c r="H2454" s="29" t="s">
        <v>3687</v>
      </c>
      <c r="I2454" s="29"/>
      <c r="J2454" s="29"/>
      <c r="K2454" s="29"/>
      <c r="L2454" s="29"/>
      <c r="M2454" s="29" t="s">
        <v>2648</v>
      </c>
      <c r="N2454" s="29" t="s">
        <v>3494</v>
      </c>
      <c r="O2454" s="29"/>
      <c r="P2454" s="29" t="s">
        <v>9620</v>
      </c>
      <c r="Q2454" t="s">
        <v>2038</v>
      </c>
      <c r="R2454" t="s">
        <v>2633</v>
      </c>
      <c r="S2454">
        <v>37</v>
      </c>
      <c r="T2454" s="43" t="str">
        <f t="shared" si="105"/>
        <v>2021.010B.R.Binomial_names.zip</v>
      </c>
      <c r="U2454" s="43" t="str">
        <f>HYPERLINK("https://ictv.global/taxonomy/taxondetails?taxnode_id=202210216","ictv.global=202210216")</f>
        <v>ictv.global=202210216</v>
      </c>
    </row>
    <row r="2455" spans="1:21">
      <c r="A2455">
        <v>2454</v>
      </c>
      <c r="B2455" s="29" t="s">
        <v>3682</v>
      </c>
      <c r="C2455" s="29"/>
      <c r="D2455" s="29" t="s">
        <v>3683</v>
      </c>
      <c r="E2455" s="29"/>
      <c r="F2455" s="29" t="s">
        <v>3686</v>
      </c>
      <c r="G2455" s="29"/>
      <c r="H2455" s="29" t="s">
        <v>3687</v>
      </c>
      <c r="I2455" s="29"/>
      <c r="J2455" s="29"/>
      <c r="K2455" s="29"/>
      <c r="L2455" s="29"/>
      <c r="M2455" s="29" t="s">
        <v>2648</v>
      </c>
      <c r="N2455" s="29" t="s">
        <v>3494</v>
      </c>
      <c r="O2455" s="29"/>
      <c r="P2455" s="29" t="s">
        <v>9621</v>
      </c>
      <c r="Q2455" t="s">
        <v>2038</v>
      </c>
      <c r="R2455" t="s">
        <v>2633</v>
      </c>
      <c r="S2455">
        <v>37</v>
      </c>
      <c r="T2455" s="43" t="str">
        <f t="shared" si="105"/>
        <v>2021.010B.R.Binomial_names.zip</v>
      </c>
      <c r="U2455" s="43" t="str">
        <f>HYPERLINK("https://ictv.global/taxonomy/taxondetails?taxnode_id=202205524","ictv.global=202205524")</f>
        <v>ictv.global=202205524</v>
      </c>
    </row>
    <row r="2456" spans="1:21">
      <c r="A2456">
        <v>2455</v>
      </c>
      <c r="B2456" s="29" t="s">
        <v>3682</v>
      </c>
      <c r="C2456" s="29"/>
      <c r="D2456" s="29" t="s">
        <v>3683</v>
      </c>
      <c r="E2456" s="29"/>
      <c r="F2456" s="29" t="s">
        <v>3686</v>
      </c>
      <c r="G2456" s="29"/>
      <c r="H2456" s="29" t="s">
        <v>3687</v>
      </c>
      <c r="I2456" s="29"/>
      <c r="J2456" s="29"/>
      <c r="K2456" s="29"/>
      <c r="L2456" s="29"/>
      <c r="M2456" s="29" t="s">
        <v>2648</v>
      </c>
      <c r="N2456" s="29" t="s">
        <v>3494</v>
      </c>
      <c r="O2456" s="29"/>
      <c r="P2456" s="29" t="s">
        <v>9622</v>
      </c>
      <c r="Q2456" t="s">
        <v>2038</v>
      </c>
      <c r="R2456" t="s">
        <v>2633</v>
      </c>
      <c r="S2456">
        <v>37</v>
      </c>
      <c r="T2456" s="43" t="str">
        <f t="shared" si="105"/>
        <v>2021.010B.R.Binomial_names.zip</v>
      </c>
      <c r="U2456" s="43" t="str">
        <f>HYPERLINK("https://ictv.global/taxonomy/taxondetails?taxnode_id=202205521","ictv.global=202205521")</f>
        <v>ictv.global=202205521</v>
      </c>
    </row>
    <row r="2457" spans="1:21">
      <c r="A2457">
        <v>2456</v>
      </c>
      <c r="B2457" s="29" t="s">
        <v>3682</v>
      </c>
      <c r="C2457" s="29"/>
      <c r="D2457" s="29" t="s">
        <v>3683</v>
      </c>
      <c r="E2457" s="29"/>
      <c r="F2457" s="29" t="s">
        <v>3686</v>
      </c>
      <c r="G2457" s="29"/>
      <c r="H2457" s="29" t="s">
        <v>3687</v>
      </c>
      <c r="I2457" s="29"/>
      <c r="J2457" s="29"/>
      <c r="K2457" s="29"/>
      <c r="L2457" s="29"/>
      <c r="M2457" s="29" t="s">
        <v>2648</v>
      </c>
      <c r="N2457" s="29" t="s">
        <v>3494</v>
      </c>
      <c r="O2457" s="29"/>
      <c r="P2457" s="29" t="s">
        <v>9623</v>
      </c>
      <c r="Q2457" t="s">
        <v>2038</v>
      </c>
      <c r="R2457" t="s">
        <v>2633</v>
      </c>
      <c r="S2457">
        <v>37</v>
      </c>
      <c r="T2457" s="43" t="str">
        <f t="shared" si="105"/>
        <v>2021.010B.R.Binomial_names.zip</v>
      </c>
      <c r="U2457" s="43" t="str">
        <f>HYPERLINK("https://ictv.global/taxonomy/taxondetails?taxnode_id=202205522","ictv.global=202205522")</f>
        <v>ictv.global=202205522</v>
      </c>
    </row>
    <row r="2458" spans="1:21">
      <c r="A2458">
        <v>2457</v>
      </c>
      <c r="B2458" s="29" t="s">
        <v>3682</v>
      </c>
      <c r="C2458" s="29"/>
      <c r="D2458" s="29" t="s">
        <v>3683</v>
      </c>
      <c r="E2458" s="29"/>
      <c r="F2458" s="29" t="s">
        <v>3686</v>
      </c>
      <c r="G2458" s="29"/>
      <c r="H2458" s="29" t="s">
        <v>3687</v>
      </c>
      <c r="I2458" s="29"/>
      <c r="J2458" s="29"/>
      <c r="K2458" s="29"/>
      <c r="L2458" s="29"/>
      <c r="M2458" s="29" t="s">
        <v>2648</v>
      </c>
      <c r="N2458" s="29" t="s">
        <v>3494</v>
      </c>
      <c r="O2458" s="29"/>
      <c r="P2458" s="29" t="s">
        <v>9624</v>
      </c>
      <c r="Q2458" t="s">
        <v>2038</v>
      </c>
      <c r="R2458" t="s">
        <v>2633</v>
      </c>
      <c r="S2458">
        <v>37</v>
      </c>
      <c r="T2458" s="43" t="str">
        <f t="shared" si="105"/>
        <v>2021.010B.R.Binomial_names.zip</v>
      </c>
      <c r="U2458" s="43" t="str">
        <f>HYPERLINK("https://ictv.global/taxonomy/taxondetails?taxnode_id=202205520","ictv.global=202205520")</f>
        <v>ictv.global=202205520</v>
      </c>
    </row>
    <row r="2459" spans="1:21">
      <c r="A2459">
        <v>2458</v>
      </c>
      <c r="B2459" s="29" t="s">
        <v>3682</v>
      </c>
      <c r="C2459" s="29"/>
      <c r="D2459" s="29" t="s">
        <v>3683</v>
      </c>
      <c r="E2459" s="29"/>
      <c r="F2459" s="29" t="s">
        <v>3686</v>
      </c>
      <c r="G2459" s="29"/>
      <c r="H2459" s="29" t="s">
        <v>3687</v>
      </c>
      <c r="I2459" s="29"/>
      <c r="J2459" s="29"/>
      <c r="K2459" s="29"/>
      <c r="L2459" s="29"/>
      <c r="M2459" s="29" t="s">
        <v>2649</v>
      </c>
      <c r="N2459" s="29" t="s">
        <v>2086</v>
      </c>
      <c r="O2459" s="29"/>
      <c r="P2459" s="29" t="s">
        <v>9625</v>
      </c>
      <c r="Q2459" t="s">
        <v>2038</v>
      </c>
      <c r="R2459" t="s">
        <v>2632</v>
      </c>
      <c r="S2459">
        <v>37</v>
      </c>
      <c r="T2459" s="43" t="str">
        <f t="shared" ref="T2459:T2476" si="106">HYPERLINK("https://ictv.global/ictv/proposals/2021.057B.R.Nclasvirinae.zip","2021.057B.R.Nclasvirinae.zip")</f>
        <v>2021.057B.R.Nclasvirinae.zip</v>
      </c>
      <c r="U2459" s="43" t="str">
        <f>HYPERLINK("https://ictv.global/taxonomy/taxondetails?taxnode_id=202212777","ictv.global=202212777")</f>
        <v>ictv.global=202212777</v>
      </c>
    </row>
    <row r="2460" spans="1:21">
      <c r="A2460">
        <v>2459</v>
      </c>
      <c r="B2460" s="29" t="s">
        <v>3682</v>
      </c>
      <c r="C2460" s="29"/>
      <c r="D2460" s="29" t="s">
        <v>3683</v>
      </c>
      <c r="E2460" s="29"/>
      <c r="F2460" s="29" t="s">
        <v>3686</v>
      </c>
      <c r="G2460" s="29"/>
      <c r="H2460" s="29" t="s">
        <v>3687</v>
      </c>
      <c r="I2460" s="29"/>
      <c r="J2460" s="29"/>
      <c r="K2460" s="29"/>
      <c r="L2460" s="29"/>
      <c r="M2460" s="29" t="s">
        <v>2649</v>
      </c>
      <c r="N2460" s="29" t="s">
        <v>2086</v>
      </c>
      <c r="O2460" s="29"/>
      <c r="P2460" s="29" t="s">
        <v>9626</v>
      </c>
      <c r="Q2460" t="s">
        <v>2038</v>
      </c>
      <c r="R2460" t="s">
        <v>2632</v>
      </c>
      <c r="S2460">
        <v>37</v>
      </c>
      <c r="T2460" s="43" t="str">
        <f t="shared" si="106"/>
        <v>2021.057B.R.Nclasvirinae.zip</v>
      </c>
      <c r="U2460" s="43" t="str">
        <f>HYPERLINK("https://ictv.global/taxonomy/taxondetails?taxnode_id=202212779","ictv.global=202212779")</f>
        <v>ictv.global=202212779</v>
      </c>
    </row>
    <row r="2461" spans="1:21">
      <c r="A2461">
        <v>2460</v>
      </c>
      <c r="B2461" s="29" t="s">
        <v>3682</v>
      </c>
      <c r="C2461" s="29"/>
      <c r="D2461" s="29" t="s">
        <v>3683</v>
      </c>
      <c r="E2461" s="29"/>
      <c r="F2461" s="29" t="s">
        <v>3686</v>
      </c>
      <c r="G2461" s="29"/>
      <c r="H2461" s="29" t="s">
        <v>3687</v>
      </c>
      <c r="I2461" s="29"/>
      <c r="J2461" s="29"/>
      <c r="K2461" s="29"/>
      <c r="L2461" s="29"/>
      <c r="M2461" s="29" t="s">
        <v>2649</v>
      </c>
      <c r="N2461" s="29" t="s">
        <v>2086</v>
      </c>
      <c r="O2461" s="29"/>
      <c r="P2461" s="29" t="s">
        <v>9627</v>
      </c>
      <c r="Q2461" t="s">
        <v>2038</v>
      </c>
      <c r="R2461" t="s">
        <v>2633</v>
      </c>
      <c r="S2461">
        <v>37</v>
      </c>
      <c r="T2461" s="43" t="str">
        <f t="shared" si="106"/>
        <v>2021.057B.R.Nclasvirinae.zip</v>
      </c>
      <c r="U2461" s="43" t="str">
        <f>HYPERLINK("https://ictv.global/taxonomy/taxondetails?taxnode_id=202205528","ictv.global=202205528")</f>
        <v>ictv.global=202205528</v>
      </c>
    </row>
    <row r="2462" spans="1:21">
      <c r="A2462">
        <v>2461</v>
      </c>
      <c r="B2462" s="29" t="s">
        <v>3682</v>
      </c>
      <c r="C2462" s="29"/>
      <c r="D2462" s="29" t="s">
        <v>3683</v>
      </c>
      <c r="E2462" s="29"/>
      <c r="F2462" s="29" t="s">
        <v>3686</v>
      </c>
      <c r="G2462" s="29"/>
      <c r="H2462" s="29" t="s">
        <v>3687</v>
      </c>
      <c r="I2462" s="29"/>
      <c r="J2462" s="29"/>
      <c r="K2462" s="29"/>
      <c r="L2462" s="29"/>
      <c r="M2462" s="29" t="s">
        <v>2649</v>
      </c>
      <c r="N2462" s="29" t="s">
        <v>2086</v>
      </c>
      <c r="O2462" s="29"/>
      <c r="P2462" s="29" t="s">
        <v>9628</v>
      </c>
      <c r="Q2462" t="s">
        <v>2038</v>
      </c>
      <c r="R2462" t="s">
        <v>2633</v>
      </c>
      <c r="S2462">
        <v>37</v>
      </c>
      <c r="T2462" s="43" t="str">
        <f t="shared" si="106"/>
        <v>2021.057B.R.Nclasvirinae.zip</v>
      </c>
      <c r="U2462" s="43" t="str">
        <f>HYPERLINK("https://ictv.global/taxonomy/taxondetails?taxnode_id=202200888","ictv.global=202200888")</f>
        <v>ictv.global=202200888</v>
      </c>
    </row>
    <row r="2463" spans="1:21">
      <c r="A2463">
        <v>2462</v>
      </c>
      <c r="B2463" s="29" t="s">
        <v>3682</v>
      </c>
      <c r="C2463" s="29"/>
      <c r="D2463" s="29" t="s">
        <v>3683</v>
      </c>
      <c r="E2463" s="29"/>
      <c r="F2463" s="29" t="s">
        <v>3686</v>
      </c>
      <c r="G2463" s="29"/>
      <c r="H2463" s="29" t="s">
        <v>3687</v>
      </c>
      <c r="I2463" s="29"/>
      <c r="J2463" s="29"/>
      <c r="K2463" s="29"/>
      <c r="L2463" s="29"/>
      <c r="M2463" s="29" t="s">
        <v>2649</v>
      </c>
      <c r="N2463" s="29" t="s">
        <v>2086</v>
      </c>
      <c r="O2463" s="29"/>
      <c r="P2463" s="29" t="s">
        <v>9629</v>
      </c>
      <c r="Q2463" t="s">
        <v>2038</v>
      </c>
      <c r="R2463" t="s">
        <v>2632</v>
      </c>
      <c r="S2463">
        <v>37</v>
      </c>
      <c r="T2463" s="43" t="str">
        <f t="shared" si="106"/>
        <v>2021.057B.R.Nclasvirinae.zip</v>
      </c>
      <c r="U2463" s="43" t="str">
        <f>HYPERLINK("https://ictv.global/taxonomy/taxondetails?taxnode_id=202212780","ictv.global=202212780")</f>
        <v>ictv.global=202212780</v>
      </c>
    </row>
    <row r="2464" spans="1:21">
      <c r="A2464">
        <v>2463</v>
      </c>
      <c r="B2464" s="29" t="s">
        <v>3682</v>
      </c>
      <c r="C2464" s="29"/>
      <c r="D2464" s="29" t="s">
        <v>3683</v>
      </c>
      <c r="E2464" s="29"/>
      <c r="F2464" s="29" t="s">
        <v>3686</v>
      </c>
      <c r="G2464" s="29"/>
      <c r="H2464" s="29" t="s">
        <v>3687</v>
      </c>
      <c r="I2464" s="29"/>
      <c r="J2464" s="29"/>
      <c r="K2464" s="29"/>
      <c r="L2464" s="29"/>
      <c r="M2464" s="29" t="s">
        <v>2649</v>
      </c>
      <c r="N2464" s="29" t="s">
        <v>2086</v>
      </c>
      <c r="O2464" s="29"/>
      <c r="P2464" s="29" t="s">
        <v>9630</v>
      </c>
      <c r="Q2464" t="s">
        <v>2038</v>
      </c>
      <c r="R2464" t="s">
        <v>2632</v>
      </c>
      <c r="S2464">
        <v>37</v>
      </c>
      <c r="T2464" s="43" t="str">
        <f t="shared" si="106"/>
        <v>2021.057B.R.Nclasvirinae.zip</v>
      </c>
      <c r="U2464" s="43" t="str">
        <f>HYPERLINK("https://ictv.global/taxonomy/taxondetails?taxnode_id=202212783","ictv.global=202212783")</f>
        <v>ictv.global=202212783</v>
      </c>
    </row>
    <row r="2465" spans="1:21">
      <c r="A2465">
        <v>2464</v>
      </c>
      <c r="B2465" s="29" t="s">
        <v>3682</v>
      </c>
      <c r="C2465" s="29"/>
      <c r="D2465" s="29" t="s">
        <v>3683</v>
      </c>
      <c r="E2465" s="29"/>
      <c r="F2465" s="29" t="s">
        <v>3686</v>
      </c>
      <c r="G2465" s="29"/>
      <c r="H2465" s="29" t="s">
        <v>3687</v>
      </c>
      <c r="I2465" s="29"/>
      <c r="J2465" s="29"/>
      <c r="K2465" s="29"/>
      <c r="L2465" s="29"/>
      <c r="M2465" s="29" t="s">
        <v>2649</v>
      </c>
      <c r="N2465" s="29" t="s">
        <v>2086</v>
      </c>
      <c r="O2465" s="29"/>
      <c r="P2465" s="29" t="s">
        <v>9631</v>
      </c>
      <c r="Q2465" t="s">
        <v>2038</v>
      </c>
      <c r="R2465" t="s">
        <v>2632</v>
      </c>
      <c r="S2465">
        <v>37</v>
      </c>
      <c r="T2465" s="43" t="str">
        <f t="shared" si="106"/>
        <v>2021.057B.R.Nclasvirinae.zip</v>
      </c>
      <c r="U2465" s="43" t="str">
        <f>HYPERLINK("https://ictv.global/taxonomy/taxondetails?taxnode_id=202212778","ictv.global=202212778")</f>
        <v>ictv.global=202212778</v>
      </c>
    </row>
    <row r="2466" spans="1:21">
      <c r="A2466">
        <v>2465</v>
      </c>
      <c r="B2466" s="29" t="s">
        <v>3682</v>
      </c>
      <c r="C2466" s="29"/>
      <c r="D2466" s="29" t="s">
        <v>3683</v>
      </c>
      <c r="E2466" s="29"/>
      <c r="F2466" s="29" t="s">
        <v>3686</v>
      </c>
      <c r="G2466" s="29"/>
      <c r="H2466" s="29" t="s">
        <v>3687</v>
      </c>
      <c r="I2466" s="29"/>
      <c r="J2466" s="29"/>
      <c r="K2466" s="29"/>
      <c r="L2466" s="29"/>
      <c r="M2466" s="29" t="s">
        <v>2649</v>
      </c>
      <c r="N2466" s="29" t="s">
        <v>2086</v>
      </c>
      <c r="O2466" s="29"/>
      <c r="P2466" s="29" t="s">
        <v>9632</v>
      </c>
      <c r="Q2466" t="s">
        <v>2038</v>
      </c>
      <c r="R2466" t="s">
        <v>2633</v>
      </c>
      <c r="S2466">
        <v>37</v>
      </c>
      <c r="T2466" s="43" t="str">
        <f t="shared" si="106"/>
        <v>2021.057B.R.Nclasvirinae.zip</v>
      </c>
      <c r="U2466" s="43" t="str">
        <f>HYPERLINK("https://ictv.global/taxonomy/taxondetails?taxnode_id=202205529","ictv.global=202205529")</f>
        <v>ictv.global=202205529</v>
      </c>
    </row>
    <row r="2467" spans="1:21">
      <c r="A2467">
        <v>2466</v>
      </c>
      <c r="B2467" s="29" t="s">
        <v>3682</v>
      </c>
      <c r="C2467" s="29"/>
      <c r="D2467" s="29" t="s">
        <v>3683</v>
      </c>
      <c r="E2467" s="29"/>
      <c r="F2467" s="29" t="s">
        <v>3686</v>
      </c>
      <c r="G2467" s="29"/>
      <c r="H2467" s="29" t="s">
        <v>3687</v>
      </c>
      <c r="I2467" s="29"/>
      <c r="J2467" s="29"/>
      <c r="K2467" s="29"/>
      <c r="L2467" s="29"/>
      <c r="M2467" s="29" t="s">
        <v>2649</v>
      </c>
      <c r="N2467" s="29" t="s">
        <v>2086</v>
      </c>
      <c r="O2467" s="29"/>
      <c r="P2467" s="29" t="s">
        <v>9633</v>
      </c>
      <c r="Q2467" t="s">
        <v>2038</v>
      </c>
      <c r="R2467" t="s">
        <v>2633</v>
      </c>
      <c r="S2467">
        <v>37</v>
      </c>
      <c r="T2467" s="43" t="str">
        <f t="shared" si="106"/>
        <v>2021.057B.R.Nclasvirinae.zip</v>
      </c>
      <c r="U2467" s="43" t="str">
        <f>HYPERLINK("https://ictv.global/taxonomy/taxondetails?taxnode_id=202205533","ictv.global=202205533")</f>
        <v>ictv.global=202205533</v>
      </c>
    </row>
    <row r="2468" spans="1:21">
      <c r="A2468">
        <v>2467</v>
      </c>
      <c r="B2468" s="29" t="s">
        <v>3682</v>
      </c>
      <c r="C2468" s="29"/>
      <c r="D2468" s="29" t="s">
        <v>3683</v>
      </c>
      <c r="E2468" s="29"/>
      <c r="F2468" s="29" t="s">
        <v>3686</v>
      </c>
      <c r="G2468" s="29"/>
      <c r="H2468" s="29" t="s">
        <v>3687</v>
      </c>
      <c r="I2468" s="29"/>
      <c r="J2468" s="29"/>
      <c r="K2468" s="29"/>
      <c r="L2468" s="29"/>
      <c r="M2468" s="29" t="s">
        <v>2649</v>
      </c>
      <c r="N2468" s="29" t="s">
        <v>2086</v>
      </c>
      <c r="O2468" s="29"/>
      <c r="P2468" s="29" t="s">
        <v>9634</v>
      </c>
      <c r="Q2468" t="s">
        <v>2038</v>
      </c>
      <c r="R2468" t="s">
        <v>2632</v>
      </c>
      <c r="S2468">
        <v>37</v>
      </c>
      <c r="T2468" s="43" t="str">
        <f t="shared" si="106"/>
        <v>2021.057B.R.Nclasvirinae.zip</v>
      </c>
      <c r="U2468" s="43" t="str">
        <f>HYPERLINK("https://ictv.global/taxonomy/taxondetails?taxnode_id=202212776","ictv.global=202212776")</f>
        <v>ictv.global=202212776</v>
      </c>
    </row>
    <row r="2469" spans="1:21">
      <c r="A2469">
        <v>2468</v>
      </c>
      <c r="B2469" s="29" t="s">
        <v>3682</v>
      </c>
      <c r="C2469" s="29"/>
      <c r="D2469" s="29" t="s">
        <v>3683</v>
      </c>
      <c r="E2469" s="29"/>
      <c r="F2469" s="29" t="s">
        <v>3686</v>
      </c>
      <c r="G2469" s="29"/>
      <c r="H2469" s="29" t="s">
        <v>3687</v>
      </c>
      <c r="I2469" s="29"/>
      <c r="J2469" s="29"/>
      <c r="K2469" s="29"/>
      <c r="L2469" s="29"/>
      <c r="M2469" s="29" t="s">
        <v>2649</v>
      </c>
      <c r="N2469" s="29" t="s">
        <v>2086</v>
      </c>
      <c r="O2469" s="29"/>
      <c r="P2469" s="29" t="s">
        <v>9635</v>
      </c>
      <c r="Q2469" t="s">
        <v>2038</v>
      </c>
      <c r="R2469" t="s">
        <v>2633</v>
      </c>
      <c r="S2469">
        <v>37</v>
      </c>
      <c r="T2469" s="43" t="str">
        <f t="shared" si="106"/>
        <v>2021.057B.R.Nclasvirinae.zip</v>
      </c>
      <c r="U2469" s="43" t="str">
        <f>HYPERLINK("https://ictv.global/taxonomy/taxondetails?taxnode_id=202205534","ictv.global=202205534")</f>
        <v>ictv.global=202205534</v>
      </c>
    </row>
    <row r="2470" spans="1:21">
      <c r="A2470">
        <v>2469</v>
      </c>
      <c r="B2470" s="29" t="s">
        <v>3682</v>
      </c>
      <c r="C2470" s="29"/>
      <c r="D2470" s="29" t="s">
        <v>3683</v>
      </c>
      <c r="E2470" s="29"/>
      <c r="F2470" s="29" t="s">
        <v>3686</v>
      </c>
      <c r="G2470" s="29"/>
      <c r="H2470" s="29" t="s">
        <v>3687</v>
      </c>
      <c r="I2470" s="29"/>
      <c r="J2470" s="29"/>
      <c r="K2470" s="29"/>
      <c r="L2470" s="29"/>
      <c r="M2470" s="29" t="s">
        <v>2649</v>
      </c>
      <c r="N2470" s="29" t="s">
        <v>2086</v>
      </c>
      <c r="O2470" s="29"/>
      <c r="P2470" s="29" t="s">
        <v>9636</v>
      </c>
      <c r="Q2470" t="s">
        <v>2038</v>
      </c>
      <c r="R2470" t="s">
        <v>2633</v>
      </c>
      <c r="S2470">
        <v>37</v>
      </c>
      <c r="T2470" s="43" t="str">
        <f t="shared" si="106"/>
        <v>2021.057B.R.Nclasvirinae.zip</v>
      </c>
      <c r="U2470" s="43" t="str">
        <f>HYPERLINK("https://ictv.global/taxonomy/taxondetails?taxnode_id=202205531","ictv.global=202205531")</f>
        <v>ictv.global=202205531</v>
      </c>
    </row>
    <row r="2471" spans="1:21">
      <c r="A2471">
        <v>2470</v>
      </c>
      <c r="B2471" s="29" t="s">
        <v>3682</v>
      </c>
      <c r="C2471" s="29"/>
      <c r="D2471" s="29" t="s">
        <v>3683</v>
      </c>
      <c r="E2471" s="29"/>
      <c r="F2471" s="29" t="s">
        <v>3686</v>
      </c>
      <c r="G2471" s="29"/>
      <c r="H2471" s="29" t="s">
        <v>3687</v>
      </c>
      <c r="I2471" s="29"/>
      <c r="J2471" s="29"/>
      <c r="K2471" s="29"/>
      <c r="L2471" s="29"/>
      <c r="M2471" s="29" t="s">
        <v>2649</v>
      </c>
      <c r="N2471" s="29" t="s">
        <v>2086</v>
      </c>
      <c r="O2471" s="29"/>
      <c r="P2471" s="29" t="s">
        <v>9637</v>
      </c>
      <c r="Q2471" t="s">
        <v>2038</v>
      </c>
      <c r="R2471" t="s">
        <v>2632</v>
      </c>
      <c r="S2471">
        <v>37</v>
      </c>
      <c r="T2471" s="43" t="str">
        <f t="shared" si="106"/>
        <v>2021.057B.R.Nclasvirinae.zip</v>
      </c>
      <c r="U2471" s="43" t="str">
        <f>HYPERLINK("https://ictv.global/taxonomy/taxondetails?taxnode_id=202212775","ictv.global=202212775")</f>
        <v>ictv.global=202212775</v>
      </c>
    </row>
    <row r="2472" spans="1:21">
      <c r="A2472">
        <v>2471</v>
      </c>
      <c r="B2472" s="29" t="s">
        <v>3682</v>
      </c>
      <c r="C2472" s="29"/>
      <c r="D2472" s="29" t="s">
        <v>3683</v>
      </c>
      <c r="E2472" s="29"/>
      <c r="F2472" s="29" t="s">
        <v>3686</v>
      </c>
      <c r="G2472" s="29"/>
      <c r="H2472" s="29" t="s">
        <v>3687</v>
      </c>
      <c r="I2472" s="29"/>
      <c r="J2472" s="29"/>
      <c r="K2472" s="29"/>
      <c r="L2472" s="29"/>
      <c r="M2472" s="29" t="s">
        <v>2649</v>
      </c>
      <c r="N2472" s="29" t="s">
        <v>2086</v>
      </c>
      <c r="O2472" s="29"/>
      <c r="P2472" s="29" t="s">
        <v>9638</v>
      </c>
      <c r="Q2472" t="s">
        <v>2038</v>
      </c>
      <c r="R2472" t="s">
        <v>2632</v>
      </c>
      <c r="S2472">
        <v>37</v>
      </c>
      <c r="T2472" s="43" t="str">
        <f t="shared" si="106"/>
        <v>2021.057B.R.Nclasvirinae.zip</v>
      </c>
      <c r="U2472" s="43" t="str">
        <f>HYPERLINK("https://ictv.global/taxonomy/taxondetails?taxnode_id=202212781","ictv.global=202212781")</f>
        <v>ictv.global=202212781</v>
      </c>
    </row>
    <row r="2473" spans="1:21">
      <c r="A2473">
        <v>2472</v>
      </c>
      <c r="B2473" s="29" t="s">
        <v>3682</v>
      </c>
      <c r="C2473" s="29"/>
      <c r="D2473" s="29" t="s">
        <v>3683</v>
      </c>
      <c r="E2473" s="29"/>
      <c r="F2473" s="29" t="s">
        <v>3686</v>
      </c>
      <c r="G2473" s="29"/>
      <c r="H2473" s="29" t="s">
        <v>3687</v>
      </c>
      <c r="I2473" s="29"/>
      <c r="J2473" s="29"/>
      <c r="K2473" s="29"/>
      <c r="L2473" s="29"/>
      <c r="M2473" s="29" t="s">
        <v>2649</v>
      </c>
      <c r="N2473" s="29" t="s">
        <v>2086</v>
      </c>
      <c r="O2473" s="29"/>
      <c r="P2473" s="29" t="s">
        <v>9639</v>
      </c>
      <c r="Q2473" t="s">
        <v>2038</v>
      </c>
      <c r="R2473" t="s">
        <v>2633</v>
      </c>
      <c r="S2473">
        <v>37</v>
      </c>
      <c r="T2473" s="43" t="str">
        <f t="shared" si="106"/>
        <v>2021.057B.R.Nclasvirinae.zip</v>
      </c>
      <c r="U2473" s="43" t="str">
        <f>HYPERLINK("https://ictv.global/taxonomy/taxondetails?taxnode_id=202200889","ictv.global=202200889")</f>
        <v>ictv.global=202200889</v>
      </c>
    </row>
    <row r="2474" spans="1:21">
      <c r="A2474">
        <v>2473</v>
      </c>
      <c r="B2474" s="29" t="s">
        <v>3682</v>
      </c>
      <c r="C2474" s="29"/>
      <c r="D2474" s="29" t="s">
        <v>3683</v>
      </c>
      <c r="E2474" s="29"/>
      <c r="F2474" s="29" t="s">
        <v>3686</v>
      </c>
      <c r="G2474" s="29"/>
      <c r="H2474" s="29" t="s">
        <v>3687</v>
      </c>
      <c r="I2474" s="29"/>
      <c r="J2474" s="29"/>
      <c r="K2474" s="29"/>
      <c r="L2474" s="29"/>
      <c r="M2474" s="29" t="s">
        <v>2649</v>
      </c>
      <c r="N2474" s="29" t="s">
        <v>2086</v>
      </c>
      <c r="O2474" s="29"/>
      <c r="P2474" s="29" t="s">
        <v>9640</v>
      </c>
      <c r="Q2474" t="s">
        <v>2038</v>
      </c>
      <c r="R2474" t="s">
        <v>2633</v>
      </c>
      <c r="S2474">
        <v>37</v>
      </c>
      <c r="T2474" s="43" t="str">
        <f t="shared" si="106"/>
        <v>2021.057B.R.Nclasvirinae.zip</v>
      </c>
      <c r="U2474" s="43" t="str">
        <f>HYPERLINK("https://ictv.global/taxonomy/taxondetails?taxnode_id=202205535","ictv.global=202205535")</f>
        <v>ictv.global=202205535</v>
      </c>
    </row>
    <row r="2475" spans="1:21">
      <c r="A2475">
        <v>2474</v>
      </c>
      <c r="B2475" s="29" t="s">
        <v>3682</v>
      </c>
      <c r="C2475" s="29"/>
      <c r="D2475" s="29" t="s">
        <v>3683</v>
      </c>
      <c r="E2475" s="29"/>
      <c r="F2475" s="29" t="s">
        <v>3686</v>
      </c>
      <c r="G2475" s="29"/>
      <c r="H2475" s="29" t="s">
        <v>3687</v>
      </c>
      <c r="I2475" s="29"/>
      <c r="J2475" s="29"/>
      <c r="K2475" s="29"/>
      <c r="L2475" s="29"/>
      <c r="M2475" s="29" t="s">
        <v>2649</v>
      </c>
      <c r="N2475" s="29" t="s">
        <v>2086</v>
      </c>
      <c r="O2475" s="29"/>
      <c r="P2475" s="29" t="s">
        <v>9641</v>
      </c>
      <c r="Q2475" t="s">
        <v>2038</v>
      </c>
      <c r="R2475" t="s">
        <v>2632</v>
      </c>
      <c r="S2475">
        <v>37</v>
      </c>
      <c r="T2475" s="43" t="str">
        <f t="shared" si="106"/>
        <v>2021.057B.R.Nclasvirinae.zip</v>
      </c>
      <c r="U2475" s="43" t="str">
        <f>HYPERLINK("https://ictv.global/taxonomy/taxondetails?taxnode_id=202212782","ictv.global=202212782")</f>
        <v>ictv.global=202212782</v>
      </c>
    </row>
    <row r="2476" spans="1:21">
      <c r="A2476">
        <v>2475</v>
      </c>
      <c r="B2476" s="29" t="s">
        <v>3682</v>
      </c>
      <c r="C2476" s="29"/>
      <c r="D2476" s="29" t="s">
        <v>3683</v>
      </c>
      <c r="E2476" s="29"/>
      <c r="F2476" s="29" t="s">
        <v>3686</v>
      </c>
      <c r="G2476" s="29"/>
      <c r="H2476" s="29" t="s">
        <v>3687</v>
      </c>
      <c r="I2476" s="29"/>
      <c r="J2476" s="29"/>
      <c r="K2476" s="29"/>
      <c r="L2476" s="29"/>
      <c r="M2476" s="29" t="s">
        <v>2649</v>
      </c>
      <c r="N2476" s="29" t="s">
        <v>2086</v>
      </c>
      <c r="O2476" s="29"/>
      <c r="P2476" s="29" t="s">
        <v>9642</v>
      </c>
      <c r="Q2476" t="s">
        <v>2038</v>
      </c>
      <c r="R2476" t="s">
        <v>2633</v>
      </c>
      <c r="S2476">
        <v>37</v>
      </c>
      <c r="T2476" s="43" t="str">
        <f t="shared" si="106"/>
        <v>2021.057B.R.Nclasvirinae.zip</v>
      </c>
      <c r="U2476" s="43" t="str">
        <f>HYPERLINK("https://ictv.global/taxonomy/taxondetails?taxnode_id=202205532","ictv.global=202205532")</f>
        <v>ictv.global=202205532</v>
      </c>
    </row>
    <row r="2477" spans="1:21">
      <c r="A2477">
        <v>2476</v>
      </c>
      <c r="B2477" s="29" t="s">
        <v>3682</v>
      </c>
      <c r="C2477" s="29"/>
      <c r="D2477" s="29" t="s">
        <v>3683</v>
      </c>
      <c r="E2477" s="29"/>
      <c r="F2477" s="29" t="s">
        <v>3686</v>
      </c>
      <c r="G2477" s="29"/>
      <c r="H2477" s="29" t="s">
        <v>3687</v>
      </c>
      <c r="I2477" s="29"/>
      <c r="J2477" s="29"/>
      <c r="K2477" s="29"/>
      <c r="L2477" s="29"/>
      <c r="M2477" s="29" t="s">
        <v>2650</v>
      </c>
      <c r="N2477" s="29" t="s">
        <v>9643</v>
      </c>
      <c r="O2477" s="29"/>
      <c r="P2477" s="29" t="s">
        <v>9644</v>
      </c>
      <c r="Q2477" t="s">
        <v>2038</v>
      </c>
      <c r="R2477" t="s">
        <v>2632</v>
      </c>
      <c r="S2477">
        <v>38</v>
      </c>
      <c r="T2477" s="43" t="str">
        <f t="shared" ref="T2477:T2484" si="107">HYPERLINK("https://ictv.global/ictv/proposals/2022.084B.Caudoviricetes_6ng_33nsp.zip","2022.084B.Caudoviricetes_6ng_33nsp.zip")</f>
        <v>2022.084B.Caudoviricetes_6ng_33nsp.zip</v>
      </c>
      <c r="U2477" s="43" t="str">
        <f>HYPERLINK("https://ictv.global/taxonomy/taxondetails?taxnode_id=202214901","ictv.global=202214901")</f>
        <v>ictv.global=202214901</v>
      </c>
    </row>
    <row r="2478" spans="1:21">
      <c r="A2478">
        <v>2477</v>
      </c>
      <c r="B2478" s="29" t="s">
        <v>3682</v>
      </c>
      <c r="C2478" s="29"/>
      <c r="D2478" s="29" t="s">
        <v>3683</v>
      </c>
      <c r="E2478" s="29"/>
      <c r="F2478" s="29" t="s">
        <v>3686</v>
      </c>
      <c r="G2478" s="29"/>
      <c r="H2478" s="29" t="s">
        <v>3687</v>
      </c>
      <c r="I2478" s="29"/>
      <c r="J2478" s="29"/>
      <c r="K2478" s="29"/>
      <c r="L2478" s="29"/>
      <c r="M2478" s="29" t="s">
        <v>2650</v>
      </c>
      <c r="N2478" s="29" t="s">
        <v>9643</v>
      </c>
      <c r="O2478" s="29"/>
      <c r="P2478" s="29" t="s">
        <v>9645</v>
      </c>
      <c r="Q2478" t="s">
        <v>2038</v>
      </c>
      <c r="R2478" t="s">
        <v>2635</v>
      </c>
      <c r="S2478">
        <v>38</v>
      </c>
      <c r="T2478" s="43" t="str">
        <f t="shared" si="107"/>
        <v>2022.084B.Caudoviricetes_6ng_33nsp.zip</v>
      </c>
      <c r="U2478" s="43" t="str">
        <f>HYPERLINK("https://ictv.global/taxonomy/taxondetails?taxnode_id=202205498","ictv.global=202205498")</f>
        <v>ictv.global=202205498</v>
      </c>
    </row>
    <row r="2479" spans="1:21">
      <c r="A2479">
        <v>2478</v>
      </c>
      <c r="B2479" s="29" t="s">
        <v>3682</v>
      </c>
      <c r="C2479" s="29"/>
      <c r="D2479" s="29" t="s">
        <v>3683</v>
      </c>
      <c r="E2479" s="29"/>
      <c r="F2479" s="29" t="s">
        <v>3686</v>
      </c>
      <c r="G2479" s="29"/>
      <c r="H2479" s="29" t="s">
        <v>3687</v>
      </c>
      <c r="I2479" s="29"/>
      <c r="J2479" s="29"/>
      <c r="K2479" s="29"/>
      <c r="L2479" s="29"/>
      <c r="M2479" s="29" t="s">
        <v>2650</v>
      </c>
      <c r="N2479" s="29" t="s">
        <v>9643</v>
      </c>
      <c r="O2479" s="29"/>
      <c r="P2479" s="29" t="s">
        <v>9646</v>
      </c>
      <c r="Q2479" t="s">
        <v>2038</v>
      </c>
      <c r="R2479" t="s">
        <v>2635</v>
      </c>
      <c r="S2479">
        <v>38</v>
      </c>
      <c r="T2479" s="43" t="str">
        <f t="shared" si="107"/>
        <v>2022.084B.Caudoviricetes_6ng_33nsp.zip</v>
      </c>
      <c r="U2479" s="43" t="str">
        <f>HYPERLINK("https://ictv.global/taxonomy/taxondetails?taxnode_id=202205499","ictv.global=202205499")</f>
        <v>ictv.global=202205499</v>
      </c>
    </row>
    <row r="2480" spans="1:21">
      <c r="A2480">
        <v>2479</v>
      </c>
      <c r="B2480" s="29" t="s">
        <v>3682</v>
      </c>
      <c r="C2480" s="29"/>
      <c r="D2480" s="29" t="s">
        <v>3683</v>
      </c>
      <c r="E2480" s="29"/>
      <c r="F2480" s="29" t="s">
        <v>3686</v>
      </c>
      <c r="G2480" s="29"/>
      <c r="H2480" s="29" t="s">
        <v>3687</v>
      </c>
      <c r="I2480" s="29"/>
      <c r="J2480" s="29"/>
      <c r="K2480" s="29"/>
      <c r="L2480" s="29"/>
      <c r="M2480" s="29" t="s">
        <v>2650</v>
      </c>
      <c r="N2480" s="29" t="s">
        <v>2651</v>
      </c>
      <c r="O2480" s="29"/>
      <c r="P2480" s="29" t="s">
        <v>9647</v>
      </c>
      <c r="Q2480" t="s">
        <v>2038</v>
      </c>
      <c r="R2480" t="s">
        <v>2632</v>
      </c>
      <c r="S2480">
        <v>38</v>
      </c>
      <c r="T2480" s="43" t="str">
        <f t="shared" si="107"/>
        <v>2022.084B.Caudoviricetes_6ng_33nsp.zip</v>
      </c>
      <c r="U2480" s="43" t="str">
        <f>HYPERLINK("https://ictv.global/taxonomy/taxondetails?taxnode_id=202214897","ictv.global=202214897")</f>
        <v>ictv.global=202214897</v>
      </c>
    </row>
    <row r="2481" spans="1:21">
      <c r="A2481">
        <v>2480</v>
      </c>
      <c r="B2481" s="29" t="s">
        <v>3682</v>
      </c>
      <c r="C2481" s="29"/>
      <c r="D2481" s="29" t="s">
        <v>3683</v>
      </c>
      <c r="E2481" s="29"/>
      <c r="F2481" s="29" t="s">
        <v>3686</v>
      </c>
      <c r="G2481" s="29"/>
      <c r="H2481" s="29" t="s">
        <v>3687</v>
      </c>
      <c r="I2481" s="29"/>
      <c r="J2481" s="29"/>
      <c r="K2481" s="29"/>
      <c r="L2481" s="29"/>
      <c r="M2481" s="29" t="s">
        <v>2650</v>
      </c>
      <c r="N2481" s="29" t="s">
        <v>2651</v>
      </c>
      <c r="O2481" s="29"/>
      <c r="P2481" s="29" t="s">
        <v>9648</v>
      </c>
      <c r="Q2481" t="s">
        <v>2038</v>
      </c>
      <c r="R2481" t="s">
        <v>2632</v>
      </c>
      <c r="S2481">
        <v>38</v>
      </c>
      <c r="T2481" s="43" t="str">
        <f t="shared" si="107"/>
        <v>2022.084B.Caudoviricetes_6ng_33nsp.zip</v>
      </c>
      <c r="U2481" s="43" t="str">
        <f>HYPERLINK("https://ictv.global/taxonomy/taxondetails?taxnode_id=202214895","ictv.global=202214895")</f>
        <v>ictv.global=202214895</v>
      </c>
    </row>
    <row r="2482" spans="1:21">
      <c r="A2482">
        <v>2481</v>
      </c>
      <c r="B2482" s="29" t="s">
        <v>3682</v>
      </c>
      <c r="C2482" s="29"/>
      <c r="D2482" s="29" t="s">
        <v>3683</v>
      </c>
      <c r="E2482" s="29"/>
      <c r="F2482" s="29" t="s">
        <v>3686</v>
      </c>
      <c r="G2482" s="29"/>
      <c r="H2482" s="29" t="s">
        <v>3687</v>
      </c>
      <c r="I2482" s="29"/>
      <c r="J2482" s="29"/>
      <c r="K2482" s="29"/>
      <c r="L2482" s="29"/>
      <c r="M2482" s="29" t="s">
        <v>2650</v>
      </c>
      <c r="N2482" s="29" t="s">
        <v>2651</v>
      </c>
      <c r="O2482" s="29"/>
      <c r="P2482" s="29" t="s">
        <v>9649</v>
      </c>
      <c r="Q2482" t="s">
        <v>2038</v>
      </c>
      <c r="R2482" t="s">
        <v>2632</v>
      </c>
      <c r="S2482">
        <v>38</v>
      </c>
      <c r="T2482" s="43" t="str">
        <f t="shared" si="107"/>
        <v>2022.084B.Caudoviricetes_6ng_33nsp.zip</v>
      </c>
      <c r="U2482" s="43" t="str">
        <f>HYPERLINK("https://ictv.global/taxonomy/taxondetails?taxnode_id=202214900","ictv.global=202214900")</f>
        <v>ictv.global=202214900</v>
      </c>
    </row>
    <row r="2483" spans="1:21">
      <c r="A2483">
        <v>2482</v>
      </c>
      <c r="B2483" s="29" t="s">
        <v>3682</v>
      </c>
      <c r="C2483" s="29"/>
      <c r="D2483" s="29" t="s">
        <v>3683</v>
      </c>
      <c r="E2483" s="29"/>
      <c r="F2483" s="29" t="s">
        <v>3686</v>
      </c>
      <c r="G2483" s="29"/>
      <c r="H2483" s="29" t="s">
        <v>3687</v>
      </c>
      <c r="I2483" s="29"/>
      <c r="J2483" s="29"/>
      <c r="K2483" s="29"/>
      <c r="L2483" s="29"/>
      <c r="M2483" s="29" t="s">
        <v>2650</v>
      </c>
      <c r="N2483" s="29" t="s">
        <v>2651</v>
      </c>
      <c r="O2483" s="29"/>
      <c r="P2483" s="29" t="s">
        <v>9650</v>
      </c>
      <c r="Q2483" t="s">
        <v>2038</v>
      </c>
      <c r="R2483" t="s">
        <v>2632</v>
      </c>
      <c r="S2483">
        <v>38</v>
      </c>
      <c r="T2483" s="43" t="str">
        <f t="shared" si="107"/>
        <v>2022.084B.Caudoviricetes_6ng_33nsp.zip</v>
      </c>
      <c r="U2483" s="43" t="str">
        <f>HYPERLINK("https://ictv.global/taxonomy/taxondetails?taxnode_id=202214892","ictv.global=202214892")</f>
        <v>ictv.global=202214892</v>
      </c>
    </row>
    <row r="2484" spans="1:21">
      <c r="A2484">
        <v>2483</v>
      </c>
      <c r="B2484" s="29" t="s">
        <v>3682</v>
      </c>
      <c r="C2484" s="29"/>
      <c r="D2484" s="29" t="s">
        <v>3683</v>
      </c>
      <c r="E2484" s="29"/>
      <c r="F2484" s="29" t="s">
        <v>3686</v>
      </c>
      <c r="G2484" s="29"/>
      <c r="H2484" s="29" t="s">
        <v>3687</v>
      </c>
      <c r="I2484" s="29"/>
      <c r="J2484" s="29"/>
      <c r="K2484" s="29"/>
      <c r="L2484" s="29"/>
      <c r="M2484" s="29" t="s">
        <v>2650</v>
      </c>
      <c r="N2484" s="29" t="s">
        <v>2651</v>
      </c>
      <c r="O2484" s="29"/>
      <c r="P2484" s="29" t="s">
        <v>9651</v>
      </c>
      <c r="Q2484" t="s">
        <v>2038</v>
      </c>
      <c r="R2484" t="s">
        <v>2632</v>
      </c>
      <c r="S2484">
        <v>38</v>
      </c>
      <c r="T2484" s="43" t="str">
        <f t="shared" si="107"/>
        <v>2022.084B.Caudoviricetes_6ng_33nsp.zip</v>
      </c>
      <c r="U2484" s="43" t="str">
        <f>HYPERLINK("https://ictv.global/taxonomy/taxondetails?taxnode_id=202214896","ictv.global=202214896")</f>
        <v>ictv.global=202214896</v>
      </c>
    </row>
    <row r="2485" spans="1:21">
      <c r="A2485">
        <v>2484</v>
      </c>
      <c r="B2485" s="29" t="s">
        <v>3682</v>
      </c>
      <c r="C2485" s="29"/>
      <c r="D2485" s="29" t="s">
        <v>3683</v>
      </c>
      <c r="E2485" s="29"/>
      <c r="F2485" s="29" t="s">
        <v>3686</v>
      </c>
      <c r="G2485" s="29"/>
      <c r="H2485" s="29" t="s">
        <v>3687</v>
      </c>
      <c r="I2485" s="29"/>
      <c r="J2485" s="29"/>
      <c r="K2485" s="29"/>
      <c r="L2485" s="29"/>
      <c r="M2485" s="29" t="s">
        <v>2650</v>
      </c>
      <c r="N2485" s="29" t="s">
        <v>2651</v>
      </c>
      <c r="O2485" s="29"/>
      <c r="P2485" s="29" t="s">
        <v>9652</v>
      </c>
      <c r="Q2485" t="s">
        <v>2038</v>
      </c>
      <c r="R2485" t="s">
        <v>2633</v>
      </c>
      <c r="S2485">
        <v>37</v>
      </c>
      <c r="T2485" s="43" t="str">
        <f>HYPERLINK("https://ictv.global/ictv/proposals/2021.010B.R.Binomial_names.zip","2021.010B.R.Binomial_names.zip")</f>
        <v>2021.010B.R.Binomial_names.zip</v>
      </c>
      <c r="U2485" s="43" t="str">
        <f>HYPERLINK("https://ictv.global/taxonomy/taxondetails?taxnode_id=202205501","ictv.global=202205501")</f>
        <v>ictv.global=202205501</v>
      </c>
    </row>
    <row r="2486" spans="1:21">
      <c r="A2486">
        <v>2485</v>
      </c>
      <c r="B2486" s="29" t="s">
        <v>3682</v>
      </c>
      <c r="C2486" s="29"/>
      <c r="D2486" s="29" t="s">
        <v>3683</v>
      </c>
      <c r="E2486" s="29"/>
      <c r="F2486" s="29" t="s">
        <v>3686</v>
      </c>
      <c r="G2486" s="29"/>
      <c r="H2486" s="29" t="s">
        <v>3687</v>
      </c>
      <c r="I2486" s="29"/>
      <c r="J2486" s="29"/>
      <c r="K2486" s="29"/>
      <c r="L2486" s="29"/>
      <c r="M2486" s="29" t="s">
        <v>2650</v>
      </c>
      <c r="N2486" s="29" t="s">
        <v>2651</v>
      </c>
      <c r="O2486" s="29"/>
      <c r="P2486" s="29" t="s">
        <v>9653</v>
      </c>
      <c r="Q2486" t="s">
        <v>2038</v>
      </c>
      <c r="R2486" t="s">
        <v>2632</v>
      </c>
      <c r="S2486">
        <v>38</v>
      </c>
      <c r="T2486" s="43" t="str">
        <f>HYPERLINK("https://ictv.global/ictv/proposals/2022.084B.Caudoviricetes_6ng_33nsp.zip","2022.084B.Caudoviricetes_6ng_33nsp.zip")</f>
        <v>2022.084B.Caudoviricetes_6ng_33nsp.zip</v>
      </c>
      <c r="U2486" s="43" t="str">
        <f>HYPERLINK("https://ictv.global/taxonomy/taxondetails?taxnode_id=202214893","ictv.global=202214893")</f>
        <v>ictv.global=202214893</v>
      </c>
    </row>
    <row r="2487" spans="1:21">
      <c r="A2487">
        <v>2486</v>
      </c>
      <c r="B2487" s="29" t="s">
        <v>3682</v>
      </c>
      <c r="C2487" s="29"/>
      <c r="D2487" s="29" t="s">
        <v>3683</v>
      </c>
      <c r="E2487" s="29"/>
      <c r="F2487" s="29" t="s">
        <v>3686</v>
      </c>
      <c r="G2487" s="29"/>
      <c r="H2487" s="29" t="s">
        <v>3687</v>
      </c>
      <c r="I2487" s="29"/>
      <c r="J2487" s="29"/>
      <c r="K2487" s="29"/>
      <c r="L2487" s="29"/>
      <c r="M2487" s="29" t="s">
        <v>2650</v>
      </c>
      <c r="N2487" s="29" t="s">
        <v>2651</v>
      </c>
      <c r="O2487" s="29"/>
      <c r="P2487" s="29" t="s">
        <v>9654</v>
      </c>
      <c r="Q2487" t="s">
        <v>2038</v>
      </c>
      <c r="R2487" t="s">
        <v>2632</v>
      </c>
      <c r="S2487">
        <v>38</v>
      </c>
      <c r="T2487" s="43" t="str">
        <f>HYPERLINK("https://ictv.global/ictv/proposals/2022.084B.Caudoviricetes_6ng_33nsp.zip","2022.084B.Caudoviricetes_6ng_33nsp.zip")</f>
        <v>2022.084B.Caudoviricetes_6ng_33nsp.zip</v>
      </c>
      <c r="U2487" s="43" t="str">
        <f>HYPERLINK("https://ictv.global/taxonomy/taxondetails?taxnode_id=202214899","ictv.global=202214899")</f>
        <v>ictv.global=202214899</v>
      </c>
    </row>
    <row r="2488" spans="1:21">
      <c r="A2488">
        <v>2487</v>
      </c>
      <c r="B2488" s="29" t="s">
        <v>3682</v>
      </c>
      <c r="C2488" s="29"/>
      <c r="D2488" s="29" t="s">
        <v>3683</v>
      </c>
      <c r="E2488" s="29"/>
      <c r="F2488" s="29" t="s">
        <v>3686</v>
      </c>
      <c r="G2488" s="29"/>
      <c r="H2488" s="29" t="s">
        <v>3687</v>
      </c>
      <c r="I2488" s="29"/>
      <c r="J2488" s="29"/>
      <c r="K2488" s="29"/>
      <c r="L2488" s="29"/>
      <c r="M2488" s="29" t="s">
        <v>2650</v>
      </c>
      <c r="N2488" s="29" t="s">
        <v>2651</v>
      </c>
      <c r="O2488" s="29"/>
      <c r="P2488" s="29" t="s">
        <v>9655</v>
      </c>
      <c r="Q2488" t="s">
        <v>2038</v>
      </c>
      <c r="R2488" t="s">
        <v>2633</v>
      </c>
      <c r="S2488">
        <v>37</v>
      </c>
      <c r="T2488" s="43" t="str">
        <f>HYPERLINK("https://ictv.global/ictv/proposals/2021.010B.R.Binomial_names.zip","2021.010B.R.Binomial_names.zip")</f>
        <v>2021.010B.R.Binomial_names.zip</v>
      </c>
      <c r="U2488" s="43" t="str">
        <f>HYPERLINK("https://ictv.global/taxonomy/taxondetails?taxnode_id=202205503","ictv.global=202205503")</f>
        <v>ictv.global=202205503</v>
      </c>
    </row>
    <row r="2489" spans="1:21">
      <c r="A2489">
        <v>2488</v>
      </c>
      <c r="B2489" s="29" t="s">
        <v>3682</v>
      </c>
      <c r="C2489" s="29"/>
      <c r="D2489" s="29" t="s">
        <v>3683</v>
      </c>
      <c r="E2489" s="29"/>
      <c r="F2489" s="29" t="s">
        <v>3686</v>
      </c>
      <c r="G2489" s="29"/>
      <c r="H2489" s="29" t="s">
        <v>3687</v>
      </c>
      <c r="I2489" s="29"/>
      <c r="J2489" s="29"/>
      <c r="K2489" s="29"/>
      <c r="L2489" s="29"/>
      <c r="M2489" s="29" t="s">
        <v>2650</v>
      </c>
      <c r="N2489" s="29" t="s">
        <v>2651</v>
      </c>
      <c r="O2489" s="29"/>
      <c r="P2489" s="29" t="s">
        <v>9656</v>
      </c>
      <c r="Q2489" t="s">
        <v>2038</v>
      </c>
      <c r="R2489" t="s">
        <v>2632</v>
      </c>
      <c r="S2489">
        <v>38</v>
      </c>
      <c r="T2489" s="43" t="str">
        <f>HYPERLINK("https://ictv.global/ictv/proposals/2022.084B.Caudoviricetes_6ng_33nsp.zip","2022.084B.Caudoviricetes_6ng_33nsp.zip")</f>
        <v>2022.084B.Caudoviricetes_6ng_33nsp.zip</v>
      </c>
      <c r="U2489" s="43" t="str">
        <f>HYPERLINK("https://ictv.global/taxonomy/taxondetails?taxnode_id=202214898","ictv.global=202214898")</f>
        <v>ictv.global=202214898</v>
      </c>
    </row>
    <row r="2490" spans="1:21">
      <c r="A2490">
        <v>2489</v>
      </c>
      <c r="B2490" s="29" t="s">
        <v>3682</v>
      </c>
      <c r="C2490" s="29"/>
      <c r="D2490" s="29" t="s">
        <v>3683</v>
      </c>
      <c r="E2490" s="29"/>
      <c r="F2490" s="29" t="s">
        <v>3686</v>
      </c>
      <c r="G2490" s="29"/>
      <c r="H2490" s="29" t="s">
        <v>3687</v>
      </c>
      <c r="I2490" s="29"/>
      <c r="J2490" s="29"/>
      <c r="K2490" s="29"/>
      <c r="L2490" s="29"/>
      <c r="M2490" s="29" t="s">
        <v>2650</v>
      </c>
      <c r="N2490" s="29" t="s">
        <v>2651</v>
      </c>
      <c r="O2490" s="29"/>
      <c r="P2490" s="29" t="s">
        <v>9657</v>
      </c>
      <c r="Q2490" t="s">
        <v>2038</v>
      </c>
      <c r="R2490" t="s">
        <v>2632</v>
      </c>
      <c r="S2490">
        <v>38</v>
      </c>
      <c r="T2490" s="43" t="str">
        <f>HYPERLINK("https://ictv.global/ictv/proposals/2022.084B.Caudoviricetes_6ng_33nsp.zip","2022.084B.Caudoviricetes_6ng_33nsp.zip")</f>
        <v>2022.084B.Caudoviricetes_6ng_33nsp.zip</v>
      </c>
      <c r="U2490" s="43" t="str">
        <f>HYPERLINK("https://ictv.global/taxonomy/taxondetails?taxnode_id=202214894","ictv.global=202214894")</f>
        <v>ictv.global=202214894</v>
      </c>
    </row>
    <row r="2491" spans="1:21">
      <c r="A2491">
        <v>2490</v>
      </c>
      <c r="B2491" s="29" t="s">
        <v>3682</v>
      </c>
      <c r="C2491" s="29"/>
      <c r="D2491" s="29" t="s">
        <v>3683</v>
      </c>
      <c r="E2491" s="29"/>
      <c r="F2491" s="29" t="s">
        <v>3686</v>
      </c>
      <c r="G2491" s="29"/>
      <c r="H2491" s="29" t="s">
        <v>3687</v>
      </c>
      <c r="I2491" s="29"/>
      <c r="J2491" s="29"/>
      <c r="K2491" s="29"/>
      <c r="L2491" s="29"/>
      <c r="M2491" s="29" t="s">
        <v>2650</v>
      </c>
      <c r="N2491" s="29" t="s">
        <v>2651</v>
      </c>
      <c r="O2491" s="29"/>
      <c r="P2491" s="29" t="s">
        <v>9658</v>
      </c>
      <c r="Q2491" t="s">
        <v>2038</v>
      </c>
      <c r="R2491" t="s">
        <v>2633</v>
      </c>
      <c r="S2491">
        <v>37</v>
      </c>
      <c r="T2491" s="43" t="str">
        <f t="shared" ref="T2491:T2501" si="108">HYPERLINK("https://ictv.global/ictv/proposals/2021.010B.R.Binomial_names.zip","2021.010B.R.Binomial_names.zip")</f>
        <v>2021.010B.R.Binomial_names.zip</v>
      </c>
      <c r="U2491" s="43" t="str">
        <f>HYPERLINK("https://ictv.global/taxonomy/taxondetails?taxnode_id=202205502","ictv.global=202205502")</f>
        <v>ictv.global=202205502</v>
      </c>
    </row>
    <row r="2492" spans="1:21">
      <c r="A2492">
        <v>2491</v>
      </c>
      <c r="B2492" s="29" t="s">
        <v>3682</v>
      </c>
      <c r="C2492" s="29"/>
      <c r="D2492" s="29" t="s">
        <v>3683</v>
      </c>
      <c r="E2492" s="29"/>
      <c r="F2492" s="29" t="s">
        <v>3686</v>
      </c>
      <c r="G2492" s="29"/>
      <c r="H2492" s="29" t="s">
        <v>3687</v>
      </c>
      <c r="I2492" s="29"/>
      <c r="J2492" s="29"/>
      <c r="K2492" s="29"/>
      <c r="L2492" s="29"/>
      <c r="M2492" s="29" t="s">
        <v>2382</v>
      </c>
      <c r="N2492" s="29" t="s">
        <v>3374</v>
      </c>
      <c r="O2492" s="29"/>
      <c r="P2492" s="29" t="s">
        <v>9659</v>
      </c>
      <c r="Q2492" t="s">
        <v>2038</v>
      </c>
      <c r="R2492" t="s">
        <v>2633</v>
      </c>
      <c r="S2492">
        <v>37</v>
      </c>
      <c r="T2492" s="43" t="str">
        <f t="shared" si="108"/>
        <v>2021.010B.R.Binomial_names.zip</v>
      </c>
      <c r="U2492" s="43" t="str">
        <f>HYPERLINK("https://ictv.global/taxonomy/taxondetails?taxnode_id=202207010","ictv.global=202207010")</f>
        <v>ictv.global=202207010</v>
      </c>
    </row>
    <row r="2493" spans="1:21">
      <c r="A2493">
        <v>2492</v>
      </c>
      <c r="B2493" s="29" t="s">
        <v>3682</v>
      </c>
      <c r="C2493" s="29"/>
      <c r="D2493" s="29" t="s">
        <v>3683</v>
      </c>
      <c r="E2493" s="29"/>
      <c r="F2493" s="29" t="s">
        <v>3686</v>
      </c>
      <c r="G2493" s="29"/>
      <c r="H2493" s="29" t="s">
        <v>3687</v>
      </c>
      <c r="I2493" s="29"/>
      <c r="J2493" s="29"/>
      <c r="K2493" s="29"/>
      <c r="L2493" s="29"/>
      <c r="M2493" s="29" t="s">
        <v>2382</v>
      </c>
      <c r="N2493" s="29" t="s">
        <v>3374</v>
      </c>
      <c r="O2493" s="29"/>
      <c r="P2493" s="29" t="s">
        <v>9660</v>
      </c>
      <c r="Q2493" t="s">
        <v>2038</v>
      </c>
      <c r="R2493" t="s">
        <v>2633</v>
      </c>
      <c r="S2493">
        <v>37</v>
      </c>
      <c r="T2493" s="43" t="str">
        <f t="shared" si="108"/>
        <v>2021.010B.R.Binomial_names.zip</v>
      </c>
      <c r="U2493" s="43" t="str">
        <f>HYPERLINK("https://ictv.global/taxonomy/taxondetails?taxnode_id=202200208","ictv.global=202200208")</f>
        <v>ictv.global=202200208</v>
      </c>
    </row>
    <row r="2494" spans="1:21">
      <c r="A2494">
        <v>2493</v>
      </c>
      <c r="B2494" s="29" t="s">
        <v>3682</v>
      </c>
      <c r="C2494" s="29"/>
      <c r="D2494" s="29" t="s">
        <v>3683</v>
      </c>
      <c r="E2494" s="29"/>
      <c r="F2494" s="29" t="s">
        <v>3686</v>
      </c>
      <c r="G2494" s="29"/>
      <c r="H2494" s="29" t="s">
        <v>3687</v>
      </c>
      <c r="I2494" s="29"/>
      <c r="J2494" s="29"/>
      <c r="K2494" s="29"/>
      <c r="L2494" s="29"/>
      <c r="M2494" s="29" t="s">
        <v>2382</v>
      </c>
      <c r="N2494" s="29" t="s">
        <v>3374</v>
      </c>
      <c r="O2494" s="29"/>
      <c r="P2494" s="29" t="s">
        <v>9661</v>
      </c>
      <c r="Q2494" t="s">
        <v>2038</v>
      </c>
      <c r="R2494" t="s">
        <v>2633</v>
      </c>
      <c r="S2494">
        <v>37</v>
      </c>
      <c r="T2494" s="43" t="str">
        <f t="shared" si="108"/>
        <v>2021.010B.R.Binomial_names.zip</v>
      </c>
      <c r="U2494" s="43" t="str">
        <f>HYPERLINK("https://ictv.global/taxonomy/taxondetails?taxnode_id=202207009","ictv.global=202207009")</f>
        <v>ictv.global=202207009</v>
      </c>
    </row>
    <row r="2495" spans="1:21">
      <c r="A2495">
        <v>2494</v>
      </c>
      <c r="B2495" s="29" t="s">
        <v>3682</v>
      </c>
      <c r="C2495" s="29"/>
      <c r="D2495" s="29" t="s">
        <v>3683</v>
      </c>
      <c r="E2495" s="29"/>
      <c r="F2495" s="29" t="s">
        <v>3686</v>
      </c>
      <c r="G2495" s="29"/>
      <c r="H2495" s="29" t="s">
        <v>3687</v>
      </c>
      <c r="I2495" s="29"/>
      <c r="J2495" s="29"/>
      <c r="K2495" s="29"/>
      <c r="L2495" s="29"/>
      <c r="M2495" s="29" t="s">
        <v>2382</v>
      </c>
      <c r="N2495" s="29" t="s">
        <v>3374</v>
      </c>
      <c r="O2495" s="29"/>
      <c r="P2495" s="29" t="s">
        <v>9662</v>
      </c>
      <c r="Q2495" t="s">
        <v>2038</v>
      </c>
      <c r="R2495" t="s">
        <v>2633</v>
      </c>
      <c r="S2495">
        <v>37</v>
      </c>
      <c r="T2495" s="43" t="str">
        <f t="shared" si="108"/>
        <v>2021.010B.R.Binomial_names.zip</v>
      </c>
      <c r="U2495" s="43" t="str">
        <f>HYPERLINK("https://ictv.global/taxonomy/taxondetails?taxnode_id=202207007","ictv.global=202207007")</f>
        <v>ictv.global=202207007</v>
      </c>
    </row>
    <row r="2496" spans="1:21">
      <c r="A2496">
        <v>2495</v>
      </c>
      <c r="B2496" s="29" t="s">
        <v>3682</v>
      </c>
      <c r="C2496" s="29"/>
      <c r="D2496" s="29" t="s">
        <v>3683</v>
      </c>
      <c r="E2496" s="29"/>
      <c r="F2496" s="29" t="s">
        <v>3686</v>
      </c>
      <c r="G2496" s="29"/>
      <c r="H2496" s="29" t="s">
        <v>3687</v>
      </c>
      <c r="I2496" s="29"/>
      <c r="J2496" s="29"/>
      <c r="K2496" s="29"/>
      <c r="L2496" s="29"/>
      <c r="M2496" s="29" t="s">
        <v>2382</v>
      </c>
      <c r="N2496" s="29" t="s">
        <v>3374</v>
      </c>
      <c r="O2496" s="29"/>
      <c r="P2496" s="29" t="s">
        <v>9663</v>
      </c>
      <c r="Q2496" t="s">
        <v>2038</v>
      </c>
      <c r="R2496" t="s">
        <v>2633</v>
      </c>
      <c r="S2496">
        <v>37</v>
      </c>
      <c r="T2496" s="43" t="str">
        <f t="shared" si="108"/>
        <v>2021.010B.R.Binomial_names.zip</v>
      </c>
      <c r="U2496" s="43" t="str">
        <f>HYPERLINK("https://ictv.global/taxonomy/taxondetails?taxnode_id=202207006","ictv.global=202207006")</f>
        <v>ictv.global=202207006</v>
      </c>
    </row>
    <row r="2497" spans="1:21">
      <c r="A2497">
        <v>2496</v>
      </c>
      <c r="B2497" s="29" t="s">
        <v>3682</v>
      </c>
      <c r="C2497" s="29"/>
      <c r="D2497" s="29" t="s">
        <v>3683</v>
      </c>
      <c r="E2497" s="29"/>
      <c r="F2497" s="29" t="s">
        <v>3686</v>
      </c>
      <c r="G2497" s="29"/>
      <c r="H2497" s="29" t="s">
        <v>3687</v>
      </c>
      <c r="I2497" s="29"/>
      <c r="J2497" s="29"/>
      <c r="K2497" s="29"/>
      <c r="L2497" s="29"/>
      <c r="M2497" s="29" t="s">
        <v>2382</v>
      </c>
      <c r="N2497" s="29" t="s">
        <v>3374</v>
      </c>
      <c r="O2497" s="29"/>
      <c r="P2497" s="29" t="s">
        <v>9664</v>
      </c>
      <c r="Q2497" t="s">
        <v>2038</v>
      </c>
      <c r="R2497" t="s">
        <v>2633</v>
      </c>
      <c r="S2497">
        <v>37</v>
      </c>
      <c r="T2497" s="43" t="str">
        <f t="shared" si="108"/>
        <v>2021.010B.R.Binomial_names.zip</v>
      </c>
      <c r="U2497" s="43" t="str">
        <f>HYPERLINK("https://ictv.global/taxonomy/taxondetails?taxnode_id=202200209","ictv.global=202200209")</f>
        <v>ictv.global=202200209</v>
      </c>
    </row>
    <row r="2498" spans="1:21">
      <c r="A2498">
        <v>2497</v>
      </c>
      <c r="B2498" s="29" t="s">
        <v>3682</v>
      </c>
      <c r="C2498" s="29"/>
      <c r="D2498" s="29" t="s">
        <v>3683</v>
      </c>
      <c r="E2498" s="29"/>
      <c r="F2498" s="29" t="s">
        <v>3686</v>
      </c>
      <c r="G2498" s="29"/>
      <c r="H2498" s="29" t="s">
        <v>3687</v>
      </c>
      <c r="I2498" s="29"/>
      <c r="J2498" s="29"/>
      <c r="K2498" s="29"/>
      <c r="L2498" s="29"/>
      <c r="M2498" s="29" t="s">
        <v>2382</v>
      </c>
      <c r="N2498" s="29" t="s">
        <v>3374</v>
      </c>
      <c r="O2498" s="29"/>
      <c r="P2498" s="29" t="s">
        <v>9665</v>
      </c>
      <c r="Q2498" t="s">
        <v>2038</v>
      </c>
      <c r="R2498" t="s">
        <v>2633</v>
      </c>
      <c r="S2498">
        <v>37</v>
      </c>
      <c r="T2498" s="43" t="str">
        <f t="shared" si="108"/>
        <v>2021.010B.R.Binomial_names.zip</v>
      </c>
      <c r="U2498" s="43" t="str">
        <f>HYPERLINK("https://ictv.global/taxonomy/taxondetails?taxnode_id=202200215","ictv.global=202200215")</f>
        <v>ictv.global=202200215</v>
      </c>
    </row>
    <row r="2499" spans="1:21">
      <c r="A2499">
        <v>2498</v>
      </c>
      <c r="B2499" s="29" t="s">
        <v>3682</v>
      </c>
      <c r="C2499" s="29"/>
      <c r="D2499" s="29" t="s">
        <v>3683</v>
      </c>
      <c r="E2499" s="29"/>
      <c r="F2499" s="29" t="s">
        <v>3686</v>
      </c>
      <c r="G2499" s="29"/>
      <c r="H2499" s="29" t="s">
        <v>3687</v>
      </c>
      <c r="I2499" s="29"/>
      <c r="J2499" s="29"/>
      <c r="K2499" s="29"/>
      <c r="L2499" s="29"/>
      <c r="M2499" s="29" t="s">
        <v>2382</v>
      </c>
      <c r="N2499" s="29" t="s">
        <v>3374</v>
      </c>
      <c r="O2499" s="29"/>
      <c r="P2499" s="29" t="s">
        <v>9666</v>
      </c>
      <c r="Q2499" t="s">
        <v>2038</v>
      </c>
      <c r="R2499" t="s">
        <v>2633</v>
      </c>
      <c r="S2499">
        <v>37</v>
      </c>
      <c r="T2499" s="43" t="str">
        <f t="shared" si="108"/>
        <v>2021.010B.R.Binomial_names.zip</v>
      </c>
      <c r="U2499" s="43" t="str">
        <f>HYPERLINK("https://ictv.global/taxonomy/taxondetails?taxnode_id=202200210","ictv.global=202200210")</f>
        <v>ictv.global=202200210</v>
      </c>
    </row>
    <row r="2500" spans="1:21">
      <c r="A2500">
        <v>2499</v>
      </c>
      <c r="B2500" s="29" t="s">
        <v>3682</v>
      </c>
      <c r="C2500" s="29"/>
      <c r="D2500" s="29" t="s">
        <v>3683</v>
      </c>
      <c r="E2500" s="29"/>
      <c r="F2500" s="29" t="s">
        <v>3686</v>
      </c>
      <c r="G2500" s="29"/>
      <c r="H2500" s="29" t="s">
        <v>3687</v>
      </c>
      <c r="I2500" s="29"/>
      <c r="J2500" s="29"/>
      <c r="K2500" s="29"/>
      <c r="L2500" s="29"/>
      <c r="M2500" s="29" t="s">
        <v>2382</v>
      </c>
      <c r="N2500" s="29" t="s">
        <v>3374</v>
      </c>
      <c r="O2500" s="29"/>
      <c r="P2500" s="29" t="s">
        <v>9667</v>
      </c>
      <c r="Q2500" t="s">
        <v>2038</v>
      </c>
      <c r="R2500" t="s">
        <v>2633</v>
      </c>
      <c r="S2500">
        <v>37</v>
      </c>
      <c r="T2500" s="43" t="str">
        <f t="shared" si="108"/>
        <v>2021.010B.R.Binomial_names.zip</v>
      </c>
      <c r="U2500" s="43" t="str">
        <f>HYPERLINK("https://ictv.global/taxonomy/taxondetails?taxnode_id=202200211","ictv.global=202200211")</f>
        <v>ictv.global=202200211</v>
      </c>
    </row>
    <row r="2501" spans="1:21">
      <c r="A2501">
        <v>2500</v>
      </c>
      <c r="B2501" s="29" t="s">
        <v>3682</v>
      </c>
      <c r="C2501" s="29"/>
      <c r="D2501" s="29" t="s">
        <v>3683</v>
      </c>
      <c r="E2501" s="29"/>
      <c r="F2501" s="29" t="s">
        <v>3686</v>
      </c>
      <c r="G2501" s="29"/>
      <c r="H2501" s="29" t="s">
        <v>3687</v>
      </c>
      <c r="I2501" s="29"/>
      <c r="J2501" s="29"/>
      <c r="K2501" s="29"/>
      <c r="L2501" s="29"/>
      <c r="M2501" s="29" t="s">
        <v>2382</v>
      </c>
      <c r="N2501" s="29" t="s">
        <v>3374</v>
      </c>
      <c r="O2501" s="29"/>
      <c r="P2501" s="29" t="s">
        <v>9668</v>
      </c>
      <c r="Q2501" t="s">
        <v>2038</v>
      </c>
      <c r="R2501" t="s">
        <v>2633</v>
      </c>
      <c r="S2501">
        <v>37</v>
      </c>
      <c r="T2501" s="43" t="str">
        <f t="shared" si="108"/>
        <v>2021.010B.R.Binomial_names.zip</v>
      </c>
      <c r="U2501" s="43" t="str">
        <f>HYPERLINK("https://ictv.global/taxonomy/taxondetails?taxnode_id=202200217","ictv.global=202200217")</f>
        <v>ictv.global=202200217</v>
      </c>
    </row>
    <row r="2502" spans="1:21">
      <c r="A2502">
        <v>2501</v>
      </c>
      <c r="B2502" s="29" t="s">
        <v>3682</v>
      </c>
      <c r="C2502" s="29"/>
      <c r="D2502" s="29" t="s">
        <v>3683</v>
      </c>
      <c r="E2502" s="29"/>
      <c r="F2502" s="29" t="s">
        <v>3686</v>
      </c>
      <c r="G2502" s="29"/>
      <c r="H2502" s="29" t="s">
        <v>3687</v>
      </c>
      <c r="I2502" s="29"/>
      <c r="J2502" s="29"/>
      <c r="K2502" s="29"/>
      <c r="L2502" s="29"/>
      <c r="M2502" s="29" t="s">
        <v>2382</v>
      </c>
      <c r="N2502" s="29" t="s">
        <v>3374</v>
      </c>
      <c r="O2502" s="29"/>
      <c r="P2502" s="29" t="s">
        <v>9669</v>
      </c>
      <c r="Q2502" t="s">
        <v>2038</v>
      </c>
      <c r="R2502" t="s">
        <v>2632</v>
      </c>
      <c r="S2502">
        <v>38</v>
      </c>
      <c r="T2502" s="43" t="str">
        <f>HYPERLINK("https://ictv.global/ictv/proposals/2022.020B.Caudoviricetes_2nsp.zip","2022.020B.Caudoviricetes_2nsp.zip")</f>
        <v>2022.020B.Caudoviricetes_2nsp.zip</v>
      </c>
      <c r="U2502" s="43" t="str">
        <f>HYPERLINK("https://ictv.global/taxonomy/taxondetails?taxnode_id=202214552","ictv.global=202214552")</f>
        <v>ictv.global=202214552</v>
      </c>
    </row>
    <row r="2503" spans="1:21">
      <c r="A2503">
        <v>2502</v>
      </c>
      <c r="B2503" s="29" t="s">
        <v>3682</v>
      </c>
      <c r="C2503" s="29"/>
      <c r="D2503" s="29" t="s">
        <v>3683</v>
      </c>
      <c r="E2503" s="29"/>
      <c r="F2503" s="29" t="s">
        <v>3686</v>
      </c>
      <c r="G2503" s="29"/>
      <c r="H2503" s="29" t="s">
        <v>3687</v>
      </c>
      <c r="I2503" s="29"/>
      <c r="J2503" s="29"/>
      <c r="K2503" s="29"/>
      <c r="L2503" s="29"/>
      <c r="M2503" s="29" t="s">
        <v>2382</v>
      </c>
      <c r="N2503" s="29" t="s">
        <v>3374</v>
      </c>
      <c r="O2503" s="29"/>
      <c r="P2503" s="29" t="s">
        <v>9670</v>
      </c>
      <c r="Q2503" t="s">
        <v>2038</v>
      </c>
      <c r="R2503" t="s">
        <v>2633</v>
      </c>
      <c r="S2503">
        <v>37</v>
      </c>
      <c r="T2503" s="43" t="str">
        <f t="shared" ref="T2503:T2517" si="109">HYPERLINK("https://ictv.global/ictv/proposals/2021.010B.R.Binomial_names.zip","2021.010B.R.Binomial_names.zip")</f>
        <v>2021.010B.R.Binomial_names.zip</v>
      </c>
      <c r="U2503" s="43" t="str">
        <f>HYPERLINK("https://ictv.global/taxonomy/taxondetails?taxnode_id=202207008","ictv.global=202207008")</f>
        <v>ictv.global=202207008</v>
      </c>
    </row>
    <row r="2504" spans="1:21">
      <c r="A2504">
        <v>2503</v>
      </c>
      <c r="B2504" s="29" t="s">
        <v>3682</v>
      </c>
      <c r="C2504" s="29"/>
      <c r="D2504" s="29" t="s">
        <v>3683</v>
      </c>
      <c r="E2504" s="29"/>
      <c r="F2504" s="29" t="s">
        <v>3686</v>
      </c>
      <c r="G2504" s="29"/>
      <c r="H2504" s="29" t="s">
        <v>3687</v>
      </c>
      <c r="I2504" s="29"/>
      <c r="J2504" s="29"/>
      <c r="K2504" s="29"/>
      <c r="L2504" s="29"/>
      <c r="M2504" s="29" t="s">
        <v>2382</v>
      </c>
      <c r="N2504" s="29" t="s">
        <v>3374</v>
      </c>
      <c r="O2504" s="29"/>
      <c r="P2504" s="29" t="s">
        <v>9671</v>
      </c>
      <c r="Q2504" t="s">
        <v>2038</v>
      </c>
      <c r="R2504" t="s">
        <v>2633</v>
      </c>
      <c r="S2504">
        <v>37</v>
      </c>
      <c r="T2504" s="43" t="str">
        <f t="shared" si="109"/>
        <v>2021.010B.R.Binomial_names.zip</v>
      </c>
      <c r="U2504" s="43" t="str">
        <f>HYPERLINK("https://ictv.global/taxonomy/taxondetails?taxnode_id=202206902","ictv.global=202206902")</f>
        <v>ictv.global=202206902</v>
      </c>
    </row>
    <row r="2505" spans="1:21">
      <c r="A2505">
        <v>2504</v>
      </c>
      <c r="B2505" s="29" t="s">
        <v>3682</v>
      </c>
      <c r="C2505" s="29"/>
      <c r="D2505" s="29" t="s">
        <v>3683</v>
      </c>
      <c r="E2505" s="29"/>
      <c r="F2505" s="29" t="s">
        <v>3686</v>
      </c>
      <c r="G2505" s="29"/>
      <c r="H2505" s="29" t="s">
        <v>3687</v>
      </c>
      <c r="I2505" s="29"/>
      <c r="J2505" s="29"/>
      <c r="K2505" s="29"/>
      <c r="L2505" s="29"/>
      <c r="M2505" s="29" t="s">
        <v>2382</v>
      </c>
      <c r="N2505" s="29" t="s">
        <v>3374</v>
      </c>
      <c r="O2505" s="29"/>
      <c r="P2505" s="29" t="s">
        <v>9672</v>
      </c>
      <c r="Q2505" t="s">
        <v>2038</v>
      </c>
      <c r="R2505" t="s">
        <v>2633</v>
      </c>
      <c r="S2505">
        <v>37</v>
      </c>
      <c r="T2505" s="43" t="str">
        <f t="shared" si="109"/>
        <v>2021.010B.R.Binomial_names.zip</v>
      </c>
      <c r="U2505" s="43" t="str">
        <f>HYPERLINK("https://ictv.global/taxonomy/taxondetails?taxnode_id=202200212","ictv.global=202200212")</f>
        <v>ictv.global=202200212</v>
      </c>
    </row>
    <row r="2506" spans="1:21">
      <c r="A2506">
        <v>2505</v>
      </c>
      <c r="B2506" s="29" t="s">
        <v>3682</v>
      </c>
      <c r="C2506" s="29"/>
      <c r="D2506" s="29" t="s">
        <v>3683</v>
      </c>
      <c r="E2506" s="29"/>
      <c r="F2506" s="29" t="s">
        <v>3686</v>
      </c>
      <c r="G2506" s="29"/>
      <c r="H2506" s="29" t="s">
        <v>3687</v>
      </c>
      <c r="I2506" s="29"/>
      <c r="J2506" s="29"/>
      <c r="K2506" s="29"/>
      <c r="L2506" s="29"/>
      <c r="M2506" s="29" t="s">
        <v>2382</v>
      </c>
      <c r="N2506" s="29" t="s">
        <v>3374</v>
      </c>
      <c r="O2506" s="29"/>
      <c r="P2506" s="29" t="s">
        <v>9673</v>
      </c>
      <c r="Q2506" t="s">
        <v>2038</v>
      </c>
      <c r="R2506" t="s">
        <v>2633</v>
      </c>
      <c r="S2506">
        <v>37</v>
      </c>
      <c r="T2506" s="43" t="str">
        <f t="shared" si="109"/>
        <v>2021.010B.R.Binomial_names.zip</v>
      </c>
      <c r="U2506" s="43" t="str">
        <f>HYPERLINK("https://ictv.global/taxonomy/taxondetails?taxnode_id=202200218","ictv.global=202200218")</f>
        <v>ictv.global=202200218</v>
      </c>
    </row>
    <row r="2507" spans="1:21">
      <c r="A2507">
        <v>2506</v>
      </c>
      <c r="B2507" s="29" t="s">
        <v>3682</v>
      </c>
      <c r="C2507" s="29"/>
      <c r="D2507" s="29" t="s">
        <v>3683</v>
      </c>
      <c r="E2507" s="29"/>
      <c r="F2507" s="29" t="s">
        <v>3686</v>
      </c>
      <c r="G2507" s="29"/>
      <c r="H2507" s="29" t="s">
        <v>3687</v>
      </c>
      <c r="I2507" s="29"/>
      <c r="J2507" s="29"/>
      <c r="K2507" s="29"/>
      <c r="L2507" s="29"/>
      <c r="M2507" s="29" t="s">
        <v>2382</v>
      </c>
      <c r="N2507" s="29" t="s">
        <v>3374</v>
      </c>
      <c r="O2507" s="29"/>
      <c r="P2507" s="29" t="s">
        <v>9674</v>
      </c>
      <c r="Q2507" t="s">
        <v>2038</v>
      </c>
      <c r="R2507" t="s">
        <v>2633</v>
      </c>
      <c r="S2507">
        <v>37</v>
      </c>
      <c r="T2507" s="43" t="str">
        <f t="shared" si="109"/>
        <v>2021.010B.R.Binomial_names.zip</v>
      </c>
      <c r="U2507" s="43" t="str">
        <f>HYPERLINK("https://ictv.global/taxonomy/taxondetails?taxnode_id=202200213","ictv.global=202200213")</f>
        <v>ictv.global=202200213</v>
      </c>
    </row>
    <row r="2508" spans="1:21">
      <c r="A2508">
        <v>2507</v>
      </c>
      <c r="B2508" s="29" t="s">
        <v>3682</v>
      </c>
      <c r="C2508" s="29"/>
      <c r="D2508" s="29" t="s">
        <v>3683</v>
      </c>
      <c r="E2508" s="29"/>
      <c r="F2508" s="29" t="s">
        <v>3686</v>
      </c>
      <c r="G2508" s="29"/>
      <c r="H2508" s="29" t="s">
        <v>3687</v>
      </c>
      <c r="I2508" s="29"/>
      <c r="J2508" s="29"/>
      <c r="K2508" s="29"/>
      <c r="L2508" s="29"/>
      <c r="M2508" s="29" t="s">
        <v>2382</v>
      </c>
      <c r="N2508" s="29" t="s">
        <v>3374</v>
      </c>
      <c r="O2508" s="29"/>
      <c r="P2508" s="29" t="s">
        <v>9675</v>
      </c>
      <c r="Q2508" t="s">
        <v>2038</v>
      </c>
      <c r="R2508" t="s">
        <v>2633</v>
      </c>
      <c r="S2508">
        <v>37</v>
      </c>
      <c r="T2508" s="43" t="str">
        <f t="shared" si="109"/>
        <v>2021.010B.R.Binomial_names.zip</v>
      </c>
      <c r="U2508" s="43" t="str">
        <f>HYPERLINK("https://ictv.global/taxonomy/taxondetails?taxnode_id=202200214","ictv.global=202200214")</f>
        <v>ictv.global=202200214</v>
      </c>
    </row>
    <row r="2509" spans="1:21">
      <c r="A2509">
        <v>2508</v>
      </c>
      <c r="B2509" s="29" t="s">
        <v>3682</v>
      </c>
      <c r="C2509" s="29"/>
      <c r="D2509" s="29" t="s">
        <v>3683</v>
      </c>
      <c r="E2509" s="29"/>
      <c r="F2509" s="29" t="s">
        <v>3686</v>
      </c>
      <c r="G2509" s="29"/>
      <c r="H2509" s="29" t="s">
        <v>3687</v>
      </c>
      <c r="I2509" s="29"/>
      <c r="J2509" s="29"/>
      <c r="K2509" s="29"/>
      <c r="L2509" s="29"/>
      <c r="M2509" s="29" t="s">
        <v>2382</v>
      </c>
      <c r="N2509" s="29" t="s">
        <v>3375</v>
      </c>
      <c r="O2509" s="29"/>
      <c r="P2509" s="29" t="s">
        <v>9676</v>
      </c>
      <c r="Q2509" t="s">
        <v>2038</v>
      </c>
      <c r="R2509" t="s">
        <v>2633</v>
      </c>
      <c r="S2509">
        <v>37</v>
      </c>
      <c r="T2509" s="43" t="str">
        <f t="shared" si="109"/>
        <v>2021.010B.R.Binomial_names.zip</v>
      </c>
      <c r="U2509" s="43" t="str">
        <f>HYPERLINK("https://ictv.global/taxonomy/taxondetails?taxnode_id=202200205","ictv.global=202200205")</f>
        <v>ictv.global=202200205</v>
      </c>
    </row>
    <row r="2510" spans="1:21">
      <c r="A2510">
        <v>2509</v>
      </c>
      <c r="B2510" s="29" t="s">
        <v>3682</v>
      </c>
      <c r="C2510" s="29"/>
      <c r="D2510" s="29" t="s">
        <v>3683</v>
      </c>
      <c r="E2510" s="29"/>
      <c r="F2510" s="29" t="s">
        <v>3686</v>
      </c>
      <c r="G2510" s="29"/>
      <c r="H2510" s="29" t="s">
        <v>3687</v>
      </c>
      <c r="I2510" s="29"/>
      <c r="J2510" s="29"/>
      <c r="K2510" s="29"/>
      <c r="L2510" s="29"/>
      <c r="M2510" s="29" t="s">
        <v>2382</v>
      </c>
      <c r="N2510" s="29" t="s">
        <v>3375</v>
      </c>
      <c r="O2510" s="29"/>
      <c r="P2510" s="29" t="s">
        <v>9677</v>
      </c>
      <c r="Q2510" t="s">
        <v>2038</v>
      </c>
      <c r="R2510" t="s">
        <v>2633</v>
      </c>
      <c r="S2510">
        <v>37</v>
      </c>
      <c r="T2510" s="43" t="str">
        <f t="shared" si="109"/>
        <v>2021.010B.R.Binomial_names.zip</v>
      </c>
      <c r="U2510" s="43" t="str">
        <f>HYPERLINK("https://ictv.global/taxonomy/taxondetails?taxnode_id=202200206","ictv.global=202200206")</f>
        <v>ictv.global=202200206</v>
      </c>
    </row>
    <row r="2511" spans="1:21">
      <c r="A2511">
        <v>2510</v>
      </c>
      <c r="B2511" s="29" t="s">
        <v>3682</v>
      </c>
      <c r="C2511" s="29"/>
      <c r="D2511" s="29" t="s">
        <v>3683</v>
      </c>
      <c r="E2511" s="29"/>
      <c r="F2511" s="29" t="s">
        <v>3686</v>
      </c>
      <c r="G2511" s="29"/>
      <c r="H2511" s="29" t="s">
        <v>3687</v>
      </c>
      <c r="I2511" s="29"/>
      <c r="J2511" s="29"/>
      <c r="K2511" s="29"/>
      <c r="L2511" s="29"/>
      <c r="M2511" s="29" t="s">
        <v>2382</v>
      </c>
      <c r="N2511" s="29" t="s">
        <v>2410</v>
      </c>
      <c r="O2511" s="29"/>
      <c r="P2511" s="29" t="s">
        <v>9678</v>
      </c>
      <c r="Q2511" t="s">
        <v>2038</v>
      </c>
      <c r="R2511" t="s">
        <v>2633</v>
      </c>
      <c r="S2511">
        <v>37</v>
      </c>
      <c r="T2511" s="43" t="str">
        <f t="shared" si="109"/>
        <v>2021.010B.R.Binomial_names.zip</v>
      </c>
      <c r="U2511" s="43" t="str">
        <f>HYPERLINK("https://ictv.global/taxonomy/taxondetails?taxnode_id=202200220","ictv.global=202200220")</f>
        <v>ictv.global=202200220</v>
      </c>
    </row>
    <row r="2512" spans="1:21">
      <c r="A2512">
        <v>2511</v>
      </c>
      <c r="B2512" s="29" t="s">
        <v>3682</v>
      </c>
      <c r="C2512" s="29"/>
      <c r="D2512" s="29" t="s">
        <v>3683</v>
      </c>
      <c r="E2512" s="29"/>
      <c r="F2512" s="29" t="s">
        <v>3686</v>
      </c>
      <c r="G2512" s="29"/>
      <c r="H2512" s="29" t="s">
        <v>3687</v>
      </c>
      <c r="I2512" s="29"/>
      <c r="J2512" s="29"/>
      <c r="K2512" s="29"/>
      <c r="L2512" s="29"/>
      <c r="M2512" s="29" t="s">
        <v>2382</v>
      </c>
      <c r="N2512" s="29" t="s">
        <v>2410</v>
      </c>
      <c r="O2512" s="29"/>
      <c r="P2512" s="29" t="s">
        <v>9679</v>
      </c>
      <c r="Q2512" t="s">
        <v>2038</v>
      </c>
      <c r="R2512" t="s">
        <v>2633</v>
      </c>
      <c r="S2512">
        <v>37</v>
      </c>
      <c r="T2512" s="43" t="str">
        <f t="shared" si="109"/>
        <v>2021.010B.R.Binomial_names.zip</v>
      </c>
      <c r="U2512" s="43" t="str">
        <f>HYPERLINK("https://ictv.global/taxonomy/taxondetails?taxnode_id=202200221","ictv.global=202200221")</f>
        <v>ictv.global=202200221</v>
      </c>
    </row>
    <row r="2513" spans="1:21">
      <c r="A2513">
        <v>2512</v>
      </c>
      <c r="B2513" s="29" t="s">
        <v>3682</v>
      </c>
      <c r="C2513" s="29"/>
      <c r="D2513" s="29" t="s">
        <v>3683</v>
      </c>
      <c r="E2513" s="29"/>
      <c r="F2513" s="29" t="s">
        <v>3686</v>
      </c>
      <c r="G2513" s="29"/>
      <c r="H2513" s="29" t="s">
        <v>3687</v>
      </c>
      <c r="I2513" s="29"/>
      <c r="J2513" s="29"/>
      <c r="K2513" s="29"/>
      <c r="L2513" s="29"/>
      <c r="M2513" s="29" t="s">
        <v>2382</v>
      </c>
      <c r="N2513" s="29" t="s">
        <v>2410</v>
      </c>
      <c r="O2513" s="29"/>
      <c r="P2513" s="29" t="s">
        <v>9680</v>
      </c>
      <c r="Q2513" t="s">
        <v>2038</v>
      </c>
      <c r="R2513" t="s">
        <v>2633</v>
      </c>
      <c r="S2513">
        <v>37</v>
      </c>
      <c r="T2513" s="43" t="str">
        <f t="shared" si="109"/>
        <v>2021.010B.R.Binomial_names.zip</v>
      </c>
      <c r="U2513" s="43" t="str">
        <f>HYPERLINK("https://ictv.global/taxonomy/taxondetails?taxnode_id=202207011","ictv.global=202207011")</f>
        <v>ictv.global=202207011</v>
      </c>
    </row>
    <row r="2514" spans="1:21">
      <c r="A2514">
        <v>2513</v>
      </c>
      <c r="B2514" s="29" t="s">
        <v>3682</v>
      </c>
      <c r="C2514" s="29"/>
      <c r="D2514" s="29" t="s">
        <v>3683</v>
      </c>
      <c r="E2514" s="29"/>
      <c r="F2514" s="29" t="s">
        <v>3686</v>
      </c>
      <c r="G2514" s="29"/>
      <c r="H2514" s="29" t="s">
        <v>3687</v>
      </c>
      <c r="I2514" s="29"/>
      <c r="J2514" s="29"/>
      <c r="K2514" s="29"/>
      <c r="L2514" s="29"/>
      <c r="M2514" s="29" t="s">
        <v>2382</v>
      </c>
      <c r="N2514" s="29" t="s">
        <v>2410</v>
      </c>
      <c r="O2514" s="29"/>
      <c r="P2514" s="29" t="s">
        <v>9681</v>
      </c>
      <c r="Q2514" t="s">
        <v>2038</v>
      </c>
      <c r="R2514" t="s">
        <v>2633</v>
      </c>
      <c r="S2514">
        <v>37</v>
      </c>
      <c r="T2514" s="43" t="str">
        <f t="shared" si="109"/>
        <v>2021.010B.R.Binomial_names.zip</v>
      </c>
      <c r="U2514" s="43" t="str">
        <f>HYPERLINK("https://ictv.global/taxonomy/taxondetails?taxnode_id=202207012","ictv.global=202207012")</f>
        <v>ictv.global=202207012</v>
      </c>
    </row>
    <row r="2515" spans="1:21">
      <c r="A2515">
        <v>2514</v>
      </c>
      <c r="B2515" s="29" t="s">
        <v>3682</v>
      </c>
      <c r="C2515" s="29"/>
      <c r="D2515" s="29" t="s">
        <v>3683</v>
      </c>
      <c r="E2515" s="29"/>
      <c r="F2515" s="29" t="s">
        <v>3686</v>
      </c>
      <c r="G2515" s="29"/>
      <c r="H2515" s="29" t="s">
        <v>3687</v>
      </c>
      <c r="I2515" s="29"/>
      <c r="J2515" s="29"/>
      <c r="K2515" s="29"/>
      <c r="L2515" s="29"/>
      <c r="M2515" s="29" t="s">
        <v>2382</v>
      </c>
      <c r="N2515" s="29" t="s">
        <v>2410</v>
      </c>
      <c r="O2515" s="29"/>
      <c r="P2515" s="29" t="s">
        <v>9682</v>
      </c>
      <c r="Q2515" t="s">
        <v>2038</v>
      </c>
      <c r="R2515" t="s">
        <v>2633</v>
      </c>
      <c r="S2515">
        <v>37</v>
      </c>
      <c r="T2515" s="43" t="str">
        <f t="shared" si="109"/>
        <v>2021.010B.R.Binomial_names.zip</v>
      </c>
      <c r="U2515" s="43" t="str">
        <f>HYPERLINK("https://ictv.global/taxonomy/taxondetails?taxnode_id=202207013","ictv.global=202207013")</f>
        <v>ictv.global=202207013</v>
      </c>
    </row>
    <row r="2516" spans="1:21">
      <c r="A2516">
        <v>2515</v>
      </c>
      <c r="B2516" s="29" t="s">
        <v>3682</v>
      </c>
      <c r="C2516" s="29"/>
      <c r="D2516" s="29" t="s">
        <v>3683</v>
      </c>
      <c r="E2516" s="29"/>
      <c r="F2516" s="29" t="s">
        <v>3686</v>
      </c>
      <c r="G2516" s="29"/>
      <c r="H2516" s="29" t="s">
        <v>3687</v>
      </c>
      <c r="I2516" s="29"/>
      <c r="J2516" s="29"/>
      <c r="K2516" s="29"/>
      <c r="L2516" s="29"/>
      <c r="M2516" s="29" t="s">
        <v>2382</v>
      </c>
      <c r="N2516" s="29" t="s">
        <v>2411</v>
      </c>
      <c r="O2516" s="29"/>
      <c r="P2516" s="29" t="s">
        <v>9683</v>
      </c>
      <c r="Q2516" t="s">
        <v>2038</v>
      </c>
      <c r="R2516" t="s">
        <v>2633</v>
      </c>
      <c r="S2516">
        <v>37</v>
      </c>
      <c r="T2516" s="43" t="str">
        <f t="shared" si="109"/>
        <v>2021.010B.R.Binomial_names.zip</v>
      </c>
      <c r="U2516" s="43" t="str">
        <f>HYPERLINK("https://ictv.global/taxonomy/taxondetails?taxnode_id=202200223","ictv.global=202200223")</f>
        <v>ictv.global=202200223</v>
      </c>
    </row>
    <row r="2517" spans="1:21">
      <c r="A2517">
        <v>2516</v>
      </c>
      <c r="B2517" s="29" t="s">
        <v>3682</v>
      </c>
      <c r="C2517" s="29"/>
      <c r="D2517" s="29" t="s">
        <v>3683</v>
      </c>
      <c r="E2517" s="29"/>
      <c r="F2517" s="29" t="s">
        <v>3686</v>
      </c>
      <c r="G2517" s="29"/>
      <c r="H2517" s="29" t="s">
        <v>3687</v>
      </c>
      <c r="I2517" s="29"/>
      <c r="J2517" s="29"/>
      <c r="K2517" s="29"/>
      <c r="L2517" s="29"/>
      <c r="M2517" s="29" t="s">
        <v>2382</v>
      </c>
      <c r="N2517" s="29" t="s">
        <v>2411</v>
      </c>
      <c r="O2517" s="29"/>
      <c r="P2517" s="29" t="s">
        <v>9684</v>
      </c>
      <c r="Q2517" t="s">
        <v>2038</v>
      </c>
      <c r="R2517" t="s">
        <v>2633</v>
      </c>
      <c r="S2517">
        <v>37</v>
      </c>
      <c r="T2517" s="43" t="str">
        <f t="shared" si="109"/>
        <v>2021.010B.R.Binomial_names.zip</v>
      </c>
      <c r="U2517" s="43" t="str">
        <f>HYPERLINK("https://ictv.global/taxonomy/taxondetails?taxnode_id=202200224","ictv.global=202200224")</f>
        <v>ictv.global=202200224</v>
      </c>
    </row>
    <row r="2518" spans="1:21">
      <c r="A2518">
        <v>2517</v>
      </c>
      <c r="B2518" s="29" t="s">
        <v>3682</v>
      </c>
      <c r="C2518" s="29"/>
      <c r="D2518" s="29" t="s">
        <v>3683</v>
      </c>
      <c r="E2518" s="29"/>
      <c r="F2518" s="29" t="s">
        <v>3686</v>
      </c>
      <c r="G2518" s="29"/>
      <c r="H2518" s="29" t="s">
        <v>3687</v>
      </c>
      <c r="I2518" s="29"/>
      <c r="J2518" s="29"/>
      <c r="K2518" s="29"/>
      <c r="L2518" s="29"/>
      <c r="M2518" s="29" t="s">
        <v>2391</v>
      </c>
      <c r="N2518" s="29" t="s">
        <v>2080</v>
      </c>
      <c r="O2518" s="29"/>
      <c r="P2518" s="29" t="s">
        <v>9685</v>
      </c>
      <c r="Q2518" t="s">
        <v>2038</v>
      </c>
      <c r="R2518" t="s">
        <v>2633</v>
      </c>
      <c r="S2518">
        <v>37</v>
      </c>
      <c r="T2518" s="43" t="str">
        <f>HYPERLINK("https://ictv.global/ictv/proposals/2021.062B.R.Pclasvirinae_new_genera.zip","2021.062B.R.Pclasvirinae_new_genera.zip")</f>
        <v>2021.062B.R.Pclasvirinae_new_genera.zip</v>
      </c>
      <c r="U2518" s="43" t="str">
        <f>HYPERLINK("https://ictv.global/taxonomy/taxondetails?taxnode_id=202200794","ictv.global=202200794")</f>
        <v>ictv.global=202200794</v>
      </c>
    </row>
    <row r="2519" spans="1:21">
      <c r="A2519">
        <v>2518</v>
      </c>
      <c r="B2519" s="29" t="s">
        <v>3682</v>
      </c>
      <c r="C2519" s="29"/>
      <c r="D2519" s="29" t="s">
        <v>3683</v>
      </c>
      <c r="E2519" s="29"/>
      <c r="F2519" s="29" t="s">
        <v>3686</v>
      </c>
      <c r="G2519" s="29"/>
      <c r="H2519" s="29" t="s">
        <v>3687</v>
      </c>
      <c r="I2519" s="29"/>
      <c r="J2519" s="29"/>
      <c r="K2519" s="29"/>
      <c r="L2519" s="29"/>
      <c r="M2519" s="29" t="s">
        <v>2391</v>
      </c>
      <c r="N2519" s="29" t="s">
        <v>2392</v>
      </c>
      <c r="O2519" s="29"/>
      <c r="P2519" s="29" t="s">
        <v>9686</v>
      </c>
      <c r="Q2519" t="s">
        <v>2038</v>
      </c>
      <c r="R2519" t="s">
        <v>2632</v>
      </c>
      <c r="S2519">
        <v>37</v>
      </c>
      <c r="T2519" s="43" t="str">
        <f>HYPERLINK("https://ictv.global/ictv/proposals/2021.062B.R.Pclasvirinae_new_genera.zip","2021.062B.R.Pclasvirinae_new_genera.zip")</f>
        <v>2021.062B.R.Pclasvirinae_new_genera.zip</v>
      </c>
      <c r="U2519" s="43" t="str">
        <f>HYPERLINK("https://ictv.global/taxonomy/taxondetails?taxnode_id=202212819","ictv.global=202212819")</f>
        <v>ictv.global=202212819</v>
      </c>
    </row>
    <row r="2520" spans="1:21">
      <c r="A2520">
        <v>2519</v>
      </c>
      <c r="B2520" s="29" t="s">
        <v>3682</v>
      </c>
      <c r="C2520" s="29"/>
      <c r="D2520" s="29" t="s">
        <v>3683</v>
      </c>
      <c r="E2520" s="29"/>
      <c r="F2520" s="29" t="s">
        <v>3686</v>
      </c>
      <c r="G2520" s="29"/>
      <c r="H2520" s="29" t="s">
        <v>3687</v>
      </c>
      <c r="I2520" s="29"/>
      <c r="J2520" s="29"/>
      <c r="K2520" s="29"/>
      <c r="L2520" s="29"/>
      <c r="M2520" s="29" t="s">
        <v>2391</v>
      </c>
      <c r="N2520" s="29" t="s">
        <v>2392</v>
      </c>
      <c r="O2520" s="29"/>
      <c r="P2520" s="29" t="s">
        <v>9687</v>
      </c>
      <c r="Q2520" t="s">
        <v>2038</v>
      </c>
      <c r="R2520" t="s">
        <v>2632</v>
      </c>
      <c r="S2520">
        <v>37</v>
      </c>
      <c r="T2520" s="43" t="str">
        <f>HYPERLINK("https://ictv.global/ictv/proposals/2021.062B.R.Pclasvirinae_new_genera.zip","2021.062B.R.Pclasvirinae_new_genera.zip")</f>
        <v>2021.062B.R.Pclasvirinae_new_genera.zip</v>
      </c>
      <c r="U2520" s="43" t="str">
        <f>HYPERLINK("https://ictv.global/taxonomy/taxondetails?taxnode_id=202212820","ictv.global=202212820")</f>
        <v>ictv.global=202212820</v>
      </c>
    </row>
    <row r="2521" spans="1:21">
      <c r="A2521">
        <v>2520</v>
      </c>
      <c r="B2521" s="29" t="s">
        <v>3682</v>
      </c>
      <c r="C2521" s="29"/>
      <c r="D2521" s="29" t="s">
        <v>3683</v>
      </c>
      <c r="E2521" s="29"/>
      <c r="F2521" s="29" t="s">
        <v>3686</v>
      </c>
      <c r="G2521" s="29"/>
      <c r="H2521" s="29" t="s">
        <v>3687</v>
      </c>
      <c r="I2521" s="29"/>
      <c r="J2521" s="29"/>
      <c r="K2521" s="29"/>
      <c r="L2521" s="29"/>
      <c r="M2521" s="29" t="s">
        <v>2391</v>
      </c>
      <c r="N2521" s="29" t="s">
        <v>2392</v>
      </c>
      <c r="O2521" s="29"/>
      <c r="P2521" s="29" t="s">
        <v>9688</v>
      </c>
      <c r="Q2521" t="s">
        <v>2038</v>
      </c>
      <c r="R2521" t="s">
        <v>2632</v>
      </c>
      <c r="S2521">
        <v>37</v>
      </c>
      <c r="T2521" s="43" t="str">
        <f>HYPERLINK("https://ictv.global/ictv/proposals/2021.062B.R.Pclasvirinae_new_genera.zip","2021.062B.R.Pclasvirinae_new_genera.zip")</f>
        <v>2021.062B.R.Pclasvirinae_new_genera.zip</v>
      </c>
      <c r="U2521" s="43" t="str">
        <f>HYPERLINK("https://ictv.global/taxonomy/taxondetails?taxnode_id=202212821","ictv.global=202212821")</f>
        <v>ictv.global=202212821</v>
      </c>
    </row>
    <row r="2522" spans="1:21">
      <c r="A2522">
        <v>2521</v>
      </c>
      <c r="B2522" s="29" t="s">
        <v>3682</v>
      </c>
      <c r="C2522" s="29"/>
      <c r="D2522" s="29" t="s">
        <v>3683</v>
      </c>
      <c r="E2522" s="29"/>
      <c r="F2522" s="29" t="s">
        <v>3686</v>
      </c>
      <c r="G2522" s="29"/>
      <c r="H2522" s="29" t="s">
        <v>3687</v>
      </c>
      <c r="I2522" s="29"/>
      <c r="J2522" s="29"/>
      <c r="K2522" s="29"/>
      <c r="L2522" s="29"/>
      <c r="M2522" s="29" t="s">
        <v>2391</v>
      </c>
      <c r="N2522" s="29" t="s">
        <v>2392</v>
      </c>
      <c r="O2522" s="29"/>
      <c r="P2522" s="29" t="s">
        <v>9689</v>
      </c>
      <c r="Q2522" t="s">
        <v>2038</v>
      </c>
      <c r="R2522" t="s">
        <v>2633</v>
      </c>
      <c r="S2522">
        <v>37</v>
      </c>
      <c r="T2522" s="43" t="str">
        <f>HYPERLINK("https://ictv.global/ictv/proposals/2021.010B.R.Binomial_names.zip","2021.010B.R.Binomial_names.zip")</f>
        <v>2021.010B.R.Binomial_names.zip</v>
      </c>
      <c r="U2522" s="43" t="str">
        <f>HYPERLINK("https://ictv.global/taxonomy/taxondetails?taxnode_id=202200796","ictv.global=202200796")</f>
        <v>ictv.global=202200796</v>
      </c>
    </row>
    <row r="2523" spans="1:21">
      <c r="A2523">
        <v>2522</v>
      </c>
      <c r="B2523" s="29" t="s">
        <v>3682</v>
      </c>
      <c r="C2523" s="29"/>
      <c r="D2523" s="29" t="s">
        <v>3683</v>
      </c>
      <c r="E2523" s="29"/>
      <c r="F2523" s="29" t="s">
        <v>3686</v>
      </c>
      <c r="G2523" s="29"/>
      <c r="H2523" s="29" t="s">
        <v>3687</v>
      </c>
      <c r="I2523" s="29"/>
      <c r="J2523" s="29"/>
      <c r="K2523" s="29"/>
      <c r="L2523" s="29"/>
      <c r="M2523" s="29" t="s">
        <v>2391</v>
      </c>
      <c r="N2523" s="29" t="s">
        <v>2392</v>
      </c>
      <c r="O2523" s="29"/>
      <c r="P2523" s="29" t="s">
        <v>9690</v>
      </c>
      <c r="Q2523" t="s">
        <v>2038</v>
      </c>
      <c r="R2523" t="s">
        <v>2633</v>
      </c>
      <c r="S2523">
        <v>37</v>
      </c>
      <c r="T2523" s="43" t="str">
        <f>HYPERLINK("https://ictv.global/ictv/proposals/2021.010B.R.Binomial_names.zip","2021.010B.R.Binomial_names.zip")</f>
        <v>2021.010B.R.Binomial_names.zip</v>
      </c>
      <c r="U2523" s="43" t="str">
        <f>HYPERLINK("https://ictv.global/taxonomy/taxondetails?taxnode_id=202200797","ictv.global=202200797")</f>
        <v>ictv.global=202200797</v>
      </c>
    </row>
    <row r="2524" spans="1:21">
      <c r="A2524">
        <v>2523</v>
      </c>
      <c r="B2524" s="29" t="s">
        <v>3682</v>
      </c>
      <c r="C2524" s="29"/>
      <c r="D2524" s="29" t="s">
        <v>3683</v>
      </c>
      <c r="E2524" s="29"/>
      <c r="F2524" s="29" t="s">
        <v>3686</v>
      </c>
      <c r="G2524" s="29"/>
      <c r="H2524" s="29" t="s">
        <v>3687</v>
      </c>
      <c r="I2524" s="29"/>
      <c r="J2524" s="29"/>
      <c r="K2524" s="29"/>
      <c r="L2524" s="29"/>
      <c r="M2524" s="29" t="s">
        <v>2391</v>
      </c>
      <c r="N2524" s="29" t="s">
        <v>2392</v>
      </c>
      <c r="O2524" s="29"/>
      <c r="P2524" s="29" t="s">
        <v>9691</v>
      </c>
      <c r="Q2524" t="s">
        <v>2038</v>
      </c>
      <c r="R2524" t="s">
        <v>2632</v>
      </c>
      <c r="S2524">
        <v>37</v>
      </c>
      <c r="T2524" s="43" t="str">
        <f>HYPERLINK("https://ictv.global/ictv/proposals/2021.062B.R.Pclasvirinae_new_genera.zip","2021.062B.R.Pclasvirinae_new_genera.zip")</f>
        <v>2021.062B.R.Pclasvirinae_new_genera.zip</v>
      </c>
      <c r="U2524" s="43" t="str">
        <f>HYPERLINK("https://ictv.global/taxonomy/taxondetails?taxnode_id=202212822","ictv.global=202212822")</f>
        <v>ictv.global=202212822</v>
      </c>
    </row>
    <row r="2525" spans="1:21">
      <c r="A2525">
        <v>2524</v>
      </c>
      <c r="B2525" s="29" t="s">
        <v>3682</v>
      </c>
      <c r="C2525" s="29"/>
      <c r="D2525" s="29" t="s">
        <v>3683</v>
      </c>
      <c r="E2525" s="29"/>
      <c r="F2525" s="29" t="s">
        <v>3686</v>
      </c>
      <c r="G2525" s="29"/>
      <c r="H2525" s="29" t="s">
        <v>3687</v>
      </c>
      <c r="I2525" s="29"/>
      <c r="J2525" s="29"/>
      <c r="K2525" s="29"/>
      <c r="L2525" s="29"/>
      <c r="M2525" s="29" t="s">
        <v>2391</v>
      </c>
      <c r="N2525" s="29" t="s">
        <v>2392</v>
      </c>
      <c r="O2525" s="29"/>
      <c r="P2525" s="29" t="s">
        <v>9692</v>
      </c>
      <c r="Q2525" t="s">
        <v>2038</v>
      </c>
      <c r="R2525" t="s">
        <v>2633</v>
      </c>
      <c r="S2525">
        <v>37</v>
      </c>
      <c r="T2525" s="43" t="str">
        <f>HYPERLINK("https://ictv.global/ictv/proposals/2021.010B.R.Binomial_names.zip","2021.010B.R.Binomial_names.zip")</f>
        <v>2021.010B.R.Binomial_names.zip</v>
      </c>
      <c r="U2525" s="43" t="str">
        <f>HYPERLINK("https://ictv.global/taxonomy/taxondetails?taxnode_id=202200798","ictv.global=202200798")</f>
        <v>ictv.global=202200798</v>
      </c>
    </row>
    <row r="2526" spans="1:21">
      <c r="A2526">
        <v>2525</v>
      </c>
      <c r="B2526" s="29" t="s">
        <v>3682</v>
      </c>
      <c r="C2526" s="29"/>
      <c r="D2526" s="29" t="s">
        <v>3683</v>
      </c>
      <c r="E2526" s="29"/>
      <c r="F2526" s="29" t="s">
        <v>3686</v>
      </c>
      <c r="G2526" s="29"/>
      <c r="H2526" s="29" t="s">
        <v>3687</v>
      </c>
      <c r="I2526" s="29"/>
      <c r="J2526" s="29"/>
      <c r="K2526" s="29"/>
      <c r="L2526" s="29"/>
      <c r="M2526" s="29" t="s">
        <v>2391</v>
      </c>
      <c r="N2526" s="29" t="s">
        <v>2392</v>
      </c>
      <c r="O2526" s="29"/>
      <c r="P2526" s="29" t="s">
        <v>9693</v>
      </c>
      <c r="Q2526" t="s">
        <v>2038</v>
      </c>
      <c r="R2526" t="s">
        <v>2632</v>
      </c>
      <c r="S2526">
        <v>37</v>
      </c>
      <c r="T2526" s="43" t="str">
        <f>HYPERLINK("https://ictv.global/ictv/proposals/2021.062B.R.Pclasvirinae_new_genera.zip","2021.062B.R.Pclasvirinae_new_genera.zip")</f>
        <v>2021.062B.R.Pclasvirinae_new_genera.zip</v>
      </c>
      <c r="U2526" s="43" t="str">
        <f>HYPERLINK("https://ictv.global/taxonomy/taxondetails?taxnode_id=202212823","ictv.global=202212823")</f>
        <v>ictv.global=202212823</v>
      </c>
    </row>
    <row r="2527" spans="1:21">
      <c r="A2527">
        <v>2526</v>
      </c>
      <c r="B2527" s="29" t="s">
        <v>3682</v>
      </c>
      <c r="C2527" s="29"/>
      <c r="D2527" s="29" t="s">
        <v>3683</v>
      </c>
      <c r="E2527" s="29"/>
      <c r="F2527" s="29" t="s">
        <v>3686</v>
      </c>
      <c r="G2527" s="29"/>
      <c r="H2527" s="29" t="s">
        <v>3687</v>
      </c>
      <c r="I2527" s="29"/>
      <c r="J2527" s="29"/>
      <c r="K2527" s="29"/>
      <c r="L2527" s="29"/>
      <c r="M2527" s="29" t="s">
        <v>2391</v>
      </c>
      <c r="N2527" s="29" t="s">
        <v>2392</v>
      </c>
      <c r="O2527" s="29"/>
      <c r="P2527" s="29" t="s">
        <v>9694</v>
      </c>
      <c r="Q2527" t="s">
        <v>2038</v>
      </c>
      <c r="R2527" t="s">
        <v>2633</v>
      </c>
      <c r="S2527">
        <v>37</v>
      </c>
      <c r="T2527" s="43" t="str">
        <f>HYPERLINK("https://ictv.global/ictv/proposals/2021.010B.R.Binomial_names.zip","2021.010B.R.Binomial_names.zip")</f>
        <v>2021.010B.R.Binomial_names.zip</v>
      </c>
      <c r="U2527" s="43" t="str">
        <f>HYPERLINK("https://ictv.global/taxonomy/taxondetails?taxnode_id=202200799","ictv.global=202200799")</f>
        <v>ictv.global=202200799</v>
      </c>
    </row>
    <row r="2528" spans="1:21">
      <c r="A2528">
        <v>2527</v>
      </c>
      <c r="B2528" s="29" t="s">
        <v>3682</v>
      </c>
      <c r="C2528" s="29"/>
      <c r="D2528" s="29" t="s">
        <v>3683</v>
      </c>
      <c r="E2528" s="29"/>
      <c r="F2528" s="29" t="s">
        <v>3686</v>
      </c>
      <c r="G2528" s="29"/>
      <c r="H2528" s="29" t="s">
        <v>3687</v>
      </c>
      <c r="I2528" s="29"/>
      <c r="J2528" s="29"/>
      <c r="K2528" s="29"/>
      <c r="L2528" s="29"/>
      <c r="M2528" s="29" t="s">
        <v>2391</v>
      </c>
      <c r="N2528" s="29" t="s">
        <v>2392</v>
      </c>
      <c r="O2528" s="29"/>
      <c r="P2528" s="29" t="s">
        <v>9695</v>
      </c>
      <c r="Q2528" t="s">
        <v>2038</v>
      </c>
      <c r="R2528" t="s">
        <v>2632</v>
      </c>
      <c r="S2528">
        <v>37</v>
      </c>
      <c r="T2528" s="43" t="str">
        <f>HYPERLINK("https://ictv.global/ictv/proposals/2021.062B.R.Pclasvirinae_new_genera.zip","2021.062B.R.Pclasvirinae_new_genera.zip")</f>
        <v>2021.062B.R.Pclasvirinae_new_genera.zip</v>
      </c>
      <c r="U2528" s="43" t="str">
        <f>HYPERLINK("https://ictv.global/taxonomy/taxondetails?taxnode_id=202212824","ictv.global=202212824")</f>
        <v>ictv.global=202212824</v>
      </c>
    </row>
    <row r="2529" spans="1:21">
      <c r="A2529">
        <v>2528</v>
      </c>
      <c r="B2529" s="29" t="s">
        <v>3682</v>
      </c>
      <c r="C2529" s="29"/>
      <c r="D2529" s="29" t="s">
        <v>3683</v>
      </c>
      <c r="E2529" s="29"/>
      <c r="F2529" s="29" t="s">
        <v>3686</v>
      </c>
      <c r="G2529" s="29"/>
      <c r="H2529" s="29" t="s">
        <v>3687</v>
      </c>
      <c r="I2529" s="29"/>
      <c r="J2529" s="29"/>
      <c r="K2529" s="29"/>
      <c r="L2529" s="29"/>
      <c r="M2529" s="29" t="s">
        <v>2391</v>
      </c>
      <c r="N2529" s="29" t="s">
        <v>2392</v>
      </c>
      <c r="O2529" s="29"/>
      <c r="P2529" s="29" t="s">
        <v>9696</v>
      </c>
      <c r="Q2529" t="s">
        <v>2038</v>
      </c>
      <c r="R2529" t="s">
        <v>2632</v>
      </c>
      <c r="S2529">
        <v>37</v>
      </c>
      <c r="T2529" s="43" t="str">
        <f>HYPERLINK("https://ictv.global/ictv/proposals/2021.062B.R.Pclasvirinae_new_genera.zip","2021.062B.R.Pclasvirinae_new_genera.zip")</f>
        <v>2021.062B.R.Pclasvirinae_new_genera.zip</v>
      </c>
      <c r="U2529" s="43" t="str">
        <f>HYPERLINK("https://ictv.global/taxonomy/taxondetails?taxnode_id=202212825","ictv.global=202212825")</f>
        <v>ictv.global=202212825</v>
      </c>
    </row>
    <row r="2530" spans="1:21">
      <c r="A2530">
        <v>2529</v>
      </c>
      <c r="B2530" s="29" t="s">
        <v>3682</v>
      </c>
      <c r="C2530" s="29"/>
      <c r="D2530" s="29" t="s">
        <v>3683</v>
      </c>
      <c r="E2530" s="29"/>
      <c r="F2530" s="29" t="s">
        <v>3686</v>
      </c>
      <c r="G2530" s="29"/>
      <c r="H2530" s="29" t="s">
        <v>3687</v>
      </c>
      <c r="I2530" s="29"/>
      <c r="J2530" s="29"/>
      <c r="K2530" s="29"/>
      <c r="L2530" s="29"/>
      <c r="M2530" s="29" t="s">
        <v>2391</v>
      </c>
      <c r="N2530" s="29" t="s">
        <v>2392</v>
      </c>
      <c r="O2530" s="29"/>
      <c r="P2530" s="29" t="s">
        <v>9697</v>
      </c>
      <c r="Q2530" t="s">
        <v>2038</v>
      </c>
      <c r="R2530" t="s">
        <v>2632</v>
      </c>
      <c r="S2530">
        <v>37</v>
      </c>
      <c r="T2530" s="43" t="str">
        <f>HYPERLINK("https://ictv.global/ictv/proposals/2021.062B.R.Pclasvirinae_new_genera.zip","2021.062B.R.Pclasvirinae_new_genera.zip")</f>
        <v>2021.062B.R.Pclasvirinae_new_genera.zip</v>
      </c>
      <c r="U2530" s="43" t="str">
        <f>HYPERLINK("https://ictv.global/taxonomy/taxondetails?taxnode_id=202212826","ictv.global=202212826")</f>
        <v>ictv.global=202212826</v>
      </c>
    </row>
    <row r="2531" spans="1:21">
      <c r="A2531">
        <v>2530</v>
      </c>
      <c r="B2531" s="29" t="s">
        <v>3682</v>
      </c>
      <c r="C2531" s="29"/>
      <c r="D2531" s="29" t="s">
        <v>3683</v>
      </c>
      <c r="E2531" s="29"/>
      <c r="F2531" s="29" t="s">
        <v>3686</v>
      </c>
      <c r="G2531" s="29"/>
      <c r="H2531" s="29" t="s">
        <v>3687</v>
      </c>
      <c r="I2531" s="29"/>
      <c r="J2531" s="29"/>
      <c r="K2531" s="29"/>
      <c r="L2531" s="29"/>
      <c r="M2531" s="29" t="s">
        <v>2391</v>
      </c>
      <c r="N2531" s="29" t="s">
        <v>2392</v>
      </c>
      <c r="O2531" s="29"/>
      <c r="P2531" s="29" t="s">
        <v>9698</v>
      </c>
      <c r="Q2531" t="s">
        <v>2038</v>
      </c>
      <c r="R2531" t="s">
        <v>2632</v>
      </c>
      <c r="S2531">
        <v>37</v>
      </c>
      <c r="T2531" s="43" t="str">
        <f>HYPERLINK("https://ictv.global/ictv/proposals/2021.062B.R.Pclasvirinae_new_genera.zip","2021.062B.R.Pclasvirinae_new_genera.zip")</f>
        <v>2021.062B.R.Pclasvirinae_new_genera.zip</v>
      </c>
      <c r="U2531" s="43" t="str">
        <f>HYPERLINK("https://ictv.global/taxonomy/taxondetails?taxnode_id=202212827","ictv.global=202212827")</f>
        <v>ictv.global=202212827</v>
      </c>
    </row>
    <row r="2532" spans="1:21">
      <c r="A2532">
        <v>2531</v>
      </c>
      <c r="B2532" s="29" t="s">
        <v>3682</v>
      </c>
      <c r="C2532" s="29"/>
      <c r="D2532" s="29" t="s">
        <v>3683</v>
      </c>
      <c r="E2532" s="29"/>
      <c r="F2532" s="29" t="s">
        <v>3686</v>
      </c>
      <c r="G2532" s="29"/>
      <c r="H2532" s="29" t="s">
        <v>3687</v>
      </c>
      <c r="I2532" s="29"/>
      <c r="J2532" s="29"/>
      <c r="K2532" s="29"/>
      <c r="L2532" s="29"/>
      <c r="M2532" s="29" t="s">
        <v>2391</v>
      </c>
      <c r="N2532" s="29" t="s">
        <v>2392</v>
      </c>
      <c r="O2532" s="29"/>
      <c r="P2532" s="29" t="s">
        <v>9699</v>
      </c>
      <c r="Q2532" t="s">
        <v>2038</v>
      </c>
      <c r="R2532" t="s">
        <v>2633</v>
      </c>
      <c r="S2532">
        <v>37</v>
      </c>
      <c r="T2532" s="43" t="str">
        <f>HYPERLINK("https://ictv.global/ictv/proposals/2021.010B.R.Binomial_names.zip","2021.010B.R.Binomial_names.zip")</f>
        <v>2021.010B.R.Binomial_names.zip</v>
      </c>
      <c r="U2532" s="43" t="str">
        <f>HYPERLINK("https://ictv.global/taxonomy/taxondetails?taxnode_id=202200800","ictv.global=202200800")</f>
        <v>ictv.global=202200800</v>
      </c>
    </row>
    <row r="2533" spans="1:21">
      <c r="A2533">
        <v>2532</v>
      </c>
      <c r="B2533" s="29" t="s">
        <v>3682</v>
      </c>
      <c r="C2533" s="29"/>
      <c r="D2533" s="29" t="s">
        <v>3683</v>
      </c>
      <c r="E2533" s="29"/>
      <c r="F2533" s="29" t="s">
        <v>3686</v>
      </c>
      <c r="G2533" s="29"/>
      <c r="H2533" s="29" t="s">
        <v>3687</v>
      </c>
      <c r="I2533" s="29"/>
      <c r="J2533" s="29"/>
      <c r="K2533" s="29"/>
      <c r="L2533" s="29"/>
      <c r="M2533" s="29" t="s">
        <v>2391</v>
      </c>
      <c r="N2533" s="29" t="s">
        <v>2392</v>
      </c>
      <c r="O2533" s="29"/>
      <c r="P2533" s="29" t="s">
        <v>9700</v>
      </c>
      <c r="Q2533" t="s">
        <v>2038</v>
      </c>
      <c r="R2533" t="s">
        <v>2632</v>
      </c>
      <c r="S2533">
        <v>37</v>
      </c>
      <c r="T2533" s="43" t="str">
        <f>HYPERLINK("https://ictv.global/ictv/proposals/2021.062B.R.Pclasvirinae_new_genera.zip","2021.062B.R.Pclasvirinae_new_genera.zip")</f>
        <v>2021.062B.R.Pclasvirinae_new_genera.zip</v>
      </c>
      <c r="U2533" s="43" t="str">
        <f>HYPERLINK("https://ictv.global/taxonomy/taxondetails?taxnode_id=202212828","ictv.global=202212828")</f>
        <v>ictv.global=202212828</v>
      </c>
    </row>
    <row r="2534" spans="1:21">
      <c r="A2534">
        <v>2533</v>
      </c>
      <c r="B2534" s="29" t="s">
        <v>3682</v>
      </c>
      <c r="C2534" s="29"/>
      <c r="D2534" s="29" t="s">
        <v>3683</v>
      </c>
      <c r="E2534" s="29"/>
      <c r="F2534" s="29" t="s">
        <v>3686</v>
      </c>
      <c r="G2534" s="29"/>
      <c r="H2534" s="29" t="s">
        <v>3687</v>
      </c>
      <c r="I2534" s="29"/>
      <c r="J2534" s="29"/>
      <c r="K2534" s="29"/>
      <c r="L2534" s="29"/>
      <c r="M2534" s="29" t="s">
        <v>2391</v>
      </c>
      <c r="N2534" s="29" t="s">
        <v>2392</v>
      </c>
      <c r="O2534" s="29"/>
      <c r="P2534" s="29" t="s">
        <v>9701</v>
      </c>
      <c r="Q2534" t="s">
        <v>2038</v>
      </c>
      <c r="R2534" t="s">
        <v>2632</v>
      </c>
      <c r="S2534">
        <v>37</v>
      </c>
      <c r="T2534" s="43" t="str">
        <f>HYPERLINK("https://ictv.global/ictv/proposals/2021.062B.R.Pclasvirinae_new_genera.zip","2021.062B.R.Pclasvirinae_new_genera.zip")</f>
        <v>2021.062B.R.Pclasvirinae_new_genera.zip</v>
      </c>
      <c r="U2534" s="43" t="str">
        <f>HYPERLINK("https://ictv.global/taxonomy/taxondetails?taxnode_id=202212829","ictv.global=202212829")</f>
        <v>ictv.global=202212829</v>
      </c>
    </row>
    <row r="2535" spans="1:21">
      <c r="A2535">
        <v>2534</v>
      </c>
      <c r="B2535" s="29" t="s">
        <v>3682</v>
      </c>
      <c r="C2535" s="29"/>
      <c r="D2535" s="29" t="s">
        <v>3683</v>
      </c>
      <c r="E2535" s="29"/>
      <c r="F2535" s="29" t="s">
        <v>3686</v>
      </c>
      <c r="G2535" s="29"/>
      <c r="H2535" s="29" t="s">
        <v>3687</v>
      </c>
      <c r="I2535" s="29"/>
      <c r="J2535" s="29"/>
      <c r="K2535" s="29"/>
      <c r="L2535" s="29"/>
      <c r="M2535" s="29" t="s">
        <v>2391</v>
      </c>
      <c r="N2535" s="29" t="s">
        <v>2422</v>
      </c>
      <c r="O2535" s="29"/>
      <c r="P2535" s="29" t="s">
        <v>9702</v>
      </c>
      <c r="Q2535" t="s">
        <v>2038</v>
      </c>
      <c r="R2535" t="s">
        <v>2633</v>
      </c>
      <c r="S2535">
        <v>37</v>
      </c>
      <c r="T2535" s="43" t="str">
        <f>HYPERLINK("https://ictv.global/ictv/proposals/2021.010B.R.Binomial_names.zip","2021.010B.R.Binomial_names.zip")</f>
        <v>2021.010B.R.Binomial_names.zip</v>
      </c>
      <c r="U2535" s="43" t="str">
        <f>HYPERLINK("https://ictv.global/taxonomy/taxondetails?taxnode_id=202200802","ictv.global=202200802")</f>
        <v>ictv.global=202200802</v>
      </c>
    </row>
    <row r="2536" spans="1:21">
      <c r="A2536">
        <v>2535</v>
      </c>
      <c r="B2536" s="29" t="s">
        <v>3682</v>
      </c>
      <c r="C2536" s="29"/>
      <c r="D2536" s="29" t="s">
        <v>3683</v>
      </c>
      <c r="E2536" s="29"/>
      <c r="F2536" s="29" t="s">
        <v>3686</v>
      </c>
      <c r="G2536" s="29"/>
      <c r="H2536" s="29" t="s">
        <v>3687</v>
      </c>
      <c r="I2536" s="29"/>
      <c r="J2536" s="29"/>
      <c r="K2536" s="29"/>
      <c r="L2536" s="29"/>
      <c r="M2536" s="29" t="s">
        <v>2391</v>
      </c>
      <c r="N2536" s="29" t="s">
        <v>2422</v>
      </c>
      <c r="O2536" s="29"/>
      <c r="P2536" s="29" t="s">
        <v>9703</v>
      </c>
      <c r="Q2536" t="s">
        <v>2038</v>
      </c>
      <c r="R2536" t="s">
        <v>2632</v>
      </c>
      <c r="S2536">
        <v>37</v>
      </c>
      <c r="T2536" s="43" t="str">
        <f>HYPERLINK("https://ictv.global/ictv/proposals/2021.062B.R.Pclasvirinae_new_genera.zip","2021.062B.R.Pclasvirinae_new_genera.zip")</f>
        <v>2021.062B.R.Pclasvirinae_new_genera.zip</v>
      </c>
      <c r="U2536" s="43" t="str">
        <f>HYPERLINK("https://ictv.global/taxonomy/taxondetails?taxnode_id=202212830","ictv.global=202212830")</f>
        <v>ictv.global=202212830</v>
      </c>
    </row>
    <row r="2537" spans="1:21">
      <c r="A2537">
        <v>2536</v>
      </c>
      <c r="B2537" s="29" t="s">
        <v>3682</v>
      </c>
      <c r="C2537" s="29"/>
      <c r="D2537" s="29" t="s">
        <v>3683</v>
      </c>
      <c r="E2537" s="29"/>
      <c r="F2537" s="29" t="s">
        <v>3686</v>
      </c>
      <c r="G2537" s="29"/>
      <c r="H2537" s="29" t="s">
        <v>3687</v>
      </c>
      <c r="I2537" s="29"/>
      <c r="J2537" s="29"/>
      <c r="K2537" s="29"/>
      <c r="L2537" s="29"/>
      <c r="M2537" s="29" t="s">
        <v>2391</v>
      </c>
      <c r="N2537" s="29" t="s">
        <v>9704</v>
      </c>
      <c r="O2537" s="29"/>
      <c r="P2537" s="29" t="s">
        <v>9705</v>
      </c>
      <c r="Q2537" t="s">
        <v>2038</v>
      </c>
      <c r="R2537" t="s">
        <v>2632</v>
      </c>
      <c r="S2537">
        <v>37</v>
      </c>
      <c r="T2537" s="43" t="str">
        <f>HYPERLINK("https://ictv.global/ictv/proposals/2021.062B.R.Pclasvirinae_new_genera.zip","2021.062B.R.Pclasvirinae_new_genera.zip")</f>
        <v>2021.062B.R.Pclasvirinae_new_genera.zip</v>
      </c>
      <c r="U2537" s="43" t="str">
        <f>HYPERLINK("https://ictv.global/taxonomy/taxondetails?taxnode_id=202212834","ictv.global=202212834")</f>
        <v>ictv.global=202212834</v>
      </c>
    </row>
    <row r="2538" spans="1:21">
      <c r="A2538">
        <v>2537</v>
      </c>
      <c r="B2538" s="29" t="s">
        <v>3682</v>
      </c>
      <c r="C2538" s="29"/>
      <c r="D2538" s="29" t="s">
        <v>3683</v>
      </c>
      <c r="E2538" s="29"/>
      <c r="F2538" s="29" t="s">
        <v>3686</v>
      </c>
      <c r="G2538" s="29"/>
      <c r="H2538" s="29" t="s">
        <v>3687</v>
      </c>
      <c r="I2538" s="29"/>
      <c r="J2538" s="29"/>
      <c r="K2538" s="29"/>
      <c r="L2538" s="29"/>
      <c r="M2538" s="29" t="s">
        <v>2391</v>
      </c>
      <c r="N2538" s="29" t="s">
        <v>3609</v>
      </c>
      <c r="O2538" s="29"/>
      <c r="P2538" s="29" t="s">
        <v>3610</v>
      </c>
      <c r="Q2538" t="s">
        <v>2038</v>
      </c>
      <c r="R2538" t="s">
        <v>2634</v>
      </c>
      <c r="S2538">
        <v>37</v>
      </c>
      <c r="T2538" s="43" t="str">
        <f>HYPERLINK("https://ictv.global/ictv/proposals/2021.001B.R.abolish_Caudovirales.zip","2021.001B.R.abolish_Caudovirales.zip;2021.062B.A.v1.Pclasvirinae_new_genera.zip")</f>
        <v>2021.001B.R.abolish_Caudovirales.zip;2021.062B.A.v1.Pclasvirinae_new_genera.zip</v>
      </c>
      <c r="U2538" s="43" t="str">
        <f>HYPERLINK("https://ictv.global/taxonomy/taxondetails?taxnode_id=202206722","ictv.global=202206722")</f>
        <v>ictv.global=202206722</v>
      </c>
    </row>
    <row r="2539" spans="1:21">
      <c r="A2539">
        <v>2538</v>
      </c>
      <c r="B2539" s="29" t="s">
        <v>3682</v>
      </c>
      <c r="C2539" s="29"/>
      <c r="D2539" s="29" t="s">
        <v>3683</v>
      </c>
      <c r="E2539" s="29"/>
      <c r="F2539" s="29" t="s">
        <v>3686</v>
      </c>
      <c r="G2539" s="29"/>
      <c r="H2539" s="29" t="s">
        <v>3687</v>
      </c>
      <c r="I2539" s="29"/>
      <c r="J2539" s="29"/>
      <c r="K2539" s="29"/>
      <c r="L2539" s="29"/>
      <c r="M2539" s="29" t="s">
        <v>2391</v>
      </c>
      <c r="N2539" s="29" t="s">
        <v>9706</v>
      </c>
      <c r="O2539" s="29"/>
      <c r="P2539" s="29" t="s">
        <v>9707</v>
      </c>
      <c r="Q2539" t="s">
        <v>2038</v>
      </c>
      <c r="R2539" t="s">
        <v>2632</v>
      </c>
      <c r="S2539">
        <v>37</v>
      </c>
      <c r="T2539" s="43" t="str">
        <f>HYPERLINK("https://ictv.global/ictv/proposals/2021.062B.R.Pclasvirinae_new_genera.zip","2021.062B.R.Pclasvirinae_new_genera.zip")</f>
        <v>2021.062B.R.Pclasvirinae_new_genera.zip</v>
      </c>
      <c r="U2539" s="43" t="str">
        <f>HYPERLINK("https://ictv.global/taxonomy/taxondetails?taxnode_id=202212832","ictv.global=202212832")</f>
        <v>ictv.global=202212832</v>
      </c>
    </row>
    <row r="2540" spans="1:21">
      <c r="A2540">
        <v>2539</v>
      </c>
      <c r="B2540" s="29" t="s">
        <v>3682</v>
      </c>
      <c r="C2540" s="29"/>
      <c r="D2540" s="29" t="s">
        <v>3683</v>
      </c>
      <c r="E2540" s="29"/>
      <c r="F2540" s="29" t="s">
        <v>3686</v>
      </c>
      <c r="G2540" s="29"/>
      <c r="H2540" s="29" t="s">
        <v>3687</v>
      </c>
      <c r="I2540" s="29"/>
      <c r="J2540" s="29"/>
      <c r="K2540" s="29"/>
      <c r="L2540" s="29"/>
      <c r="M2540" s="29" t="s">
        <v>4692</v>
      </c>
      <c r="N2540" s="29" t="s">
        <v>4693</v>
      </c>
      <c r="O2540" s="29"/>
      <c r="P2540" s="29" t="s">
        <v>9708</v>
      </c>
      <c r="Q2540" t="s">
        <v>2038</v>
      </c>
      <c r="R2540" t="s">
        <v>2633</v>
      </c>
      <c r="S2540">
        <v>37</v>
      </c>
      <c r="T2540" s="43" t="str">
        <f t="shared" ref="T2540:T2549" si="110">HYPERLINK("https://ictv.global/ictv/proposals/2021.010B.R.Binomial_names.zip","2021.010B.R.Binomial_names.zip")</f>
        <v>2021.010B.R.Binomial_names.zip</v>
      </c>
      <c r="U2540" s="43" t="str">
        <f>HYPERLINK("https://ictv.global/taxonomy/taxondetails?taxnode_id=202211642","ictv.global=202211642")</f>
        <v>ictv.global=202211642</v>
      </c>
    </row>
    <row r="2541" spans="1:21">
      <c r="A2541">
        <v>2540</v>
      </c>
      <c r="B2541" s="29" t="s">
        <v>3682</v>
      </c>
      <c r="C2541" s="29"/>
      <c r="D2541" s="29" t="s">
        <v>3683</v>
      </c>
      <c r="E2541" s="29"/>
      <c r="F2541" s="29" t="s">
        <v>3686</v>
      </c>
      <c r="G2541" s="29"/>
      <c r="H2541" s="29" t="s">
        <v>3687</v>
      </c>
      <c r="I2541" s="29"/>
      <c r="J2541" s="29"/>
      <c r="K2541" s="29"/>
      <c r="L2541" s="29"/>
      <c r="M2541" s="29" t="s">
        <v>4692</v>
      </c>
      <c r="N2541" s="29" t="s">
        <v>3574</v>
      </c>
      <c r="O2541" s="29"/>
      <c r="P2541" s="29" t="s">
        <v>9709</v>
      </c>
      <c r="Q2541" t="s">
        <v>2038</v>
      </c>
      <c r="R2541" t="s">
        <v>2633</v>
      </c>
      <c r="S2541">
        <v>37</v>
      </c>
      <c r="T2541" s="43" t="str">
        <f t="shared" si="110"/>
        <v>2021.010B.R.Binomial_names.zip</v>
      </c>
      <c r="U2541" s="43" t="str">
        <f>HYPERLINK("https://ictv.global/taxonomy/taxondetails?taxnode_id=202201092","ictv.global=202201092")</f>
        <v>ictv.global=202201092</v>
      </c>
    </row>
    <row r="2542" spans="1:21">
      <c r="A2542">
        <v>2541</v>
      </c>
      <c r="B2542" s="29" t="s">
        <v>3682</v>
      </c>
      <c r="C2542" s="29"/>
      <c r="D2542" s="29" t="s">
        <v>3683</v>
      </c>
      <c r="E2542" s="29"/>
      <c r="F2542" s="29" t="s">
        <v>3686</v>
      </c>
      <c r="G2542" s="29"/>
      <c r="H2542" s="29" t="s">
        <v>3687</v>
      </c>
      <c r="I2542" s="29"/>
      <c r="J2542" s="29"/>
      <c r="K2542" s="29"/>
      <c r="L2542" s="29"/>
      <c r="M2542" s="29" t="s">
        <v>4692</v>
      </c>
      <c r="N2542" s="29" t="s">
        <v>3574</v>
      </c>
      <c r="O2542" s="29"/>
      <c r="P2542" s="29" t="s">
        <v>9710</v>
      </c>
      <c r="Q2542" t="s">
        <v>2038</v>
      </c>
      <c r="R2542" t="s">
        <v>2633</v>
      </c>
      <c r="S2542">
        <v>37</v>
      </c>
      <c r="T2542" s="43" t="str">
        <f t="shared" si="110"/>
        <v>2021.010B.R.Binomial_names.zip</v>
      </c>
      <c r="U2542" s="43" t="str">
        <f>HYPERLINK("https://ictv.global/taxonomy/taxondetails?taxnode_id=202201093","ictv.global=202201093")</f>
        <v>ictv.global=202201093</v>
      </c>
    </row>
    <row r="2543" spans="1:21">
      <c r="A2543">
        <v>2542</v>
      </c>
      <c r="B2543" s="29" t="s">
        <v>3682</v>
      </c>
      <c r="C2543" s="29"/>
      <c r="D2543" s="29" t="s">
        <v>3683</v>
      </c>
      <c r="E2543" s="29"/>
      <c r="F2543" s="29" t="s">
        <v>3686</v>
      </c>
      <c r="G2543" s="29"/>
      <c r="H2543" s="29" t="s">
        <v>3687</v>
      </c>
      <c r="I2543" s="29"/>
      <c r="J2543" s="29"/>
      <c r="K2543" s="29"/>
      <c r="L2543" s="29"/>
      <c r="M2543" s="29" t="s">
        <v>4692</v>
      </c>
      <c r="N2543" s="29" t="s">
        <v>2114</v>
      </c>
      <c r="O2543" s="29"/>
      <c r="P2543" s="29" t="s">
        <v>9711</v>
      </c>
      <c r="Q2543" t="s">
        <v>2038</v>
      </c>
      <c r="R2543" t="s">
        <v>2633</v>
      </c>
      <c r="S2543">
        <v>37</v>
      </c>
      <c r="T2543" s="43" t="str">
        <f t="shared" si="110"/>
        <v>2021.010B.R.Binomial_names.zip</v>
      </c>
      <c r="U2543" s="43" t="str">
        <f>HYPERLINK("https://ictv.global/taxonomy/taxondetails?taxnode_id=202201088","ictv.global=202201088")</f>
        <v>ictv.global=202201088</v>
      </c>
    </row>
    <row r="2544" spans="1:21">
      <c r="A2544">
        <v>2543</v>
      </c>
      <c r="B2544" s="29" t="s">
        <v>3682</v>
      </c>
      <c r="C2544" s="29"/>
      <c r="D2544" s="29" t="s">
        <v>3683</v>
      </c>
      <c r="E2544" s="29"/>
      <c r="F2544" s="29" t="s">
        <v>3686</v>
      </c>
      <c r="G2544" s="29"/>
      <c r="H2544" s="29" t="s">
        <v>3687</v>
      </c>
      <c r="I2544" s="29"/>
      <c r="J2544" s="29"/>
      <c r="K2544" s="29"/>
      <c r="L2544" s="29"/>
      <c r="M2544" s="29" t="s">
        <v>4692</v>
      </c>
      <c r="N2544" s="29" t="s">
        <v>2114</v>
      </c>
      <c r="O2544" s="29"/>
      <c r="P2544" s="29" t="s">
        <v>9712</v>
      </c>
      <c r="Q2544" t="s">
        <v>2038</v>
      </c>
      <c r="R2544" t="s">
        <v>2633</v>
      </c>
      <c r="S2544">
        <v>37</v>
      </c>
      <c r="T2544" s="43" t="str">
        <f t="shared" si="110"/>
        <v>2021.010B.R.Binomial_names.zip</v>
      </c>
      <c r="U2544" s="43" t="str">
        <f>HYPERLINK("https://ictv.global/taxonomy/taxondetails?taxnode_id=202201089","ictv.global=202201089")</f>
        <v>ictv.global=202201089</v>
      </c>
    </row>
    <row r="2545" spans="1:21">
      <c r="A2545">
        <v>2544</v>
      </c>
      <c r="B2545" s="29" t="s">
        <v>3682</v>
      </c>
      <c r="C2545" s="29"/>
      <c r="D2545" s="29" t="s">
        <v>3683</v>
      </c>
      <c r="E2545" s="29"/>
      <c r="F2545" s="29" t="s">
        <v>3686</v>
      </c>
      <c r="G2545" s="29"/>
      <c r="H2545" s="29" t="s">
        <v>3687</v>
      </c>
      <c r="I2545" s="29"/>
      <c r="J2545" s="29"/>
      <c r="K2545" s="29"/>
      <c r="L2545" s="29"/>
      <c r="M2545" s="29" t="s">
        <v>4692</v>
      </c>
      <c r="N2545" s="29" t="s">
        <v>2114</v>
      </c>
      <c r="O2545" s="29"/>
      <c r="P2545" s="29" t="s">
        <v>9713</v>
      </c>
      <c r="Q2545" t="s">
        <v>2038</v>
      </c>
      <c r="R2545" t="s">
        <v>2633</v>
      </c>
      <c r="S2545">
        <v>37</v>
      </c>
      <c r="T2545" s="43" t="str">
        <f t="shared" si="110"/>
        <v>2021.010B.R.Binomial_names.zip</v>
      </c>
      <c r="U2545" s="43" t="str">
        <f>HYPERLINK("https://ictv.global/taxonomy/taxondetails?taxnode_id=202201090","ictv.global=202201090")</f>
        <v>ictv.global=202201090</v>
      </c>
    </row>
    <row r="2546" spans="1:21">
      <c r="A2546">
        <v>2545</v>
      </c>
      <c r="B2546" s="29" t="s">
        <v>3682</v>
      </c>
      <c r="C2546" s="29"/>
      <c r="D2546" s="29" t="s">
        <v>3683</v>
      </c>
      <c r="E2546" s="29"/>
      <c r="F2546" s="29" t="s">
        <v>3686</v>
      </c>
      <c r="G2546" s="29"/>
      <c r="H2546" s="29" t="s">
        <v>3687</v>
      </c>
      <c r="I2546" s="29"/>
      <c r="J2546" s="29"/>
      <c r="K2546" s="29"/>
      <c r="L2546" s="29"/>
      <c r="M2546" s="29" t="s">
        <v>4692</v>
      </c>
      <c r="N2546" s="29" t="s">
        <v>2114</v>
      </c>
      <c r="O2546" s="29"/>
      <c r="P2546" s="29" t="s">
        <v>9714</v>
      </c>
      <c r="Q2546" t="s">
        <v>2038</v>
      </c>
      <c r="R2546" t="s">
        <v>2633</v>
      </c>
      <c r="S2546">
        <v>37</v>
      </c>
      <c r="T2546" s="43" t="str">
        <f t="shared" si="110"/>
        <v>2021.010B.R.Binomial_names.zip</v>
      </c>
      <c r="U2546" s="43" t="str">
        <f>HYPERLINK("https://ictv.global/taxonomy/taxondetails?taxnode_id=202201087","ictv.global=202201087")</f>
        <v>ictv.global=202201087</v>
      </c>
    </row>
    <row r="2547" spans="1:21">
      <c r="A2547">
        <v>2546</v>
      </c>
      <c r="B2547" s="29" t="s">
        <v>3682</v>
      </c>
      <c r="C2547" s="29"/>
      <c r="D2547" s="29" t="s">
        <v>3683</v>
      </c>
      <c r="E2547" s="29"/>
      <c r="F2547" s="29" t="s">
        <v>3686</v>
      </c>
      <c r="G2547" s="29"/>
      <c r="H2547" s="29" t="s">
        <v>3687</v>
      </c>
      <c r="I2547" s="29"/>
      <c r="J2547" s="29"/>
      <c r="K2547" s="29"/>
      <c r="L2547" s="29"/>
      <c r="M2547" s="29" t="s">
        <v>4692</v>
      </c>
      <c r="N2547" s="29" t="s">
        <v>2114</v>
      </c>
      <c r="O2547" s="29"/>
      <c r="P2547" s="29" t="s">
        <v>9715</v>
      </c>
      <c r="Q2547" t="s">
        <v>2038</v>
      </c>
      <c r="R2547" t="s">
        <v>2633</v>
      </c>
      <c r="S2547">
        <v>37</v>
      </c>
      <c r="T2547" s="43" t="str">
        <f t="shared" si="110"/>
        <v>2021.010B.R.Binomial_names.zip</v>
      </c>
      <c r="U2547" s="43" t="str">
        <f>HYPERLINK("https://ictv.global/taxonomy/taxondetails?taxnode_id=202207077","ictv.global=202207077")</f>
        <v>ictv.global=202207077</v>
      </c>
    </row>
    <row r="2548" spans="1:21">
      <c r="A2548">
        <v>2547</v>
      </c>
      <c r="B2548" s="29" t="s">
        <v>3682</v>
      </c>
      <c r="C2548" s="29"/>
      <c r="D2548" s="29" t="s">
        <v>3683</v>
      </c>
      <c r="E2548" s="29"/>
      <c r="F2548" s="29" t="s">
        <v>3686</v>
      </c>
      <c r="G2548" s="29"/>
      <c r="H2548" s="29" t="s">
        <v>3687</v>
      </c>
      <c r="I2548" s="29"/>
      <c r="J2548" s="29"/>
      <c r="K2548" s="29"/>
      <c r="L2548" s="29"/>
      <c r="M2548" s="29" t="s">
        <v>4692</v>
      </c>
      <c r="N2548" s="29" t="s">
        <v>2121</v>
      </c>
      <c r="O2548" s="29"/>
      <c r="P2548" s="29" t="s">
        <v>9716</v>
      </c>
      <c r="Q2548" t="s">
        <v>2038</v>
      </c>
      <c r="R2548" t="s">
        <v>2633</v>
      </c>
      <c r="S2548">
        <v>37</v>
      </c>
      <c r="T2548" s="43" t="str">
        <f t="shared" si="110"/>
        <v>2021.010B.R.Binomial_names.zip</v>
      </c>
      <c r="U2548" s="43" t="str">
        <f>HYPERLINK("https://ictv.global/taxonomy/taxondetails?taxnode_id=202201261","ictv.global=202201261")</f>
        <v>ictv.global=202201261</v>
      </c>
    </row>
    <row r="2549" spans="1:21">
      <c r="A2549">
        <v>2548</v>
      </c>
      <c r="B2549" s="29" t="s">
        <v>3682</v>
      </c>
      <c r="C2549" s="29"/>
      <c r="D2549" s="29" t="s">
        <v>3683</v>
      </c>
      <c r="E2549" s="29"/>
      <c r="F2549" s="29" t="s">
        <v>3686</v>
      </c>
      <c r="G2549" s="29"/>
      <c r="H2549" s="29" t="s">
        <v>3687</v>
      </c>
      <c r="I2549" s="29"/>
      <c r="J2549" s="29"/>
      <c r="K2549" s="29"/>
      <c r="L2549" s="29"/>
      <c r="M2549" s="29" t="s">
        <v>4692</v>
      </c>
      <c r="N2549" s="29" t="s">
        <v>2121</v>
      </c>
      <c r="O2549" s="29"/>
      <c r="P2549" s="29" t="s">
        <v>9717</v>
      </c>
      <c r="Q2549" t="s">
        <v>2038</v>
      </c>
      <c r="R2549" t="s">
        <v>2633</v>
      </c>
      <c r="S2549">
        <v>37</v>
      </c>
      <c r="T2549" s="43" t="str">
        <f t="shared" si="110"/>
        <v>2021.010B.R.Binomial_names.zip</v>
      </c>
      <c r="U2549" s="43" t="str">
        <f>HYPERLINK("https://ictv.global/taxonomy/taxondetails?taxnode_id=202201262","ictv.global=202201262")</f>
        <v>ictv.global=202201262</v>
      </c>
    </row>
    <row r="2550" spans="1:21">
      <c r="A2550">
        <v>2549</v>
      </c>
      <c r="B2550" s="29" t="s">
        <v>3682</v>
      </c>
      <c r="C2550" s="29"/>
      <c r="D2550" s="29" t="s">
        <v>3683</v>
      </c>
      <c r="E2550" s="29"/>
      <c r="F2550" s="29" t="s">
        <v>3686</v>
      </c>
      <c r="G2550" s="29"/>
      <c r="H2550" s="29" t="s">
        <v>3687</v>
      </c>
      <c r="I2550" s="29"/>
      <c r="J2550" s="29"/>
      <c r="K2550" s="29"/>
      <c r="L2550" s="29"/>
      <c r="M2550" s="29" t="s">
        <v>9718</v>
      </c>
      <c r="N2550" s="29" t="s">
        <v>9719</v>
      </c>
      <c r="O2550" s="29"/>
      <c r="P2550" s="29" t="s">
        <v>9720</v>
      </c>
      <c r="Q2550" t="s">
        <v>2038</v>
      </c>
      <c r="R2550" t="s">
        <v>2632</v>
      </c>
      <c r="S2550">
        <v>37</v>
      </c>
      <c r="T2550" s="43" t="str">
        <f>HYPERLINK("https://ictv.global/ictv/proposals/2021.073B.R.Ruthgordonvirinae.zip","2021.073B.R.Ruthgordonvirinae.zip")</f>
        <v>2021.073B.R.Ruthgordonvirinae.zip</v>
      </c>
      <c r="U2550" s="43" t="str">
        <f>HYPERLINK("https://ictv.global/taxonomy/taxondetails?taxnode_id=202212904","ictv.global=202212904")</f>
        <v>ictv.global=202212904</v>
      </c>
    </row>
    <row r="2551" spans="1:21">
      <c r="A2551">
        <v>2550</v>
      </c>
      <c r="B2551" s="29" t="s">
        <v>3682</v>
      </c>
      <c r="C2551" s="29"/>
      <c r="D2551" s="29" t="s">
        <v>3683</v>
      </c>
      <c r="E2551" s="29"/>
      <c r="F2551" s="29" t="s">
        <v>3686</v>
      </c>
      <c r="G2551" s="29"/>
      <c r="H2551" s="29" t="s">
        <v>3687</v>
      </c>
      <c r="I2551" s="29"/>
      <c r="J2551" s="29"/>
      <c r="K2551" s="29"/>
      <c r="L2551" s="29"/>
      <c r="M2551" s="29" t="s">
        <v>9718</v>
      </c>
      <c r="N2551" s="29" t="s">
        <v>9721</v>
      </c>
      <c r="O2551" s="29"/>
      <c r="P2551" s="29" t="s">
        <v>9722</v>
      </c>
      <c r="Q2551" t="s">
        <v>2038</v>
      </c>
      <c r="R2551" t="s">
        <v>2632</v>
      </c>
      <c r="S2551">
        <v>37</v>
      </c>
      <c r="T2551" s="43" t="str">
        <f>HYPERLINK("https://ictv.global/ictv/proposals/2021.073B.R.Ruthgordonvirinae.zip","2021.073B.R.Ruthgordonvirinae.zip")</f>
        <v>2021.073B.R.Ruthgordonvirinae.zip</v>
      </c>
      <c r="U2551" s="43" t="str">
        <f>HYPERLINK("https://ictv.global/taxonomy/taxondetails?taxnode_id=202212906","ictv.global=202212906")</f>
        <v>ictv.global=202212906</v>
      </c>
    </row>
    <row r="2552" spans="1:21">
      <c r="A2552">
        <v>2551</v>
      </c>
      <c r="B2552" s="29" t="s">
        <v>3682</v>
      </c>
      <c r="C2552" s="29"/>
      <c r="D2552" s="29" t="s">
        <v>3683</v>
      </c>
      <c r="E2552" s="29"/>
      <c r="F2552" s="29" t="s">
        <v>3686</v>
      </c>
      <c r="G2552" s="29"/>
      <c r="H2552" s="29" t="s">
        <v>3687</v>
      </c>
      <c r="I2552" s="29"/>
      <c r="J2552" s="29"/>
      <c r="K2552" s="29"/>
      <c r="L2552" s="29"/>
      <c r="M2552" s="29" t="s">
        <v>9718</v>
      </c>
      <c r="N2552" s="29" t="s">
        <v>3542</v>
      </c>
      <c r="O2552" s="29"/>
      <c r="P2552" s="29" t="s">
        <v>9723</v>
      </c>
      <c r="Q2552" t="s">
        <v>2038</v>
      </c>
      <c r="R2552" t="s">
        <v>2633</v>
      </c>
      <c r="S2552">
        <v>37</v>
      </c>
      <c r="T2552" s="43" t="str">
        <f>HYPERLINK("https://ictv.global/ictv/proposals/2021.010B.R.Binomial_names.zip","2021.010B.R.Binomial_names.zip")</f>
        <v>2021.010B.R.Binomial_names.zip</v>
      </c>
      <c r="U2552" s="43" t="str">
        <f>HYPERLINK("https://ictv.global/taxonomy/taxondetails?taxnode_id=202206632","ictv.global=202206632")</f>
        <v>ictv.global=202206632</v>
      </c>
    </row>
    <row r="2553" spans="1:21">
      <c r="A2553">
        <v>2552</v>
      </c>
      <c r="B2553" s="29" t="s">
        <v>3682</v>
      </c>
      <c r="C2553" s="29"/>
      <c r="D2553" s="29" t="s">
        <v>3683</v>
      </c>
      <c r="E2553" s="29"/>
      <c r="F2553" s="29" t="s">
        <v>3686</v>
      </c>
      <c r="G2553" s="29"/>
      <c r="H2553" s="29" t="s">
        <v>3687</v>
      </c>
      <c r="I2553" s="29"/>
      <c r="J2553" s="29"/>
      <c r="K2553" s="29"/>
      <c r="L2553" s="29"/>
      <c r="M2553" s="29" t="s">
        <v>9718</v>
      </c>
      <c r="N2553" s="29" t="s">
        <v>9724</v>
      </c>
      <c r="O2553" s="29"/>
      <c r="P2553" s="29" t="s">
        <v>9725</v>
      </c>
      <c r="Q2553" t="s">
        <v>2038</v>
      </c>
      <c r="R2553" t="s">
        <v>2632</v>
      </c>
      <c r="S2553">
        <v>37</v>
      </c>
      <c r="T2553" s="43" t="str">
        <f>HYPERLINK("https://ictv.global/ictv/proposals/2021.073B.R.Ruthgordonvirinae.zip","2021.073B.R.Ruthgordonvirinae.zip")</f>
        <v>2021.073B.R.Ruthgordonvirinae.zip</v>
      </c>
      <c r="U2553" s="43" t="str">
        <f>HYPERLINK("https://ictv.global/taxonomy/taxondetails?taxnode_id=202212908","ictv.global=202212908")</f>
        <v>ictv.global=202212908</v>
      </c>
    </row>
    <row r="2554" spans="1:21">
      <c r="A2554">
        <v>2553</v>
      </c>
      <c r="B2554" s="29" t="s">
        <v>3682</v>
      </c>
      <c r="C2554" s="29"/>
      <c r="D2554" s="29" t="s">
        <v>3683</v>
      </c>
      <c r="E2554" s="29"/>
      <c r="F2554" s="29" t="s">
        <v>3686</v>
      </c>
      <c r="G2554" s="29"/>
      <c r="H2554" s="29" t="s">
        <v>3687</v>
      </c>
      <c r="I2554" s="29"/>
      <c r="J2554" s="29"/>
      <c r="K2554" s="29"/>
      <c r="L2554" s="29"/>
      <c r="M2554" s="29" t="s">
        <v>9718</v>
      </c>
      <c r="N2554" s="29" t="s">
        <v>9726</v>
      </c>
      <c r="O2554" s="29"/>
      <c r="P2554" s="29" t="s">
        <v>9727</v>
      </c>
      <c r="Q2554" t="s">
        <v>2038</v>
      </c>
      <c r="R2554" t="s">
        <v>2632</v>
      </c>
      <c r="S2554">
        <v>37</v>
      </c>
      <c r="T2554" s="43" t="str">
        <f>HYPERLINK("https://ictv.global/ictv/proposals/2021.073B.R.Ruthgordonvirinae.zip","2021.073B.R.Ruthgordonvirinae.zip")</f>
        <v>2021.073B.R.Ruthgordonvirinae.zip</v>
      </c>
      <c r="U2554" s="43" t="str">
        <f>HYPERLINK("https://ictv.global/taxonomy/taxondetails?taxnode_id=202212911","ictv.global=202212911")</f>
        <v>ictv.global=202212911</v>
      </c>
    </row>
    <row r="2555" spans="1:21">
      <c r="A2555">
        <v>2554</v>
      </c>
      <c r="B2555" s="29" t="s">
        <v>3682</v>
      </c>
      <c r="C2555" s="29"/>
      <c r="D2555" s="29" t="s">
        <v>3683</v>
      </c>
      <c r="E2555" s="29"/>
      <c r="F2555" s="29" t="s">
        <v>3686</v>
      </c>
      <c r="G2555" s="29"/>
      <c r="H2555" s="29" t="s">
        <v>3687</v>
      </c>
      <c r="I2555" s="29"/>
      <c r="J2555" s="29"/>
      <c r="K2555" s="29"/>
      <c r="L2555" s="29"/>
      <c r="M2555" s="29" t="s">
        <v>9718</v>
      </c>
      <c r="N2555" s="29" t="s">
        <v>2447</v>
      </c>
      <c r="O2555" s="29"/>
      <c r="P2555" s="29" t="s">
        <v>9728</v>
      </c>
      <c r="Q2555" t="s">
        <v>2038</v>
      </c>
      <c r="R2555" t="s">
        <v>2632</v>
      </c>
      <c r="S2555">
        <v>37</v>
      </c>
      <c r="T2555" s="43" t="str">
        <f>HYPERLINK("https://ictv.global/ictv/proposals/2021.073B.R.Ruthgordonvirinae.zip","2021.073B.R.Ruthgordonvirinae.zip")</f>
        <v>2021.073B.R.Ruthgordonvirinae.zip</v>
      </c>
      <c r="U2555" s="43" t="str">
        <f>HYPERLINK("https://ictv.global/taxonomy/taxondetails?taxnode_id=202212909","ictv.global=202212909")</f>
        <v>ictv.global=202212909</v>
      </c>
    </row>
    <row r="2556" spans="1:21">
      <c r="A2556">
        <v>2555</v>
      </c>
      <c r="B2556" s="29" t="s">
        <v>3682</v>
      </c>
      <c r="C2556" s="29"/>
      <c r="D2556" s="29" t="s">
        <v>3683</v>
      </c>
      <c r="E2556" s="29"/>
      <c r="F2556" s="29" t="s">
        <v>3686</v>
      </c>
      <c r="G2556" s="29"/>
      <c r="H2556" s="29" t="s">
        <v>3687</v>
      </c>
      <c r="I2556" s="29"/>
      <c r="J2556" s="29"/>
      <c r="K2556" s="29"/>
      <c r="L2556" s="29"/>
      <c r="M2556" s="29" t="s">
        <v>9718</v>
      </c>
      <c r="N2556" s="29" t="s">
        <v>2447</v>
      </c>
      <c r="O2556" s="29"/>
      <c r="P2556" s="29" t="s">
        <v>9729</v>
      </c>
      <c r="Q2556" t="s">
        <v>2038</v>
      </c>
      <c r="R2556" t="s">
        <v>2633</v>
      </c>
      <c r="S2556">
        <v>37</v>
      </c>
      <c r="T2556" s="43" t="str">
        <f>HYPERLINK("https://ictv.global/ictv/proposals/2021.073B.R.Ruthgordonvirinae.zip","2021.073B.R.Ruthgordonvirinae.zip")</f>
        <v>2021.073B.R.Ruthgordonvirinae.zip</v>
      </c>
      <c r="U2556" s="43" t="str">
        <f>HYPERLINK("https://ictv.global/taxonomy/taxondetails?taxnode_id=202201367","ictv.global=202201367")</f>
        <v>ictv.global=202201367</v>
      </c>
    </row>
    <row r="2557" spans="1:21">
      <c r="A2557">
        <v>2556</v>
      </c>
      <c r="B2557" s="29" t="s">
        <v>3682</v>
      </c>
      <c r="C2557" s="29"/>
      <c r="D2557" s="29" t="s">
        <v>3683</v>
      </c>
      <c r="E2557" s="29"/>
      <c r="F2557" s="29" t="s">
        <v>3686</v>
      </c>
      <c r="G2557" s="29"/>
      <c r="H2557" s="29" t="s">
        <v>3687</v>
      </c>
      <c r="I2557" s="29"/>
      <c r="J2557" s="29"/>
      <c r="K2557" s="29"/>
      <c r="L2557" s="29"/>
      <c r="M2557" s="29" t="s">
        <v>9730</v>
      </c>
      <c r="N2557" s="29" t="s">
        <v>9731</v>
      </c>
      <c r="O2557" s="29"/>
      <c r="P2557" s="29" t="s">
        <v>9732</v>
      </c>
      <c r="Q2557" t="s">
        <v>2038</v>
      </c>
      <c r="R2557" t="s">
        <v>2632</v>
      </c>
      <c r="S2557">
        <v>38</v>
      </c>
      <c r="T2557" s="43" t="str">
        <f>HYPERLINK("https://ictv.global/ictv/proposals/2022.075B.Sejongvirinae_nsf.zip","2022.075B.Sejongvirinae_nsf.zip")</f>
        <v>2022.075B.Sejongvirinae_nsf.zip</v>
      </c>
      <c r="U2557" s="43" t="str">
        <f>HYPERLINK("https://ictv.global/taxonomy/taxondetails?taxnode_id=202214845","ictv.global=202214845")</f>
        <v>ictv.global=202214845</v>
      </c>
    </row>
    <row r="2558" spans="1:21">
      <c r="A2558">
        <v>2557</v>
      </c>
      <c r="B2558" s="29" t="s">
        <v>3682</v>
      </c>
      <c r="C2558" s="29"/>
      <c r="D2558" s="29" t="s">
        <v>3683</v>
      </c>
      <c r="E2558" s="29"/>
      <c r="F2558" s="29" t="s">
        <v>3686</v>
      </c>
      <c r="G2558" s="29"/>
      <c r="H2558" s="29" t="s">
        <v>3687</v>
      </c>
      <c r="I2558" s="29"/>
      <c r="J2558" s="29"/>
      <c r="K2558" s="29"/>
      <c r="L2558" s="29"/>
      <c r="M2558" s="29" t="s">
        <v>9730</v>
      </c>
      <c r="N2558" s="29" t="s">
        <v>9731</v>
      </c>
      <c r="O2558" s="29"/>
      <c r="P2558" s="29" t="s">
        <v>9733</v>
      </c>
      <c r="Q2558" t="s">
        <v>2038</v>
      </c>
      <c r="R2558" t="s">
        <v>2632</v>
      </c>
      <c r="S2558">
        <v>38</v>
      </c>
      <c r="T2558" s="43" t="str">
        <f>HYPERLINK("https://ictv.global/ictv/proposals/2022.075B.Sejongvirinae_nsf.zip","2022.075B.Sejongvirinae_nsf.zip")</f>
        <v>2022.075B.Sejongvirinae_nsf.zip</v>
      </c>
      <c r="U2558" s="43" t="str">
        <f>HYPERLINK("https://ictv.global/taxonomy/taxondetails?taxnode_id=202214844","ictv.global=202214844")</f>
        <v>ictv.global=202214844</v>
      </c>
    </row>
    <row r="2559" spans="1:21">
      <c r="A2559">
        <v>2558</v>
      </c>
      <c r="B2559" s="29" t="s">
        <v>3682</v>
      </c>
      <c r="C2559" s="29"/>
      <c r="D2559" s="29" t="s">
        <v>3683</v>
      </c>
      <c r="E2559" s="29"/>
      <c r="F2559" s="29" t="s">
        <v>3686</v>
      </c>
      <c r="G2559" s="29"/>
      <c r="H2559" s="29" t="s">
        <v>3687</v>
      </c>
      <c r="I2559" s="29"/>
      <c r="J2559" s="29"/>
      <c r="K2559" s="29"/>
      <c r="L2559" s="29"/>
      <c r="M2559" s="29" t="s">
        <v>9730</v>
      </c>
      <c r="N2559" s="29" t="s">
        <v>9734</v>
      </c>
      <c r="O2559" s="29"/>
      <c r="P2559" s="29" t="s">
        <v>9735</v>
      </c>
      <c r="Q2559" t="s">
        <v>2038</v>
      </c>
      <c r="R2559" t="s">
        <v>2632</v>
      </c>
      <c r="S2559">
        <v>38</v>
      </c>
      <c r="T2559" s="43" t="str">
        <f>HYPERLINK("https://ictv.global/ictv/proposals/2022.075B.Sejongvirinae_nsf.zip","2022.075B.Sejongvirinae_nsf.zip")</f>
        <v>2022.075B.Sejongvirinae_nsf.zip</v>
      </c>
      <c r="U2559" s="43" t="str">
        <f>HYPERLINK("https://ictv.global/taxonomy/taxondetails?taxnode_id=202214848","ictv.global=202214848")</f>
        <v>ictv.global=202214848</v>
      </c>
    </row>
    <row r="2560" spans="1:21">
      <c r="A2560">
        <v>2559</v>
      </c>
      <c r="B2560" s="29" t="s">
        <v>3682</v>
      </c>
      <c r="C2560" s="29"/>
      <c r="D2560" s="29" t="s">
        <v>3683</v>
      </c>
      <c r="E2560" s="29"/>
      <c r="F2560" s="29" t="s">
        <v>3686</v>
      </c>
      <c r="G2560" s="29"/>
      <c r="H2560" s="29" t="s">
        <v>3687</v>
      </c>
      <c r="I2560" s="29"/>
      <c r="J2560" s="29"/>
      <c r="K2560" s="29"/>
      <c r="L2560" s="29"/>
      <c r="M2560" s="29" t="s">
        <v>9730</v>
      </c>
      <c r="N2560" s="29" t="s">
        <v>9734</v>
      </c>
      <c r="O2560" s="29"/>
      <c r="P2560" s="29" t="s">
        <v>9736</v>
      </c>
      <c r="Q2560" t="s">
        <v>2038</v>
      </c>
      <c r="R2560" t="s">
        <v>2632</v>
      </c>
      <c r="S2560">
        <v>38</v>
      </c>
      <c r="T2560" s="43" t="str">
        <f>HYPERLINK("https://ictv.global/ictv/proposals/2022.075B.Sejongvirinae_nsf.zip","2022.075B.Sejongvirinae_nsf.zip")</f>
        <v>2022.075B.Sejongvirinae_nsf.zip</v>
      </c>
      <c r="U2560" s="43" t="str">
        <f>HYPERLINK("https://ictv.global/taxonomy/taxondetails?taxnode_id=202214846","ictv.global=202214846")</f>
        <v>ictv.global=202214846</v>
      </c>
    </row>
    <row r="2561" spans="1:21">
      <c r="A2561">
        <v>2560</v>
      </c>
      <c r="B2561" s="29" t="s">
        <v>3682</v>
      </c>
      <c r="C2561" s="29"/>
      <c r="D2561" s="29" t="s">
        <v>3683</v>
      </c>
      <c r="E2561" s="29"/>
      <c r="F2561" s="29" t="s">
        <v>3686</v>
      </c>
      <c r="G2561" s="29"/>
      <c r="H2561" s="29" t="s">
        <v>3687</v>
      </c>
      <c r="I2561" s="29"/>
      <c r="J2561" s="29"/>
      <c r="K2561" s="29"/>
      <c r="L2561" s="29"/>
      <c r="M2561" s="29" t="s">
        <v>9730</v>
      </c>
      <c r="N2561" s="29" t="s">
        <v>9734</v>
      </c>
      <c r="O2561" s="29"/>
      <c r="P2561" s="29" t="s">
        <v>9737</v>
      </c>
      <c r="Q2561" t="s">
        <v>2038</v>
      </c>
      <c r="R2561" t="s">
        <v>2632</v>
      </c>
      <c r="S2561">
        <v>38</v>
      </c>
      <c r="T2561" s="43" t="str">
        <f>HYPERLINK("https://ictv.global/ictv/proposals/2022.075B.Sejongvirinae_nsf.zip","2022.075B.Sejongvirinae_nsf.zip")</f>
        <v>2022.075B.Sejongvirinae_nsf.zip</v>
      </c>
      <c r="U2561" s="43" t="str">
        <f>HYPERLINK("https://ictv.global/taxonomy/taxondetails?taxnode_id=202214847","ictv.global=202214847")</f>
        <v>ictv.global=202214847</v>
      </c>
    </row>
    <row r="2562" spans="1:21">
      <c r="A2562">
        <v>2561</v>
      </c>
      <c r="B2562" s="29" t="s">
        <v>3682</v>
      </c>
      <c r="C2562" s="29"/>
      <c r="D2562" s="29" t="s">
        <v>3683</v>
      </c>
      <c r="E2562" s="29"/>
      <c r="F2562" s="29" t="s">
        <v>3686</v>
      </c>
      <c r="G2562" s="29"/>
      <c r="H2562" s="29" t="s">
        <v>3687</v>
      </c>
      <c r="I2562" s="29"/>
      <c r="J2562" s="29"/>
      <c r="K2562" s="29"/>
      <c r="L2562" s="29"/>
      <c r="M2562" s="29" t="s">
        <v>2418</v>
      </c>
      <c r="N2562" s="29" t="s">
        <v>3457</v>
      </c>
      <c r="O2562" s="29"/>
      <c r="P2562" s="29" t="s">
        <v>9738</v>
      </c>
      <c r="Q2562" t="s">
        <v>2038</v>
      </c>
      <c r="R2562" t="s">
        <v>2633</v>
      </c>
      <c r="S2562">
        <v>37</v>
      </c>
      <c r="T2562" s="43" t="str">
        <f t="shared" ref="T2562:T2584" si="111">HYPERLINK("https://ictv.global/ictv/proposals/2021.010B.R.Binomial_names.zip","2021.010B.R.Binomial_names.zip")</f>
        <v>2021.010B.R.Binomial_names.zip</v>
      </c>
      <c r="U2562" s="43" t="str">
        <f>HYPERLINK("https://ictv.global/taxonomy/taxondetails?taxnode_id=202200613","ictv.global=202200613")</f>
        <v>ictv.global=202200613</v>
      </c>
    </row>
    <row r="2563" spans="1:21">
      <c r="A2563">
        <v>2562</v>
      </c>
      <c r="B2563" s="29" t="s">
        <v>3682</v>
      </c>
      <c r="C2563" s="29"/>
      <c r="D2563" s="29" t="s">
        <v>3683</v>
      </c>
      <c r="E2563" s="29"/>
      <c r="F2563" s="29" t="s">
        <v>3686</v>
      </c>
      <c r="G2563" s="29"/>
      <c r="H2563" s="29" t="s">
        <v>3687</v>
      </c>
      <c r="I2563" s="29"/>
      <c r="J2563" s="29"/>
      <c r="K2563" s="29"/>
      <c r="L2563" s="29"/>
      <c r="M2563" s="29" t="s">
        <v>2418</v>
      </c>
      <c r="N2563" s="29" t="s">
        <v>3457</v>
      </c>
      <c r="O2563" s="29"/>
      <c r="P2563" s="29" t="s">
        <v>9739</v>
      </c>
      <c r="Q2563" t="s">
        <v>2038</v>
      </c>
      <c r="R2563" t="s">
        <v>2633</v>
      </c>
      <c r="S2563">
        <v>37</v>
      </c>
      <c r="T2563" s="43" t="str">
        <f t="shared" si="111"/>
        <v>2021.010B.R.Binomial_names.zip</v>
      </c>
      <c r="U2563" s="43" t="str">
        <f>HYPERLINK("https://ictv.global/taxonomy/taxondetails?taxnode_id=202200614","ictv.global=202200614")</f>
        <v>ictv.global=202200614</v>
      </c>
    </row>
    <row r="2564" spans="1:21">
      <c r="A2564">
        <v>2563</v>
      </c>
      <c r="B2564" s="29" t="s">
        <v>3682</v>
      </c>
      <c r="C2564" s="29"/>
      <c r="D2564" s="29" t="s">
        <v>3683</v>
      </c>
      <c r="E2564" s="29"/>
      <c r="F2564" s="29" t="s">
        <v>3686</v>
      </c>
      <c r="G2564" s="29"/>
      <c r="H2564" s="29" t="s">
        <v>3687</v>
      </c>
      <c r="I2564" s="29"/>
      <c r="J2564" s="29"/>
      <c r="K2564" s="29"/>
      <c r="L2564" s="29"/>
      <c r="M2564" s="29" t="s">
        <v>2418</v>
      </c>
      <c r="N2564" s="29" t="s">
        <v>3458</v>
      </c>
      <c r="O2564" s="29"/>
      <c r="P2564" s="29" t="s">
        <v>9740</v>
      </c>
      <c r="Q2564" t="s">
        <v>2038</v>
      </c>
      <c r="R2564" t="s">
        <v>2633</v>
      </c>
      <c r="S2564">
        <v>37</v>
      </c>
      <c r="T2564" s="43" t="str">
        <f t="shared" si="111"/>
        <v>2021.010B.R.Binomial_names.zip</v>
      </c>
      <c r="U2564" s="43" t="str">
        <f>HYPERLINK("https://ictv.global/taxonomy/taxondetails?taxnode_id=202211846","ictv.global=202211846")</f>
        <v>ictv.global=202211846</v>
      </c>
    </row>
    <row r="2565" spans="1:21">
      <c r="A2565">
        <v>2564</v>
      </c>
      <c r="B2565" s="29" t="s">
        <v>3682</v>
      </c>
      <c r="C2565" s="29"/>
      <c r="D2565" s="29" t="s">
        <v>3683</v>
      </c>
      <c r="E2565" s="29"/>
      <c r="F2565" s="29" t="s">
        <v>3686</v>
      </c>
      <c r="G2565" s="29"/>
      <c r="H2565" s="29" t="s">
        <v>3687</v>
      </c>
      <c r="I2565" s="29"/>
      <c r="J2565" s="29"/>
      <c r="K2565" s="29"/>
      <c r="L2565" s="29"/>
      <c r="M2565" s="29" t="s">
        <v>2418</v>
      </c>
      <c r="N2565" s="29" t="s">
        <v>3458</v>
      </c>
      <c r="O2565" s="29"/>
      <c r="P2565" s="29" t="s">
        <v>9741</v>
      </c>
      <c r="Q2565" t="s">
        <v>2038</v>
      </c>
      <c r="R2565" t="s">
        <v>2633</v>
      </c>
      <c r="S2565">
        <v>37</v>
      </c>
      <c r="T2565" s="43" t="str">
        <f t="shared" si="111"/>
        <v>2021.010B.R.Binomial_names.zip</v>
      </c>
      <c r="U2565" s="43" t="str">
        <f>HYPERLINK("https://ictv.global/taxonomy/taxondetails?taxnode_id=202211845","ictv.global=202211845")</f>
        <v>ictv.global=202211845</v>
      </c>
    </row>
    <row r="2566" spans="1:21">
      <c r="A2566">
        <v>2565</v>
      </c>
      <c r="B2566" s="29" t="s">
        <v>3682</v>
      </c>
      <c r="C2566" s="29"/>
      <c r="D2566" s="29" t="s">
        <v>3683</v>
      </c>
      <c r="E2566" s="29"/>
      <c r="F2566" s="29" t="s">
        <v>3686</v>
      </c>
      <c r="G2566" s="29"/>
      <c r="H2566" s="29" t="s">
        <v>3687</v>
      </c>
      <c r="I2566" s="29"/>
      <c r="J2566" s="29"/>
      <c r="K2566" s="29"/>
      <c r="L2566" s="29"/>
      <c r="M2566" s="29" t="s">
        <v>2418</v>
      </c>
      <c r="N2566" s="29" t="s">
        <v>3458</v>
      </c>
      <c r="O2566" s="29"/>
      <c r="P2566" s="29" t="s">
        <v>9742</v>
      </c>
      <c r="Q2566" t="s">
        <v>2038</v>
      </c>
      <c r="R2566" t="s">
        <v>2633</v>
      </c>
      <c r="S2566">
        <v>37</v>
      </c>
      <c r="T2566" s="43" t="str">
        <f t="shared" si="111"/>
        <v>2021.010B.R.Binomial_names.zip</v>
      </c>
      <c r="U2566" s="43" t="str">
        <f>HYPERLINK("https://ictv.global/taxonomy/taxondetails?taxnode_id=202200616","ictv.global=202200616")</f>
        <v>ictv.global=202200616</v>
      </c>
    </row>
    <row r="2567" spans="1:21">
      <c r="A2567">
        <v>2566</v>
      </c>
      <c r="B2567" s="29" t="s">
        <v>3682</v>
      </c>
      <c r="C2567" s="29"/>
      <c r="D2567" s="29" t="s">
        <v>3683</v>
      </c>
      <c r="E2567" s="29"/>
      <c r="F2567" s="29" t="s">
        <v>3686</v>
      </c>
      <c r="G2567" s="29"/>
      <c r="H2567" s="29" t="s">
        <v>3687</v>
      </c>
      <c r="I2567" s="29"/>
      <c r="J2567" s="29"/>
      <c r="K2567" s="29"/>
      <c r="L2567" s="29"/>
      <c r="M2567" s="29" t="s">
        <v>2418</v>
      </c>
      <c r="N2567" s="29" t="s">
        <v>3458</v>
      </c>
      <c r="O2567" s="29"/>
      <c r="P2567" s="29" t="s">
        <v>9743</v>
      </c>
      <c r="Q2567" t="s">
        <v>2038</v>
      </c>
      <c r="R2567" t="s">
        <v>2633</v>
      </c>
      <c r="S2567">
        <v>37</v>
      </c>
      <c r="T2567" s="43" t="str">
        <f t="shared" si="111"/>
        <v>2021.010B.R.Binomial_names.zip</v>
      </c>
      <c r="U2567" s="43" t="str">
        <f>HYPERLINK("https://ictv.global/taxonomy/taxondetails?taxnode_id=202200617","ictv.global=202200617")</f>
        <v>ictv.global=202200617</v>
      </c>
    </row>
    <row r="2568" spans="1:21">
      <c r="A2568">
        <v>2567</v>
      </c>
      <c r="B2568" s="29" t="s">
        <v>3682</v>
      </c>
      <c r="C2568" s="29"/>
      <c r="D2568" s="29" t="s">
        <v>3683</v>
      </c>
      <c r="E2568" s="29"/>
      <c r="F2568" s="29" t="s">
        <v>3686</v>
      </c>
      <c r="G2568" s="29"/>
      <c r="H2568" s="29" t="s">
        <v>3687</v>
      </c>
      <c r="I2568" s="29"/>
      <c r="J2568" s="29"/>
      <c r="K2568" s="29"/>
      <c r="L2568" s="29"/>
      <c r="M2568" s="29" t="s">
        <v>2418</v>
      </c>
      <c r="N2568" s="29" t="s">
        <v>3458</v>
      </c>
      <c r="O2568" s="29"/>
      <c r="P2568" s="29" t="s">
        <v>9744</v>
      </c>
      <c r="Q2568" t="s">
        <v>2038</v>
      </c>
      <c r="R2568" t="s">
        <v>2633</v>
      </c>
      <c r="S2568">
        <v>37</v>
      </c>
      <c r="T2568" s="43" t="str">
        <f t="shared" si="111"/>
        <v>2021.010B.R.Binomial_names.zip</v>
      </c>
      <c r="U2568" s="43" t="str">
        <f>HYPERLINK("https://ictv.global/taxonomy/taxondetails?taxnode_id=202200618","ictv.global=202200618")</f>
        <v>ictv.global=202200618</v>
      </c>
    </row>
    <row r="2569" spans="1:21">
      <c r="A2569">
        <v>2568</v>
      </c>
      <c r="B2569" s="29" t="s">
        <v>3682</v>
      </c>
      <c r="C2569" s="29"/>
      <c r="D2569" s="29" t="s">
        <v>3683</v>
      </c>
      <c r="E2569" s="29"/>
      <c r="F2569" s="29" t="s">
        <v>3686</v>
      </c>
      <c r="G2569" s="29"/>
      <c r="H2569" s="29" t="s">
        <v>3687</v>
      </c>
      <c r="I2569" s="29"/>
      <c r="J2569" s="29"/>
      <c r="K2569" s="29"/>
      <c r="L2569" s="29"/>
      <c r="M2569" s="29" t="s">
        <v>2418</v>
      </c>
      <c r="N2569" s="29" t="s">
        <v>3458</v>
      </c>
      <c r="O2569" s="29"/>
      <c r="P2569" s="29" t="s">
        <v>9745</v>
      </c>
      <c r="Q2569" t="s">
        <v>2038</v>
      </c>
      <c r="R2569" t="s">
        <v>2633</v>
      </c>
      <c r="S2569">
        <v>37</v>
      </c>
      <c r="T2569" s="43" t="str">
        <f t="shared" si="111"/>
        <v>2021.010B.R.Binomial_names.zip</v>
      </c>
      <c r="U2569" s="43" t="str">
        <f>HYPERLINK("https://ictv.global/taxonomy/taxondetails?taxnode_id=202200619","ictv.global=202200619")</f>
        <v>ictv.global=202200619</v>
      </c>
    </row>
    <row r="2570" spans="1:21">
      <c r="A2570">
        <v>2569</v>
      </c>
      <c r="B2570" s="29" t="s">
        <v>3682</v>
      </c>
      <c r="C2570" s="29"/>
      <c r="D2570" s="29" t="s">
        <v>3683</v>
      </c>
      <c r="E2570" s="29"/>
      <c r="F2570" s="29" t="s">
        <v>3686</v>
      </c>
      <c r="G2570" s="29"/>
      <c r="H2570" s="29" t="s">
        <v>3687</v>
      </c>
      <c r="I2570" s="29"/>
      <c r="J2570" s="29"/>
      <c r="K2570" s="29"/>
      <c r="L2570" s="29"/>
      <c r="M2570" s="29" t="s">
        <v>2418</v>
      </c>
      <c r="N2570" s="29" t="s">
        <v>3459</v>
      </c>
      <c r="O2570" s="29"/>
      <c r="P2570" s="29" t="s">
        <v>9746</v>
      </c>
      <c r="Q2570" t="s">
        <v>2038</v>
      </c>
      <c r="R2570" t="s">
        <v>2633</v>
      </c>
      <c r="S2570">
        <v>37</v>
      </c>
      <c r="T2570" s="43" t="str">
        <f t="shared" si="111"/>
        <v>2021.010B.R.Binomial_names.zip</v>
      </c>
      <c r="U2570" s="43" t="str">
        <f>HYPERLINK("https://ictv.global/taxonomy/taxondetails?taxnode_id=202211849","ictv.global=202211849")</f>
        <v>ictv.global=202211849</v>
      </c>
    </row>
    <row r="2571" spans="1:21">
      <c r="A2571">
        <v>2570</v>
      </c>
      <c r="B2571" s="29" t="s">
        <v>3682</v>
      </c>
      <c r="C2571" s="29"/>
      <c r="D2571" s="29" t="s">
        <v>3683</v>
      </c>
      <c r="E2571" s="29"/>
      <c r="F2571" s="29" t="s">
        <v>3686</v>
      </c>
      <c r="G2571" s="29"/>
      <c r="H2571" s="29" t="s">
        <v>3687</v>
      </c>
      <c r="I2571" s="29"/>
      <c r="J2571" s="29"/>
      <c r="K2571" s="29"/>
      <c r="L2571" s="29"/>
      <c r="M2571" s="29" t="s">
        <v>2418</v>
      </c>
      <c r="N2571" s="29" t="s">
        <v>3459</v>
      </c>
      <c r="O2571" s="29"/>
      <c r="P2571" s="29" t="s">
        <v>9747</v>
      </c>
      <c r="Q2571" t="s">
        <v>2038</v>
      </c>
      <c r="R2571" t="s">
        <v>2633</v>
      </c>
      <c r="S2571">
        <v>37</v>
      </c>
      <c r="T2571" s="43" t="str">
        <f t="shared" si="111"/>
        <v>2021.010B.R.Binomial_names.zip</v>
      </c>
      <c r="U2571" s="43" t="str">
        <f>HYPERLINK("https://ictv.global/taxonomy/taxondetails?taxnode_id=202211850","ictv.global=202211850")</f>
        <v>ictv.global=202211850</v>
      </c>
    </row>
    <row r="2572" spans="1:21">
      <c r="A2572">
        <v>2571</v>
      </c>
      <c r="B2572" s="29" t="s">
        <v>3682</v>
      </c>
      <c r="C2572" s="29"/>
      <c r="D2572" s="29" t="s">
        <v>3683</v>
      </c>
      <c r="E2572" s="29"/>
      <c r="F2572" s="29" t="s">
        <v>3686</v>
      </c>
      <c r="G2572" s="29"/>
      <c r="H2572" s="29" t="s">
        <v>3687</v>
      </c>
      <c r="I2572" s="29"/>
      <c r="J2572" s="29"/>
      <c r="K2572" s="29"/>
      <c r="L2572" s="29"/>
      <c r="M2572" s="29" t="s">
        <v>2418</v>
      </c>
      <c r="N2572" s="29" t="s">
        <v>3459</v>
      </c>
      <c r="O2572" s="29"/>
      <c r="P2572" s="29" t="s">
        <v>9748</v>
      </c>
      <c r="Q2572" t="s">
        <v>2038</v>
      </c>
      <c r="R2572" t="s">
        <v>2633</v>
      </c>
      <c r="S2572">
        <v>37</v>
      </c>
      <c r="T2572" s="43" t="str">
        <f t="shared" si="111"/>
        <v>2021.010B.R.Binomial_names.zip</v>
      </c>
      <c r="U2572" s="43" t="str">
        <f>HYPERLINK("https://ictv.global/taxonomy/taxondetails?taxnode_id=202211853","ictv.global=202211853")</f>
        <v>ictv.global=202211853</v>
      </c>
    </row>
    <row r="2573" spans="1:21">
      <c r="A2573">
        <v>2572</v>
      </c>
      <c r="B2573" s="29" t="s">
        <v>3682</v>
      </c>
      <c r="C2573" s="29"/>
      <c r="D2573" s="29" t="s">
        <v>3683</v>
      </c>
      <c r="E2573" s="29"/>
      <c r="F2573" s="29" t="s">
        <v>3686</v>
      </c>
      <c r="G2573" s="29"/>
      <c r="H2573" s="29" t="s">
        <v>3687</v>
      </c>
      <c r="I2573" s="29"/>
      <c r="J2573" s="29"/>
      <c r="K2573" s="29"/>
      <c r="L2573" s="29"/>
      <c r="M2573" s="29" t="s">
        <v>2418</v>
      </c>
      <c r="N2573" s="29" t="s">
        <v>3459</v>
      </c>
      <c r="O2573" s="29"/>
      <c r="P2573" s="29" t="s">
        <v>9749</v>
      </c>
      <c r="Q2573" t="s">
        <v>2038</v>
      </c>
      <c r="R2573" t="s">
        <v>2633</v>
      </c>
      <c r="S2573">
        <v>37</v>
      </c>
      <c r="T2573" s="43" t="str">
        <f t="shared" si="111"/>
        <v>2021.010B.R.Binomial_names.zip</v>
      </c>
      <c r="U2573" s="43" t="str">
        <f>HYPERLINK("https://ictv.global/taxonomy/taxondetails?taxnode_id=202200611","ictv.global=202200611")</f>
        <v>ictv.global=202200611</v>
      </c>
    </row>
    <row r="2574" spans="1:21">
      <c r="A2574">
        <v>2573</v>
      </c>
      <c r="B2574" s="29" t="s">
        <v>3682</v>
      </c>
      <c r="C2574" s="29"/>
      <c r="D2574" s="29" t="s">
        <v>3683</v>
      </c>
      <c r="E2574" s="29"/>
      <c r="F2574" s="29" t="s">
        <v>3686</v>
      </c>
      <c r="G2574" s="29"/>
      <c r="H2574" s="29" t="s">
        <v>3687</v>
      </c>
      <c r="I2574" s="29"/>
      <c r="J2574" s="29"/>
      <c r="K2574" s="29"/>
      <c r="L2574" s="29"/>
      <c r="M2574" s="29" t="s">
        <v>2418</v>
      </c>
      <c r="N2574" s="29" t="s">
        <v>3459</v>
      </c>
      <c r="O2574" s="29"/>
      <c r="P2574" s="29" t="s">
        <v>9750</v>
      </c>
      <c r="Q2574" t="s">
        <v>2038</v>
      </c>
      <c r="R2574" t="s">
        <v>2633</v>
      </c>
      <c r="S2574">
        <v>37</v>
      </c>
      <c r="T2574" s="43" t="str">
        <f t="shared" si="111"/>
        <v>2021.010B.R.Binomial_names.zip</v>
      </c>
      <c r="U2574" s="43" t="str">
        <f>HYPERLINK("https://ictv.global/taxonomy/taxondetails?taxnode_id=202200609","ictv.global=202200609")</f>
        <v>ictv.global=202200609</v>
      </c>
    </row>
    <row r="2575" spans="1:21">
      <c r="A2575">
        <v>2574</v>
      </c>
      <c r="B2575" s="29" t="s">
        <v>3682</v>
      </c>
      <c r="C2575" s="29"/>
      <c r="D2575" s="29" t="s">
        <v>3683</v>
      </c>
      <c r="E2575" s="29"/>
      <c r="F2575" s="29" t="s">
        <v>3686</v>
      </c>
      <c r="G2575" s="29"/>
      <c r="H2575" s="29" t="s">
        <v>3687</v>
      </c>
      <c r="I2575" s="29"/>
      <c r="J2575" s="29"/>
      <c r="K2575" s="29"/>
      <c r="L2575" s="29"/>
      <c r="M2575" s="29" t="s">
        <v>2418</v>
      </c>
      <c r="N2575" s="29" t="s">
        <v>3459</v>
      </c>
      <c r="O2575" s="29"/>
      <c r="P2575" s="29" t="s">
        <v>9751</v>
      </c>
      <c r="Q2575" t="s">
        <v>2038</v>
      </c>
      <c r="R2575" t="s">
        <v>2633</v>
      </c>
      <c r="S2575">
        <v>37</v>
      </c>
      <c r="T2575" s="43" t="str">
        <f t="shared" si="111"/>
        <v>2021.010B.R.Binomial_names.zip</v>
      </c>
      <c r="U2575" s="43" t="str">
        <f>HYPERLINK("https://ictv.global/taxonomy/taxondetails?taxnode_id=202211854","ictv.global=202211854")</f>
        <v>ictv.global=202211854</v>
      </c>
    </row>
    <row r="2576" spans="1:21">
      <c r="A2576">
        <v>2575</v>
      </c>
      <c r="B2576" s="29" t="s">
        <v>3682</v>
      </c>
      <c r="C2576" s="29"/>
      <c r="D2576" s="29" t="s">
        <v>3683</v>
      </c>
      <c r="E2576" s="29"/>
      <c r="F2576" s="29" t="s">
        <v>3686</v>
      </c>
      <c r="G2576" s="29"/>
      <c r="H2576" s="29" t="s">
        <v>3687</v>
      </c>
      <c r="I2576" s="29"/>
      <c r="J2576" s="29"/>
      <c r="K2576" s="29"/>
      <c r="L2576" s="29"/>
      <c r="M2576" s="29" t="s">
        <v>2418</v>
      </c>
      <c r="N2576" s="29" t="s">
        <v>3459</v>
      </c>
      <c r="O2576" s="29"/>
      <c r="P2576" s="29" t="s">
        <v>9752</v>
      </c>
      <c r="Q2576" t="s">
        <v>2038</v>
      </c>
      <c r="R2576" t="s">
        <v>2633</v>
      </c>
      <c r="S2576">
        <v>37</v>
      </c>
      <c r="T2576" s="43" t="str">
        <f t="shared" si="111"/>
        <v>2021.010B.R.Binomial_names.zip</v>
      </c>
      <c r="U2576" s="43" t="str">
        <f>HYPERLINK("https://ictv.global/taxonomy/taxondetails?taxnode_id=202200610","ictv.global=202200610")</f>
        <v>ictv.global=202200610</v>
      </c>
    </row>
    <row r="2577" spans="1:21">
      <c r="A2577">
        <v>2576</v>
      </c>
      <c r="B2577" s="29" t="s">
        <v>3682</v>
      </c>
      <c r="C2577" s="29"/>
      <c r="D2577" s="29" t="s">
        <v>3683</v>
      </c>
      <c r="E2577" s="29"/>
      <c r="F2577" s="29" t="s">
        <v>3686</v>
      </c>
      <c r="G2577" s="29"/>
      <c r="H2577" s="29" t="s">
        <v>3687</v>
      </c>
      <c r="I2577" s="29"/>
      <c r="J2577" s="29"/>
      <c r="K2577" s="29"/>
      <c r="L2577" s="29"/>
      <c r="M2577" s="29" t="s">
        <v>2418</v>
      </c>
      <c r="N2577" s="29" t="s">
        <v>3459</v>
      </c>
      <c r="O2577" s="29"/>
      <c r="P2577" s="29" t="s">
        <v>9753</v>
      </c>
      <c r="Q2577" t="s">
        <v>2038</v>
      </c>
      <c r="R2577" t="s">
        <v>2633</v>
      </c>
      <c r="S2577">
        <v>37</v>
      </c>
      <c r="T2577" s="43" t="str">
        <f t="shared" si="111"/>
        <v>2021.010B.R.Binomial_names.zip</v>
      </c>
      <c r="U2577" s="43" t="str">
        <f>HYPERLINK("https://ictv.global/taxonomy/taxondetails?taxnode_id=202211848","ictv.global=202211848")</f>
        <v>ictv.global=202211848</v>
      </c>
    </row>
    <row r="2578" spans="1:21">
      <c r="A2578">
        <v>2577</v>
      </c>
      <c r="B2578" s="29" t="s">
        <v>3682</v>
      </c>
      <c r="C2578" s="29"/>
      <c r="D2578" s="29" t="s">
        <v>3683</v>
      </c>
      <c r="E2578" s="29"/>
      <c r="F2578" s="29" t="s">
        <v>3686</v>
      </c>
      <c r="G2578" s="29"/>
      <c r="H2578" s="29" t="s">
        <v>3687</v>
      </c>
      <c r="I2578" s="29"/>
      <c r="J2578" s="29"/>
      <c r="K2578" s="29"/>
      <c r="L2578" s="29"/>
      <c r="M2578" s="29" t="s">
        <v>2418</v>
      </c>
      <c r="N2578" s="29" t="s">
        <v>3459</v>
      </c>
      <c r="O2578" s="29"/>
      <c r="P2578" s="29" t="s">
        <v>9754</v>
      </c>
      <c r="Q2578" t="s">
        <v>2038</v>
      </c>
      <c r="R2578" t="s">
        <v>2633</v>
      </c>
      <c r="S2578">
        <v>37</v>
      </c>
      <c r="T2578" s="43" t="str">
        <f t="shared" si="111"/>
        <v>2021.010B.R.Binomial_names.zip</v>
      </c>
      <c r="U2578" s="43" t="str">
        <f>HYPERLINK("https://ictv.global/taxonomy/taxondetails?taxnode_id=202211851","ictv.global=202211851")</f>
        <v>ictv.global=202211851</v>
      </c>
    </row>
    <row r="2579" spans="1:21">
      <c r="A2579">
        <v>2578</v>
      </c>
      <c r="B2579" s="29" t="s">
        <v>3682</v>
      </c>
      <c r="C2579" s="29"/>
      <c r="D2579" s="29" t="s">
        <v>3683</v>
      </c>
      <c r="E2579" s="29"/>
      <c r="F2579" s="29" t="s">
        <v>3686</v>
      </c>
      <c r="G2579" s="29"/>
      <c r="H2579" s="29" t="s">
        <v>3687</v>
      </c>
      <c r="I2579" s="29"/>
      <c r="J2579" s="29"/>
      <c r="K2579" s="29"/>
      <c r="L2579" s="29"/>
      <c r="M2579" s="29" t="s">
        <v>2418</v>
      </c>
      <c r="N2579" s="29" t="s">
        <v>3459</v>
      </c>
      <c r="O2579" s="29"/>
      <c r="P2579" s="29" t="s">
        <v>9755</v>
      </c>
      <c r="Q2579" t="s">
        <v>2038</v>
      </c>
      <c r="R2579" t="s">
        <v>2633</v>
      </c>
      <c r="S2579">
        <v>37</v>
      </c>
      <c r="T2579" s="43" t="str">
        <f t="shared" si="111"/>
        <v>2021.010B.R.Binomial_names.zip</v>
      </c>
      <c r="U2579" s="43" t="str">
        <f>HYPERLINK("https://ictv.global/taxonomy/taxondetails?taxnode_id=202211847","ictv.global=202211847")</f>
        <v>ictv.global=202211847</v>
      </c>
    </row>
    <row r="2580" spans="1:21">
      <c r="A2580">
        <v>2579</v>
      </c>
      <c r="B2580" s="29" t="s">
        <v>3682</v>
      </c>
      <c r="C2580" s="29"/>
      <c r="D2580" s="29" t="s">
        <v>3683</v>
      </c>
      <c r="E2580" s="29"/>
      <c r="F2580" s="29" t="s">
        <v>3686</v>
      </c>
      <c r="G2580" s="29"/>
      <c r="H2580" s="29" t="s">
        <v>3687</v>
      </c>
      <c r="I2580" s="29"/>
      <c r="J2580" s="29"/>
      <c r="K2580" s="29"/>
      <c r="L2580" s="29"/>
      <c r="M2580" s="29" t="s">
        <v>2418</v>
      </c>
      <c r="N2580" s="29" t="s">
        <v>3459</v>
      </c>
      <c r="O2580" s="29"/>
      <c r="P2580" s="29" t="s">
        <v>9756</v>
      </c>
      <c r="Q2580" t="s">
        <v>2038</v>
      </c>
      <c r="R2580" t="s">
        <v>2633</v>
      </c>
      <c r="S2580">
        <v>37</v>
      </c>
      <c r="T2580" s="43" t="str">
        <f t="shared" si="111"/>
        <v>2021.010B.R.Binomial_names.zip</v>
      </c>
      <c r="U2580" s="43" t="str">
        <f>HYPERLINK("https://ictv.global/taxonomy/taxondetails?taxnode_id=202200607","ictv.global=202200607")</f>
        <v>ictv.global=202200607</v>
      </c>
    </row>
    <row r="2581" spans="1:21">
      <c r="A2581">
        <v>2580</v>
      </c>
      <c r="B2581" s="29" t="s">
        <v>3682</v>
      </c>
      <c r="C2581" s="29"/>
      <c r="D2581" s="29" t="s">
        <v>3683</v>
      </c>
      <c r="E2581" s="29"/>
      <c r="F2581" s="29" t="s">
        <v>3686</v>
      </c>
      <c r="G2581" s="29"/>
      <c r="H2581" s="29" t="s">
        <v>3687</v>
      </c>
      <c r="I2581" s="29"/>
      <c r="J2581" s="29"/>
      <c r="K2581" s="29"/>
      <c r="L2581" s="29"/>
      <c r="M2581" s="29" t="s">
        <v>2418</v>
      </c>
      <c r="N2581" s="29" t="s">
        <v>3459</v>
      </c>
      <c r="O2581" s="29"/>
      <c r="P2581" s="29" t="s">
        <v>9757</v>
      </c>
      <c r="Q2581" t="s">
        <v>2038</v>
      </c>
      <c r="R2581" t="s">
        <v>2633</v>
      </c>
      <c r="S2581">
        <v>37</v>
      </c>
      <c r="T2581" s="43" t="str">
        <f t="shared" si="111"/>
        <v>2021.010B.R.Binomial_names.zip</v>
      </c>
      <c r="U2581" s="43" t="str">
        <f>HYPERLINK("https://ictv.global/taxonomy/taxondetails?taxnode_id=202200608","ictv.global=202200608")</f>
        <v>ictv.global=202200608</v>
      </c>
    </row>
    <row r="2582" spans="1:21">
      <c r="A2582">
        <v>2581</v>
      </c>
      <c r="B2582" s="29" t="s">
        <v>3682</v>
      </c>
      <c r="C2582" s="29"/>
      <c r="D2582" s="29" t="s">
        <v>3683</v>
      </c>
      <c r="E2582" s="29"/>
      <c r="F2582" s="29" t="s">
        <v>3686</v>
      </c>
      <c r="G2582" s="29"/>
      <c r="H2582" s="29" t="s">
        <v>3687</v>
      </c>
      <c r="I2582" s="29"/>
      <c r="J2582" s="29"/>
      <c r="K2582" s="29"/>
      <c r="L2582" s="29"/>
      <c r="M2582" s="29" t="s">
        <v>2418</v>
      </c>
      <c r="N2582" s="29" t="s">
        <v>3459</v>
      </c>
      <c r="O2582" s="29"/>
      <c r="P2582" s="29" t="s">
        <v>9758</v>
      </c>
      <c r="Q2582" t="s">
        <v>2038</v>
      </c>
      <c r="R2582" t="s">
        <v>2633</v>
      </c>
      <c r="S2582">
        <v>37</v>
      </c>
      <c r="T2582" s="43" t="str">
        <f t="shared" si="111"/>
        <v>2021.010B.R.Binomial_names.zip</v>
      </c>
      <c r="U2582" s="43" t="str">
        <f>HYPERLINK("https://ictv.global/taxonomy/taxondetails?taxnode_id=202211852","ictv.global=202211852")</f>
        <v>ictv.global=202211852</v>
      </c>
    </row>
    <row r="2583" spans="1:21">
      <c r="A2583">
        <v>2582</v>
      </c>
      <c r="B2583" s="29" t="s">
        <v>3682</v>
      </c>
      <c r="C2583" s="29"/>
      <c r="D2583" s="29" t="s">
        <v>3683</v>
      </c>
      <c r="E2583" s="29"/>
      <c r="F2583" s="29" t="s">
        <v>3686</v>
      </c>
      <c r="G2583" s="29"/>
      <c r="H2583" s="29" t="s">
        <v>3687</v>
      </c>
      <c r="I2583" s="29"/>
      <c r="J2583" s="29"/>
      <c r="K2583" s="29"/>
      <c r="L2583" s="29"/>
      <c r="M2583" s="29" t="s">
        <v>4694</v>
      </c>
      <c r="N2583" s="29" t="s">
        <v>4695</v>
      </c>
      <c r="O2583" s="29"/>
      <c r="P2583" s="29" t="s">
        <v>9759</v>
      </c>
      <c r="Q2583" t="s">
        <v>2038</v>
      </c>
      <c r="R2583" t="s">
        <v>2633</v>
      </c>
      <c r="S2583">
        <v>37</v>
      </c>
      <c r="T2583" s="43" t="str">
        <f t="shared" si="111"/>
        <v>2021.010B.R.Binomial_names.zip</v>
      </c>
      <c r="U2583" s="43" t="str">
        <f>HYPERLINK("https://ictv.global/taxonomy/taxondetails?taxnode_id=202211866","ictv.global=202211866")</f>
        <v>ictv.global=202211866</v>
      </c>
    </row>
    <row r="2584" spans="1:21">
      <c r="A2584">
        <v>2583</v>
      </c>
      <c r="B2584" s="29" t="s">
        <v>3682</v>
      </c>
      <c r="C2584" s="29"/>
      <c r="D2584" s="29" t="s">
        <v>3683</v>
      </c>
      <c r="E2584" s="29"/>
      <c r="F2584" s="29" t="s">
        <v>3686</v>
      </c>
      <c r="G2584" s="29"/>
      <c r="H2584" s="29" t="s">
        <v>3687</v>
      </c>
      <c r="I2584" s="29"/>
      <c r="J2584" s="29"/>
      <c r="K2584" s="29"/>
      <c r="L2584" s="29"/>
      <c r="M2584" s="29" t="s">
        <v>4694</v>
      </c>
      <c r="N2584" s="29" t="s">
        <v>4696</v>
      </c>
      <c r="O2584" s="29"/>
      <c r="P2584" s="29" t="s">
        <v>9760</v>
      </c>
      <c r="Q2584" t="s">
        <v>2038</v>
      </c>
      <c r="R2584" t="s">
        <v>2633</v>
      </c>
      <c r="S2584">
        <v>37</v>
      </c>
      <c r="T2584" s="43" t="str">
        <f t="shared" si="111"/>
        <v>2021.010B.R.Binomial_names.zip</v>
      </c>
      <c r="U2584" s="43" t="str">
        <f>HYPERLINK("https://ictv.global/taxonomy/taxondetails?taxnode_id=202211864","ictv.global=202211864")</f>
        <v>ictv.global=202211864</v>
      </c>
    </row>
    <row r="2585" spans="1:21">
      <c r="A2585">
        <v>2584</v>
      </c>
      <c r="B2585" s="29" t="s">
        <v>3682</v>
      </c>
      <c r="C2585" s="29"/>
      <c r="D2585" s="29" t="s">
        <v>3683</v>
      </c>
      <c r="E2585" s="29"/>
      <c r="F2585" s="29" t="s">
        <v>3686</v>
      </c>
      <c r="G2585" s="29"/>
      <c r="H2585" s="29" t="s">
        <v>3687</v>
      </c>
      <c r="I2585" s="29"/>
      <c r="J2585" s="29"/>
      <c r="K2585" s="29"/>
      <c r="L2585" s="29"/>
      <c r="M2585" s="29" t="s">
        <v>9761</v>
      </c>
      <c r="N2585" s="29" t="s">
        <v>9762</v>
      </c>
      <c r="O2585" s="29"/>
      <c r="P2585" s="29" t="s">
        <v>9763</v>
      </c>
      <c r="Q2585" t="s">
        <v>2038</v>
      </c>
      <c r="R2585" t="s">
        <v>2632</v>
      </c>
      <c r="S2585">
        <v>37</v>
      </c>
      <c r="T2585" s="43" t="str">
        <f t="shared" ref="T2585:T2603" si="112">HYPERLINK("https://ictv.global/ictv/proposals/2021.080B.R.Stephanstirmvirinae.zip","2021.080B.R.Stephanstirmvirinae.zip")</f>
        <v>2021.080B.R.Stephanstirmvirinae.zip</v>
      </c>
      <c r="U2585" s="43" t="str">
        <f>HYPERLINK("https://ictv.global/taxonomy/taxondetails?taxnode_id=202213660","ictv.global=202213660")</f>
        <v>ictv.global=202213660</v>
      </c>
    </row>
    <row r="2586" spans="1:21">
      <c r="A2586">
        <v>2585</v>
      </c>
      <c r="B2586" s="29" t="s">
        <v>3682</v>
      </c>
      <c r="C2586" s="29"/>
      <c r="D2586" s="29" t="s">
        <v>3683</v>
      </c>
      <c r="E2586" s="29"/>
      <c r="F2586" s="29" t="s">
        <v>3686</v>
      </c>
      <c r="G2586" s="29"/>
      <c r="H2586" s="29" t="s">
        <v>3687</v>
      </c>
      <c r="I2586" s="29"/>
      <c r="J2586" s="29"/>
      <c r="K2586" s="29"/>
      <c r="L2586" s="29"/>
      <c r="M2586" s="29" t="s">
        <v>9761</v>
      </c>
      <c r="N2586" s="29" t="s">
        <v>9762</v>
      </c>
      <c r="O2586" s="29"/>
      <c r="P2586" s="29" t="s">
        <v>9764</v>
      </c>
      <c r="Q2586" t="s">
        <v>2038</v>
      </c>
      <c r="R2586" t="s">
        <v>2632</v>
      </c>
      <c r="S2586">
        <v>37</v>
      </c>
      <c r="T2586" s="43" t="str">
        <f t="shared" si="112"/>
        <v>2021.080B.R.Stephanstirmvirinae.zip</v>
      </c>
      <c r="U2586" s="43" t="str">
        <f>HYPERLINK("https://ictv.global/taxonomy/taxondetails?taxnode_id=202213658","ictv.global=202213658")</f>
        <v>ictv.global=202213658</v>
      </c>
    </row>
    <row r="2587" spans="1:21">
      <c r="A2587">
        <v>2586</v>
      </c>
      <c r="B2587" s="29" t="s">
        <v>3682</v>
      </c>
      <c r="C2587" s="29"/>
      <c r="D2587" s="29" t="s">
        <v>3683</v>
      </c>
      <c r="E2587" s="29"/>
      <c r="F2587" s="29" t="s">
        <v>3686</v>
      </c>
      <c r="G2587" s="29"/>
      <c r="H2587" s="29" t="s">
        <v>3687</v>
      </c>
      <c r="I2587" s="29"/>
      <c r="J2587" s="29"/>
      <c r="K2587" s="29"/>
      <c r="L2587" s="29"/>
      <c r="M2587" s="29" t="s">
        <v>9761</v>
      </c>
      <c r="N2587" s="29" t="s">
        <v>9762</v>
      </c>
      <c r="O2587" s="29"/>
      <c r="P2587" s="29" t="s">
        <v>9765</v>
      </c>
      <c r="Q2587" t="s">
        <v>2038</v>
      </c>
      <c r="R2587" t="s">
        <v>2632</v>
      </c>
      <c r="S2587">
        <v>37</v>
      </c>
      <c r="T2587" s="43" t="str">
        <f t="shared" si="112"/>
        <v>2021.080B.R.Stephanstirmvirinae.zip</v>
      </c>
      <c r="U2587" s="43" t="str">
        <f>HYPERLINK("https://ictv.global/taxonomy/taxondetails?taxnode_id=202213661","ictv.global=202213661")</f>
        <v>ictv.global=202213661</v>
      </c>
    </row>
    <row r="2588" spans="1:21">
      <c r="A2588">
        <v>2587</v>
      </c>
      <c r="B2588" s="29" t="s">
        <v>3682</v>
      </c>
      <c r="C2588" s="29"/>
      <c r="D2588" s="29" t="s">
        <v>3683</v>
      </c>
      <c r="E2588" s="29"/>
      <c r="F2588" s="29" t="s">
        <v>3686</v>
      </c>
      <c r="G2588" s="29"/>
      <c r="H2588" s="29" t="s">
        <v>3687</v>
      </c>
      <c r="I2588" s="29"/>
      <c r="J2588" s="29"/>
      <c r="K2588" s="29"/>
      <c r="L2588" s="29"/>
      <c r="M2588" s="29" t="s">
        <v>9761</v>
      </c>
      <c r="N2588" s="29" t="s">
        <v>9762</v>
      </c>
      <c r="O2588" s="29"/>
      <c r="P2588" s="29" t="s">
        <v>9766</v>
      </c>
      <c r="Q2588" t="s">
        <v>2038</v>
      </c>
      <c r="R2588" t="s">
        <v>2632</v>
      </c>
      <c r="S2588">
        <v>37</v>
      </c>
      <c r="T2588" s="43" t="str">
        <f t="shared" si="112"/>
        <v>2021.080B.R.Stephanstirmvirinae.zip</v>
      </c>
      <c r="U2588" s="43" t="str">
        <f>HYPERLINK("https://ictv.global/taxonomy/taxondetails?taxnode_id=202213662","ictv.global=202213662")</f>
        <v>ictv.global=202213662</v>
      </c>
    </row>
    <row r="2589" spans="1:21">
      <c r="A2589">
        <v>2588</v>
      </c>
      <c r="B2589" s="29" t="s">
        <v>3682</v>
      </c>
      <c r="C2589" s="29"/>
      <c r="D2589" s="29" t="s">
        <v>3683</v>
      </c>
      <c r="E2589" s="29"/>
      <c r="F2589" s="29" t="s">
        <v>3686</v>
      </c>
      <c r="G2589" s="29"/>
      <c r="H2589" s="29" t="s">
        <v>3687</v>
      </c>
      <c r="I2589" s="29"/>
      <c r="J2589" s="29"/>
      <c r="K2589" s="29"/>
      <c r="L2589" s="29"/>
      <c r="M2589" s="29" t="s">
        <v>9761</v>
      </c>
      <c r="N2589" s="29" t="s">
        <v>9762</v>
      </c>
      <c r="O2589" s="29"/>
      <c r="P2589" s="29" t="s">
        <v>9767</v>
      </c>
      <c r="Q2589" t="s">
        <v>2038</v>
      </c>
      <c r="R2589" t="s">
        <v>2632</v>
      </c>
      <c r="S2589">
        <v>37</v>
      </c>
      <c r="T2589" s="43" t="str">
        <f t="shared" si="112"/>
        <v>2021.080B.R.Stephanstirmvirinae.zip</v>
      </c>
      <c r="U2589" s="43" t="str">
        <f>HYPERLINK("https://ictv.global/taxonomy/taxondetails?taxnode_id=202213657","ictv.global=202213657")</f>
        <v>ictv.global=202213657</v>
      </c>
    </row>
    <row r="2590" spans="1:21">
      <c r="A2590">
        <v>2589</v>
      </c>
      <c r="B2590" s="29" t="s">
        <v>3682</v>
      </c>
      <c r="C2590" s="29"/>
      <c r="D2590" s="29" t="s">
        <v>3683</v>
      </c>
      <c r="E2590" s="29"/>
      <c r="F2590" s="29" t="s">
        <v>3686</v>
      </c>
      <c r="G2590" s="29"/>
      <c r="H2590" s="29" t="s">
        <v>3687</v>
      </c>
      <c r="I2590" s="29"/>
      <c r="J2590" s="29"/>
      <c r="K2590" s="29"/>
      <c r="L2590" s="29"/>
      <c r="M2590" s="29" t="s">
        <v>9761</v>
      </c>
      <c r="N2590" s="29" t="s">
        <v>9762</v>
      </c>
      <c r="O2590" s="29"/>
      <c r="P2590" s="29" t="s">
        <v>9768</v>
      </c>
      <c r="Q2590" t="s">
        <v>2038</v>
      </c>
      <c r="R2590" t="s">
        <v>2632</v>
      </c>
      <c r="S2590">
        <v>37</v>
      </c>
      <c r="T2590" s="43" t="str">
        <f t="shared" si="112"/>
        <v>2021.080B.R.Stephanstirmvirinae.zip</v>
      </c>
      <c r="U2590" s="43" t="str">
        <f>HYPERLINK("https://ictv.global/taxonomy/taxondetails?taxnode_id=202213659","ictv.global=202213659")</f>
        <v>ictv.global=202213659</v>
      </c>
    </row>
    <row r="2591" spans="1:21">
      <c r="A2591">
        <v>2590</v>
      </c>
      <c r="B2591" s="29" t="s">
        <v>3682</v>
      </c>
      <c r="C2591" s="29"/>
      <c r="D2591" s="29" t="s">
        <v>3683</v>
      </c>
      <c r="E2591" s="29"/>
      <c r="F2591" s="29" t="s">
        <v>3686</v>
      </c>
      <c r="G2591" s="29"/>
      <c r="H2591" s="29" t="s">
        <v>3687</v>
      </c>
      <c r="I2591" s="29"/>
      <c r="J2591" s="29"/>
      <c r="K2591" s="29"/>
      <c r="L2591" s="29"/>
      <c r="M2591" s="29" t="s">
        <v>9761</v>
      </c>
      <c r="N2591" s="29" t="s">
        <v>3933</v>
      </c>
      <c r="O2591" s="29"/>
      <c r="P2591" s="29" t="s">
        <v>3934</v>
      </c>
      <c r="Q2591" t="s">
        <v>2038</v>
      </c>
      <c r="R2591" t="s">
        <v>2634</v>
      </c>
      <c r="S2591">
        <v>37</v>
      </c>
      <c r="T2591" s="43" t="str">
        <f t="shared" si="112"/>
        <v>2021.080B.R.Stephanstirmvirinae.zip</v>
      </c>
      <c r="U2591" s="43" t="str">
        <f>HYPERLINK("https://ictv.global/taxonomy/taxondetails?taxnode_id=202207991","ictv.global=202207991")</f>
        <v>ictv.global=202207991</v>
      </c>
    </row>
    <row r="2592" spans="1:21">
      <c r="A2592">
        <v>2591</v>
      </c>
      <c r="B2592" s="29" t="s">
        <v>3682</v>
      </c>
      <c r="C2592" s="29"/>
      <c r="D2592" s="29" t="s">
        <v>3683</v>
      </c>
      <c r="E2592" s="29"/>
      <c r="F2592" s="29" t="s">
        <v>3686</v>
      </c>
      <c r="G2592" s="29"/>
      <c r="H2592" s="29" t="s">
        <v>3687</v>
      </c>
      <c r="I2592" s="29"/>
      <c r="J2592" s="29"/>
      <c r="K2592" s="29"/>
      <c r="L2592" s="29"/>
      <c r="M2592" s="29" t="s">
        <v>9761</v>
      </c>
      <c r="N2592" s="29" t="s">
        <v>3933</v>
      </c>
      <c r="O2592" s="29"/>
      <c r="P2592" s="29" t="s">
        <v>3935</v>
      </c>
      <c r="Q2592" t="s">
        <v>2038</v>
      </c>
      <c r="R2592" t="s">
        <v>2634</v>
      </c>
      <c r="S2592">
        <v>37</v>
      </c>
      <c r="T2592" s="43" t="str">
        <f t="shared" si="112"/>
        <v>2021.080B.R.Stephanstirmvirinae.zip</v>
      </c>
      <c r="U2592" s="43" t="str">
        <f>HYPERLINK("https://ictv.global/taxonomy/taxondetails?taxnode_id=202207989","ictv.global=202207989")</f>
        <v>ictv.global=202207989</v>
      </c>
    </row>
    <row r="2593" spans="1:21">
      <c r="A2593">
        <v>2592</v>
      </c>
      <c r="B2593" s="29" t="s">
        <v>3682</v>
      </c>
      <c r="C2593" s="29"/>
      <c r="D2593" s="29" t="s">
        <v>3683</v>
      </c>
      <c r="E2593" s="29"/>
      <c r="F2593" s="29" t="s">
        <v>3686</v>
      </c>
      <c r="G2593" s="29"/>
      <c r="H2593" s="29" t="s">
        <v>3687</v>
      </c>
      <c r="I2593" s="29"/>
      <c r="J2593" s="29"/>
      <c r="K2593" s="29"/>
      <c r="L2593" s="29"/>
      <c r="M2593" s="29" t="s">
        <v>9761</v>
      </c>
      <c r="N2593" s="29" t="s">
        <v>3933</v>
      </c>
      <c r="O2593" s="29"/>
      <c r="P2593" s="29" t="s">
        <v>3936</v>
      </c>
      <c r="Q2593" t="s">
        <v>2038</v>
      </c>
      <c r="R2593" t="s">
        <v>2634</v>
      </c>
      <c r="S2593">
        <v>37</v>
      </c>
      <c r="T2593" s="43" t="str">
        <f t="shared" si="112"/>
        <v>2021.080B.R.Stephanstirmvirinae.zip</v>
      </c>
      <c r="U2593" s="43" t="str">
        <f>HYPERLINK("https://ictv.global/taxonomy/taxondetails?taxnode_id=202207987","ictv.global=202207987")</f>
        <v>ictv.global=202207987</v>
      </c>
    </row>
    <row r="2594" spans="1:21">
      <c r="A2594">
        <v>2593</v>
      </c>
      <c r="B2594" s="29" t="s">
        <v>3682</v>
      </c>
      <c r="C2594" s="29"/>
      <c r="D2594" s="29" t="s">
        <v>3683</v>
      </c>
      <c r="E2594" s="29"/>
      <c r="F2594" s="29" t="s">
        <v>3686</v>
      </c>
      <c r="G2594" s="29"/>
      <c r="H2594" s="29" t="s">
        <v>3687</v>
      </c>
      <c r="I2594" s="29"/>
      <c r="J2594" s="29"/>
      <c r="K2594" s="29"/>
      <c r="L2594" s="29"/>
      <c r="M2594" s="29" t="s">
        <v>9761</v>
      </c>
      <c r="N2594" s="29" t="s">
        <v>3933</v>
      </c>
      <c r="O2594" s="29"/>
      <c r="P2594" s="29" t="s">
        <v>3937</v>
      </c>
      <c r="Q2594" t="s">
        <v>2038</v>
      </c>
      <c r="R2594" t="s">
        <v>2634</v>
      </c>
      <c r="S2594">
        <v>37</v>
      </c>
      <c r="T2594" s="43" t="str">
        <f t="shared" si="112"/>
        <v>2021.080B.R.Stephanstirmvirinae.zip</v>
      </c>
      <c r="U2594" s="43" t="str">
        <f>HYPERLINK("https://ictv.global/taxonomy/taxondetails?taxnode_id=202207988","ictv.global=202207988")</f>
        <v>ictv.global=202207988</v>
      </c>
    </row>
    <row r="2595" spans="1:21">
      <c r="A2595">
        <v>2594</v>
      </c>
      <c r="B2595" s="29" t="s">
        <v>3682</v>
      </c>
      <c r="C2595" s="29"/>
      <c r="D2595" s="29" t="s">
        <v>3683</v>
      </c>
      <c r="E2595" s="29"/>
      <c r="F2595" s="29" t="s">
        <v>3686</v>
      </c>
      <c r="G2595" s="29"/>
      <c r="H2595" s="29" t="s">
        <v>3687</v>
      </c>
      <c r="I2595" s="29"/>
      <c r="J2595" s="29"/>
      <c r="K2595" s="29"/>
      <c r="L2595" s="29"/>
      <c r="M2595" s="29" t="s">
        <v>9761</v>
      </c>
      <c r="N2595" s="29" t="s">
        <v>3933</v>
      </c>
      <c r="O2595" s="29"/>
      <c r="P2595" s="29" t="s">
        <v>3938</v>
      </c>
      <c r="Q2595" t="s">
        <v>2038</v>
      </c>
      <c r="R2595" t="s">
        <v>2634</v>
      </c>
      <c r="S2595">
        <v>37</v>
      </c>
      <c r="T2595" s="43" t="str">
        <f t="shared" si="112"/>
        <v>2021.080B.R.Stephanstirmvirinae.zip</v>
      </c>
      <c r="U2595" s="43" t="str">
        <f>HYPERLINK("https://ictv.global/taxonomy/taxondetails?taxnode_id=202207990","ictv.global=202207990")</f>
        <v>ictv.global=202207990</v>
      </c>
    </row>
    <row r="2596" spans="1:21">
      <c r="A2596">
        <v>2595</v>
      </c>
      <c r="B2596" s="29" t="s">
        <v>3682</v>
      </c>
      <c r="C2596" s="29"/>
      <c r="D2596" s="29" t="s">
        <v>3683</v>
      </c>
      <c r="E2596" s="29"/>
      <c r="F2596" s="29" t="s">
        <v>3686</v>
      </c>
      <c r="G2596" s="29"/>
      <c r="H2596" s="29" t="s">
        <v>3687</v>
      </c>
      <c r="I2596" s="29"/>
      <c r="J2596" s="29"/>
      <c r="K2596" s="29"/>
      <c r="L2596" s="29"/>
      <c r="M2596" s="29" t="s">
        <v>9761</v>
      </c>
      <c r="N2596" s="29" t="s">
        <v>3933</v>
      </c>
      <c r="O2596" s="29"/>
      <c r="P2596" s="29" t="s">
        <v>9769</v>
      </c>
      <c r="Q2596" t="s">
        <v>2038</v>
      </c>
      <c r="R2596" t="s">
        <v>2632</v>
      </c>
      <c r="S2596">
        <v>37</v>
      </c>
      <c r="T2596" s="43" t="str">
        <f t="shared" si="112"/>
        <v>2021.080B.R.Stephanstirmvirinae.zip</v>
      </c>
      <c r="U2596" s="43" t="str">
        <f>HYPERLINK("https://ictv.global/taxonomy/taxondetails?taxnode_id=202213649","ictv.global=202213649")</f>
        <v>ictv.global=202213649</v>
      </c>
    </row>
    <row r="2597" spans="1:21">
      <c r="A2597">
        <v>2596</v>
      </c>
      <c r="B2597" s="29" t="s">
        <v>3682</v>
      </c>
      <c r="C2597" s="29"/>
      <c r="D2597" s="29" t="s">
        <v>3683</v>
      </c>
      <c r="E2597" s="29"/>
      <c r="F2597" s="29" t="s">
        <v>3686</v>
      </c>
      <c r="G2597" s="29"/>
      <c r="H2597" s="29" t="s">
        <v>3687</v>
      </c>
      <c r="I2597" s="29"/>
      <c r="J2597" s="29"/>
      <c r="K2597" s="29"/>
      <c r="L2597" s="29"/>
      <c r="M2597" s="29" t="s">
        <v>9761</v>
      </c>
      <c r="N2597" s="29" t="s">
        <v>3933</v>
      </c>
      <c r="O2597" s="29"/>
      <c r="P2597" s="29" t="s">
        <v>9770</v>
      </c>
      <c r="Q2597" t="s">
        <v>2038</v>
      </c>
      <c r="R2597" t="s">
        <v>2632</v>
      </c>
      <c r="S2597">
        <v>37</v>
      </c>
      <c r="T2597" s="43" t="str">
        <f t="shared" si="112"/>
        <v>2021.080B.R.Stephanstirmvirinae.zip</v>
      </c>
      <c r="U2597" s="43" t="str">
        <f>HYPERLINK("https://ictv.global/taxonomy/taxondetails?taxnode_id=202213650","ictv.global=202213650")</f>
        <v>ictv.global=202213650</v>
      </c>
    </row>
    <row r="2598" spans="1:21">
      <c r="A2598">
        <v>2597</v>
      </c>
      <c r="B2598" s="29" t="s">
        <v>3682</v>
      </c>
      <c r="C2598" s="29"/>
      <c r="D2598" s="29" t="s">
        <v>3683</v>
      </c>
      <c r="E2598" s="29"/>
      <c r="F2598" s="29" t="s">
        <v>3686</v>
      </c>
      <c r="G2598" s="29"/>
      <c r="H2598" s="29" t="s">
        <v>3687</v>
      </c>
      <c r="I2598" s="29"/>
      <c r="J2598" s="29"/>
      <c r="K2598" s="29"/>
      <c r="L2598" s="29"/>
      <c r="M2598" s="29" t="s">
        <v>9761</v>
      </c>
      <c r="N2598" s="29" t="s">
        <v>3933</v>
      </c>
      <c r="O2598" s="29"/>
      <c r="P2598" s="29" t="s">
        <v>9771</v>
      </c>
      <c r="Q2598" t="s">
        <v>2038</v>
      </c>
      <c r="R2598" t="s">
        <v>2632</v>
      </c>
      <c r="S2598">
        <v>37</v>
      </c>
      <c r="T2598" s="43" t="str">
        <f t="shared" si="112"/>
        <v>2021.080B.R.Stephanstirmvirinae.zip</v>
      </c>
      <c r="U2598" s="43" t="str">
        <f>HYPERLINK("https://ictv.global/taxonomy/taxondetails?taxnode_id=202213651","ictv.global=202213651")</f>
        <v>ictv.global=202213651</v>
      </c>
    </row>
    <row r="2599" spans="1:21">
      <c r="A2599">
        <v>2598</v>
      </c>
      <c r="B2599" s="29" t="s">
        <v>3682</v>
      </c>
      <c r="C2599" s="29"/>
      <c r="D2599" s="29" t="s">
        <v>3683</v>
      </c>
      <c r="E2599" s="29"/>
      <c r="F2599" s="29" t="s">
        <v>3686</v>
      </c>
      <c r="G2599" s="29"/>
      <c r="H2599" s="29" t="s">
        <v>3687</v>
      </c>
      <c r="I2599" s="29"/>
      <c r="J2599" s="29"/>
      <c r="K2599" s="29"/>
      <c r="L2599" s="29"/>
      <c r="M2599" s="29" t="s">
        <v>9761</v>
      </c>
      <c r="N2599" s="29" t="s">
        <v>3933</v>
      </c>
      <c r="O2599" s="29"/>
      <c r="P2599" s="29" t="s">
        <v>9772</v>
      </c>
      <c r="Q2599" t="s">
        <v>2038</v>
      </c>
      <c r="R2599" t="s">
        <v>2632</v>
      </c>
      <c r="S2599">
        <v>37</v>
      </c>
      <c r="T2599" s="43" t="str">
        <f t="shared" si="112"/>
        <v>2021.080B.R.Stephanstirmvirinae.zip</v>
      </c>
      <c r="U2599" s="43" t="str">
        <f>HYPERLINK("https://ictv.global/taxonomy/taxondetails?taxnode_id=202213652","ictv.global=202213652")</f>
        <v>ictv.global=202213652</v>
      </c>
    </row>
    <row r="2600" spans="1:21">
      <c r="A2600">
        <v>2599</v>
      </c>
      <c r="B2600" s="29" t="s">
        <v>3682</v>
      </c>
      <c r="C2600" s="29"/>
      <c r="D2600" s="29" t="s">
        <v>3683</v>
      </c>
      <c r="E2600" s="29"/>
      <c r="F2600" s="29" t="s">
        <v>3686</v>
      </c>
      <c r="G2600" s="29"/>
      <c r="H2600" s="29" t="s">
        <v>3687</v>
      </c>
      <c r="I2600" s="29"/>
      <c r="J2600" s="29"/>
      <c r="K2600" s="29"/>
      <c r="L2600" s="29"/>
      <c r="M2600" s="29" t="s">
        <v>9761</v>
      </c>
      <c r="N2600" s="29" t="s">
        <v>3933</v>
      </c>
      <c r="O2600" s="29"/>
      <c r="P2600" s="29" t="s">
        <v>9773</v>
      </c>
      <c r="Q2600" t="s">
        <v>2038</v>
      </c>
      <c r="R2600" t="s">
        <v>2632</v>
      </c>
      <c r="S2600">
        <v>37</v>
      </c>
      <c r="T2600" s="43" t="str">
        <f t="shared" si="112"/>
        <v>2021.080B.R.Stephanstirmvirinae.zip</v>
      </c>
      <c r="U2600" s="43" t="str">
        <f>HYPERLINK("https://ictv.global/taxonomy/taxondetails?taxnode_id=202213655","ictv.global=202213655")</f>
        <v>ictv.global=202213655</v>
      </c>
    </row>
    <row r="2601" spans="1:21">
      <c r="A2601">
        <v>2600</v>
      </c>
      <c r="B2601" s="29" t="s">
        <v>3682</v>
      </c>
      <c r="C2601" s="29"/>
      <c r="D2601" s="29" t="s">
        <v>3683</v>
      </c>
      <c r="E2601" s="29"/>
      <c r="F2601" s="29" t="s">
        <v>3686</v>
      </c>
      <c r="G2601" s="29"/>
      <c r="H2601" s="29" t="s">
        <v>3687</v>
      </c>
      <c r="I2601" s="29"/>
      <c r="J2601" s="29"/>
      <c r="K2601" s="29"/>
      <c r="L2601" s="29"/>
      <c r="M2601" s="29" t="s">
        <v>9761</v>
      </c>
      <c r="N2601" s="29" t="s">
        <v>3933</v>
      </c>
      <c r="O2601" s="29"/>
      <c r="P2601" s="29" t="s">
        <v>9774</v>
      </c>
      <c r="Q2601" t="s">
        <v>2038</v>
      </c>
      <c r="R2601" t="s">
        <v>2632</v>
      </c>
      <c r="S2601">
        <v>37</v>
      </c>
      <c r="T2601" s="43" t="str">
        <f t="shared" si="112"/>
        <v>2021.080B.R.Stephanstirmvirinae.zip</v>
      </c>
      <c r="U2601" s="43" t="str">
        <f>HYPERLINK("https://ictv.global/taxonomy/taxondetails?taxnode_id=202213648","ictv.global=202213648")</f>
        <v>ictv.global=202213648</v>
      </c>
    </row>
    <row r="2602" spans="1:21">
      <c r="A2602">
        <v>2601</v>
      </c>
      <c r="B2602" s="29" t="s">
        <v>3682</v>
      </c>
      <c r="C2602" s="29"/>
      <c r="D2602" s="29" t="s">
        <v>3683</v>
      </c>
      <c r="E2602" s="29"/>
      <c r="F2602" s="29" t="s">
        <v>3686</v>
      </c>
      <c r="G2602" s="29"/>
      <c r="H2602" s="29" t="s">
        <v>3687</v>
      </c>
      <c r="I2602" s="29"/>
      <c r="J2602" s="29"/>
      <c r="K2602" s="29"/>
      <c r="L2602" s="29"/>
      <c r="M2602" s="29" t="s">
        <v>9761</v>
      </c>
      <c r="N2602" s="29" t="s">
        <v>3933</v>
      </c>
      <c r="O2602" s="29"/>
      <c r="P2602" s="29" t="s">
        <v>9775</v>
      </c>
      <c r="Q2602" t="s">
        <v>2038</v>
      </c>
      <c r="R2602" t="s">
        <v>2632</v>
      </c>
      <c r="S2602">
        <v>37</v>
      </c>
      <c r="T2602" s="43" t="str">
        <f t="shared" si="112"/>
        <v>2021.080B.R.Stephanstirmvirinae.zip</v>
      </c>
      <c r="U2602" s="43" t="str">
        <f>HYPERLINK("https://ictv.global/taxonomy/taxondetails?taxnode_id=202213653","ictv.global=202213653")</f>
        <v>ictv.global=202213653</v>
      </c>
    </row>
    <row r="2603" spans="1:21">
      <c r="A2603">
        <v>2602</v>
      </c>
      <c r="B2603" s="29" t="s">
        <v>3682</v>
      </c>
      <c r="C2603" s="29"/>
      <c r="D2603" s="29" t="s">
        <v>3683</v>
      </c>
      <c r="E2603" s="29"/>
      <c r="F2603" s="29" t="s">
        <v>3686</v>
      </c>
      <c r="G2603" s="29"/>
      <c r="H2603" s="29" t="s">
        <v>3687</v>
      </c>
      <c r="I2603" s="29"/>
      <c r="J2603" s="29"/>
      <c r="K2603" s="29"/>
      <c r="L2603" s="29"/>
      <c r="M2603" s="29" t="s">
        <v>9761</v>
      </c>
      <c r="N2603" s="29" t="s">
        <v>3933</v>
      </c>
      <c r="O2603" s="29"/>
      <c r="P2603" s="29" t="s">
        <v>9776</v>
      </c>
      <c r="Q2603" t="s">
        <v>2038</v>
      </c>
      <c r="R2603" t="s">
        <v>2632</v>
      </c>
      <c r="S2603">
        <v>37</v>
      </c>
      <c r="T2603" s="43" t="str">
        <f t="shared" si="112"/>
        <v>2021.080B.R.Stephanstirmvirinae.zip</v>
      </c>
      <c r="U2603" s="43" t="str">
        <f>HYPERLINK("https://ictv.global/taxonomy/taxondetails?taxnode_id=202213654","ictv.global=202213654")</f>
        <v>ictv.global=202213654</v>
      </c>
    </row>
    <row r="2604" spans="1:21">
      <c r="A2604">
        <v>2603</v>
      </c>
      <c r="B2604" s="29" t="s">
        <v>3682</v>
      </c>
      <c r="C2604" s="29"/>
      <c r="D2604" s="29" t="s">
        <v>3683</v>
      </c>
      <c r="E2604" s="29"/>
      <c r="F2604" s="29" t="s">
        <v>3686</v>
      </c>
      <c r="G2604" s="29"/>
      <c r="H2604" s="29" t="s">
        <v>3687</v>
      </c>
      <c r="I2604" s="29"/>
      <c r="J2604" s="29"/>
      <c r="K2604" s="29"/>
      <c r="L2604" s="29"/>
      <c r="M2604" s="29" t="s">
        <v>4697</v>
      </c>
      <c r="N2604" s="29" t="s">
        <v>4698</v>
      </c>
      <c r="O2604" s="29"/>
      <c r="P2604" s="29" t="s">
        <v>9777</v>
      </c>
      <c r="Q2604" t="s">
        <v>2038</v>
      </c>
      <c r="R2604" t="s">
        <v>2633</v>
      </c>
      <c r="S2604">
        <v>37</v>
      </c>
      <c r="T2604" s="43" t="str">
        <f t="shared" ref="T2604:T2641" si="113">HYPERLINK("https://ictv.global/ictv/proposals/2021.010B.R.Binomial_names.zip","2021.010B.R.Binomial_names.zip")</f>
        <v>2021.010B.R.Binomial_names.zip</v>
      </c>
      <c r="U2604" s="43" t="str">
        <f>HYPERLINK("https://ictv.global/taxonomy/taxondetails?taxnode_id=202212034","ictv.global=202212034")</f>
        <v>ictv.global=202212034</v>
      </c>
    </row>
    <row r="2605" spans="1:21">
      <c r="A2605">
        <v>2604</v>
      </c>
      <c r="B2605" s="29" t="s">
        <v>3682</v>
      </c>
      <c r="C2605" s="29"/>
      <c r="D2605" s="29" t="s">
        <v>3683</v>
      </c>
      <c r="E2605" s="29"/>
      <c r="F2605" s="29" t="s">
        <v>3686</v>
      </c>
      <c r="G2605" s="29"/>
      <c r="H2605" s="29" t="s">
        <v>3687</v>
      </c>
      <c r="I2605" s="29"/>
      <c r="J2605" s="29"/>
      <c r="K2605" s="29"/>
      <c r="L2605" s="29"/>
      <c r="M2605" s="29" t="s">
        <v>4697</v>
      </c>
      <c r="N2605" s="29" t="s">
        <v>4699</v>
      </c>
      <c r="O2605" s="29"/>
      <c r="P2605" s="29" t="s">
        <v>9778</v>
      </c>
      <c r="Q2605" t="s">
        <v>2038</v>
      </c>
      <c r="R2605" t="s">
        <v>2633</v>
      </c>
      <c r="S2605">
        <v>37</v>
      </c>
      <c r="T2605" s="43" t="str">
        <f t="shared" si="113"/>
        <v>2021.010B.R.Binomial_names.zip</v>
      </c>
      <c r="U2605" s="43" t="str">
        <f>HYPERLINK("https://ictv.global/taxonomy/taxondetails?taxnode_id=202212031","ictv.global=202212031")</f>
        <v>ictv.global=202212031</v>
      </c>
    </row>
    <row r="2606" spans="1:21">
      <c r="A2606">
        <v>2605</v>
      </c>
      <c r="B2606" s="29" t="s">
        <v>3682</v>
      </c>
      <c r="C2606" s="29"/>
      <c r="D2606" s="29" t="s">
        <v>3683</v>
      </c>
      <c r="E2606" s="29"/>
      <c r="F2606" s="29" t="s">
        <v>3686</v>
      </c>
      <c r="G2606" s="29"/>
      <c r="H2606" s="29" t="s">
        <v>3687</v>
      </c>
      <c r="I2606" s="29"/>
      <c r="J2606" s="29"/>
      <c r="K2606" s="29"/>
      <c r="L2606" s="29"/>
      <c r="M2606" s="29" t="s">
        <v>4697</v>
      </c>
      <c r="N2606" s="29" t="s">
        <v>4699</v>
      </c>
      <c r="O2606" s="29"/>
      <c r="P2606" s="29" t="s">
        <v>9779</v>
      </c>
      <c r="Q2606" t="s">
        <v>2038</v>
      </c>
      <c r="R2606" t="s">
        <v>2633</v>
      </c>
      <c r="S2606">
        <v>37</v>
      </c>
      <c r="T2606" s="43" t="str">
        <f t="shared" si="113"/>
        <v>2021.010B.R.Binomial_names.zip</v>
      </c>
      <c r="U2606" s="43" t="str">
        <f>HYPERLINK("https://ictv.global/taxonomy/taxondetails?taxnode_id=202212032","ictv.global=202212032")</f>
        <v>ictv.global=202212032</v>
      </c>
    </row>
    <row r="2607" spans="1:21">
      <c r="A2607">
        <v>2606</v>
      </c>
      <c r="B2607" s="29" t="s">
        <v>3682</v>
      </c>
      <c r="C2607" s="29"/>
      <c r="D2607" s="29" t="s">
        <v>3683</v>
      </c>
      <c r="E2607" s="29"/>
      <c r="F2607" s="29" t="s">
        <v>3686</v>
      </c>
      <c r="G2607" s="29"/>
      <c r="H2607" s="29" t="s">
        <v>3687</v>
      </c>
      <c r="I2607" s="29"/>
      <c r="J2607" s="29"/>
      <c r="K2607" s="29"/>
      <c r="L2607" s="29"/>
      <c r="M2607" s="29" t="s">
        <v>3976</v>
      </c>
      <c r="N2607" s="29" t="s">
        <v>3977</v>
      </c>
      <c r="O2607" s="29"/>
      <c r="P2607" s="29" t="s">
        <v>9780</v>
      </c>
      <c r="Q2607" t="s">
        <v>2038</v>
      </c>
      <c r="R2607" t="s">
        <v>2633</v>
      </c>
      <c r="S2607">
        <v>37</v>
      </c>
      <c r="T2607" s="43" t="str">
        <f t="shared" si="113"/>
        <v>2021.010B.R.Binomial_names.zip</v>
      </c>
      <c r="U2607" s="43" t="str">
        <f>HYPERLINK("https://ictv.global/taxonomy/taxondetails?taxnode_id=202207824","ictv.global=202207824")</f>
        <v>ictv.global=202207824</v>
      </c>
    </row>
    <row r="2608" spans="1:21">
      <c r="A2608">
        <v>2607</v>
      </c>
      <c r="B2608" s="29" t="s">
        <v>3682</v>
      </c>
      <c r="C2608" s="29"/>
      <c r="D2608" s="29" t="s">
        <v>3683</v>
      </c>
      <c r="E2608" s="29"/>
      <c r="F2608" s="29" t="s">
        <v>3686</v>
      </c>
      <c r="G2608" s="29"/>
      <c r="H2608" s="29" t="s">
        <v>3687</v>
      </c>
      <c r="I2608" s="29"/>
      <c r="J2608" s="29"/>
      <c r="K2608" s="29"/>
      <c r="L2608" s="29"/>
      <c r="M2608" s="29" t="s">
        <v>3976</v>
      </c>
      <c r="N2608" s="29" t="s">
        <v>3978</v>
      </c>
      <c r="O2608" s="29"/>
      <c r="P2608" s="29" t="s">
        <v>9781</v>
      </c>
      <c r="Q2608" t="s">
        <v>2038</v>
      </c>
      <c r="R2608" t="s">
        <v>2633</v>
      </c>
      <c r="S2608">
        <v>37</v>
      </c>
      <c r="T2608" s="43" t="str">
        <f t="shared" si="113"/>
        <v>2021.010B.R.Binomial_names.zip</v>
      </c>
      <c r="U2608" s="43" t="str">
        <f>HYPERLINK("https://ictv.global/taxonomy/taxondetails?taxnode_id=202207829","ictv.global=202207829")</f>
        <v>ictv.global=202207829</v>
      </c>
    </row>
    <row r="2609" spans="1:21">
      <c r="A2609">
        <v>2608</v>
      </c>
      <c r="B2609" s="29" t="s">
        <v>3682</v>
      </c>
      <c r="C2609" s="29"/>
      <c r="D2609" s="29" t="s">
        <v>3683</v>
      </c>
      <c r="E2609" s="29"/>
      <c r="F2609" s="29" t="s">
        <v>3686</v>
      </c>
      <c r="G2609" s="29"/>
      <c r="H2609" s="29" t="s">
        <v>3687</v>
      </c>
      <c r="I2609" s="29"/>
      <c r="J2609" s="29"/>
      <c r="K2609" s="29"/>
      <c r="L2609" s="29"/>
      <c r="M2609" s="29" t="s">
        <v>3976</v>
      </c>
      <c r="N2609" s="29" t="s">
        <v>3978</v>
      </c>
      <c r="O2609" s="29"/>
      <c r="P2609" s="29" t="s">
        <v>9782</v>
      </c>
      <c r="Q2609" t="s">
        <v>2038</v>
      </c>
      <c r="R2609" t="s">
        <v>2633</v>
      </c>
      <c r="S2609">
        <v>37</v>
      </c>
      <c r="T2609" s="43" t="str">
        <f t="shared" si="113"/>
        <v>2021.010B.R.Binomial_names.zip</v>
      </c>
      <c r="U2609" s="43" t="str">
        <f>HYPERLINK("https://ictv.global/taxonomy/taxondetails?taxnode_id=202207830","ictv.global=202207830")</f>
        <v>ictv.global=202207830</v>
      </c>
    </row>
    <row r="2610" spans="1:21">
      <c r="A2610">
        <v>2609</v>
      </c>
      <c r="B2610" s="29" t="s">
        <v>3682</v>
      </c>
      <c r="C2610" s="29"/>
      <c r="D2610" s="29" t="s">
        <v>3683</v>
      </c>
      <c r="E2610" s="29"/>
      <c r="F2610" s="29" t="s">
        <v>3686</v>
      </c>
      <c r="G2610" s="29"/>
      <c r="H2610" s="29" t="s">
        <v>3687</v>
      </c>
      <c r="I2610" s="29"/>
      <c r="J2610" s="29"/>
      <c r="K2610" s="29"/>
      <c r="L2610" s="29"/>
      <c r="M2610" s="29" t="s">
        <v>3976</v>
      </c>
      <c r="N2610" s="29" t="s">
        <v>3978</v>
      </c>
      <c r="O2610" s="29"/>
      <c r="P2610" s="29" t="s">
        <v>9783</v>
      </c>
      <c r="Q2610" t="s">
        <v>2038</v>
      </c>
      <c r="R2610" t="s">
        <v>2633</v>
      </c>
      <c r="S2610">
        <v>37</v>
      </c>
      <c r="T2610" s="43" t="str">
        <f t="shared" si="113"/>
        <v>2021.010B.R.Binomial_names.zip</v>
      </c>
      <c r="U2610" s="43" t="str">
        <f>HYPERLINK("https://ictv.global/taxonomy/taxondetails?taxnode_id=202207831","ictv.global=202207831")</f>
        <v>ictv.global=202207831</v>
      </c>
    </row>
    <row r="2611" spans="1:21">
      <c r="A2611">
        <v>2610</v>
      </c>
      <c r="B2611" s="29" t="s">
        <v>3682</v>
      </c>
      <c r="C2611" s="29"/>
      <c r="D2611" s="29" t="s">
        <v>3683</v>
      </c>
      <c r="E2611" s="29"/>
      <c r="F2611" s="29" t="s">
        <v>3686</v>
      </c>
      <c r="G2611" s="29"/>
      <c r="H2611" s="29" t="s">
        <v>3687</v>
      </c>
      <c r="I2611" s="29"/>
      <c r="J2611" s="29"/>
      <c r="K2611" s="29"/>
      <c r="L2611" s="29"/>
      <c r="M2611" s="29" t="s">
        <v>3976</v>
      </c>
      <c r="N2611" s="29" t="s">
        <v>3979</v>
      </c>
      <c r="O2611" s="29"/>
      <c r="P2611" s="29" t="s">
        <v>9784</v>
      </c>
      <c r="Q2611" t="s">
        <v>2038</v>
      </c>
      <c r="R2611" t="s">
        <v>2633</v>
      </c>
      <c r="S2611">
        <v>37</v>
      </c>
      <c r="T2611" s="43" t="str">
        <f t="shared" si="113"/>
        <v>2021.010B.R.Binomial_names.zip</v>
      </c>
      <c r="U2611" s="43" t="str">
        <f>HYPERLINK("https://ictv.global/taxonomy/taxondetails?taxnode_id=202207826","ictv.global=202207826")</f>
        <v>ictv.global=202207826</v>
      </c>
    </row>
    <row r="2612" spans="1:21">
      <c r="A2612">
        <v>2611</v>
      </c>
      <c r="B2612" s="29" t="s">
        <v>3682</v>
      </c>
      <c r="C2612" s="29"/>
      <c r="D2612" s="29" t="s">
        <v>3683</v>
      </c>
      <c r="E2612" s="29"/>
      <c r="F2612" s="29" t="s">
        <v>3686</v>
      </c>
      <c r="G2612" s="29"/>
      <c r="H2612" s="29" t="s">
        <v>3687</v>
      </c>
      <c r="I2612" s="29"/>
      <c r="J2612" s="29"/>
      <c r="K2612" s="29"/>
      <c r="L2612" s="29"/>
      <c r="M2612" s="29" t="s">
        <v>3976</v>
      </c>
      <c r="N2612" s="29" t="s">
        <v>3979</v>
      </c>
      <c r="O2612" s="29"/>
      <c r="P2612" s="29" t="s">
        <v>9785</v>
      </c>
      <c r="Q2612" t="s">
        <v>2038</v>
      </c>
      <c r="R2612" t="s">
        <v>2633</v>
      </c>
      <c r="S2612">
        <v>37</v>
      </c>
      <c r="T2612" s="43" t="str">
        <f t="shared" si="113"/>
        <v>2021.010B.R.Binomial_names.zip</v>
      </c>
      <c r="U2612" s="43" t="str">
        <f>HYPERLINK("https://ictv.global/taxonomy/taxondetails?taxnode_id=202207827","ictv.global=202207827")</f>
        <v>ictv.global=202207827</v>
      </c>
    </row>
    <row r="2613" spans="1:21">
      <c r="A2613">
        <v>2612</v>
      </c>
      <c r="B2613" s="29" t="s">
        <v>3682</v>
      </c>
      <c r="C2613" s="29"/>
      <c r="D2613" s="29" t="s">
        <v>3683</v>
      </c>
      <c r="E2613" s="29"/>
      <c r="F2613" s="29" t="s">
        <v>3686</v>
      </c>
      <c r="G2613" s="29"/>
      <c r="H2613" s="29" t="s">
        <v>3687</v>
      </c>
      <c r="I2613" s="29"/>
      <c r="J2613" s="29"/>
      <c r="K2613" s="29"/>
      <c r="L2613" s="29"/>
      <c r="M2613" s="29" t="s">
        <v>3976</v>
      </c>
      <c r="N2613" s="29" t="s">
        <v>3980</v>
      </c>
      <c r="O2613" s="29"/>
      <c r="P2613" s="29" t="s">
        <v>9786</v>
      </c>
      <c r="Q2613" t="s">
        <v>2038</v>
      </c>
      <c r="R2613" t="s">
        <v>2633</v>
      </c>
      <c r="S2613">
        <v>37</v>
      </c>
      <c r="T2613" s="43" t="str">
        <f t="shared" si="113"/>
        <v>2021.010B.R.Binomial_names.zip</v>
      </c>
      <c r="U2613" s="43" t="str">
        <f>HYPERLINK("https://ictv.global/taxonomy/taxondetails?taxnode_id=202207833","ictv.global=202207833")</f>
        <v>ictv.global=202207833</v>
      </c>
    </row>
    <row r="2614" spans="1:21">
      <c r="A2614">
        <v>2613</v>
      </c>
      <c r="B2614" s="29" t="s">
        <v>3682</v>
      </c>
      <c r="C2614" s="29"/>
      <c r="D2614" s="29" t="s">
        <v>3683</v>
      </c>
      <c r="E2614" s="29"/>
      <c r="F2614" s="29" t="s">
        <v>3686</v>
      </c>
      <c r="G2614" s="29"/>
      <c r="H2614" s="29" t="s">
        <v>3687</v>
      </c>
      <c r="I2614" s="29"/>
      <c r="J2614" s="29"/>
      <c r="K2614" s="29"/>
      <c r="L2614" s="29"/>
      <c r="M2614" s="29" t="s">
        <v>3976</v>
      </c>
      <c r="N2614" s="29" t="s">
        <v>3980</v>
      </c>
      <c r="O2614" s="29"/>
      <c r="P2614" s="29" t="s">
        <v>9787</v>
      </c>
      <c r="Q2614" t="s">
        <v>2038</v>
      </c>
      <c r="R2614" t="s">
        <v>2633</v>
      </c>
      <c r="S2614">
        <v>37</v>
      </c>
      <c r="T2614" s="43" t="str">
        <f t="shared" si="113"/>
        <v>2021.010B.R.Binomial_names.zip</v>
      </c>
      <c r="U2614" s="43" t="str">
        <f>HYPERLINK("https://ictv.global/taxonomy/taxondetails?taxnode_id=202207835","ictv.global=202207835")</f>
        <v>ictv.global=202207835</v>
      </c>
    </row>
    <row r="2615" spans="1:21">
      <c r="A2615">
        <v>2614</v>
      </c>
      <c r="B2615" s="29" t="s">
        <v>3682</v>
      </c>
      <c r="C2615" s="29"/>
      <c r="D2615" s="29" t="s">
        <v>3683</v>
      </c>
      <c r="E2615" s="29"/>
      <c r="F2615" s="29" t="s">
        <v>3686</v>
      </c>
      <c r="G2615" s="29"/>
      <c r="H2615" s="29" t="s">
        <v>3687</v>
      </c>
      <c r="I2615" s="29"/>
      <c r="J2615" s="29"/>
      <c r="K2615" s="29"/>
      <c r="L2615" s="29"/>
      <c r="M2615" s="29" t="s">
        <v>3976</v>
      </c>
      <c r="N2615" s="29" t="s">
        <v>3980</v>
      </c>
      <c r="O2615" s="29"/>
      <c r="P2615" s="29" t="s">
        <v>9788</v>
      </c>
      <c r="Q2615" t="s">
        <v>2038</v>
      </c>
      <c r="R2615" t="s">
        <v>2633</v>
      </c>
      <c r="S2615">
        <v>37</v>
      </c>
      <c r="T2615" s="43" t="str">
        <f t="shared" si="113"/>
        <v>2021.010B.R.Binomial_names.zip</v>
      </c>
      <c r="U2615" s="43" t="str">
        <f>HYPERLINK("https://ictv.global/taxonomy/taxondetails?taxnode_id=202207834","ictv.global=202207834")</f>
        <v>ictv.global=202207834</v>
      </c>
    </row>
    <row r="2616" spans="1:21">
      <c r="A2616">
        <v>2615</v>
      </c>
      <c r="B2616" s="29" t="s">
        <v>3682</v>
      </c>
      <c r="C2616" s="29"/>
      <c r="D2616" s="29" t="s">
        <v>3683</v>
      </c>
      <c r="E2616" s="29"/>
      <c r="F2616" s="29" t="s">
        <v>3686</v>
      </c>
      <c r="G2616" s="29"/>
      <c r="H2616" s="29" t="s">
        <v>3687</v>
      </c>
      <c r="I2616" s="29"/>
      <c r="J2616" s="29"/>
      <c r="K2616" s="29"/>
      <c r="L2616" s="29"/>
      <c r="M2616" s="29" t="s">
        <v>2054</v>
      </c>
      <c r="N2616" s="29" t="s">
        <v>3389</v>
      </c>
      <c r="O2616" s="29"/>
      <c r="P2616" s="29" t="s">
        <v>9789</v>
      </c>
      <c r="Q2616" t="s">
        <v>2038</v>
      </c>
      <c r="R2616" t="s">
        <v>2633</v>
      </c>
      <c r="S2616">
        <v>37</v>
      </c>
      <c r="T2616" s="43" t="str">
        <f t="shared" si="113"/>
        <v>2021.010B.R.Binomial_names.zip</v>
      </c>
      <c r="U2616" s="43" t="str">
        <f>HYPERLINK("https://ictv.global/taxonomy/taxondetails?taxnode_id=202207080","ictv.global=202207080")</f>
        <v>ictv.global=202207080</v>
      </c>
    </row>
    <row r="2617" spans="1:21">
      <c r="A2617">
        <v>2616</v>
      </c>
      <c r="B2617" s="29" t="s">
        <v>3682</v>
      </c>
      <c r="C2617" s="29"/>
      <c r="D2617" s="29" t="s">
        <v>3683</v>
      </c>
      <c r="E2617" s="29"/>
      <c r="F2617" s="29" t="s">
        <v>3686</v>
      </c>
      <c r="G2617" s="29"/>
      <c r="H2617" s="29" t="s">
        <v>3687</v>
      </c>
      <c r="I2617" s="29"/>
      <c r="J2617" s="29"/>
      <c r="K2617" s="29"/>
      <c r="L2617" s="29"/>
      <c r="M2617" s="29" t="s">
        <v>2054</v>
      </c>
      <c r="N2617" s="29" t="s">
        <v>3390</v>
      </c>
      <c r="O2617" s="29"/>
      <c r="P2617" s="29" t="s">
        <v>9790</v>
      </c>
      <c r="Q2617" t="s">
        <v>2038</v>
      </c>
      <c r="R2617" t="s">
        <v>2633</v>
      </c>
      <c r="S2617">
        <v>37</v>
      </c>
      <c r="T2617" s="43" t="str">
        <f t="shared" si="113"/>
        <v>2021.010B.R.Binomial_names.zip</v>
      </c>
      <c r="U2617" s="43" t="str">
        <f>HYPERLINK("https://ictv.global/taxonomy/taxondetails?taxnode_id=202200347","ictv.global=202200347")</f>
        <v>ictv.global=202200347</v>
      </c>
    </row>
    <row r="2618" spans="1:21">
      <c r="A2618">
        <v>2617</v>
      </c>
      <c r="B2618" s="29" t="s">
        <v>3682</v>
      </c>
      <c r="C2618" s="29"/>
      <c r="D2618" s="29" t="s">
        <v>3683</v>
      </c>
      <c r="E2618" s="29"/>
      <c r="F2618" s="29" t="s">
        <v>3686</v>
      </c>
      <c r="G2618" s="29"/>
      <c r="H2618" s="29" t="s">
        <v>3687</v>
      </c>
      <c r="I2618" s="29"/>
      <c r="J2618" s="29"/>
      <c r="K2618" s="29"/>
      <c r="L2618" s="29"/>
      <c r="M2618" s="29" t="s">
        <v>2054</v>
      </c>
      <c r="N2618" s="29" t="s">
        <v>3390</v>
      </c>
      <c r="O2618" s="29"/>
      <c r="P2618" s="29" t="s">
        <v>9791</v>
      </c>
      <c r="Q2618" t="s">
        <v>2038</v>
      </c>
      <c r="R2618" t="s">
        <v>2633</v>
      </c>
      <c r="S2618">
        <v>37</v>
      </c>
      <c r="T2618" s="43" t="str">
        <f t="shared" si="113"/>
        <v>2021.010B.R.Binomial_names.zip</v>
      </c>
      <c r="U2618" s="43" t="str">
        <f>HYPERLINK("https://ictv.global/taxonomy/taxondetails?taxnode_id=202200348","ictv.global=202200348")</f>
        <v>ictv.global=202200348</v>
      </c>
    </row>
    <row r="2619" spans="1:21">
      <c r="A2619">
        <v>2618</v>
      </c>
      <c r="B2619" s="29" t="s">
        <v>3682</v>
      </c>
      <c r="C2619" s="29"/>
      <c r="D2619" s="29" t="s">
        <v>3683</v>
      </c>
      <c r="E2619" s="29"/>
      <c r="F2619" s="29" t="s">
        <v>3686</v>
      </c>
      <c r="G2619" s="29"/>
      <c r="H2619" s="29" t="s">
        <v>3687</v>
      </c>
      <c r="I2619" s="29"/>
      <c r="J2619" s="29"/>
      <c r="K2619" s="29"/>
      <c r="L2619" s="29"/>
      <c r="M2619" s="29" t="s">
        <v>2054</v>
      </c>
      <c r="N2619" s="29" t="s">
        <v>3390</v>
      </c>
      <c r="O2619" s="29"/>
      <c r="P2619" s="29" t="s">
        <v>9792</v>
      </c>
      <c r="Q2619" t="s">
        <v>2038</v>
      </c>
      <c r="R2619" t="s">
        <v>2633</v>
      </c>
      <c r="S2619">
        <v>37</v>
      </c>
      <c r="T2619" s="43" t="str">
        <f t="shared" si="113"/>
        <v>2021.010B.R.Binomial_names.zip</v>
      </c>
      <c r="U2619" s="43" t="str">
        <f>HYPERLINK("https://ictv.global/taxonomy/taxondetails?taxnode_id=202200349","ictv.global=202200349")</f>
        <v>ictv.global=202200349</v>
      </c>
    </row>
    <row r="2620" spans="1:21">
      <c r="A2620">
        <v>2619</v>
      </c>
      <c r="B2620" s="29" t="s">
        <v>3682</v>
      </c>
      <c r="C2620" s="29"/>
      <c r="D2620" s="29" t="s">
        <v>3683</v>
      </c>
      <c r="E2620" s="29"/>
      <c r="F2620" s="29" t="s">
        <v>3686</v>
      </c>
      <c r="G2620" s="29"/>
      <c r="H2620" s="29" t="s">
        <v>3687</v>
      </c>
      <c r="I2620" s="29"/>
      <c r="J2620" s="29"/>
      <c r="K2620" s="29"/>
      <c r="L2620" s="29"/>
      <c r="M2620" s="29" t="s">
        <v>2054</v>
      </c>
      <c r="N2620" s="29" t="s">
        <v>3390</v>
      </c>
      <c r="O2620" s="29"/>
      <c r="P2620" s="29" t="s">
        <v>9793</v>
      </c>
      <c r="Q2620" t="s">
        <v>2038</v>
      </c>
      <c r="R2620" t="s">
        <v>2633</v>
      </c>
      <c r="S2620">
        <v>37</v>
      </c>
      <c r="T2620" s="43" t="str">
        <f t="shared" si="113"/>
        <v>2021.010B.R.Binomial_names.zip</v>
      </c>
      <c r="U2620" s="43" t="str">
        <f>HYPERLINK("https://ictv.global/taxonomy/taxondetails?taxnode_id=202200350","ictv.global=202200350")</f>
        <v>ictv.global=202200350</v>
      </c>
    </row>
    <row r="2621" spans="1:21">
      <c r="A2621">
        <v>2620</v>
      </c>
      <c r="B2621" s="29" t="s">
        <v>3682</v>
      </c>
      <c r="C2621" s="29"/>
      <c r="D2621" s="29" t="s">
        <v>3683</v>
      </c>
      <c r="E2621" s="29"/>
      <c r="F2621" s="29" t="s">
        <v>3686</v>
      </c>
      <c r="G2621" s="29"/>
      <c r="H2621" s="29" t="s">
        <v>3687</v>
      </c>
      <c r="I2621" s="29"/>
      <c r="J2621" s="29"/>
      <c r="K2621" s="29"/>
      <c r="L2621" s="29"/>
      <c r="M2621" s="29" t="s">
        <v>2054</v>
      </c>
      <c r="N2621" s="29" t="s">
        <v>3390</v>
      </c>
      <c r="O2621" s="29"/>
      <c r="P2621" s="29" t="s">
        <v>9794</v>
      </c>
      <c r="Q2621" t="s">
        <v>2038</v>
      </c>
      <c r="R2621" t="s">
        <v>2633</v>
      </c>
      <c r="S2621">
        <v>37</v>
      </c>
      <c r="T2621" s="43" t="str">
        <f t="shared" si="113"/>
        <v>2021.010B.R.Binomial_names.zip</v>
      </c>
      <c r="U2621" s="43" t="str">
        <f>HYPERLINK("https://ictv.global/taxonomy/taxondetails?taxnode_id=202200351","ictv.global=202200351")</f>
        <v>ictv.global=202200351</v>
      </c>
    </row>
    <row r="2622" spans="1:21">
      <c r="A2622">
        <v>2621</v>
      </c>
      <c r="B2622" s="29" t="s">
        <v>3682</v>
      </c>
      <c r="C2622" s="29"/>
      <c r="D2622" s="29" t="s">
        <v>3683</v>
      </c>
      <c r="E2622" s="29"/>
      <c r="F2622" s="29" t="s">
        <v>3686</v>
      </c>
      <c r="G2622" s="29"/>
      <c r="H2622" s="29" t="s">
        <v>3687</v>
      </c>
      <c r="I2622" s="29"/>
      <c r="J2622" s="29"/>
      <c r="K2622" s="29"/>
      <c r="L2622" s="29"/>
      <c r="M2622" s="29" t="s">
        <v>2054</v>
      </c>
      <c r="N2622" s="29" t="s">
        <v>4548</v>
      </c>
      <c r="O2622" s="29"/>
      <c r="P2622" s="29" t="s">
        <v>9795</v>
      </c>
      <c r="Q2622" t="s">
        <v>2038</v>
      </c>
      <c r="R2622" t="s">
        <v>2633</v>
      </c>
      <c r="S2622">
        <v>37</v>
      </c>
      <c r="T2622" s="43" t="str">
        <f t="shared" si="113"/>
        <v>2021.010B.R.Binomial_names.zip</v>
      </c>
      <c r="U2622" s="43" t="str">
        <f>HYPERLINK("https://ictv.global/taxonomy/taxondetails?taxnode_id=202210105","ictv.global=202210105")</f>
        <v>ictv.global=202210105</v>
      </c>
    </row>
    <row r="2623" spans="1:21">
      <c r="A2623">
        <v>2622</v>
      </c>
      <c r="B2623" s="29" t="s">
        <v>3682</v>
      </c>
      <c r="C2623" s="29"/>
      <c r="D2623" s="29" t="s">
        <v>3683</v>
      </c>
      <c r="E2623" s="29"/>
      <c r="F2623" s="29" t="s">
        <v>3686</v>
      </c>
      <c r="G2623" s="29"/>
      <c r="H2623" s="29" t="s">
        <v>3687</v>
      </c>
      <c r="I2623" s="29"/>
      <c r="J2623" s="29"/>
      <c r="K2623" s="29"/>
      <c r="L2623" s="29"/>
      <c r="M2623" s="29" t="s">
        <v>2054</v>
      </c>
      <c r="N2623" s="29" t="s">
        <v>4548</v>
      </c>
      <c r="O2623" s="29"/>
      <c r="P2623" s="29" t="s">
        <v>9796</v>
      </c>
      <c r="Q2623" t="s">
        <v>2038</v>
      </c>
      <c r="R2623" t="s">
        <v>2633</v>
      </c>
      <c r="S2623">
        <v>37</v>
      </c>
      <c r="T2623" s="43" t="str">
        <f t="shared" si="113"/>
        <v>2021.010B.R.Binomial_names.zip</v>
      </c>
      <c r="U2623" s="43" t="str">
        <f>HYPERLINK("https://ictv.global/taxonomy/taxondetails?taxnode_id=202210106","ictv.global=202210106")</f>
        <v>ictv.global=202210106</v>
      </c>
    </row>
    <row r="2624" spans="1:21">
      <c r="A2624">
        <v>2623</v>
      </c>
      <c r="B2624" s="29" t="s">
        <v>3682</v>
      </c>
      <c r="C2624" s="29"/>
      <c r="D2624" s="29" t="s">
        <v>3683</v>
      </c>
      <c r="E2624" s="29"/>
      <c r="F2624" s="29" t="s">
        <v>3686</v>
      </c>
      <c r="G2624" s="29"/>
      <c r="H2624" s="29" t="s">
        <v>3687</v>
      </c>
      <c r="I2624" s="29"/>
      <c r="J2624" s="29"/>
      <c r="K2624" s="29"/>
      <c r="L2624" s="29"/>
      <c r="M2624" s="29" t="s">
        <v>2054</v>
      </c>
      <c r="N2624" s="29" t="s">
        <v>4549</v>
      </c>
      <c r="O2624" s="29"/>
      <c r="P2624" s="29" t="s">
        <v>9797</v>
      </c>
      <c r="Q2624" t="s">
        <v>2038</v>
      </c>
      <c r="R2624" t="s">
        <v>2633</v>
      </c>
      <c r="S2624">
        <v>37</v>
      </c>
      <c r="T2624" s="43" t="str">
        <f t="shared" si="113"/>
        <v>2021.010B.R.Binomial_names.zip</v>
      </c>
      <c r="U2624" s="43" t="str">
        <f>HYPERLINK("https://ictv.global/taxonomy/taxondetails?taxnode_id=202211550","ictv.global=202211550")</f>
        <v>ictv.global=202211550</v>
      </c>
    </row>
    <row r="2625" spans="1:21">
      <c r="A2625">
        <v>2624</v>
      </c>
      <c r="B2625" s="29" t="s">
        <v>3682</v>
      </c>
      <c r="C2625" s="29"/>
      <c r="D2625" s="29" t="s">
        <v>3683</v>
      </c>
      <c r="E2625" s="29"/>
      <c r="F2625" s="29" t="s">
        <v>3686</v>
      </c>
      <c r="G2625" s="29"/>
      <c r="H2625" s="29" t="s">
        <v>3687</v>
      </c>
      <c r="I2625" s="29"/>
      <c r="J2625" s="29"/>
      <c r="K2625" s="29"/>
      <c r="L2625" s="29"/>
      <c r="M2625" s="29" t="s">
        <v>2054</v>
      </c>
      <c r="N2625" s="29" t="s">
        <v>4549</v>
      </c>
      <c r="O2625" s="29"/>
      <c r="P2625" s="29" t="s">
        <v>9798</v>
      </c>
      <c r="Q2625" t="s">
        <v>2038</v>
      </c>
      <c r="R2625" t="s">
        <v>2633</v>
      </c>
      <c r="S2625">
        <v>37</v>
      </c>
      <c r="T2625" s="43" t="str">
        <f t="shared" si="113"/>
        <v>2021.010B.R.Binomial_names.zip</v>
      </c>
      <c r="U2625" s="43" t="str">
        <f>HYPERLINK("https://ictv.global/taxonomy/taxondetails?taxnode_id=202211551","ictv.global=202211551")</f>
        <v>ictv.global=202211551</v>
      </c>
    </row>
    <row r="2626" spans="1:21">
      <c r="A2626">
        <v>2625</v>
      </c>
      <c r="B2626" s="29" t="s">
        <v>3682</v>
      </c>
      <c r="C2626" s="29"/>
      <c r="D2626" s="29" t="s">
        <v>3683</v>
      </c>
      <c r="E2626" s="29"/>
      <c r="F2626" s="29" t="s">
        <v>3686</v>
      </c>
      <c r="G2626" s="29"/>
      <c r="H2626" s="29" t="s">
        <v>3687</v>
      </c>
      <c r="I2626" s="29"/>
      <c r="J2626" s="29"/>
      <c r="K2626" s="29"/>
      <c r="L2626" s="29"/>
      <c r="M2626" s="29" t="s">
        <v>2054</v>
      </c>
      <c r="N2626" s="29" t="s">
        <v>4549</v>
      </c>
      <c r="O2626" s="29"/>
      <c r="P2626" s="29" t="s">
        <v>9799</v>
      </c>
      <c r="Q2626" t="s">
        <v>2038</v>
      </c>
      <c r="R2626" t="s">
        <v>2633</v>
      </c>
      <c r="S2626">
        <v>37</v>
      </c>
      <c r="T2626" s="43" t="str">
        <f t="shared" si="113"/>
        <v>2021.010B.R.Binomial_names.zip</v>
      </c>
      <c r="U2626" s="43" t="str">
        <f>HYPERLINK("https://ictv.global/taxonomy/taxondetails?taxnode_id=202211554","ictv.global=202211554")</f>
        <v>ictv.global=202211554</v>
      </c>
    </row>
    <row r="2627" spans="1:21">
      <c r="A2627">
        <v>2626</v>
      </c>
      <c r="B2627" s="29" t="s">
        <v>3682</v>
      </c>
      <c r="C2627" s="29"/>
      <c r="D2627" s="29" t="s">
        <v>3683</v>
      </c>
      <c r="E2627" s="29"/>
      <c r="F2627" s="29" t="s">
        <v>3686</v>
      </c>
      <c r="G2627" s="29"/>
      <c r="H2627" s="29" t="s">
        <v>3687</v>
      </c>
      <c r="I2627" s="29"/>
      <c r="J2627" s="29"/>
      <c r="K2627" s="29"/>
      <c r="L2627" s="29"/>
      <c r="M2627" s="29" t="s">
        <v>2054</v>
      </c>
      <c r="N2627" s="29" t="s">
        <v>4549</v>
      </c>
      <c r="O2627" s="29"/>
      <c r="P2627" s="29" t="s">
        <v>9800</v>
      </c>
      <c r="Q2627" t="s">
        <v>2038</v>
      </c>
      <c r="R2627" t="s">
        <v>2633</v>
      </c>
      <c r="S2627">
        <v>37</v>
      </c>
      <c r="T2627" s="43" t="str">
        <f t="shared" si="113"/>
        <v>2021.010B.R.Binomial_names.zip</v>
      </c>
      <c r="U2627" s="43" t="str">
        <f>HYPERLINK("https://ictv.global/taxonomy/taxondetails?taxnode_id=202211553","ictv.global=202211553")</f>
        <v>ictv.global=202211553</v>
      </c>
    </row>
    <row r="2628" spans="1:21">
      <c r="A2628">
        <v>2627</v>
      </c>
      <c r="B2628" s="29" t="s">
        <v>3682</v>
      </c>
      <c r="C2628" s="29"/>
      <c r="D2628" s="29" t="s">
        <v>3683</v>
      </c>
      <c r="E2628" s="29"/>
      <c r="F2628" s="29" t="s">
        <v>3686</v>
      </c>
      <c r="G2628" s="29"/>
      <c r="H2628" s="29" t="s">
        <v>3687</v>
      </c>
      <c r="I2628" s="29"/>
      <c r="J2628" s="29"/>
      <c r="K2628" s="29"/>
      <c r="L2628" s="29"/>
      <c r="M2628" s="29" t="s">
        <v>2054</v>
      </c>
      <c r="N2628" s="29" t="s">
        <v>4549</v>
      </c>
      <c r="O2628" s="29"/>
      <c r="P2628" s="29" t="s">
        <v>9801</v>
      </c>
      <c r="Q2628" t="s">
        <v>2038</v>
      </c>
      <c r="R2628" t="s">
        <v>2633</v>
      </c>
      <c r="S2628">
        <v>37</v>
      </c>
      <c r="T2628" s="43" t="str">
        <f t="shared" si="113"/>
        <v>2021.010B.R.Binomial_names.zip</v>
      </c>
      <c r="U2628" s="43" t="str">
        <f>HYPERLINK("https://ictv.global/taxonomy/taxondetails?taxnode_id=202211549","ictv.global=202211549")</f>
        <v>ictv.global=202211549</v>
      </c>
    </row>
    <row r="2629" spans="1:21">
      <c r="A2629">
        <v>2628</v>
      </c>
      <c r="B2629" s="29" t="s">
        <v>3682</v>
      </c>
      <c r="C2629" s="29"/>
      <c r="D2629" s="29" t="s">
        <v>3683</v>
      </c>
      <c r="E2629" s="29"/>
      <c r="F2629" s="29" t="s">
        <v>3686</v>
      </c>
      <c r="G2629" s="29"/>
      <c r="H2629" s="29" t="s">
        <v>3687</v>
      </c>
      <c r="I2629" s="29"/>
      <c r="J2629" s="29"/>
      <c r="K2629" s="29"/>
      <c r="L2629" s="29"/>
      <c r="M2629" s="29" t="s">
        <v>2054</v>
      </c>
      <c r="N2629" s="29" t="s">
        <v>4549</v>
      </c>
      <c r="O2629" s="29"/>
      <c r="P2629" s="29" t="s">
        <v>9802</v>
      </c>
      <c r="Q2629" t="s">
        <v>2038</v>
      </c>
      <c r="R2629" t="s">
        <v>2633</v>
      </c>
      <c r="S2629">
        <v>37</v>
      </c>
      <c r="T2629" s="43" t="str">
        <f t="shared" si="113"/>
        <v>2021.010B.R.Binomial_names.zip</v>
      </c>
      <c r="U2629" s="43" t="str">
        <f>HYPERLINK("https://ictv.global/taxonomy/taxondetails?taxnode_id=202211552","ictv.global=202211552")</f>
        <v>ictv.global=202211552</v>
      </c>
    </row>
    <row r="2630" spans="1:21">
      <c r="A2630">
        <v>2629</v>
      </c>
      <c r="B2630" s="29" t="s">
        <v>3682</v>
      </c>
      <c r="C2630" s="29"/>
      <c r="D2630" s="29" t="s">
        <v>3683</v>
      </c>
      <c r="E2630" s="29"/>
      <c r="F2630" s="29" t="s">
        <v>3686</v>
      </c>
      <c r="G2630" s="29"/>
      <c r="H2630" s="29" t="s">
        <v>3687</v>
      </c>
      <c r="I2630" s="29"/>
      <c r="J2630" s="29"/>
      <c r="K2630" s="29"/>
      <c r="L2630" s="29"/>
      <c r="M2630" s="29" t="s">
        <v>2054</v>
      </c>
      <c r="N2630" s="29" t="s">
        <v>3391</v>
      </c>
      <c r="O2630" s="29"/>
      <c r="P2630" s="29" t="s">
        <v>9803</v>
      </c>
      <c r="Q2630" t="s">
        <v>2038</v>
      </c>
      <c r="R2630" t="s">
        <v>2633</v>
      </c>
      <c r="S2630">
        <v>37</v>
      </c>
      <c r="T2630" s="43" t="str">
        <f t="shared" si="113"/>
        <v>2021.010B.R.Binomial_names.zip</v>
      </c>
      <c r="U2630" s="43" t="str">
        <f>HYPERLINK("https://ictv.global/taxonomy/taxondetails?taxnode_id=202200354","ictv.global=202200354")</f>
        <v>ictv.global=202200354</v>
      </c>
    </row>
    <row r="2631" spans="1:21">
      <c r="A2631">
        <v>2630</v>
      </c>
      <c r="B2631" s="29" t="s">
        <v>3682</v>
      </c>
      <c r="C2631" s="29"/>
      <c r="D2631" s="29" t="s">
        <v>3683</v>
      </c>
      <c r="E2631" s="29"/>
      <c r="F2631" s="29" t="s">
        <v>3686</v>
      </c>
      <c r="G2631" s="29"/>
      <c r="H2631" s="29" t="s">
        <v>3687</v>
      </c>
      <c r="I2631" s="29"/>
      <c r="J2631" s="29"/>
      <c r="K2631" s="29"/>
      <c r="L2631" s="29"/>
      <c r="M2631" s="29" t="s">
        <v>2054</v>
      </c>
      <c r="N2631" s="29" t="s">
        <v>3391</v>
      </c>
      <c r="O2631" s="29"/>
      <c r="P2631" s="29" t="s">
        <v>9804</v>
      </c>
      <c r="Q2631" t="s">
        <v>2038</v>
      </c>
      <c r="R2631" t="s">
        <v>2633</v>
      </c>
      <c r="S2631">
        <v>37</v>
      </c>
      <c r="T2631" s="43" t="str">
        <f t="shared" si="113"/>
        <v>2021.010B.R.Binomial_names.zip</v>
      </c>
      <c r="U2631" s="43" t="str">
        <f>HYPERLINK("https://ictv.global/taxonomy/taxondetails?taxnode_id=202200353","ictv.global=202200353")</f>
        <v>ictv.global=202200353</v>
      </c>
    </row>
    <row r="2632" spans="1:21">
      <c r="A2632">
        <v>2631</v>
      </c>
      <c r="B2632" s="29" t="s">
        <v>3682</v>
      </c>
      <c r="C2632" s="29"/>
      <c r="D2632" s="29" t="s">
        <v>3683</v>
      </c>
      <c r="E2632" s="29"/>
      <c r="F2632" s="29" t="s">
        <v>3686</v>
      </c>
      <c r="G2632" s="29"/>
      <c r="H2632" s="29" t="s">
        <v>3687</v>
      </c>
      <c r="I2632" s="29"/>
      <c r="J2632" s="29"/>
      <c r="K2632" s="29"/>
      <c r="L2632" s="29"/>
      <c r="M2632" s="29" t="s">
        <v>2054</v>
      </c>
      <c r="N2632" s="29" t="s">
        <v>3391</v>
      </c>
      <c r="O2632" s="29"/>
      <c r="P2632" s="29" t="s">
        <v>9805</v>
      </c>
      <c r="Q2632" t="s">
        <v>2038</v>
      </c>
      <c r="R2632" t="s">
        <v>2633</v>
      </c>
      <c r="S2632">
        <v>37</v>
      </c>
      <c r="T2632" s="43" t="str">
        <f t="shared" si="113"/>
        <v>2021.010B.R.Binomial_names.zip</v>
      </c>
      <c r="U2632" s="43" t="str">
        <f>HYPERLINK("https://ictv.global/taxonomy/taxondetails?taxnode_id=202200355","ictv.global=202200355")</f>
        <v>ictv.global=202200355</v>
      </c>
    </row>
    <row r="2633" spans="1:21">
      <c r="A2633">
        <v>2632</v>
      </c>
      <c r="B2633" s="29" t="s">
        <v>3682</v>
      </c>
      <c r="C2633" s="29"/>
      <c r="D2633" s="29" t="s">
        <v>3683</v>
      </c>
      <c r="E2633" s="29"/>
      <c r="F2633" s="29" t="s">
        <v>3686</v>
      </c>
      <c r="G2633" s="29"/>
      <c r="H2633" s="29" t="s">
        <v>3687</v>
      </c>
      <c r="I2633" s="29"/>
      <c r="J2633" s="29"/>
      <c r="K2633" s="29"/>
      <c r="L2633" s="29"/>
      <c r="M2633" s="29" t="s">
        <v>2054</v>
      </c>
      <c r="N2633" s="29" t="s">
        <v>3391</v>
      </c>
      <c r="O2633" s="29"/>
      <c r="P2633" s="29" t="s">
        <v>9806</v>
      </c>
      <c r="Q2633" t="s">
        <v>2038</v>
      </c>
      <c r="R2633" t="s">
        <v>2633</v>
      </c>
      <c r="S2633">
        <v>37</v>
      </c>
      <c r="T2633" s="43" t="str">
        <f t="shared" si="113"/>
        <v>2021.010B.R.Binomial_names.zip</v>
      </c>
      <c r="U2633" s="43" t="str">
        <f>HYPERLINK("https://ictv.global/taxonomy/taxondetails?taxnode_id=202200356","ictv.global=202200356")</f>
        <v>ictv.global=202200356</v>
      </c>
    </row>
    <row r="2634" spans="1:21">
      <c r="A2634">
        <v>2633</v>
      </c>
      <c r="B2634" s="29" t="s">
        <v>3682</v>
      </c>
      <c r="C2634" s="29"/>
      <c r="D2634" s="29" t="s">
        <v>3683</v>
      </c>
      <c r="E2634" s="29"/>
      <c r="F2634" s="29" t="s">
        <v>3686</v>
      </c>
      <c r="G2634" s="29"/>
      <c r="H2634" s="29" t="s">
        <v>3687</v>
      </c>
      <c r="I2634" s="29"/>
      <c r="J2634" s="29"/>
      <c r="K2634" s="29"/>
      <c r="L2634" s="29"/>
      <c r="M2634" s="29" t="s">
        <v>2054</v>
      </c>
      <c r="N2634" s="29" t="s">
        <v>3392</v>
      </c>
      <c r="O2634" s="29"/>
      <c r="P2634" s="29" t="s">
        <v>9807</v>
      </c>
      <c r="Q2634" t="s">
        <v>2038</v>
      </c>
      <c r="R2634" t="s">
        <v>2633</v>
      </c>
      <c r="S2634">
        <v>37</v>
      </c>
      <c r="T2634" s="43" t="str">
        <f t="shared" si="113"/>
        <v>2021.010B.R.Binomial_names.zip</v>
      </c>
      <c r="U2634" s="43" t="str">
        <f>HYPERLINK("https://ictv.global/taxonomy/taxondetails?taxnode_id=202207083","ictv.global=202207083")</f>
        <v>ictv.global=202207083</v>
      </c>
    </row>
    <row r="2635" spans="1:21">
      <c r="A2635">
        <v>2634</v>
      </c>
      <c r="B2635" s="29" t="s">
        <v>3682</v>
      </c>
      <c r="C2635" s="29"/>
      <c r="D2635" s="29" t="s">
        <v>3683</v>
      </c>
      <c r="E2635" s="29"/>
      <c r="F2635" s="29" t="s">
        <v>3686</v>
      </c>
      <c r="G2635" s="29"/>
      <c r="H2635" s="29" t="s">
        <v>3687</v>
      </c>
      <c r="I2635" s="29"/>
      <c r="J2635" s="29"/>
      <c r="K2635" s="29"/>
      <c r="L2635" s="29"/>
      <c r="M2635" s="29" t="s">
        <v>2054</v>
      </c>
      <c r="N2635" s="29" t="s">
        <v>3392</v>
      </c>
      <c r="O2635" s="29"/>
      <c r="P2635" s="29" t="s">
        <v>9808</v>
      </c>
      <c r="Q2635" t="s">
        <v>2038</v>
      </c>
      <c r="R2635" t="s">
        <v>2633</v>
      </c>
      <c r="S2635">
        <v>37</v>
      </c>
      <c r="T2635" s="43" t="str">
        <f t="shared" si="113"/>
        <v>2021.010B.R.Binomial_names.zip</v>
      </c>
      <c r="U2635" s="43" t="str">
        <f>HYPERLINK("https://ictv.global/taxonomy/taxondetails?taxnode_id=202200358","ictv.global=202200358")</f>
        <v>ictv.global=202200358</v>
      </c>
    </row>
    <row r="2636" spans="1:21">
      <c r="A2636">
        <v>2635</v>
      </c>
      <c r="B2636" s="29" t="s">
        <v>3682</v>
      </c>
      <c r="C2636" s="29"/>
      <c r="D2636" s="29" t="s">
        <v>3683</v>
      </c>
      <c r="E2636" s="29"/>
      <c r="F2636" s="29" t="s">
        <v>3686</v>
      </c>
      <c r="G2636" s="29"/>
      <c r="H2636" s="29" t="s">
        <v>3687</v>
      </c>
      <c r="I2636" s="29"/>
      <c r="J2636" s="29"/>
      <c r="K2636" s="29"/>
      <c r="L2636" s="29"/>
      <c r="M2636" s="29" t="s">
        <v>2054</v>
      </c>
      <c r="N2636" s="29" t="s">
        <v>3392</v>
      </c>
      <c r="O2636" s="29"/>
      <c r="P2636" s="29" t="s">
        <v>9809</v>
      </c>
      <c r="Q2636" t="s">
        <v>2038</v>
      </c>
      <c r="R2636" t="s">
        <v>2633</v>
      </c>
      <c r="S2636">
        <v>37</v>
      </c>
      <c r="T2636" s="43" t="str">
        <f t="shared" si="113"/>
        <v>2021.010B.R.Binomial_names.zip</v>
      </c>
      <c r="U2636" s="43" t="str">
        <f>HYPERLINK("https://ictv.global/taxonomy/taxondetails?taxnode_id=202200359","ictv.global=202200359")</f>
        <v>ictv.global=202200359</v>
      </c>
    </row>
    <row r="2637" spans="1:21">
      <c r="A2637">
        <v>2636</v>
      </c>
      <c r="B2637" s="29" t="s">
        <v>3682</v>
      </c>
      <c r="C2637" s="29"/>
      <c r="D2637" s="29" t="s">
        <v>3683</v>
      </c>
      <c r="E2637" s="29"/>
      <c r="F2637" s="29" t="s">
        <v>3686</v>
      </c>
      <c r="G2637" s="29"/>
      <c r="H2637" s="29" t="s">
        <v>3687</v>
      </c>
      <c r="I2637" s="29"/>
      <c r="J2637" s="29"/>
      <c r="K2637" s="29"/>
      <c r="L2637" s="29"/>
      <c r="M2637" s="29" t="s">
        <v>2054</v>
      </c>
      <c r="N2637" s="29" t="s">
        <v>3392</v>
      </c>
      <c r="O2637" s="29"/>
      <c r="P2637" s="29" t="s">
        <v>9810</v>
      </c>
      <c r="Q2637" t="s">
        <v>2038</v>
      </c>
      <c r="R2637" t="s">
        <v>2633</v>
      </c>
      <c r="S2637">
        <v>37</v>
      </c>
      <c r="T2637" s="43" t="str">
        <f t="shared" si="113"/>
        <v>2021.010B.R.Binomial_names.zip</v>
      </c>
      <c r="U2637" s="43" t="str">
        <f>HYPERLINK("https://ictv.global/taxonomy/taxondetails?taxnode_id=202200360","ictv.global=202200360")</f>
        <v>ictv.global=202200360</v>
      </c>
    </row>
    <row r="2638" spans="1:21">
      <c r="A2638">
        <v>2637</v>
      </c>
      <c r="B2638" s="29" t="s">
        <v>3682</v>
      </c>
      <c r="C2638" s="29"/>
      <c r="D2638" s="29" t="s">
        <v>3683</v>
      </c>
      <c r="E2638" s="29"/>
      <c r="F2638" s="29" t="s">
        <v>3686</v>
      </c>
      <c r="G2638" s="29"/>
      <c r="H2638" s="29" t="s">
        <v>3687</v>
      </c>
      <c r="I2638" s="29"/>
      <c r="J2638" s="29"/>
      <c r="K2638" s="29"/>
      <c r="L2638" s="29"/>
      <c r="M2638" s="29" t="s">
        <v>2054</v>
      </c>
      <c r="N2638" s="29" t="s">
        <v>3392</v>
      </c>
      <c r="O2638" s="29"/>
      <c r="P2638" s="29" t="s">
        <v>9811</v>
      </c>
      <c r="Q2638" t="s">
        <v>2038</v>
      </c>
      <c r="R2638" t="s">
        <v>2633</v>
      </c>
      <c r="S2638">
        <v>37</v>
      </c>
      <c r="T2638" s="43" t="str">
        <f t="shared" si="113"/>
        <v>2021.010B.R.Binomial_names.zip</v>
      </c>
      <c r="U2638" s="43" t="str">
        <f>HYPERLINK("https://ictv.global/taxonomy/taxondetails?taxnode_id=202207082","ictv.global=202207082")</f>
        <v>ictv.global=202207082</v>
      </c>
    </row>
    <row r="2639" spans="1:21">
      <c r="A2639">
        <v>2638</v>
      </c>
      <c r="B2639" s="29" t="s">
        <v>3682</v>
      </c>
      <c r="C2639" s="29"/>
      <c r="D2639" s="29" t="s">
        <v>3683</v>
      </c>
      <c r="E2639" s="29"/>
      <c r="F2639" s="29" t="s">
        <v>3686</v>
      </c>
      <c r="G2639" s="29"/>
      <c r="H2639" s="29" t="s">
        <v>3687</v>
      </c>
      <c r="I2639" s="29"/>
      <c r="J2639" s="29"/>
      <c r="K2639" s="29"/>
      <c r="L2639" s="29"/>
      <c r="M2639" s="29" t="s">
        <v>2054</v>
      </c>
      <c r="N2639" s="29" t="s">
        <v>3392</v>
      </c>
      <c r="O2639" s="29"/>
      <c r="P2639" s="29" t="s">
        <v>9812</v>
      </c>
      <c r="Q2639" t="s">
        <v>2038</v>
      </c>
      <c r="R2639" t="s">
        <v>2633</v>
      </c>
      <c r="S2639">
        <v>37</v>
      </c>
      <c r="T2639" s="43" t="str">
        <f t="shared" si="113"/>
        <v>2021.010B.R.Binomial_names.zip</v>
      </c>
      <c r="U2639" s="43" t="str">
        <f>HYPERLINK("https://ictv.global/taxonomy/taxondetails?taxnode_id=202207081","ictv.global=202207081")</f>
        <v>ictv.global=202207081</v>
      </c>
    </row>
    <row r="2640" spans="1:21">
      <c r="A2640">
        <v>2639</v>
      </c>
      <c r="B2640" s="29" t="s">
        <v>3682</v>
      </c>
      <c r="C2640" s="29"/>
      <c r="D2640" s="29" t="s">
        <v>3683</v>
      </c>
      <c r="E2640" s="29"/>
      <c r="F2640" s="29" t="s">
        <v>3686</v>
      </c>
      <c r="G2640" s="29"/>
      <c r="H2640" s="29" t="s">
        <v>3687</v>
      </c>
      <c r="I2640" s="29"/>
      <c r="J2640" s="29"/>
      <c r="K2640" s="29"/>
      <c r="L2640" s="29"/>
      <c r="M2640" s="29" t="s">
        <v>2054</v>
      </c>
      <c r="N2640" s="29" t="s">
        <v>3392</v>
      </c>
      <c r="O2640" s="29"/>
      <c r="P2640" s="29" t="s">
        <v>9813</v>
      </c>
      <c r="Q2640" t="s">
        <v>2038</v>
      </c>
      <c r="R2640" t="s">
        <v>2633</v>
      </c>
      <c r="S2640">
        <v>37</v>
      </c>
      <c r="T2640" s="43" t="str">
        <f t="shared" si="113"/>
        <v>2021.010B.R.Binomial_names.zip</v>
      </c>
      <c r="U2640" s="43" t="str">
        <f>HYPERLINK("https://ictv.global/taxonomy/taxondetails?taxnode_id=202200361","ictv.global=202200361")</f>
        <v>ictv.global=202200361</v>
      </c>
    </row>
    <row r="2641" spans="1:21">
      <c r="A2641">
        <v>2640</v>
      </c>
      <c r="B2641" s="29" t="s">
        <v>3682</v>
      </c>
      <c r="C2641" s="29"/>
      <c r="D2641" s="29" t="s">
        <v>3683</v>
      </c>
      <c r="E2641" s="29"/>
      <c r="F2641" s="29" t="s">
        <v>3686</v>
      </c>
      <c r="G2641" s="29"/>
      <c r="H2641" s="29" t="s">
        <v>3687</v>
      </c>
      <c r="I2641" s="29"/>
      <c r="J2641" s="29"/>
      <c r="K2641" s="29"/>
      <c r="L2641" s="29"/>
      <c r="M2641" s="29" t="s">
        <v>2054</v>
      </c>
      <c r="N2641" s="29" t="s">
        <v>3392</v>
      </c>
      <c r="O2641" s="29"/>
      <c r="P2641" s="29" t="s">
        <v>9814</v>
      </c>
      <c r="Q2641" t="s">
        <v>2038</v>
      </c>
      <c r="R2641" t="s">
        <v>2633</v>
      </c>
      <c r="S2641">
        <v>37</v>
      </c>
      <c r="T2641" s="43" t="str">
        <f t="shared" si="113"/>
        <v>2021.010B.R.Binomial_names.zip</v>
      </c>
      <c r="U2641" s="43" t="str">
        <f>HYPERLINK("https://ictv.global/taxonomy/taxondetails?taxnode_id=202207084","ictv.global=202207084")</f>
        <v>ictv.global=202207084</v>
      </c>
    </row>
    <row r="2642" spans="1:21">
      <c r="A2642">
        <v>2641</v>
      </c>
      <c r="B2642" s="29" t="s">
        <v>3682</v>
      </c>
      <c r="C2642" s="29"/>
      <c r="D2642" s="29" t="s">
        <v>3683</v>
      </c>
      <c r="E2642" s="29"/>
      <c r="F2642" s="29" t="s">
        <v>3686</v>
      </c>
      <c r="G2642" s="29"/>
      <c r="H2642" s="29" t="s">
        <v>3687</v>
      </c>
      <c r="I2642" s="29"/>
      <c r="J2642" s="29"/>
      <c r="K2642" s="29"/>
      <c r="L2642" s="29"/>
      <c r="M2642" s="29" t="s">
        <v>9815</v>
      </c>
      <c r="N2642" s="29" t="s">
        <v>9816</v>
      </c>
      <c r="O2642" s="29"/>
      <c r="P2642" s="29" t="s">
        <v>9817</v>
      </c>
      <c r="Q2642" t="s">
        <v>2038</v>
      </c>
      <c r="R2642" t="s">
        <v>2632</v>
      </c>
      <c r="S2642">
        <v>37</v>
      </c>
      <c r="T2642" s="43" t="str">
        <f t="shared" ref="T2642:T2673" si="114">HYPERLINK("https://ictv.global/ictv/proposals/2021.091B.R.Weiservirinae.zip","2021.091B.R.Weiservirinae.zip")</f>
        <v>2021.091B.R.Weiservirinae.zip</v>
      </c>
      <c r="U2642" s="43" t="str">
        <f>HYPERLINK("https://ictv.global/taxonomy/taxondetails?taxnode_id=202212732","ictv.global=202212732")</f>
        <v>ictv.global=202212732</v>
      </c>
    </row>
    <row r="2643" spans="1:21">
      <c r="A2643">
        <v>2642</v>
      </c>
      <c r="B2643" s="29" t="s">
        <v>3682</v>
      </c>
      <c r="C2643" s="29"/>
      <c r="D2643" s="29" t="s">
        <v>3683</v>
      </c>
      <c r="E2643" s="29"/>
      <c r="F2643" s="29" t="s">
        <v>3686</v>
      </c>
      <c r="G2643" s="29"/>
      <c r="H2643" s="29" t="s">
        <v>3687</v>
      </c>
      <c r="I2643" s="29"/>
      <c r="J2643" s="29"/>
      <c r="K2643" s="29"/>
      <c r="L2643" s="29"/>
      <c r="M2643" s="29" t="s">
        <v>9815</v>
      </c>
      <c r="N2643" s="29" t="s">
        <v>9816</v>
      </c>
      <c r="O2643" s="29"/>
      <c r="P2643" s="29" t="s">
        <v>9818</v>
      </c>
      <c r="Q2643" t="s">
        <v>2038</v>
      </c>
      <c r="R2643" t="s">
        <v>2632</v>
      </c>
      <c r="S2643">
        <v>37</v>
      </c>
      <c r="T2643" s="43" t="str">
        <f t="shared" si="114"/>
        <v>2021.091B.R.Weiservirinae.zip</v>
      </c>
      <c r="U2643" s="43" t="str">
        <f>HYPERLINK("https://ictv.global/taxonomy/taxondetails?taxnode_id=202212733","ictv.global=202212733")</f>
        <v>ictv.global=202212733</v>
      </c>
    </row>
    <row r="2644" spans="1:21">
      <c r="A2644">
        <v>2643</v>
      </c>
      <c r="B2644" s="29" t="s">
        <v>3682</v>
      </c>
      <c r="C2644" s="29"/>
      <c r="D2644" s="29" t="s">
        <v>3683</v>
      </c>
      <c r="E2644" s="29"/>
      <c r="F2644" s="29" t="s">
        <v>3686</v>
      </c>
      <c r="G2644" s="29"/>
      <c r="H2644" s="29" t="s">
        <v>3687</v>
      </c>
      <c r="I2644" s="29"/>
      <c r="J2644" s="29"/>
      <c r="K2644" s="29"/>
      <c r="L2644" s="29"/>
      <c r="M2644" s="29" t="s">
        <v>9815</v>
      </c>
      <c r="N2644" s="29" t="s">
        <v>9816</v>
      </c>
      <c r="O2644" s="29"/>
      <c r="P2644" s="29" t="s">
        <v>9819</v>
      </c>
      <c r="Q2644" t="s">
        <v>2038</v>
      </c>
      <c r="R2644" t="s">
        <v>2632</v>
      </c>
      <c r="S2644">
        <v>37</v>
      </c>
      <c r="T2644" s="43" t="str">
        <f t="shared" si="114"/>
        <v>2021.091B.R.Weiservirinae.zip</v>
      </c>
      <c r="U2644" s="43" t="str">
        <f>HYPERLINK("https://ictv.global/taxonomy/taxondetails?taxnode_id=202212734","ictv.global=202212734")</f>
        <v>ictv.global=202212734</v>
      </c>
    </row>
    <row r="2645" spans="1:21">
      <c r="A2645">
        <v>2644</v>
      </c>
      <c r="B2645" s="29" t="s">
        <v>3682</v>
      </c>
      <c r="C2645" s="29"/>
      <c r="D2645" s="29" t="s">
        <v>3683</v>
      </c>
      <c r="E2645" s="29"/>
      <c r="F2645" s="29" t="s">
        <v>3686</v>
      </c>
      <c r="G2645" s="29"/>
      <c r="H2645" s="29" t="s">
        <v>3687</v>
      </c>
      <c r="I2645" s="29"/>
      <c r="J2645" s="29"/>
      <c r="K2645" s="29"/>
      <c r="L2645" s="29"/>
      <c r="M2645" s="29" t="s">
        <v>9815</v>
      </c>
      <c r="N2645" s="29" t="s">
        <v>9816</v>
      </c>
      <c r="O2645" s="29"/>
      <c r="P2645" s="29" t="s">
        <v>9820</v>
      </c>
      <c r="Q2645" t="s">
        <v>2038</v>
      </c>
      <c r="R2645" t="s">
        <v>2632</v>
      </c>
      <c r="S2645">
        <v>37</v>
      </c>
      <c r="T2645" s="43" t="str">
        <f t="shared" si="114"/>
        <v>2021.091B.R.Weiservirinae.zip</v>
      </c>
      <c r="U2645" s="43" t="str">
        <f>HYPERLINK("https://ictv.global/taxonomy/taxondetails?taxnode_id=202212735","ictv.global=202212735")</f>
        <v>ictv.global=202212735</v>
      </c>
    </row>
    <row r="2646" spans="1:21">
      <c r="A2646">
        <v>2645</v>
      </c>
      <c r="B2646" s="29" t="s">
        <v>3682</v>
      </c>
      <c r="C2646" s="29"/>
      <c r="D2646" s="29" t="s">
        <v>3683</v>
      </c>
      <c r="E2646" s="29"/>
      <c r="F2646" s="29" t="s">
        <v>3686</v>
      </c>
      <c r="G2646" s="29"/>
      <c r="H2646" s="29" t="s">
        <v>3687</v>
      </c>
      <c r="I2646" s="29"/>
      <c r="J2646" s="29"/>
      <c r="K2646" s="29"/>
      <c r="L2646" s="29"/>
      <c r="M2646" s="29" t="s">
        <v>9815</v>
      </c>
      <c r="N2646" s="29" t="s">
        <v>9816</v>
      </c>
      <c r="O2646" s="29"/>
      <c r="P2646" s="29" t="s">
        <v>9821</v>
      </c>
      <c r="Q2646" t="s">
        <v>2038</v>
      </c>
      <c r="R2646" t="s">
        <v>2632</v>
      </c>
      <c r="S2646">
        <v>37</v>
      </c>
      <c r="T2646" s="43" t="str">
        <f t="shared" si="114"/>
        <v>2021.091B.R.Weiservirinae.zip</v>
      </c>
      <c r="U2646" s="43" t="str">
        <f>HYPERLINK("https://ictv.global/taxonomy/taxondetails?taxnode_id=202212736","ictv.global=202212736")</f>
        <v>ictv.global=202212736</v>
      </c>
    </row>
    <row r="2647" spans="1:21">
      <c r="A2647">
        <v>2646</v>
      </c>
      <c r="B2647" s="29" t="s">
        <v>3682</v>
      </c>
      <c r="C2647" s="29"/>
      <c r="D2647" s="29" t="s">
        <v>3683</v>
      </c>
      <c r="E2647" s="29"/>
      <c r="F2647" s="29" t="s">
        <v>3686</v>
      </c>
      <c r="G2647" s="29"/>
      <c r="H2647" s="29" t="s">
        <v>3687</v>
      </c>
      <c r="I2647" s="29"/>
      <c r="J2647" s="29"/>
      <c r="K2647" s="29"/>
      <c r="L2647" s="29"/>
      <c r="M2647" s="29" t="s">
        <v>9815</v>
      </c>
      <c r="N2647" s="29" t="s">
        <v>9822</v>
      </c>
      <c r="O2647" s="29"/>
      <c r="P2647" s="29" t="s">
        <v>9823</v>
      </c>
      <c r="Q2647" t="s">
        <v>2038</v>
      </c>
      <c r="R2647" t="s">
        <v>2632</v>
      </c>
      <c r="S2647">
        <v>37</v>
      </c>
      <c r="T2647" s="43" t="str">
        <f t="shared" si="114"/>
        <v>2021.091B.R.Weiservirinae.zip</v>
      </c>
      <c r="U2647" s="43" t="str">
        <f>HYPERLINK("https://ictv.global/taxonomy/taxondetails?taxnode_id=202212702","ictv.global=202212702")</f>
        <v>ictv.global=202212702</v>
      </c>
    </row>
    <row r="2648" spans="1:21">
      <c r="A2648">
        <v>2647</v>
      </c>
      <c r="B2648" s="29" t="s">
        <v>3682</v>
      </c>
      <c r="C2648" s="29"/>
      <c r="D2648" s="29" t="s">
        <v>3683</v>
      </c>
      <c r="E2648" s="29"/>
      <c r="F2648" s="29" t="s">
        <v>3686</v>
      </c>
      <c r="G2648" s="29"/>
      <c r="H2648" s="29" t="s">
        <v>3687</v>
      </c>
      <c r="I2648" s="29"/>
      <c r="J2648" s="29"/>
      <c r="K2648" s="29"/>
      <c r="L2648" s="29"/>
      <c r="M2648" s="29" t="s">
        <v>9815</v>
      </c>
      <c r="N2648" s="29" t="s">
        <v>9824</v>
      </c>
      <c r="O2648" s="29"/>
      <c r="P2648" s="29" t="s">
        <v>9825</v>
      </c>
      <c r="Q2648" t="s">
        <v>2038</v>
      </c>
      <c r="R2648" t="s">
        <v>2632</v>
      </c>
      <c r="S2648">
        <v>37</v>
      </c>
      <c r="T2648" s="43" t="str">
        <f t="shared" si="114"/>
        <v>2021.091B.R.Weiservirinae.zip</v>
      </c>
      <c r="U2648" s="43" t="str">
        <f>HYPERLINK("https://ictv.global/taxonomy/taxondetails?taxnode_id=202212738","ictv.global=202212738")</f>
        <v>ictv.global=202212738</v>
      </c>
    </row>
    <row r="2649" spans="1:21">
      <c r="A2649">
        <v>2648</v>
      </c>
      <c r="B2649" s="29" t="s">
        <v>3682</v>
      </c>
      <c r="C2649" s="29"/>
      <c r="D2649" s="29" t="s">
        <v>3683</v>
      </c>
      <c r="E2649" s="29"/>
      <c r="F2649" s="29" t="s">
        <v>3686</v>
      </c>
      <c r="G2649" s="29"/>
      <c r="H2649" s="29" t="s">
        <v>3687</v>
      </c>
      <c r="I2649" s="29"/>
      <c r="J2649" s="29"/>
      <c r="K2649" s="29"/>
      <c r="L2649" s="29"/>
      <c r="M2649" s="29" t="s">
        <v>9815</v>
      </c>
      <c r="N2649" s="29" t="s">
        <v>9824</v>
      </c>
      <c r="O2649" s="29"/>
      <c r="P2649" s="29" t="s">
        <v>9826</v>
      </c>
      <c r="Q2649" t="s">
        <v>2038</v>
      </c>
      <c r="R2649" t="s">
        <v>2632</v>
      </c>
      <c r="S2649">
        <v>37</v>
      </c>
      <c r="T2649" s="43" t="str">
        <f t="shared" si="114"/>
        <v>2021.091B.R.Weiservirinae.zip</v>
      </c>
      <c r="U2649" s="43" t="str">
        <f>HYPERLINK("https://ictv.global/taxonomy/taxondetails?taxnode_id=202212739","ictv.global=202212739")</f>
        <v>ictv.global=202212739</v>
      </c>
    </row>
    <row r="2650" spans="1:21">
      <c r="A2650">
        <v>2649</v>
      </c>
      <c r="B2650" s="29" t="s">
        <v>3682</v>
      </c>
      <c r="C2650" s="29"/>
      <c r="D2650" s="29" t="s">
        <v>3683</v>
      </c>
      <c r="E2650" s="29"/>
      <c r="F2650" s="29" t="s">
        <v>3686</v>
      </c>
      <c r="G2650" s="29"/>
      <c r="H2650" s="29" t="s">
        <v>3687</v>
      </c>
      <c r="I2650" s="29"/>
      <c r="J2650" s="29"/>
      <c r="K2650" s="29"/>
      <c r="L2650" s="29"/>
      <c r="M2650" s="29" t="s">
        <v>9815</v>
      </c>
      <c r="N2650" s="29" t="s">
        <v>9824</v>
      </c>
      <c r="O2650" s="29"/>
      <c r="P2650" s="29" t="s">
        <v>9827</v>
      </c>
      <c r="Q2650" t="s">
        <v>2038</v>
      </c>
      <c r="R2650" t="s">
        <v>2632</v>
      </c>
      <c r="S2650">
        <v>37</v>
      </c>
      <c r="T2650" s="43" t="str">
        <f t="shared" si="114"/>
        <v>2021.091B.R.Weiservirinae.zip</v>
      </c>
      <c r="U2650" s="43" t="str">
        <f>HYPERLINK("https://ictv.global/taxonomy/taxondetails?taxnode_id=202212740","ictv.global=202212740")</f>
        <v>ictv.global=202212740</v>
      </c>
    </row>
    <row r="2651" spans="1:21">
      <c r="A2651">
        <v>2650</v>
      </c>
      <c r="B2651" s="29" t="s">
        <v>3682</v>
      </c>
      <c r="C2651" s="29"/>
      <c r="D2651" s="29" t="s">
        <v>3683</v>
      </c>
      <c r="E2651" s="29"/>
      <c r="F2651" s="29" t="s">
        <v>3686</v>
      </c>
      <c r="G2651" s="29"/>
      <c r="H2651" s="29" t="s">
        <v>3687</v>
      </c>
      <c r="I2651" s="29"/>
      <c r="J2651" s="29"/>
      <c r="K2651" s="29"/>
      <c r="L2651" s="29"/>
      <c r="M2651" s="29" t="s">
        <v>9815</v>
      </c>
      <c r="N2651" s="29" t="s">
        <v>9824</v>
      </c>
      <c r="O2651" s="29"/>
      <c r="P2651" s="29" t="s">
        <v>9828</v>
      </c>
      <c r="Q2651" t="s">
        <v>2038</v>
      </c>
      <c r="R2651" t="s">
        <v>2632</v>
      </c>
      <c r="S2651">
        <v>37</v>
      </c>
      <c r="T2651" s="43" t="str">
        <f t="shared" si="114"/>
        <v>2021.091B.R.Weiservirinae.zip</v>
      </c>
      <c r="U2651" s="43" t="str">
        <f>HYPERLINK("https://ictv.global/taxonomy/taxondetails?taxnode_id=202212741","ictv.global=202212741")</f>
        <v>ictv.global=202212741</v>
      </c>
    </row>
    <row r="2652" spans="1:21">
      <c r="A2652">
        <v>2651</v>
      </c>
      <c r="B2652" s="29" t="s">
        <v>3682</v>
      </c>
      <c r="C2652" s="29"/>
      <c r="D2652" s="29" t="s">
        <v>3683</v>
      </c>
      <c r="E2652" s="29"/>
      <c r="F2652" s="29" t="s">
        <v>3686</v>
      </c>
      <c r="G2652" s="29"/>
      <c r="H2652" s="29" t="s">
        <v>3687</v>
      </c>
      <c r="I2652" s="29"/>
      <c r="J2652" s="29"/>
      <c r="K2652" s="29"/>
      <c r="L2652" s="29"/>
      <c r="M2652" s="29" t="s">
        <v>9815</v>
      </c>
      <c r="N2652" s="29" t="s">
        <v>9824</v>
      </c>
      <c r="O2652" s="29"/>
      <c r="P2652" s="29" t="s">
        <v>9829</v>
      </c>
      <c r="Q2652" t="s">
        <v>2038</v>
      </c>
      <c r="R2652" t="s">
        <v>2633</v>
      </c>
      <c r="S2652">
        <v>37</v>
      </c>
      <c r="T2652" s="43" t="str">
        <f t="shared" si="114"/>
        <v>2021.091B.R.Weiservirinae.zip</v>
      </c>
      <c r="U2652" s="43" t="str">
        <f>HYPERLINK("https://ictv.global/taxonomy/taxondetails?taxnode_id=202201343","ictv.global=202201343")</f>
        <v>ictv.global=202201343</v>
      </c>
    </row>
    <row r="2653" spans="1:21">
      <c r="A2653">
        <v>2652</v>
      </c>
      <c r="B2653" s="29" t="s">
        <v>3682</v>
      </c>
      <c r="C2653" s="29"/>
      <c r="D2653" s="29" t="s">
        <v>3683</v>
      </c>
      <c r="E2653" s="29"/>
      <c r="F2653" s="29" t="s">
        <v>3686</v>
      </c>
      <c r="G2653" s="29"/>
      <c r="H2653" s="29" t="s">
        <v>3687</v>
      </c>
      <c r="I2653" s="29"/>
      <c r="J2653" s="29"/>
      <c r="K2653" s="29"/>
      <c r="L2653" s="29"/>
      <c r="M2653" s="29" t="s">
        <v>9815</v>
      </c>
      <c r="N2653" s="29" t="s">
        <v>9824</v>
      </c>
      <c r="O2653" s="29"/>
      <c r="P2653" s="29" t="s">
        <v>9830</v>
      </c>
      <c r="Q2653" t="s">
        <v>2038</v>
      </c>
      <c r="R2653" t="s">
        <v>2633</v>
      </c>
      <c r="S2653">
        <v>37</v>
      </c>
      <c r="T2653" s="43" t="str">
        <f t="shared" si="114"/>
        <v>2021.091B.R.Weiservirinae.zip</v>
      </c>
      <c r="U2653" s="43" t="str">
        <f>HYPERLINK("https://ictv.global/taxonomy/taxondetails?taxnode_id=202201344","ictv.global=202201344")</f>
        <v>ictv.global=202201344</v>
      </c>
    </row>
    <row r="2654" spans="1:21">
      <c r="A2654">
        <v>2653</v>
      </c>
      <c r="B2654" s="29" t="s">
        <v>3682</v>
      </c>
      <c r="C2654" s="29"/>
      <c r="D2654" s="29" t="s">
        <v>3683</v>
      </c>
      <c r="E2654" s="29"/>
      <c r="F2654" s="29" t="s">
        <v>3686</v>
      </c>
      <c r="G2654" s="29"/>
      <c r="H2654" s="29" t="s">
        <v>3687</v>
      </c>
      <c r="I2654" s="29"/>
      <c r="J2654" s="29"/>
      <c r="K2654" s="29"/>
      <c r="L2654" s="29"/>
      <c r="M2654" s="29" t="s">
        <v>9815</v>
      </c>
      <c r="N2654" s="29" t="s">
        <v>9824</v>
      </c>
      <c r="O2654" s="29"/>
      <c r="P2654" s="29" t="s">
        <v>9831</v>
      </c>
      <c r="Q2654" t="s">
        <v>2038</v>
      </c>
      <c r="R2654" t="s">
        <v>2632</v>
      </c>
      <c r="S2654">
        <v>37</v>
      </c>
      <c r="T2654" s="43" t="str">
        <f t="shared" si="114"/>
        <v>2021.091B.R.Weiservirinae.zip</v>
      </c>
      <c r="U2654" s="43" t="str">
        <f>HYPERLINK("https://ictv.global/taxonomy/taxondetails?taxnode_id=202212742","ictv.global=202212742")</f>
        <v>ictv.global=202212742</v>
      </c>
    </row>
    <row r="2655" spans="1:21">
      <c r="A2655">
        <v>2654</v>
      </c>
      <c r="B2655" s="29" t="s">
        <v>3682</v>
      </c>
      <c r="C2655" s="29"/>
      <c r="D2655" s="29" t="s">
        <v>3683</v>
      </c>
      <c r="E2655" s="29"/>
      <c r="F2655" s="29" t="s">
        <v>3686</v>
      </c>
      <c r="G2655" s="29"/>
      <c r="H2655" s="29" t="s">
        <v>3687</v>
      </c>
      <c r="I2655" s="29"/>
      <c r="J2655" s="29"/>
      <c r="K2655" s="29"/>
      <c r="L2655" s="29"/>
      <c r="M2655" s="29" t="s">
        <v>9815</v>
      </c>
      <c r="N2655" s="29" t="s">
        <v>9824</v>
      </c>
      <c r="O2655" s="29"/>
      <c r="P2655" s="29" t="s">
        <v>9832</v>
      </c>
      <c r="Q2655" t="s">
        <v>2038</v>
      </c>
      <c r="R2655" t="s">
        <v>2632</v>
      </c>
      <c r="S2655">
        <v>37</v>
      </c>
      <c r="T2655" s="43" t="str">
        <f t="shared" si="114"/>
        <v>2021.091B.R.Weiservirinae.zip</v>
      </c>
      <c r="U2655" s="43" t="str">
        <f>HYPERLINK("https://ictv.global/taxonomy/taxondetails?taxnode_id=202212743","ictv.global=202212743")</f>
        <v>ictv.global=202212743</v>
      </c>
    </row>
    <row r="2656" spans="1:21">
      <c r="A2656">
        <v>2655</v>
      </c>
      <c r="B2656" s="29" t="s">
        <v>3682</v>
      </c>
      <c r="C2656" s="29"/>
      <c r="D2656" s="29" t="s">
        <v>3683</v>
      </c>
      <c r="E2656" s="29"/>
      <c r="F2656" s="29" t="s">
        <v>3686</v>
      </c>
      <c r="G2656" s="29"/>
      <c r="H2656" s="29" t="s">
        <v>3687</v>
      </c>
      <c r="I2656" s="29"/>
      <c r="J2656" s="29"/>
      <c r="K2656" s="29"/>
      <c r="L2656" s="29"/>
      <c r="M2656" s="29" t="s">
        <v>9815</v>
      </c>
      <c r="N2656" s="29" t="s">
        <v>9824</v>
      </c>
      <c r="O2656" s="29"/>
      <c r="P2656" s="29" t="s">
        <v>9833</v>
      </c>
      <c r="Q2656" t="s">
        <v>2038</v>
      </c>
      <c r="R2656" t="s">
        <v>2632</v>
      </c>
      <c r="S2656">
        <v>37</v>
      </c>
      <c r="T2656" s="43" t="str">
        <f t="shared" si="114"/>
        <v>2021.091B.R.Weiservirinae.zip</v>
      </c>
      <c r="U2656" s="43" t="str">
        <f>HYPERLINK("https://ictv.global/taxonomy/taxondetails?taxnode_id=202212744","ictv.global=202212744")</f>
        <v>ictv.global=202212744</v>
      </c>
    </row>
    <row r="2657" spans="1:21">
      <c r="A2657">
        <v>2656</v>
      </c>
      <c r="B2657" s="29" t="s">
        <v>3682</v>
      </c>
      <c r="C2657" s="29"/>
      <c r="D2657" s="29" t="s">
        <v>3683</v>
      </c>
      <c r="E2657" s="29"/>
      <c r="F2657" s="29" t="s">
        <v>3686</v>
      </c>
      <c r="G2657" s="29"/>
      <c r="H2657" s="29" t="s">
        <v>3687</v>
      </c>
      <c r="I2657" s="29"/>
      <c r="J2657" s="29"/>
      <c r="K2657" s="29"/>
      <c r="L2657" s="29"/>
      <c r="M2657" s="29" t="s">
        <v>9815</v>
      </c>
      <c r="N2657" s="29" t="s">
        <v>9824</v>
      </c>
      <c r="O2657" s="29"/>
      <c r="P2657" s="29" t="s">
        <v>9834</v>
      </c>
      <c r="Q2657" t="s">
        <v>2038</v>
      </c>
      <c r="R2657" t="s">
        <v>2632</v>
      </c>
      <c r="S2657">
        <v>37</v>
      </c>
      <c r="T2657" s="43" t="str">
        <f t="shared" si="114"/>
        <v>2021.091B.R.Weiservirinae.zip</v>
      </c>
      <c r="U2657" s="43" t="str">
        <f>HYPERLINK("https://ictv.global/taxonomy/taxondetails?taxnode_id=202212745","ictv.global=202212745")</f>
        <v>ictv.global=202212745</v>
      </c>
    </row>
    <row r="2658" spans="1:21">
      <c r="A2658">
        <v>2657</v>
      </c>
      <c r="B2658" s="29" t="s">
        <v>3682</v>
      </c>
      <c r="C2658" s="29"/>
      <c r="D2658" s="29" t="s">
        <v>3683</v>
      </c>
      <c r="E2658" s="29"/>
      <c r="F2658" s="29" t="s">
        <v>3686</v>
      </c>
      <c r="G2658" s="29"/>
      <c r="H2658" s="29" t="s">
        <v>3687</v>
      </c>
      <c r="I2658" s="29"/>
      <c r="J2658" s="29"/>
      <c r="K2658" s="29"/>
      <c r="L2658" s="29"/>
      <c r="M2658" s="29" t="s">
        <v>9815</v>
      </c>
      <c r="N2658" s="29" t="s">
        <v>9824</v>
      </c>
      <c r="O2658" s="29"/>
      <c r="P2658" s="29" t="s">
        <v>9835</v>
      </c>
      <c r="Q2658" t="s">
        <v>2038</v>
      </c>
      <c r="R2658" t="s">
        <v>2633</v>
      </c>
      <c r="S2658">
        <v>37</v>
      </c>
      <c r="T2658" s="43" t="str">
        <f t="shared" si="114"/>
        <v>2021.091B.R.Weiservirinae.zip</v>
      </c>
      <c r="U2658" s="43" t="str">
        <f>HYPERLINK("https://ictv.global/taxonomy/taxondetails?taxnode_id=202201345","ictv.global=202201345")</f>
        <v>ictv.global=202201345</v>
      </c>
    </row>
    <row r="2659" spans="1:21">
      <c r="A2659">
        <v>2658</v>
      </c>
      <c r="B2659" s="29" t="s">
        <v>3682</v>
      </c>
      <c r="C2659" s="29"/>
      <c r="D2659" s="29" t="s">
        <v>3683</v>
      </c>
      <c r="E2659" s="29"/>
      <c r="F2659" s="29" t="s">
        <v>3686</v>
      </c>
      <c r="G2659" s="29"/>
      <c r="H2659" s="29" t="s">
        <v>3687</v>
      </c>
      <c r="I2659" s="29"/>
      <c r="J2659" s="29"/>
      <c r="K2659" s="29"/>
      <c r="L2659" s="29"/>
      <c r="M2659" s="29" t="s">
        <v>9815</v>
      </c>
      <c r="N2659" s="29" t="s">
        <v>9824</v>
      </c>
      <c r="O2659" s="29"/>
      <c r="P2659" s="29" t="s">
        <v>9836</v>
      </c>
      <c r="Q2659" t="s">
        <v>2038</v>
      </c>
      <c r="R2659" t="s">
        <v>2632</v>
      </c>
      <c r="S2659">
        <v>37</v>
      </c>
      <c r="T2659" s="43" t="str">
        <f t="shared" si="114"/>
        <v>2021.091B.R.Weiservirinae.zip</v>
      </c>
      <c r="U2659" s="43" t="str">
        <f>HYPERLINK("https://ictv.global/taxonomy/taxondetails?taxnode_id=202212746","ictv.global=202212746")</f>
        <v>ictv.global=202212746</v>
      </c>
    </row>
    <row r="2660" spans="1:21">
      <c r="A2660">
        <v>2659</v>
      </c>
      <c r="B2660" s="29" t="s">
        <v>3682</v>
      </c>
      <c r="C2660" s="29"/>
      <c r="D2660" s="29" t="s">
        <v>3683</v>
      </c>
      <c r="E2660" s="29"/>
      <c r="F2660" s="29" t="s">
        <v>3686</v>
      </c>
      <c r="G2660" s="29"/>
      <c r="H2660" s="29" t="s">
        <v>3687</v>
      </c>
      <c r="I2660" s="29"/>
      <c r="J2660" s="29"/>
      <c r="K2660" s="29"/>
      <c r="L2660" s="29"/>
      <c r="M2660" s="29" t="s">
        <v>9815</v>
      </c>
      <c r="N2660" s="29" t="s">
        <v>9824</v>
      </c>
      <c r="O2660" s="29"/>
      <c r="P2660" s="29" t="s">
        <v>9837</v>
      </c>
      <c r="Q2660" t="s">
        <v>2038</v>
      </c>
      <c r="R2660" t="s">
        <v>2633</v>
      </c>
      <c r="S2660">
        <v>37</v>
      </c>
      <c r="T2660" s="43" t="str">
        <f t="shared" si="114"/>
        <v>2021.091B.R.Weiservirinae.zip</v>
      </c>
      <c r="U2660" s="43" t="str">
        <f>HYPERLINK("https://ictv.global/taxonomy/taxondetails?taxnode_id=202201347","ictv.global=202201347")</f>
        <v>ictv.global=202201347</v>
      </c>
    </row>
    <row r="2661" spans="1:21">
      <c r="A2661">
        <v>2660</v>
      </c>
      <c r="B2661" s="29" t="s">
        <v>3682</v>
      </c>
      <c r="C2661" s="29"/>
      <c r="D2661" s="29" t="s">
        <v>3683</v>
      </c>
      <c r="E2661" s="29"/>
      <c r="F2661" s="29" t="s">
        <v>3686</v>
      </c>
      <c r="G2661" s="29"/>
      <c r="H2661" s="29" t="s">
        <v>3687</v>
      </c>
      <c r="I2661" s="29"/>
      <c r="J2661" s="29"/>
      <c r="K2661" s="29"/>
      <c r="L2661" s="29"/>
      <c r="M2661" s="29" t="s">
        <v>9815</v>
      </c>
      <c r="N2661" s="29" t="s">
        <v>9824</v>
      </c>
      <c r="O2661" s="29"/>
      <c r="P2661" s="29" t="s">
        <v>9838</v>
      </c>
      <c r="Q2661" t="s">
        <v>2038</v>
      </c>
      <c r="R2661" t="s">
        <v>2632</v>
      </c>
      <c r="S2661">
        <v>37</v>
      </c>
      <c r="T2661" s="43" t="str">
        <f t="shared" si="114"/>
        <v>2021.091B.R.Weiservirinae.zip</v>
      </c>
      <c r="U2661" s="43" t="str">
        <f>HYPERLINK("https://ictv.global/taxonomy/taxondetails?taxnode_id=202212747","ictv.global=202212747")</f>
        <v>ictv.global=202212747</v>
      </c>
    </row>
    <row r="2662" spans="1:21">
      <c r="A2662">
        <v>2661</v>
      </c>
      <c r="B2662" s="29" t="s">
        <v>3682</v>
      </c>
      <c r="C2662" s="29"/>
      <c r="D2662" s="29" t="s">
        <v>3683</v>
      </c>
      <c r="E2662" s="29"/>
      <c r="F2662" s="29" t="s">
        <v>3686</v>
      </c>
      <c r="G2662" s="29"/>
      <c r="H2662" s="29" t="s">
        <v>3687</v>
      </c>
      <c r="I2662" s="29"/>
      <c r="J2662" s="29"/>
      <c r="K2662" s="29"/>
      <c r="L2662" s="29"/>
      <c r="M2662" s="29" t="s">
        <v>9815</v>
      </c>
      <c r="N2662" s="29" t="s">
        <v>9824</v>
      </c>
      <c r="O2662" s="29"/>
      <c r="P2662" s="29" t="s">
        <v>9839</v>
      </c>
      <c r="Q2662" t="s">
        <v>2038</v>
      </c>
      <c r="R2662" t="s">
        <v>2632</v>
      </c>
      <c r="S2662">
        <v>37</v>
      </c>
      <c r="T2662" s="43" t="str">
        <f t="shared" si="114"/>
        <v>2021.091B.R.Weiservirinae.zip</v>
      </c>
      <c r="U2662" s="43" t="str">
        <f>HYPERLINK("https://ictv.global/taxonomy/taxondetails?taxnode_id=202212748","ictv.global=202212748")</f>
        <v>ictv.global=202212748</v>
      </c>
    </row>
    <row r="2663" spans="1:21">
      <c r="A2663">
        <v>2662</v>
      </c>
      <c r="B2663" s="29" t="s">
        <v>3682</v>
      </c>
      <c r="C2663" s="29"/>
      <c r="D2663" s="29" t="s">
        <v>3683</v>
      </c>
      <c r="E2663" s="29"/>
      <c r="F2663" s="29" t="s">
        <v>3686</v>
      </c>
      <c r="G2663" s="29"/>
      <c r="H2663" s="29" t="s">
        <v>3687</v>
      </c>
      <c r="I2663" s="29"/>
      <c r="J2663" s="29"/>
      <c r="K2663" s="29"/>
      <c r="L2663" s="29"/>
      <c r="M2663" s="29" t="s">
        <v>9815</v>
      </c>
      <c r="N2663" s="29" t="s">
        <v>9824</v>
      </c>
      <c r="O2663" s="29"/>
      <c r="P2663" s="29" t="s">
        <v>9840</v>
      </c>
      <c r="Q2663" t="s">
        <v>2038</v>
      </c>
      <c r="R2663" t="s">
        <v>2632</v>
      </c>
      <c r="S2663">
        <v>37</v>
      </c>
      <c r="T2663" s="43" t="str">
        <f t="shared" si="114"/>
        <v>2021.091B.R.Weiservirinae.zip</v>
      </c>
      <c r="U2663" s="43" t="str">
        <f>HYPERLINK("https://ictv.global/taxonomy/taxondetails?taxnode_id=202212749","ictv.global=202212749")</f>
        <v>ictv.global=202212749</v>
      </c>
    </row>
    <row r="2664" spans="1:21">
      <c r="A2664">
        <v>2663</v>
      </c>
      <c r="B2664" s="29" t="s">
        <v>3682</v>
      </c>
      <c r="C2664" s="29"/>
      <c r="D2664" s="29" t="s">
        <v>3683</v>
      </c>
      <c r="E2664" s="29"/>
      <c r="F2664" s="29" t="s">
        <v>3686</v>
      </c>
      <c r="G2664" s="29"/>
      <c r="H2664" s="29" t="s">
        <v>3687</v>
      </c>
      <c r="I2664" s="29"/>
      <c r="J2664" s="29"/>
      <c r="K2664" s="29"/>
      <c r="L2664" s="29"/>
      <c r="M2664" s="29" t="s">
        <v>9815</v>
      </c>
      <c r="N2664" s="29" t="s">
        <v>9824</v>
      </c>
      <c r="O2664" s="29"/>
      <c r="P2664" s="29" t="s">
        <v>9841</v>
      </c>
      <c r="Q2664" t="s">
        <v>2038</v>
      </c>
      <c r="R2664" t="s">
        <v>2632</v>
      </c>
      <c r="S2664">
        <v>37</v>
      </c>
      <c r="T2664" s="43" t="str">
        <f t="shared" si="114"/>
        <v>2021.091B.R.Weiservirinae.zip</v>
      </c>
      <c r="U2664" s="43" t="str">
        <f>HYPERLINK("https://ictv.global/taxonomy/taxondetails?taxnode_id=202212750","ictv.global=202212750")</f>
        <v>ictv.global=202212750</v>
      </c>
    </row>
    <row r="2665" spans="1:21">
      <c r="A2665">
        <v>2664</v>
      </c>
      <c r="B2665" s="29" t="s">
        <v>3682</v>
      </c>
      <c r="C2665" s="29"/>
      <c r="D2665" s="29" t="s">
        <v>3683</v>
      </c>
      <c r="E2665" s="29"/>
      <c r="F2665" s="29" t="s">
        <v>3686</v>
      </c>
      <c r="G2665" s="29"/>
      <c r="H2665" s="29" t="s">
        <v>3687</v>
      </c>
      <c r="I2665" s="29"/>
      <c r="J2665" s="29"/>
      <c r="K2665" s="29"/>
      <c r="L2665" s="29"/>
      <c r="M2665" s="29" t="s">
        <v>9815</v>
      </c>
      <c r="N2665" s="29" t="s">
        <v>9824</v>
      </c>
      <c r="O2665" s="29"/>
      <c r="P2665" s="29" t="s">
        <v>9842</v>
      </c>
      <c r="Q2665" t="s">
        <v>2038</v>
      </c>
      <c r="R2665" t="s">
        <v>2632</v>
      </c>
      <c r="S2665">
        <v>37</v>
      </c>
      <c r="T2665" s="43" t="str">
        <f t="shared" si="114"/>
        <v>2021.091B.R.Weiservirinae.zip</v>
      </c>
      <c r="U2665" s="43" t="str">
        <f>HYPERLINK("https://ictv.global/taxonomy/taxondetails?taxnode_id=202212751","ictv.global=202212751")</f>
        <v>ictv.global=202212751</v>
      </c>
    </row>
    <row r="2666" spans="1:21">
      <c r="A2666">
        <v>2665</v>
      </c>
      <c r="B2666" s="29" t="s">
        <v>3682</v>
      </c>
      <c r="C2666" s="29"/>
      <c r="D2666" s="29" t="s">
        <v>3683</v>
      </c>
      <c r="E2666" s="29"/>
      <c r="F2666" s="29" t="s">
        <v>3686</v>
      </c>
      <c r="G2666" s="29"/>
      <c r="H2666" s="29" t="s">
        <v>3687</v>
      </c>
      <c r="I2666" s="29"/>
      <c r="J2666" s="29"/>
      <c r="K2666" s="29"/>
      <c r="L2666" s="29"/>
      <c r="M2666" s="29" t="s">
        <v>9815</v>
      </c>
      <c r="N2666" s="29" t="s">
        <v>9824</v>
      </c>
      <c r="O2666" s="29"/>
      <c r="P2666" s="29" t="s">
        <v>9843</v>
      </c>
      <c r="Q2666" t="s">
        <v>2038</v>
      </c>
      <c r="R2666" t="s">
        <v>2632</v>
      </c>
      <c r="S2666">
        <v>37</v>
      </c>
      <c r="T2666" s="43" t="str">
        <f t="shared" si="114"/>
        <v>2021.091B.R.Weiservirinae.zip</v>
      </c>
      <c r="U2666" s="43" t="str">
        <f>HYPERLINK("https://ictv.global/taxonomy/taxondetails?taxnode_id=202212752","ictv.global=202212752")</f>
        <v>ictv.global=202212752</v>
      </c>
    </row>
    <row r="2667" spans="1:21">
      <c r="A2667">
        <v>2666</v>
      </c>
      <c r="B2667" s="29" t="s">
        <v>3682</v>
      </c>
      <c r="C2667" s="29"/>
      <c r="D2667" s="29" t="s">
        <v>3683</v>
      </c>
      <c r="E2667" s="29"/>
      <c r="F2667" s="29" t="s">
        <v>3686</v>
      </c>
      <c r="G2667" s="29"/>
      <c r="H2667" s="29" t="s">
        <v>3687</v>
      </c>
      <c r="I2667" s="29"/>
      <c r="J2667" s="29"/>
      <c r="K2667" s="29"/>
      <c r="L2667" s="29"/>
      <c r="M2667" s="29" t="s">
        <v>9815</v>
      </c>
      <c r="N2667" s="29" t="s">
        <v>9824</v>
      </c>
      <c r="O2667" s="29"/>
      <c r="P2667" s="29" t="s">
        <v>9844</v>
      </c>
      <c r="Q2667" t="s">
        <v>2038</v>
      </c>
      <c r="R2667" t="s">
        <v>2632</v>
      </c>
      <c r="S2667">
        <v>37</v>
      </c>
      <c r="T2667" s="43" t="str">
        <f t="shared" si="114"/>
        <v>2021.091B.R.Weiservirinae.zip</v>
      </c>
      <c r="U2667" s="43" t="str">
        <f>HYPERLINK("https://ictv.global/taxonomy/taxondetails?taxnode_id=202212753","ictv.global=202212753")</f>
        <v>ictv.global=202212753</v>
      </c>
    </row>
    <row r="2668" spans="1:21">
      <c r="A2668">
        <v>2667</v>
      </c>
      <c r="B2668" s="29" t="s">
        <v>3682</v>
      </c>
      <c r="C2668" s="29"/>
      <c r="D2668" s="29" t="s">
        <v>3683</v>
      </c>
      <c r="E2668" s="29"/>
      <c r="F2668" s="29" t="s">
        <v>3686</v>
      </c>
      <c r="G2668" s="29"/>
      <c r="H2668" s="29" t="s">
        <v>3687</v>
      </c>
      <c r="I2668" s="29"/>
      <c r="J2668" s="29"/>
      <c r="K2668" s="29"/>
      <c r="L2668" s="29"/>
      <c r="M2668" s="29" t="s">
        <v>9815</v>
      </c>
      <c r="N2668" s="29" t="s">
        <v>9824</v>
      </c>
      <c r="O2668" s="29"/>
      <c r="P2668" s="29" t="s">
        <v>9845</v>
      </c>
      <c r="Q2668" t="s">
        <v>2038</v>
      </c>
      <c r="R2668" t="s">
        <v>2632</v>
      </c>
      <c r="S2668">
        <v>37</v>
      </c>
      <c r="T2668" s="43" t="str">
        <f t="shared" si="114"/>
        <v>2021.091B.R.Weiservirinae.zip</v>
      </c>
      <c r="U2668" s="43" t="str">
        <f>HYPERLINK("https://ictv.global/taxonomy/taxondetails?taxnode_id=202212754","ictv.global=202212754")</f>
        <v>ictv.global=202212754</v>
      </c>
    </row>
    <row r="2669" spans="1:21">
      <c r="A2669">
        <v>2668</v>
      </c>
      <c r="B2669" s="29" t="s">
        <v>3682</v>
      </c>
      <c r="C2669" s="29"/>
      <c r="D2669" s="29" t="s">
        <v>3683</v>
      </c>
      <c r="E2669" s="29"/>
      <c r="F2669" s="29" t="s">
        <v>3686</v>
      </c>
      <c r="G2669" s="29"/>
      <c r="H2669" s="29" t="s">
        <v>3687</v>
      </c>
      <c r="I2669" s="29"/>
      <c r="J2669" s="29"/>
      <c r="K2669" s="29"/>
      <c r="L2669" s="29"/>
      <c r="M2669" s="29" t="s">
        <v>9815</v>
      </c>
      <c r="N2669" s="29" t="s">
        <v>9824</v>
      </c>
      <c r="O2669" s="29"/>
      <c r="P2669" s="29" t="s">
        <v>9846</v>
      </c>
      <c r="Q2669" t="s">
        <v>2038</v>
      </c>
      <c r="R2669" t="s">
        <v>2632</v>
      </c>
      <c r="S2669">
        <v>37</v>
      </c>
      <c r="T2669" s="43" t="str">
        <f t="shared" si="114"/>
        <v>2021.091B.R.Weiservirinae.zip</v>
      </c>
      <c r="U2669" s="43" t="str">
        <f>HYPERLINK("https://ictv.global/taxonomy/taxondetails?taxnode_id=202212755","ictv.global=202212755")</f>
        <v>ictv.global=202212755</v>
      </c>
    </row>
    <row r="2670" spans="1:21">
      <c r="A2670">
        <v>2669</v>
      </c>
      <c r="B2670" s="29" t="s">
        <v>3682</v>
      </c>
      <c r="C2670" s="29"/>
      <c r="D2670" s="29" t="s">
        <v>3683</v>
      </c>
      <c r="E2670" s="29"/>
      <c r="F2670" s="29" t="s">
        <v>3686</v>
      </c>
      <c r="G2670" s="29"/>
      <c r="H2670" s="29" t="s">
        <v>3687</v>
      </c>
      <c r="I2670" s="29"/>
      <c r="J2670" s="29"/>
      <c r="K2670" s="29"/>
      <c r="L2670" s="29"/>
      <c r="M2670" s="29" t="s">
        <v>9815</v>
      </c>
      <c r="N2670" s="29" t="s">
        <v>9824</v>
      </c>
      <c r="O2670" s="29"/>
      <c r="P2670" s="29" t="s">
        <v>9847</v>
      </c>
      <c r="Q2670" t="s">
        <v>2038</v>
      </c>
      <c r="R2670" t="s">
        <v>2632</v>
      </c>
      <c r="S2670">
        <v>37</v>
      </c>
      <c r="T2670" s="43" t="str">
        <f t="shared" si="114"/>
        <v>2021.091B.R.Weiservirinae.zip</v>
      </c>
      <c r="U2670" s="43" t="str">
        <f>HYPERLINK("https://ictv.global/taxonomy/taxondetails?taxnode_id=202212756","ictv.global=202212756")</f>
        <v>ictv.global=202212756</v>
      </c>
    </row>
    <row r="2671" spans="1:21">
      <c r="A2671">
        <v>2670</v>
      </c>
      <c r="B2671" s="29" t="s">
        <v>3682</v>
      </c>
      <c r="C2671" s="29"/>
      <c r="D2671" s="29" t="s">
        <v>3683</v>
      </c>
      <c r="E2671" s="29"/>
      <c r="F2671" s="29" t="s">
        <v>3686</v>
      </c>
      <c r="G2671" s="29"/>
      <c r="H2671" s="29" t="s">
        <v>3687</v>
      </c>
      <c r="I2671" s="29"/>
      <c r="J2671" s="29"/>
      <c r="K2671" s="29"/>
      <c r="L2671" s="29"/>
      <c r="M2671" s="29" t="s">
        <v>9815</v>
      </c>
      <c r="N2671" s="29" t="s">
        <v>9824</v>
      </c>
      <c r="O2671" s="29"/>
      <c r="P2671" s="29" t="s">
        <v>9848</v>
      </c>
      <c r="Q2671" t="s">
        <v>2038</v>
      </c>
      <c r="R2671" t="s">
        <v>2632</v>
      </c>
      <c r="S2671">
        <v>37</v>
      </c>
      <c r="T2671" s="43" t="str">
        <f t="shared" si="114"/>
        <v>2021.091B.R.Weiservirinae.zip</v>
      </c>
      <c r="U2671" s="43" t="str">
        <f>HYPERLINK("https://ictv.global/taxonomy/taxondetails?taxnode_id=202212757","ictv.global=202212757")</f>
        <v>ictv.global=202212757</v>
      </c>
    </row>
    <row r="2672" spans="1:21">
      <c r="A2672">
        <v>2671</v>
      </c>
      <c r="B2672" s="29" t="s">
        <v>3682</v>
      </c>
      <c r="C2672" s="29"/>
      <c r="D2672" s="29" t="s">
        <v>3683</v>
      </c>
      <c r="E2672" s="29"/>
      <c r="F2672" s="29" t="s">
        <v>3686</v>
      </c>
      <c r="G2672" s="29"/>
      <c r="H2672" s="29" t="s">
        <v>3687</v>
      </c>
      <c r="I2672" s="29"/>
      <c r="J2672" s="29"/>
      <c r="K2672" s="29"/>
      <c r="L2672" s="29"/>
      <c r="M2672" s="29" t="s">
        <v>9815</v>
      </c>
      <c r="N2672" s="29" t="s">
        <v>9824</v>
      </c>
      <c r="O2672" s="29"/>
      <c r="P2672" s="29" t="s">
        <v>9849</v>
      </c>
      <c r="Q2672" t="s">
        <v>2038</v>
      </c>
      <c r="R2672" t="s">
        <v>2632</v>
      </c>
      <c r="S2672">
        <v>37</v>
      </c>
      <c r="T2672" s="43" t="str">
        <f t="shared" si="114"/>
        <v>2021.091B.R.Weiservirinae.zip</v>
      </c>
      <c r="U2672" s="43" t="str">
        <f>HYPERLINK("https://ictv.global/taxonomy/taxondetails?taxnode_id=202212758","ictv.global=202212758")</f>
        <v>ictv.global=202212758</v>
      </c>
    </row>
    <row r="2673" spans="1:21">
      <c r="A2673">
        <v>2672</v>
      </c>
      <c r="B2673" s="29" t="s">
        <v>3682</v>
      </c>
      <c r="C2673" s="29"/>
      <c r="D2673" s="29" t="s">
        <v>3683</v>
      </c>
      <c r="E2673" s="29"/>
      <c r="F2673" s="29" t="s">
        <v>3686</v>
      </c>
      <c r="G2673" s="29"/>
      <c r="H2673" s="29" t="s">
        <v>3687</v>
      </c>
      <c r="I2673" s="29"/>
      <c r="J2673" s="29"/>
      <c r="K2673" s="29"/>
      <c r="L2673" s="29"/>
      <c r="M2673" s="29" t="s">
        <v>9815</v>
      </c>
      <c r="N2673" s="29" t="s">
        <v>9824</v>
      </c>
      <c r="O2673" s="29"/>
      <c r="P2673" s="29" t="s">
        <v>9850</v>
      </c>
      <c r="Q2673" t="s">
        <v>2038</v>
      </c>
      <c r="R2673" t="s">
        <v>2632</v>
      </c>
      <c r="S2673">
        <v>37</v>
      </c>
      <c r="T2673" s="43" t="str">
        <f t="shared" si="114"/>
        <v>2021.091B.R.Weiservirinae.zip</v>
      </c>
      <c r="U2673" s="43" t="str">
        <f>HYPERLINK("https://ictv.global/taxonomy/taxondetails?taxnode_id=202212759","ictv.global=202212759")</f>
        <v>ictv.global=202212759</v>
      </c>
    </row>
    <row r="2674" spans="1:21">
      <c r="A2674">
        <v>2673</v>
      </c>
      <c r="B2674" s="29" t="s">
        <v>3682</v>
      </c>
      <c r="C2674" s="29"/>
      <c r="D2674" s="29" t="s">
        <v>3683</v>
      </c>
      <c r="E2674" s="29"/>
      <c r="F2674" s="29" t="s">
        <v>3686</v>
      </c>
      <c r="G2674" s="29"/>
      <c r="H2674" s="29" t="s">
        <v>3687</v>
      </c>
      <c r="I2674" s="29"/>
      <c r="J2674" s="29"/>
      <c r="K2674" s="29"/>
      <c r="L2674" s="29"/>
      <c r="M2674" s="29" t="s">
        <v>9815</v>
      </c>
      <c r="N2674" s="29" t="s">
        <v>9824</v>
      </c>
      <c r="O2674" s="29"/>
      <c r="P2674" s="29" t="s">
        <v>9851</v>
      </c>
      <c r="Q2674" t="s">
        <v>2038</v>
      </c>
      <c r="R2674" t="s">
        <v>2632</v>
      </c>
      <c r="S2674">
        <v>37</v>
      </c>
      <c r="T2674" s="43" t="str">
        <f t="shared" ref="T2674:T2694" si="115">HYPERLINK("https://ictv.global/ictv/proposals/2021.091B.R.Weiservirinae.zip","2021.091B.R.Weiservirinae.zip")</f>
        <v>2021.091B.R.Weiservirinae.zip</v>
      </c>
      <c r="U2674" s="43" t="str">
        <f>HYPERLINK("https://ictv.global/taxonomy/taxondetails?taxnode_id=202212760","ictv.global=202212760")</f>
        <v>ictv.global=202212760</v>
      </c>
    </row>
    <row r="2675" spans="1:21">
      <c r="A2675">
        <v>2674</v>
      </c>
      <c r="B2675" s="29" t="s">
        <v>3682</v>
      </c>
      <c r="C2675" s="29"/>
      <c r="D2675" s="29" t="s">
        <v>3683</v>
      </c>
      <c r="E2675" s="29"/>
      <c r="F2675" s="29" t="s">
        <v>3686</v>
      </c>
      <c r="G2675" s="29"/>
      <c r="H2675" s="29" t="s">
        <v>3687</v>
      </c>
      <c r="I2675" s="29"/>
      <c r="J2675" s="29"/>
      <c r="K2675" s="29"/>
      <c r="L2675" s="29"/>
      <c r="M2675" s="29" t="s">
        <v>9815</v>
      </c>
      <c r="N2675" s="29" t="s">
        <v>9824</v>
      </c>
      <c r="O2675" s="29"/>
      <c r="P2675" s="29" t="s">
        <v>9852</v>
      </c>
      <c r="Q2675" t="s">
        <v>2038</v>
      </c>
      <c r="R2675" t="s">
        <v>2632</v>
      </c>
      <c r="S2675">
        <v>37</v>
      </c>
      <c r="T2675" s="43" t="str">
        <f t="shared" si="115"/>
        <v>2021.091B.R.Weiservirinae.zip</v>
      </c>
      <c r="U2675" s="43" t="str">
        <f>HYPERLINK("https://ictv.global/taxonomy/taxondetails?taxnode_id=202212761","ictv.global=202212761")</f>
        <v>ictv.global=202212761</v>
      </c>
    </row>
    <row r="2676" spans="1:21">
      <c r="A2676">
        <v>2675</v>
      </c>
      <c r="B2676" s="29" t="s">
        <v>3682</v>
      </c>
      <c r="C2676" s="29"/>
      <c r="D2676" s="29" t="s">
        <v>3683</v>
      </c>
      <c r="E2676" s="29"/>
      <c r="F2676" s="29" t="s">
        <v>3686</v>
      </c>
      <c r="G2676" s="29"/>
      <c r="H2676" s="29" t="s">
        <v>3687</v>
      </c>
      <c r="I2676" s="29"/>
      <c r="J2676" s="29"/>
      <c r="K2676" s="29"/>
      <c r="L2676" s="29"/>
      <c r="M2676" s="29" t="s">
        <v>9815</v>
      </c>
      <c r="N2676" s="29" t="s">
        <v>9853</v>
      </c>
      <c r="O2676" s="29"/>
      <c r="P2676" s="29" t="s">
        <v>9854</v>
      </c>
      <c r="Q2676" t="s">
        <v>2038</v>
      </c>
      <c r="R2676" t="s">
        <v>2632</v>
      </c>
      <c r="S2676">
        <v>37</v>
      </c>
      <c r="T2676" s="43" t="str">
        <f t="shared" si="115"/>
        <v>2021.091B.R.Weiservirinae.zip</v>
      </c>
      <c r="U2676" s="43" t="str">
        <f>HYPERLINK("https://ictv.global/taxonomy/taxondetails?taxnode_id=202212706","ictv.global=202212706")</f>
        <v>ictv.global=202212706</v>
      </c>
    </row>
    <row r="2677" spans="1:21">
      <c r="A2677">
        <v>2676</v>
      </c>
      <c r="B2677" s="29" t="s">
        <v>3682</v>
      </c>
      <c r="C2677" s="29"/>
      <c r="D2677" s="29" t="s">
        <v>3683</v>
      </c>
      <c r="E2677" s="29"/>
      <c r="F2677" s="29" t="s">
        <v>3686</v>
      </c>
      <c r="G2677" s="29"/>
      <c r="H2677" s="29" t="s">
        <v>3687</v>
      </c>
      <c r="I2677" s="29"/>
      <c r="J2677" s="29"/>
      <c r="K2677" s="29"/>
      <c r="L2677" s="29"/>
      <c r="M2677" s="29" t="s">
        <v>9815</v>
      </c>
      <c r="N2677" s="29" t="s">
        <v>9853</v>
      </c>
      <c r="O2677" s="29"/>
      <c r="P2677" s="29" t="s">
        <v>9855</v>
      </c>
      <c r="Q2677" t="s">
        <v>2038</v>
      </c>
      <c r="R2677" t="s">
        <v>2632</v>
      </c>
      <c r="S2677">
        <v>37</v>
      </c>
      <c r="T2677" s="43" t="str">
        <f t="shared" si="115"/>
        <v>2021.091B.R.Weiservirinae.zip</v>
      </c>
      <c r="U2677" s="43" t="str">
        <f>HYPERLINK("https://ictv.global/taxonomy/taxondetails?taxnode_id=202212704","ictv.global=202212704")</f>
        <v>ictv.global=202212704</v>
      </c>
    </row>
    <row r="2678" spans="1:21">
      <c r="A2678">
        <v>2677</v>
      </c>
      <c r="B2678" s="29" t="s">
        <v>3682</v>
      </c>
      <c r="C2678" s="29"/>
      <c r="D2678" s="29" t="s">
        <v>3683</v>
      </c>
      <c r="E2678" s="29"/>
      <c r="F2678" s="29" t="s">
        <v>3686</v>
      </c>
      <c r="G2678" s="29"/>
      <c r="H2678" s="29" t="s">
        <v>3687</v>
      </c>
      <c r="I2678" s="29"/>
      <c r="J2678" s="29"/>
      <c r="K2678" s="29"/>
      <c r="L2678" s="29"/>
      <c r="M2678" s="29" t="s">
        <v>9815</v>
      </c>
      <c r="N2678" s="29" t="s">
        <v>9853</v>
      </c>
      <c r="O2678" s="29"/>
      <c r="P2678" s="29" t="s">
        <v>9856</v>
      </c>
      <c r="Q2678" t="s">
        <v>2038</v>
      </c>
      <c r="R2678" t="s">
        <v>2632</v>
      </c>
      <c r="S2678">
        <v>37</v>
      </c>
      <c r="T2678" s="43" t="str">
        <f t="shared" si="115"/>
        <v>2021.091B.R.Weiservirinae.zip</v>
      </c>
      <c r="U2678" s="43" t="str">
        <f>HYPERLINK("https://ictv.global/taxonomy/taxondetails?taxnode_id=202212705","ictv.global=202212705")</f>
        <v>ictv.global=202212705</v>
      </c>
    </row>
    <row r="2679" spans="1:21">
      <c r="A2679">
        <v>2678</v>
      </c>
      <c r="B2679" s="29" t="s">
        <v>3682</v>
      </c>
      <c r="C2679" s="29"/>
      <c r="D2679" s="29" t="s">
        <v>3683</v>
      </c>
      <c r="E2679" s="29"/>
      <c r="F2679" s="29" t="s">
        <v>3686</v>
      </c>
      <c r="G2679" s="29"/>
      <c r="H2679" s="29" t="s">
        <v>3687</v>
      </c>
      <c r="I2679" s="29"/>
      <c r="J2679" s="29"/>
      <c r="K2679" s="29"/>
      <c r="L2679" s="29"/>
      <c r="M2679" s="29" t="s">
        <v>9815</v>
      </c>
      <c r="N2679" s="29" t="s">
        <v>9853</v>
      </c>
      <c r="O2679" s="29"/>
      <c r="P2679" s="29" t="s">
        <v>9857</v>
      </c>
      <c r="Q2679" t="s">
        <v>2038</v>
      </c>
      <c r="R2679" t="s">
        <v>2632</v>
      </c>
      <c r="S2679">
        <v>37</v>
      </c>
      <c r="T2679" s="43" t="str">
        <f t="shared" si="115"/>
        <v>2021.091B.R.Weiservirinae.zip</v>
      </c>
      <c r="U2679" s="43" t="str">
        <f>HYPERLINK("https://ictv.global/taxonomy/taxondetails?taxnode_id=202212708","ictv.global=202212708")</f>
        <v>ictv.global=202212708</v>
      </c>
    </row>
    <row r="2680" spans="1:21">
      <c r="A2680">
        <v>2679</v>
      </c>
      <c r="B2680" s="29" t="s">
        <v>3682</v>
      </c>
      <c r="C2680" s="29"/>
      <c r="D2680" s="29" t="s">
        <v>3683</v>
      </c>
      <c r="E2680" s="29"/>
      <c r="F2680" s="29" t="s">
        <v>3686</v>
      </c>
      <c r="G2680" s="29"/>
      <c r="H2680" s="29" t="s">
        <v>3687</v>
      </c>
      <c r="I2680" s="29"/>
      <c r="J2680" s="29"/>
      <c r="K2680" s="29"/>
      <c r="L2680" s="29"/>
      <c r="M2680" s="29" t="s">
        <v>9815</v>
      </c>
      <c r="N2680" s="29" t="s">
        <v>9853</v>
      </c>
      <c r="O2680" s="29"/>
      <c r="P2680" s="29" t="s">
        <v>9858</v>
      </c>
      <c r="Q2680" t="s">
        <v>2038</v>
      </c>
      <c r="R2680" t="s">
        <v>2632</v>
      </c>
      <c r="S2680">
        <v>37</v>
      </c>
      <c r="T2680" s="43" t="str">
        <f t="shared" si="115"/>
        <v>2021.091B.R.Weiservirinae.zip</v>
      </c>
      <c r="U2680" s="43" t="str">
        <f>HYPERLINK("https://ictv.global/taxonomy/taxondetails?taxnode_id=202212707","ictv.global=202212707")</f>
        <v>ictv.global=202212707</v>
      </c>
    </row>
    <row r="2681" spans="1:21">
      <c r="A2681">
        <v>2680</v>
      </c>
      <c r="B2681" s="29" t="s">
        <v>3682</v>
      </c>
      <c r="C2681" s="29"/>
      <c r="D2681" s="29" t="s">
        <v>3683</v>
      </c>
      <c r="E2681" s="29"/>
      <c r="F2681" s="29" t="s">
        <v>3686</v>
      </c>
      <c r="G2681" s="29"/>
      <c r="H2681" s="29" t="s">
        <v>3687</v>
      </c>
      <c r="I2681" s="29"/>
      <c r="J2681" s="29"/>
      <c r="K2681" s="29"/>
      <c r="L2681" s="29"/>
      <c r="M2681" s="29" t="s">
        <v>9815</v>
      </c>
      <c r="N2681" s="29" t="s">
        <v>9859</v>
      </c>
      <c r="O2681" s="29"/>
      <c r="P2681" s="29" t="s">
        <v>9860</v>
      </c>
      <c r="Q2681" t="s">
        <v>2038</v>
      </c>
      <c r="R2681" t="s">
        <v>2632</v>
      </c>
      <c r="S2681">
        <v>37</v>
      </c>
      <c r="T2681" s="43" t="str">
        <f t="shared" si="115"/>
        <v>2021.091B.R.Weiservirinae.zip</v>
      </c>
      <c r="U2681" s="43" t="str">
        <f>HYPERLINK("https://ictv.global/taxonomy/taxondetails?taxnode_id=202212729","ictv.global=202212729")</f>
        <v>ictv.global=202212729</v>
      </c>
    </row>
    <row r="2682" spans="1:21">
      <c r="A2682">
        <v>2681</v>
      </c>
      <c r="B2682" s="29" t="s">
        <v>3682</v>
      </c>
      <c r="C2682" s="29"/>
      <c r="D2682" s="29" t="s">
        <v>3683</v>
      </c>
      <c r="E2682" s="29"/>
      <c r="F2682" s="29" t="s">
        <v>3686</v>
      </c>
      <c r="G2682" s="29"/>
      <c r="H2682" s="29" t="s">
        <v>3687</v>
      </c>
      <c r="I2682" s="29"/>
      <c r="J2682" s="29"/>
      <c r="K2682" s="29"/>
      <c r="L2682" s="29"/>
      <c r="M2682" s="29" t="s">
        <v>9815</v>
      </c>
      <c r="N2682" s="29" t="s">
        <v>9859</v>
      </c>
      <c r="O2682" s="29"/>
      <c r="P2682" s="29" t="s">
        <v>9861</v>
      </c>
      <c r="Q2682" t="s">
        <v>2038</v>
      </c>
      <c r="R2682" t="s">
        <v>2632</v>
      </c>
      <c r="S2682">
        <v>37</v>
      </c>
      <c r="T2682" s="43" t="str">
        <f t="shared" si="115"/>
        <v>2021.091B.R.Weiservirinae.zip</v>
      </c>
      <c r="U2682" s="43" t="str">
        <f>HYPERLINK("https://ictv.global/taxonomy/taxondetails?taxnode_id=202212728","ictv.global=202212728")</f>
        <v>ictv.global=202212728</v>
      </c>
    </row>
    <row r="2683" spans="1:21">
      <c r="A2683">
        <v>2682</v>
      </c>
      <c r="B2683" s="29" t="s">
        <v>3682</v>
      </c>
      <c r="C2683" s="29"/>
      <c r="D2683" s="29" t="s">
        <v>3683</v>
      </c>
      <c r="E2683" s="29"/>
      <c r="F2683" s="29" t="s">
        <v>3686</v>
      </c>
      <c r="G2683" s="29"/>
      <c r="H2683" s="29" t="s">
        <v>3687</v>
      </c>
      <c r="I2683" s="29"/>
      <c r="J2683" s="29"/>
      <c r="K2683" s="29"/>
      <c r="L2683" s="29"/>
      <c r="M2683" s="29" t="s">
        <v>9815</v>
      </c>
      <c r="N2683" s="29" t="s">
        <v>9859</v>
      </c>
      <c r="O2683" s="29"/>
      <c r="P2683" s="29" t="s">
        <v>9862</v>
      </c>
      <c r="Q2683" t="s">
        <v>2038</v>
      </c>
      <c r="R2683" t="s">
        <v>2633</v>
      </c>
      <c r="S2683">
        <v>37</v>
      </c>
      <c r="T2683" s="43" t="str">
        <f t="shared" si="115"/>
        <v>2021.091B.R.Weiservirinae.zip</v>
      </c>
      <c r="U2683" s="43" t="str">
        <f>HYPERLINK("https://ictv.global/taxonomy/taxondetails?taxnode_id=202201349","ictv.global=202201349")</f>
        <v>ictv.global=202201349</v>
      </c>
    </row>
    <row r="2684" spans="1:21">
      <c r="A2684">
        <v>2683</v>
      </c>
      <c r="B2684" s="29" t="s">
        <v>3682</v>
      </c>
      <c r="C2684" s="29"/>
      <c r="D2684" s="29" t="s">
        <v>3683</v>
      </c>
      <c r="E2684" s="29"/>
      <c r="F2684" s="29" t="s">
        <v>3686</v>
      </c>
      <c r="G2684" s="29"/>
      <c r="H2684" s="29" t="s">
        <v>3687</v>
      </c>
      <c r="I2684" s="29"/>
      <c r="J2684" s="29"/>
      <c r="K2684" s="29"/>
      <c r="L2684" s="29"/>
      <c r="M2684" s="29" t="s">
        <v>9815</v>
      </c>
      <c r="N2684" s="29" t="s">
        <v>9859</v>
      </c>
      <c r="O2684" s="29"/>
      <c r="P2684" s="29" t="s">
        <v>9863</v>
      </c>
      <c r="Q2684" t="s">
        <v>2038</v>
      </c>
      <c r="R2684" t="s">
        <v>2633</v>
      </c>
      <c r="S2684">
        <v>37</v>
      </c>
      <c r="T2684" s="43" t="str">
        <f t="shared" si="115"/>
        <v>2021.091B.R.Weiservirinae.zip</v>
      </c>
      <c r="U2684" s="43" t="str">
        <f>HYPERLINK("https://ictv.global/taxonomy/taxondetails?taxnode_id=202201350","ictv.global=202201350")</f>
        <v>ictv.global=202201350</v>
      </c>
    </row>
    <row r="2685" spans="1:21">
      <c r="A2685">
        <v>2684</v>
      </c>
      <c r="B2685" s="29" t="s">
        <v>3682</v>
      </c>
      <c r="C2685" s="29"/>
      <c r="D2685" s="29" t="s">
        <v>3683</v>
      </c>
      <c r="E2685" s="29"/>
      <c r="F2685" s="29" t="s">
        <v>3686</v>
      </c>
      <c r="G2685" s="29"/>
      <c r="H2685" s="29" t="s">
        <v>3687</v>
      </c>
      <c r="I2685" s="29"/>
      <c r="J2685" s="29"/>
      <c r="K2685" s="29"/>
      <c r="L2685" s="29"/>
      <c r="M2685" s="29" t="s">
        <v>9815</v>
      </c>
      <c r="N2685" s="29" t="s">
        <v>9859</v>
      </c>
      <c r="O2685" s="29"/>
      <c r="P2685" s="29" t="s">
        <v>9864</v>
      </c>
      <c r="Q2685" t="s">
        <v>2038</v>
      </c>
      <c r="R2685" t="s">
        <v>2632</v>
      </c>
      <c r="S2685">
        <v>37</v>
      </c>
      <c r="T2685" s="43" t="str">
        <f t="shared" si="115"/>
        <v>2021.091B.R.Weiservirinae.zip</v>
      </c>
      <c r="U2685" s="43" t="str">
        <f>HYPERLINK("https://ictv.global/taxonomy/taxondetails?taxnode_id=202212730","ictv.global=202212730")</f>
        <v>ictv.global=202212730</v>
      </c>
    </row>
    <row r="2686" spans="1:21">
      <c r="A2686">
        <v>2685</v>
      </c>
      <c r="B2686" s="29" t="s">
        <v>3682</v>
      </c>
      <c r="C2686" s="29"/>
      <c r="D2686" s="29" t="s">
        <v>3683</v>
      </c>
      <c r="E2686" s="29"/>
      <c r="F2686" s="29" t="s">
        <v>3686</v>
      </c>
      <c r="G2686" s="29"/>
      <c r="H2686" s="29" t="s">
        <v>3687</v>
      </c>
      <c r="I2686" s="29"/>
      <c r="J2686" s="29"/>
      <c r="K2686" s="29"/>
      <c r="L2686" s="29"/>
      <c r="M2686" s="29" t="s">
        <v>9815</v>
      </c>
      <c r="N2686" s="29" t="s">
        <v>9865</v>
      </c>
      <c r="O2686" s="29"/>
      <c r="P2686" s="29" t="s">
        <v>9866</v>
      </c>
      <c r="Q2686" t="s">
        <v>2038</v>
      </c>
      <c r="R2686" t="s">
        <v>2632</v>
      </c>
      <c r="S2686">
        <v>37</v>
      </c>
      <c r="T2686" s="43" t="str">
        <f t="shared" si="115"/>
        <v>2021.091B.R.Weiservirinae.zip</v>
      </c>
      <c r="U2686" s="43" t="str">
        <f>HYPERLINK("https://ictv.global/taxonomy/taxondetails?taxnode_id=202212711","ictv.global=202212711")</f>
        <v>ictv.global=202212711</v>
      </c>
    </row>
    <row r="2687" spans="1:21">
      <c r="A2687">
        <v>2686</v>
      </c>
      <c r="B2687" s="29" t="s">
        <v>3682</v>
      </c>
      <c r="C2687" s="29"/>
      <c r="D2687" s="29" t="s">
        <v>3683</v>
      </c>
      <c r="E2687" s="29"/>
      <c r="F2687" s="29" t="s">
        <v>3686</v>
      </c>
      <c r="G2687" s="29"/>
      <c r="H2687" s="29" t="s">
        <v>3687</v>
      </c>
      <c r="I2687" s="29"/>
      <c r="J2687" s="29"/>
      <c r="K2687" s="29"/>
      <c r="L2687" s="29"/>
      <c r="M2687" s="29" t="s">
        <v>9815</v>
      </c>
      <c r="N2687" s="29" t="s">
        <v>9865</v>
      </c>
      <c r="O2687" s="29"/>
      <c r="P2687" s="29" t="s">
        <v>9867</v>
      </c>
      <c r="Q2687" t="s">
        <v>2038</v>
      </c>
      <c r="R2687" t="s">
        <v>2632</v>
      </c>
      <c r="S2687">
        <v>37</v>
      </c>
      <c r="T2687" s="43" t="str">
        <f t="shared" si="115"/>
        <v>2021.091B.R.Weiservirinae.zip</v>
      </c>
      <c r="U2687" s="43" t="str">
        <f>HYPERLINK("https://ictv.global/taxonomy/taxondetails?taxnode_id=202212712","ictv.global=202212712")</f>
        <v>ictv.global=202212712</v>
      </c>
    </row>
    <row r="2688" spans="1:21">
      <c r="A2688">
        <v>2687</v>
      </c>
      <c r="B2688" s="29" t="s">
        <v>3682</v>
      </c>
      <c r="C2688" s="29"/>
      <c r="D2688" s="29" t="s">
        <v>3683</v>
      </c>
      <c r="E2688" s="29"/>
      <c r="F2688" s="29" t="s">
        <v>3686</v>
      </c>
      <c r="G2688" s="29"/>
      <c r="H2688" s="29" t="s">
        <v>3687</v>
      </c>
      <c r="I2688" s="29"/>
      <c r="J2688" s="29"/>
      <c r="K2688" s="29"/>
      <c r="L2688" s="29"/>
      <c r="M2688" s="29" t="s">
        <v>9815</v>
      </c>
      <c r="N2688" s="29" t="s">
        <v>9865</v>
      </c>
      <c r="O2688" s="29"/>
      <c r="P2688" s="29" t="s">
        <v>9868</v>
      </c>
      <c r="Q2688" t="s">
        <v>2038</v>
      </c>
      <c r="R2688" t="s">
        <v>2632</v>
      </c>
      <c r="S2688">
        <v>37</v>
      </c>
      <c r="T2688" s="43" t="str">
        <f t="shared" si="115"/>
        <v>2021.091B.R.Weiservirinae.zip</v>
      </c>
      <c r="U2688" s="43" t="str">
        <f>HYPERLINK("https://ictv.global/taxonomy/taxondetails?taxnode_id=202212710","ictv.global=202212710")</f>
        <v>ictv.global=202212710</v>
      </c>
    </row>
    <row r="2689" spans="1:21">
      <c r="A2689">
        <v>2688</v>
      </c>
      <c r="B2689" s="29" t="s">
        <v>3682</v>
      </c>
      <c r="C2689" s="29"/>
      <c r="D2689" s="29" t="s">
        <v>3683</v>
      </c>
      <c r="E2689" s="29"/>
      <c r="F2689" s="29" t="s">
        <v>3686</v>
      </c>
      <c r="G2689" s="29"/>
      <c r="H2689" s="29" t="s">
        <v>3687</v>
      </c>
      <c r="I2689" s="29"/>
      <c r="J2689" s="29"/>
      <c r="K2689" s="29"/>
      <c r="L2689" s="29"/>
      <c r="M2689" s="29" t="s">
        <v>9815</v>
      </c>
      <c r="N2689" s="29" t="s">
        <v>9865</v>
      </c>
      <c r="O2689" s="29"/>
      <c r="P2689" s="29" t="s">
        <v>9869</v>
      </c>
      <c r="Q2689" t="s">
        <v>2038</v>
      </c>
      <c r="R2689" t="s">
        <v>2633</v>
      </c>
      <c r="S2689">
        <v>37</v>
      </c>
      <c r="T2689" s="43" t="str">
        <f t="shared" si="115"/>
        <v>2021.091B.R.Weiservirinae.zip</v>
      </c>
      <c r="U2689" s="43" t="str">
        <f>HYPERLINK("https://ictv.global/taxonomy/taxondetails?taxnode_id=202201348","ictv.global=202201348")</f>
        <v>ictv.global=202201348</v>
      </c>
    </row>
    <row r="2690" spans="1:21">
      <c r="A2690">
        <v>2689</v>
      </c>
      <c r="B2690" s="29" t="s">
        <v>3682</v>
      </c>
      <c r="C2690" s="29"/>
      <c r="D2690" s="29" t="s">
        <v>3683</v>
      </c>
      <c r="E2690" s="29"/>
      <c r="F2690" s="29" t="s">
        <v>3686</v>
      </c>
      <c r="G2690" s="29"/>
      <c r="H2690" s="29" t="s">
        <v>3687</v>
      </c>
      <c r="I2690" s="29"/>
      <c r="J2690" s="29"/>
      <c r="K2690" s="29"/>
      <c r="L2690" s="29"/>
      <c r="M2690" s="29" t="s">
        <v>9815</v>
      </c>
      <c r="N2690" s="29" t="s">
        <v>9865</v>
      </c>
      <c r="O2690" s="29"/>
      <c r="P2690" s="29" t="s">
        <v>9870</v>
      </c>
      <c r="Q2690" t="s">
        <v>2038</v>
      </c>
      <c r="R2690" t="s">
        <v>2632</v>
      </c>
      <c r="S2690">
        <v>37</v>
      </c>
      <c r="T2690" s="43" t="str">
        <f t="shared" si="115"/>
        <v>2021.091B.R.Weiservirinae.zip</v>
      </c>
      <c r="U2690" s="43" t="str">
        <f>HYPERLINK("https://ictv.global/taxonomy/taxondetails?taxnode_id=202212713","ictv.global=202212713")</f>
        <v>ictv.global=202212713</v>
      </c>
    </row>
    <row r="2691" spans="1:21">
      <c r="A2691">
        <v>2690</v>
      </c>
      <c r="B2691" s="29" t="s">
        <v>3682</v>
      </c>
      <c r="C2691" s="29"/>
      <c r="D2691" s="29" t="s">
        <v>3683</v>
      </c>
      <c r="E2691" s="29"/>
      <c r="F2691" s="29" t="s">
        <v>3686</v>
      </c>
      <c r="G2691" s="29"/>
      <c r="H2691" s="29" t="s">
        <v>3687</v>
      </c>
      <c r="I2691" s="29"/>
      <c r="J2691" s="29"/>
      <c r="K2691" s="29"/>
      <c r="L2691" s="29"/>
      <c r="M2691" s="29" t="s">
        <v>9815</v>
      </c>
      <c r="N2691" s="29" t="s">
        <v>9865</v>
      </c>
      <c r="O2691" s="29"/>
      <c r="P2691" s="29" t="s">
        <v>9871</v>
      </c>
      <c r="Q2691" t="s">
        <v>2038</v>
      </c>
      <c r="R2691" t="s">
        <v>2632</v>
      </c>
      <c r="S2691">
        <v>37</v>
      </c>
      <c r="T2691" s="43" t="str">
        <f t="shared" si="115"/>
        <v>2021.091B.R.Weiservirinae.zip</v>
      </c>
      <c r="U2691" s="43" t="str">
        <f>HYPERLINK("https://ictv.global/taxonomy/taxondetails?taxnode_id=202212714","ictv.global=202212714")</f>
        <v>ictv.global=202212714</v>
      </c>
    </row>
    <row r="2692" spans="1:21">
      <c r="A2692">
        <v>2691</v>
      </c>
      <c r="B2692" s="29" t="s">
        <v>3682</v>
      </c>
      <c r="C2692" s="29"/>
      <c r="D2692" s="29" t="s">
        <v>3683</v>
      </c>
      <c r="E2692" s="29"/>
      <c r="F2692" s="29" t="s">
        <v>3686</v>
      </c>
      <c r="G2692" s="29"/>
      <c r="H2692" s="29" t="s">
        <v>3687</v>
      </c>
      <c r="I2692" s="29"/>
      <c r="J2692" s="29"/>
      <c r="K2692" s="29"/>
      <c r="L2692" s="29"/>
      <c r="M2692" s="29" t="s">
        <v>9815</v>
      </c>
      <c r="N2692" s="29" t="s">
        <v>9865</v>
      </c>
      <c r="O2692" s="29"/>
      <c r="P2692" s="29" t="s">
        <v>9872</v>
      </c>
      <c r="Q2692" t="s">
        <v>2038</v>
      </c>
      <c r="R2692" t="s">
        <v>2632</v>
      </c>
      <c r="S2692">
        <v>37</v>
      </c>
      <c r="T2692" s="43" t="str">
        <f t="shared" si="115"/>
        <v>2021.091B.R.Weiservirinae.zip</v>
      </c>
      <c r="U2692" s="43" t="str">
        <f>HYPERLINK("https://ictv.global/taxonomy/taxondetails?taxnode_id=202212715","ictv.global=202212715")</f>
        <v>ictv.global=202212715</v>
      </c>
    </row>
    <row r="2693" spans="1:21">
      <c r="A2693">
        <v>2692</v>
      </c>
      <c r="B2693" s="29" t="s">
        <v>3682</v>
      </c>
      <c r="C2693" s="29"/>
      <c r="D2693" s="29" t="s">
        <v>3683</v>
      </c>
      <c r="E2693" s="29"/>
      <c r="F2693" s="29" t="s">
        <v>3686</v>
      </c>
      <c r="G2693" s="29"/>
      <c r="H2693" s="29" t="s">
        <v>3687</v>
      </c>
      <c r="I2693" s="29"/>
      <c r="J2693" s="29"/>
      <c r="K2693" s="29"/>
      <c r="L2693" s="29"/>
      <c r="M2693" s="29" t="s">
        <v>9815</v>
      </c>
      <c r="N2693" s="29" t="s">
        <v>9865</v>
      </c>
      <c r="O2693" s="29"/>
      <c r="P2693" s="29" t="s">
        <v>9873</v>
      </c>
      <c r="Q2693" t="s">
        <v>2038</v>
      </c>
      <c r="R2693" t="s">
        <v>2632</v>
      </c>
      <c r="S2693">
        <v>37</v>
      </c>
      <c r="T2693" s="43" t="str">
        <f t="shared" si="115"/>
        <v>2021.091B.R.Weiservirinae.zip</v>
      </c>
      <c r="U2693" s="43" t="str">
        <f>HYPERLINK("https://ictv.global/taxonomy/taxondetails?taxnode_id=202212716","ictv.global=202212716")</f>
        <v>ictv.global=202212716</v>
      </c>
    </row>
    <row r="2694" spans="1:21">
      <c r="A2694">
        <v>2693</v>
      </c>
      <c r="B2694" s="29" t="s">
        <v>3682</v>
      </c>
      <c r="C2694" s="29"/>
      <c r="D2694" s="29" t="s">
        <v>3683</v>
      </c>
      <c r="E2694" s="29"/>
      <c r="F2694" s="29" t="s">
        <v>3686</v>
      </c>
      <c r="G2694" s="29"/>
      <c r="H2694" s="29" t="s">
        <v>3687</v>
      </c>
      <c r="I2694" s="29"/>
      <c r="J2694" s="29"/>
      <c r="K2694" s="29"/>
      <c r="L2694" s="29"/>
      <c r="M2694" s="29" t="s">
        <v>9815</v>
      </c>
      <c r="N2694" s="29" t="s">
        <v>9865</v>
      </c>
      <c r="O2694" s="29"/>
      <c r="P2694" s="29" t="s">
        <v>9874</v>
      </c>
      <c r="Q2694" t="s">
        <v>2038</v>
      </c>
      <c r="R2694" t="s">
        <v>2632</v>
      </c>
      <c r="S2694">
        <v>37</v>
      </c>
      <c r="T2694" s="43" t="str">
        <f t="shared" si="115"/>
        <v>2021.091B.R.Weiservirinae.zip</v>
      </c>
      <c r="U2694" s="43" t="str">
        <f>HYPERLINK("https://ictv.global/taxonomy/taxondetails?taxnode_id=202212717","ictv.global=202212717")</f>
        <v>ictv.global=202212717</v>
      </c>
    </row>
    <row r="2695" spans="1:21">
      <c r="A2695">
        <v>2694</v>
      </c>
      <c r="B2695" s="29" t="s">
        <v>3682</v>
      </c>
      <c r="C2695" s="29"/>
      <c r="D2695" s="29" t="s">
        <v>3683</v>
      </c>
      <c r="E2695" s="29"/>
      <c r="F2695" s="29" t="s">
        <v>3686</v>
      </c>
      <c r="G2695" s="29"/>
      <c r="H2695" s="29" t="s">
        <v>3687</v>
      </c>
      <c r="I2695" s="29"/>
      <c r="J2695" s="29"/>
      <c r="K2695" s="29"/>
      <c r="L2695" s="29"/>
      <c r="M2695" s="29" t="s">
        <v>9815</v>
      </c>
      <c r="N2695" s="29" t="s">
        <v>3607</v>
      </c>
      <c r="O2695" s="29"/>
      <c r="P2695" s="29" t="s">
        <v>2125</v>
      </c>
      <c r="Q2695" t="s">
        <v>2038</v>
      </c>
      <c r="R2695" t="s">
        <v>2634</v>
      </c>
      <c r="S2695">
        <v>37</v>
      </c>
      <c r="T2695" s="43" t="str">
        <f>HYPERLINK("https://ictv.global/ictv/proposals/2021.001B.R.abolish_Caudovirales.zip","2021.001B.R.abolish_Caudovirales.zip;2021.091B.A.v1.Weiservirinae.zip")</f>
        <v>2021.001B.R.abolish_Caudovirales.zip;2021.091B.A.v1.Weiservirinae.zip</v>
      </c>
      <c r="U2695" s="43" t="str">
        <f>HYPERLINK("https://ictv.global/taxonomy/taxondetails?taxnode_id=202201351","ictv.global=202201351")</f>
        <v>ictv.global=202201351</v>
      </c>
    </row>
    <row r="2696" spans="1:21">
      <c r="A2696">
        <v>2695</v>
      </c>
      <c r="B2696" s="29" t="s">
        <v>3682</v>
      </c>
      <c r="C2696" s="29"/>
      <c r="D2696" s="29" t="s">
        <v>3683</v>
      </c>
      <c r="E2696" s="29"/>
      <c r="F2696" s="29" t="s">
        <v>3686</v>
      </c>
      <c r="G2696" s="29"/>
      <c r="H2696" s="29" t="s">
        <v>3687</v>
      </c>
      <c r="I2696" s="29"/>
      <c r="J2696" s="29"/>
      <c r="K2696" s="29"/>
      <c r="L2696" s="29"/>
      <c r="M2696" s="29" t="s">
        <v>9815</v>
      </c>
      <c r="N2696" s="29" t="s">
        <v>3607</v>
      </c>
      <c r="O2696" s="29"/>
      <c r="P2696" s="29" t="s">
        <v>9875</v>
      </c>
      <c r="Q2696" t="s">
        <v>2038</v>
      </c>
      <c r="R2696" t="s">
        <v>2632</v>
      </c>
      <c r="S2696">
        <v>37</v>
      </c>
      <c r="T2696" s="43" t="str">
        <f t="shared" ref="T2696:T2703" si="116">HYPERLINK("https://ictv.global/ictv/proposals/2021.091B.R.Weiservirinae.zip","2021.091B.R.Weiservirinae.zip")</f>
        <v>2021.091B.R.Weiservirinae.zip</v>
      </c>
      <c r="U2696" s="43" t="str">
        <f>HYPERLINK("https://ictv.global/taxonomy/taxondetails?taxnode_id=202212718","ictv.global=202212718")</f>
        <v>ictv.global=202212718</v>
      </c>
    </row>
    <row r="2697" spans="1:21">
      <c r="A2697">
        <v>2696</v>
      </c>
      <c r="B2697" s="29" t="s">
        <v>3682</v>
      </c>
      <c r="C2697" s="29"/>
      <c r="D2697" s="29" t="s">
        <v>3683</v>
      </c>
      <c r="E2697" s="29"/>
      <c r="F2697" s="29" t="s">
        <v>3686</v>
      </c>
      <c r="G2697" s="29"/>
      <c r="H2697" s="29" t="s">
        <v>3687</v>
      </c>
      <c r="I2697" s="29"/>
      <c r="J2697" s="29"/>
      <c r="K2697" s="29"/>
      <c r="L2697" s="29"/>
      <c r="M2697" s="29" t="s">
        <v>9815</v>
      </c>
      <c r="N2697" s="29" t="s">
        <v>3607</v>
      </c>
      <c r="O2697" s="29"/>
      <c r="P2697" s="29" t="s">
        <v>9876</v>
      </c>
      <c r="Q2697" t="s">
        <v>2038</v>
      </c>
      <c r="R2697" t="s">
        <v>2632</v>
      </c>
      <c r="S2697">
        <v>37</v>
      </c>
      <c r="T2697" s="43" t="str">
        <f t="shared" si="116"/>
        <v>2021.091B.R.Weiservirinae.zip</v>
      </c>
      <c r="U2697" s="43" t="str">
        <f>HYPERLINK("https://ictv.global/taxonomy/taxondetails?taxnode_id=202212719","ictv.global=202212719")</f>
        <v>ictv.global=202212719</v>
      </c>
    </row>
    <row r="2698" spans="1:21">
      <c r="A2698">
        <v>2697</v>
      </c>
      <c r="B2698" s="29" t="s">
        <v>3682</v>
      </c>
      <c r="C2698" s="29"/>
      <c r="D2698" s="29" t="s">
        <v>3683</v>
      </c>
      <c r="E2698" s="29"/>
      <c r="F2698" s="29" t="s">
        <v>3686</v>
      </c>
      <c r="G2698" s="29"/>
      <c r="H2698" s="29" t="s">
        <v>3687</v>
      </c>
      <c r="I2698" s="29"/>
      <c r="J2698" s="29"/>
      <c r="K2698" s="29"/>
      <c r="L2698" s="29"/>
      <c r="M2698" s="29" t="s">
        <v>9815</v>
      </c>
      <c r="N2698" s="29" t="s">
        <v>3607</v>
      </c>
      <c r="O2698" s="29"/>
      <c r="P2698" s="29" t="s">
        <v>9877</v>
      </c>
      <c r="Q2698" t="s">
        <v>2038</v>
      </c>
      <c r="R2698" t="s">
        <v>2632</v>
      </c>
      <c r="S2698">
        <v>37</v>
      </c>
      <c r="T2698" s="43" t="str">
        <f t="shared" si="116"/>
        <v>2021.091B.R.Weiservirinae.zip</v>
      </c>
      <c r="U2698" s="43" t="str">
        <f>HYPERLINK("https://ictv.global/taxonomy/taxondetails?taxnode_id=202212720","ictv.global=202212720")</f>
        <v>ictv.global=202212720</v>
      </c>
    </row>
    <row r="2699" spans="1:21">
      <c r="A2699">
        <v>2698</v>
      </c>
      <c r="B2699" s="29" t="s">
        <v>3682</v>
      </c>
      <c r="C2699" s="29"/>
      <c r="D2699" s="29" t="s">
        <v>3683</v>
      </c>
      <c r="E2699" s="29"/>
      <c r="F2699" s="29" t="s">
        <v>3686</v>
      </c>
      <c r="G2699" s="29"/>
      <c r="H2699" s="29" t="s">
        <v>3687</v>
      </c>
      <c r="I2699" s="29"/>
      <c r="J2699" s="29"/>
      <c r="K2699" s="29"/>
      <c r="L2699" s="29"/>
      <c r="M2699" s="29" t="s">
        <v>9815</v>
      </c>
      <c r="N2699" s="29" t="s">
        <v>9878</v>
      </c>
      <c r="O2699" s="29"/>
      <c r="P2699" s="29" t="s">
        <v>9879</v>
      </c>
      <c r="Q2699" t="s">
        <v>2038</v>
      </c>
      <c r="R2699" t="s">
        <v>2632</v>
      </c>
      <c r="S2699">
        <v>37</v>
      </c>
      <c r="T2699" s="43" t="str">
        <f t="shared" si="116"/>
        <v>2021.091B.R.Weiservirinae.zip</v>
      </c>
      <c r="U2699" s="43" t="str">
        <f>HYPERLINK("https://ictv.global/taxonomy/taxondetails?taxnode_id=202212723","ictv.global=202212723")</f>
        <v>ictv.global=202212723</v>
      </c>
    </row>
    <row r="2700" spans="1:21">
      <c r="A2700">
        <v>2699</v>
      </c>
      <c r="B2700" s="29" t="s">
        <v>3682</v>
      </c>
      <c r="C2700" s="29"/>
      <c r="D2700" s="29" t="s">
        <v>3683</v>
      </c>
      <c r="E2700" s="29"/>
      <c r="F2700" s="29" t="s">
        <v>3686</v>
      </c>
      <c r="G2700" s="29"/>
      <c r="H2700" s="29" t="s">
        <v>3687</v>
      </c>
      <c r="I2700" s="29"/>
      <c r="J2700" s="29"/>
      <c r="K2700" s="29"/>
      <c r="L2700" s="29"/>
      <c r="M2700" s="29" t="s">
        <v>9815</v>
      </c>
      <c r="N2700" s="29" t="s">
        <v>9878</v>
      </c>
      <c r="O2700" s="29"/>
      <c r="P2700" s="29" t="s">
        <v>9880</v>
      </c>
      <c r="Q2700" t="s">
        <v>2038</v>
      </c>
      <c r="R2700" t="s">
        <v>2632</v>
      </c>
      <c r="S2700">
        <v>37</v>
      </c>
      <c r="T2700" s="43" t="str">
        <f t="shared" si="116"/>
        <v>2021.091B.R.Weiservirinae.zip</v>
      </c>
      <c r="U2700" s="43" t="str">
        <f>HYPERLINK("https://ictv.global/taxonomy/taxondetails?taxnode_id=202212724","ictv.global=202212724")</f>
        <v>ictv.global=202212724</v>
      </c>
    </row>
    <row r="2701" spans="1:21">
      <c r="A2701">
        <v>2700</v>
      </c>
      <c r="B2701" s="29" t="s">
        <v>3682</v>
      </c>
      <c r="C2701" s="29"/>
      <c r="D2701" s="29" t="s">
        <v>3683</v>
      </c>
      <c r="E2701" s="29"/>
      <c r="F2701" s="29" t="s">
        <v>3686</v>
      </c>
      <c r="G2701" s="29"/>
      <c r="H2701" s="29" t="s">
        <v>3687</v>
      </c>
      <c r="I2701" s="29"/>
      <c r="J2701" s="29"/>
      <c r="K2701" s="29"/>
      <c r="L2701" s="29"/>
      <c r="M2701" s="29" t="s">
        <v>9815</v>
      </c>
      <c r="N2701" s="29" t="s">
        <v>9878</v>
      </c>
      <c r="O2701" s="29"/>
      <c r="P2701" s="29" t="s">
        <v>9881</v>
      </c>
      <c r="Q2701" t="s">
        <v>2038</v>
      </c>
      <c r="R2701" t="s">
        <v>2632</v>
      </c>
      <c r="S2701">
        <v>37</v>
      </c>
      <c r="T2701" s="43" t="str">
        <f t="shared" si="116"/>
        <v>2021.091B.R.Weiservirinae.zip</v>
      </c>
      <c r="U2701" s="43" t="str">
        <f>HYPERLINK("https://ictv.global/taxonomy/taxondetails?taxnode_id=202212725","ictv.global=202212725")</f>
        <v>ictv.global=202212725</v>
      </c>
    </row>
    <row r="2702" spans="1:21">
      <c r="A2702">
        <v>2701</v>
      </c>
      <c r="B2702" s="29" t="s">
        <v>3682</v>
      </c>
      <c r="C2702" s="29"/>
      <c r="D2702" s="29" t="s">
        <v>3683</v>
      </c>
      <c r="E2702" s="29"/>
      <c r="F2702" s="29" t="s">
        <v>3686</v>
      </c>
      <c r="G2702" s="29"/>
      <c r="H2702" s="29" t="s">
        <v>3687</v>
      </c>
      <c r="I2702" s="29"/>
      <c r="J2702" s="29"/>
      <c r="K2702" s="29"/>
      <c r="L2702" s="29"/>
      <c r="M2702" s="29" t="s">
        <v>9815</v>
      </c>
      <c r="N2702" s="29" t="s">
        <v>9878</v>
      </c>
      <c r="O2702" s="29"/>
      <c r="P2702" s="29" t="s">
        <v>9882</v>
      </c>
      <c r="Q2702" t="s">
        <v>2038</v>
      </c>
      <c r="R2702" t="s">
        <v>2632</v>
      </c>
      <c r="S2702">
        <v>37</v>
      </c>
      <c r="T2702" s="43" t="str">
        <f t="shared" si="116"/>
        <v>2021.091B.R.Weiservirinae.zip</v>
      </c>
      <c r="U2702" s="43" t="str">
        <f>HYPERLINK("https://ictv.global/taxonomy/taxondetails?taxnode_id=202212722","ictv.global=202212722")</f>
        <v>ictv.global=202212722</v>
      </c>
    </row>
    <row r="2703" spans="1:21">
      <c r="A2703">
        <v>2702</v>
      </c>
      <c r="B2703" s="29" t="s">
        <v>3682</v>
      </c>
      <c r="C2703" s="29"/>
      <c r="D2703" s="29" t="s">
        <v>3683</v>
      </c>
      <c r="E2703" s="29"/>
      <c r="F2703" s="29" t="s">
        <v>3686</v>
      </c>
      <c r="G2703" s="29"/>
      <c r="H2703" s="29" t="s">
        <v>3687</v>
      </c>
      <c r="I2703" s="29"/>
      <c r="J2703" s="29"/>
      <c r="K2703" s="29"/>
      <c r="L2703" s="29"/>
      <c r="M2703" s="29" t="s">
        <v>9815</v>
      </c>
      <c r="N2703" s="29" t="s">
        <v>9878</v>
      </c>
      <c r="O2703" s="29"/>
      <c r="P2703" s="29" t="s">
        <v>9883</v>
      </c>
      <c r="Q2703" t="s">
        <v>2038</v>
      </c>
      <c r="R2703" t="s">
        <v>2632</v>
      </c>
      <c r="S2703">
        <v>37</v>
      </c>
      <c r="T2703" s="43" t="str">
        <f t="shared" si="116"/>
        <v>2021.091B.R.Weiservirinae.zip</v>
      </c>
      <c r="U2703" s="43" t="str">
        <f>HYPERLINK("https://ictv.global/taxonomy/taxondetails?taxnode_id=202212726","ictv.global=202212726")</f>
        <v>ictv.global=202212726</v>
      </c>
    </row>
    <row r="2704" spans="1:21">
      <c r="A2704">
        <v>2703</v>
      </c>
      <c r="B2704" s="29" t="s">
        <v>3682</v>
      </c>
      <c r="C2704" s="29"/>
      <c r="D2704" s="29" t="s">
        <v>3683</v>
      </c>
      <c r="E2704" s="29"/>
      <c r="F2704" s="29" t="s">
        <v>3686</v>
      </c>
      <c r="G2704" s="29"/>
      <c r="H2704" s="29" t="s">
        <v>3687</v>
      </c>
      <c r="I2704" s="29"/>
      <c r="J2704" s="29"/>
      <c r="K2704" s="29"/>
      <c r="L2704" s="29"/>
      <c r="M2704" s="29"/>
      <c r="N2704" s="29" t="s">
        <v>9884</v>
      </c>
      <c r="O2704" s="29"/>
      <c r="P2704" s="29" t="s">
        <v>9885</v>
      </c>
      <c r="Q2704" t="s">
        <v>2038</v>
      </c>
      <c r="R2704" t="s">
        <v>2632</v>
      </c>
      <c r="S2704">
        <v>38</v>
      </c>
      <c r="T2704" s="43" t="str">
        <f>HYPERLINK("https://ictv.global/ictv/proposals/2022.058B.Caudoviricetes_3ng.zip","2022.058B.Caudoviricetes_3ng.zip")</f>
        <v>2022.058B.Caudoviricetes_3ng.zip</v>
      </c>
      <c r="U2704" s="43" t="str">
        <f>HYPERLINK("https://ictv.global/taxonomy/taxondetails?taxnode_id=202214701","ictv.global=202214701")</f>
        <v>ictv.global=202214701</v>
      </c>
    </row>
    <row r="2705" spans="1:21">
      <c r="A2705">
        <v>2704</v>
      </c>
      <c r="B2705" s="29" t="s">
        <v>3682</v>
      </c>
      <c r="C2705" s="29"/>
      <c r="D2705" s="29" t="s">
        <v>3683</v>
      </c>
      <c r="E2705" s="29"/>
      <c r="F2705" s="29" t="s">
        <v>3686</v>
      </c>
      <c r="G2705" s="29"/>
      <c r="H2705" s="29" t="s">
        <v>3687</v>
      </c>
      <c r="I2705" s="29"/>
      <c r="J2705" s="29"/>
      <c r="K2705" s="29"/>
      <c r="L2705" s="29"/>
      <c r="M2705" s="29"/>
      <c r="N2705" s="29" t="s">
        <v>3981</v>
      </c>
      <c r="O2705" s="29"/>
      <c r="P2705" s="29" t="s">
        <v>9886</v>
      </c>
      <c r="Q2705" t="s">
        <v>2038</v>
      </c>
      <c r="R2705" t="s">
        <v>2633</v>
      </c>
      <c r="S2705">
        <v>37</v>
      </c>
      <c r="T2705" s="43" t="str">
        <f>HYPERLINK("https://ictv.global/ictv/proposals/2021.010B.R.Binomial_names.zip","2021.010B.R.Binomial_names.zip")</f>
        <v>2021.010B.R.Binomial_names.zip</v>
      </c>
      <c r="U2705" s="43" t="str">
        <f>HYPERLINK("https://ictv.global/taxonomy/taxondetails?taxnode_id=202207712","ictv.global=202207712")</f>
        <v>ictv.global=202207712</v>
      </c>
    </row>
    <row r="2706" spans="1:21">
      <c r="A2706">
        <v>2705</v>
      </c>
      <c r="B2706" s="29" t="s">
        <v>3682</v>
      </c>
      <c r="C2706" s="29"/>
      <c r="D2706" s="29" t="s">
        <v>3683</v>
      </c>
      <c r="E2706" s="29"/>
      <c r="F2706" s="29" t="s">
        <v>3686</v>
      </c>
      <c r="G2706" s="29"/>
      <c r="H2706" s="29" t="s">
        <v>3687</v>
      </c>
      <c r="I2706" s="29"/>
      <c r="J2706" s="29"/>
      <c r="K2706" s="29"/>
      <c r="L2706" s="29"/>
      <c r="M2706" s="29"/>
      <c r="N2706" s="29" t="s">
        <v>2414</v>
      </c>
      <c r="O2706" s="29"/>
      <c r="P2706" s="29" t="s">
        <v>9887</v>
      </c>
      <c r="Q2706" t="s">
        <v>2038</v>
      </c>
      <c r="R2706" t="s">
        <v>2633</v>
      </c>
      <c r="S2706">
        <v>37</v>
      </c>
      <c r="T2706" s="43" t="str">
        <f>HYPERLINK("https://ictv.global/ictv/proposals/2021.010B.R.Binomial_names.zip","2021.010B.R.Binomial_names.zip")</f>
        <v>2021.010B.R.Binomial_names.zip</v>
      </c>
      <c r="U2706" s="43" t="str">
        <f>HYPERLINK("https://ictv.global/taxonomy/taxondetails?taxnode_id=202200364","ictv.global=202200364")</f>
        <v>ictv.global=202200364</v>
      </c>
    </row>
    <row r="2707" spans="1:21">
      <c r="A2707">
        <v>2706</v>
      </c>
      <c r="B2707" s="29" t="s">
        <v>3682</v>
      </c>
      <c r="C2707" s="29"/>
      <c r="D2707" s="29" t="s">
        <v>3683</v>
      </c>
      <c r="E2707" s="29"/>
      <c r="F2707" s="29" t="s">
        <v>3686</v>
      </c>
      <c r="G2707" s="29"/>
      <c r="H2707" s="29" t="s">
        <v>3687</v>
      </c>
      <c r="I2707" s="29"/>
      <c r="J2707" s="29"/>
      <c r="K2707" s="29"/>
      <c r="L2707" s="29"/>
      <c r="M2707" s="29"/>
      <c r="N2707" s="29" t="s">
        <v>2414</v>
      </c>
      <c r="O2707" s="29"/>
      <c r="P2707" s="29" t="s">
        <v>9888</v>
      </c>
      <c r="Q2707" t="s">
        <v>2038</v>
      </c>
      <c r="R2707" t="s">
        <v>2633</v>
      </c>
      <c r="S2707">
        <v>37</v>
      </c>
      <c r="T2707" s="43" t="str">
        <f>HYPERLINK("https://ictv.global/ictv/proposals/2021.010B.R.Binomial_names.zip","2021.010B.R.Binomial_names.zip")</f>
        <v>2021.010B.R.Binomial_names.zip</v>
      </c>
      <c r="U2707" s="43" t="str">
        <f>HYPERLINK("https://ictv.global/taxonomy/taxondetails?taxnode_id=202200365","ictv.global=202200365")</f>
        <v>ictv.global=202200365</v>
      </c>
    </row>
    <row r="2708" spans="1:21">
      <c r="A2708">
        <v>2707</v>
      </c>
      <c r="B2708" s="29" t="s">
        <v>3682</v>
      </c>
      <c r="C2708" s="29"/>
      <c r="D2708" s="29" t="s">
        <v>3683</v>
      </c>
      <c r="E2708" s="29"/>
      <c r="F2708" s="29" t="s">
        <v>3686</v>
      </c>
      <c r="G2708" s="29"/>
      <c r="H2708" s="29" t="s">
        <v>3687</v>
      </c>
      <c r="I2708" s="29"/>
      <c r="J2708" s="29"/>
      <c r="K2708" s="29"/>
      <c r="L2708" s="29"/>
      <c r="M2708" s="29"/>
      <c r="N2708" s="29" t="s">
        <v>9889</v>
      </c>
      <c r="O2708" s="29"/>
      <c r="P2708" s="29" t="s">
        <v>9890</v>
      </c>
      <c r="Q2708" t="s">
        <v>2038</v>
      </c>
      <c r="R2708" t="s">
        <v>2632</v>
      </c>
      <c r="S2708">
        <v>38</v>
      </c>
      <c r="T2708" s="43" t="str">
        <f>HYPERLINK("https://ictv.global/ictv/proposals/2022.091B.Caudoviricetes_3ng_actinophages.zip","2022.091B.Caudoviricetes_3ng_actinophages.zip")</f>
        <v>2022.091B.Caudoviricetes_3ng_actinophages.zip</v>
      </c>
      <c r="U2708" s="43" t="str">
        <f>HYPERLINK("https://ictv.global/taxonomy/taxondetails?taxnode_id=202214964","ictv.global=202214964")</f>
        <v>ictv.global=202214964</v>
      </c>
    </row>
    <row r="2709" spans="1:21">
      <c r="A2709">
        <v>2708</v>
      </c>
      <c r="B2709" s="29" t="s">
        <v>3682</v>
      </c>
      <c r="C2709" s="29"/>
      <c r="D2709" s="29" t="s">
        <v>3683</v>
      </c>
      <c r="E2709" s="29"/>
      <c r="F2709" s="29" t="s">
        <v>3686</v>
      </c>
      <c r="G2709" s="29"/>
      <c r="H2709" s="29" t="s">
        <v>3687</v>
      </c>
      <c r="I2709" s="29"/>
      <c r="J2709" s="29"/>
      <c r="K2709" s="29"/>
      <c r="L2709" s="29"/>
      <c r="M2709" s="29"/>
      <c r="N2709" s="29" t="s">
        <v>4700</v>
      </c>
      <c r="O2709" s="29"/>
      <c r="P2709" s="29" t="s">
        <v>9891</v>
      </c>
      <c r="Q2709" t="s">
        <v>2038</v>
      </c>
      <c r="R2709" t="s">
        <v>2633</v>
      </c>
      <c r="S2709">
        <v>37</v>
      </c>
      <c r="T2709" s="43" t="str">
        <f t="shared" ref="T2709:T2717" si="117">HYPERLINK("https://ictv.global/ictv/proposals/2021.010B.R.Binomial_names.zip","2021.010B.R.Binomial_names.zip")</f>
        <v>2021.010B.R.Binomial_names.zip</v>
      </c>
      <c r="U2709" s="43" t="str">
        <f>HYPERLINK("https://ictv.global/taxonomy/taxondetails?taxnode_id=202209142","ictv.global=202209142")</f>
        <v>ictv.global=202209142</v>
      </c>
    </row>
    <row r="2710" spans="1:21">
      <c r="A2710">
        <v>2709</v>
      </c>
      <c r="B2710" s="29" t="s">
        <v>3682</v>
      </c>
      <c r="C2710" s="29"/>
      <c r="D2710" s="29" t="s">
        <v>3683</v>
      </c>
      <c r="E2710" s="29"/>
      <c r="F2710" s="29" t="s">
        <v>3686</v>
      </c>
      <c r="G2710" s="29"/>
      <c r="H2710" s="29" t="s">
        <v>3687</v>
      </c>
      <c r="I2710" s="29"/>
      <c r="J2710" s="29"/>
      <c r="K2710" s="29"/>
      <c r="L2710" s="29"/>
      <c r="M2710" s="29"/>
      <c r="N2710" s="29" t="s">
        <v>3393</v>
      </c>
      <c r="O2710" s="29"/>
      <c r="P2710" s="29" t="s">
        <v>9892</v>
      </c>
      <c r="Q2710" t="s">
        <v>2038</v>
      </c>
      <c r="R2710" t="s">
        <v>2633</v>
      </c>
      <c r="S2710">
        <v>37</v>
      </c>
      <c r="T2710" s="43" t="str">
        <f t="shared" si="117"/>
        <v>2021.010B.R.Binomial_names.zip</v>
      </c>
      <c r="U2710" s="43" t="str">
        <f>HYPERLINK("https://ictv.global/taxonomy/taxondetails?taxnode_id=202200371","ictv.global=202200371")</f>
        <v>ictv.global=202200371</v>
      </c>
    </row>
    <row r="2711" spans="1:21">
      <c r="A2711">
        <v>2710</v>
      </c>
      <c r="B2711" s="29" t="s">
        <v>3682</v>
      </c>
      <c r="C2711" s="29"/>
      <c r="D2711" s="29" t="s">
        <v>3683</v>
      </c>
      <c r="E2711" s="29"/>
      <c r="F2711" s="29" t="s">
        <v>3686</v>
      </c>
      <c r="G2711" s="29"/>
      <c r="H2711" s="29" t="s">
        <v>3687</v>
      </c>
      <c r="I2711" s="29"/>
      <c r="J2711" s="29"/>
      <c r="K2711" s="29"/>
      <c r="L2711" s="29"/>
      <c r="M2711" s="29"/>
      <c r="N2711" s="29" t="s">
        <v>3393</v>
      </c>
      <c r="O2711" s="29"/>
      <c r="P2711" s="29" t="s">
        <v>9893</v>
      </c>
      <c r="Q2711" t="s">
        <v>2038</v>
      </c>
      <c r="R2711" t="s">
        <v>2633</v>
      </c>
      <c r="S2711">
        <v>37</v>
      </c>
      <c r="T2711" s="43" t="str">
        <f t="shared" si="117"/>
        <v>2021.010B.R.Binomial_names.zip</v>
      </c>
      <c r="U2711" s="43" t="str">
        <f>HYPERLINK("https://ictv.global/taxonomy/taxondetails?taxnode_id=202206995","ictv.global=202206995")</f>
        <v>ictv.global=202206995</v>
      </c>
    </row>
    <row r="2712" spans="1:21">
      <c r="A2712">
        <v>2711</v>
      </c>
      <c r="B2712" s="29" t="s">
        <v>3682</v>
      </c>
      <c r="C2712" s="29"/>
      <c r="D2712" s="29" t="s">
        <v>3683</v>
      </c>
      <c r="E2712" s="29"/>
      <c r="F2712" s="29" t="s">
        <v>3686</v>
      </c>
      <c r="G2712" s="29"/>
      <c r="H2712" s="29" t="s">
        <v>3687</v>
      </c>
      <c r="I2712" s="29"/>
      <c r="J2712" s="29"/>
      <c r="K2712" s="29"/>
      <c r="L2712" s="29"/>
      <c r="M2712" s="29"/>
      <c r="N2712" s="29" t="s">
        <v>3393</v>
      </c>
      <c r="O2712" s="29"/>
      <c r="P2712" s="29" t="s">
        <v>9894</v>
      </c>
      <c r="Q2712" t="s">
        <v>2038</v>
      </c>
      <c r="R2712" t="s">
        <v>2633</v>
      </c>
      <c r="S2712">
        <v>37</v>
      </c>
      <c r="T2712" s="43" t="str">
        <f t="shared" si="117"/>
        <v>2021.010B.R.Binomial_names.zip</v>
      </c>
      <c r="U2712" s="43" t="str">
        <f>HYPERLINK("https://ictv.global/taxonomy/taxondetails?taxnode_id=202200372","ictv.global=202200372")</f>
        <v>ictv.global=202200372</v>
      </c>
    </row>
    <row r="2713" spans="1:21">
      <c r="A2713">
        <v>2712</v>
      </c>
      <c r="B2713" s="29" t="s">
        <v>3682</v>
      </c>
      <c r="C2713" s="29"/>
      <c r="D2713" s="29" t="s">
        <v>3683</v>
      </c>
      <c r="E2713" s="29"/>
      <c r="F2713" s="29" t="s">
        <v>3686</v>
      </c>
      <c r="G2713" s="29"/>
      <c r="H2713" s="29" t="s">
        <v>3687</v>
      </c>
      <c r="I2713" s="29"/>
      <c r="J2713" s="29"/>
      <c r="K2713" s="29"/>
      <c r="L2713" s="29"/>
      <c r="M2713" s="29"/>
      <c r="N2713" s="29" t="s">
        <v>3393</v>
      </c>
      <c r="O2713" s="29"/>
      <c r="P2713" s="29" t="s">
        <v>9895</v>
      </c>
      <c r="Q2713" t="s">
        <v>2038</v>
      </c>
      <c r="R2713" t="s">
        <v>2633</v>
      </c>
      <c r="S2713">
        <v>37</v>
      </c>
      <c r="T2713" s="43" t="str">
        <f t="shared" si="117"/>
        <v>2021.010B.R.Binomial_names.zip</v>
      </c>
      <c r="U2713" s="43" t="str">
        <f>HYPERLINK("https://ictv.global/taxonomy/taxondetails?taxnode_id=202200373","ictv.global=202200373")</f>
        <v>ictv.global=202200373</v>
      </c>
    </row>
    <row r="2714" spans="1:21">
      <c r="A2714">
        <v>2713</v>
      </c>
      <c r="B2714" s="29" t="s">
        <v>3682</v>
      </c>
      <c r="C2714" s="29"/>
      <c r="D2714" s="29" t="s">
        <v>3683</v>
      </c>
      <c r="E2714" s="29"/>
      <c r="F2714" s="29" t="s">
        <v>3686</v>
      </c>
      <c r="G2714" s="29"/>
      <c r="H2714" s="29" t="s">
        <v>3687</v>
      </c>
      <c r="I2714" s="29"/>
      <c r="J2714" s="29"/>
      <c r="K2714" s="29"/>
      <c r="L2714" s="29"/>
      <c r="M2714" s="29"/>
      <c r="N2714" s="29" t="s">
        <v>3393</v>
      </c>
      <c r="O2714" s="29"/>
      <c r="P2714" s="29" t="s">
        <v>9896</v>
      </c>
      <c r="Q2714" t="s">
        <v>2038</v>
      </c>
      <c r="R2714" t="s">
        <v>2633</v>
      </c>
      <c r="S2714">
        <v>37</v>
      </c>
      <c r="T2714" s="43" t="str">
        <f t="shared" si="117"/>
        <v>2021.010B.R.Binomial_names.zip</v>
      </c>
      <c r="U2714" s="43" t="str">
        <f>HYPERLINK("https://ictv.global/taxonomy/taxondetails?taxnode_id=202200374","ictv.global=202200374")</f>
        <v>ictv.global=202200374</v>
      </c>
    </row>
    <row r="2715" spans="1:21">
      <c r="A2715">
        <v>2714</v>
      </c>
      <c r="B2715" s="29" t="s">
        <v>3682</v>
      </c>
      <c r="C2715" s="29"/>
      <c r="D2715" s="29" t="s">
        <v>3683</v>
      </c>
      <c r="E2715" s="29"/>
      <c r="F2715" s="29" t="s">
        <v>3686</v>
      </c>
      <c r="G2715" s="29"/>
      <c r="H2715" s="29" t="s">
        <v>3687</v>
      </c>
      <c r="I2715" s="29"/>
      <c r="J2715" s="29"/>
      <c r="K2715" s="29"/>
      <c r="L2715" s="29"/>
      <c r="M2715" s="29"/>
      <c r="N2715" s="29" t="s">
        <v>3393</v>
      </c>
      <c r="O2715" s="29"/>
      <c r="P2715" s="29" t="s">
        <v>9897</v>
      </c>
      <c r="Q2715" t="s">
        <v>2038</v>
      </c>
      <c r="R2715" t="s">
        <v>2633</v>
      </c>
      <c r="S2715">
        <v>37</v>
      </c>
      <c r="T2715" s="43" t="str">
        <f t="shared" si="117"/>
        <v>2021.010B.R.Binomial_names.zip</v>
      </c>
      <c r="U2715" s="43" t="str">
        <f>HYPERLINK("https://ictv.global/taxonomy/taxondetails?taxnode_id=202200375","ictv.global=202200375")</f>
        <v>ictv.global=202200375</v>
      </c>
    </row>
    <row r="2716" spans="1:21">
      <c r="A2716">
        <v>2715</v>
      </c>
      <c r="B2716" s="29" t="s">
        <v>3682</v>
      </c>
      <c r="C2716" s="29"/>
      <c r="D2716" s="29" t="s">
        <v>3683</v>
      </c>
      <c r="E2716" s="29"/>
      <c r="F2716" s="29" t="s">
        <v>3686</v>
      </c>
      <c r="G2716" s="29"/>
      <c r="H2716" s="29" t="s">
        <v>3687</v>
      </c>
      <c r="I2716" s="29"/>
      <c r="J2716" s="29"/>
      <c r="K2716" s="29"/>
      <c r="L2716" s="29"/>
      <c r="M2716" s="29"/>
      <c r="N2716" s="29" t="s">
        <v>4701</v>
      </c>
      <c r="O2716" s="29"/>
      <c r="P2716" s="29" t="s">
        <v>9898</v>
      </c>
      <c r="Q2716" t="s">
        <v>2038</v>
      </c>
      <c r="R2716" t="s">
        <v>2633</v>
      </c>
      <c r="S2716">
        <v>37</v>
      </c>
      <c r="T2716" s="43" t="str">
        <f t="shared" si="117"/>
        <v>2021.010B.R.Binomial_names.zip</v>
      </c>
      <c r="U2716" s="43" t="str">
        <f>HYPERLINK("https://ictv.global/taxonomy/taxondetails?taxnode_id=202209360","ictv.global=202209360")</f>
        <v>ictv.global=202209360</v>
      </c>
    </row>
    <row r="2717" spans="1:21">
      <c r="A2717">
        <v>2716</v>
      </c>
      <c r="B2717" s="29" t="s">
        <v>3682</v>
      </c>
      <c r="C2717" s="29"/>
      <c r="D2717" s="29" t="s">
        <v>3683</v>
      </c>
      <c r="E2717" s="29"/>
      <c r="F2717" s="29" t="s">
        <v>3686</v>
      </c>
      <c r="G2717" s="29"/>
      <c r="H2717" s="29" t="s">
        <v>3687</v>
      </c>
      <c r="I2717" s="29"/>
      <c r="J2717" s="29"/>
      <c r="K2717" s="29"/>
      <c r="L2717" s="29"/>
      <c r="M2717" s="29"/>
      <c r="N2717" s="29" t="s">
        <v>4701</v>
      </c>
      <c r="O2717" s="29"/>
      <c r="P2717" s="29" t="s">
        <v>9899</v>
      </c>
      <c r="Q2717" t="s">
        <v>2038</v>
      </c>
      <c r="R2717" t="s">
        <v>2633</v>
      </c>
      <c r="S2717">
        <v>37</v>
      </c>
      <c r="T2717" s="43" t="str">
        <f t="shared" si="117"/>
        <v>2021.010B.R.Binomial_names.zip</v>
      </c>
      <c r="U2717" s="43" t="str">
        <f>HYPERLINK("https://ictv.global/taxonomy/taxondetails?taxnode_id=202209361","ictv.global=202209361")</f>
        <v>ictv.global=202209361</v>
      </c>
    </row>
    <row r="2718" spans="1:21">
      <c r="A2718">
        <v>2717</v>
      </c>
      <c r="B2718" s="29" t="s">
        <v>3682</v>
      </c>
      <c r="C2718" s="29"/>
      <c r="D2718" s="29" t="s">
        <v>3683</v>
      </c>
      <c r="E2718" s="29"/>
      <c r="F2718" s="29" t="s">
        <v>3686</v>
      </c>
      <c r="G2718" s="29"/>
      <c r="H2718" s="29" t="s">
        <v>3687</v>
      </c>
      <c r="I2718" s="29"/>
      <c r="J2718" s="29"/>
      <c r="K2718" s="29"/>
      <c r="L2718" s="29"/>
      <c r="M2718" s="29"/>
      <c r="N2718" s="29" t="s">
        <v>9900</v>
      </c>
      <c r="O2718" s="29"/>
      <c r="P2718" s="29" t="s">
        <v>9901</v>
      </c>
      <c r="Q2718" t="s">
        <v>2038</v>
      </c>
      <c r="R2718" t="s">
        <v>2632</v>
      </c>
      <c r="S2718">
        <v>37</v>
      </c>
      <c r="T2718" s="43" t="str">
        <f>HYPERLINK("https://ictv.global/ictv/proposals/2021.078B.R.Siphoviridae_new_genera.zip","2021.078B.R.Siphoviridae_new_genera.zip")</f>
        <v>2021.078B.R.Siphoviridae_new_genera.zip</v>
      </c>
      <c r="U2718" s="43" t="str">
        <f>HYPERLINK("https://ictv.global/taxonomy/taxondetails?taxnode_id=202213631","ictv.global=202213631")</f>
        <v>ictv.global=202213631</v>
      </c>
    </row>
    <row r="2719" spans="1:21">
      <c r="A2719">
        <v>2718</v>
      </c>
      <c r="B2719" s="29" t="s">
        <v>3682</v>
      </c>
      <c r="C2719" s="29"/>
      <c r="D2719" s="29" t="s">
        <v>3683</v>
      </c>
      <c r="E2719" s="29"/>
      <c r="F2719" s="29" t="s">
        <v>3686</v>
      </c>
      <c r="G2719" s="29"/>
      <c r="H2719" s="29" t="s">
        <v>3687</v>
      </c>
      <c r="I2719" s="29"/>
      <c r="J2719" s="29"/>
      <c r="K2719" s="29"/>
      <c r="L2719" s="29"/>
      <c r="M2719" s="29"/>
      <c r="N2719" s="29" t="s">
        <v>4702</v>
      </c>
      <c r="O2719" s="29"/>
      <c r="P2719" s="29" t="s">
        <v>9902</v>
      </c>
      <c r="Q2719" t="s">
        <v>2038</v>
      </c>
      <c r="R2719" t="s">
        <v>2633</v>
      </c>
      <c r="S2719">
        <v>37</v>
      </c>
      <c r="T2719" s="43" t="str">
        <f t="shared" ref="T2719:T2724" si="118">HYPERLINK("https://ictv.global/ictv/proposals/2021.010B.R.Binomial_names.zip","2021.010B.R.Binomial_names.zip")</f>
        <v>2021.010B.R.Binomial_names.zip</v>
      </c>
      <c r="U2719" s="43" t="str">
        <f>HYPERLINK("https://ictv.global/taxonomy/taxondetails?taxnode_id=202209159","ictv.global=202209159")</f>
        <v>ictv.global=202209159</v>
      </c>
    </row>
    <row r="2720" spans="1:21">
      <c r="A2720">
        <v>2719</v>
      </c>
      <c r="B2720" s="29" t="s">
        <v>3682</v>
      </c>
      <c r="C2720" s="29"/>
      <c r="D2720" s="29" t="s">
        <v>3683</v>
      </c>
      <c r="E2720" s="29"/>
      <c r="F2720" s="29" t="s">
        <v>3686</v>
      </c>
      <c r="G2720" s="29"/>
      <c r="H2720" s="29" t="s">
        <v>3687</v>
      </c>
      <c r="I2720" s="29"/>
      <c r="J2720" s="29"/>
      <c r="K2720" s="29"/>
      <c r="L2720" s="29"/>
      <c r="M2720" s="29"/>
      <c r="N2720" s="29" t="s">
        <v>3394</v>
      </c>
      <c r="O2720" s="29"/>
      <c r="P2720" s="29" t="s">
        <v>9903</v>
      </c>
      <c r="Q2720" t="s">
        <v>2038</v>
      </c>
      <c r="R2720" t="s">
        <v>2633</v>
      </c>
      <c r="S2720">
        <v>37</v>
      </c>
      <c r="T2720" s="43" t="str">
        <f t="shared" si="118"/>
        <v>2021.010B.R.Binomial_names.zip</v>
      </c>
      <c r="U2720" s="43" t="str">
        <f>HYPERLINK("https://ictv.global/taxonomy/taxondetails?taxnode_id=202206654","ictv.global=202206654")</f>
        <v>ictv.global=202206654</v>
      </c>
    </row>
    <row r="2721" spans="1:21">
      <c r="A2721">
        <v>2720</v>
      </c>
      <c r="B2721" s="29" t="s">
        <v>3682</v>
      </c>
      <c r="C2721" s="29"/>
      <c r="D2721" s="29" t="s">
        <v>3683</v>
      </c>
      <c r="E2721" s="29"/>
      <c r="F2721" s="29" t="s">
        <v>3686</v>
      </c>
      <c r="G2721" s="29"/>
      <c r="H2721" s="29" t="s">
        <v>3687</v>
      </c>
      <c r="I2721" s="29"/>
      <c r="J2721" s="29"/>
      <c r="K2721" s="29"/>
      <c r="L2721" s="29"/>
      <c r="M2721" s="29"/>
      <c r="N2721" s="29" t="s">
        <v>3394</v>
      </c>
      <c r="O2721" s="29"/>
      <c r="P2721" s="29" t="s">
        <v>9904</v>
      </c>
      <c r="Q2721" t="s">
        <v>2038</v>
      </c>
      <c r="R2721" t="s">
        <v>2633</v>
      </c>
      <c r="S2721">
        <v>37</v>
      </c>
      <c r="T2721" s="43" t="str">
        <f t="shared" si="118"/>
        <v>2021.010B.R.Binomial_names.zip</v>
      </c>
      <c r="U2721" s="43" t="str">
        <f>HYPERLINK("https://ictv.global/taxonomy/taxondetails?taxnode_id=202206655","ictv.global=202206655")</f>
        <v>ictv.global=202206655</v>
      </c>
    </row>
    <row r="2722" spans="1:21">
      <c r="A2722">
        <v>2721</v>
      </c>
      <c r="B2722" s="29" t="s">
        <v>3682</v>
      </c>
      <c r="C2722" s="29"/>
      <c r="D2722" s="29" t="s">
        <v>3683</v>
      </c>
      <c r="E2722" s="29"/>
      <c r="F2722" s="29" t="s">
        <v>3686</v>
      </c>
      <c r="G2722" s="29"/>
      <c r="H2722" s="29" t="s">
        <v>3687</v>
      </c>
      <c r="I2722" s="29"/>
      <c r="J2722" s="29"/>
      <c r="K2722" s="29"/>
      <c r="L2722" s="29"/>
      <c r="M2722" s="29"/>
      <c r="N2722" s="29" t="s">
        <v>4703</v>
      </c>
      <c r="O2722" s="29"/>
      <c r="P2722" s="29" t="s">
        <v>9905</v>
      </c>
      <c r="Q2722" t="s">
        <v>2038</v>
      </c>
      <c r="R2722" t="s">
        <v>2633</v>
      </c>
      <c r="S2722">
        <v>37</v>
      </c>
      <c r="T2722" s="43" t="str">
        <f t="shared" si="118"/>
        <v>2021.010B.R.Binomial_names.zip</v>
      </c>
      <c r="U2722" s="43" t="str">
        <f>HYPERLINK("https://ictv.global/taxonomy/taxondetails?taxnode_id=202209353","ictv.global=202209353")</f>
        <v>ictv.global=202209353</v>
      </c>
    </row>
    <row r="2723" spans="1:21">
      <c r="A2723">
        <v>2722</v>
      </c>
      <c r="B2723" s="29" t="s">
        <v>3682</v>
      </c>
      <c r="C2723" s="29"/>
      <c r="D2723" s="29" t="s">
        <v>3683</v>
      </c>
      <c r="E2723" s="29"/>
      <c r="F2723" s="29" t="s">
        <v>3686</v>
      </c>
      <c r="G2723" s="29"/>
      <c r="H2723" s="29" t="s">
        <v>3687</v>
      </c>
      <c r="I2723" s="29"/>
      <c r="J2723" s="29"/>
      <c r="K2723" s="29"/>
      <c r="L2723" s="29"/>
      <c r="M2723" s="29"/>
      <c r="N2723" s="29" t="s">
        <v>3897</v>
      </c>
      <c r="O2723" s="29"/>
      <c r="P2723" s="29" t="s">
        <v>9906</v>
      </c>
      <c r="Q2723" t="s">
        <v>2038</v>
      </c>
      <c r="R2723" t="s">
        <v>2633</v>
      </c>
      <c r="S2723">
        <v>37</v>
      </c>
      <c r="T2723" s="43" t="str">
        <f t="shared" si="118"/>
        <v>2021.010B.R.Binomial_names.zip</v>
      </c>
      <c r="U2723" s="43" t="str">
        <f>HYPERLINK("https://ictv.global/taxonomy/taxondetails?taxnode_id=202207921","ictv.global=202207921")</f>
        <v>ictv.global=202207921</v>
      </c>
    </row>
    <row r="2724" spans="1:21">
      <c r="A2724">
        <v>2723</v>
      </c>
      <c r="B2724" s="29" t="s">
        <v>3682</v>
      </c>
      <c r="C2724" s="29"/>
      <c r="D2724" s="29" t="s">
        <v>3683</v>
      </c>
      <c r="E2724" s="29"/>
      <c r="F2724" s="29" t="s">
        <v>3686</v>
      </c>
      <c r="G2724" s="29"/>
      <c r="H2724" s="29" t="s">
        <v>3687</v>
      </c>
      <c r="I2724" s="29"/>
      <c r="J2724" s="29"/>
      <c r="K2724" s="29"/>
      <c r="L2724" s="29"/>
      <c r="M2724" s="29"/>
      <c r="N2724" s="29" t="s">
        <v>3897</v>
      </c>
      <c r="O2724" s="29"/>
      <c r="P2724" s="29" t="s">
        <v>9907</v>
      </c>
      <c r="Q2724" t="s">
        <v>2038</v>
      </c>
      <c r="R2724" t="s">
        <v>2633</v>
      </c>
      <c r="S2724">
        <v>37</v>
      </c>
      <c r="T2724" s="43" t="str">
        <f t="shared" si="118"/>
        <v>2021.010B.R.Binomial_names.zip</v>
      </c>
      <c r="U2724" s="43" t="str">
        <f>HYPERLINK("https://ictv.global/taxonomy/taxondetails?taxnode_id=202207920","ictv.global=202207920")</f>
        <v>ictv.global=202207920</v>
      </c>
    </row>
    <row r="2725" spans="1:21">
      <c r="A2725">
        <v>2724</v>
      </c>
      <c r="B2725" s="29" t="s">
        <v>3682</v>
      </c>
      <c r="C2725" s="29"/>
      <c r="D2725" s="29" t="s">
        <v>3683</v>
      </c>
      <c r="E2725" s="29"/>
      <c r="F2725" s="29" t="s">
        <v>3686</v>
      </c>
      <c r="G2725" s="29"/>
      <c r="H2725" s="29" t="s">
        <v>3687</v>
      </c>
      <c r="I2725" s="29"/>
      <c r="J2725" s="29"/>
      <c r="K2725" s="29"/>
      <c r="L2725" s="29"/>
      <c r="M2725" s="29"/>
      <c r="N2725" s="29" t="s">
        <v>3897</v>
      </c>
      <c r="O2725" s="29"/>
      <c r="P2725" s="29" t="s">
        <v>9908</v>
      </c>
      <c r="Q2725" t="s">
        <v>2038</v>
      </c>
      <c r="R2725" t="s">
        <v>2632</v>
      </c>
      <c r="S2725">
        <v>38</v>
      </c>
      <c r="T2725" s="43" t="str">
        <f t="shared" ref="T2725:T2734" si="119">HYPERLINK("https://ictv.global/ictv/proposals/2022.004B.Alexandravirus_10nsp.zip","2022.004B.Alexandravirus_10nsp.zip")</f>
        <v>2022.004B.Alexandravirus_10nsp.zip</v>
      </c>
      <c r="U2725" s="43" t="str">
        <f>HYPERLINK("https://ictv.global/taxonomy/taxondetails?taxnode_id=202214464","ictv.global=202214464")</f>
        <v>ictv.global=202214464</v>
      </c>
    </row>
    <row r="2726" spans="1:21">
      <c r="A2726">
        <v>2725</v>
      </c>
      <c r="B2726" s="29" t="s">
        <v>3682</v>
      </c>
      <c r="C2726" s="29"/>
      <c r="D2726" s="29" t="s">
        <v>3683</v>
      </c>
      <c r="E2726" s="29"/>
      <c r="F2726" s="29" t="s">
        <v>3686</v>
      </c>
      <c r="G2726" s="29"/>
      <c r="H2726" s="29" t="s">
        <v>3687</v>
      </c>
      <c r="I2726" s="29"/>
      <c r="J2726" s="29"/>
      <c r="K2726" s="29"/>
      <c r="L2726" s="29"/>
      <c r="M2726" s="29"/>
      <c r="N2726" s="29" t="s">
        <v>3897</v>
      </c>
      <c r="O2726" s="29"/>
      <c r="P2726" s="29" t="s">
        <v>9909</v>
      </c>
      <c r="Q2726" t="s">
        <v>2038</v>
      </c>
      <c r="R2726" t="s">
        <v>2632</v>
      </c>
      <c r="S2726">
        <v>38</v>
      </c>
      <c r="T2726" s="43" t="str">
        <f t="shared" si="119"/>
        <v>2022.004B.Alexandravirus_10nsp.zip</v>
      </c>
      <c r="U2726" s="43" t="str">
        <f>HYPERLINK("https://ictv.global/taxonomy/taxondetails?taxnode_id=202214459","ictv.global=202214459")</f>
        <v>ictv.global=202214459</v>
      </c>
    </row>
    <row r="2727" spans="1:21">
      <c r="A2727">
        <v>2726</v>
      </c>
      <c r="B2727" s="29" t="s">
        <v>3682</v>
      </c>
      <c r="C2727" s="29"/>
      <c r="D2727" s="29" t="s">
        <v>3683</v>
      </c>
      <c r="E2727" s="29"/>
      <c r="F2727" s="29" t="s">
        <v>3686</v>
      </c>
      <c r="G2727" s="29"/>
      <c r="H2727" s="29" t="s">
        <v>3687</v>
      </c>
      <c r="I2727" s="29"/>
      <c r="J2727" s="29"/>
      <c r="K2727" s="29"/>
      <c r="L2727" s="29"/>
      <c r="M2727" s="29"/>
      <c r="N2727" s="29" t="s">
        <v>3897</v>
      </c>
      <c r="O2727" s="29"/>
      <c r="P2727" s="29" t="s">
        <v>9910</v>
      </c>
      <c r="Q2727" t="s">
        <v>2038</v>
      </c>
      <c r="R2727" t="s">
        <v>2632</v>
      </c>
      <c r="S2727">
        <v>38</v>
      </c>
      <c r="T2727" s="43" t="str">
        <f t="shared" si="119"/>
        <v>2022.004B.Alexandravirus_10nsp.zip</v>
      </c>
      <c r="U2727" s="43" t="str">
        <f>HYPERLINK("https://ictv.global/taxonomy/taxondetails?taxnode_id=202214461","ictv.global=202214461")</f>
        <v>ictv.global=202214461</v>
      </c>
    </row>
    <row r="2728" spans="1:21">
      <c r="A2728">
        <v>2727</v>
      </c>
      <c r="B2728" s="29" t="s">
        <v>3682</v>
      </c>
      <c r="C2728" s="29"/>
      <c r="D2728" s="29" t="s">
        <v>3683</v>
      </c>
      <c r="E2728" s="29"/>
      <c r="F2728" s="29" t="s">
        <v>3686</v>
      </c>
      <c r="G2728" s="29"/>
      <c r="H2728" s="29" t="s">
        <v>3687</v>
      </c>
      <c r="I2728" s="29"/>
      <c r="J2728" s="29"/>
      <c r="K2728" s="29"/>
      <c r="L2728" s="29"/>
      <c r="M2728" s="29"/>
      <c r="N2728" s="29" t="s">
        <v>3897</v>
      </c>
      <c r="O2728" s="29"/>
      <c r="P2728" s="29" t="s">
        <v>9911</v>
      </c>
      <c r="Q2728" t="s">
        <v>2038</v>
      </c>
      <c r="R2728" t="s">
        <v>2632</v>
      </c>
      <c r="S2728">
        <v>38</v>
      </c>
      <c r="T2728" s="43" t="str">
        <f t="shared" si="119"/>
        <v>2022.004B.Alexandravirus_10nsp.zip</v>
      </c>
      <c r="U2728" s="43" t="str">
        <f>HYPERLINK("https://ictv.global/taxonomy/taxondetails?taxnode_id=202214457","ictv.global=202214457")</f>
        <v>ictv.global=202214457</v>
      </c>
    </row>
    <row r="2729" spans="1:21">
      <c r="A2729">
        <v>2728</v>
      </c>
      <c r="B2729" s="29" t="s">
        <v>3682</v>
      </c>
      <c r="C2729" s="29"/>
      <c r="D2729" s="29" t="s">
        <v>3683</v>
      </c>
      <c r="E2729" s="29"/>
      <c r="F2729" s="29" t="s">
        <v>3686</v>
      </c>
      <c r="G2729" s="29"/>
      <c r="H2729" s="29" t="s">
        <v>3687</v>
      </c>
      <c r="I2729" s="29"/>
      <c r="J2729" s="29"/>
      <c r="K2729" s="29"/>
      <c r="L2729" s="29"/>
      <c r="M2729" s="29"/>
      <c r="N2729" s="29" t="s">
        <v>3897</v>
      </c>
      <c r="O2729" s="29"/>
      <c r="P2729" s="29" t="s">
        <v>9912</v>
      </c>
      <c r="Q2729" t="s">
        <v>2038</v>
      </c>
      <c r="R2729" t="s">
        <v>2632</v>
      </c>
      <c r="S2729">
        <v>38</v>
      </c>
      <c r="T2729" s="43" t="str">
        <f t="shared" si="119"/>
        <v>2022.004B.Alexandravirus_10nsp.zip</v>
      </c>
      <c r="U2729" s="43" t="str">
        <f>HYPERLINK("https://ictv.global/taxonomy/taxondetails?taxnode_id=202214465","ictv.global=202214465")</f>
        <v>ictv.global=202214465</v>
      </c>
    </row>
    <row r="2730" spans="1:21">
      <c r="A2730">
        <v>2729</v>
      </c>
      <c r="B2730" s="29" t="s">
        <v>3682</v>
      </c>
      <c r="C2730" s="29"/>
      <c r="D2730" s="29" t="s">
        <v>3683</v>
      </c>
      <c r="E2730" s="29"/>
      <c r="F2730" s="29" t="s">
        <v>3686</v>
      </c>
      <c r="G2730" s="29"/>
      <c r="H2730" s="29" t="s">
        <v>3687</v>
      </c>
      <c r="I2730" s="29"/>
      <c r="J2730" s="29"/>
      <c r="K2730" s="29"/>
      <c r="L2730" s="29"/>
      <c r="M2730" s="29"/>
      <c r="N2730" s="29" t="s">
        <v>3897</v>
      </c>
      <c r="O2730" s="29"/>
      <c r="P2730" s="29" t="s">
        <v>9913</v>
      </c>
      <c r="Q2730" t="s">
        <v>2038</v>
      </c>
      <c r="R2730" t="s">
        <v>2632</v>
      </c>
      <c r="S2730">
        <v>38</v>
      </c>
      <c r="T2730" s="43" t="str">
        <f t="shared" si="119"/>
        <v>2022.004B.Alexandravirus_10nsp.zip</v>
      </c>
      <c r="U2730" s="43" t="str">
        <f>HYPERLINK("https://ictv.global/taxonomy/taxondetails?taxnode_id=202214456","ictv.global=202214456")</f>
        <v>ictv.global=202214456</v>
      </c>
    </row>
    <row r="2731" spans="1:21">
      <c r="A2731">
        <v>2730</v>
      </c>
      <c r="B2731" s="29" t="s">
        <v>3682</v>
      </c>
      <c r="C2731" s="29"/>
      <c r="D2731" s="29" t="s">
        <v>3683</v>
      </c>
      <c r="E2731" s="29"/>
      <c r="F2731" s="29" t="s">
        <v>3686</v>
      </c>
      <c r="G2731" s="29"/>
      <c r="H2731" s="29" t="s">
        <v>3687</v>
      </c>
      <c r="I2731" s="29"/>
      <c r="J2731" s="29"/>
      <c r="K2731" s="29"/>
      <c r="L2731" s="29"/>
      <c r="M2731" s="29"/>
      <c r="N2731" s="29" t="s">
        <v>3897</v>
      </c>
      <c r="O2731" s="29"/>
      <c r="P2731" s="29" t="s">
        <v>9914</v>
      </c>
      <c r="Q2731" t="s">
        <v>2038</v>
      </c>
      <c r="R2731" t="s">
        <v>2632</v>
      </c>
      <c r="S2731">
        <v>38</v>
      </c>
      <c r="T2731" s="43" t="str">
        <f t="shared" si="119"/>
        <v>2022.004B.Alexandravirus_10nsp.zip</v>
      </c>
      <c r="U2731" s="43" t="str">
        <f>HYPERLINK("https://ictv.global/taxonomy/taxondetails?taxnode_id=202214462","ictv.global=202214462")</f>
        <v>ictv.global=202214462</v>
      </c>
    </row>
    <row r="2732" spans="1:21">
      <c r="A2732">
        <v>2731</v>
      </c>
      <c r="B2732" s="29" t="s">
        <v>3682</v>
      </c>
      <c r="C2732" s="29"/>
      <c r="D2732" s="29" t="s">
        <v>3683</v>
      </c>
      <c r="E2732" s="29"/>
      <c r="F2732" s="29" t="s">
        <v>3686</v>
      </c>
      <c r="G2732" s="29"/>
      <c r="H2732" s="29" t="s">
        <v>3687</v>
      </c>
      <c r="I2732" s="29"/>
      <c r="J2732" s="29"/>
      <c r="K2732" s="29"/>
      <c r="L2732" s="29"/>
      <c r="M2732" s="29"/>
      <c r="N2732" s="29" t="s">
        <v>3897</v>
      </c>
      <c r="O2732" s="29"/>
      <c r="P2732" s="29" t="s">
        <v>9915</v>
      </c>
      <c r="Q2732" t="s">
        <v>2038</v>
      </c>
      <c r="R2732" t="s">
        <v>2632</v>
      </c>
      <c r="S2732">
        <v>38</v>
      </c>
      <c r="T2732" s="43" t="str">
        <f t="shared" si="119"/>
        <v>2022.004B.Alexandravirus_10nsp.zip</v>
      </c>
      <c r="U2732" s="43" t="str">
        <f>HYPERLINK("https://ictv.global/taxonomy/taxondetails?taxnode_id=202214460","ictv.global=202214460")</f>
        <v>ictv.global=202214460</v>
      </c>
    </row>
    <row r="2733" spans="1:21">
      <c r="A2733">
        <v>2732</v>
      </c>
      <c r="B2733" s="29" t="s">
        <v>3682</v>
      </c>
      <c r="C2733" s="29"/>
      <c r="D2733" s="29" t="s">
        <v>3683</v>
      </c>
      <c r="E2733" s="29"/>
      <c r="F2733" s="29" t="s">
        <v>3686</v>
      </c>
      <c r="G2733" s="29"/>
      <c r="H2733" s="29" t="s">
        <v>3687</v>
      </c>
      <c r="I2733" s="29"/>
      <c r="J2733" s="29"/>
      <c r="K2733" s="29"/>
      <c r="L2733" s="29"/>
      <c r="M2733" s="29"/>
      <c r="N2733" s="29" t="s">
        <v>3897</v>
      </c>
      <c r="O2733" s="29"/>
      <c r="P2733" s="29" t="s">
        <v>9916</v>
      </c>
      <c r="Q2733" t="s">
        <v>2038</v>
      </c>
      <c r="R2733" t="s">
        <v>2632</v>
      </c>
      <c r="S2733">
        <v>38</v>
      </c>
      <c r="T2733" s="43" t="str">
        <f t="shared" si="119"/>
        <v>2022.004B.Alexandravirus_10nsp.zip</v>
      </c>
      <c r="U2733" s="43" t="str">
        <f>HYPERLINK("https://ictv.global/taxonomy/taxondetails?taxnode_id=202214463","ictv.global=202214463")</f>
        <v>ictv.global=202214463</v>
      </c>
    </row>
    <row r="2734" spans="1:21">
      <c r="A2734">
        <v>2733</v>
      </c>
      <c r="B2734" s="29" t="s">
        <v>3682</v>
      </c>
      <c r="C2734" s="29"/>
      <c r="D2734" s="29" t="s">
        <v>3683</v>
      </c>
      <c r="E2734" s="29"/>
      <c r="F2734" s="29" t="s">
        <v>3686</v>
      </c>
      <c r="G2734" s="29"/>
      <c r="H2734" s="29" t="s">
        <v>3687</v>
      </c>
      <c r="I2734" s="29"/>
      <c r="J2734" s="29"/>
      <c r="K2734" s="29"/>
      <c r="L2734" s="29"/>
      <c r="M2734" s="29"/>
      <c r="N2734" s="29" t="s">
        <v>3897</v>
      </c>
      <c r="O2734" s="29"/>
      <c r="P2734" s="29" t="s">
        <v>9917</v>
      </c>
      <c r="Q2734" t="s">
        <v>2038</v>
      </c>
      <c r="R2734" t="s">
        <v>2632</v>
      </c>
      <c r="S2734">
        <v>38</v>
      </c>
      <c r="T2734" s="43" t="str">
        <f t="shared" si="119"/>
        <v>2022.004B.Alexandravirus_10nsp.zip</v>
      </c>
      <c r="U2734" s="43" t="str">
        <f>HYPERLINK("https://ictv.global/taxonomy/taxondetails?taxnode_id=202214458","ictv.global=202214458")</f>
        <v>ictv.global=202214458</v>
      </c>
    </row>
    <row r="2735" spans="1:21">
      <c r="A2735">
        <v>2734</v>
      </c>
      <c r="B2735" s="29" t="s">
        <v>3682</v>
      </c>
      <c r="C2735" s="29"/>
      <c r="D2735" s="29" t="s">
        <v>3683</v>
      </c>
      <c r="E2735" s="29"/>
      <c r="F2735" s="29" t="s">
        <v>3686</v>
      </c>
      <c r="G2735" s="29"/>
      <c r="H2735" s="29" t="s">
        <v>3687</v>
      </c>
      <c r="I2735" s="29"/>
      <c r="J2735" s="29"/>
      <c r="K2735" s="29"/>
      <c r="L2735" s="29"/>
      <c r="M2735" s="29"/>
      <c r="N2735" s="29" t="s">
        <v>2426</v>
      </c>
      <c r="O2735" s="29"/>
      <c r="P2735" s="29" t="s">
        <v>9918</v>
      </c>
      <c r="Q2735" t="s">
        <v>2038</v>
      </c>
      <c r="R2735" t="s">
        <v>2633</v>
      </c>
      <c r="S2735">
        <v>37</v>
      </c>
      <c r="T2735" s="43" t="str">
        <f t="shared" ref="T2735:T2750" si="120">HYPERLINK("https://ictv.global/ictv/proposals/2021.010B.R.Binomial_names.zip","2021.010B.R.Binomial_names.zip")</f>
        <v>2021.010B.R.Binomial_names.zip</v>
      </c>
      <c r="U2735" s="43" t="str">
        <f>HYPERLINK("https://ictv.global/taxonomy/taxondetails?taxnode_id=202200843","ictv.global=202200843")</f>
        <v>ictv.global=202200843</v>
      </c>
    </row>
    <row r="2736" spans="1:21">
      <c r="A2736">
        <v>2735</v>
      </c>
      <c r="B2736" s="29" t="s">
        <v>3682</v>
      </c>
      <c r="C2736" s="29"/>
      <c r="D2736" s="29" t="s">
        <v>3683</v>
      </c>
      <c r="E2736" s="29"/>
      <c r="F2736" s="29" t="s">
        <v>3686</v>
      </c>
      <c r="G2736" s="29"/>
      <c r="H2736" s="29" t="s">
        <v>3687</v>
      </c>
      <c r="I2736" s="29"/>
      <c r="J2736" s="29"/>
      <c r="K2736" s="29"/>
      <c r="L2736" s="29"/>
      <c r="M2736" s="29"/>
      <c r="N2736" s="29" t="s">
        <v>2426</v>
      </c>
      <c r="O2736" s="29"/>
      <c r="P2736" s="29" t="s">
        <v>9919</v>
      </c>
      <c r="Q2736" t="s">
        <v>2038</v>
      </c>
      <c r="R2736" t="s">
        <v>2633</v>
      </c>
      <c r="S2736">
        <v>37</v>
      </c>
      <c r="T2736" s="43" t="str">
        <f t="shared" si="120"/>
        <v>2021.010B.R.Binomial_names.zip</v>
      </c>
      <c r="U2736" s="43" t="str">
        <f>HYPERLINK("https://ictv.global/taxonomy/taxondetails?taxnode_id=202206757","ictv.global=202206757")</f>
        <v>ictv.global=202206757</v>
      </c>
    </row>
    <row r="2737" spans="1:21">
      <c r="A2737">
        <v>2736</v>
      </c>
      <c r="B2737" s="29" t="s">
        <v>3682</v>
      </c>
      <c r="C2737" s="29"/>
      <c r="D2737" s="29" t="s">
        <v>3683</v>
      </c>
      <c r="E2737" s="29"/>
      <c r="F2737" s="29" t="s">
        <v>3686</v>
      </c>
      <c r="G2737" s="29"/>
      <c r="H2737" s="29" t="s">
        <v>3687</v>
      </c>
      <c r="I2737" s="29"/>
      <c r="J2737" s="29"/>
      <c r="K2737" s="29"/>
      <c r="L2737" s="29"/>
      <c r="M2737" s="29"/>
      <c r="N2737" s="29" t="s">
        <v>3898</v>
      </c>
      <c r="O2737" s="29"/>
      <c r="P2737" s="29" t="s">
        <v>9920</v>
      </c>
      <c r="Q2737" t="s">
        <v>2038</v>
      </c>
      <c r="R2737" t="s">
        <v>2633</v>
      </c>
      <c r="S2737">
        <v>37</v>
      </c>
      <c r="T2737" s="43" t="str">
        <f t="shared" si="120"/>
        <v>2021.010B.R.Binomial_names.zip</v>
      </c>
      <c r="U2737" s="43" t="str">
        <f>HYPERLINK("https://ictv.global/taxonomy/taxondetails?taxnode_id=202207910","ictv.global=202207910")</f>
        <v>ictv.global=202207910</v>
      </c>
    </row>
    <row r="2738" spans="1:21">
      <c r="A2738">
        <v>2737</v>
      </c>
      <c r="B2738" s="29" t="s">
        <v>3682</v>
      </c>
      <c r="C2738" s="29"/>
      <c r="D2738" s="29" t="s">
        <v>3683</v>
      </c>
      <c r="E2738" s="29"/>
      <c r="F2738" s="29" t="s">
        <v>3686</v>
      </c>
      <c r="G2738" s="29"/>
      <c r="H2738" s="29" t="s">
        <v>3687</v>
      </c>
      <c r="I2738" s="29"/>
      <c r="J2738" s="29"/>
      <c r="K2738" s="29"/>
      <c r="L2738" s="29"/>
      <c r="M2738" s="29"/>
      <c r="N2738" s="29" t="s">
        <v>2652</v>
      </c>
      <c r="O2738" s="29"/>
      <c r="P2738" s="29" t="s">
        <v>9921</v>
      </c>
      <c r="Q2738" t="s">
        <v>2038</v>
      </c>
      <c r="R2738" t="s">
        <v>2633</v>
      </c>
      <c r="S2738">
        <v>37</v>
      </c>
      <c r="T2738" s="43" t="str">
        <f t="shared" si="120"/>
        <v>2021.010B.R.Binomial_names.zip</v>
      </c>
      <c r="U2738" s="43" t="str">
        <f>HYPERLINK("https://ictv.global/taxonomy/taxondetails?taxnode_id=202205538","ictv.global=202205538")</f>
        <v>ictv.global=202205538</v>
      </c>
    </row>
    <row r="2739" spans="1:21">
      <c r="A2739">
        <v>2738</v>
      </c>
      <c r="B2739" s="29" t="s">
        <v>3682</v>
      </c>
      <c r="C2739" s="29"/>
      <c r="D2739" s="29" t="s">
        <v>3683</v>
      </c>
      <c r="E2739" s="29"/>
      <c r="F2739" s="29" t="s">
        <v>3686</v>
      </c>
      <c r="G2739" s="29"/>
      <c r="H2739" s="29" t="s">
        <v>3687</v>
      </c>
      <c r="I2739" s="29"/>
      <c r="J2739" s="29"/>
      <c r="K2739" s="29"/>
      <c r="L2739" s="29"/>
      <c r="M2739" s="29"/>
      <c r="N2739" s="29" t="s">
        <v>2652</v>
      </c>
      <c r="O2739" s="29"/>
      <c r="P2739" s="29" t="s">
        <v>9922</v>
      </c>
      <c r="Q2739" t="s">
        <v>2038</v>
      </c>
      <c r="R2739" t="s">
        <v>2633</v>
      </c>
      <c r="S2739">
        <v>37</v>
      </c>
      <c r="T2739" s="43" t="str">
        <f t="shared" si="120"/>
        <v>2021.010B.R.Binomial_names.zip</v>
      </c>
      <c r="U2739" s="43" t="str">
        <f>HYPERLINK("https://ictv.global/taxonomy/taxondetails?taxnode_id=202205539","ictv.global=202205539")</f>
        <v>ictv.global=202205539</v>
      </c>
    </row>
    <row r="2740" spans="1:21">
      <c r="A2740">
        <v>2739</v>
      </c>
      <c r="B2740" s="29" t="s">
        <v>3682</v>
      </c>
      <c r="C2740" s="29"/>
      <c r="D2740" s="29" t="s">
        <v>3683</v>
      </c>
      <c r="E2740" s="29"/>
      <c r="F2740" s="29" t="s">
        <v>3686</v>
      </c>
      <c r="G2740" s="29"/>
      <c r="H2740" s="29" t="s">
        <v>3687</v>
      </c>
      <c r="I2740" s="29"/>
      <c r="J2740" s="29"/>
      <c r="K2740" s="29"/>
      <c r="L2740" s="29"/>
      <c r="M2740" s="29"/>
      <c r="N2740" s="29" t="s">
        <v>3982</v>
      </c>
      <c r="O2740" s="29"/>
      <c r="P2740" s="29" t="s">
        <v>9923</v>
      </c>
      <c r="Q2740" t="s">
        <v>2038</v>
      </c>
      <c r="R2740" t="s">
        <v>2633</v>
      </c>
      <c r="S2740">
        <v>37</v>
      </c>
      <c r="T2740" s="43" t="str">
        <f t="shared" si="120"/>
        <v>2021.010B.R.Binomial_names.zip</v>
      </c>
      <c r="U2740" s="43" t="str">
        <f>HYPERLINK("https://ictv.global/taxonomy/taxondetails?taxnode_id=202207734","ictv.global=202207734")</f>
        <v>ictv.global=202207734</v>
      </c>
    </row>
    <row r="2741" spans="1:21">
      <c r="A2741">
        <v>2740</v>
      </c>
      <c r="B2741" s="29" t="s">
        <v>3682</v>
      </c>
      <c r="C2741" s="29"/>
      <c r="D2741" s="29" t="s">
        <v>3683</v>
      </c>
      <c r="E2741" s="29"/>
      <c r="F2741" s="29" t="s">
        <v>3686</v>
      </c>
      <c r="G2741" s="29"/>
      <c r="H2741" s="29" t="s">
        <v>3687</v>
      </c>
      <c r="I2741" s="29"/>
      <c r="J2741" s="29"/>
      <c r="K2741" s="29"/>
      <c r="L2741" s="29"/>
      <c r="M2741" s="29"/>
      <c r="N2741" s="29" t="s">
        <v>2078</v>
      </c>
      <c r="O2741" s="29"/>
      <c r="P2741" s="29" t="s">
        <v>9924</v>
      </c>
      <c r="Q2741" t="s">
        <v>2038</v>
      </c>
      <c r="R2741" t="s">
        <v>2633</v>
      </c>
      <c r="S2741">
        <v>37</v>
      </c>
      <c r="T2741" s="43" t="str">
        <f t="shared" si="120"/>
        <v>2021.010B.R.Binomial_names.zip</v>
      </c>
      <c r="U2741" s="43" t="str">
        <f>HYPERLINK("https://ictv.global/taxonomy/taxondetails?taxnode_id=202200845","ictv.global=202200845")</f>
        <v>ictv.global=202200845</v>
      </c>
    </row>
    <row r="2742" spans="1:21">
      <c r="A2742">
        <v>2741</v>
      </c>
      <c r="B2742" s="29" t="s">
        <v>3682</v>
      </c>
      <c r="C2742" s="29"/>
      <c r="D2742" s="29" t="s">
        <v>3683</v>
      </c>
      <c r="E2742" s="29"/>
      <c r="F2742" s="29" t="s">
        <v>3686</v>
      </c>
      <c r="G2742" s="29"/>
      <c r="H2742" s="29" t="s">
        <v>3687</v>
      </c>
      <c r="I2742" s="29"/>
      <c r="J2742" s="29"/>
      <c r="K2742" s="29"/>
      <c r="L2742" s="29"/>
      <c r="M2742" s="29"/>
      <c r="N2742" s="29" t="s">
        <v>2078</v>
      </c>
      <c r="O2742" s="29"/>
      <c r="P2742" s="29" t="s">
        <v>9925</v>
      </c>
      <c r="Q2742" t="s">
        <v>2038</v>
      </c>
      <c r="R2742" t="s">
        <v>2633</v>
      </c>
      <c r="S2742">
        <v>37</v>
      </c>
      <c r="T2742" s="43" t="str">
        <f t="shared" si="120"/>
        <v>2021.010B.R.Binomial_names.zip</v>
      </c>
      <c r="U2742" s="43" t="str">
        <f>HYPERLINK("https://ictv.global/taxonomy/taxondetails?taxnode_id=202200846","ictv.global=202200846")</f>
        <v>ictv.global=202200846</v>
      </c>
    </row>
    <row r="2743" spans="1:21">
      <c r="A2743">
        <v>2742</v>
      </c>
      <c r="B2743" s="29" t="s">
        <v>3682</v>
      </c>
      <c r="C2743" s="29"/>
      <c r="D2743" s="29" t="s">
        <v>3683</v>
      </c>
      <c r="E2743" s="29"/>
      <c r="F2743" s="29" t="s">
        <v>3686</v>
      </c>
      <c r="G2743" s="29"/>
      <c r="H2743" s="29" t="s">
        <v>3687</v>
      </c>
      <c r="I2743" s="29"/>
      <c r="J2743" s="29"/>
      <c r="K2743" s="29"/>
      <c r="L2743" s="29"/>
      <c r="M2743" s="29"/>
      <c r="N2743" s="29" t="s">
        <v>2078</v>
      </c>
      <c r="O2743" s="29"/>
      <c r="P2743" s="29" t="s">
        <v>9926</v>
      </c>
      <c r="Q2743" t="s">
        <v>2038</v>
      </c>
      <c r="R2743" t="s">
        <v>2633</v>
      </c>
      <c r="S2743">
        <v>37</v>
      </c>
      <c r="T2743" s="43" t="str">
        <f t="shared" si="120"/>
        <v>2021.010B.R.Binomial_names.zip</v>
      </c>
      <c r="U2743" s="43" t="str">
        <f>HYPERLINK("https://ictv.global/taxonomy/taxondetails?taxnode_id=202200847","ictv.global=202200847")</f>
        <v>ictv.global=202200847</v>
      </c>
    </row>
    <row r="2744" spans="1:21">
      <c r="A2744">
        <v>2743</v>
      </c>
      <c r="B2744" s="29" t="s">
        <v>3682</v>
      </c>
      <c r="C2744" s="29"/>
      <c r="D2744" s="29" t="s">
        <v>3683</v>
      </c>
      <c r="E2744" s="29"/>
      <c r="F2744" s="29" t="s">
        <v>3686</v>
      </c>
      <c r="G2744" s="29"/>
      <c r="H2744" s="29" t="s">
        <v>3687</v>
      </c>
      <c r="I2744" s="29"/>
      <c r="J2744" s="29"/>
      <c r="K2744" s="29"/>
      <c r="L2744" s="29"/>
      <c r="M2744" s="29"/>
      <c r="N2744" s="29" t="s">
        <v>2078</v>
      </c>
      <c r="O2744" s="29"/>
      <c r="P2744" s="29" t="s">
        <v>9927</v>
      </c>
      <c r="Q2744" t="s">
        <v>2038</v>
      </c>
      <c r="R2744" t="s">
        <v>2633</v>
      </c>
      <c r="S2744">
        <v>37</v>
      </c>
      <c r="T2744" s="43" t="str">
        <f t="shared" si="120"/>
        <v>2021.010B.R.Binomial_names.zip</v>
      </c>
      <c r="U2744" s="43" t="str">
        <f>HYPERLINK("https://ictv.global/taxonomy/taxondetails?taxnode_id=202200848","ictv.global=202200848")</f>
        <v>ictv.global=202200848</v>
      </c>
    </row>
    <row r="2745" spans="1:21">
      <c r="A2745">
        <v>2744</v>
      </c>
      <c r="B2745" s="29" t="s">
        <v>3682</v>
      </c>
      <c r="C2745" s="29"/>
      <c r="D2745" s="29" t="s">
        <v>3683</v>
      </c>
      <c r="E2745" s="29"/>
      <c r="F2745" s="29" t="s">
        <v>3686</v>
      </c>
      <c r="G2745" s="29"/>
      <c r="H2745" s="29" t="s">
        <v>3687</v>
      </c>
      <c r="I2745" s="29"/>
      <c r="J2745" s="29"/>
      <c r="K2745" s="29"/>
      <c r="L2745" s="29"/>
      <c r="M2745" s="29"/>
      <c r="N2745" s="29" t="s">
        <v>2078</v>
      </c>
      <c r="O2745" s="29"/>
      <c r="P2745" s="29" t="s">
        <v>9928</v>
      </c>
      <c r="Q2745" t="s">
        <v>2038</v>
      </c>
      <c r="R2745" t="s">
        <v>2633</v>
      </c>
      <c r="S2745">
        <v>37</v>
      </c>
      <c r="T2745" s="43" t="str">
        <f t="shared" si="120"/>
        <v>2021.010B.R.Binomial_names.zip</v>
      </c>
      <c r="U2745" s="43" t="str">
        <f>HYPERLINK("https://ictv.global/taxonomy/taxondetails?taxnode_id=202200849","ictv.global=202200849")</f>
        <v>ictv.global=202200849</v>
      </c>
    </row>
    <row r="2746" spans="1:21">
      <c r="A2746">
        <v>2745</v>
      </c>
      <c r="B2746" s="29" t="s">
        <v>3682</v>
      </c>
      <c r="C2746" s="29"/>
      <c r="D2746" s="29" t="s">
        <v>3683</v>
      </c>
      <c r="E2746" s="29"/>
      <c r="F2746" s="29" t="s">
        <v>3686</v>
      </c>
      <c r="G2746" s="29"/>
      <c r="H2746" s="29" t="s">
        <v>3687</v>
      </c>
      <c r="I2746" s="29"/>
      <c r="J2746" s="29"/>
      <c r="K2746" s="29"/>
      <c r="L2746" s="29"/>
      <c r="M2746" s="29"/>
      <c r="N2746" s="29" t="s">
        <v>2078</v>
      </c>
      <c r="O2746" s="29"/>
      <c r="P2746" s="29" t="s">
        <v>9929</v>
      </c>
      <c r="Q2746" t="s">
        <v>2038</v>
      </c>
      <c r="R2746" t="s">
        <v>2633</v>
      </c>
      <c r="S2746">
        <v>37</v>
      </c>
      <c r="T2746" s="43" t="str">
        <f t="shared" si="120"/>
        <v>2021.010B.R.Binomial_names.zip</v>
      </c>
      <c r="U2746" s="43" t="str">
        <f>HYPERLINK("https://ictv.global/taxonomy/taxondetails?taxnode_id=202200850","ictv.global=202200850")</f>
        <v>ictv.global=202200850</v>
      </c>
    </row>
    <row r="2747" spans="1:21">
      <c r="A2747">
        <v>2746</v>
      </c>
      <c r="B2747" s="29" t="s">
        <v>3682</v>
      </c>
      <c r="C2747" s="29"/>
      <c r="D2747" s="29" t="s">
        <v>3683</v>
      </c>
      <c r="E2747" s="29"/>
      <c r="F2747" s="29" t="s">
        <v>3686</v>
      </c>
      <c r="G2747" s="29"/>
      <c r="H2747" s="29" t="s">
        <v>3687</v>
      </c>
      <c r="I2747" s="29"/>
      <c r="J2747" s="29"/>
      <c r="K2747" s="29"/>
      <c r="L2747" s="29"/>
      <c r="M2747" s="29"/>
      <c r="N2747" s="29" t="s">
        <v>2078</v>
      </c>
      <c r="O2747" s="29"/>
      <c r="P2747" s="29" t="s">
        <v>9930</v>
      </c>
      <c r="Q2747" t="s">
        <v>2038</v>
      </c>
      <c r="R2747" t="s">
        <v>2633</v>
      </c>
      <c r="S2747">
        <v>37</v>
      </c>
      <c r="T2747" s="43" t="str">
        <f t="shared" si="120"/>
        <v>2021.010B.R.Binomial_names.zip</v>
      </c>
      <c r="U2747" s="43" t="str">
        <f>HYPERLINK("https://ictv.global/taxonomy/taxondetails?taxnode_id=202200851","ictv.global=202200851")</f>
        <v>ictv.global=202200851</v>
      </c>
    </row>
    <row r="2748" spans="1:21">
      <c r="A2748">
        <v>2747</v>
      </c>
      <c r="B2748" s="29" t="s">
        <v>3682</v>
      </c>
      <c r="C2748" s="29"/>
      <c r="D2748" s="29" t="s">
        <v>3683</v>
      </c>
      <c r="E2748" s="29"/>
      <c r="F2748" s="29" t="s">
        <v>3686</v>
      </c>
      <c r="G2748" s="29"/>
      <c r="H2748" s="29" t="s">
        <v>3687</v>
      </c>
      <c r="I2748" s="29"/>
      <c r="J2748" s="29"/>
      <c r="K2748" s="29"/>
      <c r="L2748" s="29"/>
      <c r="M2748" s="29"/>
      <c r="N2748" s="29" t="s">
        <v>2078</v>
      </c>
      <c r="O2748" s="29"/>
      <c r="P2748" s="29" t="s">
        <v>9931</v>
      </c>
      <c r="Q2748" t="s">
        <v>2038</v>
      </c>
      <c r="R2748" t="s">
        <v>2633</v>
      </c>
      <c r="S2748">
        <v>37</v>
      </c>
      <c r="T2748" s="43" t="str">
        <f t="shared" si="120"/>
        <v>2021.010B.R.Binomial_names.zip</v>
      </c>
      <c r="U2748" s="43" t="str">
        <f>HYPERLINK("https://ictv.global/taxonomy/taxondetails?taxnode_id=202200852","ictv.global=202200852")</f>
        <v>ictv.global=202200852</v>
      </c>
    </row>
    <row r="2749" spans="1:21">
      <c r="A2749">
        <v>2748</v>
      </c>
      <c r="B2749" s="29" t="s">
        <v>3682</v>
      </c>
      <c r="C2749" s="29"/>
      <c r="D2749" s="29" t="s">
        <v>3683</v>
      </c>
      <c r="E2749" s="29"/>
      <c r="F2749" s="29" t="s">
        <v>3686</v>
      </c>
      <c r="G2749" s="29"/>
      <c r="H2749" s="29" t="s">
        <v>3687</v>
      </c>
      <c r="I2749" s="29"/>
      <c r="J2749" s="29"/>
      <c r="K2749" s="29"/>
      <c r="L2749" s="29"/>
      <c r="M2749" s="29"/>
      <c r="N2749" s="29" t="s">
        <v>4595</v>
      </c>
      <c r="O2749" s="29"/>
      <c r="P2749" s="29" t="s">
        <v>9932</v>
      </c>
      <c r="Q2749" t="s">
        <v>2038</v>
      </c>
      <c r="R2749" t="s">
        <v>2633</v>
      </c>
      <c r="S2749">
        <v>37</v>
      </c>
      <c r="T2749" s="43" t="str">
        <f t="shared" si="120"/>
        <v>2021.010B.R.Binomial_names.zip</v>
      </c>
      <c r="U2749" s="43" t="str">
        <f>HYPERLINK("https://ictv.global/taxonomy/taxondetails?taxnode_id=202209250","ictv.global=202209250")</f>
        <v>ictv.global=202209250</v>
      </c>
    </row>
    <row r="2750" spans="1:21">
      <c r="A2750">
        <v>2749</v>
      </c>
      <c r="B2750" s="29" t="s">
        <v>3682</v>
      </c>
      <c r="C2750" s="29"/>
      <c r="D2750" s="29" t="s">
        <v>3683</v>
      </c>
      <c r="E2750" s="29"/>
      <c r="F2750" s="29" t="s">
        <v>3686</v>
      </c>
      <c r="G2750" s="29"/>
      <c r="H2750" s="29" t="s">
        <v>3687</v>
      </c>
      <c r="I2750" s="29"/>
      <c r="J2750" s="29"/>
      <c r="K2750" s="29"/>
      <c r="L2750" s="29"/>
      <c r="M2750" s="29"/>
      <c r="N2750" s="29" t="s">
        <v>4595</v>
      </c>
      <c r="O2750" s="29"/>
      <c r="P2750" s="29" t="s">
        <v>9933</v>
      </c>
      <c r="Q2750" t="s">
        <v>2038</v>
      </c>
      <c r="R2750" t="s">
        <v>2633</v>
      </c>
      <c r="S2750">
        <v>37</v>
      </c>
      <c r="T2750" s="43" t="str">
        <f t="shared" si="120"/>
        <v>2021.010B.R.Binomial_names.zip</v>
      </c>
      <c r="U2750" s="43" t="str">
        <f>HYPERLINK("https://ictv.global/taxonomy/taxondetails?taxnode_id=202209251","ictv.global=202209251")</f>
        <v>ictv.global=202209251</v>
      </c>
    </row>
    <row r="2751" spans="1:21">
      <c r="A2751">
        <v>2750</v>
      </c>
      <c r="B2751" s="29" t="s">
        <v>3682</v>
      </c>
      <c r="C2751" s="29"/>
      <c r="D2751" s="29" t="s">
        <v>3683</v>
      </c>
      <c r="E2751" s="29"/>
      <c r="F2751" s="29" t="s">
        <v>3686</v>
      </c>
      <c r="G2751" s="29"/>
      <c r="H2751" s="29" t="s">
        <v>3687</v>
      </c>
      <c r="I2751" s="29"/>
      <c r="J2751" s="29"/>
      <c r="K2751" s="29"/>
      <c r="L2751" s="29"/>
      <c r="M2751" s="29"/>
      <c r="N2751" s="29" t="s">
        <v>9934</v>
      </c>
      <c r="O2751" s="29"/>
      <c r="P2751" s="29" t="s">
        <v>9935</v>
      </c>
      <c r="Q2751" t="s">
        <v>2038</v>
      </c>
      <c r="R2751" t="s">
        <v>2632</v>
      </c>
      <c r="S2751">
        <v>37</v>
      </c>
      <c r="T2751" s="43" t="str">
        <f>HYPERLINK("https://ictv.global/ictv/proposals/2021.003B.R.Anthonyvirus.zip","2021.003B.R.Anthonyvirus.zip")</f>
        <v>2021.003B.R.Anthonyvirus.zip</v>
      </c>
      <c r="U2751" s="43" t="str">
        <f>HYPERLINK("https://ictv.global/taxonomy/taxondetails?taxnode_id=202213125","ictv.global=202213125")</f>
        <v>ictv.global=202213125</v>
      </c>
    </row>
    <row r="2752" spans="1:21">
      <c r="A2752">
        <v>2751</v>
      </c>
      <c r="B2752" s="29" t="s">
        <v>3682</v>
      </c>
      <c r="C2752" s="29"/>
      <c r="D2752" s="29" t="s">
        <v>3683</v>
      </c>
      <c r="E2752" s="29"/>
      <c r="F2752" s="29" t="s">
        <v>3686</v>
      </c>
      <c r="G2752" s="29"/>
      <c r="H2752" s="29" t="s">
        <v>3687</v>
      </c>
      <c r="I2752" s="29"/>
      <c r="J2752" s="29"/>
      <c r="K2752" s="29"/>
      <c r="L2752" s="29"/>
      <c r="M2752" s="29"/>
      <c r="N2752" s="29" t="s">
        <v>3900</v>
      </c>
      <c r="O2752" s="29"/>
      <c r="P2752" s="29" t="s">
        <v>9936</v>
      </c>
      <c r="Q2752" t="s">
        <v>2038</v>
      </c>
      <c r="R2752" t="s">
        <v>2633</v>
      </c>
      <c r="S2752">
        <v>37</v>
      </c>
      <c r="T2752" s="43" t="str">
        <f>HYPERLINK("https://ictv.global/ictv/proposals/2021.010B.R.Binomial_names.zip","2021.010B.R.Binomial_names.zip")</f>
        <v>2021.010B.R.Binomial_names.zip</v>
      </c>
      <c r="U2752" s="43" t="str">
        <f>HYPERLINK("https://ictv.global/taxonomy/taxondetails?taxnode_id=202207764","ictv.global=202207764")</f>
        <v>ictv.global=202207764</v>
      </c>
    </row>
    <row r="2753" spans="1:21">
      <c r="A2753">
        <v>2752</v>
      </c>
      <c r="B2753" s="29" t="s">
        <v>3682</v>
      </c>
      <c r="C2753" s="29"/>
      <c r="D2753" s="29" t="s">
        <v>3683</v>
      </c>
      <c r="E2753" s="29"/>
      <c r="F2753" s="29" t="s">
        <v>3686</v>
      </c>
      <c r="G2753" s="29"/>
      <c r="H2753" s="29" t="s">
        <v>3687</v>
      </c>
      <c r="I2753" s="29"/>
      <c r="J2753" s="29"/>
      <c r="K2753" s="29"/>
      <c r="L2753" s="29"/>
      <c r="M2753" s="29"/>
      <c r="N2753" s="29" t="s">
        <v>3983</v>
      </c>
      <c r="O2753" s="29"/>
      <c r="P2753" s="29" t="s">
        <v>9937</v>
      </c>
      <c r="Q2753" t="s">
        <v>2038</v>
      </c>
      <c r="R2753" t="s">
        <v>2633</v>
      </c>
      <c r="S2753">
        <v>37</v>
      </c>
      <c r="T2753" s="43" t="str">
        <f>HYPERLINK("https://ictv.global/ictv/proposals/2021.010B.R.Binomial_names.zip","2021.010B.R.Binomial_names.zip")</f>
        <v>2021.010B.R.Binomial_names.zip</v>
      </c>
      <c r="U2753" s="43" t="str">
        <f>HYPERLINK("https://ictv.global/taxonomy/taxondetails?taxnode_id=202207736","ictv.global=202207736")</f>
        <v>ictv.global=202207736</v>
      </c>
    </row>
    <row r="2754" spans="1:21">
      <c r="A2754">
        <v>2753</v>
      </c>
      <c r="B2754" s="29" t="s">
        <v>3682</v>
      </c>
      <c r="C2754" s="29"/>
      <c r="D2754" s="29" t="s">
        <v>3683</v>
      </c>
      <c r="E2754" s="29"/>
      <c r="F2754" s="29" t="s">
        <v>3686</v>
      </c>
      <c r="G2754" s="29"/>
      <c r="H2754" s="29" t="s">
        <v>3687</v>
      </c>
      <c r="I2754" s="29"/>
      <c r="J2754" s="29"/>
      <c r="K2754" s="29"/>
      <c r="L2754" s="29"/>
      <c r="M2754" s="29"/>
      <c r="N2754" s="29" t="s">
        <v>3984</v>
      </c>
      <c r="O2754" s="29"/>
      <c r="P2754" s="29" t="s">
        <v>9938</v>
      </c>
      <c r="Q2754" t="s">
        <v>2038</v>
      </c>
      <c r="R2754" t="s">
        <v>2633</v>
      </c>
      <c r="S2754">
        <v>37</v>
      </c>
      <c r="T2754" s="43" t="str">
        <f>HYPERLINK("https://ictv.global/ictv/proposals/2021.010B.R.Binomial_names.zip","2021.010B.R.Binomial_names.zip")</f>
        <v>2021.010B.R.Binomial_names.zip</v>
      </c>
      <c r="U2754" s="43" t="str">
        <f>HYPERLINK("https://ictv.global/taxonomy/taxondetails?taxnode_id=202208701","ictv.global=202208701")</f>
        <v>ictv.global=202208701</v>
      </c>
    </row>
    <row r="2755" spans="1:21">
      <c r="A2755">
        <v>2754</v>
      </c>
      <c r="B2755" s="29" t="s">
        <v>3682</v>
      </c>
      <c r="C2755" s="29"/>
      <c r="D2755" s="29" t="s">
        <v>3683</v>
      </c>
      <c r="E2755" s="29"/>
      <c r="F2755" s="29" t="s">
        <v>3686</v>
      </c>
      <c r="G2755" s="29"/>
      <c r="H2755" s="29" t="s">
        <v>3687</v>
      </c>
      <c r="I2755" s="29"/>
      <c r="J2755" s="29"/>
      <c r="K2755" s="29"/>
      <c r="L2755" s="29"/>
      <c r="M2755" s="29"/>
      <c r="N2755" s="29" t="s">
        <v>4705</v>
      </c>
      <c r="O2755" s="29"/>
      <c r="P2755" s="29" t="s">
        <v>9939</v>
      </c>
      <c r="Q2755" t="s">
        <v>2038</v>
      </c>
      <c r="R2755" t="s">
        <v>2633</v>
      </c>
      <c r="S2755">
        <v>37</v>
      </c>
      <c r="T2755" s="43" t="str">
        <f>HYPERLINK("https://ictv.global/ictv/proposals/2021.010B.R.Binomial_names.zip","2021.010B.R.Binomial_names.zip")</f>
        <v>2021.010B.R.Binomial_names.zip</v>
      </c>
      <c r="U2755" s="43" t="str">
        <f>HYPERLINK("https://ictv.global/taxonomy/taxondetails?taxnode_id=202209291","ictv.global=202209291")</f>
        <v>ictv.global=202209291</v>
      </c>
    </row>
    <row r="2756" spans="1:21">
      <c r="A2756">
        <v>2755</v>
      </c>
      <c r="B2756" s="29" t="s">
        <v>3682</v>
      </c>
      <c r="C2756" s="29"/>
      <c r="D2756" s="29" t="s">
        <v>3683</v>
      </c>
      <c r="E2756" s="29"/>
      <c r="F2756" s="29" t="s">
        <v>3686</v>
      </c>
      <c r="G2756" s="29"/>
      <c r="H2756" s="29" t="s">
        <v>3687</v>
      </c>
      <c r="I2756" s="29"/>
      <c r="J2756" s="29"/>
      <c r="K2756" s="29"/>
      <c r="L2756" s="29"/>
      <c r="M2756" s="29"/>
      <c r="N2756" s="29" t="s">
        <v>9940</v>
      </c>
      <c r="O2756" s="29"/>
      <c r="P2756" s="29" t="s">
        <v>9941</v>
      </c>
      <c r="Q2756" t="s">
        <v>2038</v>
      </c>
      <c r="R2756" t="s">
        <v>2632</v>
      </c>
      <c r="S2756">
        <v>37</v>
      </c>
      <c r="T2756" s="43" t="str">
        <f>HYPERLINK("https://ictv.global/ictv/proposals/2021.004B.R.Archimedesvirus.zip","2021.004B.R.Archimedesvirus.zip")</f>
        <v>2021.004B.R.Archimedesvirus.zip</v>
      </c>
      <c r="U2756" s="43" t="str">
        <f>HYPERLINK("https://ictv.global/taxonomy/taxondetails?taxnode_id=202213127","ictv.global=202213127")</f>
        <v>ictv.global=202213127</v>
      </c>
    </row>
    <row r="2757" spans="1:21">
      <c r="A2757">
        <v>2756</v>
      </c>
      <c r="B2757" s="29" t="s">
        <v>3682</v>
      </c>
      <c r="C2757" s="29"/>
      <c r="D2757" s="29" t="s">
        <v>3683</v>
      </c>
      <c r="E2757" s="29"/>
      <c r="F2757" s="29" t="s">
        <v>3686</v>
      </c>
      <c r="G2757" s="29"/>
      <c r="H2757" s="29" t="s">
        <v>3687</v>
      </c>
      <c r="I2757" s="29"/>
      <c r="J2757" s="29"/>
      <c r="K2757" s="29"/>
      <c r="L2757" s="29"/>
      <c r="M2757" s="29"/>
      <c r="N2757" s="29" t="s">
        <v>3985</v>
      </c>
      <c r="O2757" s="29"/>
      <c r="P2757" s="29" t="s">
        <v>9942</v>
      </c>
      <c r="Q2757" t="s">
        <v>2038</v>
      </c>
      <c r="R2757" t="s">
        <v>2633</v>
      </c>
      <c r="S2757">
        <v>37</v>
      </c>
      <c r="T2757" s="43" t="str">
        <f>HYPERLINK("https://ictv.global/ictv/proposals/2021.010B.R.Binomial_names.zip","2021.010B.R.Binomial_names.zip")</f>
        <v>2021.010B.R.Binomial_names.zip</v>
      </c>
      <c r="U2757" s="43" t="str">
        <f>HYPERLINK("https://ictv.global/taxonomy/taxondetails?taxnode_id=202207723","ictv.global=202207723")</f>
        <v>ictv.global=202207723</v>
      </c>
    </row>
    <row r="2758" spans="1:21">
      <c r="A2758">
        <v>2757</v>
      </c>
      <c r="B2758" s="29" t="s">
        <v>3682</v>
      </c>
      <c r="C2758" s="29"/>
      <c r="D2758" s="29" t="s">
        <v>3683</v>
      </c>
      <c r="E2758" s="29"/>
      <c r="F2758" s="29" t="s">
        <v>3686</v>
      </c>
      <c r="G2758" s="29"/>
      <c r="H2758" s="29" t="s">
        <v>3687</v>
      </c>
      <c r="I2758" s="29"/>
      <c r="J2758" s="29"/>
      <c r="K2758" s="29"/>
      <c r="L2758" s="29"/>
      <c r="M2758" s="29"/>
      <c r="N2758" s="29" t="s">
        <v>9943</v>
      </c>
      <c r="O2758" s="29"/>
      <c r="P2758" s="29" t="s">
        <v>9944</v>
      </c>
      <c r="Q2758" t="s">
        <v>2038</v>
      </c>
      <c r="R2758" t="s">
        <v>2632</v>
      </c>
      <c r="S2758">
        <v>38</v>
      </c>
      <c r="T2758" s="43" t="str">
        <f>HYPERLINK("https://ictv.global/ictv/proposals/2022.007B.Arvduovirus_ng.zip","2022.007B.Arvduovirus_ng.zip")</f>
        <v>2022.007B.Arvduovirus_ng.zip</v>
      </c>
      <c r="U2758" s="43" t="str">
        <f>HYPERLINK("https://ictv.global/taxonomy/taxondetails?taxnode_id=202214491","ictv.global=202214491")</f>
        <v>ictv.global=202214491</v>
      </c>
    </row>
    <row r="2759" spans="1:21">
      <c r="A2759">
        <v>2758</v>
      </c>
      <c r="B2759" s="29" t="s">
        <v>3682</v>
      </c>
      <c r="C2759" s="29"/>
      <c r="D2759" s="29" t="s">
        <v>3683</v>
      </c>
      <c r="E2759" s="29"/>
      <c r="F2759" s="29" t="s">
        <v>3686</v>
      </c>
      <c r="G2759" s="29"/>
      <c r="H2759" s="29" t="s">
        <v>3687</v>
      </c>
      <c r="I2759" s="29"/>
      <c r="J2759" s="29"/>
      <c r="K2759" s="29"/>
      <c r="L2759" s="29"/>
      <c r="M2759" s="29"/>
      <c r="N2759" s="29" t="s">
        <v>4706</v>
      </c>
      <c r="O2759" s="29"/>
      <c r="P2759" s="29" t="s">
        <v>9945</v>
      </c>
      <c r="Q2759" t="s">
        <v>2038</v>
      </c>
      <c r="R2759" t="s">
        <v>2633</v>
      </c>
      <c r="S2759">
        <v>37</v>
      </c>
      <c r="T2759" s="43" t="str">
        <f>HYPERLINK("https://ictv.global/ictv/proposals/2021.010B.R.Binomial_names.zip","2021.010B.R.Binomial_names.zip")</f>
        <v>2021.010B.R.Binomial_names.zip</v>
      </c>
      <c r="U2759" s="43" t="str">
        <f>HYPERLINK("https://ictv.global/taxonomy/taxondetails?taxnode_id=202210191","ictv.global=202210191")</f>
        <v>ictv.global=202210191</v>
      </c>
    </row>
    <row r="2760" spans="1:21">
      <c r="A2760">
        <v>2759</v>
      </c>
      <c r="B2760" s="29" t="s">
        <v>3682</v>
      </c>
      <c r="C2760" s="29"/>
      <c r="D2760" s="29" t="s">
        <v>3683</v>
      </c>
      <c r="E2760" s="29"/>
      <c r="F2760" s="29" t="s">
        <v>3686</v>
      </c>
      <c r="G2760" s="29"/>
      <c r="H2760" s="29" t="s">
        <v>3687</v>
      </c>
      <c r="I2760" s="29"/>
      <c r="J2760" s="29"/>
      <c r="K2760" s="29"/>
      <c r="L2760" s="29"/>
      <c r="M2760" s="29"/>
      <c r="N2760" s="29" t="s">
        <v>3396</v>
      </c>
      <c r="O2760" s="29"/>
      <c r="P2760" s="29" t="s">
        <v>9946</v>
      </c>
      <c r="Q2760" t="s">
        <v>2038</v>
      </c>
      <c r="R2760" t="s">
        <v>2633</v>
      </c>
      <c r="S2760">
        <v>37</v>
      </c>
      <c r="T2760" s="43" t="str">
        <f>HYPERLINK("https://ictv.global/ictv/proposals/2021.010B.R.Binomial_names.zip","2021.010B.R.Binomial_names.zip")</f>
        <v>2021.010B.R.Binomial_names.zip</v>
      </c>
      <c r="U2760" s="43" t="str">
        <f>HYPERLINK("https://ictv.global/taxonomy/taxondetails?taxnode_id=202206660","ictv.global=202206660")</f>
        <v>ictv.global=202206660</v>
      </c>
    </row>
    <row r="2761" spans="1:21">
      <c r="A2761">
        <v>2760</v>
      </c>
      <c r="B2761" s="29" t="s">
        <v>3682</v>
      </c>
      <c r="C2761" s="29"/>
      <c r="D2761" s="29" t="s">
        <v>3683</v>
      </c>
      <c r="E2761" s="29"/>
      <c r="F2761" s="29" t="s">
        <v>3686</v>
      </c>
      <c r="G2761" s="29"/>
      <c r="H2761" s="29" t="s">
        <v>3687</v>
      </c>
      <c r="I2761" s="29"/>
      <c r="J2761" s="29"/>
      <c r="K2761" s="29"/>
      <c r="L2761" s="29"/>
      <c r="M2761" s="29"/>
      <c r="N2761" s="29" t="s">
        <v>3396</v>
      </c>
      <c r="O2761" s="29"/>
      <c r="P2761" s="29" t="s">
        <v>9947</v>
      </c>
      <c r="Q2761" t="s">
        <v>2038</v>
      </c>
      <c r="R2761" t="s">
        <v>2633</v>
      </c>
      <c r="S2761">
        <v>37</v>
      </c>
      <c r="T2761" s="43" t="str">
        <f>HYPERLINK("https://ictv.global/ictv/proposals/2021.010B.R.Binomial_names.zip","2021.010B.R.Binomial_names.zip")</f>
        <v>2021.010B.R.Binomial_names.zip</v>
      </c>
      <c r="U2761" s="43" t="str">
        <f>HYPERLINK("https://ictv.global/taxonomy/taxondetails?taxnode_id=202206659","ictv.global=202206659")</f>
        <v>ictv.global=202206659</v>
      </c>
    </row>
    <row r="2762" spans="1:21">
      <c r="A2762">
        <v>2761</v>
      </c>
      <c r="B2762" s="29" t="s">
        <v>3682</v>
      </c>
      <c r="C2762" s="29"/>
      <c r="D2762" s="29" t="s">
        <v>3683</v>
      </c>
      <c r="E2762" s="29"/>
      <c r="F2762" s="29" t="s">
        <v>3686</v>
      </c>
      <c r="G2762" s="29"/>
      <c r="H2762" s="29" t="s">
        <v>3687</v>
      </c>
      <c r="I2762" s="29"/>
      <c r="J2762" s="29"/>
      <c r="K2762" s="29"/>
      <c r="L2762" s="29"/>
      <c r="M2762" s="29"/>
      <c r="N2762" s="29" t="s">
        <v>4596</v>
      </c>
      <c r="O2762" s="29"/>
      <c r="P2762" s="29" t="s">
        <v>9948</v>
      </c>
      <c r="Q2762" t="s">
        <v>2038</v>
      </c>
      <c r="R2762" t="s">
        <v>2633</v>
      </c>
      <c r="S2762">
        <v>37</v>
      </c>
      <c r="T2762" s="43" t="str">
        <f>HYPERLINK("https://ictv.global/ictv/proposals/2021.010B.R.Binomial_names.zip","2021.010B.R.Binomial_names.zip")</f>
        <v>2021.010B.R.Binomial_names.zip</v>
      </c>
      <c r="U2762" s="43" t="str">
        <f>HYPERLINK("https://ictv.global/taxonomy/taxondetails?taxnode_id=202209373","ictv.global=202209373")</f>
        <v>ictv.global=202209373</v>
      </c>
    </row>
    <row r="2763" spans="1:21">
      <c r="A2763">
        <v>2762</v>
      </c>
      <c r="B2763" s="29" t="s">
        <v>3682</v>
      </c>
      <c r="C2763" s="29"/>
      <c r="D2763" s="29" t="s">
        <v>3683</v>
      </c>
      <c r="E2763" s="29"/>
      <c r="F2763" s="29" t="s">
        <v>3686</v>
      </c>
      <c r="G2763" s="29"/>
      <c r="H2763" s="29" t="s">
        <v>3687</v>
      </c>
      <c r="I2763" s="29"/>
      <c r="J2763" s="29"/>
      <c r="K2763" s="29"/>
      <c r="L2763" s="29"/>
      <c r="M2763" s="29"/>
      <c r="N2763" s="29" t="s">
        <v>9949</v>
      </c>
      <c r="O2763" s="29"/>
      <c r="P2763" s="29" t="s">
        <v>9950</v>
      </c>
      <c r="Q2763" t="s">
        <v>2038</v>
      </c>
      <c r="R2763" t="s">
        <v>2632</v>
      </c>
      <c r="S2763">
        <v>38</v>
      </c>
      <c r="T2763" s="43" t="str">
        <f>HYPERLINK("https://ictv.global/ictv/proposals/2022.091B.Caudoviricetes_3ng_actinophages.zip","2022.091B.Caudoviricetes_3ng_actinophages.zip")</f>
        <v>2022.091B.Caudoviricetes_3ng_actinophages.zip</v>
      </c>
      <c r="U2763" s="43" t="str">
        <f>HYPERLINK("https://ictv.global/taxonomy/taxondetails?taxnode_id=202214965","ictv.global=202214965")</f>
        <v>ictv.global=202214965</v>
      </c>
    </row>
    <row r="2764" spans="1:21">
      <c r="A2764">
        <v>2763</v>
      </c>
      <c r="B2764" s="29" t="s">
        <v>3682</v>
      </c>
      <c r="C2764" s="29"/>
      <c r="D2764" s="29" t="s">
        <v>3683</v>
      </c>
      <c r="E2764" s="29"/>
      <c r="F2764" s="29" t="s">
        <v>3686</v>
      </c>
      <c r="G2764" s="29"/>
      <c r="H2764" s="29" t="s">
        <v>3687</v>
      </c>
      <c r="I2764" s="29"/>
      <c r="J2764" s="29"/>
      <c r="K2764" s="29"/>
      <c r="L2764" s="29"/>
      <c r="M2764" s="29"/>
      <c r="N2764" s="29" t="s">
        <v>2653</v>
      </c>
      <c r="O2764" s="29"/>
      <c r="P2764" s="29" t="s">
        <v>9951</v>
      </c>
      <c r="Q2764" t="s">
        <v>2038</v>
      </c>
      <c r="R2764" t="s">
        <v>2633</v>
      </c>
      <c r="S2764">
        <v>37</v>
      </c>
      <c r="T2764" s="43" t="str">
        <f>HYPERLINK("https://ictv.global/ictv/proposals/2021.010B.R.Binomial_names.zip","2021.010B.R.Binomial_names.zip")</f>
        <v>2021.010B.R.Binomial_names.zip</v>
      </c>
      <c r="U2764" s="43" t="str">
        <f>HYPERLINK("https://ictv.global/taxonomy/taxondetails?taxnode_id=202205541","ictv.global=202205541")</f>
        <v>ictv.global=202205541</v>
      </c>
    </row>
    <row r="2765" spans="1:21">
      <c r="A2765">
        <v>2764</v>
      </c>
      <c r="B2765" s="29" t="s">
        <v>3682</v>
      </c>
      <c r="C2765" s="29"/>
      <c r="D2765" s="29" t="s">
        <v>3683</v>
      </c>
      <c r="E2765" s="29"/>
      <c r="F2765" s="29" t="s">
        <v>3686</v>
      </c>
      <c r="G2765" s="29"/>
      <c r="H2765" s="29" t="s">
        <v>3687</v>
      </c>
      <c r="I2765" s="29"/>
      <c r="J2765" s="29"/>
      <c r="K2765" s="29"/>
      <c r="L2765" s="29"/>
      <c r="M2765" s="29"/>
      <c r="N2765" s="29" t="s">
        <v>2653</v>
      </c>
      <c r="O2765" s="29"/>
      <c r="P2765" s="29" t="s">
        <v>9952</v>
      </c>
      <c r="Q2765" t="s">
        <v>2038</v>
      </c>
      <c r="R2765" t="s">
        <v>2632</v>
      </c>
      <c r="S2765">
        <v>38</v>
      </c>
      <c r="T2765" s="43" t="str">
        <f t="shared" ref="T2765:T2772" si="121">HYPERLINK("https://ictv.global/ictv/proposals/2022.084B.Caudoviricetes_6ng_33nsp.zip","2022.084B.Caudoviricetes_6ng_33nsp.zip")</f>
        <v>2022.084B.Caudoviricetes_6ng_33nsp.zip</v>
      </c>
      <c r="U2765" s="43" t="str">
        <f>HYPERLINK("https://ictv.global/taxonomy/taxondetails?taxnode_id=202214908","ictv.global=202214908")</f>
        <v>ictv.global=202214908</v>
      </c>
    </row>
    <row r="2766" spans="1:21">
      <c r="A2766">
        <v>2765</v>
      </c>
      <c r="B2766" s="29" t="s">
        <v>3682</v>
      </c>
      <c r="C2766" s="29"/>
      <c r="D2766" s="29" t="s">
        <v>3683</v>
      </c>
      <c r="E2766" s="29"/>
      <c r="F2766" s="29" t="s">
        <v>3686</v>
      </c>
      <c r="G2766" s="29"/>
      <c r="H2766" s="29" t="s">
        <v>3687</v>
      </c>
      <c r="I2766" s="29"/>
      <c r="J2766" s="29"/>
      <c r="K2766" s="29"/>
      <c r="L2766" s="29"/>
      <c r="M2766" s="29"/>
      <c r="N2766" s="29" t="s">
        <v>2653</v>
      </c>
      <c r="O2766" s="29"/>
      <c r="P2766" s="29" t="s">
        <v>9953</v>
      </c>
      <c r="Q2766" t="s">
        <v>2038</v>
      </c>
      <c r="R2766" t="s">
        <v>2632</v>
      </c>
      <c r="S2766">
        <v>38</v>
      </c>
      <c r="T2766" s="43" t="str">
        <f t="shared" si="121"/>
        <v>2022.084B.Caudoviricetes_6ng_33nsp.zip</v>
      </c>
      <c r="U2766" s="43" t="str">
        <f>HYPERLINK("https://ictv.global/taxonomy/taxondetails?taxnode_id=202214909","ictv.global=202214909")</f>
        <v>ictv.global=202214909</v>
      </c>
    </row>
    <row r="2767" spans="1:21">
      <c r="A2767">
        <v>2766</v>
      </c>
      <c r="B2767" s="29" t="s">
        <v>3682</v>
      </c>
      <c r="C2767" s="29"/>
      <c r="D2767" s="29" t="s">
        <v>3683</v>
      </c>
      <c r="E2767" s="29"/>
      <c r="F2767" s="29" t="s">
        <v>3686</v>
      </c>
      <c r="G2767" s="29"/>
      <c r="H2767" s="29" t="s">
        <v>3687</v>
      </c>
      <c r="I2767" s="29"/>
      <c r="J2767" s="29"/>
      <c r="K2767" s="29"/>
      <c r="L2767" s="29"/>
      <c r="M2767" s="29"/>
      <c r="N2767" s="29" t="s">
        <v>2653</v>
      </c>
      <c r="O2767" s="29"/>
      <c r="P2767" s="29" t="s">
        <v>9954</v>
      </c>
      <c r="Q2767" t="s">
        <v>2038</v>
      </c>
      <c r="R2767" t="s">
        <v>2632</v>
      </c>
      <c r="S2767">
        <v>38</v>
      </c>
      <c r="T2767" s="43" t="str">
        <f t="shared" si="121"/>
        <v>2022.084B.Caudoviricetes_6ng_33nsp.zip</v>
      </c>
      <c r="U2767" s="43" t="str">
        <f>HYPERLINK("https://ictv.global/taxonomy/taxondetails?taxnode_id=202214906","ictv.global=202214906")</f>
        <v>ictv.global=202214906</v>
      </c>
    </row>
    <row r="2768" spans="1:21">
      <c r="A2768">
        <v>2767</v>
      </c>
      <c r="B2768" s="29" t="s">
        <v>3682</v>
      </c>
      <c r="C2768" s="29"/>
      <c r="D2768" s="29" t="s">
        <v>3683</v>
      </c>
      <c r="E2768" s="29"/>
      <c r="F2768" s="29" t="s">
        <v>3686</v>
      </c>
      <c r="G2768" s="29"/>
      <c r="H2768" s="29" t="s">
        <v>3687</v>
      </c>
      <c r="I2768" s="29"/>
      <c r="J2768" s="29"/>
      <c r="K2768" s="29"/>
      <c r="L2768" s="29"/>
      <c r="M2768" s="29"/>
      <c r="N2768" s="29" t="s">
        <v>2653</v>
      </c>
      <c r="O2768" s="29"/>
      <c r="P2768" s="29" t="s">
        <v>9955</v>
      </c>
      <c r="Q2768" t="s">
        <v>2038</v>
      </c>
      <c r="R2768" t="s">
        <v>2632</v>
      </c>
      <c r="S2768">
        <v>38</v>
      </c>
      <c r="T2768" s="43" t="str">
        <f t="shared" si="121"/>
        <v>2022.084B.Caudoviricetes_6ng_33nsp.zip</v>
      </c>
      <c r="U2768" s="43" t="str">
        <f>HYPERLINK("https://ictv.global/taxonomy/taxondetails?taxnode_id=202214903","ictv.global=202214903")</f>
        <v>ictv.global=202214903</v>
      </c>
    </row>
    <row r="2769" spans="1:21">
      <c r="A2769">
        <v>2768</v>
      </c>
      <c r="B2769" s="29" t="s">
        <v>3682</v>
      </c>
      <c r="C2769" s="29"/>
      <c r="D2769" s="29" t="s">
        <v>3683</v>
      </c>
      <c r="E2769" s="29"/>
      <c r="F2769" s="29" t="s">
        <v>3686</v>
      </c>
      <c r="G2769" s="29"/>
      <c r="H2769" s="29" t="s">
        <v>3687</v>
      </c>
      <c r="I2769" s="29"/>
      <c r="J2769" s="29"/>
      <c r="K2769" s="29"/>
      <c r="L2769" s="29"/>
      <c r="M2769" s="29"/>
      <c r="N2769" s="29" t="s">
        <v>2653</v>
      </c>
      <c r="O2769" s="29"/>
      <c r="P2769" s="29" t="s">
        <v>9956</v>
      </c>
      <c r="Q2769" t="s">
        <v>2038</v>
      </c>
      <c r="R2769" t="s">
        <v>2632</v>
      </c>
      <c r="S2769">
        <v>38</v>
      </c>
      <c r="T2769" s="43" t="str">
        <f t="shared" si="121"/>
        <v>2022.084B.Caudoviricetes_6ng_33nsp.zip</v>
      </c>
      <c r="U2769" s="43" t="str">
        <f>HYPERLINK("https://ictv.global/taxonomy/taxondetails?taxnode_id=202214904","ictv.global=202214904")</f>
        <v>ictv.global=202214904</v>
      </c>
    </row>
    <row r="2770" spans="1:21">
      <c r="A2770">
        <v>2769</v>
      </c>
      <c r="B2770" s="29" t="s">
        <v>3682</v>
      </c>
      <c r="C2770" s="29"/>
      <c r="D2770" s="29" t="s">
        <v>3683</v>
      </c>
      <c r="E2770" s="29"/>
      <c r="F2770" s="29" t="s">
        <v>3686</v>
      </c>
      <c r="G2770" s="29"/>
      <c r="H2770" s="29" t="s">
        <v>3687</v>
      </c>
      <c r="I2770" s="29"/>
      <c r="J2770" s="29"/>
      <c r="K2770" s="29"/>
      <c r="L2770" s="29"/>
      <c r="M2770" s="29"/>
      <c r="N2770" s="29" t="s">
        <v>2653</v>
      </c>
      <c r="O2770" s="29"/>
      <c r="P2770" s="29" t="s">
        <v>9957</v>
      </c>
      <c r="Q2770" t="s">
        <v>2038</v>
      </c>
      <c r="R2770" t="s">
        <v>2632</v>
      </c>
      <c r="S2770">
        <v>38</v>
      </c>
      <c r="T2770" s="43" t="str">
        <f t="shared" si="121"/>
        <v>2022.084B.Caudoviricetes_6ng_33nsp.zip</v>
      </c>
      <c r="U2770" s="43" t="str">
        <f>HYPERLINK("https://ictv.global/taxonomy/taxondetails?taxnode_id=202214907","ictv.global=202214907")</f>
        <v>ictv.global=202214907</v>
      </c>
    </row>
    <row r="2771" spans="1:21">
      <c r="A2771">
        <v>2770</v>
      </c>
      <c r="B2771" s="29" t="s">
        <v>3682</v>
      </c>
      <c r="C2771" s="29"/>
      <c r="D2771" s="29" t="s">
        <v>3683</v>
      </c>
      <c r="E2771" s="29"/>
      <c r="F2771" s="29" t="s">
        <v>3686</v>
      </c>
      <c r="G2771" s="29"/>
      <c r="H2771" s="29" t="s">
        <v>3687</v>
      </c>
      <c r="I2771" s="29"/>
      <c r="J2771" s="29"/>
      <c r="K2771" s="29"/>
      <c r="L2771" s="29"/>
      <c r="M2771" s="29"/>
      <c r="N2771" s="29" t="s">
        <v>2653</v>
      </c>
      <c r="O2771" s="29"/>
      <c r="P2771" s="29" t="s">
        <v>9958</v>
      </c>
      <c r="Q2771" t="s">
        <v>2038</v>
      </c>
      <c r="R2771" t="s">
        <v>2632</v>
      </c>
      <c r="S2771">
        <v>38</v>
      </c>
      <c r="T2771" s="43" t="str">
        <f t="shared" si="121"/>
        <v>2022.084B.Caudoviricetes_6ng_33nsp.zip</v>
      </c>
      <c r="U2771" s="43" t="str">
        <f>HYPERLINK("https://ictv.global/taxonomy/taxondetails?taxnode_id=202214902","ictv.global=202214902")</f>
        <v>ictv.global=202214902</v>
      </c>
    </row>
    <row r="2772" spans="1:21">
      <c r="A2772">
        <v>2771</v>
      </c>
      <c r="B2772" s="29" t="s">
        <v>3682</v>
      </c>
      <c r="C2772" s="29"/>
      <c r="D2772" s="29" t="s">
        <v>3683</v>
      </c>
      <c r="E2772" s="29"/>
      <c r="F2772" s="29" t="s">
        <v>3686</v>
      </c>
      <c r="G2772" s="29"/>
      <c r="H2772" s="29" t="s">
        <v>3687</v>
      </c>
      <c r="I2772" s="29"/>
      <c r="J2772" s="29"/>
      <c r="K2772" s="29"/>
      <c r="L2772" s="29"/>
      <c r="M2772" s="29"/>
      <c r="N2772" s="29" t="s">
        <v>2653</v>
      </c>
      <c r="O2772" s="29"/>
      <c r="P2772" s="29" t="s">
        <v>9959</v>
      </c>
      <c r="Q2772" t="s">
        <v>2038</v>
      </c>
      <c r="R2772" t="s">
        <v>2632</v>
      </c>
      <c r="S2772">
        <v>38</v>
      </c>
      <c r="T2772" s="43" t="str">
        <f t="shared" si="121"/>
        <v>2022.084B.Caudoviricetes_6ng_33nsp.zip</v>
      </c>
      <c r="U2772" s="43" t="str">
        <f>HYPERLINK("https://ictv.global/taxonomy/taxondetails?taxnode_id=202214905","ictv.global=202214905")</f>
        <v>ictv.global=202214905</v>
      </c>
    </row>
    <row r="2773" spans="1:21">
      <c r="A2773">
        <v>2772</v>
      </c>
      <c r="B2773" s="29" t="s">
        <v>3682</v>
      </c>
      <c r="C2773" s="29"/>
      <c r="D2773" s="29" t="s">
        <v>3683</v>
      </c>
      <c r="E2773" s="29"/>
      <c r="F2773" s="29" t="s">
        <v>3686</v>
      </c>
      <c r="G2773" s="29"/>
      <c r="H2773" s="29" t="s">
        <v>3687</v>
      </c>
      <c r="I2773" s="29"/>
      <c r="J2773" s="29"/>
      <c r="K2773" s="29"/>
      <c r="L2773" s="29"/>
      <c r="M2773" s="29"/>
      <c r="N2773" s="29" t="s">
        <v>3986</v>
      </c>
      <c r="O2773" s="29"/>
      <c r="P2773" s="29" t="s">
        <v>9960</v>
      </c>
      <c r="Q2773" t="s">
        <v>2038</v>
      </c>
      <c r="R2773" t="s">
        <v>2633</v>
      </c>
      <c r="S2773">
        <v>37</v>
      </c>
      <c r="T2773" s="43" t="str">
        <f t="shared" ref="T2773:T2784" si="122">HYPERLINK("https://ictv.global/ictv/proposals/2021.010B.R.Binomial_names.zip","2021.010B.R.Binomial_names.zip")</f>
        <v>2021.010B.R.Binomial_names.zip</v>
      </c>
      <c r="U2773" s="43" t="str">
        <f>HYPERLINK("https://ictv.global/taxonomy/taxondetails?taxnode_id=202207725","ictv.global=202207725")</f>
        <v>ictv.global=202207725</v>
      </c>
    </row>
    <row r="2774" spans="1:21">
      <c r="A2774">
        <v>2773</v>
      </c>
      <c r="B2774" s="29" t="s">
        <v>3682</v>
      </c>
      <c r="C2774" s="29"/>
      <c r="D2774" s="29" t="s">
        <v>3683</v>
      </c>
      <c r="E2774" s="29"/>
      <c r="F2774" s="29" t="s">
        <v>3686</v>
      </c>
      <c r="G2774" s="29"/>
      <c r="H2774" s="29" t="s">
        <v>3687</v>
      </c>
      <c r="I2774" s="29"/>
      <c r="J2774" s="29"/>
      <c r="K2774" s="29"/>
      <c r="L2774" s="29"/>
      <c r="M2774" s="29"/>
      <c r="N2774" s="29" t="s">
        <v>4707</v>
      </c>
      <c r="O2774" s="29"/>
      <c r="P2774" s="29" t="s">
        <v>9961</v>
      </c>
      <c r="Q2774" t="s">
        <v>2038</v>
      </c>
      <c r="R2774" t="s">
        <v>2633</v>
      </c>
      <c r="S2774">
        <v>37</v>
      </c>
      <c r="T2774" s="43" t="str">
        <f t="shared" si="122"/>
        <v>2021.010B.R.Binomial_names.zip</v>
      </c>
      <c r="U2774" s="43" t="str">
        <f>HYPERLINK("https://ictv.global/taxonomy/taxondetails?taxnode_id=202209386","ictv.global=202209386")</f>
        <v>ictv.global=202209386</v>
      </c>
    </row>
    <row r="2775" spans="1:21">
      <c r="A2775">
        <v>2774</v>
      </c>
      <c r="B2775" s="29" t="s">
        <v>3682</v>
      </c>
      <c r="C2775" s="29"/>
      <c r="D2775" s="29" t="s">
        <v>3683</v>
      </c>
      <c r="E2775" s="29"/>
      <c r="F2775" s="29" t="s">
        <v>3686</v>
      </c>
      <c r="G2775" s="29"/>
      <c r="H2775" s="29" t="s">
        <v>3687</v>
      </c>
      <c r="I2775" s="29"/>
      <c r="J2775" s="29"/>
      <c r="K2775" s="29"/>
      <c r="L2775" s="29"/>
      <c r="M2775" s="29"/>
      <c r="N2775" s="29" t="s">
        <v>4707</v>
      </c>
      <c r="O2775" s="29"/>
      <c r="P2775" s="29" t="s">
        <v>9962</v>
      </c>
      <c r="Q2775" t="s">
        <v>2038</v>
      </c>
      <c r="R2775" t="s">
        <v>2633</v>
      </c>
      <c r="S2775">
        <v>37</v>
      </c>
      <c r="T2775" s="43" t="str">
        <f t="shared" si="122"/>
        <v>2021.010B.R.Binomial_names.zip</v>
      </c>
      <c r="U2775" s="43" t="str">
        <f>HYPERLINK("https://ictv.global/taxonomy/taxondetails?taxnode_id=202209388","ictv.global=202209388")</f>
        <v>ictv.global=202209388</v>
      </c>
    </row>
    <row r="2776" spans="1:21">
      <c r="A2776">
        <v>2775</v>
      </c>
      <c r="B2776" s="29" t="s">
        <v>3682</v>
      </c>
      <c r="C2776" s="29"/>
      <c r="D2776" s="29" t="s">
        <v>3683</v>
      </c>
      <c r="E2776" s="29"/>
      <c r="F2776" s="29" t="s">
        <v>3686</v>
      </c>
      <c r="G2776" s="29"/>
      <c r="H2776" s="29" t="s">
        <v>3687</v>
      </c>
      <c r="I2776" s="29"/>
      <c r="J2776" s="29"/>
      <c r="K2776" s="29"/>
      <c r="L2776" s="29"/>
      <c r="M2776" s="29"/>
      <c r="N2776" s="29" t="s">
        <v>4707</v>
      </c>
      <c r="O2776" s="29"/>
      <c r="P2776" s="29" t="s">
        <v>9963</v>
      </c>
      <c r="Q2776" t="s">
        <v>2038</v>
      </c>
      <c r="R2776" t="s">
        <v>2633</v>
      </c>
      <c r="S2776">
        <v>37</v>
      </c>
      <c r="T2776" s="43" t="str">
        <f t="shared" si="122"/>
        <v>2021.010B.R.Binomial_names.zip</v>
      </c>
      <c r="U2776" s="43" t="str">
        <f>HYPERLINK("https://ictv.global/taxonomy/taxondetails?taxnode_id=202209385","ictv.global=202209385")</f>
        <v>ictv.global=202209385</v>
      </c>
    </row>
    <row r="2777" spans="1:21">
      <c r="A2777">
        <v>2776</v>
      </c>
      <c r="B2777" s="29" t="s">
        <v>3682</v>
      </c>
      <c r="C2777" s="29"/>
      <c r="D2777" s="29" t="s">
        <v>3683</v>
      </c>
      <c r="E2777" s="29"/>
      <c r="F2777" s="29" t="s">
        <v>3686</v>
      </c>
      <c r="G2777" s="29"/>
      <c r="H2777" s="29" t="s">
        <v>3687</v>
      </c>
      <c r="I2777" s="29"/>
      <c r="J2777" s="29"/>
      <c r="K2777" s="29"/>
      <c r="L2777" s="29"/>
      <c r="M2777" s="29"/>
      <c r="N2777" s="29" t="s">
        <v>4707</v>
      </c>
      <c r="O2777" s="29"/>
      <c r="P2777" s="29" t="s">
        <v>9964</v>
      </c>
      <c r="Q2777" t="s">
        <v>2038</v>
      </c>
      <c r="R2777" t="s">
        <v>2633</v>
      </c>
      <c r="S2777">
        <v>37</v>
      </c>
      <c r="T2777" s="43" t="str">
        <f t="shared" si="122"/>
        <v>2021.010B.R.Binomial_names.zip</v>
      </c>
      <c r="U2777" s="43" t="str">
        <f>HYPERLINK("https://ictv.global/taxonomy/taxondetails?taxnode_id=202209389","ictv.global=202209389")</f>
        <v>ictv.global=202209389</v>
      </c>
    </row>
    <row r="2778" spans="1:21">
      <c r="A2778">
        <v>2777</v>
      </c>
      <c r="B2778" s="29" t="s">
        <v>3682</v>
      </c>
      <c r="C2778" s="29"/>
      <c r="D2778" s="29" t="s">
        <v>3683</v>
      </c>
      <c r="E2778" s="29"/>
      <c r="F2778" s="29" t="s">
        <v>3686</v>
      </c>
      <c r="G2778" s="29"/>
      <c r="H2778" s="29" t="s">
        <v>3687</v>
      </c>
      <c r="I2778" s="29"/>
      <c r="J2778" s="29"/>
      <c r="K2778" s="29"/>
      <c r="L2778" s="29"/>
      <c r="M2778" s="29"/>
      <c r="N2778" s="29" t="s">
        <v>4707</v>
      </c>
      <c r="O2778" s="29"/>
      <c r="P2778" s="29" t="s">
        <v>9965</v>
      </c>
      <c r="Q2778" t="s">
        <v>2038</v>
      </c>
      <c r="R2778" t="s">
        <v>2633</v>
      </c>
      <c r="S2778">
        <v>37</v>
      </c>
      <c r="T2778" s="43" t="str">
        <f t="shared" si="122"/>
        <v>2021.010B.R.Binomial_names.zip</v>
      </c>
      <c r="U2778" s="43" t="str">
        <f>HYPERLINK("https://ictv.global/taxonomy/taxondetails?taxnode_id=202209387","ictv.global=202209387")</f>
        <v>ictv.global=202209387</v>
      </c>
    </row>
    <row r="2779" spans="1:21">
      <c r="A2779">
        <v>2778</v>
      </c>
      <c r="B2779" s="29" t="s">
        <v>3682</v>
      </c>
      <c r="C2779" s="29"/>
      <c r="D2779" s="29" t="s">
        <v>3683</v>
      </c>
      <c r="E2779" s="29"/>
      <c r="F2779" s="29" t="s">
        <v>3686</v>
      </c>
      <c r="G2779" s="29"/>
      <c r="H2779" s="29" t="s">
        <v>3687</v>
      </c>
      <c r="I2779" s="29"/>
      <c r="J2779" s="29"/>
      <c r="K2779" s="29"/>
      <c r="L2779" s="29"/>
      <c r="M2779" s="29"/>
      <c r="N2779" s="29" t="s">
        <v>4707</v>
      </c>
      <c r="O2779" s="29"/>
      <c r="P2779" s="29" t="s">
        <v>9966</v>
      </c>
      <c r="Q2779" t="s">
        <v>2038</v>
      </c>
      <c r="R2779" t="s">
        <v>2633</v>
      </c>
      <c r="S2779">
        <v>37</v>
      </c>
      <c r="T2779" s="43" t="str">
        <f t="shared" si="122"/>
        <v>2021.010B.R.Binomial_names.zip</v>
      </c>
      <c r="U2779" s="43" t="str">
        <f>HYPERLINK("https://ictv.global/taxonomy/taxondetails?taxnode_id=202209391","ictv.global=202209391")</f>
        <v>ictv.global=202209391</v>
      </c>
    </row>
    <row r="2780" spans="1:21">
      <c r="A2780">
        <v>2779</v>
      </c>
      <c r="B2780" s="29" t="s">
        <v>3682</v>
      </c>
      <c r="C2780" s="29"/>
      <c r="D2780" s="29" t="s">
        <v>3683</v>
      </c>
      <c r="E2780" s="29"/>
      <c r="F2780" s="29" t="s">
        <v>3686</v>
      </c>
      <c r="G2780" s="29"/>
      <c r="H2780" s="29" t="s">
        <v>3687</v>
      </c>
      <c r="I2780" s="29"/>
      <c r="J2780" s="29"/>
      <c r="K2780" s="29"/>
      <c r="L2780" s="29"/>
      <c r="M2780" s="29"/>
      <c r="N2780" s="29" t="s">
        <v>4707</v>
      </c>
      <c r="O2780" s="29"/>
      <c r="P2780" s="29" t="s">
        <v>9967</v>
      </c>
      <c r="Q2780" t="s">
        <v>2038</v>
      </c>
      <c r="R2780" t="s">
        <v>2633</v>
      </c>
      <c r="S2780">
        <v>37</v>
      </c>
      <c r="T2780" s="43" t="str">
        <f t="shared" si="122"/>
        <v>2021.010B.R.Binomial_names.zip</v>
      </c>
      <c r="U2780" s="43" t="str">
        <f>HYPERLINK("https://ictv.global/taxonomy/taxondetails?taxnode_id=202209390","ictv.global=202209390")</f>
        <v>ictv.global=202209390</v>
      </c>
    </row>
    <row r="2781" spans="1:21">
      <c r="A2781">
        <v>2780</v>
      </c>
      <c r="B2781" s="29" t="s">
        <v>3682</v>
      </c>
      <c r="C2781" s="29"/>
      <c r="D2781" s="29" t="s">
        <v>3683</v>
      </c>
      <c r="E2781" s="29"/>
      <c r="F2781" s="29" t="s">
        <v>3686</v>
      </c>
      <c r="G2781" s="29"/>
      <c r="H2781" s="29" t="s">
        <v>3687</v>
      </c>
      <c r="I2781" s="29"/>
      <c r="J2781" s="29"/>
      <c r="K2781" s="29"/>
      <c r="L2781" s="29"/>
      <c r="M2781" s="29"/>
      <c r="N2781" s="29" t="s">
        <v>3902</v>
      </c>
      <c r="O2781" s="29"/>
      <c r="P2781" s="29" t="s">
        <v>9968</v>
      </c>
      <c r="Q2781" t="s">
        <v>2038</v>
      </c>
      <c r="R2781" t="s">
        <v>2633</v>
      </c>
      <c r="S2781">
        <v>37</v>
      </c>
      <c r="T2781" s="43" t="str">
        <f t="shared" si="122"/>
        <v>2021.010B.R.Binomial_names.zip</v>
      </c>
      <c r="U2781" s="43" t="str">
        <f>HYPERLINK("https://ictv.global/taxonomy/taxondetails?taxnode_id=202207766","ictv.global=202207766")</f>
        <v>ictv.global=202207766</v>
      </c>
    </row>
    <row r="2782" spans="1:21">
      <c r="A2782">
        <v>2781</v>
      </c>
      <c r="B2782" s="29" t="s">
        <v>3682</v>
      </c>
      <c r="C2782" s="29"/>
      <c r="D2782" s="29" t="s">
        <v>3683</v>
      </c>
      <c r="E2782" s="29"/>
      <c r="F2782" s="29" t="s">
        <v>3686</v>
      </c>
      <c r="G2782" s="29"/>
      <c r="H2782" s="29" t="s">
        <v>3687</v>
      </c>
      <c r="I2782" s="29"/>
      <c r="J2782" s="29"/>
      <c r="K2782" s="29"/>
      <c r="L2782" s="29"/>
      <c r="M2782" s="29"/>
      <c r="N2782" s="29" t="s">
        <v>3987</v>
      </c>
      <c r="O2782" s="29"/>
      <c r="P2782" s="29" t="s">
        <v>9969</v>
      </c>
      <c r="Q2782" t="s">
        <v>2038</v>
      </c>
      <c r="R2782" t="s">
        <v>2633</v>
      </c>
      <c r="S2782">
        <v>37</v>
      </c>
      <c r="T2782" s="43" t="str">
        <f t="shared" si="122"/>
        <v>2021.010B.R.Binomial_names.zip</v>
      </c>
      <c r="U2782" s="43" t="str">
        <f>HYPERLINK("https://ictv.global/taxonomy/taxondetails?taxnode_id=202207727","ictv.global=202207727")</f>
        <v>ictv.global=202207727</v>
      </c>
    </row>
    <row r="2783" spans="1:21">
      <c r="A2783">
        <v>2782</v>
      </c>
      <c r="B2783" s="29" t="s">
        <v>3682</v>
      </c>
      <c r="C2783" s="29"/>
      <c r="D2783" s="29" t="s">
        <v>3683</v>
      </c>
      <c r="E2783" s="29"/>
      <c r="F2783" s="29" t="s">
        <v>3686</v>
      </c>
      <c r="G2783" s="29"/>
      <c r="H2783" s="29" t="s">
        <v>3687</v>
      </c>
      <c r="I2783" s="29"/>
      <c r="J2783" s="29"/>
      <c r="K2783" s="29"/>
      <c r="L2783" s="29"/>
      <c r="M2783" s="29"/>
      <c r="N2783" s="29" t="s">
        <v>3987</v>
      </c>
      <c r="O2783" s="29"/>
      <c r="P2783" s="29" t="s">
        <v>9970</v>
      </c>
      <c r="Q2783" t="s">
        <v>2038</v>
      </c>
      <c r="R2783" t="s">
        <v>2633</v>
      </c>
      <c r="S2783">
        <v>37</v>
      </c>
      <c r="T2783" s="43" t="str">
        <f t="shared" si="122"/>
        <v>2021.010B.R.Binomial_names.zip</v>
      </c>
      <c r="U2783" s="43" t="str">
        <f>HYPERLINK("https://ictv.global/taxonomy/taxondetails?taxnode_id=202207728","ictv.global=202207728")</f>
        <v>ictv.global=202207728</v>
      </c>
    </row>
    <row r="2784" spans="1:21">
      <c r="A2784">
        <v>2783</v>
      </c>
      <c r="B2784" s="29" t="s">
        <v>3682</v>
      </c>
      <c r="C2784" s="29"/>
      <c r="D2784" s="29" t="s">
        <v>3683</v>
      </c>
      <c r="E2784" s="29"/>
      <c r="F2784" s="29" t="s">
        <v>3686</v>
      </c>
      <c r="G2784" s="29"/>
      <c r="H2784" s="29" t="s">
        <v>3687</v>
      </c>
      <c r="I2784" s="29"/>
      <c r="J2784" s="29"/>
      <c r="K2784" s="29"/>
      <c r="L2784" s="29"/>
      <c r="M2784" s="29"/>
      <c r="N2784" s="29" t="s">
        <v>3987</v>
      </c>
      <c r="O2784" s="29"/>
      <c r="P2784" s="29" t="s">
        <v>9971</v>
      </c>
      <c r="Q2784" t="s">
        <v>2038</v>
      </c>
      <c r="R2784" t="s">
        <v>2633</v>
      </c>
      <c r="S2784">
        <v>37</v>
      </c>
      <c r="T2784" s="43" t="str">
        <f t="shared" si="122"/>
        <v>2021.010B.R.Binomial_names.zip</v>
      </c>
      <c r="U2784" s="43" t="str">
        <f>HYPERLINK("https://ictv.global/taxonomy/taxondetails?taxnode_id=202207729","ictv.global=202207729")</f>
        <v>ictv.global=202207729</v>
      </c>
    </row>
    <row r="2785" spans="1:21">
      <c r="A2785">
        <v>2784</v>
      </c>
      <c r="B2785" s="29" t="s">
        <v>3682</v>
      </c>
      <c r="C2785" s="29"/>
      <c r="D2785" s="29" t="s">
        <v>3683</v>
      </c>
      <c r="E2785" s="29"/>
      <c r="F2785" s="29" t="s">
        <v>3686</v>
      </c>
      <c r="G2785" s="29"/>
      <c r="H2785" s="29" t="s">
        <v>3687</v>
      </c>
      <c r="I2785" s="29"/>
      <c r="J2785" s="29"/>
      <c r="K2785" s="29"/>
      <c r="L2785" s="29"/>
      <c r="M2785" s="29"/>
      <c r="N2785" s="29" t="s">
        <v>9972</v>
      </c>
      <c r="O2785" s="29"/>
      <c r="P2785" s="29" t="s">
        <v>9973</v>
      </c>
      <c r="Q2785" t="s">
        <v>2038</v>
      </c>
      <c r="R2785" t="s">
        <v>2632</v>
      </c>
      <c r="S2785">
        <v>38</v>
      </c>
      <c r="T2785" s="43" t="str">
        <f>HYPERLINK("https://ictv.global/ictv/proposals/2022.009B.Axeltriavirus_ng.zip","2022.009B.Axeltriavirus_ng.zip")</f>
        <v>2022.009B.Axeltriavirus_ng.zip</v>
      </c>
      <c r="U2785" s="43" t="str">
        <f>HYPERLINK("https://ictv.global/taxonomy/taxondetails?taxnode_id=202214495","ictv.global=202214495")</f>
        <v>ictv.global=202214495</v>
      </c>
    </row>
    <row r="2786" spans="1:21">
      <c r="A2786">
        <v>2785</v>
      </c>
      <c r="B2786" s="29" t="s">
        <v>3682</v>
      </c>
      <c r="C2786" s="29"/>
      <c r="D2786" s="29" t="s">
        <v>3683</v>
      </c>
      <c r="E2786" s="29"/>
      <c r="F2786" s="29" t="s">
        <v>3686</v>
      </c>
      <c r="G2786" s="29"/>
      <c r="H2786" s="29" t="s">
        <v>3687</v>
      </c>
      <c r="I2786" s="29"/>
      <c r="J2786" s="29"/>
      <c r="K2786" s="29"/>
      <c r="L2786" s="29"/>
      <c r="M2786" s="29"/>
      <c r="N2786" s="29" t="s">
        <v>4550</v>
      </c>
      <c r="O2786" s="29"/>
      <c r="P2786" s="29" t="s">
        <v>9974</v>
      </c>
      <c r="Q2786" t="s">
        <v>2038</v>
      </c>
      <c r="R2786" t="s">
        <v>2633</v>
      </c>
      <c r="S2786">
        <v>37</v>
      </c>
      <c r="T2786" s="43" t="str">
        <f>HYPERLINK("https://ictv.global/ictv/proposals/2021.010B.R.Binomial_names.zip","2021.010B.R.Binomial_names.zip")</f>
        <v>2021.010B.R.Binomial_names.zip</v>
      </c>
      <c r="U2786" s="43" t="str">
        <f>HYPERLINK("https://ictv.global/taxonomy/taxondetails?taxnode_id=202209548","ictv.global=202209548")</f>
        <v>ictv.global=202209548</v>
      </c>
    </row>
    <row r="2787" spans="1:21">
      <c r="A2787">
        <v>2786</v>
      </c>
      <c r="B2787" s="29" t="s">
        <v>3682</v>
      </c>
      <c r="C2787" s="29"/>
      <c r="D2787" s="29" t="s">
        <v>3683</v>
      </c>
      <c r="E2787" s="29"/>
      <c r="F2787" s="29" t="s">
        <v>3686</v>
      </c>
      <c r="G2787" s="29"/>
      <c r="H2787" s="29" t="s">
        <v>3687</v>
      </c>
      <c r="I2787" s="29"/>
      <c r="J2787" s="29"/>
      <c r="K2787" s="29"/>
      <c r="L2787" s="29"/>
      <c r="M2787" s="29"/>
      <c r="N2787" s="29" t="s">
        <v>9975</v>
      </c>
      <c r="O2787" s="29"/>
      <c r="P2787" s="29" t="s">
        <v>9976</v>
      </c>
      <c r="Q2787" t="s">
        <v>2038</v>
      </c>
      <c r="R2787" t="s">
        <v>2633</v>
      </c>
      <c r="S2787">
        <v>37</v>
      </c>
      <c r="T2787" s="43" t="str">
        <f t="shared" ref="T2787:T2802" si="123">HYPERLINK("https://ictv.global/ictv/proposals/2021.006B.R.Backyardiganvirus.zip","2021.006B.R.Backyardiganvirus.zip")</f>
        <v>2021.006B.R.Backyardiganvirus.zip</v>
      </c>
      <c r="U2787" s="43" t="str">
        <f>HYPERLINK("https://ictv.global/taxonomy/taxondetails?taxnode_id=202201010","ictv.global=202201010")</f>
        <v>ictv.global=202201010</v>
      </c>
    </row>
    <row r="2788" spans="1:21">
      <c r="A2788">
        <v>2787</v>
      </c>
      <c r="B2788" s="29" t="s">
        <v>3682</v>
      </c>
      <c r="C2788" s="29"/>
      <c r="D2788" s="29" t="s">
        <v>3683</v>
      </c>
      <c r="E2788" s="29"/>
      <c r="F2788" s="29" t="s">
        <v>3686</v>
      </c>
      <c r="G2788" s="29"/>
      <c r="H2788" s="29" t="s">
        <v>3687</v>
      </c>
      <c r="I2788" s="29"/>
      <c r="J2788" s="29"/>
      <c r="K2788" s="29"/>
      <c r="L2788" s="29"/>
      <c r="M2788" s="29"/>
      <c r="N2788" s="29" t="s">
        <v>9975</v>
      </c>
      <c r="O2788" s="29"/>
      <c r="P2788" s="29" t="s">
        <v>9977</v>
      </c>
      <c r="Q2788" t="s">
        <v>2038</v>
      </c>
      <c r="R2788" t="s">
        <v>2633</v>
      </c>
      <c r="S2788">
        <v>37</v>
      </c>
      <c r="T2788" s="43" t="str">
        <f t="shared" si="123"/>
        <v>2021.006B.R.Backyardiganvirus.zip</v>
      </c>
      <c r="U2788" s="43" t="str">
        <f>HYPERLINK("https://ictv.global/taxonomy/taxondetails?taxnode_id=202201012","ictv.global=202201012")</f>
        <v>ictv.global=202201012</v>
      </c>
    </row>
    <row r="2789" spans="1:21">
      <c r="A2789">
        <v>2788</v>
      </c>
      <c r="B2789" s="29" t="s">
        <v>3682</v>
      </c>
      <c r="C2789" s="29"/>
      <c r="D2789" s="29" t="s">
        <v>3683</v>
      </c>
      <c r="E2789" s="29"/>
      <c r="F2789" s="29" t="s">
        <v>3686</v>
      </c>
      <c r="G2789" s="29"/>
      <c r="H2789" s="29" t="s">
        <v>3687</v>
      </c>
      <c r="I2789" s="29"/>
      <c r="J2789" s="29"/>
      <c r="K2789" s="29"/>
      <c r="L2789" s="29"/>
      <c r="M2789" s="29"/>
      <c r="N2789" s="29" t="s">
        <v>9975</v>
      </c>
      <c r="O2789" s="29"/>
      <c r="P2789" s="29" t="s">
        <v>9978</v>
      </c>
      <c r="Q2789" t="s">
        <v>2038</v>
      </c>
      <c r="R2789" t="s">
        <v>2632</v>
      </c>
      <c r="S2789">
        <v>37</v>
      </c>
      <c r="T2789" s="43" t="str">
        <f t="shared" si="123"/>
        <v>2021.006B.R.Backyardiganvirus.zip</v>
      </c>
      <c r="U2789" s="43" t="str">
        <f>HYPERLINK("https://ictv.global/taxonomy/taxondetails?taxnode_id=202213168","ictv.global=202213168")</f>
        <v>ictv.global=202213168</v>
      </c>
    </row>
    <row r="2790" spans="1:21">
      <c r="A2790">
        <v>2789</v>
      </c>
      <c r="B2790" s="29" t="s">
        <v>3682</v>
      </c>
      <c r="C2790" s="29"/>
      <c r="D2790" s="29" t="s">
        <v>3683</v>
      </c>
      <c r="E2790" s="29"/>
      <c r="F2790" s="29" t="s">
        <v>3686</v>
      </c>
      <c r="G2790" s="29"/>
      <c r="H2790" s="29" t="s">
        <v>3687</v>
      </c>
      <c r="I2790" s="29"/>
      <c r="J2790" s="29"/>
      <c r="K2790" s="29"/>
      <c r="L2790" s="29"/>
      <c r="M2790" s="29"/>
      <c r="N2790" s="29" t="s">
        <v>9975</v>
      </c>
      <c r="O2790" s="29"/>
      <c r="P2790" s="29" t="s">
        <v>9979</v>
      </c>
      <c r="Q2790" t="s">
        <v>2038</v>
      </c>
      <c r="R2790" t="s">
        <v>2632</v>
      </c>
      <c r="S2790">
        <v>37</v>
      </c>
      <c r="T2790" s="43" t="str">
        <f t="shared" si="123"/>
        <v>2021.006B.R.Backyardiganvirus.zip</v>
      </c>
      <c r="U2790" s="43" t="str">
        <f>HYPERLINK("https://ictv.global/taxonomy/taxondetails?taxnode_id=202213171","ictv.global=202213171")</f>
        <v>ictv.global=202213171</v>
      </c>
    </row>
    <row r="2791" spans="1:21">
      <c r="A2791">
        <v>2790</v>
      </c>
      <c r="B2791" s="29" t="s">
        <v>3682</v>
      </c>
      <c r="C2791" s="29"/>
      <c r="D2791" s="29" t="s">
        <v>3683</v>
      </c>
      <c r="E2791" s="29"/>
      <c r="F2791" s="29" t="s">
        <v>3686</v>
      </c>
      <c r="G2791" s="29"/>
      <c r="H2791" s="29" t="s">
        <v>3687</v>
      </c>
      <c r="I2791" s="29"/>
      <c r="J2791" s="29"/>
      <c r="K2791" s="29"/>
      <c r="L2791" s="29"/>
      <c r="M2791" s="29"/>
      <c r="N2791" s="29" t="s">
        <v>9975</v>
      </c>
      <c r="O2791" s="29"/>
      <c r="P2791" s="29" t="s">
        <v>9980</v>
      </c>
      <c r="Q2791" t="s">
        <v>2038</v>
      </c>
      <c r="R2791" t="s">
        <v>2632</v>
      </c>
      <c r="S2791">
        <v>37</v>
      </c>
      <c r="T2791" s="43" t="str">
        <f t="shared" si="123"/>
        <v>2021.006B.R.Backyardiganvirus.zip</v>
      </c>
      <c r="U2791" s="43" t="str">
        <f>HYPERLINK("https://ictv.global/taxonomy/taxondetails?taxnode_id=202213166","ictv.global=202213166")</f>
        <v>ictv.global=202213166</v>
      </c>
    </row>
    <row r="2792" spans="1:21">
      <c r="A2792">
        <v>2791</v>
      </c>
      <c r="B2792" s="29" t="s">
        <v>3682</v>
      </c>
      <c r="C2792" s="29"/>
      <c r="D2792" s="29" t="s">
        <v>3683</v>
      </c>
      <c r="E2792" s="29"/>
      <c r="F2792" s="29" t="s">
        <v>3686</v>
      </c>
      <c r="G2792" s="29"/>
      <c r="H2792" s="29" t="s">
        <v>3687</v>
      </c>
      <c r="I2792" s="29"/>
      <c r="J2792" s="29"/>
      <c r="K2792" s="29"/>
      <c r="L2792" s="29"/>
      <c r="M2792" s="29"/>
      <c r="N2792" s="29" t="s">
        <v>9975</v>
      </c>
      <c r="O2792" s="29"/>
      <c r="P2792" s="29" t="s">
        <v>9981</v>
      </c>
      <c r="Q2792" t="s">
        <v>2038</v>
      </c>
      <c r="R2792" t="s">
        <v>2632</v>
      </c>
      <c r="S2792">
        <v>37</v>
      </c>
      <c r="T2792" s="43" t="str">
        <f t="shared" si="123"/>
        <v>2021.006B.R.Backyardiganvirus.zip</v>
      </c>
      <c r="U2792" s="43" t="str">
        <f>HYPERLINK("https://ictv.global/taxonomy/taxondetails?taxnode_id=202213176","ictv.global=202213176")</f>
        <v>ictv.global=202213176</v>
      </c>
    </row>
    <row r="2793" spans="1:21">
      <c r="A2793">
        <v>2792</v>
      </c>
      <c r="B2793" s="29" t="s">
        <v>3682</v>
      </c>
      <c r="C2793" s="29"/>
      <c r="D2793" s="29" t="s">
        <v>3683</v>
      </c>
      <c r="E2793" s="29"/>
      <c r="F2793" s="29" t="s">
        <v>3686</v>
      </c>
      <c r="G2793" s="29"/>
      <c r="H2793" s="29" t="s">
        <v>3687</v>
      </c>
      <c r="I2793" s="29"/>
      <c r="J2793" s="29"/>
      <c r="K2793" s="29"/>
      <c r="L2793" s="29"/>
      <c r="M2793" s="29"/>
      <c r="N2793" s="29" t="s">
        <v>9975</v>
      </c>
      <c r="O2793" s="29"/>
      <c r="P2793" s="29" t="s">
        <v>9982</v>
      </c>
      <c r="Q2793" t="s">
        <v>2038</v>
      </c>
      <c r="R2793" t="s">
        <v>2632</v>
      </c>
      <c r="S2793">
        <v>37</v>
      </c>
      <c r="T2793" s="43" t="str">
        <f t="shared" si="123"/>
        <v>2021.006B.R.Backyardiganvirus.zip</v>
      </c>
      <c r="U2793" s="43" t="str">
        <f>HYPERLINK("https://ictv.global/taxonomy/taxondetails?taxnode_id=202213169","ictv.global=202213169")</f>
        <v>ictv.global=202213169</v>
      </c>
    </row>
    <row r="2794" spans="1:21">
      <c r="A2794">
        <v>2793</v>
      </c>
      <c r="B2794" s="29" t="s">
        <v>3682</v>
      </c>
      <c r="C2794" s="29"/>
      <c r="D2794" s="29" t="s">
        <v>3683</v>
      </c>
      <c r="E2794" s="29"/>
      <c r="F2794" s="29" t="s">
        <v>3686</v>
      </c>
      <c r="G2794" s="29"/>
      <c r="H2794" s="29" t="s">
        <v>3687</v>
      </c>
      <c r="I2794" s="29"/>
      <c r="J2794" s="29"/>
      <c r="K2794" s="29"/>
      <c r="L2794" s="29"/>
      <c r="M2794" s="29"/>
      <c r="N2794" s="29" t="s">
        <v>9975</v>
      </c>
      <c r="O2794" s="29"/>
      <c r="P2794" s="29" t="s">
        <v>9983</v>
      </c>
      <c r="Q2794" t="s">
        <v>2038</v>
      </c>
      <c r="R2794" t="s">
        <v>2632</v>
      </c>
      <c r="S2794">
        <v>37</v>
      </c>
      <c r="T2794" s="43" t="str">
        <f t="shared" si="123"/>
        <v>2021.006B.R.Backyardiganvirus.zip</v>
      </c>
      <c r="U2794" s="43" t="str">
        <f>HYPERLINK("https://ictv.global/taxonomy/taxondetails?taxnode_id=202213172","ictv.global=202213172")</f>
        <v>ictv.global=202213172</v>
      </c>
    </row>
    <row r="2795" spans="1:21">
      <c r="A2795">
        <v>2794</v>
      </c>
      <c r="B2795" s="29" t="s">
        <v>3682</v>
      </c>
      <c r="C2795" s="29"/>
      <c r="D2795" s="29" t="s">
        <v>3683</v>
      </c>
      <c r="E2795" s="29"/>
      <c r="F2795" s="29" t="s">
        <v>3686</v>
      </c>
      <c r="G2795" s="29"/>
      <c r="H2795" s="29" t="s">
        <v>3687</v>
      </c>
      <c r="I2795" s="29"/>
      <c r="J2795" s="29"/>
      <c r="K2795" s="29"/>
      <c r="L2795" s="29"/>
      <c r="M2795" s="29"/>
      <c r="N2795" s="29" t="s">
        <v>9975</v>
      </c>
      <c r="O2795" s="29"/>
      <c r="P2795" s="29" t="s">
        <v>9984</v>
      </c>
      <c r="Q2795" t="s">
        <v>2038</v>
      </c>
      <c r="R2795" t="s">
        <v>2632</v>
      </c>
      <c r="S2795">
        <v>37</v>
      </c>
      <c r="T2795" s="43" t="str">
        <f t="shared" si="123"/>
        <v>2021.006B.R.Backyardiganvirus.zip</v>
      </c>
      <c r="U2795" s="43" t="str">
        <f>HYPERLINK("https://ictv.global/taxonomy/taxondetails?taxnode_id=202213167","ictv.global=202213167")</f>
        <v>ictv.global=202213167</v>
      </c>
    </row>
    <row r="2796" spans="1:21">
      <c r="A2796">
        <v>2795</v>
      </c>
      <c r="B2796" s="29" t="s">
        <v>3682</v>
      </c>
      <c r="C2796" s="29"/>
      <c r="D2796" s="29" t="s">
        <v>3683</v>
      </c>
      <c r="E2796" s="29"/>
      <c r="F2796" s="29" t="s">
        <v>3686</v>
      </c>
      <c r="G2796" s="29"/>
      <c r="H2796" s="29" t="s">
        <v>3687</v>
      </c>
      <c r="I2796" s="29"/>
      <c r="J2796" s="29"/>
      <c r="K2796" s="29"/>
      <c r="L2796" s="29"/>
      <c r="M2796" s="29"/>
      <c r="N2796" s="29" t="s">
        <v>9975</v>
      </c>
      <c r="O2796" s="29"/>
      <c r="P2796" s="29" t="s">
        <v>9985</v>
      </c>
      <c r="Q2796" t="s">
        <v>2038</v>
      </c>
      <c r="R2796" t="s">
        <v>2633</v>
      </c>
      <c r="S2796">
        <v>37</v>
      </c>
      <c r="T2796" s="43" t="str">
        <f t="shared" si="123"/>
        <v>2021.006B.R.Backyardiganvirus.zip</v>
      </c>
      <c r="U2796" s="43" t="str">
        <f>HYPERLINK("https://ictv.global/taxonomy/taxondetails?taxnode_id=202201040","ictv.global=202201040")</f>
        <v>ictv.global=202201040</v>
      </c>
    </row>
    <row r="2797" spans="1:21">
      <c r="A2797">
        <v>2796</v>
      </c>
      <c r="B2797" s="29" t="s">
        <v>3682</v>
      </c>
      <c r="C2797" s="29"/>
      <c r="D2797" s="29" t="s">
        <v>3683</v>
      </c>
      <c r="E2797" s="29"/>
      <c r="F2797" s="29" t="s">
        <v>3686</v>
      </c>
      <c r="G2797" s="29"/>
      <c r="H2797" s="29" t="s">
        <v>3687</v>
      </c>
      <c r="I2797" s="29"/>
      <c r="J2797" s="29"/>
      <c r="K2797" s="29"/>
      <c r="L2797" s="29"/>
      <c r="M2797" s="29"/>
      <c r="N2797" s="29" t="s">
        <v>9975</v>
      </c>
      <c r="O2797" s="29"/>
      <c r="P2797" s="29" t="s">
        <v>9986</v>
      </c>
      <c r="Q2797" t="s">
        <v>2038</v>
      </c>
      <c r="R2797" t="s">
        <v>2632</v>
      </c>
      <c r="S2797">
        <v>37</v>
      </c>
      <c r="T2797" s="43" t="str">
        <f t="shared" si="123"/>
        <v>2021.006B.R.Backyardiganvirus.zip</v>
      </c>
      <c r="U2797" s="43" t="str">
        <f>HYPERLINK("https://ictv.global/taxonomy/taxondetails?taxnode_id=202213174","ictv.global=202213174")</f>
        <v>ictv.global=202213174</v>
      </c>
    </row>
    <row r="2798" spans="1:21">
      <c r="A2798">
        <v>2797</v>
      </c>
      <c r="B2798" s="29" t="s">
        <v>3682</v>
      </c>
      <c r="C2798" s="29"/>
      <c r="D2798" s="29" t="s">
        <v>3683</v>
      </c>
      <c r="E2798" s="29"/>
      <c r="F2798" s="29" t="s">
        <v>3686</v>
      </c>
      <c r="G2798" s="29"/>
      <c r="H2798" s="29" t="s">
        <v>3687</v>
      </c>
      <c r="I2798" s="29"/>
      <c r="J2798" s="29"/>
      <c r="K2798" s="29"/>
      <c r="L2798" s="29"/>
      <c r="M2798" s="29"/>
      <c r="N2798" s="29" t="s">
        <v>9975</v>
      </c>
      <c r="O2798" s="29"/>
      <c r="P2798" s="29" t="s">
        <v>9987</v>
      </c>
      <c r="Q2798" t="s">
        <v>2038</v>
      </c>
      <c r="R2798" t="s">
        <v>2632</v>
      </c>
      <c r="S2798">
        <v>37</v>
      </c>
      <c r="T2798" s="43" t="str">
        <f t="shared" si="123"/>
        <v>2021.006B.R.Backyardiganvirus.zip</v>
      </c>
      <c r="U2798" s="43" t="str">
        <f>HYPERLINK("https://ictv.global/taxonomy/taxondetails?taxnode_id=202213175","ictv.global=202213175")</f>
        <v>ictv.global=202213175</v>
      </c>
    </row>
    <row r="2799" spans="1:21">
      <c r="A2799">
        <v>2798</v>
      </c>
      <c r="B2799" s="29" t="s">
        <v>3682</v>
      </c>
      <c r="C2799" s="29"/>
      <c r="D2799" s="29" t="s">
        <v>3683</v>
      </c>
      <c r="E2799" s="29"/>
      <c r="F2799" s="29" t="s">
        <v>3686</v>
      </c>
      <c r="G2799" s="29"/>
      <c r="H2799" s="29" t="s">
        <v>3687</v>
      </c>
      <c r="I2799" s="29"/>
      <c r="J2799" s="29"/>
      <c r="K2799" s="29"/>
      <c r="L2799" s="29"/>
      <c r="M2799" s="29"/>
      <c r="N2799" s="29" t="s">
        <v>9975</v>
      </c>
      <c r="O2799" s="29"/>
      <c r="P2799" s="29" t="s">
        <v>9988</v>
      </c>
      <c r="Q2799" t="s">
        <v>2038</v>
      </c>
      <c r="R2799" t="s">
        <v>2632</v>
      </c>
      <c r="S2799">
        <v>37</v>
      </c>
      <c r="T2799" s="43" t="str">
        <f t="shared" si="123"/>
        <v>2021.006B.R.Backyardiganvirus.zip</v>
      </c>
      <c r="U2799" s="43" t="str">
        <f>HYPERLINK("https://ictv.global/taxonomy/taxondetails?taxnode_id=202213173","ictv.global=202213173")</f>
        <v>ictv.global=202213173</v>
      </c>
    </row>
    <row r="2800" spans="1:21">
      <c r="A2800">
        <v>2799</v>
      </c>
      <c r="B2800" s="29" t="s">
        <v>3682</v>
      </c>
      <c r="C2800" s="29"/>
      <c r="D2800" s="29" t="s">
        <v>3683</v>
      </c>
      <c r="E2800" s="29"/>
      <c r="F2800" s="29" t="s">
        <v>3686</v>
      </c>
      <c r="G2800" s="29"/>
      <c r="H2800" s="29" t="s">
        <v>3687</v>
      </c>
      <c r="I2800" s="29"/>
      <c r="J2800" s="29"/>
      <c r="K2800" s="29"/>
      <c r="L2800" s="29"/>
      <c r="M2800" s="29"/>
      <c r="N2800" s="29" t="s">
        <v>9975</v>
      </c>
      <c r="O2800" s="29"/>
      <c r="P2800" s="29" t="s">
        <v>9989</v>
      </c>
      <c r="Q2800" t="s">
        <v>2038</v>
      </c>
      <c r="R2800" t="s">
        <v>2633</v>
      </c>
      <c r="S2800">
        <v>37</v>
      </c>
      <c r="T2800" s="43" t="str">
        <f t="shared" si="123"/>
        <v>2021.006B.R.Backyardiganvirus.zip</v>
      </c>
      <c r="U2800" s="43" t="str">
        <f>HYPERLINK("https://ictv.global/taxonomy/taxondetails?taxnode_id=202201048","ictv.global=202201048")</f>
        <v>ictv.global=202201048</v>
      </c>
    </row>
    <row r="2801" spans="1:21">
      <c r="A2801">
        <v>2800</v>
      </c>
      <c r="B2801" s="29" t="s">
        <v>3682</v>
      </c>
      <c r="C2801" s="29"/>
      <c r="D2801" s="29" t="s">
        <v>3683</v>
      </c>
      <c r="E2801" s="29"/>
      <c r="F2801" s="29" t="s">
        <v>3686</v>
      </c>
      <c r="G2801" s="29"/>
      <c r="H2801" s="29" t="s">
        <v>3687</v>
      </c>
      <c r="I2801" s="29"/>
      <c r="J2801" s="29"/>
      <c r="K2801" s="29"/>
      <c r="L2801" s="29"/>
      <c r="M2801" s="29"/>
      <c r="N2801" s="29" t="s">
        <v>9975</v>
      </c>
      <c r="O2801" s="29"/>
      <c r="P2801" s="29" t="s">
        <v>9990</v>
      </c>
      <c r="Q2801" t="s">
        <v>2038</v>
      </c>
      <c r="R2801" t="s">
        <v>2632</v>
      </c>
      <c r="S2801">
        <v>37</v>
      </c>
      <c r="T2801" s="43" t="str">
        <f t="shared" si="123"/>
        <v>2021.006B.R.Backyardiganvirus.zip</v>
      </c>
      <c r="U2801" s="43" t="str">
        <f>HYPERLINK("https://ictv.global/taxonomy/taxondetails?taxnode_id=202213165","ictv.global=202213165")</f>
        <v>ictv.global=202213165</v>
      </c>
    </row>
    <row r="2802" spans="1:21">
      <c r="A2802">
        <v>2801</v>
      </c>
      <c r="B2802" s="29" t="s">
        <v>3682</v>
      </c>
      <c r="C2802" s="29"/>
      <c r="D2802" s="29" t="s">
        <v>3683</v>
      </c>
      <c r="E2802" s="29"/>
      <c r="F2802" s="29" t="s">
        <v>3686</v>
      </c>
      <c r="G2802" s="29"/>
      <c r="H2802" s="29" t="s">
        <v>3687</v>
      </c>
      <c r="I2802" s="29"/>
      <c r="J2802" s="29"/>
      <c r="K2802" s="29"/>
      <c r="L2802" s="29"/>
      <c r="M2802" s="29"/>
      <c r="N2802" s="29" t="s">
        <v>9975</v>
      </c>
      <c r="O2802" s="29"/>
      <c r="P2802" s="29" t="s">
        <v>9991</v>
      </c>
      <c r="Q2802" t="s">
        <v>2038</v>
      </c>
      <c r="R2802" t="s">
        <v>2632</v>
      </c>
      <c r="S2802">
        <v>37</v>
      </c>
      <c r="T2802" s="43" t="str">
        <f t="shared" si="123"/>
        <v>2021.006B.R.Backyardiganvirus.zip</v>
      </c>
      <c r="U2802" s="43" t="str">
        <f>HYPERLINK("https://ictv.global/taxonomy/taxondetails?taxnode_id=202213170","ictv.global=202213170")</f>
        <v>ictv.global=202213170</v>
      </c>
    </row>
    <row r="2803" spans="1:21">
      <c r="A2803">
        <v>2802</v>
      </c>
      <c r="B2803" s="29" t="s">
        <v>3682</v>
      </c>
      <c r="C2803" s="29"/>
      <c r="D2803" s="29" t="s">
        <v>3683</v>
      </c>
      <c r="E2803" s="29"/>
      <c r="F2803" s="29" t="s">
        <v>3686</v>
      </c>
      <c r="G2803" s="29"/>
      <c r="H2803" s="29" t="s">
        <v>3687</v>
      </c>
      <c r="I2803" s="29"/>
      <c r="J2803" s="29"/>
      <c r="K2803" s="29"/>
      <c r="L2803" s="29"/>
      <c r="M2803" s="29"/>
      <c r="N2803" s="29" t="s">
        <v>4597</v>
      </c>
      <c r="O2803" s="29"/>
      <c r="P2803" s="29" t="s">
        <v>9992</v>
      </c>
      <c r="Q2803" t="s">
        <v>2038</v>
      </c>
      <c r="R2803" t="s">
        <v>2633</v>
      </c>
      <c r="S2803">
        <v>37</v>
      </c>
      <c r="T2803" s="43" t="str">
        <f>HYPERLINK("https://ictv.global/ictv/proposals/2021.010B.R.Binomial_names.zip","2021.010B.R.Binomial_names.zip")</f>
        <v>2021.010B.R.Binomial_names.zip</v>
      </c>
      <c r="U2803" s="43" t="str">
        <f>HYPERLINK("https://ictv.global/taxonomy/taxondetails?taxnode_id=202209581","ictv.global=202209581")</f>
        <v>ictv.global=202209581</v>
      </c>
    </row>
    <row r="2804" spans="1:21">
      <c r="A2804">
        <v>2803</v>
      </c>
      <c r="B2804" s="29" t="s">
        <v>3682</v>
      </c>
      <c r="C2804" s="29"/>
      <c r="D2804" s="29" t="s">
        <v>3683</v>
      </c>
      <c r="E2804" s="29"/>
      <c r="F2804" s="29" t="s">
        <v>3686</v>
      </c>
      <c r="G2804" s="29"/>
      <c r="H2804" s="29" t="s">
        <v>3687</v>
      </c>
      <c r="I2804" s="29"/>
      <c r="J2804" s="29"/>
      <c r="K2804" s="29"/>
      <c r="L2804" s="29"/>
      <c r="M2804" s="29"/>
      <c r="N2804" s="29" t="s">
        <v>4597</v>
      </c>
      <c r="O2804" s="29"/>
      <c r="P2804" s="29" t="s">
        <v>9993</v>
      </c>
      <c r="Q2804" t="s">
        <v>2038</v>
      </c>
      <c r="R2804" t="s">
        <v>2633</v>
      </c>
      <c r="S2804">
        <v>37</v>
      </c>
      <c r="T2804" s="43" t="str">
        <f>HYPERLINK("https://ictv.global/ictv/proposals/2021.010B.R.Binomial_names.zip","2021.010B.R.Binomial_names.zip")</f>
        <v>2021.010B.R.Binomial_names.zip</v>
      </c>
      <c r="U2804" s="43" t="str">
        <f>HYPERLINK("https://ictv.global/taxonomy/taxondetails?taxnode_id=202209580","ictv.global=202209580")</f>
        <v>ictv.global=202209580</v>
      </c>
    </row>
    <row r="2805" spans="1:21">
      <c r="A2805">
        <v>2804</v>
      </c>
      <c r="B2805" s="29" t="s">
        <v>3682</v>
      </c>
      <c r="C2805" s="29"/>
      <c r="D2805" s="29" t="s">
        <v>3683</v>
      </c>
      <c r="E2805" s="29"/>
      <c r="F2805" s="29" t="s">
        <v>3686</v>
      </c>
      <c r="G2805" s="29"/>
      <c r="H2805" s="29" t="s">
        <v>3687</v>
      </c>
      <c r="I2805" s="29"/>
      <c r="J2805" s="29"/>
      <c r="K2805" s="29"/>
      <c r="L2805" s="29"/>
      <c r="M2805" s="29"/>
      <c r="N2805" s="29" t="s">
        <v>3903</v>
      </c>
      <c r="O2805" s="29"/>
      <c r="P2805" s="29" t="s">
        <v>9994</v>
      </c>
      <c r="Q2805" t="s">
        <v>2038</v>
      </c>
      <c r="R2805" t="s">
        <v>2633</v>
      </c>
      <c r="S2805">
        <v>37</v>
      </c>
      <c r="T2805" s="43" t="str">
        <f>HYPERLINK("https://ictv.global/ictv/proposals/2021.010B.R.Binomial_names.zip","2021.010B.R.Binomial_names.zip")</f>
        <v>2021.010B.R.Binomial_names.zip</v>
      </c>
      <c r="U2805" s="43" t="str">
        <f>HYPERLINK("https://ictv.global/taxonomy/taxondetails?taxnode_id=202207912","ictv.global=202207912")</f>
        <v>ictv.global=202207912</v>
      </c>
    </row>
    <row r="2806" spans="1:21">
      <c r="A2806">
        <v>2805</v>
      </c>
      <c r="B2806" s="29" t="s">
        <v>3682</v>
      </c>
      <c r="C2806" s="29"/>
      <c r="D2806" s="29" t="s">
        <v>3683</v>
      </c>
      <c r="E2806" s="29"/>
      <c r="F2806" s="29" t="s">
        <v>3686</v>
      </c>
      <c r="G2806" s="29"/>
      <c r="H2806" s="29" t="s">
        <v>3687</v>
      </c>
      <c r="I2806" s="29"/>
      <c r="J2806" s="29"/>
      <c r="K2806" s="29"/>
      <c r="L2806" s="29"/>
      <c r="M2806" s="29"/>
      <c r="N2806" s="29" t="s">
        <v>9995</v>
      </c>
      <c r="O2806" s="29"/>
      <c r="P2806" s="29" t="s">
        <v>9996</v>
      </c>
      <c r="Q2806" t="s">
        <v>2038</v>
      </c>
      <c r="R2806" t="s">
        <v>2632</v>
      </c>
      <c r="S2806">
        <v>38</v>
      </c>
      <c r="T2806" s="43" t="str">
        <f>HYPERLINK("https://ictv.global/ictv/proposals/2022.011B.Baileybluevirus_ng.zip","2022.011B.Baileybluevirus_ng.zip")</f>
        <v>2022.011B.Baileybluevirus_ng.zip</v>
      </c>
      <c r="U2806" s="43" t="str">
        <f>HYPERLINK("https://ictv.global/taxonomy/taxondetails?taxnode_id=202214512","ictv.global=202214512")</f>
        <v>ictv.global=202214512</v>
      </c>
    </row>
    <row r="2807" spans="1:21">
      <c r="A2807">
        <v>2806</v>
      </c>
      <c r="B2807" s="29" t="s">
        <v>3682</v>
      </c>
      <c r="C2807" s="29"/>
      <c r="D2807" s="29" t="s">
        <v>3683</v>
      </c>
      <c r="E2807" s="29"/>
      <c r="F2807" s="29" t="s">
        <v>3686</v>
      </c>
      <c r="G2807" s="29"/>
      <c r="H2807" s="29" t="s">
        <v>3687</v>
      </c>
      <c r="I2807" s="29"/>
      <c r="J2807" s="29"/>
      <c r="K2807" s="29"/>
      <c r="L2807" s="29"/>
      <c r="M2807" s="29"/>
      <c r="N2807" s="29" t="s">
        <v>4551</v>
      </c>
      <c r="O2807" s="29"/>
      <c r="P2807" s="29" t="s">
        <v>9997</v>
      </c>
      <c r="Q2807" t="s">
        <v>2038</v>
      </c>
      <c r="R2807" t="s">
        <v>2633</v>
      </c>
      <c r="S2807">
        <v>37</v>
      </c>
      <c r="T2807" s="43" t="str">
        <f t="shared" ref="T2807:T2821" si="124">HYPERLINK("https://ictv.global/ictv/proposals/2021.010B.R.Binomial_names.zip","2021.010B.R.Binomial_names.zip")</f>
        <v>2021.010B.R.Binomial_names.zip</v>
      </c>
      <c r="U2807" s="43" t="str">
        <f>HYPERLINK("https://ictv.global/taxonomy/taxondetails?taxnode_id=202211649","ictv.global=202211649")</f>
        <v>ictv.global=202211649</v>
      </c>
    </row>
    <row r="2808" spans="1:21">
      <c r="A2808">
        <v>2807</v>
      </c>
      <c r="B2808" s="29" t="s">
        <v>3682</v>
      </c>
      <c r="C2808" s="29"/>
      <c r="D2808" s="29" t="s">
        <v>3683</v>
      </c>
      <c r="E2808" s="29"/>
      <c r="F2808" s="29" t="s">
        <v>3686</v>
      </c>
      <c r="G2808" s="29"/>
      <c r="H2808" s="29" t="s">
        <v>3687</v>
      </c>
      <c r="I2808" s="29"/>
      <c r="J2808" s="29"/>
      <c r="K2808" s="29"/>
      <c r="L2808" s="29"/>
      <c r="M2808" s="29"/>
      <c r="N2808" s="29" t="s">
        <v>4551</v>
      </c>
      <c r="O2808" s="29"/>
      <c r="P2808" s="29" t="s">
        <v>9998</v>
      </c>
      <c r="Q2808" t="s">
        <v>2038</v>
      </c>
      <c r="R2808" t="s">
        <v>2633</v>
      </c>
      <c r="S2808">
        <v>37</v>
      </c>
      <c r="T2808" s="43" t="str">
        <f t="shared" si="124"/>
        <v>2021.010B.R.Binomial_names.zip</v>
      </c>
      <c r="U2808" s="43" t="str">
        <f>HYPERLINK("https://ictv.global/taxonomy/taxondetails?taxnode_id=202211650","ictv.global=202211650")</f>
        <v>ictv.global=202211650</v>
      </c>
    </row>
    <row r="2809" spans="1:21">
      <c r="A2809">
        <v>2808</v>
      </c>
      <c r="B2809" s="29" t="s">
        <v>3682</v>
      </c>
      <c r="C2809" s="29"/>
      <c r="D2809" s="29" t="s">
        <v>3683</v>
      </c>
      <c r="E2809" s="29"/>
      <c r="F2809" s="29" t="s">
        <v>3686</v>
      </c>
      <c r="G2809" s="29"/>
      <c r="H2809" s="29" t="s">
        <v>3687</v>
      </c>
      <c r="I2809" s="29"/>
      <c r="J2809" s="29"/>
      <c r="K2809" s="29"/>
      <c r="L2809" s="29"/>
      <c r="M2809" s="29"/>
      <c r="N2809" s="29" t="s">
        <v>3504</v>
      </c>
      <c r="O2809" s="29"/>
      <c r="P2809" s="29" t="s">
        <v>9999</v>
      </c>
      <c r="Q2809" t="s">
        <v>2038</v>
      </c>
      <c r="R2809" t="s">
        <v>2633</v>
      </c>
      <c r="S2809">
        <v>37</v>
      </c>
      <c r="T2809" s="43" t="str">
        <f t="shared" si="124"/>
        <v>2021.010B.R.Binomial_names.zip</v>
      </c>
      <c r="U2809" s="43" t="str">
        <f>HYPERLINK("https://ictv.global/taxonomy/taxondetails?taxnode_id=202206342","ictv.global=202206342")</f>
        <v>ictv.global=202206342</v>
      </c>
    </row>
    <row r="2810" spans="1:21">
      <c r="A2810">
        <v>2809</v>
      </c>
      <c r="B2810" s="29" t="s">
        <v>3682</v>
      </c>
      <c r="C2810" s="29"/>
      <c r="D2810" s="29" t="s">
        <v>3683</v>
      </c>
      <c r="E2810" s="29"/>
      <c r="F2810" s="29" t="s">
        <v>3686</v>
      </c>
      <c r="G2810" s="29"/>
      <c r="H2810" s="29" t="s">
        <v>3687</v>
      </c>
      <c r="I2810" s="29"/>
      <c r="J2810" s="29"/>
      <c r="K2810" s="29"/>
      <c r="L2810" s="29"/>
      <c r="M2810" s="29"/>
      <c r="N2810" s="29" t="s">
        <v>3904</v>
      </c>
      <c r="O2810" s="29"/>
      <c r="P2810" s="29" t="s">
        <v>10000</v>
      </c>
      <c r="Q2810" t="s">
        <v>2038</v>
      </c>
      <c r="R2810" t="s">
        <v>2633</v>
      </c>
      <c r="S2810">
        <v>37</v>
      </c>
      <c r="T2810" s="43" t="str">
        <f t="shared" si="124"/>
        <v>2021.010B.R.Binomial_names.zip</v>
      </c>
      <c r="U2810" s="43" t="str">
        <f>HYPERLINK("https://ictv.global/taxonomy/taxondetails?taxnode_id=202207108","ictv.global=202207108")</f>
        <v>ictv.global=202207108</v>
      </c>
    </row>
    <row r="2811" spans="1:21">
      <c r="A2811">
        <v>2810</v>
      </c>
      <c r="B2811" s="29" t="s">
        <v>3682</v>
      </c>
      <c r="C2811" s="29"/>
      <c r="D2811" s="29" t="s">
        <v>3683</v>
      </c>
      <c r="E2811" s="29"/>
      <c r="F2811" s="29" t="s">
        <v>3686</v>
      </c>
      <c r="G2811" s="29"/>
      <c r="H2811" s="29" t="s">
        <v>3687</v>
      </c>
      <c r="I2811" s="29"/>
      <c r="J2811" s="29"/>
      <c r="K2811" s="29"/>
      <c r="L2811" s="29"/>
      <c r="M2811" s="29"/>
      <c r="N2811" s="29" t="s">
        <v>3904</v>
      </c>
      <c r="O2811" s="29"/>
      <c r="P2811" s="29" t="s">
        <v>10001</v>
      </c>
      <c r="Q2811" t="s">
        <v>2038</v>
      </c>
      <c r="R2811" t="s">
        <v>2633</v>
      </c>
      <c r="S2811">
        <v>37</v>
      </c>
      <c r="T2811" s="43" t="str">
        <f t="shared" si="124"/>
        <v>2021.010B.R.Binomial_names.zip</v>
      </c>
      <c r="U2811" s="43" t="str">
        <f>HYPERLINK("https://ictv.global/taxonomy/taxondetails?taxnode_id=202207112","ictv.global=202207112")</f>
        <v>ictv.global=202207112</v>
      </c>
    </row>
    <row r="2812" spans="1:21">
      <c r="A2812">
        <v>2811</v>
      </c>
      <c r="B2812" s="29" t="s">
        <v>3682</v>
      </c>
      <c r="C2812" s="29"/>
      <c r="D2812" s="29" t="s">
        <v>3683</v>
      </c>
      <c r="E2812" s="29"/>
      <c r="F2812" s="29" t="s">
        <v>3686</v>
      </c>
      <c r="G2812" s="29"/>
      <c r="H2812" s="29" t="s">
        <v>3687</v>
      </c>
      <c r="I2812" s="29"/>
      <c r="J2812" s="29"/>
      <c r="K2812" s="29"/>
      <c r="L2812" s="29"/>
      <c r="M2812" s="29"/>
      <c r="N2812" s="29" t="s">
        <v>3904</v>
      </c>
      <c r="O2812" s="29"/>
      <c r="P2812" s="29" t="s">
        <v>10002</v>
      </c>
      <c r="Q2812" t="s">
        <v>2038</v>
      </c>
      <c r="R2812" t="s">
        <v>2633</v>
      </c>
      <c r="S2812">
        <v>37</v>
      </c>
      <c r="T2812" s="43" t="str">
        <f t="shared" si="124"/>
        <v>2021.010B.R.Binomial_names.zip</v>
      </c>
      <c r="U2812" s="43" t="str">
        <f>HYPERLINK("https://ictv.global/taxonomy/taxondetails?taxnode_id=202207109","ictv.global=202207109")</f>
        <v>ictv.global=202207109</v>
      </c>
    </row>
    <row r="2813" spans="1:21">
      <c r="A2813">
        <v>2812</v>
      </c>
      <c r="B2813" s="29" t="s">
        <v>3682</v>
      </c>
      <c r="C2813" s="29"/>
      <c r="D2813" s="29" t="s">
        <v>3683</v>
      </c>
      <c r="E2813" s="29"/>
      <c r="F2813" s="29" t="s">
        <v>3686</v>
      </c>
      <c r="G2813" s="29"/>
      <c r="H2813" s="29" t="s">
        <v>3687</v>
      </c>
      <c r="I2813" s="29"/>
      <c r="J2813" s="29"/>
      <c r="K2813" s="29"/>
      <c r="L2813" s="29"/>
      <c r="M2813" s="29"/>
      <c r="N2813" s="29" t="s">
        <v>3904</v>
      </c>
      <c r="O2813" s="29"/>
      <c r="P2813" s="29" t="s">
        <v>10003</v>
      </c>
      <c r="Q2813" t="s">
        <v>2038</v>
      </c>
      <c r="R2813" t="s">
        <v>2633</v>
      </c>
      <c r="S2813">
        <v>37</v>
      </c>
      <c r="T2813" s="43" t="str">
        <f t="shared" si="124"/>
        <v>2021.010B.R.Binomial_names.zip</v>
      </c>
      <c r="U2813" s="43" t="str">
        <f>HYPERLINK("https://ictv.global/taxonomy/taxondetails?taxnode_id=202207110","ictv.global=202207110")</f>
        <v>ictv.global=202207110</v>
      </c>
    </row>
    <row r="2814" spans="1:21">
      <c r="A2814">
        <v>2813</v>
      </c>
      <c r="B2814" s="29" t="s">
        <v>3682</v>
      </c>
      <c r="C2814" s="29"/>
      <c r="D2814" s="29" t="s">
        <v>3683</v>
      </c>
      <c r="E2814" s="29"/>
      <c r="F2814" s="29" t="s">
        <v>3686</v>
      </c>
      <c r="G2814" s="29"/>
      <c r="H2814" s="29" t="s">
        <v>3687</v>
      </c>
      <c r="I2814" s="29"/>
      <c r="J2814" s="29"/>
      <c r="K2814" s="29"/>
      <c r="L2814" s="29"/>
      <c r="M2814" s="29"/>
      <c r="N2814" s="29" t="s">
        <v>3904</v>
      </c>
      <c r="O2814" s="29"/>
      <c r="P2814" s="29" t="s">
        <v>10004</v>
      </c>
      <c r="Q2814" t="s">
        <v>2038</v>
      </c>
      <c r="R2814" t="s">
        <v>2633</v>
      </c>
      <c r="S2814">
        <v>37</v>
      </c>
      <c r="T2814" s="43" t="str">
        <f t="shared" si="124"/>
        <v>2021.010B.R.Binomial_names.zip</v>
      </c>
      <c r="U2814" s="43" t="str">
        <f>HYPERLINK("https://ictv.global/taxonomy/taxondetails?taxnode_id=202207111","ictv.global=202207111")</f>
        <v>ictv.global=202207111</v>
      </c>
    </row>
    <row r="2815" spans="1:21">
      <c r="A2815">
        <v>2814</v>
      </c>
      <c r="B2815" s="29" t="s">
        <v>3682</v>
      </c>
      <c r="C2815" s="29"/>
      <c r="D2815" s="29" t="s">
        <v>3683</v>
      </c>
      <c r="E2815" s="29"/>
      <c r="F2815" s="29" t="s">
        <v>3686</v>
      </c>
      <c r="G2815" s="29"/>
      <c r="H2815" s="29" t="s">
        <v>3687</v>
      </c>
      <c r="I2815" s="29"/>
      <c r="J2815" s="29"/>
      <c r="K2815" s="29"/>
      <c r="L2815" s="29"/>
      <c r="M2815" s="29"/>
      <c r="N2815" s="29" t="s">
        <v>2079</v>
      </c>
      <c r="O2815" s="29"/>
      <c r="P2815" s="29" t="s">
        <v>10005</v>
      </c>
      <c r="Q2815" t="s">
        <v>2038</v>
      </c>
      <c r="R2815" t="s">
        <v>2633</v>
      </c>
      <c r="S2815">
        <v>37</v>
      </c>
      <c r="T2815" s="43" t="str">
        <f t="shared" si="124"/>
        <v>2021.010B.R.Binomial_names.zip</v>
      </c>
      <c r="U2815" s="43" t="str">
        <f>HYPERLINK("https://ictv.global/taxonomy/taxondetails?taxnode_id=202200854","ictv.global=202200854")</f>
        <v>ictv.global=202200854</v>
      </c>
    </row>
    <row r="2816" spans="1:21">
      <c r="A2816">
        <v>2815</v>
      </c>
      <c r="B2816" s="29" t="s">
        <v>3682</v>
      </c>
      <c r="C2816" s="29"/>
      <c r="D2816" s="29" t="s">
        <v>3683</v>
      </c>
      <c r="E2816" s="29"/>
      <c r="F2816" s="29" t="s">
        <v>3686</v>
      </c>
      <c r="G2816" s="29"/>
      <c r="H2816" s="29" t="s">
        <v>3687</v>
      </c>
      <c r="I2816" s="29"/>
      <c r="J2816" s="29"/>
      <c r="K2816" s="29"/>
      <c r="L2816" s="29"/>
      <c r="M2816" s="29"/>
      <c r="N2816" s="29" t="s">
        <v>2079</v>
      </c>
      <c r="O2816" s="29"/>
      <c r="P2816" s="29" t="s">
        <v>10006</v>
      </c>
      <c r="Q2816" t="s">
        <v>2038</v>
      </c>
      <c r="R2816" t="s">
        <v>2633</v>
      </c>
      <c r="S2816">
        <v>37</v>
      </c>
      <c r="T2816" s="43" t="str">
        <f t="shared" si="124"/>
        <v>2021.010B.R.Binomial_names.zip</v>
      </c>
      <c r="U2816" s="43" t="str">
        <f>HYPERLINK("https://ictv.global/taxonomy/taxondetails?taxnode_id=202209604","ictv.global=202209604")</f>
        <v>ictv.global=202209604</v>
      </c>
    </row>
    <row r="2817" spans="1:21">
      <c r="A2817">
        <v>2816</v>
      </c>
      <c r="B2817" s="29" t="s">
        <v>3682</v>
      </c>
      <c r="C2817" s="29"/>
      <c r="D2817" s="29" t="s">
        <v>3683</v>
      </c>
      <c r="E2817" s="29"/>
      <c r="F2817" s="29" t="s">
        <v>3686</v>
      </c>
      <c r="G2817" s="29"/>
      <c r="H2817" s="29" t="s">
        <v>3687</v>
      </c>
      <c r="I2817" s="29"/>
      <c r="J2817" s="29"/>
      <c r="K2817" s="29"/>
      <c r="L2817" s="29"/>
      <c r="M2817" s="29"/>
      <c r="N2817" s="29" t="s">
        <v>4552</v>
      </c>
      <c r="O2817" s="29"/>
      <c r="P2817" s="29" t="s">
        <v>10007</v>
      </c>
      <c r="Q2817" t="s">
        <v>2038</v>
      </c>
      <c r="R2817" t="s">
        <v>2633</v>
      </c>
      <c r="S2817">
        <v>37</v>
      </c>
      <c r="T2817" s="43" t="str">
        <f t="shared" si="124"/>
        <v>2021.010B.R.Binomial_names.zip</v>
      </c>
      <c r="U2817" s="43" t="str">
        <f>HYPERLINK("https://ictv.global/taxonomy/taxondetails?taxnode_id=202200475","ictv.global=202200475")</f>
        <v>ictv.global=202200475</v>
      </c>
    </row>
    <row r="2818" spans="1:21">
      <c r="A2818">
        <v>2817</v>
      </c>
      <c r="B2818" s="29" t="s">
        <v>3682</v>
      </c>
      <c r="C2818" s="29"/>
      <c r="D2818" s="29" t="s">
        <v>3683</v>
      </c>
      <c r="E2818" s="29"/>
      <c r="F2818" s="29" t="s">
        <v>3686</v>
      </c>
      <c r="G2818" s="29"/>
      <c r="H2818" s="29" t="s">
        <v>3687</v>
      </c>
      <c r="I2818" s="29"/>
      <c r="J2818" s="29"/>
      <c r="K2818" s="29"/>
      <c r="L2818" s="29"/>
      <c r="M2818" s="29"/>
      <c r="N2818" s="29" t="s">
        <v>2057</v>
      </c>
      <c r="O2818" s="29"/>
      <c r="P2818" s="29" t="s">
        <v>10008</v>
      </c>
      <c r="Q2818" t="s">
        <v>2038</v>
      </c>
      <c r="R2818" t="s">
        <v>2633</v>
      </c>
      <c r="S2818">
        <v>37</v>
      </c>
      <c r="T2818" s="43" t="str">
        <f t="shared" si="124"/>
        <v>2021.010B.R.Binomial_names.zip</v>
      </c>
      <c r="U2818" s="43" t="str">
        <f>HYPERLINK("https://ictv.global/taxonomy/taxondetails?taxnode_id=202200408","ictv.global=202200408")</f>
        <v>ictv.global=202200408</v>
      </c>
    </row>
    <row r="2819" spans="1:21">
      <c r="A2819">
        <v>2818</v>
      </c>
      <c r="B2819" s="29" t="s">
        <v>3682</v>
      </c>
      <c r="C2819" s="29"/>
      <c r="D2819" s="29" t="s">
        <v>3683</v>
      </c>
      <c r="E2819" s="29"/>
      <c r="F2819" s="29" t="s">
        <v>3686</v>
      </c>
      <c r="G2819" s="29"/>
      <c r="H2819" s="29" t="s">
        <v>3687</v>
      </c>
      <c r="I2819" s="29"/>
      <c r="J2819" s="29"/>
      <c r="K2819" s="29"/>
      <c r="L2819" s="29"/>
      <c r="M2819" s="29"/>
      <c r="N2819" s="29" t="s">
        <v>2057</v>
      </c>
      <c r="O2819" s="29"/>
      <c r="P2819" s="29" t="s">
        <v>10009</v>
      </c>
      <c r="Q2819" t="s">
        <v>2038</v>
      </c>
      <c r="R2819" t="s">
        <v>2633</v>
      </c>
      <c r="S2819">
        <v>37</v>
      </c>
      <c r="T2819" s="43" t="str">
        <f t="shared" si="124"/>
        <v>2021.010B.R.Binomial_names.zip</v>
      </c>
      <c r="U2819" s="43" t="str">
        <f>HYPERLINK("https://ictv.global/taxonomy/taxondetails?taxnode_id=202200409","ictv.global=202200409")</f>
        <v>ictv.global=202200409</v>
      </c>
    </row>
    <row r="2820" spans="1:21">
      <c r="A2820">
        <v>2819</v>
      </c>
      <c r="B2820" s="29" t="s">
        <v>3682</v>
      </c>
      <c r="C2820" s="29"/>
      <c r="D2820" s="29" t="s">
        <v>3683</v>
      </c>
      <c r="E2820" s="29"/>
      <c r="F2820" s="29" t="s">
        <v>3686</v>
      </c>
      <c r="G2820" s="29"/>
      <c r="H2820" s="29" t="s">
        <v>3687</v>
      </c>
      <c r="I2820" s="29"/>
      <c r="J2820" s="29"/>
      <c r="K2820" s="29"/>
      <c r="L2820" s="29"/>
      <c r="M2820" s="29"/>
      <c r="N2820" s="29" t="s">
        <v>4709</v>
      </c>
      <c r="O2820" s="29"/>
      <c r="P2820" s="29" t="s">
        <v>10010</v>
      </c>
      <c r="Q2820" t="s">
        <v>2038</v>
      </c>
      <c r="R2820" t="s">
        <v>2633</v>
      </c>
      <c r="S2820">
        <v>37</v>
      </c>
      <c r="T2820" s="43" t="str">
        <f t="shared" si="124"/>
        <v>2021.010B.R.Binomial_names.zip</v>
      </c>
      <c r="U2820" s="43" t="str">
        <f>HYPERLINK("https://ictv.global/taxonomy/taxondetails?taxnode_id=202209616","ictv.global=202209616")</f>
        <v>ictv.global=202209616</v>
      </c>
    </row>
    <row r="2821" spans="1:21">
      <c r="A2821">
        <v>2820</v>
      </c>
      <c r="B2821" s="29" t="s">
        <v>3682</v>
      </c>
      <c r="C2821" s="29"/>
      <c r="D2821" s="29" t="s">
        <v>3683</v>
      </c>
      <c r="E2821" s="29"/>
      <c r="F2821" s="29" t="s">
        <v>3686</v>
      </c>
      <c r="G2821" s="29"/>
      <c r="H2821" s="29" t="s">
        <v>3687</v>
      </c>
      <c r="I2821" s="29"/>
      <c r="J2821" s="29"/>
      <c r="K2821" s="29"/>
      <c r="L2821" s="29"/>
      <c r="M2821" s="29"/>
      <c r="N2821" s="29" t="s">
        <v>4553</v>
      </c>
      <c r="O2821" s="29"/>
      <c r="P2821" s="29" t="s">
        <v>10011</v>
      </c>
      <c r="Q2821" t="s">
        <v>2038</v>
      </c>
      <c r="R2821" t="s">
        <v>2633</v>
      </c>
      <c r="S2821">
        <v>37</v>
      </c>
      <c r="T2821" s="43" t="str">
        <f t="shared" si="124"/>
        <v>2021.010B.R.Binomial_names.zip</v>
      </c>
      <c r="U2821" s="43" t="str">
        <f>HYPERLINK("https://ictv.global/taxonomy/taxondetails?taxnode_id=202209620","ictv.global=202209620")</f>
        <v>ictv.global=202209620</v>
      </c>
    </row>
    <row r="2822" spans="1:21">
      <c r="A2822">
        <v>2821</v>
      </c>
      <c r="B2822" s="29" t="s">
        <v>3682</v>
      </c>
      <c r="C2822" s="29"/>
      <c r="D2822" s="29" t="s">
        <v>3683</v>
      </c>
      <c r="E2822" s="29"/>
      <c r="F2822" s="29" t="s">
        <v>3686</v>
      </c>
      <c r="G2822" s="29"/>
      <c r="H2822" s="29" t="s">
        <v>3687</v>
      </c>
      <c r="I2822" s="29"/>
      <c r="J2822" s="29"/>
      <c r="K2822" s="29"/>
      <c r="L2822" s="29"/>
      <c r="M2822" s="29"/>
      <c r="N2822" s="29" t="s">
        <v>10012</v>
      </c>
      <c r="O2822" s="29"/>
      <c r="P2822" s="29" t="s">
        <v>10013</v>
      </c>
      <c r="Q2822" t="s">
        <v>2038</v>
      </c>
      <c r="R2822" t="s">
        <v>2632</v>
      </c>
      <c r="S2822">
        <v>38</v>
      </c>
      <c r="T2822" s="43" t="str">
        <f t="shared" ref="T2822:T2831" si="125">HYPERLINK("https://ictv.global/ictv/proposals/2022.084B.Caudoviricetes_6ng_33nsp.zip","2022.084B.Caudoviricetes_6ng_33nsp.zip")</f>
        <v>2022.084B.Caudoviricetes_6ng_33nsp.zip</v>
      </c>
      <c r="U2822" s="43" t="str">
        <f>HYPERLINK("https://ictv.global/taxonomy/taxondetails?taxnode_id=202214911","ictv.global=202214911")</f>
        <v>ictv.global=202214911</v>
      </c>
    </row>
    <row r="2823" spans="1:21">
      <c r="A2823">
        <v>2822</v>
      </c>
      <c r="B2823" s="29" t="s">
        <v>3682</v>
      </c>
      <c r="C2823" s="29"/>
      <c r="D2823" s="29" t="s">
        <v>3683</v>
      </c>
      <c r="E2823" s="29"/>
      <c r="F2823" s="29" t="s">
        <v>3686</v>
      </c>
      <c r="G2823" s="29"/>
      <c r="H2823" s="29" t="s">
        <v>3687</v>
      </c>
      <c r="I2823" s="29"/>
      <c r="J2823" s="29"/>
      <c r="K2823" s="29"/>
      <c r="L2823" s="29"/>
      <c r="M2823" s="29"/>
      <c r="N2823" s="29" t="s">
        <v>10012</v>
      </c>
      <c r="O2823" s="29"/>
      <c r="P2823" s="29" t="s">
        <v>10014</v>
      </c>
      <c r="Q2823" t="s">
        <v>2038</v>
      </c>
      <c r="R2823" t="s">
        <v>2632</v>
      </c>
      <c r="S2823">
        <v>38</v>
      </c>
      <c r="T2823" s="43" t="str">
        <f t="shared" si="125"/>
        <v>2022.084B.Caudoviricetes_6ng_33nsp.zip</v>
      </c>
      <c r="U2823" s="43" t="str">
        <f>HYPERLINK("https://ictv.global/taxonomy/taxondetails?taxnode_id=202214916","ictv.global=202214916")</f>
        <v>ictv.global=202214916</v>
      </c>
    </row>
    <row r="2824" spans="1:21">
      <c r="A2824">
        <v>2823</v>
      </c>
      <c r="B2824" s="29" t="s">
        <v>3682</v>
      </c>
      <c r="C2824" s="29"/>
      <c r="D2824" s="29" t="s">
        <v>3683</v>
      </c>
      <c r="E2824" s="29"/>
      <c r="F2824" s="29" t="s">
        <v>3686</v>
      </c>
      <c r="G2824" s="29"/>
      <c r="H2824" s="29" t="s">
        <v>3687</v>
      </c>
      <c r="I2824" s="29"/>
      <c r="J2824" s="29"/>
      <c r="K2824" s="29"/>
      <c r="L2824" s="29"/>
      <c r="M2824" s="29"/>
      <c r="N2824" s="29" t="s">
        <v>10012</v>
      </c>
      <c r="O2824" s="29"/>
      <c r="P2824" s="29" t="s">
        <v>10015</v>
      </c>
      <c r="Q2824" t="s">
        <v>2038</v>
      </c>
      <c r="R2824" t="s">
        <v>2632</v>
      </c>
      <c r="S2824">
        <v>38</v>
      </c>
      <c r="T2824" s="43" t="str">
        <f t="shared" si="125"/>
        <v>2022.084B.Caudoviricetes_6ng_33nsp.zip</v>
      </c>
      <c r="U2824" s="43" t="str">
        <f>HYPERLINK("https://ictv.global/taxonomy/taxondetails?taxnode_id=202214915","ictv.global=202214915")</f>
        <v>ictv.global=202214915</v>
      </c>
    </row>
    <row r="2825" spans="1:21">
      <c r="A2825">
        <v>2824</v>
      </c>
      <c r="B2825" s="29" t="s">
        <v>3682</v>
      </c>
      <c r="C2825" s="29"/>
      <c r="D2825" s="29" t="s">
        <v>3683</v>
      </c>
      <c r="E2825" s="29"/>
      <c r="F2825" s="29" t="s">
        <v>3686</v>
      </c>
      <c r="G2825" s="29"/>
      <c r="H2825" s="29" t="s">
        <v>3687</v>
      </c>
      <c r="I2825" s="29"/>
      <c r="J2825" s="29"/>
      <c r="K2825" s="29"/>
      <c r="L2825" s="29"/>
      <c r="M2825" s="29"/>
      <c r="N2825" s="29" t="s">
        <v>10012</v>
      </c>
      <c r="O2825" s="29"/>
      <c r="P2825" s="29" t="s">
        <v>10016</v>
      </c>
      <c r="Q2825" t="s">
        <v>2038</v>
      </c>
      <c r="R2825" t="s">
        <v>2632</v>
      </c>
      <c r="S2825">
        <v>38</v>
      </c>
      <c r="T2825" s="43" t="str">
        <f t="shared" si="125"/>
        <v>2022.084B.Caudoviricetes_6ng_33nsp.zip</v>
      </c>
      <c r="U2825" s="43" t="str">
        <f>HYPERLINK("https://ictv.global/taxonomy/taxondetails?taxnode_id=202214913","ictv.global=202214913")</f>
        <v>ictv.global=202214913</v>
      </c>
    </row>
    <row r="2826" spans="1:21">
      <c r="A2826">
        <v>2825</v>
      </c>
      <c r="B2826" s="29" t="s">
        <v>3682</v>
      </c>
      <c r="C2826" s="29"/>
      <c r="D2826" s="29" t="s">
        <v>3683</v>
      </c>
      <c r="E2826" s="29"/>
      <c r="F2826" s="29" t="s">
        <v>3686</v>
      </c>
      <c r="G2826" s="29"/>
      <c r="H2826" s="29" t="s">
        <v>3687</v>
      </c>
      <c r="I2826" s="29"/>
      <c r="J2826" s="29"/>
      <c r="K2826" s="29"/>
      <c r="L2826" s="29"/>
      <c r="M2826" s="29"/>
      <c r="N2826" s="29" t="s">
        <v>10012</v>
      </c>
      <c r="O2826" s="29"/>
      <c r="P2826" s="29" t="s">
        <v>10017</v>
      </c>
      <c r="Q2826" t="s">
        <v>2038</v>
      </c>
      <c r="R2826" t="s">
        <v>2632</v>
      </c>
      <c r="S2826">
        <v>38</v>
      </c>
      <c r="T2826" s="43" t="str">
        <f t="shared" si="125"/>
        <v>2022.084B.Caudoviricetes_6ng_33nsp.zip</v>
      </c>
      <c r="U2826" s="43" t="str">
        <f>HYPERLINK("https://ictv.global/taxonomy/taxondetails?taxnode_id=202214914","ictv.global=202214914")</f>
        <v>ictv.global=202214914</v>
      </c>
    </row>
    <row r="2827" spans="1:21">
      <c r="A2827">
        <v>2826</v>
      </c>
      <c r="B2827" s="29" t="s">
        <v>3682</v>
      </c>
      <c r="C2827" s="29"/>
      <c r="D2827" s="29" t="s">
        <v>3683</v>
      </c>
      <c r="E2827" s="29"/>
      <c r="F2827" s="29" t="s">
        <v>3686</v>
      </c>
      <c r="G2827" s="29"/>
      <c r="H2827" s="29" t="s">
        <v>3687</v>
      </c>
      <c r="I2827" s="29"/>
      <c r="J2827" s="29"/>
      <c r="K2827" s="29"/>
      <c r="L2827" s="29"/>
      <c r="M2827" s="29"/>
      <c r="N2827" s="29" t="s">
        <v>10012</v>
      </c>
      <c r="O2827" s="29"/>
      <c r="P2827" s="29" t="s">
        <v>10018</v>
      </c>
      <c r="Q2827" t="s">
        <v>2038</v>
      </c>
      <c r="R2827" t="s">
        <v>2632</v>
      </c>
      <c r="S2827">
        <v>38</v>
      </c>
      <c r="T2827" s="43" t="str">
        <f t="shared" si="125"/>
        <v>2022.084B.Caudoviricetes_6ng_33nsp.zip</v>
      </c>
      <c r="U2827" s="43" t="str">
        <f>HYPERLINK("https://ictv.global/taxonomy/taxondetails?taxnode_id=202214919","ictv.global=202214919")</f>
        <v>ictv.global=202214919</v>
      </c>
    </row>
    <row r="2828" spans="1:21">
      <c r="A2828">
        <v>2827</v>
      </c>
      <c r="B2828" s="29" t="s">
        <v>3682</v>
      </c>
      <c r="C2828" s="29"/>
      <c r="D2828" s="29" t="s">
        <v>3683</v>
      </c>
      <c r="E2828" s="29"/>
      <c r="F2828" s="29" t="s">
        <v>3686</v>
      </c>
      <c r="G2828" s="29"/>
      <c r="H2828" s="29" t="s">
        <v>3687</v>
      </c>
      <c r="I2828" s="29"/>
      <c r="J2828" s="29"/>
      <c r="K2828" s="29"/>
      <c r="L2828" s="29"/>
      <c r="M2828" s="29"/>
      <c r="N2828" s="29" t="s">
        <v>10012</v>
      </c>
      <c r="O2828" s="29"/>
      <c r="P2828" s="29" t="s">
        <v>10019</v>
      </c>
      <c r="Q2828" t="s">
        <v>2038</v>
      </c>
      <c r="R2828" t="s">
        <v>2632</v>
      </c>
      <c r="S2828">
        <v>38</v>
      </c>
      <c r="T2828" s="43" t="str">
        <f t="shared" si="125"/>
        <v>2022.084B.Caudoviricetes_6ng_33nsp.zip</v>
      </c>
      <c r="U2828" s="43" t="str">
        <f>HYPERLINK("https://ictv.global/taxonomy/taxondetails?taxnode_id=202214918","ictv.global=202214918")</f>
        <v>ictv.global=202214918</v>
      </c>
    </row>
    <row r="2829" spans="1:21">
      <c r="A2829">
        <v>2828</v>
      </c>
      <c r="B2829" s="29" t="s">
        <v>3682</v>
      </c>
      <c r="C2829" s="29"/>
      <c r="D2829" s="29" t="s">
        <v>3683</v>
      </c>
      <c r="E2829" s="29"/>
      <c r="F2829" s="29" t="s">
        <v>3686</v>
      </c>
      <c r="G2829" s="29"/>
      <c r="H2829" s="29" t="s">
        <v>3687</v>
      </c>
      <c r="I2829" s="29"/>
      <c r="J2829" s="29"/>
      <c r="K2829" s="29"/>
      <c r="L2829" s="29"/>
      <c r="M2829" s="29"/>
      <c r="N2829" s="29" t="s">
        <v>10012</v>
      </c>
      <c r="O2829" s="29"/>
      <c r="P2829" s="29" t="s">
        <v>10020</v>
      </c>
      <c r="Q2829" t="s">
        <v>2038</v>
      </c>
      <c r="R2829" t="s">
        <v>2632</v>
      </c>
      <c r="S2829">
        <v>38</v>
      </c>
      <c r="T2829" s="43" t="str">
        <f t="shared" si="125"/>
        <v>2022.084B.Caudoviricetes_6ng_33nsp.zip</v>
      </c>
      <c r="U2829" s="43" t="str">
        <f>HYPERLINK("https://ictv.global/taxonomy/taxondetails?taxnode_id=202214917","ictv.global=202214917")</f>
        <v>ictv.global=202214917</v>
      </c>
    </row>
    <row r="2830" spans="1:21">
      <c r="A2830">
        <v>2829</v>
      </c>
      <c r="B2830" s="29" t="s">
        <v>3682</v>
      </c>
      <c r="C2830" s="29"/>
      <c r="D2830" s="29" t="s">
        <v>3683</v>
      </c>
      <c r="E2830" s="29"/>
      <c r="F2830" s="29" t="s">
        <v>3686</v>
      </c>
      <c r="G2830" s="29"/>
      <c r="H2830" s="29" t="s">
        <v>3687</v>
      </c>
      <c r="I2830" s="29"/>
      <c r="J2830" s="29"/>
      <c r="K2830" s="29"/>
      <c r="L2830" s="29"/>
      <c r="M2830" s="29"/>
      <c r="N2830" s="29" t="s">
        <v>10012</v>
      </c>
      <c r="O2830" s="29"/>
      <c r="P2830" s="29" t="s">
        <v>10021</v>
      </c>
      <c r="Q2830" t="s">
        <v>2038</v>
      </c>
      <c r="R2830" t="s">
        <v>2632</v>
      </c>
      <c r="S2830">
        <v>38</v>
      </c>
      <c r="T2830" s="43" t="str">
        <f t="shared" si="125"/>
        <v>2022.084B.Caudoviricetes_6ng_33nsp.zip</v>
      </c>
      <c r="U2830" s="43" t="str">
        <f>HYPERLINK("https://ictv.global/taxonomy/taxondetails?taxnode_id=202214912","ictv.global=202214912")</f>
        <v>ictv.global=202214912</v>
      </c>
    </row>
    <row r="2831" spans="1:21">
      <c r="A2831">
        <v>2830</v>
      </c>
      <c r="B2831" s="29" t="s">
        <v>3682</v>
      </c>
      <c r="C2831" s="29"/>
      <c r="D2831" s="29" t="s">
        <v>3683</v>
      </c>
      <c r="E2831" s="29"/>
      <c r="F2831" s="29" t="s">
        <v>3686</v>
      </c>
      <c r="G2831" s="29"/>
      <c r="H2831" s="29" t="s">
        <v>3687</v>
      </c>
      <c r="I2831" s="29"/>
      <c r="J2831" s="29"/>
      <c r="K2831" s="29"/>
      <c r="L2831" s="29"/>
      <c r="M2831" s="29"/>
      <c r="N2831" s="29" t="s">
        <v>10012</v>
      </c>
      <c r="O2831" s="29"/>
      <c r="P2831" s="29" t="s">
        <v>10022</v>
      </c>
      <c r="Q2831" t="s">
        <v>2038</v>
      </c>
      <c r="R2831" t="s">
        <v>2632</v>
      </c>
      <c r="S2831">
        <v>38</v>
      </c>
      <c r="T2831" s="43" t="str">
        <f t="shared" si="125"/>
        <v>2022.084B.Caudoviricetes_6ng_33nsp.zip</v>
      </c>
      <c r="U2831" s="43" t="str">
        <f>HYPERLINK("https://ictv.global/taxonomy/taxondetails?taxnode_id=202214920","ictv.global=202214920")</f>
        <v>ictv.global=202214920</v>
      </c>
    </row>
    <row r="2832" spans="1:21">
      <c r="A2832">
        <v>2831</v>
      </c>
      <c r="B2832" s="29" t="s">
        <v>3682</v>
      </c>
      <c r="C2832" s="29"/>
      <c r="D2832" s="29" t="s">
        <v>3683</v>
      </c>
      <c r="E2832" s="29"/>
      <c r="F2832" s="29" t="s">
        <v>3686</v>
      </c>
      <c r="G2832" s="29"/>
      <c r="H2832" s="29" t="s">
        <v>3687</v>
      </c>
      <c r="I2832" s="29"/>
      <c r="J2832" s="29"/>
      <c r="K2832" s="29"/>
      <c r="L2832" s="29"/>
      <c r="M2832" s="29"/>
      <c r="N2832" s="29" t="s">
        <v>3505</v>
      </c>
      <c r="O2832" s="29"/>
      <c r="P2832" s="29" t="s">
        <v>10023</v>
      </c>
      <c r="Q2832" t="s">
        <v>2038</v>
      </c>
      <c r="R2832" t="s">
        <v>2633</v>
      </c>
      <c r="S2832">
        <v>37</v>
      </c>
      <c r="T2832" s="43" t="str">
        <f t="shared" ref="T2832:T2837" si="126">HYPERLINK("https://ictv.global/ictv/proposals/2021.010B.R.Binomial_names.zip","2021.010B.R.Binomial_names.zip")</f>
        <v>2021.010B.R.Binomial_names.zip</v>
      </c>
      <c r="U2832" s="43" t="str">
        <f>HYPERLINK("https://ictv.global/taxonomy/taxondetails?taxnode_id=202207091","ictv.global=202207091")</f>
        <v>ictv.global=202207091</v>
      </c>
    </row>
    <row r="2833" spans="1:21">
      <c r="A2833">
        <v>2832</v>
      </c>
      <c r="B2833" s="29" t="s">
        <v>3682</v>
      </c>
      <c r="C2833" s="29"/>
      <c r="D2833" s="29" t="s">
        <v>3683</v>
      </c>
      <c r="E2833" s="29"/>
      <c r="F2833" s="29" t="s">
        <v>3686</v>
      </c>
      <c r="G2833" s="29"/>
      <c r="H2833" s="29" t="s">
        <v>3687</v>
      </c>
      <c r="I2833" s="29"/>
      <c r="J2833" s="29"/>
      <c r="K2833" s="29"/>
      <c r="L2833" s="29"/>
      <c r="M2833" s="29"/>
      <c r="N2833" s="29" t="s">
        <v>3505</v>
      </c>
      <c r="O2833" s="29"/>
      <c r="P2833" s="29" t="s">
        <v>10024</v>
      </c>
      <c r="Q2833" t="s">
        <v>2038</v>
      </c>
      <c r="R2833" t="s">
        <v>2633</v>
      </c>
      <c r="S2833">
        <v>37</v>
      </c>
      <c r="T2833" s="43" t="str">
        <f t="shared" si="126"/>
        <v>2021.010B.R.Binomial_names.zip</v>
      </c>
      <c r="U2833" s="43" t="str">
        <f>HYPERLINK("https://ictv.global/taxonomy/taxondetails?taxnode_id=202207094","ictv.global=202207094")</f>
        <v>ictv.global=202207094</v>
      </c>
    </row>
    <row r="2834" spans="1:21">
      <c r="A2834">
        <v>2833</v>
      </c>
      <c r="B2834" s="29" t="s">
        <v>3682</v>
      </c>
      <c r="C2834" s="29"/>
      <c r="D2834" s="29" t="s">
        <v>3683</v>
      </c>
      <c r="E2834" s="29"/>
      <c r="F2834" s="29" t="s">
        <v>3686</v>
      </c>
      <c r="G2834" s="29"/>
      <c r="H2834" s="29" t="s">
        <v>3687</v>
      </c>
      <c r="I2834" s="29"/>
      <c r="J2834" s="29"/>
      <c r="K2834" s="29"/>
      <c r="L2834" s="29"/>
      <c r="M2834" s="29"/>
      <c r="N2834" s="29" t="s">
        <v>3505</v>
      </c>
      <c r="O2834" s="29"/>
      <c r="P2834" s="29" t="s">
        <v>10025</v>
      </c>
      <c r="Q2834" t="s">
        <v>2038</v>
      </c>
      <c r="R2834" t="s">
        <v>2633</v>
      </c>
      <c r="S2834">
        <v>37</v>
      </c>
      <c r="T2834" s="43" t="str">
        <f t="shared" si="126"/>
        <v>2021.010B.R.Binomial_names.zip</v>
      </c>
      <c r="U2834" s="43" t="str">
        <f>HYPERLINK("https://ictv.global/taxonomy/taxondetails?taxnode_id=202207092","ictv.global=202207092")</f>
        <v>ictv.global=202207092</v>
      </c>
    </row>
    <row r="2835" spans="1:21">
      <c r="A2835">
        <v>2834</v>
      </c>
      <c r="B2835" s="29" t="s">
        <v>3682</v>
      </c>
      <c r="C2835" s="29"/>
      <c r="D2835" s="29" t="s">
        <v>3683</v>
      </c>
      <c r="E2835" s="29"/>
      <c r="F2835" s="29" t="s">
        <v>3686</v>
      </c>
      <c r="G2835" s="29"/>
      <c r="H2835" s="29" t="s">
        <v>3687</v>
      </c>
      <c r="I2835" s="29"/>
      <c r="J2835" s="29"/>
      <c r="K2835" s="29"/>
      <c r="L2835" s="29"/>
      <c r="M2835" s="29"/>
      <c r="N2835" s="29" t="s">
        <v>3505</v>
      </c>
      <c r="O2835" s="29"/>
      <c r="P2835" s="29" t="s">
        <v>10026</v>
      </c>
      <c r="Q2835" t="s">
        <v>2038</v>
      </c>
      <c r="R2835" t="s">
        <v>2633</v>
      </c>
      <c r="S2835">
        <v>37</v>
      </c>
      <c r="T2835" s="43" t="str">
        <f t="shared" si="126"/>
        <v>2021.010B.R.Binomial_names.zip</v>
      </c>
      <c r="U2835" s="43" t="str">
        <f>HYPERLINK("https://ictv.global/taxonomy/taxondetails?taxnode_id=202207093","ictv.global=202207093")</f>
        <v>ictv.global=202207093</v>
      </c>
    </row>
    <row r="2836" spans="1:21">
      <c r="A2836">
        <v>2835</v>
      </c>
      <c r="B2836" s="29" t="s">
        <v>3682</v>
      </c>
      <c r="C2836" s="29"/>
      <c r="D2836" s="29" t="s">
        <v>3683</v>
      </c>
      <c r="E2836" s="29"/>
      <c r="F2836" s="29" t="s">
        <v>3686</v>
      </c>
      <c r="G2836" s="29"/>
      <c r="H2836" s="29" t="s">
        <v>3687</v>
      </c>
      <c r="I2836" s="29"/>
      <c r="J2836" s="29"/>
      <c r="K2836" s="29"/>
      <c r="L2836" s="29"/>
      <c r="M2836" s="29"/>
      <c r="N2836" s="29" t="s">
        <v>4710</v>
      </c>
      <c r="O2836" s="29"/>
      <c r="P2836" s="29" t="s">
        <v>10027</v>
      </c>
      <c r="Q2836" t="s">
        <v>2038</v>
      </c>
      <c r="R2836" t="s">
        <v>2633</v>
      </c>
      <c r="S2836">
        <v>37</v>
      </c>
      <c r="T2836" s="43" t="str">
        <f t="shared" si="126"/>
        <v>2021.010B.R.Binomial_names.zip</v>
      </c>
      <c r="U2836" s="43" t="str">
        <f>HYPERLINK("https://ictv.global/taxonomy/taxondetails?taxnode_id=202210193","ictv.global=202210193")</f>
        <v>ictv.global=202210193</v>
      </c>
    </row>
    <row r="2837" spans="1:21">
      <c r="A2837">
        <v>2836</v>
      </c>
      <c r="B2837" s="29" t="s">
        <v>3682</v>
      </c>
      <c r="C2837" s="29"/>
      <c r="D2837" s="29" t="s">
        <v>3683</v>
      </c>
      <c r="E2837" s="29"/>
      <c r="F2837" s="29" t="s">
        <v>3686</v>
      </c>
      <c r="G2837" s="29"/>
      <c r="H2837" s="29" t="s">
        <v>3687</v>
      </c>
      <c r="I2837" s="29"/>
      <c r="J2837" s="29"/>
      <c r="K2837" s="29"/>
      <c r="L2837" s="29"/>
      <c r="M2837" s="29"/>
      <c r="N2837" s="29" t="s">
        <v>3506</v>
      </c>
      <c r="O2837" s="29"/>
      <c r="P2837" s="29" t="s">
        <v>10028</v>
      </c>
      <c r="Q2837" t="s">
        <v>2038</v>
      </c>
      <c r="R2837" t="s">
        <v>2633</v>
      </c>
      <c r="S2837">
        <v>37</v>
      </c>
      <c r="T2837" s="43" t="str">
        <f t="shared" si="126"/>
        <v>2021.010B.R.Binomial_names.zip</v>
      </c>
      <c r="U2837" s="43" t="str">
        <f>HYPERLINK("https://ictv.global/taxonomy/taxondetails?taxnode_id=202206394","ictv.global=202206394")</f>
        <v>ictv.global=202206394</v>
      </c>
    </row>
    <row r="2838" spans="1:21">
      <c r="A2838">
        <v>2837</v>
      </c>
      <c r="B2838" s="29" t="s">
        <v>3682</v>
      </c>
      <c r="C2838" s="29"/>
      <c r="D2838" s="29" t="s">
        <v>3683</v>
      </c>
      <c r="E2838" s="29"/>
      <c r="F2838" s="29" t="s">
        <v>3686</v>
      </c>
      <c r="G2838" s="29"/>
      <c r="H2838" s="29" t="s">
        <v>3687</v>
      </c>
      <c r="I2838" s="29"/>
      <c r="J2838" s="29"/>
      <c r="K2838" s="29"/>
      <c r="L2838" s="29"/>
      <c r="M2838" s="29"/>
      <c r="N2838" s="29" t="s">
        <v>10029</v>
      </c>
      <c r="O2838" s="29"/>
      <c r="P2838" s="29" t="s">
        <v>10030</v>
      </c>
      <c r="Q2838" t="s">
        <v>2038</v>
      </c>
      <c r="R2838" t="s">
        <v>2632</v>
      </c>
      <c r="S2838">
        <v>37</v>
      </c>
      <c r="T2838" s="43" t="str">
        <f t="shared" ref="T2838:T2851" si="127">HYPERLINK("https://ictv.global/ictv/proposals/2021.008B.R.Benedictvirus.zip","2021.008B.R.Benedictvirus.zip")</f>
        <v>2021.008B.R.Benedictvirus.zip</v>
      </c>
      <c r="U2838" s="43" t="str">
        <f>HYPERLINK("https://ictv.global/taxonomy/taxondetails?taxnode_id=202213208","ictv.global=202213208")</f>
        <v>ictv.global=202213208</v>
      </c>
    </row>
    <row r="2839" spans="1:21">
      <c r="A2839">
        <v>2838</v>
      </c>
      <c r="B2839" s="29" t="s">
        <v>3682</v>
      </c>
      <c r="C2839" s="29"/>
      <c r="D2839" s="29" t="s">
        <v>3683</v>
      </c>
      <c r="E2839" s="29"/>
      <c r="F2839" s="29" t="s">
        <v>3686</v>
      </c>
      <c r="G2839" s="29"/>
      <c r="H2839" s="29" t="s">
        <v>3687</v>
      </c>
      <c r="I2839" s="29"/>
      <c r="J2839" s="29"/>
      <c r="K2839" s="29"/>
      <c r="L2839" s="29"/>
      <c r="M2839" s="29"/>
      <c r="N2839" s="29" t="s">
        <v>10029</v>
      </c>
      <c r="O2839" s="29"/>
      <c r="P2839" s="29" t="s">
        <v>10031</v>
      </c>
      <c r="Q2839" t="s">
        <v>2038</v>
      </c>
      <c r="R2839" t="s">
        <v>2633</v>
      </c>
      <c r="S2839">
        <v>37</v>
      </c>
      <c r="T2839" s="43" t="str">
        <f t="shared" si="127"/>
        <v>2021.008B.R.Benedictvirus.zip</v>
      </c>
      <c r="U2839" s="43" t="str">
        <f>HYPERLINK("https://ictv.global/taxonomy/taxondetails?taxnode_id=202201014","ictv.global=202201014")</f>
        <v>ictv.global=202201014</v>
      </c>
    </row>
    <row r="2840" spans="1:21">
      <c r="A2840">
        <v>2839</v>
      </c>
      <c r="B2840" s="29" t="s">
        <v>3682</v>
      </c>
      <c r="C2840" s="29"/>
      <c r="D2840" s="29" t="s">
        <v>3683</v>
      </c>
      <c r="E2840" s="29"/>
      <c r="F2840" s="29" t="s">
        <v>3686</v>
      </c>
      <c r="G2840" s="29"/>
      <c r="H2840" s="29" t="s">
        <v>3687</v>
      </c>
      <c r="I2840" s="29"/>
      <c r="J2840" s="29"/>
      <c r="K2840" s="29"/>
      <c r="L2840" s="29"/>
      <c r="M2840" s="29"/>
      <c r="N2840" s="29" t="s">
        <v>10029</v>
      </c>
      <c r="O2840" s="29"/>
      <c r="P2840" s="29" t="s">
        <v>10032</v>
      </c>
      <c r="Q2840" t="s">
        <v>2038</v>
      </c>
      <c r="R2840" t="s">
        <v>2632</v>
      </c>
      <c r="S2840">
        <v>37</v>
      </c>
      <c r="T2840" s="43" t="str">
        <f t="shared" si="127"/>
        <v>2021.008B.R.Benedictvirus.zip</v>
      </c>
      <c r="U2840" s="43" t="str">
        <f>HYPERLINK("https://ictv.global/taxonomy/taxondetails?taxnode_id=202213207","ictv.global=202213207")</f>
        <v>ictv.global=202213207</v>
      </c>
    </row>
    <row r="2841" spans="1:21">
      <c r="A2841">
        <v>2840</v>
      </c>
      <c r="B2841" s="29" t="s">
        <v>3682</v>
      </c>
      <c r="C2841" s="29"/>
      <c r="D2841" s="29" t="s">
        <v>3683</v>
      </c>
      <c r="E2841" s="29"/>
      <c r="F2841" s="29" t="s">
        <v>3686</v>
      </c>
      <c r="G2841" s="29"/>
      <c r="H2841" s="29" t="s">
        <v>3687</v>
      </c>
      <c r="I2841" s="29"/>
      <c r="J2841" s="29"/>
      <c r="K2841" s="29"/>
      <c r="L2841" s="29"/>
      <c r="M2841" s="29"/>
      <c r="N2841" s="29" t="s">
        <v>10029</v>
      </c>
      <c r="O2841" s="29"/>
      <c r="P2841" s="29" t="s">
        <v>10033</v>
      </c>
      <c r="Q2841" t="s">
        <v>2038</v>
      </c>
      <c r="R2841" t="s">
        <v>2632</v>
      </c>
      <c r="S2841">
        <v>37</v>
      </c>
      <c r="T2841" s="43" t="str">
        <f t="shared" si="127"/>
        <v>2021.008B.R.Benedictvirus.zip</v>
      </c>
      <c r="U2841" s="43" t="str">
        <f>HYPERLINK("https://ictv.global/taxonomy/taxondetails?taxnode_id=202213201","ictv.global=202213201")</f>
        <v>ictv.global=202213201</v>
      </c>
    </row>
    <row r="2842" spans="1:21">
      <c r="A2842">
        <v>2841</v>
      </c>
      <c r="B2842" s="29" t="s">
        <v>3682</v>
      </c>
      <c r="C2842" s="29"/>
      <c r="D2842" s="29" t="s">
        <v>3683</v>
      </c>
      <c r="E2842" s="29"/>
      <c r="F2842" s="29" t="s">
        <v>3686</v>
      </c>
      <c r="G2842" s="29"/>
      <c r="H2842" s="29" t="s">
        <v>3687</v>
      </c>
      <c r="I2842" s="29"/>
      <c r="J2842" s="29"/>
      <c r="K2842" s="29"/>
      <c r="L2842" s="29"/>
      <c r="M2842" s="29"/>
      <c r="N2842" s="29" t="s">
        <v>10029</v>
      </c>
      <c r="O2842" s="29"/>
      <c r="P2842" s="29" t="s">
        <v>10034</v>
      </c>
      <c r="Q2842" t="s">
        <v>2038</v>
      </c>
      <c r="R2842" t="s">
        <v>2633</v>
      </c>
      <c r="S2842">
        <v>37</v>
      </c>
      <c r="T2842" s="43" t="str">
        <f t="shared" si="127"/>
        <v>2021.008B.R.Benedictvirus.zip</v>
      </c>
      <c r="U2842" s="43" t="str">
        <f>HYPERLINK("https://ictv.global/taxonomy/taxondetails?taxnode_id=202201021","ictv.global=202201021")</f>
        <v>ictv.global=202201021</v>
      </c>
    </row>
    <row r="2843" spans="1:21">
      <c r="A2843">
        <v>2842</v>
      </c>
      <c r="B2843" s="29" t="s">
        <v>3682</v>
      </c>
      <c r="C2843" s="29"/>
      <c r="D2843" s="29" t="s">
        <v>3683</v>
      </c>
      <c r="E2843" s="29"/>
      <c r="F2843" s="29" t="s">
        <v>3686</v>
      </c>
      <c r="G2843" s="29"/>
      <c r="H2843" s="29" t="s">
        <v>3687</v>
      </c>
      <c r="I2843" s="29"/>
      <c r="J2843" s="29"/>
      <c r="K2843" s="29"/>
      <c r="L2843" s="29"/>
      <c r="M2843" s="29"/>
      <c r="N2843" s="29" t="s">
        <v>10029</v>
      </c>
      <c r="O2843" s="29"/>
      <c r="P2843" s="29" t="s">
        <v>10035</v>
      </c>
      <c r="Q2843" t="s">
        <v>2038</v>
      </c>
      <c r="R2843" t="s">
        <v>2632</v>
      </c>
      <c r="S2843">
        <v>37</v>
      </c>
      <c r="T2843" s="43" t="str">
        <f t="shared" si="127"/>
        <v>2021.008B.R.Benedictvirus.zip</v>
      </c>
      <c r="U2843" s="43" t="str">
        <f>HYPERLINK("https://ictv.global/taxonomy/taxondetails?taxnode_id=202213209","ictv.global=202213209")</f>
        <v>ictv.global=202213209</v>
      </c>
    </row>
    <row r="2844" spans="1:21">
      <c r="A2844">
        <v>2843</v>
      </c>
      <c r="B2844" s="29" t="s">
        <v>3682</v>
      </c>
      <c r="C2844" s="29"/>
      <c r="D2844" s="29" t="s">
        <v>3683</v>
      </c>
      <c r="E2844" s="29"/>
      <c r="F2844" s="29" t="s">
        <v>3686</v>
      </c>
      <c r="G2844" s="29"/>
      <c r="H2844" s="29" t="s">
        <v>3687</v>
      </c>
      <c r="I2844" s="29"/>
      <c r="J2844" s="29"/>
      <c r="K2844" s="29"/>
      <c r="L2844" s="29"/>
      <c r="M2844" s="29"/>
      <c r="N2844" s="29" t="s">
        <v>10029</v>
      </c>
      <c r="O2844" s="29"/>
      <c r="P2844" s="29" t="s">
        <v>10036</v>
      </c>
      <c r="Q2844" t="s">
        <v>2038</v>
      </c>
      <c r="R2844" t="s">
        <v>2632</v>
      </c>
      <c r="S2844">
        <v>37</v>
      </c>
      <c r="T2844" s="43" t="str">
        <f t="shared" si="127"/>
        <v>2021.008B.R.Benedictvirus.zip</v>
      </c>
      <c r="U2844" s="43" t="str">
        <f>HYPERLINK("https://ictv.global/taxonomy/taxondetails?taxnode_id=202213205","ictv.global=202213205")</f>
        <v>ictv.global=202213205</v>
      </c>
    </row>
    <row r="2845" spans="1:21">
      <c r="A2845">
        <v>2844</v>
      </c>
      <c r="B2845" s="29" t="s">
        <v>3682</v>
      </c>
      <c r="C2845" s="29"/>
      <c r="D2845" s="29" t="s">
        <v>3683</v>
      </c>
      <c r="E2845" s="29"/>
      <c r="F2845" s="29" t="s">
        <v>3686</v>
      </c>
      <c r="G2845" s="29"/>
      <c r="H2845" s="29" t="s">
        <v>3687</v>
      </c>
      <c r="I2845" s="29"/>
      <c r="J2845" s="29"/>
      <c r="K2845" s="29"/>
      <c r="L2845" s="29"/>
      <c r="M2845" s="29"/>
      <c r="N2845" s="29" t="s">
        <v>10029</v>
      </c>
      <c r="O2845" s="29"/>
      <c r="P2845" s="29" t="s">
        <v>10037</v>
      </c>
      <c r="Q2845" t="s">
        <v>2038</v>
      </c>
      <c r="R2845" t="s">
        <v>2632</v>
      </c>
      <c r="S2845">
        <v>37</v>
      </c>
      <c r="T2845" s="43" t="str">
        <f t="shared" si="127"/>
        <v>2021.008B.R.Benedictvirus.zip</v>
      </c>
      <c r="U2845" s="43" t="str">
        <f>HYPERLINK("https://ictv.global/taxonomy/taxondetails?taxnode_id=202213199","ictv.global=202213199")</f>
        <v>ictv.global=202213199</v>
      </c>
    </row>
    <row r="2846" spans="1:21">
      <c r="A2846">
        <v>2845</v>
      </c>
      <c r="B2846" s="29" t="s">
        <v>3682</v>
      </c>
      <c r="C2846" s="29"/>
      <c r="D2846" s="29" t="s">
        <v>3683</v>
      </c>
      <c r="E2846" s="29"/>
      <c r="F2846" s="29" t="s">
        <v>3686</v>
      </c>
      <c r="G2846" s="29"/>
      <c r="H2846" s="29" t="s">
        <v>3687</v>
      </c>
      <c r="I2846" s="29"/>
      <c r="J2846" s="29"/>
      <c r="K2846" s="29"/>
      <c r="L2846" s="29"/>
      <c r="M2846" s="29"/>
      <c r="N2846" s="29" t="s">
        <v>10029</v>
      </c>
      <c r="O2846" s="29"/>
      <c r="P2846" s="29" t="s">
        <v>10038</v>
      </c>
      <c r="Q2846" t="s">
        <v>2038</v>
      </c>
      <c r="R2846" t="s">
        <v>2632</v>
      </c>
      <c r="S2846">
        <v>37</v>
      </c>
      <c r="T2846" s="43" t="str">
        <f t="shared" si="127"/>
        <v>2021.008B.R.Benedictvirus.zip</v>
      </c>
      <c r="U2846" s="43" t="str">
        <f>HYPERLINK("https://ictv.global/taxonomy/taxondetails?taxnode_id=202213202","ictv.global=202213202")</f>
        <v>ictv.global=202213202</v>
      </c>
    </row>
    <row r="2847" spans="1:21">
      <c r="A2847">
        <v>2846</v>
      </c>
      <c r="B2847" s="29" t="s">
        <v>3682</v>
      </c>
      <c r="C2847" s="29"/>
      <c r="D2847" s="29" t="s">
        <v>3683</v>
      </c>
      <c r="E2847" s="29"/>
      <c r="F2847" s="29" t="s">
        <v>3686</v>
      </c>
      <c r="G2847" s="29"/>
      <c r="H2847" s="29" t="s">
        <v>3687</v>
      </c>
      <c r="I2847" s="29"/>
      <c r="J2847" s="29"/>
      <c r="K2847" s="29"/>
      <c r="L2847" s="29"/>
      <c r="M2847" s="29"/>
      <c r="N2847" s="29" t="s">
        <v>10029</v>
      </c>
      <c r="O2847" s="29"/>
      <c r="P2847" s="29" t="s">
        <v>10039</v>
      </c>
      <c r="Q2847" t="s">
        <v>2038</v>
      </c>
      <c r="R2847" t="s">
        <v>2632</v>
      </c>
      <c r="S2847">
        <v>37</v>
      </c>
      <c r="T2847" s="43" t="str">
        <f t="shared" si="127"/>
        <v>2021.008B.R.Benedictvirus.zip</v>
      </c>
      <c r="U2847" s="43" t="str">
        <f>HYPERLINK("https://ictv.global/taxonomy/taxondetails?taxnode_id=202213204","ictv.global=202213204")</f>
        <v>ictv.global=202213204</v>
      </c>
    </row>
    <row r="2848" spans="1:21">
      <c r="A2848">
        <v>2847</v>
      </c>
      <c r="B2848" s="29" t="s">
        <v>3682</v>
      </c>
      <c r="C2848" s="29"/>
      <c r="D2848" s="29" t="s">
        <v>3683</v>
      </c>
      <c r="E2848" s="29"/>
      <c r="F2848" s="29" t="s">
        <v>3686</v>
      </c>
      <c r="G2848" s="29"/>
      <c r="H2848" s="29" t="s">
        <v>3687</v>
      </c>
      <c r="I2848" s="29"/>
      <c r="J2848" s="29"/>
      <c r="K2848" s="29"/>
      <c r="L2848" s="29"/>
      <c r="M2848" s="29"/>
      <c r="N2848" s="29" t="s">
        <v>10029</v>
      </c>
      <c r="O2848" s="29"/>
      <c r="P2848" s="29" t="s">
        <v>10040</v>
      </c>
      <c r="Q2848" t="s">
        <v>2038</v>
      </c>
      <c r="R2848" t="s">
        <v>2632</v>
      </c>
      <c r="S2848">
        <v>37</v>
      </c>
      <c r="T2848" s="43" t="str">
        <f t="shared" si="127"/>
        <v>2021.008B.R.Benedictvirus.zip</v>
      </c>
      <c r="U2848" s="43" t="str">
        <f>HYPERLINK("https://ictv.global/taxonomy/taxondetails?taxnode_id=202213203","ictv.global=202213203")</f>
        <v>ictv.global=202213203</v>
      </c>
    </row>
    <row r="2849" spans="1:21">
      <c r="A2849">
        <v>2848</v>
      </c>
      <c r="B2849" s="29" t="s">
        <v>3682</v>
      </c>
      <c r="C2849" s="29"/>
      <c r="D2849" s="29" t="s">
        <v>3683</v>
      </c>
      <c r="E2849" s="29"/>
      <c r="F2849" s="29" t="s">
        <v>3686</v>
      </c>
      <c r="G2849" s="29"/>
      <c r="H2849" s="29" t="s">
        <v>3687</v>
      </c>
      <c r="I2849" s="29"/>
      <c r="J2849" s="29"/>
      <c r="K2849" s="29"/>
      <c r="L2849" s="29"/>
      <c r="M2849" s="29"/>
      <c r="N2849" s="29" t="s">
        <v>10029</v>
      </c>
      <c r="O2849" s="29"/>
      <c r="P2849" s="29" t="s">
        <v>10041</v>
      </c>
      <c r="Q2849" t="s">
        <v>2038</v>
      </c>
      <c r="R2849" t="s">
        <v>2633</v>
      </c>
      <c r="S2849">
        <v>37</v>
      </c>
      <c r="T2849" s="43" t="str">
        <f t="shared" si="127"/>
        <v>2021.008B.R.Benedictvirus.zip</v>
      </c>
      <c r="U2849" s="43" t="str">
        <f>HYPERLINK("https://ictv.global/taxonomy/taxondetails?taxnode_id=202201061","ictv.global=202201061")</f>
        <v>ictv.global=202201061</v>
      </c>
    </row>
    <row r="2850" spans="1:21">
      <c r="A2850">
        <v>2849</v>
      </c>
      <c r="B2850" s="29" t="s">
        <v>3682</v>
      </c>
      <c r="C2850" s="29"/>
      <c r="D2850" s="29" t="s">
        <v>3683</v>
      </c>
      <c r="E2850" s="29"/>
      <c r="F2850" s="29" t="s">
        <v>3686</v>
      </c>
      <c r="G2850" s="29"/>
      <c r="H2850" s="29" t="s">
        <v>3687</v>
      </c>
      <c r="I2850" s="29"/>
      <c r="J2850" s="29"/>
      <c r="K2850" s="29"/>
      <c r="L2850" s="29"/>
      <c r="M2850" s="29"/>
      <c r="N2850" s="29" t="s">
        <v>10029</v>
      </c>
      <c r="O2850" s="29"/>
      <c r="P2850" s="29" t="s">
        <v>10042</v>
      </c>
      <c r="Q2850" t="s">
        <v>2038</v>
      </c>
      <c r="R2850" t="s">
        <v>2632</v>
      </c>
      <c r="S2850">
        <v>37</v>
      </c>
      <c r="T2850" s="43" t="str">
        <f t="shared" si="127"/>
        <v>2021.008B.R.Benedictvirus.zip</v>
      </c>
      <c r="U2850" s="43" t="str">
        <f>HYPERLINK("https://ictv.global/taxonomy/taxondetails?taxnode_id=202213200","ictv.global=202213200")</f>
        <v>ictv.global=202213200</v>
      </c>
    </row>
    <row r="2851" spans="1:21">
      <c r="A2851">
        <v>2850</v>
      </c>
      <c r="B2851" s="29" t="s">
        <v>3682</v>
      </c>
      <c r="C2851" s="29"/>
      <c r="D2851" s="29" t="s">
        <v>3683</v>
      </c>
      <c r="E2851" s="29"/>
      <c r="F2851" s="29" t="s">
        <v>3686</v>
      </c>
      <c r="G2851" s="29"/>
      <c r="H2851" s="29" t="s">
        <v>3687</v>
      </c>
      <c r="I2851" s="29"/>
      <c r="J2851" s="29"/>
      <c r="K2851" s="29"/>
      <c r="L2851" s="29"/>
      <c r="M2851" s="29"/>
      <c r="N2851" s="29" t="s">
        <v>10029</v>
      </c>
      <c r="O2851" s="29"/>
      <c r="P2851" s="29" t="s">
        <v>10043</v>
      </c>
      <c r="Q2851" t="s">
        <v>2038</v>
      </c>
      <c r="R2851" t="s">
        <v>2632</v>
      </c>
      <c r="S2851">
        <v>37</v>
      </c>
      <c r="T2851" s="43" t="str">
        <f t="shared" si="127"/>
        <v>2021.008B.R.Benedictvirus.zip</v>
      </c>
      <c r="U2851" s="43" t="str">
        <f>HYPERLINK("https://ictv.global/taxonomy/taxondetails?taxnode_id=202213206","ictv.global=202213206")</f>
        <v>ictv.global=202213206</v>
      </c>
    </row>
    <row r="2852" spans="1:21">
      <c r="A2852">
        <v>2851</v>
      </c>
      <c r="B2852" s="29" t="s">
        <v>3682</v>
      </c>
      <c r="C2852" s="29"/>
      <c r="D2852" s="29" t="s">
        <v>3683</v>
      </c>
      <c r="E2852" s="29"/>
      <c r="F2852" s="29" t="s">
        <v>3686</v>
      </c>
      <c r="G2852" s="29"/>
      <c r="H2852" s="29" t="s">
        <v>3687</v>
      </c>
      <c r="I2852" s="29"/>
      <c r="J2852" s="29"/>
      <c r="K2852" s="29"/>
      <c r="L2852" s="29"/>
      <c r="M2852" s="29"/>
      <c r="N2852" s="29" t="s">
        <v>3507</v>
      </c>
      <c r="O2852" s="29"/>
      <c r="P2852" s="29" t="s">
        <v>10044</v>
      </c>
      <c r="Q2852" t="s">
        <v>2038</v>
      </c>
      <c r="R2852" t="s">
        <v>2633</v>
      </c>
      <c r="S2852">
        <v>37</v>
      </c>
      <c r="T2852" s="43" t="str">
        <f>HYPERLINK("https://ictv.global/ictv/proposals/2021.010B.R.Binomial_names.zip","2021.010B.R.Binomial_names.zip")</f>
        <v>2021.010B.R.Binomial_names.zip</v>
      </c>
      <c r="U2852" s="43" t="str">
        <f>HYPERLINK("https://ictv.global/taxonomy/taxondetails?taxnode_id=202200858","ictv.global=202200858")</f>
        <v>ictv.global=202200858</v>
      </c>
    </row>
    <row r="2853" spans="1:21">
      <c r="A2853">
        <v>2852</v>
      </c>
      <c r="B2853" s="29" t="s">
        <v>3682</v>
      </c>
      <c r="C2853" s="29"/>
      <c r="D2853" s="29" t="s">
        <v>3683</v>
      </c>
      <c r="E2853" s="29"/>
      <c r="F2853" s="29" t="s">
        <v>3686</v>
      </c>
      <c r="G2853" s="29"/>
      <c r="H2853" s="29" t="s">
        <v>3687</v>
      </c>
      <c r="I2853" s="29"/>
      <c r="J2853" s="29"/>
      <c r="K2853" s="29"/>
      <c r="L2853" s="29"/>
      <c r="M2853" s="29"/>
      <c r="N2853" s="29" t="s">
        <v>3507</v>
      </c>
      <c r="O2853" s="29"/>
      <c r="P2853" s="29" t="s">
        <v>10045</v>
      </c>
      <c r="Q2853" t="s">
        <v>2038</v>
      </c>
      <c r="R2853" t="s">
        <v>2632</v>
      </c>
      <c r="S2853">
        <v>37</v>
      </c>
      <c r="T2853" s="43" t="str">
        <f>HYPERLINK("https://ictv.global/ictv/proposals/2021.039B.R.Infilling.zip","2021.039B.R.Infilling.zip")</f>
        <v>2021.039B.R.Infilling.zip</v>
      </c>
      <c r="U2853" s="43" t="str">
        <f>HYPERLINK("https://ictv.global/taxonomy/taxondetails?taxnode_id=202212355","ictv.global=202212355")</f>
        <v>ictv.global=202212355</v>
      </c>
    </row>
    <row r="2854" spans="1:21">
      <c r="A2854">
        <v>2853</v>
      </c>
      <c r="B2854" s="29" t="s">
        <v>3682</v>
      </c>
      <c r="C2854" s="29"/>
      <c r="D2854" s="29" t="s">
        <v>3683</v>
      </c>
      <c r="E2854" s="29"/>
      <c r="F2854" s="29" t="s">
        <v>3686</v>
      </c>
      <c r="G2854" s="29"/>
      <c r="H2854" s="29" t="s">
        <v>3687</v>
      </c>
      <c r="I2854" s="29"/>
      <c r="J2854" s="29"/>
      <c r="K2854" s="29"/>
      <c r="L2854" s="29"/>
      <c r="M2854" s="29"/>
      <c r="N2854" s="29" t="s">
        <v>3508</v>
      </c>
      <c r="O2854" s="29"/>
      <c r="P2854" s="29" t="s">
        <v>10046</v>
      </c>
      <c r="Q2854" t="s">
        <v>2038</v>
      </c>
      <c r="R2854" t="s">
        <v>2633</v>
      </c>
      <c r="S2854">
        <v>37</v>
      </c>
      <c r="T2854" s="43" t="str">
        <f>HYPERLINK("https://ictv.global/ictv/proposals/2021.010B.R.Binomial_names.zip","2021.010B.R.Binomial_names.zip")</f>
        <v>2021.010B.R.Binomial_names.zip</v>
      </c>
      <c r="U2854" s="43" t="str">
        <f>HYPERLINK("https://ictv.global/taxonomy/taxondetails?taxnode_id=202206801","ictv.global=202206801")</f>
        <v>ictv.global=202206801</v>
      </c>
    </row>
    <row r="2855" spans="1:21">
      <c r="A2855">
        <v>2854</v>
      </c>
      <c r="B2855" s="29" t="s">
        <v>3682</v>
      </c>
      <c r="C2855" s="29"/>
      <c r="D2855" s="29" t="s">
        <v>3683</v>
      </c>
      <c r="E2855" s="29"/>
      <c r="F2855" s="29" t="s">
        <v>3686</v>
      </c>
      <c r="G2855" s="29"/>
      <c r="H2855" s="29" t="s">
        <v>3687</v>
      </c>
      <c r="I2855" s="29"/>
      <c r="J2855" s="29"/>
      <c r="K2855" s="29"/>
      <c r="L2855" s="29"/>
      <c r="M2855" s="29"/>
      <c r="N2855" s="29" t="s">
        <v>4711</v>
      </c>
      <c r="O2855" s="29"/>
      <c r="P2855" s="29" t="s">
        <v>10047</v>
      </c>
      <c r="Q2855" t="s">
        <v>2038</v>
      </c>
      <c r="R2855" t="s">
        <v>2633</v>
      </c>
      <c r="S2855">
        <v>37</v>
      </c>
      <c r="T2855" s="43" t="str">
        <f>HYPERLINK("https://ictv.global/ictv/proposals/2021.010B.R.Binomial_names.zip","2021.010B.R.Binomial_names.zip")</f>
        <v>2021.010B.R.Binomial_names.zip</v>
      </c>
      <c r="U2855" s="43" t="str">
        <f>HYPERLINK("https://ictv.global/taxonomy/taxondetails?taxnode_id=202209344","ictv.global=202209344")</f>
        <v>ictv.global=202209344</v>
      </c>
    </row>
    <row r="2856" spans="1:21">
      <c r="A2856">
        <v>2855</v>
      </c>
      <c r="B2856" s="29" t="s">
        <v>3682</v>
      </c>
      <c r="C2856" s="29"/>
      <c r="D2856" s="29" t="s">
        <v>3683</v>
      </c>
      <c r="E2856" s="29"/>
      <c r="F2856" s="29" t="s">
        <v>3686</v>
      </c>
      <c r="G2856" s="29"/>
      <c r="H2856" s="29" t="s">
        <v>3687</v>
      </c>
      <c r="I2856" s="29"/>
      <c r="J2856" s="29"/>
      <c r="K2856" s="29"/>
      <c r="L2856" s="29"/>
      <c r="M2856" s="29"/>
      <c r="N2856" s="29" t="s">
        <v>10048</v>
      </c>
      <c r="O2856" s="29"/>
      <c r="P2856" s="29" t="s">
        <v>10049</v>
      </c>
      <c r="Q2856" t="s">
        <v>2038</v>
      </c>
      <c r="R2856" t="s">
        <v>2632</v>
      </c>
      <c r="S2856">
        <v>38</v>
      </c>
      <c r="T2856" s="43" t="str">
        <f>HYPERLINK("https://ictv.global/ictv/proposals/2022.046B.Caudoviricetes_2ng.zip","2022.046B.Caudoviricetes_2ng.zip")</f>
        <v>2022.046B.Caudoviricetes_2ng.zip</v>
      </c>
      <c r="U2856" s="43" t="str">
        <f>HYPERLINK("https://ictv.global/taxonomy/taxondetails?taxnode_id=202214667","ictv.global=202214667")</f>
        <v>ictv.global=202214667</v>
      </c>
    </row>
    <row r="2857" spans="1:21">
      <c r="A2857">
        <v>2856</v>
      </c>
      <c r="B2857" s="29" t="s">
        <v>3682</v>
      </c>
      <c r="C2857" s="29"/>
      <c r="D2857" s="29" t="s">
        <v>3683</v>
      </c>
      <c r="E2857" s="29"/>
      <c r="F2857" s="29" t="s">
        <v>3686</v>
      </c>
      <c r="G2857" s="29"/>
      <c r="H2857" s="29" t="s">
        <v>3687</v>
      </c>
      <c r="I2857" s="29"/>
      <c r="J2857" s="29"/>
      <c r="K2857" s="29"/>
      <c r="L2857" s="29"/>
      <c r="M2857" s="29"/>
      <c r="N2857" s="29" t="s">
        <v>3509</v>
      </c>
      <c r="O2857" s="29"/>
      <c r="P2857" s="29" t="s">
        <v>10050</v>
      </c>
      <c r="Q2857" t="s">
        <v>2038</v>
      </c>
      <c r="R2857" t="s">
        <v>2633</v>
      </c>
      <c r="S2857">
        <v>37</v>
      </c>
      <c r="T2857" s="43" t="str">
        <f>HYPERLINK("https://ictv.global/ictv/proposals/2021.010B.R.Binomial_names.zip","2021.010B.R.Binomial_names.zip")</f>
        <v>2021.010B.R.Binomial_names.zip</v>
      </c>
      <c r="U2857" s="43" t="str">
        <f>HYPERLINK("https://ictv.global/taxonomy/taxondetails?taxnode_id=202206724","ictv.global=202206724")</f>
        <v>ictv.global=202206724</v>
      </c>
    </row>
    <row r="2858" spans="1:21">
      <c r="A2858">
        <v>2857</v>
      </c>
      <c r="B2858" s="29" t="s">
        <v>3682</v>
      </c>
      <c r="C2858" s="29"/>
      <c r="D2858" s="29" t="s">
        <v>3683</v>
      </c>
      <c r="E2858" s="29"/>
      <c r="F2858" s="29" t="s">
        <v>3686</v>
      </c>
      <c r="G2858" s="29"/>
      <c r="H2858" s="29" t="s">
        <v>3687</v>
      </c>
      <c r="I2858" s="29"/>
      <c r="J2858" s="29"/>
      <c r="K2858" s="29"/>
      <c r="L2858" s="29"/>
      <c r="M2858" s="29"/>
      <c r="N2858" s="29" t="s">
        <v>10051</v>
      </c>
      <c r="O2858" s="29"/>
      <c r="P2858" s="29" t="s">
        <v>10052</v>
      </c>
      <c r="Q2858" t="s">
        <v>2038</v>
      </c>
      <c r="R2858" t="s">
        <v>2632</v>
      </c>
      <c r="S2858">
        <v>37</v>
      </c>
      <c r="T2858" s="43" t="str">
        <f>HYPERLINK("https://ictv.global/ictv/proposals/2021.011B.R.Bippervirus.zip","2021.011B.R.Bippervirus.zip")</f>
        <v>2021.011B.R.Bippervirus.zip</v>
      </c>
      <c r="U2858" s="43" t="str">
        <f>HYPERLINK("https://ictv.global/taxonomy/taxondetails?taxnode_id=202212974","ictv.global=202212974")</f>
        <v>ictv.global=202212974</v>
      </c>
    </row>
    <row r="2859" spans="1:21">
      <c r="A2859">
        <v>2858</v>
      </c>
      <c r="B2859" s="29" t="s">
        <v>3682</v>
      </c>
      <c r="C2859" s="29"/>
      <c r="D2859" s="29" t="s">
        <v>3683</v>
      </c>
      <c r="E2859" s="29"/>
      <c r="F2859" s="29" t="s">
        <v>3686</v>
      </c>
      <c r="G2859" s="29"/>
      <c r="H2859" s="29" t="s">
        <v>3687</v>
      </c>
      <c r="I2859" s="29"/>
      <c r="J2859" s="29"/>
      <c r="K2859" s="29"/>
      <c r="L2859" s="29"/>
      <c r="M2859" s="29"/>
      <c r="N2859" s="29" t="s">
        <v>3463</v>
      </c>
      <c r="O2859" s="29"/>
      <c r="P2859" s="29" t="s">
        <v>10053</v>
      </c>
      <c r="Q2859" t="s">
        <v>2038</v>
      </c>
      <c r="R2859" t="s">
        <v>2633</v>
      </c>
      <c r="S2859">
        <v>37</v>
      </c>
      <c r="T2859" s="43" t="str">
        <f>HYPERLINK("https://ictv.global/ictv/proposals/2021.010B.R.Binomial_names.zip","2021.010B.R.Binomial_names.zip")</f>
        <v>2021.010B.R.Binomial_names.zip</v>
      </c>
      <c r="U2859" s="43" t="str">
        <f>HYPERLINK("https://ictv.global/taxonomy/taxondetails?taxnode_id=202206806","ictv.global=202206806")</f>
        <v>ictv.global=202206806</v>
      </c>
    </row>
    <row r="2860" spans="1:21">
      <c r="A2860">
        <v>2859</v>
      </c>
      <c r="B2860" s="29" t="s">
        <v>3682</v>
      </c>
      <c r="C2860" s="29"/>
      <c r="D2860" s="29" t="s">
        <v>3683</v>
      </c>
      <c r="E2860" s="29"/>
      <c r="F2860" s="29" t="s">
        <v>3686</v>
      </c>
      <c r="G2860" s="29"/>
      <c r="H2860" s="29" t="s">
        <v>3687</v>
      </c>
      <c r="I2860" s="29"/>
      <c r="J2860" s="29"/>
      <c r="K2860" s="29"/>
      <c r="L2860" s="29"/>
      <c r="M2860" s="29"/>
      <c r="N2860" s="29" t="s">
        <v>10054</v>
      </c>
      <c r="O2860" s="29"/>
      <c r="P2860" s="29" t="s">
        <v>10055</v>
      </c>
      <c r="Q2860" t="s">
        <v>2038</v>
      </c>
      <c r="R2860" t="s">
        <v>2632</v>
      </c>
      <c r="S2860">
        <v>38</v>
      </c>
      <c r="T2860" s="43" t="str">
        <f>HYPERLINK("https://ictv.global/ictv/proposals/2022.013B.Bocovirus_ng.zip","2022.013B.Bocovirus_ng.zip")</f>
        <v>2022.013B.Bocovirus_ng.zip</v>
      </c>
      <c r="U2860" s="43" t="str">
        <f>HYPERLINK("https://ictv.global/taxonomy/taxondetails?taxnode_id=202214523","ictv.global=202214523")</f>
        <v>ictv.global=202214523</v>
      </c>
    </row>
    <row r="2861" spans="1:21">
      <c r="A2861">
        <v>2860</v>
      </c>
      <c r="B2861" s="29" t="s">
        <v>3682</v>
      </c>
      <c r="C2861" s="29"/>
      <c r="D2861" s="29" t="s">
        <v>3683</v>
      </c>
      <c r="E2861" s="29"/>
      <c r="F2861" s="29" t="s">
        <v>3686</v>
      </c>
      <c r="G2861" s="29"/>
      <c r="H2861" s="29" t="s">
        <v>3687</v>
      </c>
      <c r="I2861" s="29"/>
      <c r="J2861" s="29"/>
      <c r="K2861" s="29"/>
      <c r="L2861" s="29"/>
      <c r="M2861" s="29"/>
      <c r="N2861" s="29" t="s">
        <v>4554</v>
      </c>
      <c r="O2861" s="29"/>
      <c r="P2861" s="29" t="s">
        <v>10056</v>
      </c>
      <c r="Q2861" t="s">
        <v>2038</v>
      </c>
      <c r="R2861" t="s">
        <v>2633</v>
      </c>
      <c r="S2861">
        <v>37</v>
      </c>
      <c r="T2861" s="43" t="str">
        <f>HYPERLINK("https://ictv.global/ictv/proposals/2021.010B.R.Binomial_names.zip","2021.010B.R.Binomial_names.zip")</f>
        <v>2021.010B.R.Binomial_names.zip</v>
      </c>
      <c r="U2861" s="43" t="str">
        <f>HYPERLINK("https://ictv.global/taxonomy/taxondetails?taxnode_id=202209662","ictv.global=202209662")</f>
        <v>ictv.global=202209662</v>
      </c>
    </row>
    <row r="2862" spans="1:21">
      <c r="A2862">
        <v>2861</v>
      </c>
      <c r="B2862" s="29" t="s">
        <v>3682</v>
      </c>
      <c r="C2862" s="29"/>
      <c r="D2862" s="29" t="s">
        <v>3683</v>
      </c>
      <c r="E2862" s="29"/>
      <c r="F2862" s="29" t="s">
        <v>3686</v>
      </c>
      <c r="G2862" s="29"/>
      <c r="H2862" s="29" t="s">
        <v>3687</v>
      </c>
      <c r="I2862" s="29"/>
      <c r="J2862" s="29"/>
      <c r="K2862" s="29"/>
      <c r="L2862" s="29"/>
      <c r="M2862" s="29"/>
      <c r="N2862" s="29" t="s">
        <v>3510</v>
      </c>
      <c r="O2862" s="29"/>
      <c r="P2862" s="29" t="s">
        <v>10057</v>
      </c>
      <c r="Q2862" t="s">
        <v>2038</v>
      </c>
      <c r="R2862" t="s">
        <v>2633</v>
      </c>
      <c r="S2862">
        <v>37</v>
      </c>
      <c r="T2862" s="43" t="str">
        <f>HYPERLINK("https://ictv.global/ictv/proposals/2021.010B.R.Binomial_names.zip","2021.010B.R.Binomial_names.zip")</f>
        <v>2021.010B.R.Binomial_names.zip</v>
      </c>
      <c r="U2862" s="43" t="str">
        <f>HYPERLINK("https://ictv.global/taxonomy/taxondetails?taxnode_id=202206620","ictv.global=202206620")</f>
        <v>ictv.global=202206620</v>
      </c>
    </row>
    <row r="2863" spans="1:21">
      <c r="A2863">
        <v>2862</v>
      </c>
      <c r="B2863" s="29" t="s">
        <v>3682</v>
      </c>
      <c r="C2863" s="29"/>
      <c r="D2863" s="29" t="s">
        <v>3683</v>
      </c>
      <c r="E2863" s="29"/>
      <c r="F2863" s="29" t="s">
        <v>3686</v>
      </c>
      <c r="G2863" s="29"/>
      <c r="H2863" s="29" t="s">
        <v>3687</v>
      </c>
      <c r="I2863" s="29"/>
      <c r="J2863" s="29"/>
      <c r="K2863" s="29"/>
      <c r="L2863" s="29"/>
      <c r="M2863" s="29"/>
      <c r="N2863" s="29" t="s">
        <v>10058</v>
      </c>
      <c r="O2863" s="29"/>
      <c r="P2863" s="29" t="s">
        <v>10059</v>
      </c>
      <c r="Q2863" t="s">
        <v>2038</v>
      </c>
      <c r="R2863" t="s">
        <v>2632</v>
      </c>
      <c r="S2863">
        <v>38</v>
      </c>
      <c r="T2863" s="43" t="str">
        <f>HYPERLINK("https://ictv.global/ictv/proposals/2022.014B.Branisovskavirus_ng.zip","2022.014B.Branisovskavirus_ng.zip")</f>
        <v>2022.014B.Branisovskavirus_ng.zip</v>
      </c>
      <c r="U2863" s="43" t="str">
        <f>HYPERLINK("https://ictv.global/taxonomy/taxondetails?taxnode_id=202214525","ictv.global=202214525")</f>
        <v>ictv.global=202214525</v>
      </c>
    </row>
    <row r="2864" spans="1:21">
      <c r="A2864">
        <v>2863</v>
      </c>
      <c r="B2864" s="29" t="s">
        <v>3682</v>
      </c>
      <c r="C2864" s="29"/>
      <c r="D2864" s="29" t="s">
        <v>3683</v>
      </c>
      <c r="E2864" s="29"/>
      <c r="F2864" s="29" t="s">
        <v>3686</v>
      </c>
      <c r="G2864" s="29"/>
      <c r="H2864" s="29" t="s">
        <v>3687</v>
      </c>
      <c r="I2864" s="29"/>
      <c r="J2864" s="29"/>
      <c r="K2864" s="29"/>
      <c r="L2864" s="29"/>
      <c r="M2864" s="29"/>
      <c r="N2864" s="29" t="s">
        <v>3988</v>
      </c>
      <c r="O2864" s="29"/>
      <c r="P2864" s="29" t="s">
        <v>10060</v>
      </c>
      <c r="Q2864" t="s">
        <v>2038</v>
      </c>
      <c r="R2864" t="s">
        <v>2633</v>
      </c>
      <c r="S2864">
        <v>37</v>
      </c>
      <c r="T2864" s="43" t="str">
        <f t="shared" ref="T2864:T2878" si="128">HYPERLINK("https://ictv.global/ictv/proposals/2021.010B.R.Binomial_names.zip","2021.010B.R.Binomial_names.zip")</f>
        <v>2021.010B.R.Binomial_names.zip</v>
      </c>
      <c r="U2864" s="43" t="str">
        <f>HYPERLINK("https://ictv.global/taxonomy/taxondetails?taxnode_id=202207136","ictv.global=202207136")</f>
        <v>ictv.global=202207136</v>
      </c>
    </row>
    <row r="2865" spans="1:21">
      <c r="A2865">
        <v>2864</v>
      </c>
      <c r="B2865" s="29" t="s">
        <v>3682</v>
      </c>
      <c r="C2865" s="29"/>
      <c r="D2865" s="29" t="s">
        <v>3683</v>
      </c>
      <c r="E2865" s="29"/>
      <c r="F2865" s="29" t="s">
        <v>3686</v>
      </c>
      <c r="G2865" s="29"/>
      <c r="H2865" s="29" t="s">
        <v>3687</v>
      </c>
      <c r="I2865" s="29"/>
      <c r="J2865" s="29"/>
      <c r="K2865" s="29"/>
      <c r="L2865" s="29"/>
      <c r="M2865" s="29"/>
      <c r="N2865" s="29" t="s">
        <v>3988</v>
      </c>
      <c r="O2865" s="29"/>
      <c r="P2865" s="29" t="s">
        <v>10061</v>
      </c>
      <c r="Q2865" t="s">
        <v>2038</v>
      </c>
      <c r="R2865" t="s">
        <v>2633</v>
      </c>
      <c r="S2865">
        <v>37</v>
      </c>
      <c r="T2865" s="43" t="str">
        <f t="shared" si="128"/>
        <v>2021.010B.R.Binomial_names.zip</v>
      </c>
      <c r="U2865" s="43" t="str">
        <f>HYPERLINK("https://ictv.global/taxonomy/taxondetails?taxnode_id=202207138","ictv.global=202207138")</f>
        <v>ictv.global=202207138</v>
      </c>
    </row>
    <row r="2866" spans="1:21">
      <c r="A2866">
        <v>2865</v>
      </c>
      <c r="B2866" s="29" t="s">
        <v>3682</v>
      </c>
      <c r="C2866" s="29"/>
      <c r="D2866" s="29" t="s">
        <v>3683</v>
      </c>
      <c r="E2866" s="29"/>
      <c r="F2866" s="29" t="s">
        <v>3686</v>
      </c>
      <c r="G2866" s="29"/>
      <c r="H2866" s="29" t="s">
        <v>3687</v>
      </c>
      <c r="I2866" s="29"/>
      <c r="J2866" s="29"/>
      <c r="K2866" s="29"/>
      <c r="L2866" s="29"/>
      <c r="M2866" s="29"/>
      <c r="N2866" s="29" t="s">
        <v>3988</v>
      </c>
      <c r="O2866" s="29"/>
      <c r="P2866" s="29" t="s">
        <v>10062</v>
      </c>
      <c r="Q2866" t="s">
        <v>2038</v>
      </c>
      <c r="R2866" t="s">
        <v>2633</v>
      </c>
      <c r="S2866">
        <v>37</v>
      </c>
      <c r="T2866" s="43" t="str">
        <f t="shared" si="128"/>
        <v>2021.010B.R.Binomial_names.zip</v>
      </c>
      <c r="U2866" s="43" t="str">
        <f>HYPERLINK("https://ictv.global/taxonomy/taxondetails?taxnode_id=202207140","ictv.global=202207140")</f>
        <v>ictv.global=202207140</v>
      </c>
    </row>
    <row r="2867" spans="1:21">
      <c r="A2867">
        <v>2866</v>
      </c>
      <c r="B2867" s="29" t="s">
        <v>3682</v>
      </c>
      <c r="C2867" s="29"/>
      <c r="D2867" s="29" t="s">
        <v>3683</v>
      </c>
      <c r="E2867" s="29"/>
      <c r="F2867" s="29" t="s">
        <v>3686</v>
      </c>
      <c r="G2867" s="29"/>
      <c r="H2867" s="29" t="s">
        <v>3687</v>
      </c>
      <c r="I2867" s="29"/>
      <c r="J2867" s="29"/>
      <c r="K2867" s="29"/>
      <c r="L2867" s="29"/>
      <c r="M2867" s="29"/>
      <c r="N2867" s="29" t="s">
        <v>3988</v>
      </c>
      <c r="O2867" s="29"/>
      <c r="P2867" s="29" t="s">
        <v>10063</v>
      </c>
      <c r="Q2867" t="s">
        <v>2038</v>
      </c>
      <c r="R2867" t="s">
        <v>2633</v>
      </c>
      <c r="S2867">
        <v>37</v>
      </c>
      <c r="T2867" s="43" t="str">
        <f t="shared" si="128"/>
        <v>2021.010B.R.Binomial_names.zip</v>
      </c>
      <c r="U2867" s="43" t="str">
        <f>HYPERLINK("https://ictv.global/taxonomy/taxondetails?taxnode_id=202207137","ictv.global=202207137")</f>
        <v>ictv.global=202207137</v>
      </c>
    </row>
    <row r="2868" spans="1:21">
      <c r="A2868">
        <v>2867</v>
      </c>
      <c r="B2868" s="29" t="s">
        <v>3682</v>
      </c>
      <c r="C2868" s="29"/>
      <c r="D2868" s="29" t="s">
        <v>3683</v>
      </c>
      <c r="E2868" s="29"/>
      <c r="F2868" s="29" t="s">
        <v>3686</v>
      </c>
      <c r="G2868" s="29"/>
      <c r="H2868" s="29" t="s">
        <v>3687</v>
      </c>
      <c r="I2868" s="29"/>
      <c r="J2868" s="29"/>
      <c r="K2868" s="29"/>
      <c r="L2868" s="29"/>
      <c r="M2868" s="29"/>
      <c r="N2868" s="29" t="s">
        <v>3988</v>
      </c>
      <c r="O2868" s="29"/>
      <c r="P2868" s="29" t="s">
        <v>10064</v>
      </c>
      <c r="Q2868" t="s">
        <v>2038</v>
      </c>
      <c r="R2868" t="s">
        <v>2633</v>
      </c>
      <c r="S2868">
        <v>37</v>
      </c>
      <c r="T2868" s="43" t="str">
        <f t="shared" si="128"/>
        <v>2021.010B.R.Binomial_names.zip</v>
      </c>
      <c r="U2868" s="43" t="str">
        <f>HYPERLINK("https://ictv.global/taxonomy/taxondetails?taxnode_id=202207139","ictv.global=202207139")</f>
        <v>ictv.global=202207139</v>
      </c>
    </row>
    <row r="2869" spans="1:21">
      <c r="A2869">
        <v>2868</v>
      </c>
      <c r="B2869" s="29" t="s">
        <v>3682</v>
      </c>
      <c r="C2869" s="29"/>
      <c r="D2869" s="29" t="s">
        <v>3683</v>
      </c>
      <c r="E2869" s="29"/>
      <c r="F2869" s="29" t="s">
        <v>3686</v>
      </c>
      <c r="G2869" s="29"/>
      <c r="H2869" s="29" t="s">
        <v>3687</v>
      </c>
      <c r="I2869" s="29"/>
      <c r="J2869" s="29"/>
      <c r="K2869" s="29"/>
      <c r="L2869" s="29"/>
      <c r="M2869" s="29"/>
      <c r="N2869" s="29" t="s">
        <v>3906</v>
      </c>
      <c r="O2869" s="29"/>
      <c r="P2869" s="29" t="s">
        <v>10065</v>
      </c>
      <c r="Q2869" t="s">
        <v>2038</v>
      </c>
      <c r="R2869" t="s">
        <v>2633</v>
      </c>
      <c r="S2869">
        <v>37</v>
      </c>
      <c r="T2869" s="43" t="str">
        <f t="shared" si="128"/>
        <v>2021.010B.R.Binomial_names.zip</v>
      </c>
      <c r="U2869" s="43" t="str">
        <f>HYPERLINK("https://ictv.global/taxonomy/taxondetails?taxnode_id=202208052","ictv.global=202208052")</f>
        <v>ictv.global=202208052</v>
      </c>
    </row>
    <row r="2870" spans="1:21">
      <c r="A2870">
        <v>2869</v>
      </c>
      <c r="B2870" s="29" t="s">
        <v>3682</v>
      </c>
      <c r="C2870" s="29"/>
      <c r="D2870" s="29" t="s">
        <v>3683</v>
      </c>
      <c r="E2870" s="29"/>
      <c r="F2870" s="29" t="s">
        <v>3686</v>
      </c>
      <c r="G2870" s="29"/>
      <c r="H2870" s="29" t="s">
        <v>3687</v>
      </c>
      <c r="I2870" s="29"/>
      <c r="J2870" s="29"/>
      <c r="K2870" s="29"/>
      <c r="L2870" s="29"/>
      <c r="M2870" s="29"/>
      <c r="N2870" s="29" t="s">
        <v>3511</v>
      </c>
      <c r="O2870" s="29"/>
      <c r="P2870" s="29" t="s">
        <v>10066</v>
      </c>
      <c r="Q2870" t="s">
        <v>2038</v>
      </c>
      <c r="R2870" t="s">
        <v>2633</v>
      </c>
      <c r="S2870">
        <v>37</v>
      </c>
      <c r="T2870" s="43" t="str">
        <f t="shared" si="128"/>
        <v>2021.010B.R.Binomial_names.zip</v>
      </c>
      <c r="U2870" s="43" t="str">
        <f>HYPERLINK("https://ictv.global/taxonomy/taxondetails?taxnode_id=202206808","ictv.global=202206808")</f>
        <v>ictv.global=202206808</v>
      </c>
    </row>
    <row r="2871" spans="1:21">
      <c r="A2871">
        <v>2870</v>
      </c>
      <c r="B2871" s="29" t="s">
        <v>3682</v>
      </c>
      <c r="C2871" s="29"/>
      <c r="D2871" s="29" t="s">
        <v>3683</v>
      </c>
      <c r="E2871" s="29"/>
      <c r="F2871" s="29" t="s">
        <v>3686</v>
      </c>
      <c r="G2871" s="29"/>
      <c r="H2871" s="29" t="s">
        <v>3687</v>
      </c>
      <c r="I2871" s="29"/>
      <c r="J2871" s="29"/>
      <c r="K2871" s="29"/>
      <c r="L2871" s="29"/>
      <c r="M2871" s="29"/>
      <c r="N2871" s="29" t="s">
        <v>3399</v>
      </c>
      <c r="O2871" s="29"/>
      <c r="P2871" s="29" t="s">
        <v>10067</v>
      </c>
      <c r="Q2871" t="s">
        <v>2038</v>
      </c>
      <c r="R2871" t="s">
        <v>2633</v>
      </c>
      <c r="S2871">
        <v>37</v>
      </c>
      <c r="T2871" s="43" t="str">
        <f t="shared" si="128"/>
        <v>2021.010B.R.Binomial_names.zip</v>
      </c>
      <c r="U2871" s="43" t="str">
        <f>HYPERLINK("https://ictv.global/taxonomy/taxondetails?taxnode_id=202206810","ictv.global=202206810")</f>
        <v>ictv.global=202206810</v>
      </c>
    </row>
    <row r="2872" spans="1:21">
      <c r="A2872">
        <v>2871</v>
      </c>
      <c r="B2872" s="29" t="s">
        <v>3682</v>
      </c>
      <c r="C2872" s="29"/>
      <c r="D2872" s="29" t="s">
        <v>3683</v>
      </c>
      <c r="E2872" s="29"/>
      <c r="F2872" s="29" t="s">
        <v>3686</v>
      </c>
      <c r="G2872" s="29"/>
      <c r="H2872" s="29" t="s">
        <v>3687</v>
      </c>
      <c r="I2872" s="29"/>
      <c r="J2872" s="29"/>
      <c r="K2872" s="29"/>
      <c r="L2872" s="29"/>
      <c r="M2872" s="29"/>
      <c r="N2872" s="29" t="s">
        <v>3464</v>
      </c>
      <c r="O2872" s="29"/>
      <c r="P2872" s="29" t="s">
        <v>10068</v>
      </c>
      <c r="Q2872" t="s">
        <v>2038</v>
      </c>
      <c r="R2872" t="s">
        <v>2633</v>
      </c>
      <c r="S2872">
        <v>37</v>
      </c>
      <c r="T2872" s="43" t="str">
        <f t="shared" si="128"/>
        <v>2021.010B.R.Binomial_names.zip</v>
      </c>
      <c r="U2872" s="43" t="str">
        <f>HYPERLINK("https://ictv.global/taxonomy/taxondetails?taxnode_id=202200661","ictv.global=202200661")</f>
        <v>ictv.global=202200661</v>
      </c>
    </row>
    <row r="2873" spans="1:21">
      <c r="A2873">
        <v>2872</v>
      </c>
      <c r="B2873" s="29" t="s">
        <v>3682</v>
      </c>
      <c r="C2873" s="29"/>
      <c r="D2873" s="29" t="s">
        <v>3683</v>
      </c>
      <c r="E2873" s="29"/>
      <c r="F2873" s="29" t="s">
        <v>3686</v>
      </c>
      <c r="G2873" s="29"/>
      <c r="H2873" s="29" t="s">
        <v>3687</v>
      </c>
      <c r="I2873" s="29"/>
      <c r="J2873" s="29"/>
      <c r="K2873" s="29"/>
      <c r="L2873" s="29"/>
      <c r="M2873" s="29"/>
      <c r="N2873" s="29" t="s">
        <v>3464</v>
      </c>
      <c r="O2873" s="29"/>
      <c r="P2873" s="29" t="s">
        <v>10069</v>
      </c>
      <c r="Q2873" t="s">
        <v>2038</v>
      </c>
      <c r="R2873" t="s">
        <v>2633</v>
      </c>
      <c r="S2873">
        <v>37</v>
      </c>
      <c r="T2873" s="43" t="str">
        <f t="shared" si="128"/>
        <v>2021.010B.R.Binomial_names.zip</v>
      </c>
      <c r="U2873" s="43" t="str">
        <f>HYPERLINK("https://ictv.global/taxonomy/taxondetails?taxnode_id=202200662","ictv.global=202200662")</f>
        <v>ictv.global=202200662</v>
      </c>
    </row>
    <row r="2874" spans="1:21">
      <c r="A2874">
        <v>2873</v>
      </c>
      <c r="B2874" s="29" t="s">
        <v>3682</v>
      </c>
      <c r="C2874" s="29"/>
      <c r="D2874" s="29" t="s">
        <v>3683</v>
      </c>
      <c r="E2874" s="29"/>
      <c r="F2874" s="29" t="s">
        <v>3686</v>
      </c>
      <c r="G2874" s="29"/>
      <c r="H2874" s="29" t="s">
        <v>3687</v>
      </c>
      <c r="I2874" s="29"/>
      <c r="J2874" s="29"/>
      <c r="K2874" s="29"/>
      <c r="L2874" s="29"/>
      <c r="M2874" s="29"/>
      <c r="N2874" s="29" t="s">
        <v>3464</v>
      </c>
      <c r="O2874" s="29"/>
      <c r="P2874" s="29" t="s">
        <v>10070</v>
      </c>
      <c r="Q2874" t="s">
        <v>2038</v>
      </c>
      <c r="R2874" t="s">
        <v>2633</v>
      </c>
      <c r="S2874">
        <v>37</v>
      </c>
      <c r="T2874" s="43" t="str">
        <f t="shared" si="128"/>
        <v>2021.010B.R.Binomial_names.zip</v>
      </c>
      <c r="U2874" s="43" t="str">
        <f>HYPERLINK("https://ictv.global/taxonomy/taxondetails?taxnode_id=202200663","ictv.global=202200663")</f>
        <v>ictv.global=202200663</v>
      </c>
    </row>
    <row r="2875" spans="1:21">
      <c r="A2875">
        <v>2874</v>
      </c>
      <c r="B2875" s="29" t="s">
        <v>3682</v>
      </c>
      <c r="C2875" s="29"/>
      <c r="D2875" s="29" t="s">
        <v>3683</v>
      </c>
      <c r="E2875" s="29"/>
      <c r="F2875" s="29" t="s">
        <v>3686</v>
      </c>
      <c r="G2875" s="29"/>
      <c r="H2875" s="29" t="s">
        <v>3687</v>
      </c>
      <c r="I2875" s="29"/>
      <c r="J2875" s="29"/>
      <c r="K2875" s="29"/>
      <c r="L2875" s="29"/>
      <c r="M2875" s="29"/>
      <c r="N2875" s="29" t="s">
        <v>3464</v>
      </c>
      <c r="O2875" s="29"/>
      <c r="P2875" s="29" t="s">
        <v>10071</v>
      </c>
      <c r="Q2875" t="s">
        <v>2038</v>
      </c>
      <c r="R2875" t="s">
        <v>2633</v>
      </c>
      <c r="S2875">
        <v>37</v>
      </c>
      <c r="T2875" s="43" t="str">
        <f t="shared" si="128"/>
        <v>2021.010B.R.Binomial_names.zip</v>
      </c>
      <c r="U2875" s="43" t="str">
        <f>HYPERLINK("https://ictv.global/taxonomy/taxondetails?taxnode_id=202200664","ictv.global=202200664")</f>
        <v>ictv.global=202200664</v>
      </c>
    </row>
    <row r="2876" spans="1:21">
      <c r="A2876">
        <v>2875</v>
      </c>
      <c r="B2876" s="29" t="s">
        <v>3682</v>
      </c>
      <c r="C2876" s="29"/>
      <c r="D2876" s="29" t="s">
        <v>3683</v>
      </c>
      <c r="E2876" s="29"/>
      <c r="F2876" s="29" t="s">
        <v>3686</v>
      </c>
      <c r="G2876" s="29"/>
      <c r="H2876" s="29" t="s">
        <v>3687</v>
      </c>
      <c r="I2876" s="29"/>
      <c r="J2876" s="29"/>
      <c r="K2876" s="29"/>
      <c r="L2876" s="29"/>
      <c r="M2876" s="29"/>
      <c r="N2876" s="29" t="s">
        <v>3464</v>
      </c>
      <c r="O2876" s="29"/>
      <c r="P2876" s="29" t="s">
        <v>10072</v>
      </c>
      <c r="Q2876" t="s">
        <v>2038</v>
      </c>
      <c r="R2876" t="s">
        <v>2633</v>
      </c>
      <c r="S2876">
        <v>37</v>
      </c>
      <c r="T2876" s="43" t="str">
        <f t="shared" si="128"/>
        <v>2021.010B.R.Binomial_names.zip</v>
      </c>
      <c r="U2876" s="43" t="str">
        <f>HYPERLINK("https://ictv.global/taxonomy/taxondetails?taxnode_id=202200665","ictv.global=202200665")</f>
        <v>ictv.global=202200665</v>
      </c>
    </row>
    <row r="2877" spans="1:21">
      <c r="A2877">
        <v>2876</v>
      </c>
      <c r="B2877" s="29" t="s">
        <v>3682</v>
      </c>
      <c r="C2877" s="29"/>
      <c r="D2877" s="29" t="s">
        <v>3683</v>
      </c>
      <c r="E2877" s="29"/>
      <c r="F2877" s="29" t="s">
        <v>3686</v>
      </c>
      <c r="G2877" s="29"/>
      <c r="H2877" s="29" t="s">
        <v>3687</v>
      </c>
      <c r="I2877" s="29"/>
      <c r="J2877" s="29"/>
      <c r="K2877" s="29"/>
      <c r="L2877" s="29"/>
      <c r="M2877" s="29"/>
      <c r="N2877" s="29" t="s">
        <v>3464</v>
      </c>
      <c r="O2877" s="29"/>
      <c r="P2877" s="29" t="s">
        <v>10073</v>
      </c>
      <c r="Q2877" t="s">
        <v>2038</v>
      </c>
      <c r="R2877" t="s">
        <v>2633</v>
      </c>
      <c r="S2877">
        <v>37</v>
      </c>
      <c r="T2877" s="43" t="str">
        <f t="shared" si="128"/>
        <v>2021.010B.R.Binomial_names.zip</v>
      </c>
      <c r="U2877" s="43" t="str">
        <f>HYPERLINK("https://ictv.global/taxonomy/taxondetails?taxnode_id=202200666","ictv.global=202200666")</f>
        <v>ictv.global=202200666</v>
      </c>
    </row>
    <row r="2878" spans="1:21">
      <c r="A2878">
        <v>2877</v>
      </c>
      <c r="B2878" s="29" t="s">
        <v>3682</v>
      </c>
      <c r="C2878" s="29"/>
      <c r="D2878" s="29" t="s">
        <v>3683</v>
      </c>
      <c r="E2878" s="29"/>
      <c r="F2878" s="29" t="s">
        <v>3686</v>
      </c>
      <c r="G2878" s="29"/>
      <c r="H2878" s="29" t="s">
        <v>3687</v>
      </c>
      <c r="I2878" s="29"/>
      <c r="J2878" s="29"/>
      <c r="K2878" s="29"/>
      <c r="L2878" s="29"/>
      <c r="M2878" s="29"/>
      <c r="N2878" s="29" t="s">
        <v>3464</v>
      </c>
      <c r="O2878" s="29"/>
      <c r="P2878" s="29" t="s">
        <v>10074</v>
      </c>
      <c r="Q2878" t="s">
        <v>2038</v>
      </c>
      <c r="R2878" t="s">
        <v>2633</v>
      </c>
      <c r="S2878">
        <v>37</v>
      </c>
      <c r="T2878" s="43" t="str">
        <f t="shared" si="128"/>
        <v>2021.010B.R.Binomial_names.zip</v>
      </c>
      <c r="U2878" s="43" t="str">
        <f>HYPERLINK("https://ictv.global/taxonomy/taxondetails?taxnode_id=202200667","ictv.global=202200667")</f>
        <v>ictv.global=202200667</v>
      </c>
    </row>
    <row r="2879" spans="1:21">
      <c r="A2879">
        <v>2878</v>
      </c>
      <c r="B2879" s="29" t="s">
        <v>3682</v>
      </c>
      <c r="C2879" s="29"/>
      <c r="D2879" s="29" t="s">
        <v>3683</v>
      </c>
      <c r="E2879" s="29"/>
      <c r="F2879" s="29" t="s">
        <v>3686</v>
      </c>
      <c r="G2879" s="29"/>
      <c r="H2879" s="29" t="s">
        <v>3687</v>
      </c>
      <c r="I2879" s="29"/>
      <c r="J2879" s="29"/>
      <c r="K2879" s="29"/>
      <c r="L2879" s="29"/>
      <c r="M2879" s="29"/>
      <c r="N2879" s="29" t="s">
        <v>10075</v>
      </c>
      <c r="O2879" s="29"/>
      <c r="P2879" s="29" t="s">
        <v>10076</v>
      </c>
      <c r="Q2879" t="s">
        <v>2038</v>
      </c>
      <c r="R2879" t="s">
        <v>2632</v>
      </c>
      <c r="S2879">
        <v>37</v>
      </c>
      <c r="T2879" s="43" t="str">
        <f>HYPERLINK("https://ictv.global/ictv/proposals/2021.078B.R.Siphoviridae_new_genera.zip","2021.078B.R.Siphoviridae_new_genera.zip")</f>
        <v>2021.078B.R.Siphoviridae_new_genera.zip</v>
      </c>
      <c r="U2879" s="43" t="str">
        <f>HYPERLINK("https://ictv.global/taxonomy/taxondetails?taxnode_id=202213618","ictv.global=202213618")</f>
        <v>ictv.global=202213618</v>
      </c>
    </row>
    <row r="2880" spans="1:21">
      <c r="A2880">
        <v>2879</v>
      </c>
      <c r="B2880" s="29" t="s">
        <v>3682</v>
      </c>
      <c r="C2880" s="29"/>
      <c r="D2880" s="29" t="s">
        <v>3683</v>
      </c>
      <c r="E2880" s="29"/>
      <c r="F2880" s="29" t="s">
        <v>3686</v>
      </c>
      <c r="G2880" s="29"/>
      <c r="H2880" s="29" t="s">
        <v>3687</v>
      </c>
      <c r="I2880" s="29"/>
      <c r="J2880" s="29"/>
      <c r="K2880" s="29"/>
      <c r="L2880" s="29"/>
      <c r="M2880" s="29"/>
      <c r="N2880" s="29" t="s">
        <v>4598</v>
      </c>
      <c r="O2880" s="29"/>
      <c r="P2880" s="29" t="s">
        <v>10077</v>
      </c>
      <c r="Q2880" t="s">
        <v>2038</v>
      </c>
      <c r="R2880" t="s">
        <v>2633</v>
      </c>
      <c r="S2880">
        <v>37</v>
      </c>
      <c r="T2880" s="43" t="str">
        <f>HYPERLINK("https://ictv.global/ictv/proposals/2021.010B.R.Binomial_names.zip","2021.010B.R.Binomial_names.zip")</f>
        <v>2021.010B.R.Binomial_names.zip</v>
      </c>
      <c r="U2880" s="43" t="str">
        <f>HYPERLINK("https://ictv.global/taxonomy/taxondetails?taxnode_id=202209707","ictv.global=202209707")</f>
        <v>ictv.global=202209707</v>
      </c>
    </row>
    <row r="2881" spans="1:21">
      <c r="A2881">
        <v>2880</v>
      </c>
      <c r="B2881" s="29" t="s">
        <v>3682</v>
      </c>
      <c r="C2881" s="29"/>
      <c r="D2881" s="29" t="s">
        <v>3683</v>
      </c>
      <c r="E2881" s="29"/>
      <c r="F2881" s="29" t="s">
        <v>3686</v>
      </c>
      <c r="G2881" s="29"/>
      <c r="H2881" s="29" t="s">
        <v>3687</v>
      </c>
      <c r="I2881" s="29"/>
      <c r="J2881" s="29"/>
      <c r="K2881" s="29"/>
      <c r="L2881" s="29"/>
      <c r="M2881" s="29"/>
      <c r="N2881" s="29" t="s">
        <v>4598</v>
      </c>
      <c r="O2881" s="29"/>
      <c r="P2881" s="29" t="s">
        <v>10078</v>
      </c>
      <c r="Q2881" t="s">
        <v>2038</v>
      </c>
      <c r="R2881" t="s">
        <v>2633</v>
      </c>
      <c r="S2881">
        <v>37</v>
      </c>
      <c r="T2881" s="43" t="str">
        <f>HYPERLINK("https://ictv.global/ictv/proposals/2021.010B.R.Binomial_names.zip","2021.010B.R.Binomial_names.zip")</f>
        <v>2021.010B.R.Binomial_names.zip</v>
      </c>
      <c r="U2881" s="43" t="str">
        <f>HYPERLINK("https://ictv.global/taxonomy/taxondetails?taxnode_id=202209708","ictv.global=202209708")</f>
        <v>ictv.global=202209708</v>
      </c>
    </row>
    <row r="2882" spans="1:21">
      <c r="A2882">
        <v>2881</v>
      </c>
      <c r="B2882" s="29" t="s">
        <v>3682</v>
      </c>
      <c r="C2882" s="29"/>
      <c r="D2882" s="29" t="s">
        <v>3683</v>
      </c>
      <c r="E2882" s="29"/>
      <c r="F2882" s="29" t="s">
        <v>3686</v>
      </c>
      <c r="G2882" s="29"/>
      <c r="H2882" s="29" t="s">
        <v>3687</v>
      </c>
      <c r="I2882" s="29"/>
      <c r="J2882" s="29"/>
      <c r="K2882" s="29"/>
      <c r="L2882" s="29"/>
      <c r="M2882" s="29"/>
      <c r="N2882" s="29" t="s">
        <v>4598</v>
      </c>
      <c r="O2882" s="29"/>
      <c r="P2882" s="29" t="s">
        <v>10079</v>
      </c>
      <c r="Q2882" t="s">
        <v>2038</v>
      </c>
      <c r="R2882" t="s">
        <v>2633</v>
      </c>
      <c r="S2882">
        <v>37</v>
      </c>
      <c r="T2882" s="43" t="str">
        <f>HYPERLINK("https://ictv.global/ictv/proposals/2021.010B.R.Binomial_names.zip","2021.010B.R.Binomial_names.zip")</f>
        <v>2021.010B.R.Binomial_names.zip</v>
      </c>
      <c r="U2882" s="43" t="str">
        <f>HYPERLINK("https://ictv.global/taxonomy/taxondetails?taxnode_id=202209706","ictv.global=202209706")</f>
        <v>ictv.global=202209706</v>
      </c>
    </row>
    <row r="2883" spans="1:21">
      <c r="A2883">
        <v>2882</v>
      </c>
      <c r="B2883" s="29" t="s">
        <v>3682</v>
      </c>
      <c r="C2883" s="29"/>
      <c r="D2883" s="29" t="s">
        <v>3683</v>
      </c>
      <c r="E2883" s="29"/>
      <c r="F2883" s="29" t="s">
        <v>3686</v>
      </c>
      <c r="G2883" s="29"/>
      <c r="H2883" s="29" t="s">
        <v>3687</v>
      </c>
      <c r="I2883" s="29"/>
      <c r="J2883" s="29"/>
      <c r="K2883" s="29"/>
      <c r="L2883" s="29"/>
      <c r="M2883" s="29"/>
      <c r="N2883" s="29" t="s">
        <v>3400</v>
      </c>
      <c r="O2883" s="29"/>
      <c r="P2883" s="29" t="s">
        <v>10080</v>
      </c>
      <c r="Q2883" t="s">
        <v>2038</v>
      </c>
      <c r="R2883" t="s">
        <v>2633</v>
      </c>
      <c r="S2883">
        <v>37</v>
      </c>
      <c r="T2883" s="43" t="str">
        <f>HYPERLINK("https://ictv.global/ictv/proposals/2021.010B.R.Binomial_names.zip","2021.010B.R.Binomial_names.zip")</f>
        <v>2021.010B.R.Binomial_names.zip</v>
      </c>
      <c r="U2883" s="43" t="str">
        <f>HYPERLINK("https://ictv.global/taxonomy/taxondetails?taxnode_id=202206812","ictv.global=202206812")</f>
        <v>ictv.global=202206812</v>
      </c>
    </row>
    <row r="2884" spans="1:21">
      <c r="A2884">
        <v>2883</v>
      </c>
      <c r="B2884" s="29" t="s">
        <v>3682</v>
      </c>
      <c r="C2884" s="29"/>
      <c r="D2884" s="29" t="s">
        <v>3683</v>
      </c>
      <c r="E2884" s="29"/>
      <c r="F2884" s="29" t="s">
        <v>3686</v>
      </c>
      <c r="G2884" s="29"/>
      <c r="H2884" s="29" t="s">
        <v>3687</v>
      </c>
      <c r="I2884" s="29"/>
      <c r="J2884" s="29"/>
      <c r="K2884" s="29"/>
      <c r="L2884" s="29"/>
      <c r="M2884" s="29"/>
      <c r="N2884" s="29" t="s">
        <v>10081</v>
      </c>
      <c r="O2884" s="29"/>
      <c r="P2884" s="29" t="s">
        <v>10082</v>
      </c>
      <c r="Q2884" t="s">
        <v>2038</v>
      </c>
      <c r="R2884" t="s">
        <v>2632</v>
      </c>
      <c r="S2884">
        <v>37</v>
      </c>
      <c r="T2884" s="43" t="str">
        <f>HYPERLINK("https://ictv.global/ictv/proposals/2021.078B.R.Siphoviridae_new_genera.zip","2021.078B.R.Siphoviridae_new_genera.zip")</f>
        <v>2021.078B.R.Siphoviridae_new_genera.zip</v>
      </c>
      <c r="U2884" s="43" t="str">
        <f>HYPERLINK("https://ictv.global/taxonomy/taxondetails?taxnode_id=202213633","ictv.global=202213633")</f>
        <v>ictv.global=202213633</v>
      </c>
    </row>
    <row r="2885" spans="1:21">
      <c r="A2885">
        <v>2884</v>
      </c>
      <c r="B2885" s="29" t="s">
        <v>3682</v>
      </c>
      <c r="C2885" s="29"/>
      <c r="D2885" s="29" t="s">
        <v>3683</v>
      </c>
      <c r="E2885" s="29"/>
      <c r="F2885" s="29" t="s">
        <v>3686</v>
      </c>
      <c r="G2885" s="29"/>
      <c r="H2885" s="29" t="s">
        <v>3687</v>
      </c>
      <c r="I2885" s="29"/>
      <c r="J2885" s="29"/>
      <c r="K2885" s="29"/>
      <c r="L2885" s="29"/>
      <c r="M2885" s="29"/>
      <c r="N2885" s="29" t="s">
        <v>4712</v>
      </c>
      <c r="O2885" s="29"/>
      <c r="P2885" s="29" t="s">
        <v>10083</v>
      </c>
      <c r="Q2885" t="s">
        <v>2038</v>
      </c>
      <c r="R2885" t="s">
        <v>2633</v>
      </c>
      <c r="S2885">
        <v>37</v>
      </c>
      <c r="T2885" s="43" t="str">
        <f>HYPERLINK("https://ictv.global/ictv/proposals/2021.010B.R.Binomial_names.zip","2021.010B.R.Binomial_names.zip")</f>
        <v>2021.010B.R.Binomial_names.zip</v>
      </c>
      <c r="U2885" s="43" t="str">
        <f>HYPERLINK("https://ictv.global/taxonomy/taxondetails?taxnode_id=202209755","ictv.global=202209755")</f>
        <v>ictv.global=202209755</v>
      </c>
    </row>
    <row r="2886" spans="1:21">
      <c r="A2886">
        <v>2885</v>
      </c>
      <c r="B2886" s="29" t="s">
        <v>3682</v>
      </c>
      <c r="C2886" s="29"/>
      <c r="D2886" s="29" t="s">
        <v>3683</v>
      </c>
      <c r="E2886" s="29"/>
      <c r="F2886" s="29" t="s">
        <v>3686</v>
      </c>
      <c r="G2886" s="29"/>
      <c r="H2886" s="29" t="s">
        <v>3687</v>
      </c>
      <c r="I2886" s="29"/>
      <c r="J2886" s="29"/>
      <c r="K2886" s="29"/>
      <c r="L2886" s="29"/>
      <c r="M2886" s="29"/>
      <c r="N2886" s="29" t="s">
        <v>4712</v>
      </c>
      <c r="O2886" s="29"/>
      <c r="P2886" s="29" t="s">
        <v>10084</v>
      </c>
      <c r="Q2886" t="s">
        <v>2038</v>
      </c>
      <c r="R2886" t="s">
        <v>2633</v>
      </c>
      <c r="S2886">
        <v>37</v>
      </c>
      <c r="T2886" s="43" t="str">
        <f>HYPERLINK("https://ictv.global/ictv/proposals/2021.010B.R.Binomial_names.zip","2021.010B.R.Binomial_names.zip")</f>
        <v>2021.010B.R.Binomial_names.zip</v>
      </c>
      <c r="U2886" s="43" t="str">
        <f>HYPERLINK("https://ictv.global/taxonomy/taxondetails?taxnode_id=202209754","ictv.global=202209754")</f>
        <v>ictv.global=202209754</v>
      </c>
    </row>
    <row r="2887" spans="1:21">
      <c r="A2887">
        <v>2886</v>
      </c>
      <c r="B2887" s="29" t="s">
        <v>3682</v>
      </c>
      <c r="C2887" s="29"/>
      <c r="D2887" s="29" t="s">
        <v>3683</v>
      </c>
      <c r="E2887" s="29"/>
      <c r="F2887" s="29" t="s">
        <v>3686</v>
      </c>
      <c r="G2887" s="29"/>
      <c r="H2887" s="29" t="s">
        <v>3687</v>
      </c>
      <c r="I2887" s="29"/>
      <c r="J2887" s="29"/>
      <c r="K2887" s="29"/>
      <c r="L2887" s="29"/>
      <c r="M2887" s="29"/>
      <c r="N2887" s="29" t="s">
        <v>4712</v>
      </c>
      <c r="O2887" s="29"/>
      <c r="P2887" s="29" t="s">
        <v>10085</v>
      </c>
      <c r="Q2887" t="s">
        <v>2038</v>
      </c>
      <c r="R2887" t="s">
        <v>2633</v>
      </c>
      <c r="S2887">
        <v>37</v>
      </c>
      <c r="T2887" s="43" t="str">
        <f>HYPERLINK("https://ictv.global/ictv/proposals/2021.010B.R.Binomial_names.zip","2021.010B.R.Binomial_names.zip")</f>
        <v>2021.010B.R.Binomial_names.zip</v>
      </c>
      <c r="U2887" s="43" t="str">
        <f>HYPERLINK("https://ictv.global/taxonomy/taxondetails?taxnode_id=202209756","ictv.global=202209756")</f>
        <v>ictv.global=202209756</v>
      </c>
    </row>
    <row r="2888" spans="1:21">
      <c r="A2888">
        <v>2887</v>
      </c>
      <c r="B2888" s="29" t="s">
        <v>3682</v>
      </c>
      <c r="C2888" s="29"/>
      <c r="D2888" s="29" t="s">
        <v>3683</v>
      </c>
      <c r="E2888" s="29"/>
      <c r="F2888" s="29" t="s">
        <v>3686</v>
      </c>
      <c r="G2888" s="29"/>
      <c r="H2888" s="29" t="s">
        <v>3687</v>
      </c>
      <c r="I2888" s="29"/>
      <c r="J2888" s="29"/>
      <c r="K2888" s="29"/>
      <c r="L2888" s="29"/>
      <c r="M2888" s="29"/>
      <c r="N2888" s="29" t="s">
        <v>10086</v>
      </c>
      <c r="O2888" s="29"/>
      <c r="P2888" s="29" t="s">
        <v>10087</v>
      </c>
      <c r="Q2888" t="s">
        <v>2038</v>
      </c>
      <c r="R2888" t="s">
        <v>2632</v>
      </c>
      <c r="S2888">
        <v>38</v>
      </c>
      <c r="T2888" s="43" t="str">
        <f>HYPERLINK("https://ictv.global/ictv/proposals/2022.015B.Cantarevirus_ng.zip","2022.015B.Cantarevirus_ng.zip")</f>
        <v>2022.015B.Cantarevirus_ng.zip</v>
      </c>
      <c r="U2888" s="43" t="str">
        <f>HYPERLINK("https://ictv.global/taxonomy/taxondetails?taxnode_id=202214527","ictv.global=202214527")</f>
        <v>ictv.global=202214527</v>
      </c>
    </row>
    <row r="2889" spans="1:21">
      <c r="A2889">
        <v>2888</v>
      </c>
      <c r="B2889" s="29" t="s">
        <v>3682</v>
      </c>
      <c r="C2889" s="29"/>
      <c r="D2889" s="29" t="s">
        <v>3683</v>
      </c>
      <c r="E2889" s="29"/>
      <c r="F2889" s="29" t="s">
        <v>3686</v>
      </c>
      <c r="G2889" s="29"/>
      <c r="H2889" s="29" t="s">
        <v>3687</v>
      </c>
      <c r="I2889" s="29"/>
      <c r="J2889" s="29"/>
      <c r="K2889" s="29"/>
      <c r="L2889" s="29"/>
      <c r="M2889" s="29"/>
      <c r="N2889" s="29" t="s">
        <v>10088</v>
      </c>
      <c r="O2889" s="29"/>
      <c r="P2889" s="29" t="s">
        <v>10089</v>
      </c>
      <c r="Q2889" t="s">
        <v>2038</v>
      </c>
      <c r="R2889" t="s">
        <v>2632</v>
      </c>
      <c r="S2889">
        <v>38</v>
      </c>
      <c r="T2889" s="43" t="str">
        <f>HYPERLINK("https://ictv.global/ictv/proposals/2022.016B.Capnelvirus_ng.zip","2022.016B.Capnelvirus_ng.zip")</f>
        <v>2022.016B.Capnelvirus_ng.zip</v>
      </c>
      <c r="U2889" s="43" t="str">
        <f>HYPERLINK("https://ictv.global/taxonomy/taxondetails?taxnode_id=202214529","ictv.global=202214529")</f>
        <v>ictv.global=202214529</v>
      </c>
    </row>
    <row r="2890" spans="1:21">
      <c r="A2890">
        <v>2889</v>
      </c>
      <c r="B2890" s="29" t="s">
        <v>3682</v>
      </c>
      <c r="C2890" s="29"/>
      <c r="D2890" s="29" t="s">
        <v>3683</v>
      </c>
      <c r="E2890" s="29"/>
      <c r="F2890" s="29" t="s">
        <v>3686</v>
      </c>
      <c r="G2890" s="29"/>
      <c r="H2890" s="29" t="s">
        <v>3687</v>
      </c>
      <c r="I2890" s="29"/>
      <c r="J2890" s="29"/>
      <c r="K2890" s="29"/>
      <c r="L2890" s="29"/>
      <c r="M2890" s="29"/>
      <c r="N2890" s="29" t="s">
        <v>10090</v>
      </c>
      <c r="O2890" s="29"/>
      <c r="P2890" s="29" t="s">
        <v>10091</v>
      </c>
      <c r="Q2890" t="s">
        <v>2038</v>
      </c>
      <c r="R2890" t="s">
        <v>2632</v>
      </c>
      <c r="S2890">
        <v>38</v>
      </c>
      <c r="T2890" s="43" t="str">
        <f>HYPERLINK("https://ictv.global/ictv/proposals/2022.017B.Carnodivirus_ng.zip","2022.017B.Carnodivirus_ng.zip")</f>
        <v>2022.017B.Carnodivirus_ng.zip</v>
      </c>
      <c r="U2890" s="43" t="str">
        <f>HYPERLINK("https://ictv.global/taxonomy/taxondetails?taxnode_id=202214531","ictv.global=202214531")</f>
        <v>ictv.global=202214531</v>
      </c>
    </row>
    <row r="2891" spans="1:21">
      <c r="A2891">
        <v>2890</v>
      </c>
      <c r="B2891" s="29" t="s">
        <v>3682</v>
      </c>
      <c r="C2891" s="29"/>
      <c r="D2891" s="29" t="s">
        <v>3683</v>
      </c>
      <c r="E2891" s="29"/>
      <c r="F2891" s="29" t="s">
        <v>3686</v>
      </c>
      <c r="G2891" s="29"/>
      <c r="H2891" s="29" t="s">
        <v>3687</v>
      </c>
      <c r="I2891" s="29"/>
      <c r="J2891" s="29"/>
      <c r="K2891" s="29"/>
      <c r="L2891" s="29"/>
      <c r="M2891" s="29"/>
      <c r="N2891" s="29" t="s">
        <v>10090</v>
      </c>
      <c r="O2891" s="29"/>
      <c r="P2891" s="29" t="s">
        <v>10092</v>
      </c>
      <c r="Q2891" t="s">
        <v>2038</v>
      </c>
      <c r="R2891" t="s">
        <v>2632</v>
      </c>
      <c r="S2891">
        <v>38</v>
      </c>
      <c r="T2891" s="43" t="str">
        <f>HYPERLINK("https://ictv.global/ictv/proposals/2022.017B.Carnodivirus_ng.zip","2022.017B.Carnodivirus_ng.zip")</f>
        <v>2022.017B.Carnodivirus_ng.zip</v>
      </c>
      <c r="U2891" s="43" t="str">
        <f>HYPERLINK("https://ictv.global/taxonomy/taxondetails?taxnode_id=202214532","ictv.global=202214532")</f>
        <v>ictv.global=202214532</v>
      </c>
    </row>
    <row r="2892" spans="1:21">
      <c r="A2892">
        <v>2891</v>
      </c>
      <c r="B2892" s="29" t="s">
        <v>3682</v>
      </c>
      <c r="C2892" s="29"/>
      <c r="D2892" s="29" t="s">
        <v>3683</v>
      </c>
      <c r="E2892" s="29"/>
      <c r="F2892" s="29" t="s">
        <v>3686</v>
      </c>
      <c r="G2892" s="29"/>
      <c r="H2892" s="29" t="s">
        <v>3687</v>
      </c>
      <c r="I2892" s="29"/>
      <c r="J2892" s="29"/>
      <c r="K2892" s="29"/>
      <c r="L2892" s="29"/>
      <c r="M2892" s="29"/>
      <c r="N2892" s="29" t="s">
        <v>3908</v>
      </c>
      <c r="O2892" s="29"/>
      <c r="P2892" s="29" t="s">
        <v>10093</v>
      </c>
      <c r="Q2892" t="s">
        <v>2038</v>
      </c>
      <c r="R2892" t="s">
        <v>2633</v>
      </c>
      <c r="S2892">
        <v>37</v>
      </c>
      <c r="T2892" s="43" t="str">
        <f>HYPERLINK("https://ictv.global/ictv/proposals/2021.010B.R.Binomial_names.zip","2021.010B.R.Binomial_names.zip")</f>
        <v>2021.010B.R.Binomial_names.zip</v>
      </c>
      <c r="U2892" s="43" t="str">
        <f>HYPERLINK("https://ictv.global/taxonomy/taxondetails?taxnode_id=202207928","ictv.global=202207928")</f>
        <v>ictv.global=202207928</v>
      </c>
    </row>
    <row r="2893" spans="1:21">
      <c r="A2893">
        <v>2892</v>
      </c>
      <c r="B2893" s="29" t="s">
        <v>3682</v>
      </c>
      <c r="C2893" s="29"/>
      <c r="D2893" s="29" t="s">
        <v>3683</v>
      </c>
      <c r="E2893" s="29"/>
      <c r="F2893" s="29" t="s">
        <v>3686</v>
      </c>
      <c r="G2893" s="29"/>
      <c r="H2893" s="29" t="s">
        <v>3687</v>
      </c>
      <c r="I2893" s="29"/>
      <c r="J2893" s="29"/>
      <c r="K2893" s="29"/>
      <c r="L2893" s="29"/>
      <c r="M2893" s="29"/>
      <c r="N2893" s="29" t="s">
        <v>3908</v>
      </c>
      <c r="O2893" s="29"/>
      <c r="P2893" s="29" t="s">
        <v>10094</v>
      </c>
      <c r="Q2893" t="s">
        <v>2038</v>
      </c>
      <c r="R2893" t="s">
        <v>2633</v>
      </c>
      <c r="S2893">
        <v>37</v>
      </c>
      <c r="T2893" s="43" t="str">
        <f>HYPERLINK("https://ictv.global/ictv/proposals/2021.010B.R.Binomial_names.zip","2021.010B.R.Binomial_names.zip")</f>
        <v>2021.010B.R.Binomial_names.zip</v>
      </c>
      <c r="U2893" s="43" t="str">
        <f>HYPERLINK("https://ictv.global/taxonomy/taxondetails?taxnode_id=202207929","ictv.global=202207929")</f>
        <v>ictv.global=202207929</v>
      </c>
    </row>
    <row r="2894" spans="1:21">
      <c r="A2894">
        <v>2893</v>
      </c>
      <c r="B2894" s="29" t="s">
        <v>3682</v>
      </c>
      <c r="C2894" s="29"/>
      <c r="D2894" s="29" t="s">
        <v>3683</v>
      </c>
      <c r="E2894" s="29"/>
      <c r="F2894" s="29" t="s">
        <v>3686</v>
      </c>
      <c r="G2894" s="29"/>
      <c r="H2894" s="29" t="s">
        <v>3687</v>
      </c>
      <c r="I2894" s="29"/>
      <c r="J2894" s="29"/>
      <c r="K2894" s="29"/>
      <c r="L2894" s="29"/>
      <c r="M2894" s="29"/>
      <c r="N2894" s="29" t="s">
        <v>10095</v>
      </c>
      <c r="O2894" s="29"/>
      <c r="P2894" s="29" t="s">
        <v>10096</v>
      </c>
      <c r="Q2894" t="s">
        <v>2038</v>
      </c>
      <c r="R2894" t="s">
        <v>2632</v>
      </c>
      <c r="S2894">
        <v>38</v>
      </c>
      <c r="T2894" s="43" t="str">
        <f>HYPERLINK("https://ictv.global/ictv/proposals/2022.018B.Carvajevirus_ng.zip","2022.018B.Carvajevirus_ng.zip")</f>
        <v>2022.018B.Carvajevirus_ng.zip</v>
      </c>
      <c r="U2894" s="43" t="str">
        <f>HYPERLINK("https://ictv.global/taxonomy/taxondetails?taxnode_id=202214534","ictv.global=202214534")</f>
        <v>ictv.global=202214534</v>
      </c>
    </row>
    <row r="2895" spans="1:21">
      <c r="A2895">
        <v>2894</v>
      </c>
      <c r="B2895" s="29" t="s">
        <v>3682</v>
      </c>
      <c r="C2895" s="29"/>
      <c r="D2895" s="29" t="s">
        <v>3683</v>
      </c>
      <c r="E2895" s="29"/>
      <c r="F2895" s="29" t="s">
        <v>3686</v>
      </c>
      <c r="G2895" s="29"/>
      <c r="H2895" s="29" t="s">
        <v>3687</v>
      </c>
      <c r="I2895" s="29"/>
      <c r="J2895" s="29"/>
      <c r="K2895" s="29"/>
      <c r="L2895" s="29"/>
      <c r="M2895" s="29"/>
      <c r="N2895" s="29" t="s">
        <v>3513</v>
      </c>
      <c r="O2895" s="29"/>
      <c r="P2895" s="29" t="s">
        <v>10097</v>
      </c>
      <c r="Q2895" t="s">
        <v>2038</v>
      </c>
      <c r="R2895" t="s">
        <v>2632</v>
      </c>
      <c r="S2895">
        <v>38</v>
      </c>
      <c r="T2895" s="43" t="str">
        <f>HYPERLINK("https://ictv.global/ictv/proposals/2022.019B.Casadabanvirus_16nsp.zip","2022.019B.Casadabanvirus_16nsp.zip")</f>
        <v>2022.019B.Casadabanvirus_16nsp.zip</v>
      </c>
      <c r="U2895" s="43" t="str">
        <f>HYPERLINK("https://ictv.global/taxonomy/taxondetails?taxnode_id=202214549","ictv.global=202214549")</f>
        <v>ictv.global=202214549</v>
      </c>
    </row>
    <row r="2896" spans="1:21">
      <c r="A2896">
        <v>2895</v>
      </c>
      <c r="B2896" s="29" t="s">
        <v>3682</v>
      </c>
      <c r="C2896" s="29"/>
      <c r="D2896" s="29" t="s">
        <v>3683</v>
      </c>
      <c r="E2896" s="29"/>
      <c r="F2896" s="29" t="s">
        <v>3686</v>
      </c>
      <c r="G2896" s="29"/>
      <c r="H2896" s="29" t="s">
        <v>3687</v>
      </c>
      <c r="I2896" s="29"/>
      <c r="J2896" s="29"/>
      <c r="K2896" s="29"/>
      <c r="L2896" s="29"/>
      <c r="M2896" s="29"/>
      <c r="N2896" s="29" t="s">
        <v>3513</v>
      </c>
      <c r="O2896" s="29"/>
      <c r="P2896" s="29" t="s">
        <v>10098</v>
      </c>
      <c r="Q2896" t="s">
        <v>2038</v>
      </c>
      <c r="R2896" t="s">
        <v>2632</v>
      </c>
      <c r="S2896">
        <v>38</v>
      </c>
      <c r="T2896" s="43" t="str">
        <f>HYPERLINK("https://ictv.global/ictv/proposals/2022.019B.Casadabanvirus_16nsp.zip","2022.019B.Casadabanvirus_16nsp.zip")</f>
        <v>2022.019B.Casadabanvirus_16nsp.zip</v>
      </c>
      <c r="U2896" s="43" t="str">
        <f>HYPERLINK("https://ictv.global/taxonomy/taxondetails?taxnode_id=202214542","ictv.global=202214542")</f>
        <v>ictv.global=202214542</v>
      </c>
    </row>
    <row r="2897" spans="1:21">
      <c r="A2897">
        <v>2896</v>
      </c>
      <c r="B2897" s="29" t="s">
        <v>3682</v>
      </c>
      <c r="C2897" s="29"/>
      <c r="D2897" s="29" t="s">
        <v>3683</v>
      </c>
      <c r="E2897" s="29"/>
      <c r="F2897" s="29" t="s">
        <v>3686</v>
      </c>
      <c r="G2897" s="29"/>
      <c r="H2897" s="29" t="s">
        <v>3687</v>
      </c>
      <c r="I2897" s="29"/>
      <c r="J2897" s="29"/>
      <c r="K2897" s="29"/>
      <c r="L2897" s="29"/>
      <c r="M2897" s="29"/>
      <c r="N2897" s="29" t="s">
        <v>3513</v>
      </c>
      <c r="O2897" s="29"/>
      <c r="P2897" s="29" t="s">
        <v>10099</v>
      </c>
      <c r="Q2897" t="s">
        <v>2038</v>
      </c>
      <c r="R2897" t="s">
        <v>2633</v>
      </c>
      <c r="S2897">
        <v>37</v>
      </c>
      <c r="T2897" s="43" t="str">
        <f>HYPERLINK("https://ictv.global/ictv/proposals/2021.010B.R.Binomial_names.zip","2021.010B.R.Binomial_names.zip")</f>
        <v>2021.010B.R.Binomial_names.zip</v>
      </c>
      <c r="U2897" s="43" t="str">
        <f>HYPERLINK("https://ictv.global/taxonomy/taxondetails?taxnode_id=202200945","ictv.global=202200945")</f>
        <v>ictv.global=202200945</v>
      </c>
    </row>
    <row r="2898" spans="1:21">
      <c r="A2898">
        <v>2897</v>
      </c>
      <c r="B2898" s="29" t="s">
        <v>3682</v>
      </c>
      <c r="C2898" s="29"/>
      <c r="D2898" s="29" t="s">
        <v>3683</v>
      </c>
      <c r="E2898" s="29"/>
      <c r="F2898" s="29" t="s">
        <v>3686</v>
      </c>
      <c r="G2898" s="29"/>
      <c r="H2898" s="29" t="s">
        <v>3687</v>
      </c>
      <c r="I2898" s="29"/>
      <c r="J2898" s="29"/>
      <c r="K2898" s="29"/>
      <c r="L2898" s="29"/>
      <c r="M2898" s="29"/>
      <c r="N2898" s="29" t="s">
        <v>3513</v>
      </c>
      <c r="O2898" s="29"/>
      <c r="P2898" s="29" t="s">
        <v>10100</v>
      </c>
      <c r="Q2898" t="s">
        <v>2038</v>
      </c>
      <c r="R2898" t="s">
        <v>2633</v>
      </c>
      <c r="S2898">
        <v>37</v>
      </c>
      <c r="T2898" s="43" t="str">
        <f>HYPERLINK("https://ictv.global/ictv/proposals/2021.010B.R.Binomial_names.zip","2021.010B.R.Binomial_names.zip")</f>
        <v>2021.010B.R.Binomial_names.zip</v>
      </c>
      <c r="U2898" s="43" t="str">
        <f>HYPERLINK("https://ictv.global/taxonomy/taxondetails?taxnode_id=202200946","ictv.global=202200946")</f>
        <v>ictv.global=202200946</v>
      </c>
    </row>
    <row r="2899" spans="1:21">
      <c r="A2899">
        <v>2898</v>
      </c>
      <c r="B2899" s="29" t="s">
        <v>3682</v>
      </c>
      <c r="C2899" s="29"/>
      <c r="D2899" s="29" t="s">
        <v>3683</v>
      </c>
      <c r="E2899" s="29"/>
      <c r="F2899" s="29" t="s">
        <v>3686</v>
      </c>
      <c r="G2899" s="29"/>
      <c r="H2899" s="29" t="s">
        <v>3687</v>
      </c>
      <c r="I2899" s="29"/>
      <c r="J2899" s="29"/>
      <c r="K2899" s="29"/>
      <c r="L2899" s="29"/>
      <c r="M2899" s="29"/>
      <c r="N2899" s="29" t="s">
        <v>3513</v>
      </c>
      <c r="O2899" s="29"/>
      <c r="P2899" s="29" t="s">
        <v>10101</v>
      </c>
      <c r="Q2899" t="s">
        <v>2038</v>
      </c>
      <c r="R2899" t="s">
        <v>2632</v>
      </c>
      <c r="S2899">
        <v>38</v>
      </c>
      <c r="T2899" s="43" t="str">
        <f>HYPERLINK("https://ictv.global/ictv/proposals/2022.019B.Casadabanvirus_16nsp.zip","2022.019B.Casadabanvirus_16nsp.zip")</f>
        <v>2022.019B.Casadabanvirus_16nsp.zip</v>
      </c>
      <c r="U2899" s="43" t="str">
        <f>HYPERLINK("https://ictv.global/taxonomy/taxondetails?taxnode_id=202214544","ictv.global=202214544")</f>
        <v>ictv.global=202214544</v>
      </c>
    </row>
    <row r="2900" spans="1:21">
      <c r="A2900">
        <v>2899</v>
      </c>
      <c r="B2900" s="29" t="s">
        <v>3682</v>
      </c>
      <c r="C2900" s="29"/>
      <c r="D2900" s="29" t="s">
        <v>3683</v>
      </c>
      <c r="E2900" s="29"/>
      <c r="F2900" s="29" t="s">
        <v>3686</v>
      </c>
      <c r="G2900" s="29"/>
      <c r="H2900" s="29" t="s">
        <v>3687</v>
      </c>
      <c r="I2900" s="29"/>
      <c r="J2900" s="29"/>
      <c r="K2900" s="29"/>
      <c r="L2900" s="29"/>
      <c r="M2900" s="29"/>
      <c r="N2900" s="29" t="s">
        <v>3513</v>
      </c>
      <c r="O2900" s="29"/>
      <c r="P2900" s="29" t="s">
        <v>10102</v>
      </c>
      <c r="Q2900" t="s">
        <v>2038</v>
      </c>
      <c r="R2900" t="s">
        <v>2633</v>
      </c>
      <c r="S2900">
        <v>37</v>
      </c>
      <c r="T2900" s="43" t="str">
        <f>HYPERLINK("https://ictv.global/ictv/proposals/2021.010B.R.Binomial_names.zip","2021.010B.R.Binomial_names.zip")</f>
        <v>2021.010B.R.Binomial_names.zip</v>
      </c>
      <c r="U2900" s="43" t="str">
        <f>HYPERLINK("https://ictv.global/taxonomy/taxondetails?taxnode_id=202200947","ictv.global=202200947")</f>
        <v>ictv.global=202200947</v>
      </c>
    </row>
    <row r="2901" spans="1:21">
      <c r="A2901">
        <v>2900</v>
      </c>
      <c r="B2901" s="29" t="s">
        <v>3682</v>
      </c>
      <c r="C2901" s="29"/>
      <c r="D2901" s="29" t="s">
        <v>3683</v>
      </c>
      <c r="E2901" s="29"/>
      <c r="F2901" s="29" t="s">
        <v>3686</v>
      </c>
      <c r="G2901" s="29"/>
      <c r="H2901" s="29" t="s">
        <v>3687</v>
      </c>
      <c r="I2901" s="29"/>
      <c r="J2901" s="29"/>
      <c r="K2901" s="29"/>
      <c r="L2901" s="29"/>
      <c r="M2901" s="29"/>
      <c r="N2901" s="29" t="s">
        <v>3513</v>
      </c>
      <c r="O2901" s="29"/>
      <c r="P2901" s="29" t="s">
        <v>10103</v>
      </c>
      <c r="Q2901" t="s">
        <v>2038</v>
      </c>
      <c r="R2901" t="s">
        <v>2632</v>
      </c>
      <c r="S2901">
        <v>38</v>
      </c>
      <c r="T2901" s="43" t="str">
        <f t="shared" ref="T2901:T2907" si="129">HYPERLINK("https://ictv.global/ictv/proposals/2022.019B.Casadabanvirus_16nsp.zip","2022.019B.Casadabanvirus_16nsp.zip")</f>
        <v>2022.019B.Casadabanvirus_16nsp.zip</v>
      </c>
      <c r="U2901" s="43" t="str">
        <f>HYPERLINK("https://ictv.global/taxonomy/taxondetails?taxnode_id=202214543","ictv.global=202214543")</f>
        <v>ictv.global=202214543</v>
      </c>
    </row>
    <row r="2902" spans="1:21">
      <c r="A2902">
        <v>2901</v>
      </c>
      <c r="B2902" s="29" t="s">
        <v>3682</v>
      </c>
      <c r="C2902" s="29"/>
      <c r="D2902" s="29" t="s">
        <v>3683</v>
      </c>
      <c r="E2902" s="29"/>
      <c r="F2902" s="29" t="s">
        <v>3686</v>
      </c>
      <c r="G2902" s="29"/>
      <c r="H2902" s="29" t="s">
        <v>3687</v>
      </c>
      <c r="I2902" s="29"/>
      <c r="J2902" s="29"/>
      <c r="K2902" s="29"/>
      <c r="L2902" s="29"/>
      <c r="M2902" s="29"/>
      <c r="N2902" s="29" t="s">
        <v>3513</v>
      </c>
      <c r="O2902" s="29"/>
      <c r="P2902" s="29" t="s">
        <v>10104</v>
      </c>
      <c r="Q2902" t="s">
        <v>2038</v>
      </c>
      <c r="R2902" t="s">
        <v>2632</v>
      </c>
      <c r="S2902">
        <v>38</v>
      </c>
      <c r="T2902" s="43" t="str">
        <f t="shared" si="129"/>
        <v>2022.019B.Casadabanvirus_16nsp.zip</v>
      </c>
      <c r="U2902" s="43" t="str">
        <f>HYPERLINK("https://ictv.global/taxonomy/taxondetails?taxnode_id=202214538","ictv.global=202214538")</f>
        <v>ictv.global=202214538</v>
      </c>
    </row>
    <row r="2903" spans="1:21">
      <c r="A2903">
        <v>2902</v>
      </c>
      <c r="B2903" s="29" t="s">
        <v>3682</v>
      </c>
      <c r="C2903" s="29"/>
      <c r="D2903" s="29" t="s">
        <v>3683</v>
      </c>
      <c r="E2903" s="29"/>
      <c r="F2903" s="29" t="s">
        <v>3686</v>
      </c>
      <c r="G2903" s="29"/>
      <c r="H2903" s="29" t="s">
        <v>3687</v>
      </c>
      <c r="I2903" s="29"/>
      <c r="J2903" s="29"/>
      <c r="K2903" s="29"/>
      <c r="L2903" s="29"/>
      <c r="M2903" s="29"/>
      <c r="N2903" s="29" t="s">
        <v>3513</v>
      </c>
      <c r="O2903" s="29"/>
      <c r="P2903" s="29" t="s">
        <v>10105</v>
      </c>
      <c r="Q2903" t="s">
        <v>2038</v>
      </c>
      <c r="R2903" t="s">
        <v>2632</v>
      </c>
      <c r="S2903">
        <v>38</v>
      </c>
      <c r="T2903" s="43" t="str">
        <f t="shared" si="129"/>
        <v>2022.019B.Casadabanvirus_16nsp.zip</v>
      </c>
      <c r="U2903" s="43" t="str">
        <f>HYPERLINK("https://ictv.global/taxonomy/taxondetails?taxnode_id=202214548","ictv.global=202214548")</f>
        <v>ictv.global=202214548</v>
      </c>
    </row>
    <row r="2904" spans="1:21">
      <c r="A2904">
        <v>2903</v>
      </c>
      <c r="B2904" s="29" t="s">
        <v>3682</v>
      </c>
      <c r="C2904" s="29"/>
      <c r="D2904" s="29" t="s">
        <v>3683</v>
      </c>
      <c r="E2904" s="29"/>
      <c r="F2904" s="29" t="s">
        <v>3686</v>
      </c>
      <c r="G2904" s="29"/>
      <c r="H2904" s="29" t="s">
        <v>3687</v>
      </c>
      <c r="I2904" s="29"/>
      <c r="J2904" s="29"/>
      <c r="K2904" s="29"/>
      <c r="L2904" s="29"/>
      <c r="M2904" s="29"/>
      <c r="N2904" s="29" t="s">
        <v>3513</v>
      </c>
      <c r="O2904" s="29"/>
      <c r="P2904" s="29" t="s">
        <v>10106</v>
      </c>
      <c r="Q2904" t="s">
        <v>2038</v>
      </c>
      <c r="R2904" t="s">
        <v>2632</v>
      </c>
      <c r="S2904">
        <v>38</v>
      </c>
      <c r="T2904" s="43" t="str">
        <f t="shared" si="129"/>
        <v>2022.019B.Casadabanvirus_16nsp.zip</v>
      </c>
      <c r="U2904" s="43" t="str">
        <f>HYPERLINK("https://ictv.global/taxonomy/taxondetails?taxnode_id=202214541","ictv.global=202214541")</f>
        <v>ictv.global=202214541</v>
      </c>
    </row>
    <row r="2905" spans="1:21">
      <c r="A2905">
        <v>2904</v>
      </c>
      <c r="B2905" s="29" t="s">
        <v>3682</v>
      </c>
      <c r="C2905" s="29"/>
      <c r="D2905" s="29" t="s">
        <v>3683</v>
      </c>
      <c r="E2905" s="29"/>
      <c r="F2905" s="29" t="s">
        <v>3686</v>
      </c>
      <c r="G2905" s="29"/>
      <c r="H2905" s="29" t="s">
        <v>3687</v>
      </c>
      <c r="I2905" s="29"/>
      <c r="J2905" s="29"/>
      <c r="K2905" s="29"/>
      <c r="L2905" s="29"/>
      <c r="M2905" s="29"/>
      <c r="N2905" s="29" t="s">
        <v>3513</v>
      </c>
      <c r="O2905" s="29"/>
      <c r="P2905" s="29" t="s">
        <v>10107</v>
      </c>
      <c r="Q2905" t="s">
        <v>2038</v>
      </c>
      <c r="R2905" t="s">
        <v>2632</v>
      </c>
      <c r="S2905">
        <v>38</v>
      </c>
      <c r="T2905" s="43" t="str">
        <f t="shared" si="129"/>
        <v>2022.019B.Casadabanvirus_16nsp.zip</v>
      </c>
      <c r="U2905" s="43" t="str">
        <f>HYPERLINK("https://ictv.global/taxonomy/taxondetails?taxnode_id=202214547","ictv.global=202214547")</f>
        <v>ictv.global=202214547</v>
      </c>
    </row>
    <row r="2906" spans="1:21">
      <c r="A2906">
        <v>2905</v>
      </c>
      <c r="B2906" s="29" t="s">
        <v>3682</v>
      </c>
      <c r="C2906" s="29"/>
      <c r="D2906" s="29" t="s">
        <v>3683</v>
      </c>
      <c r="E2906" s="29"/>
      <c r="F2906" s="29" t="s">
        <v>3686</v>
      </c>
      <c r="G2906" s="29"/>
      <c r="H2906" s="29" t="s">
        <v>3687</v>
      </c>
      <c r="I2906" s="29"/>
      <c r="J2906" s="29"/>
      <c r="K2906" s="29"/>
      <c r="L2906" s="29"/>
      <c r="M2906" s="29"/>
      <c r="N2906" s="29" t="s">
        <v>3513</v>
      </c>
      <c r="O2906" s="29"/>
      <c r="P2906" s="29" t="s">
        <v>10108</v>
      </c>
      <c r="Q2906" t="s">
        <v>2038</v>
      </c>
      <c r="R2906" t="s">
        <v>2632</v>
      </c>
      <c r="S2906">
        <v>38</v>
      </c>
      <c r="T2906" s="43" t="str">
        <f t="shared" si="129"/>
        <v>2022.019B.Casadabanvirus_16nsp.zip</v>
      </c>
      <c r="U2906" s="43" t="str">
        <f>HYPERLINK("https://ictv.global/taxonomy/taxondetails?taxnode_id=202214545","ictv.global=202214545")</f>
        <v>ictv.global=202214545</v>
      </c>
    </row>
    <row r="2907" spans="1:21">
      <c r="A2907">
        <v>2906</v>
      </c>
      <c r="B2907" s="29" t="s">
        <v>3682</v>
      </c>
      <c r="C2907" s="29"/>
      <c r="D2907" s="29" t="s">
        <v>3683</v>
      </c>
      <c r="E2907" s="29"/>
      <c r="F2907" s="29" t="s">
        <v>3686</v>
      </c>
      <c r="G2907" s="29"/>
      <c r="H2907" s="29" t="s">
        <v>3687</v>
      </c>
      <c r="I2907" s="29"/>
      <c r="J2907" s="29"/>
      <c r="K2907" s="29"/>
      <c r="L2907" s="29"/>
      <c r="M2907" s="29"/>
      <c r="N2907" s="29" t="s">
        <v>3513</v>
      </c>
      <c r="O2907" s="29"/>
      <c r="P2907" s="29" t="s">
        <v>10109</v>
      </c>
      <c r="Q2907" t="s">
        <v>2038</v>
      </c>
      <c r="R2907" t="s">
        <v>2632</v>
      </c>
      <c r="S2907">
        <v>38</v>
      </c>
      <c r="T2907" s="43" t="str">
        <f t="shared" si="129"/>
        <v>2022.019B.Casadabanvirus_16nsp.zip</v>
      </c>
      <c r="U2907" s="43" t="str">
        <f>HYPERLINK("https://ictv.global/taxonomy/taxondetails?taxnode_id=202214540","ictv.global=202214540")</f>
        <v>ictv.global=202214540</v>
      </c>
    </row>
    <row r="2908" spans="1:21">
      <c r="A2908">
        <v>2907</v>
      </c>
      <c r="B2908" s="29" t="s">
        <v>3682</v>
      </c>
      <c r="C2908" s="29"/>
      <c r="D2908" s="29" t="s">
        <v>3683</v>
      </c>
      <c r="E2908" s="29"/>
      <c r="F2908" s="29" t="s">
        <v>3686</v>
      </c>
      <c r="G2908" s="29"/>
      <c r="H2908" s="29" t="s">
        <v>3687</v>
      </c>
      <c r="I2908" s="29"/>
      <c r="J2908" s="29"/>
      <c r="K2908" s="29"/>
      <c r="L2908" s="29"/>
      <c r="M2908" s="29"/>
      <c r="N2908" s="29" t="s">
        <v>3513</v>
      </c>
      <c r="O2908" s="29"/>
      <c r="P2908" s="29" t="s">
        <v>10110</v>
      </c>
      <c r="Q2908" t="s">
        <v>2038</v>
      </c>
      <c r="R2908" t="s">
        <v>2633</v>
      </c>
      <c r="S2908">
        <v>37</v>
      </c>
      <c r="T2908" s="43" t="str">
        <f>HYPERLINK("https://ictv.global/ictv/proposals/2021.010B.R.Binomial_names.zip","2021.010B.R.Binomial_names.zip")</f>
        <v>2021.010B.R.Binomial_names.zip</v>
      </c>
      <c r="U2908" s="43" t="str">
        <f>HYPERLINK("https://ictv.global/taxonomy/taxondetails?taxnode_id=202200948","ictv.global=202200948")</f>
        <v>ictv.global=202200948</v>
      </c>
    </row>
    <row r="2909" spans="1:21">
      <c r="A2909">
        <v>2908</v>
      </c>
      <c r="B2909" s="29" t="s">
        <v>3682</v>
      </c>
      <c r="C2909" s="29"/>
      <c r="D2909" s="29" t="s">
        <v>3683</v>
      </c>
      <c r="E2909" s="29"/>
      <c r="F2909" s="29" t="s">
        <v>3686</v>
      </c>
      <c r="G2909" s="29"/>
      <c r="H2909" s="29" t="s">
        <v>3687</v>
      </c>
      <c r="I2909" s="29"/>
      <c r="J2909" s="29"/>
      <c r="K2909" s="29"/>
      <c r="L2909" s="29"/>
      <c r="M2909" s="29"/>
      <c r="N2909" s="29" t="s">
        <v>3513</v>
      </c>
      <c r="O2909" s="29"/>
      <c r="P2909" s="29" t="s">
        <v>10111</v>
      </c>
      <c r="Q2909" t="s">
        <v>2038</v>
      </c>
      <c r="R2909" t="s">
        <v>2633</v>
      </c>
      <c r="S2909">
        <v>37</v>
      </c>
      <c r="T2909" s="43" t="str">
        <f>HYPERLINK("https://ictv.global/ictv/proposals/2021.010B.R.Binomial_names.zip","2021.010B.R.Binomial_names.zip")</f>
        <v>2021.010B.R.Binomial_names.zip</v>
      </c>
      <c r="U2909" s="43" t="str">
        <f>HYPERLINK("https://ictv.global/taxonomy/taxondetails?taxnode_id=202200949","ictv.global=202200949")</f>
        <v>ictv.global=202200949</v>
      </c>
    </row>
    <row r="2910" spans="1:21">
      <c r="A2910">
        <v>2909</v>
      </c>
      <c r="B2910" s="29" t="s">
        <v>3682</v>
      </c>
      <c r="C2910" s="29"/>
      <c r="D2910" s="29" t="s">
        <v>3683</v>
      </c>
      <c r="E2910" s="29"/>
      <c r="F2910" s="29" t="s">
        <v>3686</v>
      </c>
      <c r="G2910" s="29"/>
      <c r="H2910" s="29" t="s">
        <v>3687</v>
      </c>
      <c r="I2910" s="29"/>
      <c r="J2910" s="29"/>
      <c r="K2910" s="29"/>
      <c r="L2910" s="29"/>
      <c r="M2910" s="29"/>
      <c r="N2910" s="29" t="s">
        <v>3513</v>
      </c>
      <c r="O2910" s="29"/>
      <c r="P2910" s="29" t="s">
        <v>10112</v>
      </c>
      <c r="Q2910" t="s">
        <v>2038</v>
      </c>
      <c r="R2910" t="s">
        <v>2633</v>
      </c>
      <c r="S2910">
        <v>37</v>
      </c>
      <c r="T2910" s="43" t="str">
        <f>HYPERLINK("https://ictv.global/ictv/proposals/2021.010B.R.Binomial_names.zip","2021.010B.R.Binomial_names.zip")</f>
        <v>2021.010B.R.Binomial_names.zip</v>
      </c>
      <c r="U2910" s="43" t="str">
        <f>HYPERLINK("https://ictv.global/taxonomy/taxondetails?taxnode_id=202200950","ictv.global=202200950")</f>
        <v>ictv.global=202200950</v>
      </c>
    </row>
    <row r="2911" spans="1:21">
      <c r="A2911">
        <v>2910</v>
      </c>
      <c r="B2911" s="29" t="s">
        <v>3682</v>
      </c>
      <c r="C2911" s="29"/>
      <c r="D2911" s="29" t="s">
        <v>3683</v>
      </c>
      <c r="E2911" s="29"/>
      <c r="F2911" s="29" t="s">
        <v>3686</v>
      </c>
      <c r="G2911" s="29"/>
      <c r="H2911" s="29" t="s">
        <v>3687</v>
      </c>
      <c r="I2911" s="29"/>
      <c r="J2911" s="29"/>
      <c r="K2911" s="29"/>
      <c r="L2911" s="29"/>
      <c r="M2911" s="29"/>
      <c r="N2911" s="29" t="s">
        <v>3513</v>
      </c>
      <c r="O2911" s="29"/>
      <c r="P2911" s="29" t="s">
        <v>10113</v>
      </c>
      <c r="Q2911" t="s">
        <v>2038</v>
      </c>
      <c r="R2911" t="s">
        <v>2633</v>
      </c>
      <c r="S2911">
        <v>37</v>
      </c>
      <c r="T2911" s="43" t="str">
        <f>HYPERLINK("https://ictv.global/ictv/proposals/2021.010B.R.Binomial_names.zip","2021.010B.R.Binomial_names.zip")</f>
        <v>2021.010B.R.Binomial_names.zip</v>
      </c>
      <c r="U2911" s="43" t="str">
        <f>HYPERLINK("https://ictv.global/taxonomy/taxondetails?taxnode_id=202200951","ictv.global=202200951")</f>
        <v>ictv.global=202200951</v>
      </c>
    </row>
    <row r="2912" spans="1:21">
      <c r="A2912">
        <v>2911</v>
      </c>
      <c r="B2912" s="29" t="s">
        <v>3682</v>
      </c>
      <c r="C2912" s="29"/>
      <c r="D2912" s="29" t="s">
        <v>3683</v>
      </c>
      <c r="E2912" s="29"/>
      <c r="F2912" s="29" t="s">
        <v>3686</v>
      </c>
      <c r="G2912" s="29"/>
      <c r="H2912" s="29" t="s">
        <v>3687</v>
      </c>
      <c r="I2912" s="29"/>
      <c r="J2912" s="29"/>
      <c r="K2912" s="29"/>
      <c r="L2912" s="29"/>
      <c r="M2912" s="29"/>
      <c r="N2912" s="29" t="s">
        <v>3513</v>
      </c>
      <c r="O2912" s="29"/>
      <c r="P2912" s="29" t="s">
        <v>10114</v>
      </c>
      <c r="Q2912" t="s">
        <v>2038</v>
      </c>
      <c r="R2912" t="s">
        <v>2632</v>
      </c>
      <c r="S2912">
        <v>38</v>
      </c>
      <c r="T2912" s="43" t="str">
        <f>HYPERLINK("https://ictv.global/ictv/proposals/2022.019B.Casadabanvirus_16nsp.zip","2022.019B.Casadabanvirus_16nsp.zip")</f>
        <v>2022.019B.Casadabanvirus_16nsp.zip</v>
      </c>
      <c r="U2912" s="43" t="str">
        <f>HYPERLINK("https://ictv.global/taxonomy/taxondetails?taxnode_id=202214546","ictv.global=202214546")</f>
        <v>ictv.global=202214546</v>
      </c>
    </row>
    <row r="2913" spans="1:21">
      <c r="A2913">
        <v>2912</v>
      </c>
      <c r="B2913" s="29" t="s">
        <v>3682</v>
      </c>
      <c r="C2913" s="29"/>
      <c r="D2913" s="29" t="s">
        <v>3683</v>
      </c>
      <c r="E2913" s="29"/>
      <c r="F2913" s="29" t="s">
        <v>3686</v>
      </c>
      <c r="G2913" s="29"/>
      <c r="H2913" s="29" t="s">
        <v>3687</v>
      </c>
      <c r="I2913" s="29"/>
      <c r="J2913" s="29"/>
      <c r="K2913" s="29"/>
      <c r="L2913" s="29"/>
      <c r="M2913" s="29"/>
      <c r="N2913" s="29" t="s">
        <v>3513</v>
      </c>
      <c r="O2913" s="29"/>
      <c r="P2913" s="29" t="s">
        <v>10115</v>
      </c>
      <c r="Q2913" t="s">
        <v>2038</v>
      </c>
      <c r="R2913" t="s">
        <v>2632</v>
      </c>
      <c r="S2913">
        <v>38</v>
      </c>
      <c r="T2913" s="43" t="str">
        <f>HYPERLINK("https://ictv.global/ictv/proposals/2022.019B.Casadabanvirus_16nsp.zip","2022.019B.Casadabanvirus_16nsp.zip")</f>
        <v>2022.019B.Casadabanvirus_16nsp.zip</v>
      </c>
      <c r="U2913" s="43" t="str">
        <f>HYPERLINK("https://ictv.global/taxonomy/taxondetails?taxnode_id=202214536","ictv.global=202214536")</f>
        <v>ictv.global=202214536</v>
      </c>
    </row>
    <row r="2914" spans="1:21">
      <c r="A2914">
        <v>2913</v>
      </c>
      <c r="B2914" s="29" t="s">
        <v>3682</v>
      </c>
      <c r="C2914" s="29"/>
      <c r="D2914" s="29" t="s">
        <v>3683</v>
      </c>
      <c r="E2914" s="29"/>
      <c r="F2914" s="29" t="s">
        <v>3686</v>
      </c>
      <c r="G2914" s="29"/>
      <c r="H2914" s="29" t="s">
        <v>3687</v>
      </c>
      <c r="I2914" s="29"/>
      <c r="J2914" s="29"/>
      <c r="K2914" s="29"/>
      <c r="L2914" s="29"/>
      <c r="M2914" s="29"/>
      <c r="N2914" s="29" t="s">
        <v>3513</v>
      </c>
      <c r="O2914" s="29"/>
      <c r="P2914" s="29" t="s">
        <v>10116</v>
      </c>
      <c r="Q2914" t="s">
        <v>2038</v>
      </c>
      <c r="R2914" t="s">
        <v>2633</v>
      </c>
      <c r="S2914">
        <v>37</v>
      </c>
      <c r="T2914" s="43" t="str">
        <f>HYPERLINK("https://ictv.global/ictv/proposals/2021.010B.R.Binomial_names.zip","2021.010B.R.Binomial_names.zip")</f>
        <v>2021.010B.R.Binomial_names.zip</v>
      </c>
      <c r="U2914" s="43" t="str">
        <f>HYPERLINK("https://ictv.global/taxonomy/taxondetails?taxnode_id=202200952","ictv.global=202200952")</f>
        <v>ictv.global=202200952</v>
      </c>
    </row>
    <row r="2915" spans="1:21">
      <c r="A2915">
        <v>2914</v>
      </c>
      <c r="B2915" s="29" t="s">
        <v>3682</v>
      </c>
      <c r="C2915" s="29"/>
      <c r="D2915" s="29" t="s">
        <v>3683</v>
      </c>
      <c r="E2915" s="29"/>
      <c r="F2915" s="29" t="s">
        <v>3686</v>
      </c>
      <c r="G2915" s="29"/>
      <c r="H2915" s="29" t="s">
        <v>3687</v>
      </c>
      <c r="I2915" s="29"/>
      <c r="J2915" s="29"/>
      <c r="K2915" s="29"/>
      <c r="L2915" s="29"/>
      <c r="M2915" s="29"/>
      <c r="N2915" s="29" t="s">
        <v>3513</v>
      </c>
      <c r="O2915" s="29"/>
      <c r="P2915" s="29" t="s">
        <v>10117</v>
      </c>
      <c r="Q2915" t="s">
        <v>2038</v>
      </c>
      <c r="R2915" t="s">
        <v>2632</v>
      </c>
      <c r="S2915">
        <v>38</v>
      </c>
      <c r="T2915" s="43" t="str">
        <f>HYPERLINK("https://ictv.global/ictv/proposals/2022.019B.Casadabanvirus_16nsp.zip","2022.019B.Casadabanvirus_16nsp.zip")</f>
        <v>2022.019B.Casadabanvirus_16nsp.zip</v>
      </c>
      <c r="U2915" s="43" t="str">
        <f>HYPERLINK("https://ictv.global/taxonomy/taxondetails?taxnode_id=202214550","ictv.global=202214550")</f>
        <v>ictv.global=202214550</v>
      </c>
    </row>
    <row r="2916" spans="1:21">
      <c r="A2916">
        <v>2915</v>
      </c>
      <c r="B2916" s="29" t="s">
        <v>3682</v>
      </c>
      <c r="C2916" s="29"/>
      <c r="D2916" s="29" t="s">
        <v>3683</v>
      </c>
      <c r="E2916" s="29"/>
      <c r="F2916" s="29" t="s">
        <v>3686</v>
      </c>
      <c r="G2916" s="29"/>
      <c r="H2916" s="29" t="s">
        <v>3687</v>
      </c>
      <c r="I2916" s="29"/>
      <c r="J2916" s="29"/>
      <c r="K2916" s="29"/>
      <c r="L2916" s="29"/>
      <c r="M2916" s="29"/>
      <c r="N2916" s="29" t="s">
        <v>3513</v>
      </c>
      <c r="O2916" s="29"/>
      <c r="P2916" s="29" t="s">
        <v>10118</v>
      </c>
      <c r="Q2916" t="s">
        <v>2038</v>
      </c>
      <c r="R2916" t="s">
        <v>2632</v>
      </c>
      <c r="S2916">
        <v>38</v>
      </c>
      <c r="T2916" s="43" t="str">
        <f>HYPERLINK("https://ictv.global/ictv/proposals/2022.019B.Casadabanvirus_16nsp.zip","2022.019B.Casadabanvirus_16nsp.zip")</f>
        <v>2022.019B.Casadabanvirus_16nsp.zip</v>
      </c>
      <c r="U2916" s="43" t="str">
        <f>HYPERLINK("https://ictv.global/taxonomy/taxondetails?taxnode_id=202214535","ictv.global=202214535")</f>
        <v>ictv.global=202214535</v>
      </c>
    </row>
    <row r="2917" spans="1:21">
      <c r="A2917">
        <v>2916</v>
      </c>
      <c r="B2917" s="29" t="s">
        <v>3682</v>
      </c>
      <c r="C2917" s="29"/>
      <c r="D2917" s="29" t="s">
        <v>3683</v>
      </c>
      <c r="E2917" s="29"/>
      <c r="F2917" s="29" t="s">
        <v>3686</v>
      </c>
      <c r="G2917" s="29"/>
      <c r="H2917" s="29" t="s">
        <v>3687</v>
      </c>
      <c r="I2917" s="29"/>
      <c r="J2917" s="29"/>
      <c r="K2917" s="29"/>
      <c r="L2917" s="29"/>
      <c r="M2917" s="29"/>
      <c r="N2917" s="29" t="s">
        <v>3513</v>
      </c>
      <c r="O2917" s="29"/>
      <c r="P2917" s="29" t="s">
        <v>10119</v>
      </c>
      <c r="Q2917" t="s">
        <v>2038</v>
      </c>
      <c r="R2917" t="s">
        <v>2632</v>
      </c>
      <c r="S2917">
        <v>38</v>
      </c>
      <c r="T2917" s="43" t="str">
        <f>HYPERLINK("https://ictv.global/ictv/proposals/2022.019B.Casadabanvirus_16nsp.zip","2022.019B.Casadabanvirus_16nsp.zip")</f>
        <v>2022.019B.Casadabanvirus_16nsp.zip</v>
      </c>
      <c r="U2917" s="43" t="str">
        <f>HYPERLINK("https://ictv.global/taxonomy/taxondetails?taxnode_id=202214539","ictv.global=202214539")</f>
        <v>ictv.global=202214539</v>
      </c>
    </row>
    <row r="2918" spans="1:21">
      <c r="A2918">
        <v>2917</v>
      </c>
      <c r="B2918" s="29" t="s">
        <v>3682</v>
      </c>
      <c r="C2918" s="29"/>
      <c r="D2918" s="29" t="s">
        <v>3683</v>
      </c>
      <c r="E2918" s="29"/>
      <c r="F2918" s="29" t="s">
        <v>3686</v>
      </c>
      <c r="G2918" s="29"/>
      <c r="H2918" s="29" t="s">
        <v>3687</v>
      </c>
      <c r="I2918" s="29"/>
      <c r="J2918" s="29"/>
      <c r="K2918" s="29"/>
      <c r="L2918" s="29"/>
      <c r="M2918" s="29"/>
      <c r="N2918" s="29" t="s">
        <v>3513</v>
      </c>
      <c r="O2918" s="29"/>
      <c r="P2918" s="29" t="s">
        <v>10120</v>
      </c>
      <c r="Q2918" t="s">
        <v>2038</v>
      </c>
      <c r="R2918" t="s">
        <v>2632</v>
      </c>
      <c r="S2918">
        <v>38</v>
      </c>
      <c r="T2918" s="43" t="str">
        <f>HYPERLINK("https://ictv.global/ictv/proposals/2022.019B.Casadabanvirus_16nsp.zip","2022.019B.Casadabanvirus_16nsp.zip")</f>
        <v>2022.019B.Casadabanvirus_16nsp.zip</v>
      </c>
      <c r="U2918" s="43" t="str">
        <f>HYPERLINK("https://ictv.global/taxonomy/taxondetails?taxnode_id=202214537","ictv.global=202214537")</f>
        <v>ictv.global=202214537</v>
      </c>
    </row>
    <row r="2919" spans="1:21">
      <c r="A2919">
        <v>2918</v>
      </c>
      <c r="B2919" s="29" t="s">
        <v>3682</v>
      </c>
      <c r="C2919" s="29"/>
      <c r="D2919" s="29" t="s">
        <v>3683</v>
      </c>
      <c r="E2919" s="29"/>
      <c r="F2919" s="29" t="s">
        <v>3686</v>
      </c>
      <c r="G2919" s="29"/>
      <c r="H2919" s="29" t="s">
        <v>3687</v>
      </c>
      <c r="I2919" s="29"/>
      <c r="J2919" s="29"/>
      <c r="K2919" s="29"/>
      <c r="L2919" s="29"/>
      <c r="M2919" s="29"/>
      <c r="N2919" s="29" t="s">
        <v>2084</v>
      </c>
      <c r="O2919" s="29"/>
      <c r="P2919" s="29" t="s">
        <v>10121</v>
      </c>
      <c r="Q2919" t="s">
        <v>2038</v>
      </c>
      <c r="R2919" t="s">
        <v>2633</v>
      </c>
      <c r="S2919">
        <v>37</v>
      </c>
      <c r="T2919" s="43" t="str">
        <f>HYPERLINK("https://ictv.global/ictv/proposals/2021.010B.R.Binomial_names.zip","2021.010B.R.Binomial_names.zip")</f>
        <v>2021.010B.R.Binomial_names.zip</v>
      </c>
      <c r="U2919" s="43" t="str">
        <f>HYPERLINK("https://ictv.global/taxonomy/taxondetails?taxnode_id=202200883","ictv.global=202200883")</f>
        <v>ictv.global=202200883</v>
      </c>
    </row>
    <row r="2920" spans="1:21">
      <c r="A2920">
        <v>2919</v>
      </c>
      <c r="B2920" s="29" t="s">
        <v>3682</v>
      </c>
      <c r="C2920" s="29"/>
      <c r="D2920" s="29" t="s">
        <v>3683</v>
      </c>
      <c r="E2920" s="29"/>
      <c r="F2920" s="29" t="s">
        <v>3686</v>
      </c>
      <c r="G2920" s="29"/>
      <c r="H2920" s="29" t="s">
        <v>3687</v>
      </c>
      <c r="I2920" s="29"/>
      <c r="J2920" s="29"/>
      <c r="K2920" s="29"/>
      <c r="L2920" s="29"/>
      <c r="M2920" s="29"/>
      <c r="N2920" s="29" t="s">
        <v>2085</v>
      </c>
      <c r="O2920" s="29"/>
      <c r="P2920" s="29" t="s">
        <v>10122</v>
      </c>
      <c r="Q2920" t="s">
        <v>2038</v>
      </c>
      <c r="R2920" t="s">
        <v>2633</v>
      </c>
      <c r="S2920">
        <v>37</v>
      </c>
      <c r="T2920" s="43" t="str">
        <f>HYPERLINK("https://ictv.global/ictv/proposals/2021.010B.R.Binomial_names.zip","2021.010B.R.Binomial_names.zip")</f>
        <v>2021.010B.R.Binomial_names.zip</v>
      </c>
      <c r="U2920" s="43" t="str">
        <f>HYPERLINK("https://ictv.global/taxonomy/taxondetails?taxnode_id=202200885","ictv.global=202200885")</f>
        <v>ictv.global=202200885</v>
      </c>
    </row>
    <row r="2921" spans="1:21">
      <c r="A2921">
        <v>2920</v>
      </c>
      <c r="B2921" s="29" t="s">
        <v>3682</v>
      </c>
      <c r="C2921" s="29"/>
      <c r="D2921" s="29" t="s">
        <v>3683</v>
      </c>
      <c r="E2921" s="29"/>
      <c r="F2921" s="29" t="s">
        <v>3686</v>
      </c>
      <c r="G2921" s="29"/>
      <c r="H2921" s="29" t="s">
        <v>3687</v>
      </c>
      <c r="I2921" s="29"/>
      <c r="J2921" s="29"/>
      <c r="K2921" s="29"/>
      <c r="L2921" s="29"/>
      <c r="M2921" s="29"/>
      <c r="N2921" s="29" t="s">
        <v>2085</v>
      </c>
      <c r="O2921" s="29"/>
      <c r="P2921" s="29" t="s">
        <v>10123</v>
      </c>
      <c r="Q2921" t="s">
        <v>2038</v>
      </c>
      <c r="R2921" t="s">
        <v>2633</v>
      </c>
      <c r="S2921">
        <v>37</v>
      </c>
      <c r="T2921" s="43" t="str">
        <f>HYPERLINK("https://ictv.global/ictv/proposals/2021.010B.R.Binomial_names.zip","2021.010B.R.Binomial_names.zip")</f>
        <v>2021.010B.R.Binomial_names.zip</v>
      </c>
      <c r="U2921" s="43" t="str">
        <f>HYPERLINK("https://ictv.global/taxonomy/taxondetails?taxnode_id=202200886","ictv.global=202200886")</f>
        <v>ictv.global=202200886</v>
      </c>
    </row>
    <row r="2922" spans="1:21">
      <c r="A2922">
        <v>2921</v>
      </c>
      <c r="B2922" s="29" t="s">
        <v>3682</v>
      </c>
      <c r="C2922" s="29"/>
      <c r="D2922" s="29" t="s">
        <v>3683</v>
      </c>
      <c r="E2922" s="29"/>
      <c r="F2922" s="29" t="s">
        <v>3686</v>
      </c>
      <c r="G2922" s="29"/>
      <c r="H2922" s="29" t="s">
        <v>3687</v>
      </c>
      <c r="I2922" s="29"/>
      <c r="J2922" s="29"/>
      <c r="K2922" s="29"/>
      <c r="L2922" s="29"/>
      <c r="M2922" s="29"/>
      <c r="N2922" s="29" t="s">
        <v>10124</v>
      </c>
      <c r="O2922" s="29"/>
      <c r="P2922" s="29" t="s">
        <v>10125</v>
      </c>
      <c r="Q2922" t="s">
        <v>2038</v>
      </c>
      <c r="R2922" t="s">
        <v>2632</v>
      </c>
      <c r="S2922">
        <v>37</v>
      </c>
      <c r="T2922" s="43" t="str">
        <f>HYPERLINK("https://ictv.global/ictv/proposals/2021.078B.R.Siphoviridae_new_genera.zip","2021.078B.R.Siphoviridae_new_genera.zip")</f>
        <v>2021.078B.R.Siphoviridae_new_genera.zip</v>
      </c>
      <c r="U2922" s="43" t="str">
        <f>HYPERLINK("https://ictv.global/taxonomy/taxondetails?taxnode_id=202213616","ictv.global=202213616")</f>
        <v>ictv.global=202213616</v>
      </c>
    </row>
    <row r="2923" spans="1:21">
      <c r="A2923">
        <v>2922</v>
      </c>
      <c r="B2923" s="29" t="s">
        <v>3682</v>
      </c>
      <c r="C2923" s="29"/>
      <c r="D2923" s="29" t="s">
        <v>3683</v>
      </c>
      <c r="E2923" s="29"/>
      <c r="F2923" s="29" t="s">
        <v>3686</v>
      </c>
      <c r="G2923" s="29"/>
      <c r="H2923" s="29" t="s">
        <v>3687</v>
      </c>
      <c r="I2923" s="29"/>
      <c r="J2923" s="29"/>
      <c r="K2923" s="29"/>
      <c r="L2923" s="29"/>
      <c r="M2923" s="29"/>
      <c r="N2923" s="29" t="s">
        <v>3514</v>
      </c>
      <c r="O2923" s="29"/>
      <c r="P2923" s="29" t="s">
        <v>10126</v>
      </c>
      <c r="Q2923" t="s">
        <v>2038</v>
      </c>
      <c r="R2923" t="s">
        <v>2633</v>
      </c>
      <c r="S2923">
        <v>37</v>
      </c>
      <c r="T2923" s="43" t="str">
        <f t="shared" ref="T2923:T2962" si="130">HYPERLINK("https://ictv.global/ictv/proposals/2021.010B.R.Binomial_names.zip","2021.010B.R.Binomial_names.zip")</f>
        <v>2021.010B.R.Binomial_names.zip</v>
      </c>
      <c r="U2923" s="43" t="str">
        <f>HYPERLINK("https://ictv.global/taxonomy/taxondetails?taxnode_id=202209801","ictv.global=202209801")</f>
        <v>ictv.global=202209801</v>
      </c>
    </row>
    <row r="2924" spans="1:21">
      <c r="A2924">
        <v>2923</v>
      </c>
      <c r="B2924" s="29" t="s">
        <v>3682</v>
      </c>
      <c r="C2924" s="29"/>
      <c r="D2924" s="29" t="s">
        <v>3683</v>
      </c>
      <c r="E2924" s="29"/>
      <c r="F2924" s="29" t="s">
        <v>3686</v>
      </c>
      <c r="G2924" s="29"/>
      <c r="H2924" s="29" t="s">
        <v>3687</v>
      </c>
      <c r="I2924" s="29"/>
      <c r="J2924" s="29"/>
      <c r="K2924" s="29"/>
      <c r="L2924" s="29"/>
      <c r="M2924" s="29"/>
      <c r="N2924" s="29" t="s">
        <v>3514</v>
      </c>
      <c r="O2924" s="29"/>
      <c r="P2924" s="29" t="s">
        <v>10127</v>
      </c>
      <c r="Q2924" t="s">
        <v>2038</v>
      </c>
      <c r="R2924" t="s">
        <v>2633</v>
      </c>
      <c r="S2924">
        <v>37</v>
      </c>
      <c r="T2924" s="43" t="str">
        <f t="shared" si="130"/>
        <v>2021.010B.R.Binomial_names.zip</v>
      </c>
      <c r="U2924" s="43" t="str">
        <f>HYPERLINK("https://ictv.global/taxonomy/taxondetails?taxnode_id=202209806","ictv.global=202209806")</f>
        <v>ictv.global=202209806</v>
      </c>
    </row>
    <row r="2925" spans="1:21">
      <c r="A2925">
        <v>2924</v>
      </c>
      <c r="B2925" s="29" t="s">
        <v>3682</v>
      </c>
      <c r="C2925" s="29"/>
      <c r="D2925" s="29" t="s">
        <v>3683</v>
      </c>
      <c r="E2925" s="29"/>
      <c r="F2925" s="29" t="s">
        <v>3686</v>
      </c>
      <c r="G2925" s="29"/>
      <c r="H2925" s="29" t="s">
        <v>3687</v>
      </c>
      <c r="I2925" s="29"/>
      <c r="J2925" s="29"/>
      <c r="K2925" s="29"/>
      <c r="L2925" s="29"/>
      <c r="M2925" s="29"/>
      <c r="N2925" s="29" t="s">
        <v>3514</v>
      </c>
      <c r="O2925" s="29"/>
      <c r="P2925" s="29" t="s">
        <v>10128</v>
      </c>
      <c r="Q2925" t="s">
        <v>2038</v>
      </c>
      <c r="R2925" t="s">
        <v>2633</v>
      </c>
      <c r="S2925">
        <v>37</v>
      </c>
      <c r="T2925" s="43" t="str">
        <f t="shared" si="130"/>
        <v>2021.010B.R.Binomial_names.zip</v>
      </c>
      <c r="U2925" s="43" t="str">
        <f>HYPERLINK("https://ictv.global/taxonomy/taxondetails?taxnode_id=202209797","ictv.global=202209797")</f>
        <v>ictv.global=202209797</v>
      </c>
    </row>
    <row r="2926" spans="1:21">
      <c r="A2926">
        <v>2925</v>
      </c>
      <c r="B2926" s="29" t="s">
        <v>3682</v>
      </c>
      <c r="C2926" s="29"/>
      <c r="D2926" s="29" t="s">
        <v>3683</v>
      </c>
      <c r="E2926" s="29"/>
      <c r="F2926" s="29" t="s">
        <v>3686</v>
      </c>
      <c r="G2926" s="29"/>
      <c r="H2926" s="29" t="s">
        <v>3687</v>
      </c>
      <c r="I2926" s="29"/>
      <c r="J2926" s="29"/>
      <c r="K2926" s="29"/>
      <c r="L2926" s="29"/>
      <c r="M2926" s="29"/>
      <c r="N2926" s="29" t="s">
        <v>3514</v>
      </c>
      <c r="O2926" s="29"/>
      <c r="P2926" s="29" t="s">
        <v>10129</v>
      </c>
      <c r="Q2926" t="s">
        <v>2038</v>
      </c>
      <c r="R2926" t="s">
        <v>2633</v>
      </c>
      <c r="S2926">
        <v>37</v>
      </c>
      <c r="T2926" s="43" t="str">
        <f t="shared" si="130"/>
        <v>2021.010B.R.Binomial_names.zip</v>
      </c>
      <c r="U2926" s="43" t="str">
        <f>HYPERLINK("https://ictv.global/taxonomy/taxondetails?taxnode_id=202209814","ictv.global=202209814")</f>
        <v>ictv.global=202209814</v>
      </c>
    </row>
    <row r="2927" spans="1:21">
      <c r="A2927">
        <v>2926</v>
      </c>
      <c r="B2927" s="29" t="s">
        <v>3682</v>
      </c>
      <c r="C2927" s="29"/>
      <c r="D2927" s="29" t="s">
        <v>3683</v>
      </c>
      <c r="E2927" s="29"/>
      <c r="F2927" s="29" t="s">
        <v>3686</v>
      </c>
      <c r="G2927" s="29"/>
      <c r="H2927" s="29" t="s">
        <v>3687</v>
      </c>
      <c r="I2927" s="29"/>
      <c r="J2927" s="29"/>
      <c r="K2927" s="29"/>
      <c r="L2927" s="29"/>
      <c r="M2927" s="29"/>
      <c r="N2927" s="29" t="s">
        <v>3514</v>
      </c>
      <c r="O2927" s="29"/>
      <c r="P2927" s="29" t="s">
        <v>10130</v>
      </c>
      <c r="Q2927" t="s">
        <v>2038</v>
      </c>
      <c r="R2927" t="s">
        <v>2633</v>
      </c>
      <c r="S2927">
        <v>37</v>
      </c>
      <c r="T2927" s="43" t="str">
        <f t="shared" si="130"/>
        <v>2021.010B.R.Binomial_names.zip</v>
      </c>
      <c r="U2927" s="43" t="str">
        <f>HYPERLINK("https://ictv.global/taxonomy/taxondetails?taxnode_id=202209807","ictv.global=202209807")</f>
        <v>ictv.global=202209807</v>
      </c>
    </row>
    <row r="2928" spans="1:21">
      <c r="A2928">
        <v>2927</v>
      </c>
      <c r="B2928" s="29" t="s">
        <v>3682</v>
      </c>
      <c r="C2928" s="29"/>
      <c r="D2928" s="29" t="s">
        <v>3683</v>
      </c>
      <c r="E2928" s="29"/>
      <c r="F2928" s="29" t="s">
        <v>3686</v>
      </c>
      <c r="G2928" s="29"/>
      <c r="H2928" s="29" t="s">
        <v>3687</v>
      </c>
      <c r="I2928" s="29"/>
      <c r="J2928" s="29"/>
      <c r="K2928" s="29"/>
      <c r="L2928" s="29"/>
      <c r="M2928" s="29"/>
      <c r="N2928" s="29" t="s">
        <v>3514</v>
      </c>
      <c r="O2928" s="29"/>
      <c r="P2928" s="29" t="s">
        <v>10131</v>
      </c>
      <c r="Q2928" t="s">
        <v>2038</v>
      </c>
      <c r="R2928" t="s">
        <v>2633</v>
      </c>
      <c r="S2928">
        <v>37</v>
      </c>
      <c r="T2928" s="43" t="str">
        <f t="shared" si="130"/>
        <v>2021.010B.R.Binomial_names.zip</v>
      </c>
      <c r="U2928" s="43" t="str">
        <f>HYPERLINK("https://ictv.global/taxonomy/taxondetails?taxnode_id=202209818","ictv.global=202209818")</f>
        <v>ictv.global=202209818</v>
      </c>
    </row>
    <row r="2929" spans="1:21">
      <c r="A2929">
        <v>2928</v>
      </c>
      <c r="B2929" s="29" t="s">
        <v>3682</v>
      </c>
      <c r="C2929" s="29"/>
      <c r="D2929" s="29" t="s">
        <v>3683</v>
      </c>
      <c r="E2929" s="29"/>
      <c r="F2929" s="29" t="s">
        <v>3686</v>
      </c>
      <c r="G2929" s="29"/>
      <c r="H2929" s="29" t="s">
        <v>3687</v>
      </c>
      <c r="I2929" s="29"/>
      <c r="J2929" s="29"/>
      <c r="K2929" s="29"/>
      <c r="L2929" s="29"/>
      <c r="M2929" s="29"/>
      <c r="N2929" s="29" t="s">
        <v>3514</v>
      </c>
      <c r="O2929" s="29"/>
      <c r="P2929" s="29" t="s">
        <v>10132</v>
      </c>
      <c r="Q2929" t="s">
        <v>2038</v>
      </c>
      <c r="R2929" t="s">
        <v>2633</v>
      </c>
      <c r="S2929">
        <v>37</v>
      </c>
      <c r="T2929" s="43" t="str">
        <f t="shared" si="130"/>
        <v>2021.010B.R.Binomial_names.zip</v>
      </c>
      <c r="U2929" s="43" t="str">
        <f>HYPERLINK("https://ictv.global/taxonomy/taxondetails?taxnode_id=202200869","ictv.global=202200869")</f>
        <v>ictv.global=202200869</v>
      </c>
    </row>
    <row r="2930" spans="1:21">
      <c r="A2930">
        <v>2929</v>
      </c>
      <c r="B2930" s="29" t="s">
        <v>3682</v>
      </c>
      <c r="C2930" s="29"/>
      <c r="D2930" s="29" t="s">
        <v>3683</v>
      </c>
      <c r="E2930" s="29"/>
      <c r="F2930" s="29" t="s">
        <v>3686</v>
      </c>
      <c r="G2930" s="29"/>
      <c r="H2930" s="29" t="s">
        <v>3687</v>
      </c>
      <c r="I2930" s="29"/>
      <c r="J2930" s="29"/>
      <c r="K2930" s="29"/>
      <c r="L2930" s="29"/>
      <c r="M2930" s="29"/>
      <c r="N2930" s="29" t="s">
        <v>3514</v>
      </c>
      <c r="O2930" s="29"/>
      <c r="P2930" s="29" t="s">
        <v>10133</v>
      </c>
      <c r="Q2930" t="s">
        <v>2038</v>
      </c>
      <c r="R2930" t="s">
        <v>2633</v>
      </c>
      <c r="S2930">
        <v>37</v>
      </c>
      <c r="T2930" s="43" t="str">
        <f t="shared" si="130"/>
        <v>2021.010B.R.Binomial_names.zip</v>
      </c>
      <c r="U2930" s="43" t="str">
        <f>HYPERLINK("https://ictv.global/taxonomy/taxondetails?taxnode_id=202209794","ictv.global=202209794")</f>
        <v>ictv.global=202209794</v>
      </c>
    </row>
    <row r="2931" spans="1:21">
      <c r="A2931">
        <v>2930</v>
      </c>
      <c r="B2931" s="29" t="s">
        <v>3682</v>
      </c>
      <c r="C2931" s="29"/>
      <c r="D2931" s="29" t="s">
        <v>3683</v>
      </c>
      <c r="E2931" s="29"/>
      <c r="F2931" s="29" t="s">
        <v>3686</v>
      </c>
      <c r="G2931" s="29"/>
      <c r="H2931" s="29" t="s">
        <v>3687</v>
      </c>
      <c r="I2931" s="29"/>
      <c r="J2931" s="29"/>
      <c r="K2931" s="29"/>
      <c r="L2931" s="29"/>
      <c r="M2931" s="29"/>
      <c r="N2931" s="29" t="s">
        <v>3514</v>
      </c>
      <c r="O2931" s="29"/>
      <c r="P2931" s="29" t="s">
        <v>10134</v>
      </c>
      <c r="Q2931" t="s">
        <v>2038</v>
      </c>
      <c r="R2931" t="s">
        <v>2633</v>
      </c>
      <c r="S2931">
        <v>37</v>
      </c>
      <c r="T2931" s="43" t="str">
        <f t="shared" si="130"/>
        <v>2021.010B.R.Binomial_names.zip</v>
      </c>
      <c r="U2931" s="43" t="str">
        <f>HYPERLINK("https://ictv.global/taxonomy/taxondetails?taxnode_id=202200870","ictv.global=202200870")</f>
        <v>ictv.global=202200870</v>
      </c>
    </row>
    <row r="2932" spans="1:21">
      <c r="A2932">
        <v>2931</v>
      </c>
      <c r="B2932" s="29" t="s">
        <v>3682</v>
      </c>
      <c r="C2932" s="29"/>
      <c r="D2932" s="29" t="s">
        <v>3683</v>
      </c>
      <c r="E2932" s="29"/>
      <c r="F2932" s="29" t="s">
        <v>3686</v>
      </c>
      <c r="G2932" s="29"/>
      <c r="H2932" s="29" t="s">
        <v>3687</v>
      </c>
      <c r="I2932" s="29"/>
      <c r="J2932" s="29"/>
      <c r="K2932" s="29"/>
      <c r="L2932" s="29"/>
      <c r="M2932" s="29"/>
      <c r="N2932" s="29" t="s">
        <v>3514</v>
      </c>
      <c r="O2932" s="29"/>
      <c r="P2932" s="29" t="s">
        <v>10135</v>
      </c>
      <c r="Q2932" t="s">
        <v>2038</v>
      </c>
      <c r="R2932" t="s">
        <v>2633</v>
      </c>
      <c r="S2932">
        <v>37</v>
      </c>
      <c r="T2932" s="43" t="str">
        <f t="shared" si="130"/>
        <v>2021.010B.R.Binomial_names.zip</v>
      </c>
      <c r="U2932" s="43" t="str">
        <f>HYPERLINK("https://ictv.global/taxonomy/taxondetails?taxnode_id=202209820","ictv.global=202209820")</f>
        <v>ictv.global=202209820</v>
      </c>
    </row>
    <row r="2933" spans="1:21">
      <c r="A2933">
        <v>2932</v>
      </c>
      <c r="B2933" s="29" t="s">
        <v>3682</v>
      </c>
      <c r="C2933" s="29"/>
      <c r="D2933" s="29" t="s">
        <v>3683</v>
      </c>
      <c r="E2933" s="29"/>
      <c r="F2933" s="29" t="s">
        <v>3686</v>
      </c>
      <c r="G2933" s="29"/>
      <c r="H2933" s="29" t="s">
        <v>3687</v>
      </c>
      <c r="I2933" s="29"/>
      <c r="J2933" s="29"/>
      <c r="K2933" s="29"/>
      <c r="L2933" s="29"/>
      <c r="M2933" s="29"/>
      <c r="N2933" s="29" t="s">
        <v>3514</v>
      </c>
      <c r="O2933" s="29"/>
      <c r="P2933" s="29" t="s">
        <v>10136</v>
      </c>
      <c r="Q2933" t="s">
        <v>2038</v>
      </c>
      <c r="R2933" t="s">
        <v>2633</v>
      </c>
      <c r="S2933">
        <v>37</v>
      </c>
      <c r="T2933" s="43" t="str">
        <f t="shared" si="130"/>
        <v>2021.010B.R.Binomial_names.zip</v>
      </c>
      <c r="U2933" s="43" t="str">
        <f>HYPERLINK("https://ictv.global/taxonomy/taxondetails?taxnode_id=202209823","ictv.global=202209823")</f>
        <v>ictv.global=202209823</v>
      </c>
    </row>
    <row r="2934" spans="1:21">
      <c r="A2934">
        <v>2933</v>
      </c>
      <c r="B2934" s="29" t="s">
        <v>3682</v>
      </c>
      <c r="C2934" s="29"/>
      <c r="D2934" s="29" t="s">
        <v>3683</v>
      </c>
      <c r="E2934" s="29"/>
      <c r="F2934" s="29" t="s">
        <v>3686</v>
      </c>
      <c r="G2934" s="29"/>
      <c r="H2934" s="29" t="s">
        <v>3687</v>
      </c>
      <c r="I2934" s="29"/>
      <c r="J2934" s="29"/>
      <c r="K2934" s="29"/>
      <c r="L2934" s="29"/>
      <c r="M2934" s="29"/>
      <c r="N2934" s="29" t="s">
        <v>3514</v>
      </c>
      <c r="O2934" s="29"/>
      <c r="P2934" s="29" t="s">
        <v>10137</v>
      </c>
      <c r="Q2934" t="s">
        <v>2038</v>
      </c>
      <c r="R2934" t="s">
        <v>2633</v>
      </c>
      <c r="S2934">
        <v>37</v>
      </c>
      <c r="T2934" s="43" t="str">
        <f t="shared" si="130"/>
        <v>2021.010B.R.Binomial_names.zip</v>
      </c>
      <c r="U2934" s="43" t="str">
        <f>HYPERLINK("https://ictv.global/taxonomy/taxondetails?taxnode_id=202209795","ictv.global=202209795")</f>
        <v>ictv.global=202209795</v>
      </c>
    </row>
    <row r="2935" spans="1:21">
      <c r="A2935">
        <v>2934</v>
      </c>
      <c r="B2935" s="29" t="s">
        <v>3682</v>
      </c>
      <c r="C2935" s="29"/>
      <c r="D2935" s="29" t="s">
        <v>3683</v>
      </c>
      <c r="E2935" s="29"/>
      <c r="F2935" s="29" t="s">
        <v>3686</v>
      </c>
      <c r="G2935" s="29"/>
      <c r="H2935" s="29" t="s">
        <v>3687</v>
      </c>
      <c r="I2935" s="29"/>
      <c r="J2935" s="29"/>
      <c r="K2935" s="29"/>
      <c r="L2935" s="29"/>
      <c r="M2935" s="29"/>
      <c r="N2935" s="29" t="s">
        <v>3514</v>
      </c>
      <c r="O2935" s="29"/>
      <c r="P2935" s="29" t="s">
        <v>10138</v>
      </c>
      <c r="Q2935" t="s">
        <v>2038</v>
      </c>
      <c r="R2935" t="s">
        <v>2633</v>
      </c>
      <c r="S2935">
        <v>37</v>
      </c>
      <c r="T2935" s="43" t="str">
        <f t="shared" si="130"/>
        <v>2021.010B.R.Binomial_names.zip</v>
      </c>
      <c r="U2935" s="43" t="str">
        <f>HYPERLINK("https://ictv.global/taxonomy/taxondetails?taxnode_id=202209819","ictv.global=202209819")</f>
        <v>ictv.global=202209819</v>
      </c>
    </row>
    <row r="2936" spans="1:21">
      <c r="A2936">
        <v>2935</v>
      </c>
      <c r="B2936" s="29" t="s">
        <v>3682</v>
      </c>
      <c r="C2936" s="29"/>
      <c r="D2936" s="29" t="s">
        <v>3683</v>
      </c>
      <c r="E2936" s="29"/>
      <c r="F2936" s="29" t="s">
        <v>3686</v>
      </c>
      <c r="G2936" s="29"/>
      <c r="H2936" s="29" t="s">
        <v>3687</v>
      </c>
      <c r="I2936" s="29"/>
      <c r="J2936" s="29"/>
      <c r="K2936" s="29"/>
      <c r="L2936" s="29"/>
      <c r="M2936" s="29"/>
      <c r="N2936" s="29" t="s">
        <v>3514</v>
      </c>
      <c r="O2936" s="29"/>
      <c r="P2936" s="29" t="s">
        <v>10139</v>
      </c>
      <c r="Q2936" t="s">
        <v>2038</v>
      </c>
      <c r="R2936" t="s">
        <v>2633</v>
      </c>
      <c r="S2936">
        <v>37</v>
      </c>
      <c r="T2936" s="43" t="str">
        <f t="shared" si="130"/>
        <v>2021.010B.R.Binomial_names.zip</v>
      </c>
      <c r="U2936" s="43" t="str">
        <f>HYPERLINK("https://ictv.global/taxonomy/taxondetails?taxnode_id=202209825","ictv.global=202209825")</f>
        <v>ictv.global=202209825</v>
      </c>
    </row>
    <row r="2937" spans="1:21">
      <c r="A2937">
        <v>2936</v>
      </c>
      <c r="B2937" s="29" t="s">
        <v>3682</v>
      </c>
      <c r="C2937" s="29"/>
      <c r="D2937" s="29" t="s">
        <v>3683</v>
      </c>
      <c r="E2937" s="29"/>
      <c r="F2937" s="29" t="s">
        <v>3686</v>
      </c>
      <c r="G2937" s="29"/>
      <c r="H2937" s="29" t="s">
        <v>3687</v>
      </c>
      <c r="I2937" s="29"/>
      <c r="J2937" s="29"/>
      <c r="K2937" s="29"/>
      <c r="L2937" s="29"/>
      <c r="M2937" s="29"/>
      <c r="N2937" s="29" t="s">
        <v>3514</v>
      </c>
      <c r="O2937" s="29"/>
      <c r="P2937" s="29" t="s">
        <v>10140</v>
      </c>
      <c r="Q2937" t="s">
        <v>2038</v>
      </c>
      <c r="R2937" t="s">
        <v>2633</v>
      </c>
      <c r="S2937">
        <v>37</v>
      </c>
      <c r="T2937" s="43" t="str">
        <f t="shared" si="130"/>
        <v>2021.010B.R.Binomial_names.zip</v>
      </c>
      <c r="U2937" s="43" t="str">
        <f>HYPERLINK("https://ictv.global/taxonomy/taxondetails?taxnode_id=202209800","ictv.global=202209800")</f>
        <v>ictv.global=202209800</v>
      </c>
    </row>
    <row r="2938" spans="1:21">
      <c r="A2938">
        <v>2937</v>
      </c>
      <c r="B2938" s="29" t="s">
        <v>3682</v>
      </c>
      <c r="C2938" s="29"/>
      <c r="D2938" s="29" t="s">
        <v>3683</v>
      </c>
      <c r="E2938" s="29"/>
      <c r="F2938" s="29" t="s">
        <v>3686</v>
      </c>
      <c r="G2938" s="29"/>
      <c r="H2938" s="29" t="s">
        <v>3687</v>
      </c>
      <c r="I2938" s="29"/>
      <c r="J2938" s="29"/>
      <c r="K2938" s="29"/>
      <c r="L2938" s="29"/>
      <c r="M2938" s="29"/>
      <c r="N2938" s="29" t="s">
        <v>3514</v>
      </c>
      <c r="O2938" s="29"/>
      <c r="P2938" s="29" t="s">
        <v>10141</v>
      </c>
      <c r="Q2938" t="s">
        <v>2038</v>
      </c>
      <c r="R2938" t="s">
        <v>2633</v>
      </c>
      <c r="S2938">
        <v>37</v>
      </c>
      <c r="T2938" s="43" t="str">
        <f t="shared" si="130"/>
        <v>2021.010B.R.Binomial_names.zip</v>
      </c>
      <c r="U2938" s="43" t="str">
        <f>HYPERLINK("https://ictv.global/taxonomy/taxondetails?taxnode_id=202209824","ictv.global=202209824")</f>
        <v>ictv.global=202209824</v>
      </c>
    </row>
    <row r="2939" spans="1:21">
      <c r="A2939">
        <v>2938</v>
      </c>
      <c r="B2939" s="29" t="s">
        <v>3682</v>
      </c>
      <c r="C2939" s="29"/>
      <c r="D2939" s="29" t="s">
        <v>3683</v>
      </c>
      <c r="E2939" s="29"/>
      <c r="F2939" s="29" t="s">
        <v>3686</v>
      </c>
      <c r="G2939" s="29"/>
      <c r="H2939" s="29" t="s">
        <v>3687</v>
      </c>
      <c r="I2939" s="29"/>
      <c r="J2939" s="29"/>
      <c r="K2939" s="29"/>
      <c r="L2939" s="29"/>
      <c r="M2939" s="29"/>
      <c r="N2939" s="29" t="s">
        <v>3514</v>
      </c>
      <c r="O2939" s="29"/>
      <c r="P2939" s="29" t="s">
        <v>10142</v>
      </c>
      <c r="Q2939" t="s">
        <v>2038</v>
      </c>
      <c r="R2939" t="s">
        <v>2633</v>
      </c>
      <c r="S2939">
        <v>37</v>
      </c>
      <c r="T2939" s="43" t="str">
        <f t="shared" si="130"/>
        <v>2021.010B.R.Binomial_names.zip</v>
      </c>
      <c r="U2939" s="43" t="str">
        <f>HYPERLINK("https://ictv.global/taxonomy/taxondetails?taxnode_id=202209802","ictv.global=202209802")</f>
        <v>ictv.global=202209802</v>
      </c>
    </row>
    <row r="2940" spans="1:21">
      <c r="A2940">
        <v>2939</v>
      </c>
      <c r="B2940" s="29" t="s">
        <v>3682</v>
      </c>
      <c r="C2940" s="29"/>
      <c r="D2940" s="29" t="s">
        <v>3683</v>
      </c>
      <c r="E2940" s="29"/>
      <c r="F2940" s="29" t="s">
        <v>3686</v>
      </c>
      <c r="G2940" s="29"/>
      <c r="H2940" s="29" t="s">
        <v>3687</v>
      </c>
      <c r="I2940" s="29"/>
      <c r="J2940" s="29"/>
      <c r="K2940" s="29"/>
      <c r="L2940" s="29"/>
      <c r="M2940" s="29"/>
      <c r="N2940" s="29" t="s">
        <v>3514</v>
      </c>
      <c r="O2940" s="29"/>
      <c r="P2940" s="29" t="s">
        <v>10143</v>
      </c>
      <c r="Q2940" t="s">
        <v>2038</v>
      </c>
      <c r="R2940" t="s">
        <v>2633</v>
      </c>
      <c r="S2940">
        <v>37</v>
      </c>
      <c r="T2940" s="43" t="str">
        <f t="shared" si="130"/>
        <v>2021.010B.R.Binomial_names.zip</v>
      </c>
      <c r="U2940" s="43" t="str">
        <f>HYPERLINK("https://ictv.global/taxonomy/taxondetails?taxnode_id=202209803","ictv.global=202209803")</f>
        <v>ictv.global=202209803</v>
      </c>
    </row>
    <row r="2941" spans="1:21">
      <c r="A2941">
        <v>2940</v>
      </c>
      <c r="B2941" s="29" t="s">
        <v>3682</v>
      </c>
      <c r="C2941" s="29"/>
      <c r="D2941" s="29" t="s">
        <v>3683</v>
      </c>
      <c r="E2941" s="29"/>
      <c r="F2941" s="29" t="s">
        <v>3686</v>
      </c>
      <c r="G2941" s="29"/>
      <c r="H2941" s="29" t="s">
        <v>3687</v>
      </c>
      <c r="I2941" s="29"/>
      <c r="J2941" s="29"/>
      <c r="K2941" s="29"/>
      <c r="L2941" s="29"/>
      <c r="M2941" s="29"/>
      <c r="N2941" s="29" t="s">
        <v>3514</v>
      </c>
      <c r="O2941" s="29"/>
      <c r="P2941" s="29" t="s">
        <v>10144</v>
      </c>
      <c r="Q2941" t="s">
        <v>2038</v>
      </c>
      <c r="R2941" t="s">
        <v>2633</v>
      </c>
      <c r="S2941">
        <v>37</v>
      </c>
      <c r="T2941" s="43" t="str">
        <f t="shared" si="130"/>
        <v>2021.010B.R.Binomial_names.zip</v>
      </c>
      <c r="U2941" s="43" t="str">
        <f>HYPERLINK("https://ictv.global/taxonomy/taxondetails?taxnode_id=202209821","ictv.global=202209821")</f>
        <v>ictv.global=202209821</v>
      </c>
    </row>
    <row r="2942" spans="1:21">
      <c r="A2942">
        <v>2941</v>
      </c>
      <c r="B2942" s="29" t="s">
        <v>3682</v>
      </c>
      <c r="C2942" s="29"/>
      <c r="D2942" s="29" t="s">
        <v>3683</v>
      </c>
      <c r="E2942" s="29"/>
      <c r="F2942" s="29" t="s">
        <v>3686</v>
      </c>
      <c r="G2942" s="29"/>
      <c r="H2942" s="29" t="s">
        <v>3687</v>
      </c>
      <c r="I2942" s="29"/>
      <c r="J2942" s="29"/>
      <c r="K2942" s="29"/>
      <c r="L2942" s="29"/>
      <c r="M2942" s="29"/>
      <c r="N2942" s="29" t="s">
        <v>3514</v>
      </c>
      <c r="O2942" s="29"/>
      <c r="P2942" s="29" t="s">
        <v>10145</v>
      </c>
      <c r="Q2942" t="s">
        <v>2038</v>
      </c>
      <c r="R2942" t="s">
        <v>2633</v>
      </c>
      <c r="S2942">
        <v>37</v>
      </c>
      <c r="T2942" s="43" t="str">
        <f t="shared" si="130"/>
        <v>2021.010B.R.Binomial_names.zip</v>
      </c>
      <c r="U2942" s="43" t="str">
        <f>HYPERLINK("https://ictv.global/taxonomy/taxondetails?taxnode_id=202209813","ictv.global=202209813")</f>
        <v>ictv.global=202209813</v>
      </c>
    </row>
    <row r="2943" spans="1:21">
      <c r="A2943">
        <v>2942</v>
      </c>
      <c r="B2943" s="29" t="s">
        <v>3682</v>
      </c>
      <c r="C2943" s="29"/>
      <c r="D2943" s="29" t="s">
        <v>3683</v>
      </c>
      <c r="E2943" s="29"/>
      <c r="F2943" s="29" t="s">
        <v>3686</v>
      </c>
      <c r="G2943" s="29"/>
      <c r="H2943" s="29" t="s">
        <v>3687</v>
      </c>
      <c r="I2943" s="29"/>
      <c r="J2943" s="29"/>
      <c r="K2943" s="29"/>
      <c r="L2943" s="29"/>
      <c r="M2943" s="29"/>
      <c r="N2943" s="29" t="s">
        <v>3514</v>
      </c>
      <c r="O2943" s="29"/>
      <c r="P2943" s="29" t="s">
        <v>10146</v>
      </c>
      <c r="Q2943" t="s">
        <v>2038</v>
      </c>
      <c r="R2943" t="s">
        <v>2633</v>
      </c>
      <c r="S2943">
        <v>37</v>
      </c>
      <c r="T2943" s="43" t="str">
        <f t="shared" si="130"/>
        <v>2021.010B.R.Binomial_names.zip</v>
      </c>
      <c r="U2943" s="43" t="str">
        <f>HYPERLINK("https://ictv.global/taxonomy/taxondetails?taxnode_id=202209816","ictv.global=202209816")</f>
        <v>ictv.global=202209816</v>
      </c>
    </row>
    <row r="2944" spans="1:21">
      <c r="A2944">
        <v>2943</v>
      </c>
      <c r="B2944" s="29" t="s">
        <v>3682</v>
      </c>
      <c r="C2944" s="29"/>
      <c r="D2944" s="29" t="s">
        <v>3683</v>
      </c>
      <c r="E2944" s="29"/>
      <c r="F2944" s="29" t="s">
        <v>3686</v>
      </c>
      <c r="G2944" s="29"/>
      <c r="H2944" s="29" t="s">
        <v>3687</v>
      </c>
      <c r="I2944" s="29"/>
      <c r="J2944" s="29"/>
      <c r="K2944" s="29"/>
      <c r="L2944" s="29"/>
      <c r="M2944" s="29"/>
      <c r="N2944" s="29" t="s">
        <v>3514</v>
      </c>
      <c r="O2944" s="29"/>
      <c r="P2944" s="29" t="s">
        <v>10147</v>
      </c>
      <c r="Q2944" t="s">
        <v>2038</v>
      </c>
      <c r="R2944" t="s">
        <v>2633</v>
      </c>
      <c r="S2944">
        <v>37</v>
      </c>
      <c r="T2944" s="43" t="str">
        <f t="shared" si="130"/>
        <v>2021.010B.R.Binomial_names.zip</v>
      </c>
      <c r="U2944" s="43" t="str">
        <f>HYPERLINK("https://ictv.global/taxonomy/taxondetails?taxnode_id=202209815","ictv.global=202209815")</f>
        <v>ictv.global=202209815</v>
      </c>
    </row>
    <row r="2945" spans="1:21">
      <c r="A2945">
        <v>2944</v>
      </c>
      <c r="B2945" s="29" t="s">
        <v>3682</v>
      </c>
      <c r="C2945" s="29"/>
      <c r="D2945" s="29" t="s">
        <v>3683</v>
      </c>
      <c r="E2945" s="29"/>
      <c r="F2945" s="29" t="s">
        <v>3686</v>
      </c>
      <c r="G2945" s="29"/>
      <c r="H2945" s="29" t="s">
        <v>3687</v>
      </c>
      <c r="I2945" s="29"/>
      <c r="J2945" s="29"/>
      <c r="K2945" s="29"/>
      <c r="L2945" s="29"/>
      <c r="M2945" s="29"/>
      <c r="N2945" s="29" t="s">
        <v>3514</v>
      </c>
      <c r="O2945" s="29"/>
      <c r="P2945" s="29" t="s">
        <v>10148</v>
      </c>
      <c r="Q2945" t="s">
        <v>2038</v>
      </c>
      <c r="R2945" t="s">
        <v>2633</v>
      </c>
      <c r="S2945">
        <v>37</v>
      </c>
      <c r="T2945" s="43" t="str">
        <f t="shared" si="130"/>
        <v>2021.010B.R.Binomial_names.zip</v>
      </c>
      <c r="U2945" s="43" t="str">
        <f>HYPERLINK("https://ictv.global/taxonomy/taxondetails?taxnode_id=202209817","ictv.global=202209817")</f>
        <v>ictv.global=202209817</v>
      </c>
    </row>
    <row r="2946" spans="1:21">
      <c r="A2946">
        <v>2945</v>
      </c>
      <c r="B2946" s="29" t="s">
        <v>3682</v>
      </c>
      <c r="C2946" s="29"/>
      <c r="D2946" s="29" t="s">
        <v>3683</v>
      </c>
      <c r="E2946" s="29"/>
      <c r="F2946" s="29" t="s">
        <v>3686</v>
      </c>
      <c r="G2946" s="29"/>
      <c r="H2946" s="29" t="s">
        <v>3687</v>
      </c>
      <c r="I2946" s="29"/>
      <c r="J2946" s="29"/>
      <c r="K2946" s="29"/>
      <c r="L2946" s="29"/>
      <c r="M2946" s="29"/>
      <c r="N2946" s="29" t="s">
        <v>3514</v>
      </c>
      <c r="O2946" s="29"/>
      <c r="P2946" s="29" t="s">
        <v>10149</v>
      </c>
      <c r="Q2946" t="s">
        <v>2038</v>
      </c>
      <c r="R2946" t="s">
        <v>2633</v>
      </c>
      <c r="S2946">
        <v>37</v>
      </c>
      <c r="T2946" s="43" t="str">
        <f t="shared" si="130"/>
        <v>2021.010B.R.Binomial_names.zip</v>
      </c>
      <c r="U2946" s="43" t="str">
        <f>HYPERLINK("https://ictv.global/taxonomy/taxondetails?taxnode_id=202209822","ictv.global=202209822")</f>
        <v>ictv.global=202209822</v>
      </c>
    </row>
    <row r="2947" spans="1:21">
      <c r="A2947">
        <v>2946</v>
      </c>
      <c r="B2947" s="29" t="s">
        <v>3682</v>
      </c>
      <c r="C2947" s="29"/>
      <c r="D2947" s="29" t="s">
        <v>3683</v>
      </c>
      <c r="E2947" s="29"/>
      <c r="F2947" s="29" t="s">
        <v>3686</v>
      </c>
      <c r="G2947" s="29"/>
      <c r="H2947" s="29" t="s">
        <v>3687</v>
      </c>
      <c r="I2947" s="29"/>
      <c r="J2947" s="29"/>
      <c r="K2947" s="29"/>
      <c r="L2947" s="29"/>
      <c r="M2947" s="29"/>
      <c r="N2947" s="29" t="s">
        <v>3514</v>
      </c>
      <c r="O2947" s="29"/>
      <c r="P2947" s="29" t="s">
        <v>10150</v>
      </c>
      <c r="Q2947" t="s">
        <v>2038</v>
      </c>
      <c r="R2947" t="s">
        <v>2633</v>
      </c>
      <c r="S2947">
        <v>37</v>
      </c>
      <c r="T2947" s="43" t="str">
        <f t="shared" si="130"/>
        <v>2021.010B.R.Binomial_names.zip</v>
      </c>
      <c r="U2947" s="43" t="str">
        <f>HYPERLINK("https://ictv.global/taxonomy/taxondetails?taxnode_id=202209805","ictv.global=202209805")</f>
        <v>ictv.global=202209805</v>
      </c>
    </row>
    <row r="2948" spans="1:21">
      <c r="A2948">
        <v>2947</v>
      </c>
      <c r="B2948" s="29" t="s">
        <v>3682</v>
      </c>
      <c r="C2948" s="29"/>
      <c r="D2948" s="29" t="s">
        <v>3683</v>
      </c>
      <c r="E2948" s="29"/>
      <c r="F2948" s="29" t="s">
        <v>3686</v>
      </c>
      <c r="G2948" s="29"/>
      <c r="H2948" s="29" t="s">
        <v>3687</v>
      </c>
      <c r="I2948" s="29"/>
      <c r="J2948" s="29"/>
      <c r="K2948" s="29"/>
      <c r="L2948" s="29"/>
      <c r="M2948" s="29"/>
      <c r="N2948" s="29" t="s">
        <v>3514</v>
      </c>
      <c r="O2948" s="29"/>
      <c r="P2948" s="29" t="s">
        <v>10151</v>
      </c>
      <c r="Q2948" t="s">
        <v>2038</v>
      </c>
      <c r="R2948" t="s">
        <v>2633</v>
      </c>
      <c r="S2948">
        <v>37</v>
      </c>
      <c r="T2948" s="43" t="str">
        <f t="shared" si="130"/>
        <v>2021.010B.R.Binomial_names.zip</v>
      </c>
      <c r="U2948" s="43" t="str">
        <f>HYPERLINK("https://ictv.global/taxonomy/taxondetails?taxnode_id=202209798","ictv.global=202209798")</f>
        <v>ictv.global=202209798</v>
      </c>
    </row>
    <row r="2949" spans="1:21">
      <c r="A2949">
        <v>2948</v>
      </c>
      <c r="B2949" s="29" t="s">
        <v>3682</v>
      </c>
      <c r="C2949" s="29"/>
      <c r="D2949" s="29" t="s">
        <v>3683</v>
      </c>
      <c r="E2949" s="29"/>
      <c r="F2949" s="29" t="s">
        <v>3686</v>
      </c>
      <c r="G2949" s="29"/>
      <c r="H2949" s="29" t="s">
        <v>3687</v>
      </c>
      <c r="I2949" s="29"/>
      <c r="J2949" s="29"/>
      <c r="K2949" s="29"/>
      <c r="L2949" s="29"/>
      <c r="M2949" s="29"/>
      <c r="N2949" s="29" t="s">
        <v>3514</v>
      </c>
      <c r="O2949" s="29"/>
      <c r="P2949" s="29" t="s">
        <v>10152</v>
      </c>
      <c r="Q2949" t="s">
        <v>2038</v>
      </c>
      <c r="R2949" t="s">
        <v>2633</v>
      </c>
      <c r="S2949">
        <v>37</v>
      </c>
      <c r="T2949" s="43" t="str">
        <f t="shared" si="130"/>
        <v>2021.010B.R.Binomial_names.zip</v>
      </c>
      <c r="U2949" s="43" t="str">
        <f>HYPERLINK("https://ictv.global/taxonomy/taxondetails?taxnode_id=202209799","ictv.global=202209799")</f>
        <v>ictv.global=202209799</v>
      </c>
    </row>
    <row r="2950" spans="1:21">
      <c r="A2950">
        <v>2949</v>
      </c>
      <c r="B2950" s="29" t="s">
        <v>3682</v>
      </c>
      <c r="C2950" s="29"/>
      <c r="D2950" s="29" t="s">
        <v>3683</v>
      </c>
      <c r="E2950" s="29"/>
      <c r="F2950" s="29" t="s">
        <v>3686</v>
      </c>
      <c r="G2950" s="29"/>
      <c r="H2950" s="29" t="s">
        <v>3687</v>
      </c>
      <c r="I2950" s="29"/>
      <c r="J2950" s="29"/>
      <c r="K2950" s="29"/>
      <c r="L2950" s="29"/>
      <c r="M2950" s="29"/>
      <c r="N2950" s="29" t="s">
        <v>3514</v>
      </c>
      <c r="O2950" s="29"/>
      <c r="P2950" s="29" t="s">
        <v>10153</v>
      </c>
      <c r="Q2950" t="s">
        <v>2038</v>
      </c>
      <c r="R2950" t="s">
        <v>2633</v>
      </c>
      <c r="S2950">
        <v>37</v>
      </c>
      <c r="T2950" s="43" t="str">
        <f t="shared" si="130"/>
        <v>2021.010B.R.Binomial_names.zip</v>
      </c>
      <c r="U2950" s="43" t="str">
        <f>HYPERLINK("https://ictv.global/taxonomy/taxondetails?taxnode_id=202209809","ictv.global=202209809")</f>
        <v>ictv.global=202209809</v>
      </c>
    </row>
    <row r="2951" spans="1:21">
      <c r="A2951">
        <v>2950</v>
      </c>
      <c r="B2951" s="29" t="s">
        <v>3682</v>
      </c>
      <c r="C2951" s="29"/>
      <c r="D2951" s="29" t="s">
        <v>3683</v>
      </c>
      <c r="E2951" s="29"/>
      <c r="F2951" s="29" t="s">
        <v>3686</v>
      </c>
      <c r="G2951" s="29"/>
      <c r="H2951" s="29" t="s">
        <v>3687</v>
      </c>
      <c r="I2951" s="29"/>
      <c r="J2951" s="29"/>
      <c r="K2951" s="29"/>
      <c r="L2951" s="29"/>
      <c r="M2951" s="29"/>
      <c r="N2951" s="29" t="s">
        <v>3514</v>
      </c>
      <c r="O2951" s="29"/>
      <c r="P2951" s="29" t="s">
        <v>10154</v>
      </c>
      <c r="Q2951" t="s">
        <v>2038</v>
      </c>
      <c r="R2951" t="s">
        <v>2633</v>
      </c>
      <c r="S2951">
        <v>37</v>
      </c>
      <c r="T2951" s="43" t="str">
        <f t="shared" si="130"/>
        <v>2021.010B.R.Binomial_names.zip</v>
      </c>
      <c r="U2951" s="43" t="str">
        <f>HYPERLINK("https://ictv.global/taxonomy/taxondetails?taxnode_id=202209796","ictv.global=202209796")</f>
        <v>ictv.global=202209796</v>
      </c>
    </row>
    <row r="2952" spans="1:21">
      <c r="A2952">
        <v>2951</v>
      </c>
      <c r="B2952" s="29" t="s">
        <v>3682</v>
      </c>
      <c r="C2952" s="29"/>
      <c r="D2952" s="29" t="s">
        <v>3683</v>
      </c>
      <c r="E2952" s="29"/>
      <c r="F2952" s="29" t="s">
        <v>3686</v>
      </c>
      <c r="G2952" s="29"/>
      <c r="H2952" s="29" t="s">
        <v>3687</v>
      </c>
      <c r="I2952" s="29"/>
      <c r="J2952" s="29"/>
      <c r="K2952" s="29"/>
      <c r="L2952" s="29"/>
      <c r="M2952" s="29"/>
      <c r="N2952" s="29" t="s">
        <v>3514</v>
      </c>
      <c r="O2952" s="29"/>
      <c r="P2952" s="29" t="s">
        <v>10155</v>
      </c>
      <c r="Q2952" t="s">
        <v>2038</v>
      </c>
      <c r="R2952" t="s">
        <v>2633</v>
      </c>
      <c r="S2952">
        <v>37</v>
      </c>
      <c r="T2952" s="43" t="str">
        <f t="shared" si="130"/>
        <v>2021.010B.R.Binomial_names.zip</v>
      </c>
      <c r="U2952" s="43" t="str">
        <f>HYPERLINK("https://ictv.global/taxonomy/taxondetails?taxnode_id=202209811","ictv.global=202209811")</f>
        <v>ictv.global=202209811</v>
      </c>
    </row>
    <row r="2953" spans="1:21">
      <c r="A2953">
        <v>2952</v>
      </c>
      <c r="B2953" s="29" t="s">
        <v>3682</v>
      </c>
      <c r="C2953" s="29"/>
      <c r="D2953" s="29" t="s">
        <v>3683</v>
      </c>
      <c r="E2953" s="29"/>
      <c r="F2953" s="29" t="s">
        <v>3686</v>
      </c>
      <c r="G2953" s="29"/>
      <c r="H2953" s="29" t="s">
        <v>3687</v>
      </c>
      <c r="I2953" s="29"/>
      <c r="J2953" s="29"/>
      <c r="K2953" s="29"/>
      <c r="L2953" s="29"/>
      <c r="M2953" s="29"/>
      <c r="N2953" s="29" t="s">
        <v>3514</v>
      </c>
      <c r="O2953" s="29"/>
      <c r="P2953" s="29" t="s">
        <v>10156</v>
      </c>
      <c r="Q2953" t="s">
        <v>2038</v>
      </c>
      <c r="R2953" t="s">
        <v>2633</v>
      </c>
      <c r="S2953">
        <v>37</v>
      </c>
      <c r="T2953" s="43" t="str">
        <f t="shared" si="130"/>
        <v>2021.010B.R.Binomial_names.zip</v>
      </c>
      <c r="U2953" s="43" t="str">
        <f>HYPERLINK("https://ictv.global/taxonomy/taxondetails?taxnode_id=202209808","ictv.global=202209808")</f>
        <v>ictv.global=202209808</v>
      </c>
    </row>
    <row r="2954" spans="1:21">
      <c r="A2954">
        <v>2953</v>
      </c>
      <c r="B2954" s="29" t="s">
        <v>3682</v>
      </c>
      <c r="C2954" s="29"/>
      <c r="D2954" s="29" t="s">
        <v>3683</v>
      </c>
      <c r="E2954" s="29"/>
      <c r="F2954" s="29" t="s">
        <v>3686</v>
      </c>
      <c r="G2954" s="29"/>
      <c r="H2954" s="29" t="s">
        <v>3687</v>
      </c>
      <c r="I2954" s="29"/>
      <c r="J2954" s="29"/>
      <c r="K2954" s="29"/>
      <c r="L2954" s="29"/>
      <c r="M2954" s="29"/>
      <c r="N2954" s="29" t="s">
        <v>3514</v>
      </c>
      <c r="O2954" s="29"/>
      <c r="P2954" s="29" t="s">
        <v>10157</v>
      </c>
      <c r="Q2954" t="s">
        <v>2038</v>
      </c>
      <c r="R2954" t="s">
        <v>2633</v>
      </c>
      <c r="S2954">
        <v>37</v>
      </c>
      <c r="T2954" s="43" t="str">
        <f t="shared" si="130"/>
        <v>2021.010B.R.Binomial_names.zip</v>
      </c>
      <c r="U2954" s="43" t="str">
        <f>HYPERLINK("https://ictv.global/taxonomy/taxondetails?taxnode_id=202209812","ictv.global=202209812")</f>
        <v>ictv.global=202209812</v>
      </c>
    </row>
    <row r="2955" spans="1:21">
      <c r="A2955">
        <v>2954</v>
      </c>
      <c r="B2955" s="29" t="s">
        <v>3682</v>
      </c>
      <c r="C2955" s="29"/>
      <c r="D2955" s="29" t="s">
        <v>3683</v>
      </c>
      <c r="E2955" s="29"/>
      <c r="F2955" s="29" t="s">
        <v>3686</v>
      </c>
      <c r="G2955" s="29"/>
      <c r="H2955" s="29" t="s">
        <v>3687</v>
      </c>
      <c r="I2955" s="29"/>
      <c r="J2955" s="29"/>
      <c r="K2955" s="29"/>
      <c r="L2955" s="29"/>
      <c r="M2955" s="29"/>
      <c r="N2955" s="29" t="s">
        <v>3514</v>
      </c>
      <c r="O2955" s="29"/>
      <c r="P2955" s="29" t="s">
        <v>10158</v>
      </c>
      <c r="Q2955" t="s">
        <v>2038</v>
      </c>
      <c r="R2955" t="s">
        <v>2633</v>
      </c>
      <c r="S2955">
        <v>37</v>
      </c>
      <c r="T2955" s="43" t="str">
        <f t="shared" si="130"/>
        <v>2021.010B.R.Binomial_names.zip</v>
      </c>
      <c r="U2955" s="43" t="str">
        <f>HYPERLINK("https://ictv.global/taxonomy/taxondetails?taxnode_id=202209810","ictv.global=202209810")</f>
        <v>ictv.global=202209810</v>
      </c>
    </row>
    <row r="2956" spans="1:21">
      <c r="A2956">
        <v>2955</v>
      </c>
      <c r="B2956" s="29" t="s">
        <v>3682</v>
      </c>
      <c r="C2956" s="29"/>
      <c r="D2956" s="29" t="s">
        <v>3683</v>
      </c>
      <c r="E2956" s="29"/>
      <c r="F2956" s="29" t="s">
        <v>3686</v>
      </c>
      <c r="G2956" s="29"/>
      <c r="H2956" s="29" t="s">
        <v>3687</v>
      </c>
      <c r="I2956" s="29"/>
      <c r="J2956" s="29"/>
      <c r="K2956" s="29"/>
      <c r="L2956" s="29"/>
      <c r="M2956" s="29"/>
      <c r="N2956" s="29" t="s">
        <v>3514</v>
      </c>
      <c r="O2956" s="29"/>
      <c r="P2956" s="29" t="s">
        <v>10159</v>
      </c>
      <c r="Q2956" t="s">
        <v>2038</v>
      </c>
      <c r="R2956" t="s">
        <v>2633</v>
      </c>
      <c r="S2956">
        <v>37</v>
      </c>
      <c r="T2956" s="43" t="str">
        <f t="shared" si="130"/>
        <v>2021.010B.R.Binomial_names.zip</v>
      </c>
      <c r="U2956" s="43" t="str">
        <f>HYPERLINK("https://ictv.global/taxonomy/taxondetails?taxnode_id=202209804","ictv.global=202209804")</f>
        <v>ictv.global=202209804</v>
      </c>
    </row>
    <row r="2957" spans="1:21">
      <c r="A2957">
        <v>2956</v>
      </c>
      <c r="B2957" s="29" t="s">
        <v>3682</v>
      </c>
      <c r="C2957" s="29"/>
      <c r="D2957" s="29" t="s">
        <v>3683</v>
      </c>
      <c r="E2957" s="29"/>
      <c r="F2957" s="29" t="s">
        <v>3686</v>
      </c>
      <c r="G2957" s="29"/>
      <c r="H2957" s="29" t="s">
        <v>3687</v>
      </c>
      <c r="I2957" s="29"/>
      <c r="J2957" s="29"/>
      <c r="K2957" s="29"/>
      <c r="L2957" s="29"/>
      <c r="M2957" s="29"/>
      <c r="N2957" s="29" t="s">
        <v>3519</v>
      </c>
      <c r="O2957" s="29"/>
      <c r="P2957" s="29" t="s">
        <v>10160</v>
      </c>
      <c r="Q2957" t="s">
        <v>2038</v>
      </c>
      <c r="R2957" t="s">
        <v>2633</v>
      </c>
      <c r="S2957">
        <v>37</v>
      </c>
      <c r="T2957" s="43" t="str">
        <f t="shared" si="130"/>
        <v>2021.010B.R.Binomial_names.zip</v>
      </c>
      <c r="U2957" s="43" t="str">
        <f>HYPERLINK("https://ictv.global/taxonomy/taxondetails?taxnode_id=202200872","ictv.global=202200872")</f>
        <v>ictv.global=202200872</v>
      </c>
    </row>
    <row r="2958" spans="1:21">
      <c r="A2958">
        <v>2957</v>
      </c>
      <c r="B2958" s="29" t="s">
        <v>3682</v>
      </c>
      <c r="C2958" s="29"/>
      <c r="D2958" s="29" t="s">
        <v>3683</v>
      </c>
      <c r="E2958" s="29"/>
      <c r="F2958" s="29" t="s">
        <v>3686</v>
      </c>
      <c r="G2958" s="29"/>
      <c r="H2958" s="29" t="s">
        <v>3687</v>
      </c>
      <c r="I2958" s="29"/>
      <c r="J2958" s="29"/>
      <c r="K2958" s="29"/>
      <c r="L2958" s="29"/>
      <c r="M2958" s="29"/>
      <c r="N2958" s="29" t="s">
        <v>3519</v>
      </c>
      <c r="O2958" s="29"/>
      <c r="P2958" s="29" t="s">
        <v>10161</v>
      </c>
      <c r="Q2958" t="s">
        <v>2038</v>
      </c>
      <c r="R2958" t="s">
        <v>2633</v>
      </c>
      <c r="S2958">
        <v>37</v>
      </c>
      <c r="T2958" s="43" t="str">
        <f t="shared" si="130"/>
        <v>2021.010B.R.Binomial_names.zip</v>
      </c>
      <c r="U2958" s="43" t="str">
        <f>HYPERLINK("https://ictv.global/taxonomy/taxondetails?taxnode_id=202200873","ictv.global=202200873")</f>
        <v>ictv.global=202200873</v>
      </c>
    </row>
    <row r="2959" spans="1:21">
      <c r="A2959">
        <v>2958</v>
      </c>
      <c r="B2959" s="29" t="s">
        <v>3682</v>
      </c>
      <c r="C2959" s="29"/>
      <c r="D2959" s="29" t="s">
        <v>3683</v>
      </c>
      <c r="E2959" s="29"/>
      <c r="F2959" s="29" t="s">
        <v>3686</v>
      </c>
      <c r="G2959" s="29"/>
      <c r="H2959" s="29" t="s">
        <v>3687</v>
      </c>
      <c r="I2959" s="29"/>
      <c r="J2959" s="29"/>
      <c r="K2959" s="29"/>
      <c r="L2959" s="29"/>
      <c r="M2959" s="29"/>
      <c r="N2959" s="29" t="s">
        <v>3519</v>
      </c>
      <c r="O2959" s="29"/>
      <c r="P2959" s="29" t="s">
        <v>10162</v>
      </c>
      <c r="Q2959" t="s">
        <v>2038</v>
      </c>
      <c r="R2959" t="s">
        <v>2633</v>
      </c>
      <c r="S2959">
        <v>37</v>
      </c>
      <c r="T2959" s="43" t="str">
        <f t="shared" si="130"/>
        <v>2021.010B.R.Binomial_names.zip</v>
      </c>
      <c r="U2959" s="43" t="str">
        <f>HYPERLINK("https://ictv.global/taxonomy/taxondetails?taxnode_id=202200874","ictv.global=202200874")</f>
        <v>ictv.global=202200874</v>
      </c>
    </row>
    <row r="2960" spans="1:21">
      <c r="A2960">
        <v>2959</v>
      </c>
      <c r="B2960" s="29" t="s">
        <v>3682</v>
      </c>
      <c r="C2960" s="29"/>
      <c r="D2960" s="29" t="s">
        <v>3683</v>
      </c>
      <c r="E2960" s="29"/>
      <c r="F2960" s="29" t="s">
        <v>3686</v>
      </c>
      <c r="G2960" s="29"/>
      <c r="H2960" s="29" t="s">
        <v>3687</v>
      </c>
      <c r="I2960" s="29"/>
      <c r="J2960" s="29"/>
      <c r="K2960" s="29"/>
      <c r="L2960" s="29"/>
      <c r="M2960" s="29"/>
      <c r="N2960" s="29" t="s">
        <v>3519</v>
      </c>
      <c r="O2960" s="29"/>
      <c r="P2960" s="29" t="s">
        <v>10163</v>
      </c>
      <c r="Q2960" t="s">
        <v>2038</v>
      </c>
      <c r="R2960" t="s">
        <v>2633</v>
      </c>
      <c r="S2960">
        <v>37</v>
      </c>
      <c r="T2960" s="43" t="str">
        <f t="shared" si="130"/>
        <v>2021.010B.R.Binomial_names.zip</v>
      </c>
      <c r="U2960" s="43" t="str">
        <f>HYPERLINK("https://ictv.global/taxonomy/taxondetails?taxnode_id=202200875","ictv.global=202200875")</f>
        <v>ictv.global=202200875</v>
      </c>
    </row>
    <row r="2961" spans="1:21">
      <c r="A2961">
        <v>2960</v>
      </c>
      <c r="B2961" s="29" t="s">
        <v>3682</v>
      </c>
      <c r="C2961" s="29"/>
      <c r="D2961" s="29" t="s">
        <v>3683</v>
      </c>
      <c r="E2961" s="29"/>
      <c r="F2961" s="29" t="s">
        <v>3686</v>
      </c>
      <c r="G2961" s="29"/>
      <c r="H2961" s="29" t="s">
        <v>3687</v>
      </c>
      <c r="I2961" s="29"/>
      <c r="J2961" s="29"/>
      <c r="K2961" s="29"/>
      <c r="L2961" s="29"/>
      <c r="M2961" s="29"/>
      <c r="N2961" s="29" t="s">
        <v>3519</v>
      </c>
      <c r="O2961" s="29"/>
      <c r="P2961" s="29" t="s">
        <v>10164</v>
      </c>
      <c r="Q2961" t="s">
        <v>2038</v>
      </c>
      <c r="R2961" t="s">
        <v>2633</v>
      </c>
      <c r="S2961">
        <v>37</v>
      </c>
      <c r="T2961" s="43" t="str">
        <f t="shared" si="130"/>
        <v>2021.010B.R.Binomial_names.zip</v>
      </c>
      <c r="U2961" s="43" t="str">
        <f>HYPERLINK("https://ictv.global/taxonomy/taxondetails?taxnode_id=202200877","ictv.global=202200877")</f>
        <v>ictv.global=202200877</v>
      </c>
    </row>
    <row r="2962" spans="1:21">
      <c r="A2962">
        <v>2961</v>
      </c>
      <c r="B2962" s="29" t="s">
        <v>3682</v>
      </c>
      <c r="C2962" s="29"/>
      <c r="D2962" s="29" t="s">
        <v>3683</v>
      </c>
      <c r="E2962" s="29"/>
      <c r="F2962" s="29" t="s">
        <v>3686</v>
      </c>
      <c r="G2962" s="29"/>
      <c r="H2962" s="29" t="s">
        <v>3687</v>
      </c>
      <c r="I2962" s="29"/>
      <c r="J2962" s="29"/>
      <c r="K2962" s="29"/>
      <c r="L2962" s="29"/>
      <c r="M2962" s="29"/>
      <c r="N2962" s="29" t="s">
        <v>3519</v>
      </c>
      <c r="O2962" s="29"/>
      <c r="P2962" s="29" t="s">
        <v>10165</v>
      </c>
      <c r="Q2962" t="s">
        <v>2038</v>
      </c>
      <c r="R2962" t="s">
        <v>2633</v>
      </c>
      <c r="S2962">
        <v>37</v>
      </c>
      <c r="T2962" s="43" t="str">
        <f t="shared" si="130"/>
        <v>2021.010B.R.Binomial_names.zip</v>
      </c>
      <c r="U2962" s="43" t="str">
        <f>HYPERLINK("https://ictv.global/taxonomy/taxondetails?taxnode_id=202200876","ictv.global=202200876")</f>
        <v>ictv.global=202200876</v>
      </c>
    </row>
    <row r="2963" spans="1:21">
      <c r="A2963">
        <v>2962</v>
      </c>
      <c r="B2963" s="29" t="s">
        <v>3682</v>
      </c>
      <c r="C2963" s="29"/>
      <c r="D2963" s="29" t="s">
        <v>3683</v>
      </c>
      <c r="E2963" s="29"/>
      <c r="F2963" s="29" t="s">
        <v>3686</v>
      </c>
      <c r="G2963" s="29"/>
      <c r="H2963" s="29" t="s">
        <v>3687</v>
      </c>
      <c r="I2963" s="29"/>
      <c r="J2963" s="29"/>
      <c r="K2963" s="29"/>
      <c r="L2963" s="29"/>
      <c r="M2963" s="29"/>
      <c r="N2963" s="29" t="s">
        <v>10166</v>
      </c>
      <c r="O2963" s="29"/>
      <c r="P2963" s="29" t="s">
        <v>10167</v>
      </c>
      <c r="Q2963" t="s">
        <v>2038</v>
      </c>
      <c r="R2963" t="s">
        <v>2632</v>
      </c>
      <c r="S2963">
        <v>38</v>
      </c>
      <c r="T2963" s="43" t="str">
        <f>HYPERLINK("https://ictv.global/ictv/proposals/2022.021B.Certevirus_ng.zip","2022.021B.Certevirus_ng.zip")</f>
        <v>2022.021B.Certevirus_ng.zip</v>
      </c>
      <c r="U2963" s="43" t="str">
        <f>HYPERLINK("https://ictv.global/taxonomy/taxondetails?taxnode_id=202214554","ictv.global=202214554")</f>
        <v>ictv.global=202214554</v>
      </c>
    </row>
    <row r="2964" spans="1:21">
      <c r="A2964">
        <v>2963</v>
      </c>
      <c r="B2964" s="29" t="s">
        <v>3682</v>
      </c>
      <c r="C2964" s="29"/>
      <c r="D2964" s="29" t="s">
        <v>3683</v>
      </c>
      <c r="E2964" s="29"/>
      <c r="F2964" s="29" t="s">
        <v>3686</v>
      </c>
      <c r="G2964" s="29"/>
      <c r="H2964" s="29" t="s">
        <v>3687</v>
      </c>
      <c r="I2964" s="29"/>
      <c r="J2964" s="29"/>
      <c r="K2964" s="29"/>
      <c r="L2964" s="29"/>
      <c r="M2964" s="29"/>
      <c r="N2964" s="29" t="s">
        <v>3401</v>
      </c>
      <c r="O2964" s="29"/>
      <c r="P2964" s="29" t="s">
        <v>10168</v>
      </c>
      <c r="Q2964" t="s">
        <v>2038</v>
      </c>
      <c r="R2964" t="s">
        <v>2633</v>
      </c>
      <c r="S2964">
        <v>37</v>
      </c>
      <c r="T2964" s="43" t="str">
        <f>HYPERLINK("https://ictv.global/ictv/proposals/2021.010B.R.Binomial_names.zip","2021.010B.R.Binomial_names.zip")</f>
        <v>2021.010B.R.Binomial_names.zip</v>
      </c>
      <c r="U2964" s="43" t="str">
        <f>HYPERLINK("https://ictv.global/taxonomy/taxondetails?taxnode_id=202206814","ictv.global=202206814")</f>
        <v>ictv.global=202206814</v>
      </c>
    </row>
    <row r="2965" spans="1:21">
      <c r="A2965">
        <v>2964</v>
      </c>
      <c r="B2965" s="29" t="s">
        <v>3682</v>
      </c>
      <c r="C2965" s="29"/>
      <c r="D2965" s="29" t="s">
        <v>3683</v>
      </c>
      <c r="E2965" s="29"/>
      <c r="F2965" s="29" t="s">
        <v>3686</v>
      </c>
      <c r="G2965" s="29"/>
      <c r="H2965" s="29" t="s">
        <v>3687</v>
      </c>
      <c r="I2965" s="29"/>
      <c r="J2965" s="29"/>
      <c r="K2965" s="29"/>
      <c r="L2965" s="29"/>
      <c r="M2965" s="29"/>
      <c r="N2965" s="29" t="s">
        <v>10169</v>
      </c>
      <c r="O2965" s="29"/>
      <c r="P2965" s="29" t="s">
        <v>10170</v>
      </c>
      <c r="Q2965" t="s">
        <v>2038</v>
      </c>
      <c r="R2965" t="s">
        <v>2632</v>
      </c>
      <c r="S2965">
        <v>38</v>
      </c>
      <c r="T2965" s="43" t="str">
        <f>HYPERLINK("https://ictv.global/ictv/proposals/2022.022B.Chaoshanvirus_ng.zip","2022.022B.Chaoshanvirus_ng.zip")</f>
        <v>2022.022B.Chaoshanvirus_ng.zip</v>
      </c>
      <c r="U2965" s="43" t="str">
        <f>HYPERLINK("https://ictv.global/taxonomy/taxondetails?taxnode_id=202214556","ictv.global=202214556")</f>
        <v>ictv.global=202214556</v>
      </c>
    </row>
    <row r="2966" spans="1:21">
      <c r="A2966">
        <v>2965</v>
      </c>
      <c r="B2966" s="29" t="s">
        <v>3682</v>
      </c>
      <c r="C2966" s="29"/>
      <c r="D2966" s="29" t="s">
        <v>3683</v>
      </c>
      <c r="E2966" s="29"/>
      <c r="F2966" s="29" t="s">
        <v>3686</v>
      </c>
      <c r="G2966" s="29"/>
      <c r="H2966" s="29" t="s">
        <v>3687</v>
      </c>
      <c r="I2966" s="29"/>
      <c r="J2966" s="29"/>
      <c r="K2966" s="29"/>
      <c r="L2966" s="29"/>
      <c r="M2966" s="29"/>
      <c r="N2966" s="29" t="s">
        <v>3521</v>
      </c>
      <c r="O2966" s="29"/>
      <c r="P2966" s="29" t="s">
        <v>10171</v>
      </c>
      <c r="Q2966" t="s">
        <v>2038</v>
      </c>
      <c r="R2966" t="s">
        <v>2633</v>
      </c>
      <c r="S2966">
        <v>37</v>
      </c>
      <c r="T2966" s="43" t="str">
        <f>HYPERLINK("https://ictv.global/ictv/proposals/2021.010B.R.Binomial_names.zip","2021.010B.R.Binomial_names.zip")</f>
        <v>2021.010B.R.Binomial_names.zip</v>
      </c>
      <c r="U2966" s="43" t="str">
        <f>HYPERLINK("https://ictv.global/taxonomy/taxondetails?taxnode_id=202200922","ictv.global=202200922")</f>
        <v>ictv.global=202200922</v>
      </c>
    </row>
    <row r="2967" spans="1:21">
      <c r="A2967">
        <v>2966</v>
      </c>
      <c r="B2967" s="29" t="s">
        <v>3682</v>
      </c>
      <c r="C2967" s="29"/>
      <c r="D2967" s="29" t="s">
        <v>3683</v>
      </c>
      <c r="E2967" s="29"/>
      <c r="F2967" s="29" t="s">
        <v>3686</v>
      </c>
      <c r="G2967" s="29"/>
      <c r="H2967" s="29" t="s">
        <v>3687</v>
      </c>
      <c r="I2967" s="29"/>
      <c r="J2967" s="29"/>
      <c r="K2967" s="29"/>
      <c r="L2967" s="29"/>
      <c r="M2967" s="29"/>
      <c r="N2967" s="29" t="s">
        <v>3521</v>
      </c>
      <c r="O2967" s="29"/>
      <c r="P2967" s="29" t="s">
        <v>10172</v>
      </c>
      <c r="Q2967" t="s">
        <v>2038</v>
      </c>
      <c r="R2967" t="s">
        <v>2633</v>
      </c>
      <c r="S2967">
        <v>37</v>
      </c>
      <c r="T2967" s="43" t="str">
        <f>HYPERLINK("https://ictv.global/ictv/proposals/2021.010B.R.Binomial_names.zip","2021.010B.R.Binomial_names.zip")</f>
        <v>2021.010B.R.Binomial_names.zip</v>
      </c>
      <c r="U2967" s="43" t="str">
        <f>HYPERLINK("https://ictv.global/taxonomy/taxondetails?taxnode_id=202205506","ictv.global=202205506")</f>
        <v>ictv.global=202205506</v>
      </c>
    </row>
    <row r="2968" spans="1:21">
      <c r="A2968">
        <v>2967</v>
      </c>
      <c r="B2968" s="29" t="s">
        <v>3682</v>
      </c>
      <c r="C2968" s="29"/>
      <c r="D2968" s="29" t="s">
        <v>3683</v>
      </c>
      <c r="E2968" s="29"/>
      <c r="F2968" s="29" t="s">
        <v>3686</v>
      </c>
      <c r="G2968" s="29"/>
      <c r="H2968" s="29" t="s">
        <v>3687</v>
      </c>
      <c r="I2968" s="29"/>
      <c r="J2968" s="29"/>
      <c r="K2968" s="29"/>
      <c r="L2968" s="29"/>
      <c r="M2968" s="29"/>
      <c r="N2968" s="29" t="s">
        <v>4713</v>
      </c>
      <c r="O2968" s="29"/>
      <c r="P2968" s="29" t="s">
        <v>10173</v>
      </c>
      <c r="Q2968" t="s">
        <v>2038</v>
      </c>
      <c r="R2968" t="s">
        <v>2633</v>
      </c>
      <c r="S2968">
        <v>37</v>
      </c>
      <c r="T2968" s="43" t="str">
        <f>HYPERLINK("https://ictv.global/ictv/proposals/2021.010B.R.Binomial_names.zip","2021.010B.R.Binomial_names.zip")</f>
        <v>2021.010B.R.Binomial_names.zip</v>
      </c>
      <c r="U2968" s="43" t="str">
        <f>HYPERLINK("https://ictv.global/taxonomy/taxondetails?taxnode_id=202209864","ictv.global=202209864")</f>
        <v>ictv.global=202209864</v>
      </c>
    </row>
    <row r="2969" spans="1:21">
      <c r="A2969">
        <v>2968</v>
      </c>
      <c r="B2969" s="29" t="s">
        <v>3682</v>
      </c>
      <c r="C2969" s="29"/>
      <c r="D2969" s="29" t="s">
        <v>3683</v>
      </c>
      <c r="E2969" s="29"/>
      <c r="F2969" s="29" t="s">
        <v>3686</v>
      </c>
      <c r="G2969" s="29"/>
      <c r="H2969" s="29" t="s">
        <v>3687</v>
      </c>
      <c r="I2969" s="29"/>
      <c r="J2969" s="29"/>
      <c r="K2969" s="29"/>
      <c r="L2969" s="29"/>
      <c r="M2969" s="29"/>
      <c r="N2969" s="29" t="s">
        <v>3402</v>
      </c>
      <c r="O2969" s="29"/>
      <c r="P2969" s="29" t="s">
        <v>10174</v>
      </c>
      <c r="Q2969" t="s">
        <v>2038</v>
      </c>
      <c r="R2969" t="s">
        <v>2633</v>
      </c>
      <c r="S2969">
        <v>37</v>
      </c>
      <c r="T2969" s="43" t="str">
        <f>HYPERLINK("https://ictv.global/ictv/proposals/2021.010B.R.Binomial_names.zip","2021.010B.R.Binomial_names.zip")</f>
        <v>2021.010B.R.Binomial_names.zip</v>
      </c>
      <c r="U2969" s="43" t="str">
        <f>HYPERLINK("https://ictv.global/taxonomy/taxondetails?taxnode_id=202200493","ictv.global=202200493")</f>
        <v>ictv.global=202200493</v>
      </c>
    </row>
    <row r="2970" spans="1:21">
      <c r="A2970">
        <v>2969</v>
      </c>
      <c r="B2970" s="29" t="s">
        <v>3682</v>
      </c>
      <c r="C2970" s="29"/>
      <c r="D2970" s="29" t="s">
        <v>3683</v>
      </c>
      <c r="E2970" s="29"/>
      <c r="F2970" s="29" t="s">
        <v>3686</v>
      </c>
      <c r="G2970" s="29"/>
      <c r="H2970" s="29" t="s">
        <v>3687</v>
      </c>
      <c r="I2970" s="29"/>
      <c r="J2970" s="29"/>
      <c r="K2970" s="29"/>
      <c r="L2970" s="29"/>
      <c r="M2970" s="29"/>
      <c r="N2970" s="29" t="s">
        <v>3402</v>
      </c>
      <c r="O2970" s="29"/>
      <c r="P2970" s="29" t="s">
        <v>10175</v>
      </c>
      <c r="Q2970" t="s">
        <v>2038</v>
      </c>
      <c r="R2970" t="s">
        <v>2633</v>
      </c>
      <c r="S2970">
        <v>37</v>
      </c>
      <c r="T2970" s="43" t="str">
        <f>HYPERLINK("https://ictv.global/ictv/proposals/2021.010B.R.Binomial_names.zip","2021.010B.R.Binomial_names.zip")</f>
        <v>2021.010B.R.Binomial_names.zip</v>
      </c>
      <c r="U2970" s="43" t="str">
        <f>HYPERLINK("https://ictv.global/taxonomy/taxondetails?taxnode_id=202200494","ictv.global=202200494")</f>
        <v>ictv.global=202200494</v>
      </c>
    </row>
    <row r="2971" spans="1:21">
      <c r="A2971">
        <v>2970</v>
      </c>
      <c r="B2971" s="29" t="s">
        <v>3682</v>
      </c>
      <c r="C2971" s="29"/>
      <c r="D2971" s="29" t="s">
        <v>3683</v>
      </c>
      <c r="E2971" s="29"/>
      <c r="F2971" s="29" t="s">
        <v>3686</v>
      </c>
      <c r="G2971" s="29"/>
      <c r="H2971" s="29" t="s">
        <v>3687</v>
      </c>
      <c r="I2971" s="29"/>
      <c r="J2971" s="29"/>
      <c r="K2971" s="29"/>
      <c r="L2971" s="29"/>
      <c r="M2971" s="29"/>
      <c r="N2971" s="29" t="s">
        <v>10176</v>
      </c>
      <c r="O2971" s="29"/>
      <c r="P2971" s="29" t="s">
        <v>10177</v>
      </c>
      <c r="Q2971" t="s">
        <v>2038</v>
      </c>
      <c r="R2971" t="s">
        <v>2632</v>
      </c>
      <c r="S2971">
        <v>38</v>
      </c>
      <c r="T2971" s="43" t="str">
        <f>HYPERLINK("https://ictv.global/ictv/proposals/2022.023B.Chidieberevirus_ng.zip","2022.023B.Chidieberevirus_ng.zip")</f>
        <v>2022.023B.Chidieberevirus_ng.zip</v>
      </c>
      <c r="U2971" s="43" t="str">
        <f>HYPERLINK("https://ictv.global/taxonomy/taxondetails?taxnode_id=202214558","ictv.global=202214558")</f>
        <v>ictv.global=202214558</v>
      </c>
    </row>
    <row r="2972" spans="1:21">
      <c r="A2972">
        <v>2971</v>
      </c>
      <c r="B2972" s="29" t="s">
        <v>3682</v>
      </c>
      <c r="C2972" s="29"/>
      <c r="D2972" s="29" t="s">
        <v>3683</v>
      </c>
      <c r="E2972" s="29"/>
      <c r="F2972" s="29" t="s">
        <v>3686</v>
      </c>
      <c r="G2972" s="29"/>
      <c r="H2972" s="29" t="s">
        <v>3687</v>
      </c>
      <c r="I2972" s="29"/>
      <c r="J2972" s="29"/>
      <c r="K2972" s="29"/>
      <c r="L2972" s="29"/>
      <c r="M2972" s="29"/>
      <c r="N2972" s="29" t="s">
        <v>10176</v>
      </c>
      <c r="O2972" s="29"/>
      <c r="P2972" s="29" t="s">
        <v>10178</v>
      </c>
      <c r="Q2972" t="s">
        <v>2038</v>
      </c>
      <c r="R2972" t="s">
        <v>2632</v>
      </c>
      <c r="S2972">
        <v>38</v>
      </c>
      <c r="T2972" s="43" t="str">
        <f>HYPERLINK("https://ictv.global/ictv/proposals/2022.023B.Chidieberevirus_ng.zip","2022.023B.Chidieberevirus_ng.zip")</f>
        <v>2022.023B.Chidieberevirus_ng.zip</v>
      </c>
      <c r="U2972" s="43" t="str">
        <f>HYPERLINK("https://ictv.global/taxonomy/taxondetails?taxnode_id=202214559","ictv.global=202214559")</f>
        <v>ictv.global=202214559</v>
      </c>
    </row>
    <row r="2973" spans="1:21">
      <c r="A2973">
        <v>2972</v>
      </c>
      <c r="B2973" s="29" t="s">
        <v>3682</v>
      </c>
      <c r="C2973" s="29"/>
      <c r="D2973" s="29" t="s">
        <v>3683</v>
      </c>
      <c r="E2973" s="29"/>
      <c r="F2973" s="29" t="s">
        <v>3686</v>
      </c>
      <c r="G2973" s="29"/>
      <c r="H2973" s="29" t="s">
        <v>3687</v>
      </c>
      <c r="I2973" s="29"/>
      <c r="J2973" s="29"/>
      <c r="K2973" s="29"/>
      <c r="L2973" s="29"/>
      <c r="M2973" s="29"/>
      <c r="N2973" s="29" t="s">
        <v>4599</v>
      </c>
      <c r="O2973" s="29"/>
      <c r="P2973" s="29" t="s">
        <v>10179</v>
      </c>
      <c r="Q2973" t="s">
        <v>2038</v>
      </c>
      <c r="R2973" t="s">
        <v>2633</v>
      </c>
      <c r="S2973">
        <v>37</v>
      </c>
      <c r="T2973" s="43" t="str">
        <f t="shared" ref="T2973:T2980" si="131">HYPERLINK("https://ictv.global/ictv/proposals/2021.010B.R.Binomial_names.zip","2021.010B.R.Binomial_names.zip")</f>
        <v>2021.010B.R.Binomial_names.zip</v>
      </c>
      <c r="U2973" s="43" t="str">
        <f>HYPERLINK("https://ictv.global/taxonomy/taxondetails?taxnode_id=202200703","ictv.global=202200703")</f>
        <v>ictv.global=202200703</v>
      </c>
    </row>
    <row r="2974" spans="1:21">
      <c r="A2974">
        <v>2973</v>
      </c>
      <c r="B2974" s="29" t="s">
        <v>3682</v>
      </c>
      <c r="C2974" s="29"/>
      <c r="D2974" s="29" t="s">
        <v>3683</v>
      </c>
      <c r="E2974" s="29"/>
      <c r="F2974" s="29" t="s">
        <v>3686</v>
      </c>
      <c r="G2974" s="29"/>
      <c r="H2974" s="29" t="s">
        <v>3687</v>
      </c>
      <c r="I2974" s="29"/>
      <c r="J2974" s="29"/>
      <c r="K2974" s="29"/>
      <c r="L2974" s="29"/>
      <c r="M2974" s="29"/>
      <c r="N2974" s="29" t="s">
        <v>4600</v>
      </c>
      <c r="O2974" s="29"/>
      <c r="P2974" s="29" t="s">
        <v>10180</v>
      </c>
      <c r="Q2974" t="s">
        <v>2038</v>
      </c>
      <c r="R2974" t="s">
        <v>2633</v>
      </c>
      <c r="S2974">
        <v>37</v>
      </c>
      <c r="T2974" s="43" t="str">
        <f t="shared" si="131"/>
        <v>2021.010B.R.Binomial_names.zip</v>
      </c>
      <c r="U2974" s="43" t="str">
        <f>HYPERLINK("https://ictv.global/taxonomy/taxondetails?taxnode_id=202211652","ictv.global=202211652")</f>
        <v>ictv.global=202211652</v>
      </c>
    </row>
    <row r="2975" spans="1:21">
      <c r="A2975">
        <v>2974</v>
      </c>
      <c r="B2975" s="29" t="s">
        <v>3682</v>
      </c>
      <c r="C2975" s="29"/>
      <c r="D2975" s="29" t="s">
        <v>3683</v>
      </c>
      <c r="E2975" s="29"/>
      <c r="F2975" s="29" t="s">
        <v>3686</v>
      </c>
      <c r="G2975" s="29"/>
      <c r="H2975" s="29" t="s">
        <v>3687</v>
      </c>
      <c r="I2975" s="29"/>
      <c r="J2975" s="29"/>
      <c r="K2975" s="29"/>
      <c r="L2975" s="29"/>
      <c r="M2975" s="29"/>
      <c r="N2975" s="29" t="s">
        <v>4600</v>
      </c>
      <c r="O2975" s="29"/>
      <c r="P2975" s="29" t="s">
        <v>10181</v>
      </c>
      <c r="Q2975" t="s">
        <v>2038</v>
      </c>
      <c r="R2975" t="s">
        <v>2633</v>
      </c>
      <c r="S2975">
        <v>37</v>
      </c>
      <c r="T2975" s="43" t="str">
        <f t="shared" si="131"/>
        <v>2021.010B.R.Binomial_names.zip</v>
      </c>
      <c r="U2975" s="43" t="str">
        <f>HYPERLINK("https://ictv.global/taxonomy/taxondetails?taxnode_id=202211654","ictv.global=202211654")</f>
        <v>ictv.global=202211654</v>
      </c>
    </row>
    <row r="2976" spans="1:21">
      <c r="A2976">
        <v>2975</v>
      </c>
      <c r="B2976" s="29" t="s">
        <v>3682</v>
      </c>
      <c r="C2976" s="29"/>
      <c r="D2976" s="29" t="s">
        <v>3683</v>
      </c>
      <c r="E2976" s="29"/>
      <c r="F2976" s="29" t="s">
        <v>3686</v>
      </c>
      <c r="G2976" s="29"/>
      <c r="H2976" s="29" t="s">
        <v>3687</v>
      </c>
      <c r="I2976" s="29"/>
      <c r="J2976" s="29"/>
      <c r="K2976" s="29"/>
      <c r="L2976" s="29"/>
      <c r="M2976" s="29"/>
      <c r="N2976" s="29" t="s">
        <v>4600</v>
      </c>
      <c r="O2976" s="29"/>
      <c r="P2976" s="29" t="s">
        <v>10182</v>
      </c>
      <c r="Q2976" t="s">
        <v>2038</v>
      </c>
      <c r="R2976" t="s">
        <v>2633</v>
      </c>
      <c r="S2976">
        <v>37</v>
      </c>
      <c r="T2976" s="43" t="str">
        <f t="shared" si="131"/>
        <v>2021.010B.R.Binomial_names.zip</v>
      </c>
      <c r="U2976" s="43" t="str">
        <f>HYPERLINK("https://ictv.global/taxonomy/taxondetails?taxnode_id=202211655","ictv.global=202211655")</f>
        <v>ictv.global=202211655</v>
      </c>
    </row>
    <row r="2977" spans="1:21">
      <c r="A2977">
        <v>2976</v>
      </c>
      <c r="B2977" s="29" t="s">
        <v>3682</v>
      </c>
      <c r="C2977" s="29"/>
      <c r="D2977" s="29" t="s">
        <v>3683</v>
      </c>
      <c r="E2977" s="29"/>
      <c r="F2977" s="29" t="s">
        <v>3686</v>
      </c>
      <c r="G2977" s="29"/>
      <c r="H2977" s="29" t="s">
        <v>3687</v>
      </c>
      <c r="I2977" s="29"/>
      <c r="J2977" s="29"/>
      <c r="K2977" s="29"/>
      <c r="L2977" s="29"/>
      <c r="M2977" s="29"/>
      <c r="N2977" s="29" t="s">
        <v>4600</v>
      </c>
      <c r="O2977" s="29"/>
      <c r="P2977" s="29" t="s">
        <v>10183</v>
      </c>
      <c r="Q2977" t="s">
        <v>2038</v>
      </c>
      <c r="R2977" t="s">
        <v>2633</v>
      </c>
      <c r="S2977">
        <v>37</v>
      </c>
      <c r="T2977" s="43" t="str">
        <f t="shared" si="131"/>
        <v>2021.010B.R.Binomial_names.zip</v>
      </c>
      <c r="U2977" s="43" t="str">
        <f>HYPERLINK("https://ictv.global/taxonomy/taxondetails?taxnode_id=202211656","ictv.global=202211656")</f>
        <v>ictv.global=202211656</v>
      </c>
    </row>
    <row r="2978" spans="1:21">
      <c r="A2978">
        <v>2977</v>
      </c>
      <c r="B2978" s="29" t="s">
        <v>3682</v>
      </c>
      <c r="C2978" s="29"/>
      <c r="D2978" s="29" t="s">
        <v>3683</v>
      </c>
      <c r="E2978" s="29"/>
      <c r="F2978" s="29" t="s">
        <v>3686</v>
      </c>
      <c r="G2978" s="29"/>
      <c r="H2978" s="29" t="s">
        <v>3687</v>
      </c>
      <c r="I2978" s="29"/>
      <c r="J2978" s="29"/>
      <c r="K2978" s="29"/>
      <c r="L2978" s="29"/>
      <c r="M2978" s="29"/>
      <c r="N2978" s="29" t="s">
        <v>4600</v>
      </c>
      <c r="O2978" s="29"/>
      <c r="P2978" s="29" t="s">
        <v>10184</v>
      </c>
      <c r="Q2978" t="s">
        <v>2038</v>
      </c>
      <c r="R2978" t="s">
        <v>2633</v>
      </c>
      <c r="S2978">
        <v>37</v>
      </c>
      <c r="T2978" s="43" t="str">
        <f t="shared" si="131"/>
        <v>2021.010B.R.Binomial_names.zip</v>
      </c>
      <c r="U2978" s="43" t="str">
        <f>HYPERLINK("https://ictv.global/taxonomy/taxondetails?taxnode_id=202211653","ictv.global=202211653")</f>
        <v>ictv.global=202211653</v>
      </c>
    </row>
    <row r="2979" spans="1:21">
      <c r="A2979">
        <v>2978</v>
      </c>
      <c r="B2979" s="29" t="s">
        <v>3682</v>
      </c>
      <c r="C2979" s="29"/>
      <c r="D2979" s="29" t="s">
        <v>3683</v>
      </c>
      <c r="E2979" s="29"/>
      <c r="F2979" s="29" t="s">
        <v>3686</v>
      </c>
      <c r="G2979" s="29"/>
      <c r="H2979" s="29" t="s">
        <v>3687</v>
      </c>
      <c r="I2979" s="29"/>
      <c r="J2979" s="29"/>
      <c r="K2979" s="29"/>
      <c r="L2979" s="29"/>
      <c r="M2979" s="29"/>
      <c r="N2979" s="29" t="s">
        <v>3525</v>
      </c>
      <c r="O2979" s="29"/>
      <c r="P2979" s="29" t="s">
        <v>10185</v>
      </c>
      <c r="Q2979" t="s">
        <v>2038</v>
      </c>
      <c r="R2979" t="s">
        <v>2633</v>
      </c>
      <c r="S2979">
        <v>37</v>
      </c>
      <c r="T2979" s="43" t="str">
        <f t="shared" si="131"/>
        <v>2021.010B.R.Binomial_names.zip</v>
      </c>
      <c r="U2979" s="43" t="str">
        <f>HYPERLINK("https://ictv.global/taxonomy/taxondetails?taxnode_id=202206733","ictv.global=202206733")</f>
        <v>ictv.global=202206733</v>
      </c>
    </row>
    <row r="2980" spans="1:21">
      <c r="A2980">
        <v>2979</v>
      </c>
      <c r="B2980" s="29" t="s">
        <v>3682</v>
      </c>
      <c r="C2980" s="29"/>
      <c r="D2980" s="29" t="s">
        <v>3683</v>
      </c>
      <c r="E2980" s="29"/>
      <c r="F2980" s="29" t="s">
        <v>3686</v>
      </c>
      <c r="G2980" s="29"/>
      <c r="H2980" s="29" t="s">
        <v>3687</v>
      </c>
      <c r="I2980" s="29"/>
      <c r="J2980" s="29"/>
      <c r="K2980" s="29"/>
      <c r="L2980" s="29"/>
      <c r="M2980" s="29"/>
      <c r="N2980" s="29" t="s">
        <v>3526</v>
      </c>
      <c r="O2980" s="29"/>
      <c r="P2980" s="29" t="s">
        <v>10186</v>
      </c>
      <c r="Q2980" t="s">
        <v>2038</v>
      </c>
      <c r="R2980" t="s">
        <v>2633</v>
      </c>
      <c r="S2980">
        <v>37</v>
      </c>
      <c r="T2980" s="43" t="str">
        <f t="shared" si="131"/>
        <v>2021.010B.R.Binomial_names.zip</v>
      </c>
      <c r="U2980" s="43" t="str">
        <f>HYPERLINK("https://ictv.global/taxonomy/taxondetails?taxnode_id=202206735","ictv.global=202206735")</f>
        <v>ictv.global=202206735</v>
      </c>
    </row>
    <row r="2981" spans="1:21">
      <c r="A2981">
        <v>2980</v>
      </c>
      <c r="B2981" s="29" t="s">
        <v>3682</v>
      </c>
      <c r="C2981" s="29"/>
      <c r="D2981" s="29" t="s">
        <v>3683</v>
      </c>
      <c r="E2981" s="29"/>
      <c r="F2981" s="29" t="s">
        <v>3686</v>
      </c>
      <c r="G2981" s="29"/>
      <c r="H2981" s="29" t="s">
        <v>3687</v>
      </c>
      <c r="I2981" s="29"/>
      <c r="J2981" s="29"/>
      <c r="K2981" s="29"/>
      <c r="L2981" s="29"/>
      <c r="M2981" s="29"/>
      <c r="N2981" s="29" t="s">
        <v>10187</v>
      </c>
      <c r="O2981" s="29"/>
      <c r="P2981" s="29" t="s">
        <v>10188</v>
      </c>
      <c r="Q2981" t="s">
        <v>2038</v>
      </c>
      <c r="R2981" t="s">
        <v>2632</v>
      </c>
      <c r="S2981">
        <v>38</v>
      </c>
      <c r="T2981" s="43" t="str">
        <f>HYPERLINK("https://ictv.global/ictv/proposals/2022.024B.Clawzvirus_ng.zip","2022.024B.Clawzvirus_ng.zip")</f>
        <v>2022.024B.Clawzvirus_ng.zip</v>
      </c>
      <c r="U2981" s="43" t="str">
        <f>HYPERLINK("https://ictv.global/taxonomy/taxondetails?taxnode_id=202214561","ictv.global=202214561")</f>
        <v>ictv.global=202214561</v>
      </c>
    </row>
    <row r="2982" spans="1:21">
      <c r="A2982">
        <v>2981</v>
      </c>
      <c r="B2982" s="29" t="s">
        <v>3682</v>
      </c>
      <c r="C2982" s="29"/>
      <c r="D2982" s="29" t="s">
        <v>3683</v>
      </c>
      <c r="E2982" s="29"/>
      <c r="F2982" s="29" t="s">
        <v>3686</v>
      </c>
      <c r="G2982" s="29"/>
      <c r="H2982" s="29" t="s">
        <v>3687</v>
      </c>
      <c r="I2982" s="29"/>
      <c r="J2982" s="29"/>
      <c r="K2982" s="29"/>
      <c r="L2982" s="29"/>
      <c r="M2982" s="29"/>
      <c r="N2982" s="29" t="s">
        <v>10189</v>
      </c>
      <c r="O2982" s="29"/>
      <c r="P2982" s="29" t="s">
        <v>10190</v>
      </c>
      <c r="Q2982" t="s">
        <v>2038</v>
      </c>
      <c r="R2982" t="s">
        <v>2632</v>
      </c>
      <c r="S2982">
        <v>37</v>
      </c>
      <c r="T2982" s="43" t="str">
        <f>HYPERLINK("https://ictv.global/ictv/proposals/2021.018B.R.Clownvirus.zip","2021.018B.R.Clownvirus.zip")</f>
        <v>2021.018B.R.Clownvirus.zip</v>
      </c>
      <c r="U2982" s="43" t="str">
        <f>HYPERLINK("https://ictv.global/taxonomy/taxondetails?taxnode_id=202213051","ictv.global=202213051")</f>
        <v>ictv.global=202213051</v>
      </c>
    </row>
    <row r="2983" spans="1:21">
      <c r="A2983">
        <v>2982</v>
      </c>
      <c r="B2983" s="29" t="s">
        <v>3682</v>
      </c>
      <c r="C2983" s="29"/>
      <c r="D2983" s="29" t="s">
        <v>3683</v>
      </c>
      <c r="E2983" s="29"/>
      <c r="F2983" s="29" t="s">
        <v>3686</v>
      </c>
      <c r="G2983" s="29"/>
      <c r="H2983" s="29" t="s">
        <v>3687</v>
      </c>
      <c r="I2983" s="29"/>
      <c r="J2983" s="29"/>
      <c r="K2983" s="29"/>
      <c r="L2983" s="29"/>
      <c r="M2983" s="29"/>
      <c r="N2983" s="29" t="s">
        <v>10191</v>
      </c>
      <c r="O2983" s="29"/>
      <c r="P2983" s="29" t="s">
        <v>10192</v>
      </c>
      <c r="Q2983" t="s">
        <v>2038</v>
      </c>
      <c r="R2983" t="s">
        <v>2632</v>
      </c>
      <c r="S2983">
        <v>37</v>
      </c>
      <c r="T2983" s="43" t="str">
        <f>HYPERLINK("https://ictv.global/ictv/proposals/2021.019B.R.Coatlandelriovirus.zip","2021.019B.R.Coatlandelriovirus.zip")</f>
        <v>2021.019B.R.Coatlandelriovirus.zip</v>
      </c>
      <c r="U2983" s="43" t="str">
        <f>HYPERLINK("https://ictv.global/taxonomy/taxondetails?taxnode_id=202213053","ictv.global=202213053")</f>
        <v>ictv.global=202213053</v>
      </c>
    </row>
    <row r="2984" spans="1:21">
      <c r="A2984">
        <v>2983</v>
      </c>
      <c r="B2984" s="29" t="s">
        <v>3682</v>
      </c>
      <c r="C2984" s="29"/>
      <c r="D2984" s="29" t="s">
        <v>3683</v>
      </c>
      <c r="E2984" s="29"/>
      <c r="F2984" s="29" t="s">
        <v>3686</v>
      </c>
      <c r="G2984" s="29"/>
      <c r="H2984" s="29" t="s">
        <v>3687</v>
      </c>
      <c r="I2984" s="29"/>
      <c r="J2984" s="29"/>
      <c r="K2984" s="29"/>
      <c r="L2984" s="29"/>
      <c r="M2984" s="29"/>
      <c r="N2984" s="29" t="s">
        <v>10193</v>
      </c>
      <c r="O2984" s="29"/>
      <c r="P2984" s="29" t="s">
        <v>10194</v>
      </c>
      <c r="Q2984" t="s">
        <v>2038</v>
      </c>
      <c r="R2984" t="s">
        <v>2632</v>
      </c>
      <c r="S2984">
        <v>38</v>
      </c>
      <c r="T2984" s="43" t="str">
        <f>HYPERLINK("https://ictv.global/ictv/proposals/2022.025B.Cobrasixvirus_ng.zip","2022.025B.Cobrasixvirus_ng.zip")</f>
        <v>2022.025B.Cobrasixvirus_ng.zip</v>
      </c>
      <c r="U2984" s="43" t="str">
        <f>HYPERLINK("https://ictv.global/taxonomy/taxondetails?taxnode_id=202214563","ictv.global=202214563")</f>
        <v>ictv.global=202214563</v>
      </c>
    </row>
    <row r="2985" spans="1:21">
      <c r="A2985">
        <v>2984</v>
      </c>
      <c r="B2985" s="29" t="s">
        <v>3682</v>
      </c>
      <c r="C2985" s="29"/>
      <c r="D2985" s="29" t="s">
        <v>3683</v>
      </c>
      <c r="E2985" s="29"/>
      <c r="F2985" s="29" t="s">
        <v>3686</v>
      </c>
      <c r="G2985" s="29"/>
      <c r="H2985" s="29" t="s">
        <v>3687</v>
      </c>
      <c r="I2985" s="29"/>
      <c r="J2985" s="29"/>
      <c r="K2985" s="29"/>
      <c r="L2985" s="29"/>
      <c r="M2985" s="29"/>
      <c r="N2985" s="29" t="s">
        <v>3527</v>
      </c>
      <c r="O2985" s="29"/>
      <c r="P2985" s="29" t="s">
        <v>10195</v>
      </c>
      <c r="Q2985" t="s">
        <v>2038</v>
      </c>
      <c r="R2985" t="s">
        <v>2633</v>
      </c>
      <c r="S2985">
        <v>37</v>
      </c>
      <c r="T2985" s="43" t="str">
        <f>HYPERLINK("https://ictv.global/ictv/proposals/2021.010B.R.Binomial_names.zip","2021.010B.R.Binomial_names.zip")</f>
        <v>2021.010B.R.Binomial_names.zip</v>
      </c>
      <c r="U2985" s="43" t="str">
        <f>HYPERLINK("https://ictv.global/taxonomy/taxondetails?taxnode_id=202201231","ictv.global=202201231")</f>
        <v>ictv.global=202201231</v>
      </c>
    </row>
    <row r="2986" spans="1:21">
      <c r="A2986">
        <v>2985</v>
      </c>
      <c r="B2986" s="29" t="s">
        <v>3682</v>
      </c>
      <c r="C2986" s="29"/>
      <c r="D2986" s="29" t="s">
        <v>3683</v>
      </c>
      <c r="E2986" s="29"/>
      <c r="F2986" s="29" t="s">
        <v>3686</v>
      </c>
      <c r="G2986" s="29"/>
      <c r="H2986" s="29" t="s">
        <v>3687</v>
      </c>
      <c r="I2986" s="29"/>
      <c r="J2986" s="29"/>
      <c r="K2986" s="29"/>
      <c r="L2986" s="29"/>
      <c r="M2986" s="29"/>
      <c r="N2986" s="29" t="s">
        <v>3527</v>
      </c>
      <c r="O2986" s="29"/>
      <c r="P2986" s="29" t="s">
        <v>10196</v>
      </c>
      <c r="Q2986" t="s">
        <v>2038</v>
      </c>
      <c r="R2986" t="s">
        <v>2633</v>
      </c>
      <c r="S2986">
        <v>37</v>
      </c>
      <c r="T2986" s="43" t="str">
        <f>HYPERLINK("https://ictv.global/ictv/proposals/2021.010B.R.Binomial_names.zip","2021.010B.R.Binomial_names.zip")</f>
        <v>2021.010B.R.Binomial_names.zip</v>
      </c>
      <c r="U2986" s="43" t="str">
        <f>HYPERLINK("https://ictv.global/taxonomy/taxondetails?taxnode_id=202201233","ictv.global=202201233")</f>
        <v>ictv.global=202201233</v>
      </c>
    </row>
    <row r="2987" spans="1:21">
      <c r="A2987">
        <v>2986</v>
      </c>
      <c r="B2987" s="29" t="s">
        <v>3682</v>
      </c>
      <c r="C2987" s="29"/>
      <c r="D2987" s="29" t="s">
        <v>3683</v>
      </c>
      <c r="E2987" s="29"/>
      <c r="F2987" s="29" t="s">
        <v>3686</v>
      </c>
      <c r="G2987" s="29"/>
      <c r="H2987" s="29" t="s">
        <v>3687</v>
      </c>
      <c r="I2987" s="29"/>
      <c r="J2987" s="29"/>
      <c r="K2987" s="29"/>
      <c r="L2987" s="29"/>
      <c r="M2987" s="29"/>
      <c r="N2987" s="29" t="s">
        <v>3527</v>
      </c>
      <c r="O2987" s="29"/>
      <c r="P2987" s="29" t="s">
        <v>10197</v>
      </c>
      <c r="Q2987" t="s">
        <v>2038</v>
      </c>
      <c r="R2987" t="s">
        <v>2633</v>
      </c>
      <c r="S2987">
        <v>37</v>
      </c>
      <c r="T2987" s="43" t="str">
        <f>HYPERLINK("https://ictv.global/ictv/proposals/2021.010B.R.Binomial_names.zip","2021.010B.R.Binomial_names.zip")</f>
        <v>2021.010B.R.Binomial_names.zip</v>
      </c>
      <c r="U2987" s="43" t="str">
        <f>HYPERLINK("https://ictv.global/taxonomy/taxondetails?taxnode_id=202201232","ictv.global=202201232")</f>
        <v>ictv.global=202201232</v>
      </c>
    </row>
    <row r="2988" spans="1:21">
      <c r="A2988">
        <v>2987</v>
      </c>
      <c r="B2988" s="29" t="s">
        <v>3682</v>
      </c>
      <c r="C2988" s="29"/>
      <c r="D2988" s="29" t="s">
        <v>3683</v>
      </c>
      <c r="E2988" s="29"/>
      <c r="F2988" s="29" t="s">
        <v>3686</v>
      </c>
      <c r="G2988" s="29"/>
      <c r="H2988" s="29" t="s">
        <v>3687</v>
      </c>
      <c r="I2988" s="29"/>
      <c r="J2988" s="29"/>
      <c r="K2988" s="29"/>
      <c r="L2988" s="29"/>
      <c r="M2988" s="29"/>
      <c r="N2988" s="29" t="s">
        <v>10198</v>
      </c>
      <c r="O2988" s="29"/>
      <c r="P2988" s="29" t="s">
        <v>10199</v>
      </c>
      <c r="Q2988" t="s">
        <v>2038</v>
      </c>
      <c r="R2988" t="s">
        <v>2632</v>
      </c>
      <c r="S2988">
        <v>38</v>
      </c>
      <c r="T2988" s="43" t="str">
        <f>HYPERLINK("https://ictv.global/ictv/proposals/2022.032B.Caudoviricetes_5ng.zip","2022.032B.Caudoviricetes_5ng.zip")</f>
        <v>2022.032B.Caudoviricetes_5ng.zip</v>
      </c>
      <c r="U2988" s="43" t="str">
        <f>HYPERLINK("https://ictv.global/taxonomy/taxondetails?taxnode_id=202214590","ictv.global=202214590")</f>
        <v>ictv.global=202214590</v>
      </c>
    </row>
    <row r="2989" spans="1:21">
      <c r="A2989">
        <v>2988</v>
      </c>
      <c r="B2989" s="29" t="s">
        <v>3682</v>
      </c>
      <c r="C2989" s="29"/>
      <c r="D2989" s="29" t="s">
        <v>3683</v>
      </c>
      <c r="E2989" s="29"/>
      <c r="F2989" s="29" t="s">
        <v>3686</v>
      </c>
      <c r="G2989" s="29"/>
      <c r="H2989" s="29" t="s">
        <v>3687</v>
      </c>
      <c r="I2989" s="29"/>
      <c r="J2989" s="29"/>
      <c r="K2989" s="29"/>
      <c r="L2989" s="29"/>
      <c r="M2989" s="29"/>
      <c r="N2989" s="29" t="s">
        <v>4555</v>
      </c>
      <c r="O2989" s="29"/>
      <c r="P2989" s="29" t="s">
        <v>10200</v>
      </c>
      <c r="Q2989" t="s">
        <v>2038</v>
      </c>
      <c r="R2989" t="s">
        <v>2633</v>
      </c>
      <c r="S2989">
        <v>37</v>
      </c>
      <c r="T2989" s="43" t="str">
        <f t="shared" ref="T2989:T2998" si="132">HYPERLINK("https://ictv.global/ictv/proposals/2021.010B.R.Binomial_names.zip","2021.010B.R.Binomial_names.zip")</f>
        <v>2021.010B.R.Binomial_names.zip</v>
      </c>
      <c r="U2989" s="43" t="str">
        <f>HYPERLINK("https://ictv.global/taxonomy/taxondetails?taxnode_id=202200422","ictv.global=202200422")</f>
        <v>ictv.global=202200422</v>
      </c>
    </row>
    <row r="2990" spans="1:21">
      <c r="A2990">
        <v>2989</v>
      </c>
      <c r="B2990" s="29" t="s">
        <v>3682</v>
      </c>
      <c r="C2990" s="29"/>
      <c r="D2990" s="29" t="s">
        <v>3683</v>
      </c>
      <c r="E2990" s="29"/>
      <c r="F2990" s="29" t="s">
        <v>3686</v>
      </c>
      <c r="G2990" s="29"/>
      <c r="H2990" s="29" t="s">
        <v>3687</v>
      </c>
      <c r="I2990" s="29"/>
      <c r="J2990" s="29"/>
      <c r="K2990" s="29"/>
      <c r="L2990" s="29"/>
      <c r="M2990" s="29"/>
      <c r="N2990" s="29" t="s">
        <v>4555</v>
      </c>
      <c r="O2990" s="29"/>
      <c r="P2990" s="29" t="s">
        <v>10201</v>
      </c>
      <c r="Q2990" t="s">
        <v>2038</v>
      </c>
      <c r="R2990" t="s">
        <v>2633</v>
      </c>
      <c r="S2990">
        <v>37</v>
      </c>
      <c r="T2990" s="43" t="str">
        <f t="shared" si="132"/>
        <v>2021.010B.R.Binomial_names.zip</v>
      </c>
      <c r="U2990" s="43" t="str">
        <f>HYPERLINK("https://ictv.global/taxonomy/taxondetails?taxnode_id=202209886","ictv.global=202209886")</f>
        <v>ictv.global=202209886</v>
      </c>
    </row>
    <row r="2991" spans="1:21">
      <c r="A2991">
        <v>2990</v>
      </c>
      <c r="B2991" s="29" t="s">
        <v>3682</v>
      </c>
      <c r="C2991" s="29"/>
      <c r="D2991" s="29" t="s">
        <v>3683</v>
      </c>
      <c r="E2991" s="29"/>
      <c r="F2991" s="29" t="s">
        <v>3686</v>
      </c>
      <c r="G2991" s="29"/>
      <c r="H2991" s="29" t="s">
        <v>3687</v>
      </c>
      <c r="I2991" s="29"/>
      <c r="J2991" s="29"/>
      <c r="K2991" s="29"/>
      <c r="L2991" s="29"/>
      <c r="M2991" s="29"/>
      <c r="N2991" s="29" t="s">
        <v>4555</v>
      </c>
      <c r="O2991" s="29"/>
      <c r="P2991" s="29" t="s">
        <v>10202</v>
      </c>
      <c r="Q2991" t="s">
        <v>2038</v>
      </c>
      <c r="R2991" t="s">
        <v>2633</v>
      </c>
      <c r="S2991">
        <v>37</v>
      </c>
      <c r="T2991" s="43" t="str">
        <f t="shared" si="132"/>
        <v>2021.010B.R.Binomial_names.zip</v>
      </c>
      <c r="U2991" s="43" t="str">
        <f>HYPERLINK("https://ictv.global/taxonomy/taxondetails?taxnode_id=202209885","ictv.global=202209885")</f>
        <v>ictv.global=202209885</v>
      </c>
    </row>
    <row r="2992" spans="1:21">
      <c r="A2992">
        <v>2991</v>
      </c>
      <c r="B2992" s="29" t="s">
        <v>3682</v>
      </c>
      <c r="C2992" s="29"/>
      <c r="D2992" s="29" t="s">
        <v>3683</v>
      </c>
      <c r="E2992" s="29"/>
      <c r="F2992" s="29" t="s">
        <v>3686</v>
      </c>
      <c r="G2992" s="29"/>
      <c r="H2992" s="29" t="s">
        <v>3687</v>
      </c>
      <c r="I2992" s="29"/>
      <c r="J2992" s="29"/>
      <c r="K2992" s="29"/>
      <c r="L2992" s="29"/>
      <c r="M2992" s="29"/>
      <c r="N2992" s="29" t="s">
        <v>4555</v>
      </c>
      <c r="O2992" s="29"/>
      <c r="P2992" s="29" t="s">
        <v>10203</v>
      </c>
      <c r="Q2992" t="s">
        <v>2038</v>
      </c>
      <c r="R2992" t="s">
        <v>2633</v>
      </c>
      <c r="S2992">
        <v>37</v>
      </c>
      <c r="T2992" s="43" t="str">
        <f t="shared" si="132"/>
        <v>2021.010B.R.Binomial_names.zip</v>
      </c>
      <c r="U2992" s="43" t="str">
        <f>HYPERLINK("https://ictv.global/taxonomy/taxondetails?taxnode_id=202209888","ictv.global=202209888")</f>
        <v>ictv.global=202209888</v>
      </c>
    </row>
    <row r="2993" spans="1:21">
      <c r="A2993">
        <v>2992</v>
      </c>
      <c r="B2993" s="29" t="s">
        <v>3682</v>
      </c>
      <c r="C2993" s="29"/>
      <c r="D2993" s="29" t="s">
        <v>3683</v>
      </c>
      <c r="E2993" s="29"/>
      <c r="F2993" s="29" t="s">
        <v>3686</v>
      </c>
      <c r="G2993" s="29"/>
      <c r="H2993" s="29" t="s">
        <v>3687</v>
      </c>
      <c r="I2993" s="29"/>
      <c r="J2993" s="29"/>
      <c r="K2993" s="29"/>
      <c r="L2993" s="29"/>
      <c r="M2993" s="29"/>
      <c r="N2993" s="29" t="s">
        <v>4555</v>
      </c>
      <c r="O2993" s="29"/>
      <c r="P2993" s="29" t="s">
        <v>10204</v>
      </c>
      <c r="Q2993" t="s">
        <v>2038</v>
      </c>
      <c r="R2993" t="s">
        <v>2633</v>
      </c>
      <c r="S2993">
        <v>37</v>
      </c>
      <c r="T2993" s="43" t="str">
        <f t="shared" si="132"/>
        <v>2021.010B.R.Binomial_names.zip</v>
      </c>
      <c r="U2993" s="43" t="str">
        <f>HYPERLINK("https://ictv.global/taxonomy/taxondetails?taxnode_id=202209887","ictv.global=202209887")</f>
        <v>ictv.global=202209887</v>
      </c>
    </row>
    <row r="2994" spans="1:21">
      <c r="A2994">
        <v>2993</v>
      </c>
      <c r="B2994" s="29" t="s">
        <v>3682</v>
      </c>
      <c r="C2994" s="29"/>
      <c r="D2994" s="29" t="s">
        <v>3683</v>
      </c>
      <c r="E2994" s="29"/>
      <c r="F2994" s="29" t="s">
        <v>3686</v>
      </c>
      <c r="G2994" s="29"/>
      <c r="H2994" s="29" t="s">
        <v>3687</v>
      </c>
      <c r="I2994" s="29"/>
      <c r="J2994" s="29"/>
      <c r="K2994" s="29"/>
      <c r="L2994" s="29"/>
      <c r="M2994" s="29"/>
      <c r="N2994" s="29" t="s">
        <v>4715</v>
      </c>
      <c r="O2994" s="29"/>
      <c r="P2994" s="29" t="s">
        <v>10205</v>
      </c>
      <c r="Q2994" t="s">
        <v>2038</v>
      </c>
      <c r="R2994" t="s">
        <v>2633</v>
      </c>
      <c r="S2994">
        <v>37</v>
      </c>
      <c r="T2994" s="43" t="str">
        <f t="shared" si="132"/>
        <v>2021.010B.R.Binomial_names.zip</v>
      </c>
      <c r="U2994" s="43" t="str">
        <f>HYPERLINK("https://ictv.global/taxonomy/taxondetails?taxnode_id=202210180","ictv.global=202210180")</f>
        <v>ictv.global=202210180</v>
      </c>
    </row>
    <row r="2995" spans="1:21">
      <c r="A2995">
        <v>2994</v>
      </c>
      <c r="B2995" s="29" t="s">
        <v>3682</v>
      </c>
      <c r="C2995" s="29"/>
      <c r="D2995" s="29" t="s">
        <v>3683</v>
      </c>
      <c r="E2995" s="29"/>
      <c r="F2995" s="29" t="s">
        <v>3686</v>
      </c>
      <c r="G2995" s="29"/>
      <c r="H2995" s="29" t="s">
        <v>3687</v>
      </c>
      <c r="I2995" s="29"/>
      <c r="J2995" s="29"/>
      <c r="K2995" s="29"/>
      <c r="L2995" s="29"/>
      <c r="M2995" s="29"/>
      <c r="N2995" s="29" t="s">
        <v>4715</v>
      </c>
      <c r="O2995" s="29"/>
      <c r="P2995" s="29" t="s">
        <v>10206</v>
      </c>
      <c r="Q2995" t="s">
        <v>2038</v>
      </c>
      <c r="R2995" t="s">
        <v>2633</v>
      </c>
      <c r="S2995">
        <v>37</v>
      </c>
      <c r="T2995" s="43" t="str">
        <f t="shared" si="132"/>
        <v>2021.010B.R.Binomial_names.zip</v>
      </c>
      <c r="U2995" s="43" t="str">
        <f>HYPERLINK("https://ictv.global/taxonomy/taxondetails?taxnode_id=202210182","ictv.global=202210182")</f>
        <v>ictv.global=202210182</v>
      </c>
    </row>
    <row r="2996" spans="1:21">
      <c r="A2996">
        <v>2995</v>
      </c>
      <c r="B2996" s="29" t="s">
        <v>3682</v>
      </c>
      <c r="C2996" s="29"/>
      <c r="D2996" s="29" t="s">
        <v>3683</v>
      </c>
      <c r="E2996" s="29"/>
      <c r="F2996" s="29" t="s">
        <v>3686</v>
      </c>
      <c r="G2996" s="29"/>
      <c r="H2996" s="29" t="s">
        <v>3687</v>
      </c>
      <c r="I2996" s="29"/>
      <c r="J2996" s="29"/>
      <c r="K2996" s="29"/>
      <c r="L2996" s="29"/>
      <c r="M2996" s="29"/>
      <c r="N2996" s="29" t="s">
        <v>4715</v>
      </c>
      <c r="O2996" s="29"/>
      <c r="P2996" s="29" t="s">
        <v>10207</v>
      </c>
      <c r="Q2996" t="s">
        <v>2038</v>
      </c>
      <c r="R2996" t="s">
        <v>2633</v>
      </c>
      <c r="S2996">
        <v>37</v>
      </c>
      <c r="T2996" s="43" t="str">
        <f t="shared" si="132"/>
        <v>2021.010B.R.Binomial_names.zip</v>
      </c>
      <c r="U2996" s="43" t="str">
        <f>HYPERLINK("https://ictv.global/taxonomy/taxondetails?taxnode_id=202210181","ictv.global=202210181")</f>
        <v>ictv.global=202210181</v>
      </c>
    </row>
    <row r="2997" spans="1:21">
      <c r="A2997">
        <v>2996</v>
      </c>
      <c r="B2997" s="29" t="s">
        <v>3682</v>
      </c>
      <c r="C2997" s="29"/>
      <c r="D2997" s="29" t="s">
        <v>3683</v>
      </c>
      <c r="E2997" s="29"/>
      <c r="F2997" s="29" t="s">
        <v>3686</v>
      </c>
      <c r="G2997" s="29"/>
      <c r="H2997" s="29" t="s">
        <v>3687</v>
      </c>
      <c r="I2997" s="29"/>
      <c r="J2997" s="29"/>
      <c r="K2997" s="29"/>
      <c r="L2997" s="29"/>
      <c r="M2997" s="29"/>
      <c r="N2997" s="29" t="s">
        <v>3994</v>
      </c>
      <c r="O2997" s="29"/>
      <c r="P2997" s="29" t="s">
        <v>10208</v>
      </c>
      <c r="Q2997" t="s">
        <v>2038</v>
      </c>
      <c r="R2997" t="s">
        <v>2633</v>
      </c>
      <c r="S2997">
        <v>37</v>
      </c>
      <c r="T2997" s="43" t="str">
        <f t="shared" si="132"/>
        <v>2021.010B.R.Binomial_names.zip</v>
      </c>
      <c r="U2997" s="43" t="str">
        <f>HYPERLINK("https://ictv.global/taxonomy/taxondetails?taxnode_id=202207256","ictv.global=202207256")</f>
        <v>ictv.global=202207256</v>
      </c>
    </row>
    <row r="2998" spans="1:21">
      <c r="A2998">
        <v>2997</v>
      </c>
      <c r="B2998" s="29" t="s">
        <v>3682</v>
      </c>
      <c r="C2998" s="29"/>
      <c r="D2998" s="29" t="s">
        <v>3683</v>
      </c>
      <c r="E2998" s="29"/>
      <c r="F2998" s="29" t="s">
        <v>3686</v>
      </c>
      <c r="G2998" s="29"/>
      <c r="H2998" s="29" t="s">
        <v>3687</v>
      </c>
      <c r="I2998" s="29"/>
      <c r="J2998" s="29"/>
      <c r="K2998" s="29"/>
      <c r="L2998" s="29"/>
      <c r="M2998" s="29"/>
      <c r="N2998" s="29" t="s">
        <v>3994</v>
      </c>
      <c r="O2998" s="29"/>
      <c r="P2998" s="29" t="s">
        <v>10209</v>
      </c>
      <c r="Q2998" t="s">
        <v>2038</v>
      </c>
      <c r="R2998" t="s">
        <v>2633</v>
      </c>
      <c r="S2998">
        <v>37</v>
      </c>
      <c r="T2998" s="43" t="str">
        <f t="shared" si="132"/>
        <v>2021.010B.R.Binomial_names.zip</v>
      </c>
      <c r="U2998" s="43" t="str">
        <f>HYPERLINK("https://ictv.global/taxonomy/taxondetails?taxnode_id=202207257","ictv.global=202207257")</f>
        <v>ictv.global=202207257</v>
      </c>
    </row>
    <row r="2999" spans="1:21">
      <c r="A2999">
        <v>2998</v>
      </c>
      <c r="B2999" s="29" t="s">
        <v>3682</v>
      </c>
      <c r="C2999" s="29"/>
      <c r="D2999" s="29" t="s">
        <v>3683</v>
      </c>
      <c r="E2999" s="29"/>
      <c r="F2999" s="29" t="s">
        <v>3686</v>
      </c>
      <c r="G2999" s="29"/>
      <c r="H2999" s="29" t="s">
        <v>3687</v>
      </c>
      <c r="I2999" s="29"/>
      <c r="J2999" s="29"/>
      <c r="K2999" s="29"/>
      <c r="L2999" s="29"/>
      <c r="M2999" s="29"/>
      <c r="N2999" s="29" t="s">
        <v>2109</v>
      </c>
      <c r="O2999" s="29"/>
      <c r="P2999" s="29" t="s">
        <v>10210</v>
      </c>
      <c r="Q2999" t="s">
        <v>2038</v>
      </c>
      <c r="R2999" t="s">
        <v>2632</v>
      </c>
      <c r="S2999">
        <v>37</v>
      </c>
      <c r="T2999" s="43" t="str">
        <f>HYPERLINK("https://ictv.global/ictv/proposals/2021.021B.R.Corndogvirus.zip","2021.021B.R.Corndogvirus.zip")</f>
        <v>2021.021B.R.Corndogvirus.zip</v>
      </c>
      <c r="U2999" s="43" t="str">
        <f>HYPERLINK("https://ictv.global/taxonomy/taxondetails?taxnode_id=202213056","ictv.global=202213056")</f>
        <v>ictv.global=202213056</v>
      </c>
    </row>
    <row r="3000" spans="1:21">
      <c r="A3000">
        <v>2999</v>
      </c>
      <c r="B3000" s="29" t="s">
        <v>3682</v>
      </c>
      <c r="C3000" s="29"/>
      <c r="D3000" s="29" t="s">
        <v>3683</v>
      </c>
      <c r="E3000" s="29"/>
      <c r="F3000" s="29" t="s">
        <v>3686</v>
      </c>
      <c r="G3000" s="29"/>
      <c r="H3000" s="29" t="s">
        <v>3687</v>
      </c>
      <c r="I3000" s="29"/>
      <c r="J3000" s="29"/>
      <c r="K3000" s="29"/>
      <c r="L3000" s="29"/>
      <c r="M3000" s="29"/>
      <c r="N3000" s="29" t="s">
        <v>2109</v>
      </c>
      <c r="O3000" s="29"/>
      <c r="P3000" s="29" t="s">
        <v>10211</v>
      </c>
      <c r="Q3000" t="s">
        <v>2038</v>
      </c>
      <c r="R3000" t="s">
        <v>2633</v>
      </c>
      <c r="S3000">
        <v>37</v>
      </c>
      <c r="T3000" s="43" t="str">
        <f>HYPERLINK("https://ictv.global/ictv/proposals/2021.010B.R.Binomial_names.zip","2021.010B.R.Binomial_names.zip")</f>
        <v>2021.010B.R.Binomial_names.zip</v>
      </c>
      <c r="U3000" s="43" t="str">
        <f>HYPERLINK("https://ictv.global/taxonomy/taxondetails?taxnode_id=202200940","ictv.global=202200940")</f>
        <v>ictv.global=202200940</v>
      </c>
    </row>
    <row r="3001" spans="1:21">
      <c r="A3001">
        <v>3000</v>
      </c>
      <c r="B3001" s="29" t="s">
        <v>3682</v>
      </c>
      <c r="C3001" s="29"/>
      <c r="D3001" s="29" t="s">
        <v>3683</v>
      </c>
      <c r="E3001" s="29"/>
      <c r="F3001" s="29" t="s">
        <v>3686</v>
      </c>
      <c r="G3001" s="29"/>
      <c r="H3001" s="29" t="s">
        <v>3687</v>
      </c>
      <c r="I3001" s="29"/>
      <c r="J3001" s="29"/>
      <c r="K3001" s="29"/>
      <c r="L3001" s="29"/>
      <c r="M3001" s="29"/>
      <c r="N3001" s="29" t="s">
        <v>2109</v>
      </c>
      <c r="O3001" s="29"/>
      <c r="P3001" s="29" t="s">
        <v>10212</v>
      </c>
      <c r="Q3001" t="s">
        <v>2038</v>
      </c>
      <c r="R3001" t="s">
        <v>2633</v>
      </c>
      <c r="S3001">
        <v>37</v>
      </c>
      <c r="T3001" s="43" t="str">
        <f>HYPERLINK("https://ictv.global/ictv/proposals/2021.010B.R.Binomial_names.zip","2021.010B.R.Binomial_names.zip")</f>
        <v>2021.010B.R.Binomial_names.zip</v>
      </c>
      <c r="U3001" s="43" t="str">
        <f>HYPERLINK("https://ictv.global/taxonomy/taxondetails?taxnode_id=202200941","ictv.global=202200941")</f>
        <v>ictv.global=202200941</v>
      </c>
    </row>
    <row r="3002" spans="1:21">
      <c r="A3002">
        <v>3001</v>
      </c>
      <c r="B3002" s="29" t="s">
        <v>3682</v>
      </c>
      <c r="C3002" s="29"/>
      <c r="D3002" s="29" t="s">
        <v>3683</v>
      </c>
      <c r="E3002" s="29"/>
      <c r="F3002" s="29" t="s">
        <v>3686</v>
      </c>
      <c r="G3002" s="29"/>
      <c r="H3002" s="29" t="s">
        <v>3687</v>
      </c>
      <c r="I3002" s="29"/>
      <c r="J3002" s="29"/>
      <c r="K3002" s="29"/>
      <c r="L3002" s="29"/>
      <c r="M3002" s="29"/>
      <c r="N3002" s="29" t="s">
        <v>2109</v>
      </c>
      <c r="O3002" s="29"/>
      <c r="P3002" s="29" t="s">
        <v>10213</v>
      </c>
      <c r="Q3002" t="s">
        <v>2038</v>
      </c>
      <c r="R3002" t="s">
        <v>2632</v>
      </c>
      <c r="S3002">
        <v>37</v>
      </c>
      <c r="T3002" s="43" t="str">
        <f>HYPERLINK("https://ictv.global/ictv/proposals/2021.021B.R.Corndogvirus.zip","2021.021B.R.Corndogvirus.zip")</f>
        <v>2021.021B.R.Corndogvirus.zip</v>
      </c>
      <c r="U3002" s="43" t="str">
        <f>HYPERLINK("https://ictv.global/taxonomy/taxondetails?taxnode_id=202213055","ictv.global=202213055")</f>
        <v>ictv.global=202213055</v>
      </c>
    </row>
    <row r="3003" spans="1:21">
      <c r="A3003">
        <v>3002</v>
      </c>
      <c r="B3003" s="29" t="s">
        <v>3682</v>
      </c>
      <c r="C3003" s="29"/>
      <c r="D3003" s="29" t="s">
        <v>3683</v>
      </c>
      <c r="E3003" s="29"/>
      <c r="F3003" s="29" t="s">
        <v>3686</v>
      </c>
      <c r="G3003" s="29"/>
      <c r="H3003" s="29" t="s">
        <v>3687</v>
      </c>
      <c r="I3003" s="29"/>
      <c r="J3003" s="29"/>
      <c r="K3003" s="29"/>
      <c r="L3003" s="29"/>
      <c r="M3003" s="29"/>
      <c r="N3003" s="29" t="s">
        <v>4718</v>
      </c>
      <c r="O3003" s="29"/>
      <c r="P3003" s="29" t="s">
        <v>10214</v>
      </c>
      <c r="Q3003" t="s">
        <v>2038</v>
      </c>
      <c r="R3003" t="s">
        <v>2633</v>
      </c>
      <c r="S3003">
        <v>37</v>
      </c>
      <c r="T3003" s="43" t="str">
        <f t="shared" ref="T3003:T3009" si="133">HYPERLINK("https://ictv.global/ictv/proposals/2021.010B.R.Binomial_names.zip","2021.010B.R.Binomial_names.zip")</f>
        <v>2021.010B.R.Binomial_names.zip</v>
      </c>
      <c r="U3003" s="43" t="str">
        <f>HYPERLINK("https://ictv.global/taxonomy/taxondetails?taxnode_id=202209905","ictv.global=202209905")</f>
        <v>ictv.global=202209905</v>
      </c>
    </row>
    <row r="3004" spans="1:21">
      <c r="A3004">
        <v>3003</v>
      </c>
      <c r="B3004" s="29" t="s">
        <v>3682</v>
      </c>
      <c r="C3004" s="29"/>
      <c r="D3004" s="29" t="s">
        <v>3683</v>
      </c>
      <c r="E3004" s="29"/>
      <c r="F3004" s="29" t="s">
        <v>3686</v>
      </c>
      <c r="G3004" s="29"/>
      <c r="H3004" s="29" t="s">
        <v>3687</v>
      </c>
      <c r="I3004" s="29"/>
      <c r="J3004" s="29"/>
      <c r="K3004" s="29"/>
      <c r="L3004" s="29"/>
      <c r="M3004" s="29"/>
      <c r="N3004" s="29" t="s">
        <v>4718</v>
      </c>
      <c r="O3004" s="29"/>
      <c r="P3004" s="29" t="s">
        <v>10215</v>
      </c>
      <c r="Q3004" t="s">
        <v>2038</v>
      </c>
      <c r="R3004" t="s">
        <v>2633</v>
      </c>
      <c r="S3004">
        <v>37</v>
      </c>
      <c r="T3004" s="43" t="str">
        <f t="shared" si="133"/>
        <v>2021.010B.R.Binomial_names.zip</v>
      </c>
      <c r="U3004" s="43" t="str">
        <f>HYPERLINK("https://ictv.global/taxonomy/taxondetails?taxnode_id=202209908","ictv.global=202209908")</f>
        <v>ictv.global=202209908</v>
      </c>
    </row>
    <row r="3005" spans="1:21">
      <c r="A3005">
        <v>3004</v>
      </c>
      <c r="B3005" s="29" t="s">
        <v>3682</v>
      </c>
      <c r="C3005" s="29"/>
      <c r="D3005" s="29" t="s">
        <v>3683</v>
      </c>
      <c r="E3005" s="29"/>
      <c r="F3005" s="29" t="s">
        <v>3686</v>
      </c>
      <c r="G3005" s="29"/>
      <c r="H3005" s="29" t="s">
        <v>3687</v>
      </c>
      <c r="I3005" s="29"/>
      <c r="J3005" s="29"/>
      <c r="K3005" s="29"/>
      <c r="L3005" s="29"/>
      <c r="M3005" s="29"/>
      <c r="N3005" s="29" t="s">
        <v>4718</v>
      </c>
      <c r="O3005" s="29"/>
      <c r="P3005" s="29" t="s">
        <v>10216</v>
      </c>
      <c r="Q3005" t="s">
        <v>2038</v>
      </c>
      <c r="R3005" t="s">
        <v>2633</v>
      </c>
      <c r="S3005">
        <v>37</v>
      </c>
      <c r="T3005" s="43" t="str">
        <f t="shared" si="133"/>
        <v>2021.010B.R.Binomial_names.zip</v>
      </c>
      <c r="U3005" s="43" t="str">
        <f>HYPERLINK("https://ictv.global/taxonomy/taxondetails?taxnode_id=202209904","ictv.global=202209904")</f>
        <v>ictv.global=202209904</v>
      </c>
    </row>
    <row r="3006" spans="1:21">
      <c r="A3006">
        <v>3005</v>
      </c>
      <c r="B3006" s="29" t="s">
        <v>3682</v>
      </c>
      <c r="C3006" s="29"/>
      <c r="D3006" s="29" t="s">
        <v>3683</v>
      </c>
      <c r="E3006" s="29"/>
      <c r="F3006" s="29" t="s">
        <v>3686</v>
      </c>
      <c r="G3006" s="29"/>
      <c r="H3006" s="29" t="s">
        <v>3687</v>
      </c>
      <c r="I3006" s="29"/>
      <c r="J3006" s="29"/>
      <c r="K3006" s="29"/>
      <c r="L3006" s="29"/>
      <c r="M3006" s="29"/>
      <c r="N3006" s="29" t="s">
        <v>4718</v>
      </c>
      <c r="O3006" s="29"/>
      <c r="P3006" s="29" t="s">
        <v>10217</v>
      </c>
      <c r="Q3006" t="s">
        <v>2038</v>
      </c>
      <c r="R3006" t="s">
        <v>2633</v>
      </c>
      <c r="S3006">
        <v>37</v>
      </c>
      <c r="T3006" s="43" t="str">
        <f t="shared" si="133"/>
        <v>2021.010B.R.Binomial_names.zip</v>
      </c>
      <c r="U3006" s="43" t="str">
        <f>HYPERLINK("https://ictv.global/taxonomy/taxondetails?taxnode_id=202209909","ictv.global=202209909")</f>
        <v>ictv.global=202209909</v>
      </c>
    </row>
    <row r="3007" spans="1:21">
      <c r="A3007">
        <v>3006</v>
      </c>
      <c r="B3007" s="29" t="s">
        <v>3682</v>
      </c>
      <c r="C3007" s="29"/>
      <c r="D3007" s="29" t="s">
        <v>3683</v>
      </c>
      <c r="E3007" s="29"/>
      <c r="F3007" s="29" t="s">
        <v>3686</v>
      </c>
      <c r="G3007" s="29"/>
      <c r="H3007" s="29" t="s">
        <v>3687</v>
      </c>
      <c r="I3007" s="29"/>
      <c r="J3007" s="29"/>
      <c r="K3007" s="29"/>
      <c r="L3007" s="29"/>
      <c r="M3007" s="29"/>
      <c r="N3007" s="29" t="s">
        <v>4718</v>
      </c>
      <c r="O3007" s="29"/>
      <c r="P3007" s="29" t="s">
        <v>10218</v>
      </c>
      <c r="Q3007" t="s">
        <v>2038</v>
      </c>
      <c r="R3007" t="s">
        <v>2633</v>
      </c>
      <c r="S3007">
        <v>37</v>
      </c>
      <c r="T3007" s="43" t="str">
        <f t="shared" si="133"/>
        <v>2021.010B.R.Binomial_names.zip</v>
      </c>
      <c r="U3007" s="43" t="str">
        <f>HYPERLINK("https://ictv.global/taxonomy/taxondetails?taxnode_id=202209903","ictv.global=202209903")</f>
        <v>ictv.global=202209903</v>
      </c>
    </row>
    <row r="3008" spans="1:21">
      <c r="A3008">
        <v>3007</v>
      </c>
      <c r="B3008" s="29" t="s">
        <v>3682</v>
      </c>
      <c r="C3008" s="29"/>
      <c r="D3008" s="29" t="s">
        <v>3683</v>
      </c>
      <c r="E3008" s="29"/>
      <c r="F3008" s="29" t="s">
        <v>3686</v>
      </c>
      <c r="G3008" s="29"/>
      <c r="H3008" s="29" t="s">
        <v>3687</v>
      </c>
      <c r="I3008" s="29"/>
      <c r="J3008" s="29"/>
      <c r="K3008" s="29"/>
      <c r="L3008" s="29"/>
      <c r="M3008" s="29"/>
      <c r="N3008" s="29" t="s">
        <v>4718</v>
      </c>
      <c r="O3008" s="29"/>
      <c r="P3008" s="29" t="s">
        <v>10219</v>
      </c>
      <c r="Q3008" t="s">
        <v>2038</v>
      </c>
      <c r="R3008" t="s">
        <v>2633</v>
      </c>
      <c r="S3008">
        <v>37</v>
      </c>
      <c r="T3008" s="43" t="str">
        <f t="shared" si="133"/>
        <v>2021.010B.R.Binomial_names.zip</v>
      </c>
      <c r="U3008" s="43" t="str">
        <f>HYPERLINK("https://ictv.global/taxonomy/taxondetails?taxnode_id=202209907","ictv.global=202209907")</f>
        <v>ictv.global=202209907</v>
      </c>
    </row>
    <row r="3009" spans="1:21">
      <c r="A3009">
        <v>3008</v>
      </c>
      <c r="B3009" s="29" t="s">
        <v>3682</v>
      </c>
      <c r="C3009" s="29"/>
      <c r="D3009" s="29" t="s">
        <v>3683</v>
      </c>
      <c r="E3009" s="29"/>
      <c r="F3009" s="29" t="s">
        <v>3686</v>
      </c>
      <c r="G3009" s="29"/>
      <c r="H3009" s="29" t="s">
        <v>3687</v>
      </c>
      <c r="I3009" s="29"/>
      <c r="J3009" s="29"/>
      <c r="K3009" s="29"/>
      <c r="L3009" s="29"/>
      <c r="M3009" s="29"/>
      <c r="N3009" s="29" t="s">
        <v>4718</v>
      </c>
      <c r="O3009" s="29"/>
      <c r="P3009" s="29" t="s">
        <v>10220</v>
      </c>
      <c r="Q3009" t="s">
        <v>2038</v>
      </c>
      <c r="R3009" t="s">
        <v>2633</v>
      </c>
      <c r="S3009">
        <v>37</v>
      </c>
      <c r="T3009" s="43" t="str">
        <f t="shared" si="133"/>
        <v>2021.010B.R.Binomial_names.zip</v>
      </c>
      <c r="U3009" s="43" t="str">
        <f>HYPERLINK("https://ictv.global/taxonomy/taxondetails?taxnode_id=202209906","ictv.global=202209906")</f>
        <v>ictv.global=202209906</v>
      </c>
    </row>
    <row r="3010" spans="1:21">
      <c r="A3010">
        <v>3009</v>
      </c>
      <c r="B3010" s="29" t="s">
        <v>3682</v>
      </c>
      <c r="C3010" s="29"/>
      <c r="D3010" s="29" t="s">
        <v>3683</v>
      </c>
      <c r="E3010" s="29"/>
      <c r="F3010" s="29" t="s">
        <v>3686</v>
      </c>
      <c r="G3010" s="29"/>
      <c r="H3010" s="29" t="s">
        <v>3687</v>
      </c>
      <c r="I3010" s="29"/>
      <c r="J3010" s="29"/>
      <c r="K3010" s="29"/>
      <c r="L3010" s="29"/>
      <c r="M3010" s="29"/>
      <c r="N3010" s="29" t="s">
        <v>10221</v>
      </c>
      <c r="O3010" s="29"/>
      <c r="P3010" s="29" t="s">
        <v>10222</v>
      </c>
      <c r="Q3010" t="s">
        <v>2038</v>
      </c>
      <c r="R3010" t="s">
        <v>2632</v>
      </c>
      <c r="S3010">
        <v>38</v>
      </c>
      <c r="T3010" s="43" t="str">
        <f>HYPERLINK("https://ictv.global/ictv/proposals/2022.027B.Craquatrovirus_ng.zip","2022.027B.Craquatrovirus_ng.zip")</f>
        <v>2022.027B.Craquatrovirus_ng.zip</v>
      </c>
      <c r="U3010" s="43" t="str">
        <f>HYPERLINK("https://ictv.global/taxonomy/taxondetails?taxnode_id=202214566","ictv.global=202214566")</f>
        <v>ictv.global=202214566</v>
      </c>
    </row>
    <row r="3011" spans="1:21">
      <c r="A3011">
        <v>3010</v>
      </c>
      <c r="B3011" s="29" t="s">
        <v>3682</v>
      </c>
      <c r="C3011" s="29"/>
      <c r="D3011" s="29" t="s">
        <v>3683</v>
      </c>
      <c r="E3011" s="29"/>
      <c r="F3011" s="29" t="s">
        <v>3686</v>
      </c>
      <c r="G3011" s="29"/>
      <c r="H3011" s="29" t="s">
        <v>3687</v>
      </c>
      <c r="I3011" s="29"/>
      <c r="J3011" s="29"/>
      <c r="K3011" s="29"/>
      <c r="L3011" s="29"/>
      <c r="M3011" s="29"/>
      <c r="N3011" s="29" t="s">
        <v>10221</v>
      </c>
      <c r="O3011" s="29"/>
      <c r="P3011" s="29" t="s">
        <v>10223</v>
      </c>
      <c r="Q3011" t="s">
        <v>2038</v>
      </c>
      <c r="R3011" t="s">
        <v>2632</v>
      </c>
      <c r="S3011">
        <v>38</v>
      </c>
      <c r="T3011" s="43" t="str">
        <f>HYPERLINK("https://ictv.global/ictv/proposals/2022.027B.Craquatrovirus_ng.zip","2022.027B.Craquatrovirus_ng.zip")</f>
        <v>2022.027B.Craquatrovirus_ng.zip</v>
      </c>
      <c r="U3011" s="43" t="str">
        <f>HYPERLINK("https://ictv.global/taxonomy/taxondetails?taxnode_id=202214567","ictv.global=202214567")</f>
        <v>ictv.global=202214567</v>
      </c>
    </row>
    <row r="3012" spans="1:21">
      <c r="A3012">
        <v>3011</v>
      </c>
      <c r="B3012" s="29" t="s">
        <v>3682</v>
      </c>
      <c r="C3012" s="29"/>
      <c r="D3012" s="29" t="s">
        <v>3683</v>
      </c>
      <c r="E3012" s="29"/>
      <c r="F3012" s="29" t="s">
        <v>3686</v>
      </c>
      <c r="G3012" s="29"/>
      <c r="H3012" s="29" t="s">
        <v>3687</v>
      </c>
      <c r="I3012" s="29"/>
      <c r="J3012" s="29"/>
      <c r="K3012" s="29"/>
      <c r="L3012" s="29"/>
      <c r="M3012" s="29"/>
      <c r="N3012" s="29" t="s">
        <v>2427</v>
      </c>
      <c r="O3012" s="29"/>
      <c r="P3012" s="29" t="s">
        <v>10224</v>
      </c>
      <c r="Q3012" t="s">
        <v>2038</v>
      </c>
      <c r="R3012" t="s">
        <v>2633</v>
      </c>
      <c r="S3012">
        <v>37</v>
      </c>
      <c r="T3012" s="43" t="str">
        <f t="shared" ref="T3012:T3019" si="134">HYPERLINK("https://ictv.global/ictv/proposals/2021.010B.R.Binomial_names.zip","2021.010B.R.Binomial_names.zip")</f>
        <v>2021.010B.R.Binomial_names.zip</v>
      </c>
      <c r="U3012" s="43" t="str">
        <f>HYPERLINK("https://ictv.global/taxonomy/taxondetails?taxnode_id=202200943","ictv.global=202200943")</f>
        <v>ictv.global=202200943</v>
      </c>
    </row>
    <row r="3013" spans="1:21">
      <c r="A3013">
        <v>3012</v>
      </c>
      <c r="B3013" s="29" t="s">
        <v>3682</v>
      </c>
      <c r="C3013" s="29"/>
      <c r="D3013" s="29" t="s">
        <v>3683</v>
      </c>
      <c r="E3013" s="29"/>
      <c r="F3013" s="29" t="s">
        <v>3686</v>
      </c>
      <c r="G3013" s="29"/>
      <c r="H3013" s="29" t="s">
        <v>3687</v>
      </c>
      <c r="I3013" s="29"/>
      <c r="J3013" s="29"/>
      <c r="K3013" s="29"/>
      <c r="L3013" s="29"/>
      <c r="M3013" s="29"/>
      <c r="N3013" s="29" t="s">
        <v>4719</v>
      </c>
      <c r="O3013" s="29"/>
      <c r="P3013" s="29" t="s">
        <v>10225</v>
      </c>
      <c r="Q3013" t="s">
        <v>2038</v>
      </c>
      <c r="R3013" t="s">
        <v>2633</v>
      </c>
      <c r="S3013">
        <v>37</v>
      </c>
      <c r="T3013" s="43" t="str">
        <f t="shared" si="134"/>
        <v>2021.010B.R.Binomial_names.zip</v>
      </c>
      <c r="U3013" s="43" t="str">
        <f>HYPERLINK("https://ictv.global/taxonomy/taxondetails?taxnode_id=202209911","ictv.global=202209911")</f>
        <v>ictv.global=202209911</v>
      </c>
    </row>
    <row r="3014" spans="1:21">
      <c r="A3014">
        <v>3013</v>
      </c>
      <c r="B3014" s="29" t="s">
        <v>3682</v>
      </c>
      <c r="C3014" s="29"/>
      <c r="D3014" s="29" t="s">
        <v>3683</v>
      </c>
      <c r="E3014" s="29"/>
      <c r="F3014" s="29" t="s">
        <v>3686</v>
      </c>
      <c r="G3014" s="29"/>
      <c r="H3014" s="29" t="s">
        <v>3687</v>
      </c>
      <c r="I3014" s="29"/>
      <c r="J3014" s="29"/>
      <c r="K3014" s="29"/>
      <c r="L3014" s="29"/>
      <c r="M3014" s="29"/>
      <c r="N3014" s="29" t="s">
        <v>3995</v>
      </c>
      <c r="O3014" s="29"/>
      <c r="P3014" s="29" t="s">
        <v>10226</v>
      </c>
      <c r="Q3014" t="s">
        <v>2038</v>
      </c>
      <c r="R3014" t="s">
        <v>2633</v>
      </c>
      <c r="S3014">
        <v>37</v>
      </c>
      <c r="T3014" s="43" t="str">
        <f t="shared" si="134"/>
        <v>2021.010B.R.Binomial_names.zip</v>
      </c>
      <c r="U3014" s="43" t="str">
        <f>HYPERLINK("https://ictv.global/taxonomy/taxondetails?taxnode_id=202207191","ictv.global=202207191")</f>
        <v>ictv.global=202207191</v>
      </c>
    </row>
    <row r="3015" spans="1:21">
      <c r="A3015">
        <v>3014</v>
      </c>
      <c r="B3015" s="29" t="s">
        <v>3682</v>
      </c>
      <c r="C3015" s="29"/>
      <c r="D3015" s="29" t="s">
        <v>3683</v>
      </c>
      <c r="E3015" s="29"/>
      <c r="F3015" s="29" t="s">
        <v>3686</v>
      </c>
      <c r="G3015" s="29"/>
      <c r="H3015" s="29" t="s">
        <v>3687</v>
      </c>
      <c r="I3015" s="29"/>
      <c r="J3015" s="29"/>
      <c r="K3015" s="29"/>
      <c r="L3015" s="29"/>
      <c r="M3015" s="29"/>
      <c r="N3015" s="29" t="s">
        <v>2428</v>
      </c>
      <c r="O3015" s="29"/>
      <c r="P3015" s="29" t="s">
        <v>10227</v>
      </c>
      <c r="Q3015" t="s">
        <v>2038</v>
      </c>
      <c r="R3015" t="s">
        <v>2633</v>
      </c>
      <c r="S3015">
        <v>37</v>
      </c>
      <c r="T3015" s="43" t="str">
        <f t="shared" si="134"/>
        <v>2021.010B.R.Binomial_names.zip</v>
      </c>
      <c r="U3015" s="43" t="str">
        <f>HYPERLINK("https://ictv.global/taxonomy/taxondetails?taxnode_id=202200957","ictv.global=202200957")</f>
        <v>ictv.global=202200957</v>
      </c>
    </row>
    <row r="3016" spans="1:21">
      <c r="A3016">
        <v>3015</v>
      </c>
      <c r="B3016" s="29" t="s">
        <v>3682</v>
      </c>
      <c r="C3016" s="29"/>
      <c r="D3016" s="29" t="s">
        <v>3683</v>
      </c>
      <c r="E3016" s="29"/>
      <c r="F3016" s="29" t="s">
        <v>3686</v>
      </c>
      <c r="G3016" s="29"/>
      <c r="H3016" s="29" t="s">
        <v>3687</v>
      </c>
      <c r="I3016" s="29"/>
      <c r="J3016" s="29"/>
      <c r="K3016" s="29"/>
      <c r="L3016" s="29"/>
      <c r="M3016" s="29"/>
      <c r="N3016" s="29" t="s">
        <v>3528</v>
      </c>
      <c r="O3016" s="29"/>
      <c r="P3016" s="29" t="s">
        <v>10228</v>
      </c>
      <c r="Q3016" t="s">
        <v>2038</v>
      </c>
      <c r="R3016" t="s">
        <v>2633</v>
      </c>
      <c r="S3016">
        <v>37</v>
      </c>
      <c r="T3016" s="43" t="str">
        <f t="shared" si="134"/>
        <v>2021.010B.R.Binomial_names.zip</v>
      </c>
      <c r="U3016" s="43" t="str">
        <f>HYPERLINK("https://ictv.global/taxonomy/taxondetails?taxnode_id=202206932","ictv.global=202206932")</f>
        <v>ictv.global=202206932</v>
      </c>
    </row>
    <row r="3017" spans="1:21">
      <c r="A3017">
        <v>3016</v>
      </c>
      <c r="B3017" s="29" t="s">
        <v>3682</v>
      </c>
      <c r="C3017" s="29"/>
      <c r="D3017" s="29" t="s">
        <v>3683</v>
      </c>
      <c r="E3017" s="29"/>
      <c r="F3017" s="29" t="s">
        <v>3686</v>
      </c>
      <c r="G3017" s="29"/>
      <c r="H3017" s="29" t="s">
        <v>3687</v>
      </c>
      <c r="I3017" s="29"/>
      <c r="J3017" s="29"/>
      <c r="K3017" s="29"/>
      <c r="L3017" s="29"/>
      <c r="M3017" s="29"/>
      <c r="N3017" s="29" t="s">
        <v>4601</v>
      </c>
      <c r="O3017" s="29"/>
      <c r="P3017" s="29" t="s">
        <v>10229</v>
      </c>
      <c r="Q3017" t="s">
        <v>2038</v>
      </c>
      <c r="R3017" t="s">
        <v>2633</v>
      </c>
      <c r="S3017">
        <v>37</v>
      </c>
      <c r="T3017" s="43" t="str">
        <f t="shared" si="134"/>
        <v>2021.010B.R.Binomial_names.zip</v>
      </c>
      <c r="U3017" s="43" t="str">
        <f>HYPERLINK("https://ictv.global/taxonomy/taxondetails?taxnode_id=202200604","ictv.global=202200604")</f>
        <v>ictv.global=202200604</v>
      </c>
    </row>
    <row r="3018" spans="1:21">
      <c r="A3018">
        <v>3017</v>
      </c>
      <c r="B3018" s="29" t="s">
        <v>3682</v>
      </c>
      <c r="C3018" s="29"/>
      <c r="D3018" s="29" t="s">
        <v>3683</v>
      </c>
      <c r="E3018" s="29"/>
      <c r="F3018" s="29" t="s">
        <v>3686</v>
      </c>
      <c r="G3018" s="29"/>
      <c r="H3018" s="29" t="s">
        <v>3687</v>
      </c>
      <c r="I3018" s="29"/>
      <c r="J3018" s="29"/>
      <c r="K3018" s="29"/>
      <c r="L3018" s="29"/>
      <c r="M3018" s="29"/>
      <c r="N3018" s="29" t="s">
        <v>2429</v>
      </c>
      <c r="O3018" s="29"/>
      <c r="P3018" s="29" t="s">
        <v>10230</v>
      </c>
      <c r="Q3018" t="s">
        <v>2038</v>
      </c>
      <c r="R3018" t="s">
        <v>2633</v>
      </c>
      <c r="S3018">
        <v>37</v>
      </c>
      <c r="T3018" s="43" t="str">
        <f t="shared" si="134"/>
        <v>2021.010B.R.Binomial_names.zip</v>
      </c>
      <c r="U3018" s="43" t="str">
        <f>HYPERLINK("https://ictv.global/taxonomy/taxondetails?taxnode_id=202200959","ictv.global=202200959")</f>
        <v>ictv.global=202200959</v>
      </c>
    </row>
    <row r="3019" spans="1:21">
      <c r="A3019">
        <v>3018</v>
      </c>
      <c r="B3019" s="29" t="s">
        <v>3682</v>
      </c>
      <c r="C3019" s="29"/>
      <c r="D3019" s="29" t="s">
        <v>3683</v>
      </c>
      <c r="E3019" s="29"/>
      <c r="F3019" s="29" t="s">
        <v>3686</v>
      </c>
      <c r="G3019" s="29"/>
      <c r="H3019" s="29" t="s">
        <v>3687</v>
      </c>
      <c r="I3019" s="29"/>
      <c r="J3019" s="29"/>
      <c r="K3019" s="29"/>
      <c r="L3019" s="29"/>
      <c r="M3019" s="29"/>
      <c r="N3019" s="29" t="s">
        <v>2429</v>
      </c>
      <c r="O3019" s="29"/>
      <c r="P3019" s="29" t="s">
        <v>10231</v>
      </c>
      <c r="Q3019" t="s">
        <v>2038</v>
      </c>
      <c r="R3019" t="s">
        <v>2633</v>
      </c>
      <c r="S3019">
        <v>37</v>
      </c>
      <c r="T3019" s="43" t="str">
        <f t="shared" si="134"/>
        <v>2021.010B.R.Binomial_names.zip</v>
      </c>
      <c r="U3019" s="43" t="str">
        <f>HYPERLINK("https://ictv.global/taxonomy/taxondetails?taxnode_id=202200960","ictv.global=202200960")</f>
        <v>ictv.global=202200960</v>
      </c>
    </row>
    <row r="3020" spans="1:21">
      <c r="A3020">
        <v>3019</v>
      </c>
      <c r="B3020" s="29" t="s">
        <v>3682</v>
      </c>
      <c r="C3020" s="29"/>
      <c r="D3020" s="29" t="s">
        <v>3683</v>
      </c>
      <c r="E3020" s="29"/>
      <c r="F3020" s="29" t="s">
        <v>3686</v>
      </c>
      <c r="G3020" s="29"/>
      <c r="H3020" s="29" t="s">
        <v>3687</v>
      </c>
      <c r="I3020" s="29"/>
      <c r="J3020" s="29"/>
      <c r="K3020" s="29"/>
      <c r="L3020" s="29"/>
      <c r="M3020" s="29"/>
      <c r="N3020" s="29" t="s">
        <v>10232</v>
      </c>
      <c r="O3020" s="29"/>
      <c r="P3020" s="29" t="s">
        <v>10233</v>
      </c>
      <c r="Q3020" t="s">
        <v>2038</v>
      </c>
      <c r="R3020" t="s">
        <v>2632</v>
      </c>
      <c r="S3020">
        <v>38</v>
      </c>
      <c r="T3020" s="43" t="str">
        <f>HYPERLINK("https://ictv.global/ictv/proposals/2022.084B.Caudoviricetes_6ng_33nsp.zip","2022.084B.Caudoviricetes_6ng_33nsp.zip")</f>
        <v>2022.084B.Caudoviricetes_6ng_33nsp.zip</v>
      </c>
      <c r="U3020" s="43" t="str">
        <f>HYPERLINK("https://ictv.global/taxonomy/taxondetails?taxnode_id=202214921","ictv.global=202214921")</f>
        <v>ictv.global=202214921</v>
      </c>
    </row>
    <row r="3021" spans="1:21">
      <c r="A3021">
        <v>3020</v>
      </c>
      <c r="B3021" s="29" t="s">
        <v>3682</v>
      </c>
      <c r="C3021" s="29"/>
      <c r="D3021" s="29" t="s">
        <v>3683</v>
      </c>
      <c r="E3021" s="29"/>
      <c r="F3021" s="29" t="s">
        <v>3686</v>
      </c>
      <c r="G3021" s="29"/>
      <c r="H3021" s="29" t="s">
        <v>3687</v>
      </c>
      <c r="I3021" s="29"/>
      <c r="J3021" s="29"/>
      <c r="K3021" s="29"/>
      <c r="L3021" s="29"/>
      <c r="M3021" s="29"/>
      <c r="N3021" s="29" t="s">
        <v>3911</v>
      </c>
      <c r="O3021" s="29"/>
      <c r="P3021" s="29" t="s">
        <v>10234</v>
      </c>
      <c r="Q3021" t="s">
        <v>2038</v>
      </c>
      <c r="R3021" t="s">
        <v>2633</v>
      </c>
      <c r="S3021">
        <v>37</v>
      </c>
      <c r="T3021" s="43" t="str">
        <f>HYPERLINK("https://ictv.global/ictv/proposals/2021.010B.R.Binomial_names.zip","2021.010B.R.Binomial_names.zip")</f>
        <v>2021.010B.R.Binomial_names.zip</v>
      </c>
      <c r="U3021" s="43" t="str">
        <f>HYPERLINK("https://ictv.global/taxonomy/taxondetails?taxnode_id=202207837","ictv.global=202207837")</f>
        <v>ictv.global=202207837</v>
      </c>
    </row>
    <row r="3022" spans="1:21">
      <c r="A3022">
        <v>3021</v>
      </c>
      <c r="B3022" s="29" t="s">
        <v>3682</v>
      </c>
      <c r="C3022" s="29"/>
      <c r="D3022" s="29" t="s">
        <v>3683</v>
      </c>
      <c r="E3022" s="29"/>
      <c r="F3022" s="29" t="s">
        <v>3686</v>
      </c>
      <c r="G3022" s="29"/>
      <c r="H3022" s="29" t="s">
        <v>3687</v>
      </c>
      <c r="I3022" s="29"/>
      <c r="J3022" s="29"/>
      <c r="K3022" s="29"/>
      <c r="L3022" s="29"/>
      <c r="M3022" s="29"/>
      <c r="N3022" s="29" t="s">
        <v>10235</v>
      </c>
      <c r="O3022" s="29"/>
      <c r="P3022" s="29" t="s">
        <v>10236</v>
      </c>
      <c r="Q3022" t="s">
        <v>2038</v>
      </c>
      <c r="R3022" t="s">
        <v>2632</v>
      </c>
      <c r="S3022">
        <v>37</v>
      </c>
      <c r="T3022" s="43" t="str">
        <f>HYPERLINK("https://ictv.global/ictv/proposals/2021.078B.R.Siphoviridae_new_genera.zip","2021.078B.R.Siphoviridae_new_genera.zip")</f>
        <v>2021.078B.R.Siphoviridae_new_genera.zip</v>
      </c>
      <c r="U3022" s="43" t="str">
        <f>HYPERLINK("https://ictv.global/taxonomy/taxondetails?taxnode_id=202213640","ictv.global=202213640")</f>
        <v>ictv.global=202213640</v>
      </c>
    </row>
    <row r="3023" spans="1:21">
      <c r="A3023">
        <v>3022</v>
      </c>
      <c r="B3023" s="29" t="s">
        <v>3682</v>
      </c>
      <c r="C3023" s="29"/>
      <c r="D3023" s="29" t="s">
        <v>3683</v>
      </c>
      <c r="E3023" s="29"/>
      <c r="F3023" s="29" t="s">
        <v>3686</v>
      </c>
      <c r="G3023" s="29"/>
      <c r="H3023" s="29" t="s">
        <v>3687</v>
      </c>
      <c r="I3023" s="29"/>
      <c r="J3023" s="29"/>
      <c r="K3023" s="29"/>
      <c r="L3023" s="29"/>
      <c r="M3023" s="29"/>
      <c r="N3023" s="29" t="s">
        <v>10235</v>
      </c>
      <c r="O3023" s="29"/>
      <c r="P3023" s="29" t="s">
        <v>10237</v>
      </c>
      <c r="Q3023" t="s">
        <v>2038</v>
      </c>
      <c r="R3023" t="s">
        <v>2632</v>
      </c>
      <c r="S3023">
        <v>37</v>
      </c>
      <c r="T3023" s="43" t="str">
        <f>HYPERLINK("https://ictv.global/ictv/proposals/2021.078B.R.Siphoviridae_new_genera.zip","2021.078B.R.Siphoviridae_new_genera.zip")</f>
        <v>2021.078B.R.Siphoviridae_new_genera.zip</v>
      </c>
      <c r="U3023" s="43" t="str">
        <f>HYPERLINK("https://ictv.global/taxonomy/taxondetails?taxnode_id=202213639","ictv.global=202213639")</f>
        <v>ictv.global=202213639</v>
      </c>
    </row>
    <row r="3024" spans="1:21">
      <c r="A3024">
        <v>3023</v>
      </c>
      <c r="B3024" s="29" t="s">
        <v>3682</v>
      </c>
      <c r="C3024" s="29"/>
      <c r="D3024" s="29" t="s">
        <v>3683</v>
      </c>
      <c r="E3024" s="29"/>
      <c r="F3024" s="29" t="s">
        <v>3686</v>
      </c>
      <c r="G3024" s="29"/>
      <c r="H3024" s="29" t="s">
        <v>3687</v>
      </c>
      <c r="I3024" s="29"/>
      <c r="J3024" s="29"/>
      <c r="K3024" s="29"/>
      <c r="L3024" s="29"/>
      <c r="M3024" s="29"/>
      <c r="N3024" s="29" t="s">
        <v>3529</v>
      </c>
      <c r="O3024" s="29"/>
      <c r="P3024" s="29" t="s">
        <v>10238</v>
      </c>
      <c r="Q3024" t="s">
        <v>2038</v>
      </c>
      <c r="R3024" t="s">
        <v>2633</v>
      </c>
      <c r="S3024">
        <v>37</v>
      </c>
      <c r="T3024" s="43" t="str">
        <f>HYPERLINK("https://ictv.global/ictv/proposals/2021.010B.R.Binomial_names.zip","2021.010B.R.Binomial_names.zip")</f>
        <v>2021.010B.R.Binomial_names.zip</v>
      </c>
      <c r="U3024" s="43" t="str">
        <f>HYPERLINK("https://ictv.global/taxonomy/taxondetails?taxnode_id=202200954","ictv.global=202200954")</f>
        <v>ictv.global=202200954</v>
      </c>
    </row>
    <row r="3025" spans="1:21">
      <c r="A3025">
        <v>3024</v>
      </c>
      <c r="B3025" s="29" t="s">
        <v>3682</v>
      </c>
      <c r="C3025" s="29"/>
      <c r="D3025" s="29" t="s">
        <v>3683</v>
      </c>
      <c r="E3025" s="29"/>
      <c r="F3025" s="29" t="s">
        <v>3686</v>
      </c>
      <c r="G3025" s="29"/>
      <c r="H3025" s="29" t="s">
        <v>3687</v>
      </c>
      <c r="I3025" s="29"/>
      <c r="J3025" s="29"/>
      <c r="K3025" s="29"/>
      <c r="L3025" s="29"/>
      <c r="M3025" s="29"/>
      <c r="N3025" s="29" t="s">
        <v>3529</v>
      </c>
      <c r="O3025" s="29"/>
      <c r="P3025" s="29" t="s">
        <v>10239</v>
      </c>
      <c r="Q3025" t="s">
        <v>2038</v>
      </c>
      <c r="R3025" t="s">
        <v>2633</v>
      </c>
      <c r="S3025">
        <v>37</v>
      </c>
      <c r="T3025" s="43" t="str">
        <f>HYPERLINK("https://ictv.global/ictv/proposals/2021.010B.R.Binomial_names.zip","2021.010B.R.Binomial_names.zip")</f>
        <v>2021.010B.R.Binomial_names.zip</v>
      </c>
      <c r="U3025" s="43" t="str">
        <f>HYPERLINK("https://ictv.global/taxonomy/taxondetails?taxnode_id=202200955","ictv.global=202200955")</f>
        <v>ictv.global=202200955</v>
      </c>
    </row>
    <row r="3026" spans="1:21">
      <c r="A3026">
        <v>3025</v>
      </c>
      <c r="B3026" s="29" t="s">
        <v>3682</v>
      </c>
      <c r="C3026" s="29"/>
      <c r="D3026" s="29" t="s">
        <v>3683</v>
      </c>
      <c r="E3026" s="29"/>
      <c r="F3026" s="29" t="s">
        <v>3686</v>
      </c>
      <c r="G3026" s="29"/>
      <c r="H3026" s="29" t="s">
        <v>3687</v>
      </c>
      <c r="I3026" s="29"/>
      <c r="J3026" s="29"/>
      <c r="K3026" s="29"/>
      <c r="L3026" s="29"/>
      <c r="M3026" s="29"/>
      <c r="N3026" s="29" t="s">
        <v>4720</v>
      </c>
      <c r="O3026" s="29"/>
      <c r="P3026" s="29" t="s">
        <v>10240</v>
      </c>
      <c r="Q3026" t="s">
        <v>2038</v>
      </c>
      <c r="R3026" t="s">
        <v>2633</v>
      </c>
      <c r="S3026">
        <v>37</v>
      </c>
      <c r="T3026" s="43" t="str">
        <f>HYPERLINK("https://ictv.global/ictv/proposals/2021.010B.R.Binomial_names.zip","2021.010B.R.Binomial_names.zip")</f>
        <v>2021.010B.R.Binomial_names.zip</v>
      </c>
      <c r="U3026" s="43" t="str">
        <f>HYPERLINK("https://ictv.global/taxonomy/taxondetails?taxnode_id=202209965","ictv.global=202209965")</f>
        <v>ictv.global=202209965</v>
      </c>
    </row>
    <row r="3027" spans="1:21">
      <c r="A3027">
        <v>3026</v>
      </c>
      <c r="B3027" s="29" t="s">
        <v>3682</v>
      </c>
      <c r="C3027" s="29"/>
      <c r="D3027" s="29" t="s">
        <v>3683</v>
      </c>
      <c r="E3027" s="29"/>
      <c r="F3027" s="29" t="s">
        <v>3686</v>
      </c>
      <c r="G3027" s="29"/>
      <c r="H3027" s="29" t="s">
        <v>3687</v>
      </c>
      <c r="I3027" s="29"/>
      <c r="J3027" s="29"/>
      <c r="K3027" s="29"/>
      <c r="L3027" s="29"/>
      <c r="M3027" s="29"/>
      <c r="N3027" s="29" t="s">
        <v>10241</v>
      </c>
      <c r="O3027" s="29"/>
      <c r="P3027" s="29" t="s">
        <v>10242</v>
      </c>
      <c r="Q3027" t="s">
        <v>2038</v>
      </c>
      <c r="R3027" t="s">
        <v>2632</v>
      </c>
      <c r="S3027">
        <v>37</v>
      </c>
      <c r="T3027" s="43" t="str">
        <f>HYPERLINK("https://ictv.global/ictv/proposals/2021.024B.R.Dexdertvirus.zip","2021.024B.R.Dexdertvirus.zip")</f>
        <v>2021.024B.R.Dexdertvirus.zip</v>
      </c>
      <c r="U3027" s="43" t="str">
        <f>HYPERLINK("https://ictv.global/taxonomy/taxondetails?taxnode_id=202213518","ictv.global=202213518")</f>
        <v>ictv.global=202213518</v>
      </c>
    </row>
    <row r="3028" spans="1:21">
      <c r="A3028">
        <v>3027</v>
      </c>
      <c r="B3028" s="29" t="s">
        <v>3682</v>
      </c>
      <c r="C3028" s="29"/>
      <c r="D3028" s="29" t="s">
        <v>3683</v>
      </c>
      <c r="E3028" s="29"/>
      <c r="F3028" s="29" t="s">
        <v>3686</v>
      </c>
      <c r="G3028" s="29"/>
      <c r="H3028" s="29" t="s">
        <v>3687</v>
      </c>
      <c r="I3028" s="29"/>
      <c r="J3028" s="29"/>
      <c r="K3028" s="29"/>
      <c r="L3028" s="29"/>
      <c r="M3028" s="29"/>
      <c r="N3028" s="29" t="s">
        <v>10241</v>
      </c>
      <c r="O3028" s="29"/>
      <c r="P3028" s="29" t="s">
        <v>10243</v>
      </c>
      <c r="Q3028" t="s">
        <v>2038</v>
      </c>
      <c r="R3028" t="s">
        <v>2632</v>
      </c>
      <c r="S3028">
        <v>37</v>
      </c>
      <c r="T3028" s="43" t="str">
        <f>HYPERLINK("https://ictv.global/ictv/proposals/2021.024B.R.Dexdertvirus.zip","2021.024B.R.Dexdertvirus.zip")</f>
        <v>2021.024B.R.Dexdertvirus.zip</v>
      </c>
      <c r="U3028" s="43" t="str">
        <f>HYPERLINK("https://ictv.global/taxonomy/taxondetails?taxnode_id=202213519","ictv.global=202213519")</f>
        <v>ictv.global=202213519</v>
      </c>
    </row>
    <row r="3029" spans="1:21">
      <c r="A3029">
        <v>3028</v>
      </c>
      <c r="B3029" s="29" t="s">
        <v>3682</v>
      </c>
      <c r="C3029" s="29"/>
      <c r="D3029" s="29" t="s">
        <v>3683</v>
      </c>
      <c r="E3029" s="29"/>
      <c r="F3029" s="29" t="s">
        <v>3686</v>
      </c>
      <c r="G3029" s="29"/>
      <c r="H3029" s="29" t="s">
        <v>3687</v>
      </c>
      <c r="I3029" s="29"/>
      <c r="J3029" s="29"/>
      <c r="K3029" s="29"/>
      <c r="L3029" s="29"/>
      <c r="M3029" s="29"/>
      <c r="N3029" s="29" t="s">
        <v>10241</v>
      </c>
      <c r="O3029" s="29"/>
      <c r="P3029" s="29" t="s">
        <v>10244</v>
      </c>
      <c r="Q3029" t="s">
        <v>2038</v>
      </c>
      <c r="R3029" t="s">
        <v>2632</v>
      </c>
      <c r="S3029">
        <v>37</v>
      </c>
      <c r="T3029" s="43" t="str">
        <f>HYPERLINK("https://ictv.global/ictv/proposals/2021.024B.R.Dexdertvirus.zip","2021.024B.R.Dexdertvirus.zip")</f>
        <v>2021.024B.R.Dexdertvirus.zip</v>
      </c>
      <c r="U3029" s="43" t="str">
        <f>HYPERLINK("https://ictv.global/taxonomy/taxondetails?taxnode_id=202213520","ictv.global=202213520")</f>
        <v>ictv.global=202213520</v>
      </c>
    </row>
    <row r="3030" spans="1:21">
      <c r="A3030">
        <v>3029</v>
      </c>
      <c r="B3030" s="29" t="s">
        <v>3682</v>
      </c>
      <c r="C3030" s="29"/>
      <c r="D3030" s="29" t="s">
        <v>3683</v>
      </c>
      <c r="E3030" s="29"/>
      <c r="F3030" s="29" t="s">
        <v>3686</v>
      </c>
      <c r="G3030" s="29"/>
      <c r="H3030" s="29" t="s">
        <v>3687</v>
      </c>
      <c r="I3030" s="29"/>
      <c r="J3030" s="29"/>
      <c r="K3030" s="29"/>
      <c r="L3030" s="29"/>
      <c r="M3030" s="29"/>
      <c r="N3030" s="29" t="s">
        <v>3530</v>
      </c>
      <c r="O3030" s="29"/>
      <c r="P3030" s="29" t="s">
        <v>10245</v>
      </c>
      <c r="Q3030" t="s">
        <v>2038</v>
      </c>
      <c r="R3030" t="s">
        <v>2633</v>
      </c>
      <c r="S3030">
        <v>37</v>
      </c>
      <c r="T3030" s="43" t="str">
        <f t="shared" ref="T3030:T3046" si="135">HYPERLINK("https://ictv.global/ictv/proposals/2021.010B.R.Binomial_names.zip","2021.010B.R.Binomial_names.zip")</f>
        <v>2021.010B.R.Binomial_names.zip</v>
      </c>
      <c r="U3030" s="43" t="str">
        <f>HYPERLINK("https://ictv.global/taxonomy/taxondetails?taxnode_id=202200983","ictv.global=202200983")</f>
        <v>ictv.global=202200983</v>
      </c>
    </row>
    <row r="3031" spans="1:21">
      <c r="A3031">
        <v>3030</v>
      </c>
      <c r="B3031" s="29" t="s">
        <v>3682</v>
      </c>
      <c r="C3031" s="29"/>
      <c r="D3031" s="29" t="s">
        <v>3683</v>
      </c>
      <c r="E3031" s="29"/>
      <c r="F3031" s="29" t="s">
        <v>3686</v>
      </c>
      <c r="G3031" s="29"/>
      <c r="H3031" s="29" t="s">
        <v>3687</v>
      </c>
      <c r="I3031" s="29"/>
      <c r="J3031" s="29"/>
      <c r="K3031" s="29"/>
      <c r="L3031" s="29"/>
      <c r="M3031" s="29"/>
      <c r="N3031" s="29" t="s">
        <v>3530</v>
      </c>
      <c r="O3031" s="29"/>
      <c r="P3031" s="29" t="s">
        <v>10246</v>
      </c>
      <c r="Q3031" t="s">
        <v>2038</v>
      </c>
      <c r="R3031" t="s">
        <v>2633</v>
      </c>
      <c r="S3031">
        <v>37</v>
      </c>
      <c r="T3031" s="43" t="str">
        <f t="shared" si="135"/>
        <v>2021.010B.R.Binomial_names.zip</v>
      </c>
      <c r="U3031" s="43" t="str">
        <f>HYPERLINK("https://ictv.global/taxonomy/taxondetails?taxnode_id=202200988","ictv.global=202200988")</f>
        <v>ictv.global=202200988</v>
      </c>
    </row>
    <row r="3032" spans="1:21">
      <c r="A3032">
        <v>3031</v>
      </c>
      <c r="B3032" s="29" t="s">
        <v>3682</v>
      </c>
      <c r="C3032" s="29"/>
      <c r="D3032" s="29" t="s">
        <v>3683</v>
      </c>
      <c r="E3032" s="29"/>
      <c r="F3032" s="29" t="s">
        <v>3686</v>
      </c>
      <c r="G3032" s="29"/>
      <c r="H3032" s="29" t="s">
        <v>3687</v>
      </c>
      <c r="I3032" s="29"/>
      <c r="J3032" s="29"/>
      <c r="K3032" s="29"/>
      <c r="L3032" s="29"/>
      <c r="M3032" s="29"/>
      <c r="N3032" s="29" t="s">
        <v>3530</v>
      </c>
      <c r="O3032" s="29"/>
      <c r="P3032" s="29" t="s">
        <v>10247</v>
      </c>
      <c r="Q3032" t="s">
        <v>2038</v>
      </c>
      <c r="R3032" t="s">
        <v>2633</v>
      </c>
      <c r="S3032">
        <v>37</v>
      </c>
      <c r="T3032" s="43" t="str">
        <f t="shared" si="135"/>
        <v>2021.010B.R.Binomial_names.zip</v>
      </c>
      <c r="U3032" s="43" t="str">
        <f>HYPERLINK("https://ictv.global/taxonomy/taxondetails?taxnode_id=202200984","ictv.global=202200984")</f>
        <v>ictv.global=202200984</v>
      </c>
    </row>
    <row r="3033" spans="1:21">
      <c r="A3033">
        <v>3032</v>
      </c>
      <c r="B3033" s="29" t="s">
        <v>3682</v>
      </c>
      <c r="C3033" s="29"/>
      <c r="D3033" s="29" t="s">
        <v>3683</v>
      </c>
      <c r="E3033" s="29"/>
      <c r="F3033" s="29" t="s">
        <v>3686</v>
      </c>
      <c r="G3033" s="29"/>
      <c r="H3033" s="29" t="s">
        <v>3687</v>
      </c>
      <c r="I3033" s="29"/>
      <c r="J3033" s="29"/>
      <c r="K3033" s="29"/>
      <c r="L3033" s="29"/>
      <c r="M3033" s="29"/>
      <c r="N3033" s="29" t="s">
        <v>3530</v>
      </c>
      <c r="O3033" s="29"/>
      <c r="P3033" s="29" t="s">
        <v>10248</v>
      </c>
      <c r="Q3033" t="s">
        <v>2038</v>
      </c>
      <c r="R3033" t="s">
        <v>2633</v>
      </c>
      <c r="S3033">
        <v>37</v>
      </c>
      <c r="T3033" s="43" t="str">
        <f t="shared" si="135"/>
        <v>2021.010B.R.Binomial_names.zip</v>
      </c>
      <c r="U3033" s="43" t="str">
        <f>HYPERLINK("https://ictv.global/taxonomy/taxondetails?taxnode_id=202200985","ictv.global=202200985")</f>
        <v>ictv.global=202200985</v>
      </c>
    </row>
    <row r="3034" spans="1:21">
      <c r="A3034">
        <v>3033</v>
      </c>
      <c r="B3034" s="29" t="s">
        <v>3682</v>
      </c>
      <c r="C3034" s="29"/>
      <c r="D3034" s="29" t="s">
        <v>3683</v>
      </c>
      <c r="E3034" s="29"/>
      <c r="F3034" s="29" t="s">
        <v>3686</v>
      </c>
      <c r="G3034" s="29"/>
      <c r="H3034" s="29" t="s">
        <v>3687</v>
      </c>
      <c r="I3034" s="29"/>
      <c r="J3034" s="29"/>
      <c r="K3034" s="29"/>
      <c r="L3034" s="29"/>
      <c r="M3034" s="29"/>
      <c r="N3034" s="29" t="s">
        <v>3530</v>
      </c>
      <c r="O3034" s="29"/>
      <c r="P3034" s="29" t="s">
        <v>10249</v>
      </c>
      <c r="Q3034" t="s">
        <v>2038</v>
      </c>
      <c r="R3034" t="s">
        <v>2633</v>
      </c>
      <c r="S3034">
        <v>37</v>
      </c>
      <c r="T3034" s="43" t="str">
        <f t="shared" si="135"/>
        <v>2021.010B.R.Binomial_names.zip</v>
      </c>
      <c r="U3034" s="43" t="str">
        <f>HYPERLINK("https://ictv.global/taxonomy/taxondetails?taxnode_id=202200989","ictv.global=202200989")</f>
        <v>ictv.global=202200989</v>
      </c>
    </row>
    <row r="3035" spans="1:21">
      <c r="A3035">
        <v>3034</v>
      </c>
      <c r="B3035" s="29" t="s">
        <v>3682</v>
      </c>
      <c r="C3035" s="29"/>
      <c r="D3035" s="29" t="s">
        <v>3683</v>
      </c>
      <c r="E3035" s="29"/>
      <c r="F3035" s="29" t="s">
        <v>3686</v>
      </c>
      <c r="G3035" s="29"/>
      <c r="H3035" s="29" t="s">
        <v>3687</v>
      </c>
      <c r="I3035" s="29"/>
      <c r="J3035" s="29"/>
      <c r="K3035" s="29"/>
      <c r="L3035" s="29"/>
      <c r="M3035" s="29"/>
      <c r="N3035" s="29" t="s">
        <v>3530</v>
      </c>
      <c r="O3035" s="29"/>
      <c r="P3035" s="29" t="s">
        <v>10250</v>
      </c>
      <c r="Q3035" t="s">
        <v>2038</v>
      </c>
      <c r="R3035" t="s">
        <v>2633</v>
      </c>
      <c r="S3035">
        <v>37</v>
      </c>
      <c r="T3035" s="43" t="str">
        <f t="shared" si="135"/>
        <v>2021.010B.R.Binomial_names.zip</v>
      </c>
      <c r="U3035" s="43" t="str">
        <f>HYPERLINK("https://ictv.global/taxonomy/taxondetails?taxnode_id=202200986","ictv.global=202200986")</f>
        <v>ictv.global=202200986</v>
      </c>
    </row>
    <row r="3036" spans="1:21">
      <c r="A3036">
        <v>3035</v>
      </c>
      <c r="B3036" s="29" t="s">
        <v>3682</v>
      </c>
      <c r="C3036" s="29"/>
      <c r="D3036" s="29" t="s">
        <v>3683</v>
      </c>
      <c r="E3036" s="29"/>
      <c r="F3036" s="29" t="s">
        <v>3686</v>
      </c>
      <c r="G3036" s="29"/>
      <c r="H3036" s="29" t="s">
        <v>3687</v>
      </c>
      <c r="I3036" s="29"/>
      <c r="J3036" s="29"/>
      <c r="K3036" s="29"/>
      <c r="L3036" s="29"/>
      <c r="M3036" s="29"/>
      <c r="N3036" s="29" t="s">
        <v>3530</v>
      </c>
      <c r="O3036" s="29"/>
      <c r="P3036" s="29" t="s">
        <v>10251</v>
      </c>
      <c r="Q3036" t="s">
        <v>2038</v>
      </c>
      <c r="R3036" t="s">
        <v>2633</v>
      </c>
      <c r="S3036">
        <v>37</v>
      </c>
      <c r="T3036" s="43" t="str">
        <f t="shared" si="135"/>
        <v>2021.010B.R.Binomial_names.zip</v>
      </c>
      <c r="U3036" s="43" t="str">
        <f>HYPERLINK("https://ictv.global/taxonomy/taxondetails?taxnode_id=202200987","ictv.global=202200987")</f>
        <v>ictv.global=202200987</v>
      </c>
    </row>
    <row r="3037" spans="1:21">
      <c r="A3037">
        <v>3036</v>
      </c>
      <c r="B3037" s="29" t="s">
        <v>3682</v>
      </c>
      <c r="C3037" s="29"/>
      <c r="D3037" s="29" t="s">
        <v>3683</v>
      </c>
      <c r="E3037" s="29"/>
      <c r="F3037" s="29" t="s">
        <v>3686</v>
      </c>
      <c r="G3037" s="29"/>
      <c r="H3037" s="29" t="s">
        <v>3687</v>
      </c>
      <c r="I3037" s="29"/>
      <c r="J3037" s="29"/>
      <c r="K3037" s="29"/>
      <c r="L3037" s="29"/>
      <c r="M3037" s="29"/>
      <c r="N3037" s="29" t="s">
        <v>4556</v>
      </c>
      <c r="O3037" s="29"/>
      <c r="P3037" s="29" t="s">
        <v>10252</v>
      </c>
      <c r="Q3037" t="s">
        <v>2038</v>
      </c>
      <c r="R3037" t="s">
        <v>2633</v>
      </c>
      <c r="S3037">
        <v>37</v>
      </c>
      <c r="T3037" s="43" t="str">
        <f t="shared" si="135"/>
        <v>2021.010B.R.Binomial_names.zip</v>
      </c>
      <c r="U3037" s="43" t="str">
        <f>HYPERLINK("https://ictv.global/taxonomy/taxondetails?taxnode_id=202209969","ictv.global=202209969")</f>
        <v>ictv.global=202209969</v>
      </c>
    </row>
    <row r="3038" spans="1:21">
      <c r="A3038">
        <v>3037</v>
      </c>
      <c r="B3038" s="29" t="s">
        <v>3682</v>
      </c>
      <c r="C3038" s="29"/>
      <c r="D3038" s="29" t="s">
        <v>3683</v>
      </c>
      <c r="E3038" s="29"/>
      <c r="F3038" s="29" t="s">
        <v>3686</v>
      </c>
      <c r="G3038" s="29"/>
      <c r="H3038" s="29" t="s">
        <v>3687</v>
      </c>
      <c r="I3038" s="29"/>
      <c r="J3038" s="29"/>
      <c r="K3038" s="29"/>
      <c r="L3038" s="29"/>
      <c r="M3038" s="29"/>
      <c r="N3038" s="29" t="s">
        <v>4556</v>
      </c>
      <c r="O3038" s="29"/>
      <c r="P3038" s="29" t="s">
        <v>10253</v>
      </c>
      <c r="Q3038" t="s">
        <v>2038</v>
      </c>
      <c r="R3038" t="s">
        <v>2633</v>
      </c>
      <c r="S3038">
        <v>37</v>
      </c>
      <c r="T3038" s="43" t="str">
        <f t="shared" si="135"/>
        <v>2021.010B.R.Binomial_names.zip</v>
      </c>
      <c r="U3038" s="43" t="str">
        <f>HYPERLINK("https://ictv.global/taxonomy/taxondetails?taxnode_id=202209967","ictv.global=202209967")</f>
        <v>ictv.global=202209967</v>
      </c>
    </row>
    <row r="3039" spans="1:21">
      <c r="A3039">
        <v>3038</v>
      </c>
      <c r="B3039" s="29" t="s">
        <v>3682</v>
      </c>
      <c r="C3039" s="29"/>
      <c r="D3039" s="29" t="s">
        <v>3683</v>
      </c>
      <c r="E3039" s="29"/>
      <c r="F3039" s="29" t="s">
        <v>3686</v>
      </c>
      <c r="G3039" s="29"/>
      <c r="H3039" s="29" t="s">
        <v>3687</v>
      </c>
      <c r="I3039" s="29"/>
      <c r="J3039" s="29"/>
      <c r="K3039" s="29"/>
      <c r="L3039" s="29"/>
      <c r="M3039" s="29"/>
      <c r="N3039" s="29" t="s">
        <v>4556</v>
      </c>
      <c r="O3039" s="29"/>
      <c r="P3039" s="29" t="s">
        <v>10254</v>
      </c>
      <c r="Q3039" t="s">
        <v>2038</v>
      </c>
      <c r="R3039" t="s">
        <v>2633</v>
      </c>
      <c r="S3039">
        <v>37</v>
      </c>
      <c r="T3039" s="43" t="str">
        <f t="shared" si="135"/>
        <v>2021.010B.R.Binomial_names.zip</v>
      </c>
      <c r="U3039" s="43" t="str">
        <f>HYPERLINK("https://ictv.global/taxonomy/taxondetails?taxnode_id=202209968","ictv.global=202209968")</f>
        <v>ictv.global=202209968</v>
      </c>
    </row>
    <row r="3040" spans="1:21">
      <c r="A3040">
        <v>3039</v>
      </c>
      <c r="B3040" s="29" t="s">
        <v>3682</v>
      </c>
      <c r="C3040" s="29"/>
      <c r="D3040" s="29" t="s">
        <v>3683</v>
      </c>
      <c r="E3040" s="29"/>
      <c r="F3040" s="29" t="s">
        <v>3686</v>
      </c>
      <c r="G3040" s="29"/>
      <c r="H3040" s="29" t="s">
        <v>3687</v>
      </c>
      <c r="I3040" s="29"/>
      <c r="J3040" s="29"/>
      <c r="K3040" s="29"/>
      <c r="L3040" s="29"/>
      <c r="M3040" s="29"/>
      <c r="N3040" s="29" t="s">
        <v>4721</v>
      </c>
      <c r="O3040" s="29"/>
      <c r="P3040" s="29" t="s">
        <v>10255</v>
      </c>
      <c r="Q3040" t="s">
        <v>2038</v>
      </c>
      <c r="R3040" t="s">
        <v>2633</v>
      </c>
      <c r="S3040">
        <v>37</v>
      </c>
      <c r="T3040" s="43" t="str">
        <f t="shared" si="135"/>
        <v>2021.010B.R.Binomial_names.zip</v>
      </c>
      <c r="U3040" s="43" t="str">
        <f>HYPERLINK("https://ictv.global/taxonomy/taxondetails?taxnode_id=202211658","ictv.global=202211658")</f>
        <v>ictv.global=202211658</v>
      </c>
    </row>
    <row r="3041" spans="1:21">
      <c r="A3041">
        <v>3040</v>
      </c>
      <c r="B3041" s="29" t="s">
        <v>3682</v>
      </c>
      <c r="C3041" s="29"/>
      <c r="D3041" s="29" t="s">
        <v>3683</v>
      </c>
      <c r="E3041" s="29"/>
      <c r="F3041" s="29" t="s">
        <v>3686</v>
      </c>
      <c r="G3041" s="29"/>
      <c r="H3041" s="29" t="s">
        <v>3687</v>
      </c>
      <c r="I3041" s="29"/>
      <c r="J3041" s="29"/>
      <c r="K3041" s="29"/>
      <c r="L3041" s="29"/>
      <c r="M3041" s="29"/>
      <c r="N3041" s="29" t="s">
        <v>3531</v>
      </c>
      <c r="O3041" s="29"/>
      <c r="P3041" s="29" t="s">
        <v>10256</v>
      </c>
      <c r="Q3041" t="s">
        <v>2038</v>
      </c>
      <c r="R3041" t="s">
        <v>2633</v>
      </c>
      <c r="S3041">
        <v>37</v>
      </c>
      <c r="T3041" s="43" t="str">
        <f t="shared" si="135"/>
        <v>2021.010B.R.Binomial_names.zip</v>
      </c>
      <c r="U3041" s="43" t="str">
        <f>HYPERLINK("https://ictv.global/taxonomy/taxondetails?taxnode_id=202206737","ictv.global=202206737")</f>
        <v>ictv.global=202206737</v>
      </c>
    </row>
    <row r="3042" spans="1:21">
      <c r="A3042">
        <v>3041</v>
      </c>
      <c r="B3042" s="29" t="s">
        <v>3682</v>
      </c>
      <c r="C3042" s="29"/>
      <c r="D3042" s="29" t="s">
        <v>3683</v>
      </c>
      <c r="E3042" s="29"/>
      <c r="F3042" s="29" t="s">
        <v>3686</v>
      </c>
      <c r="G3042" s="29"/>
      <c r="H3042" s="29" t="s">
        <v>3687</v>
      </c>
      <c r="I3042" s="29"/>
      <c r="J3042" s="29"/>
      <c r="K3042" s="29"/>
      <c r="L3042" s="29"/>
      <c r="M3042" s="29"/>
      <c r="N3042" s="29" t="s">
        <v>4557</v>
      </c>
      <c r="O3042" s="29"/>
      <c r="P3042" s="29" t="s">
        <v>10257</v>
      </c>
      <c r="Q3042" t="s">
        <v>2038</v>
      </c>
      <c r="R3042" t="s">
        <v>2633</v>
      </c>
      <c r="S3042">
        <v>37</v>
      </c>
      <c r="T3042" s="43" t="str">
        <f t="shared" si="135"/>
        <v>2021.010B.R.Binomial_names.zip</v>
      </c>
      <c r="U3042" s="43" t="str">
        <f>HYPERLINK("https://ictv.global/taxonomy/taxondetails?taxnode_id=202200513","ictv.global=202200513")</f>
        <v>ictv.global=202200513</v>
      </c>
    </row>
    <row r="3043" spans="1:21">
      <c r="A3043">
        <v>3042</v>
      </c>
      <c r="B3043" s="29" t="s">
        <v>3682</v>
      </c>
      <c r="C3043" s="29"/>
      <c r="D3043" s="29" t="s">
        <v>3683</v>
      </c>
      <c r="E3043" s="29"/>
      <c r="F3043" s="29" t="s">
        <v>3686</v>
      </c>
      <c r="G3043" s="29"/>
      <c r="H3043" s="29" t="s">
        <v>3687</v>
      </c>
      <c r="I3043" s="29"/>
      <c r="J3043" s="29"/>
      <c r="K3043" s="29"/>
      <c r="L3043" s="29"/>
      <c r="M3043" s="29"/>
      <c r="N3043" s="29" t="s">
        <v>2654</v>
      </c>
      <c r="O3043" s="29"/>
      <c r="P3043" s="29" t="s">
        <v>10258</v>
      </c>
      <c r="Q3043" t="s">
        <v>2038</v>
      </c>
      <c r="R3043" t="s">
        <v>2633</v>
      </c>
      <c r="S3043">
        <v>37</v>
      </c>
      <c r="T3043" s="43" t="str">
        <f t="shared" si="135"/>
        <v>2021.010B.R.Binomial_names.zip</v>
      </c>
      <c r="U3043" s="43" t="str">
        <f>HYPERLINK("https://ictv.global/taxonomy/taxondetails?taxnode_id=202205543","ictv.global=202205543")</f>
        <v>ictv.global=202205543</v>
      </c>
    </row>
    <row r="3044" spans="1:21">
      <c r="A3044">
        <v>3043</v>
      </c>
      <c r="B3044" s="29" t="s">
        <v>3682</v>
      </c>
      <c r="C3044" s="29"/>
      <c r="D3044" s="29" t="s">
        <v>3683</v>
      </c>
      <c r="E3044" s="29"/>
      <c r="F3044" s="29" t="s">
        <v>3686</v>
      </c>
      <c r="G3044" s="29"/>
      <c r="H3044" s="29" t="s">
        <v>3687</v>
      </c>
      <c r="I3044" s="29"/>
      <c r="J3044" s="29"/>
      <c r="K3044" s="29"/>
      <c r="L3044" s="29"/>
      <c r="M3044" s="29"/>
      <c r="N3044" s="29" t="s">
        <v>2654</v>
      </c>
      <c r="O3044" s="29"/>
      <c r="P3044" s="29" t="s">
        <v>10259</v>
      </c>
      <c r="Q3044" t="s">
        <v>2038</v>
      </c>
      <c r="R3044" t="s">
        <v>2633</v>
      </c>
      <c r="S3044">
        <v>37</v>
      </c>
      <c r="T3044" s="43" t="str">
        <f t="shared" si="135"/>
        <v>2021.010B.R.Binomial_names.zip</v>
      </c>
      <c r="U3044" s="43" t="str">
        <f>HYPERLINK("https://ictv.global/taxonomy/taxondetails?taxnode_id=202205544","ictv.global=202205544")</f>
        <v>ictv.global=202205544</v>
      </c>
    </row>
    <row r="3045" spans="1:21">
      <c r="A3045">
        <v>3044</v>
      </c>
      <c r="B3045" s="29" t="s">
        <v>3682</v>
      </c>
      <c r="C3045" s="29"/>
      <c r="D3045" s="29" t="s">
        <v>3683</v>
      </c>
      <c r="E3045" s="29"/>
      <c r="F3045" s="29" t="s">
        <v>3686</v>
      </c>
      <c r="G3045" s="29"/>
      <c r="H3045" s="29" t="s">
        <v>3687</v>
      </c>
      <c r="I3045" s="29"/>
      <c r="J3045" s="29"/>
      <c r="K3045" s="29"/>
      <c r="L3045" s="29"/>
      <c r="M3045" s="29"/>
      <c r="N3045" s="29" t="s">
        <v>2654</v>
      </c>
      <c r="O3045" s="29"/>
      <c r="P3045" s="29" t="s">
        <v>10260</v>
      </c>
      <c r="Q3045" t="s">
        <v>2038</v>
      </c>
      <c r="R3045" t="s">
        <v>2633</v>
      </c>
      <c r="S3045">
        <v>37</v>
      </c>
      <c r="T3045" s="43" t="str">
        <f t="shared" si="135"/>
        <v>2021.010B.R.Binomial_names.zip</v>
      </c>
      <c r="U3045" s="43" t="str">
        <f>HYPERLINK("https://ictv.global/taxonomy/taxondetails?taxnode_id=202205545","ictv.global=202205545")</f>
        <v>ictv.global=202205545</v>
      </c>
    </row>
    <row r="3046" spans="1:21">
      <c r="A3046">
        <v>3045</v>
      </c>
      <c r="B3046" s="29" t="s">
        <v>3682</v>
      </c>
      <c r="C3046" s="29"/>
      <c r="D3046" s="29" t="s">
        <v>3683</v>
      </c>
      <c r="E3046" s="29"/>
      <c r="F3046" s="29" t="s">
        <v>3686</v>
      </c>
      <c r="G3046" s="29"/>
      <c r="H3046" s="29" t="s">
        <v>3687</v>
      </c>
      <c r="I3046" s="29"/>
      <c r="J3046" s="29"/>
      <c r="K3046" s="29"/>
      <c r="L3046" s="29"/>
      <c r="M3046" s="29"/>
      <c r="N3046" s="29" t="s">
        <v>2654</v>
      </c>
      <c r="O3046" s="29"/>
      <c r="P3046" s="29" t="s">
        <v>10261</v>
      </c>
      <c r="Q3046" t="s">
        <v>2038</v>
      </c>
      <c r="R3046" t="s">
        <v>2633</v>
      </c>
      <c r="S3046">
        <v>37</v>
      </c>
      <c r="T3046" s="43" t="str">
        <f t="shared" si="135"/>
        <v>2021.010B.R.Binomial_names.zip</v>
      </c>
      <c r="U3046" s="43" t="str">
        <f>HYPERLINK("https://ictv.global/taxonomy/taxondetails?taxnode_id=202205546","ictv.global=202205546")</f>
        <v>ictv.global=202205546</v>
      </c>
    </row>
    <row r="3047" spans="1:21">
      <c r="A3047">
        <v>3046</v>
      </c>
      <c r="B3047" s="29" t="s">
        <v>3682</v>
      </c>
      <c r="C3047" s="29"/>
      <c r="D3047" s="29" t="s">
        <v>3683</v>
      </c>
      <c r="E3047" s="29"/>
      <c r="F3047" s="29" t="s">
        <v>3686</v>
      </c>
      <c r="G3047" s="29"/>
      <c r="H3047" s="29" t="s">
        <v>3687</v>
      </c>
      <c r="I3047" s="29"/>
      <c r="J3047" s="29"/>
      <c r="K3047" s="29"/>
      <c r="L3047" s="29"/>
      <c r="M3047" s="29"/>
      <c r="N3047" s="29" t="s">
        <v>10262</v>
      </c>
      <c r="O3047" s="29"/>
      <c r="P3047" s="29" t="s">
        <v>10263</v>
      </c>
      <c r="Q3047" t="s">
        <v>2038</v>
      </c>
      <c r="R3047" t="s">
        <v>2632</v>
      </c>
      <c r="S3047">
        <v>38</v>
      </c>
      <c r="T3047" s="43" t="str">
        <f>HYPERLINK("https://ictv.global/ictv/proposals/2022.081B.Caudoviricetes_6ng_streptomyces.zip","2022.081B.Caudoviricetes_6ng_streptomyces.zip")</f>
        <v>2022.081B.Caudoviricetes_6ng_streptomyces.zip</v>
      </c>
      <c r="U3047" s="43" t="str">
        <f>HYPERLINK("https://ictv.global/taxonomy/taxondetails?taxnode_id=202214877","ictv.global=202214877")</f>
        <v>ictv.global=202214877</v>
      </c>
    </row>
    <row r="3048" spans="1:21">
      <c r="A3048">
        <v>3047</v>
      </c>
      <c r="B3048" s="29" t="s">
        <v>3682</v>
      </c>
      <c r="C3048" s="29"/>
      <c r="D3048" s="29" t="s">
        <v>3683</v>
      </c>
      <c r="E3048" s="29"/>
      <c r="F3048" s="29" t="s">
        <v>3686</v>
      </c>
      <c r="G3048" s="29"/>
      <c r="H3048" s="29" t="s">
        <v>3687</v>
      </c>
      <c r="I3048" s="29"/>
      <c r="J3048" s="29"/>
      <c r="K3048" s="29"/>
      <c r="L3048" s="29"/>
      <c r="M3048" s="29"/>
      <c r="N3048" s="29" t="s">
        <v>4602</v>
      </c>
      <c r="O3048" s="29"/>
      <c r="P3048" s="29" t="s">
        <v>10264</v>
      </c>
      <c r="Q3048" t="s">
        <v>2038</v>
      </c>
      <c r="R3048" t="s">
        <v>2633</v>
      </c>
      <c r="S3048">
        <v>37</v>
      </c>
      <c r="T3048" s="43" t="str">
        <f>HYPERLINK("https://ictv.global/ictv/proposals/2021.010B.R.Binomial_names.zip","2021.010B.R.Binomial_names.zip")</f>
        <v>2021.010B.R.Binomial_names.zip</v>
      </c>
      <c r="U3048" s="43" t="str">
        <f>HYPERLINK("https://ictv.global/taxonomy/taxondetails?taxnode_id=202200603","ictv.global=202200603")</f>
        <v>ictv.global=202200603</v>
      </c>
    </row>
    <row r="3049" spans="1:21">
      <c r="A3049">
        <v>3048</v>
      </c>
      <c r="B3049" s="29" t="s">
        <v>3682</v>
      </c>
      <c r="C3049" s="29"/>
      <c r="D3049" s="29" t="s">
        <v>3683</v>
      </c>
      <c r="E3049" s="29"/>
      <c r="F3049" s="29" t="s">
        <v>3686</v>
      </c>
      <c r="G3049" s="29"/>
      <c r="H3049" s="29" t="s">
        <v>3687</v>
      </c>
      <c r="I3049" s="29"/>
      <c r="J3049" s="29"/>
      <c r="K3049" s="29"/>
      <c r="L3049" s="29"/>
      <c r="M3049" s="29"/>
      <c r="N3049" s="29" t="s">
        <v>10265</v>
      </c>
      <c r="O3049" s="29"/>
      <c r="P3049" s="29" t="s">
        <v>10266</v>
      </c>
      <c r="Q3049" t="s">
        <v>2038</v>
      </c>
      <c r="R3049" t="s">
        <v>2632</v>
      </c>
      <c r="S3049">
        <v>37</v>
      </c>
      <c r="T3049" s="43" t="str">
        <f>HYPERLINK("https://ictv.global/ictv/proposals/2021.025B.R.Eagleeyevirus.zip","2021.025B.R.Eagleeyevirus.zip")</f>
        <v>2021.025B.R.Eagleeyevirus.zip</v>
      </c>
      <c r="U3049" s="43" t="str">
        <f>HYPERLINK("https://ictv.global/taxonomy/taxondetails?taxnode_id=202213522","ictv.global=202213522")</f>
        <v>ictv.global=202213522</v>
      </c>
    </row>
    <row r="3050" spans="1:21">
      <c r="A3050">
        <v>3049</v>
      </c>
      <c r="B3050" s="29" t="s">
        <v>3682</v>
      </c>
      <c r="C3050" s="29"/>
      <c r="D3050" s="29" t="s">
        <v>3683</v>
      </c>
      <c r="E3050" s="29"/>
      <c r="F3050" s="29" t="s">
        <v>3686</v>
      </c>
      <c r="G3050" s="29"/>
      <c r="H3050" s="29" t="s">
        <v>3687</v>
      </c>
      <c r="I3050" s="29"/>
      <c r="J3050" s="29"/>
      <c r="K3050" s="29"/>
      <c r="L3050" s="29"/>
      <c r="M3050" s="29"/>
      <c r="N3050" s="29" t="s">
        <v>3996</v>
      </c>
      <c r="O3050" s="29"/>
      <c r="P3050" s="29" t="s">
        <v>10267</v>
      </c>
      <c r="Q3050" t="s">
        <v>2038</v>
      </c>
      <c r="R3050" t="s">
        <v>2633</v>
      </c>
      <c r="S3050">
        <v>37</v>
      </c>
      <c r="T3050" s="43" t="str">
        <f t="shared" ref="T3050:T3066" si="136">HYPERLINK("https://ictv.global/ictv/proposals/2021.010B.R.Binomial_names.zip","2021.010B.R.Binomial_names.zip")</f>
        <v>2021.010B.R.Binomial_names.zip</v>
      </c>
      <c r="U3050" s="43" t="str">
        <f>HYPERLINK("https://ictv.global/taxonomy/taxondetails?taxnode_id=202207839","ictv.global=202207839")</f>
        <v>ictv.global=202207839</v>
      </c>
    </row>
    <row r="3051" spans="1:21">
      <c r="A3051">
        <v>3050</v>
      </c>
      <c r="B3051" s="29" t="s">
        <v>3682</v>
      </c>
      <c r="C3051" s="29"/>
      <c r="D3051" s="29" t="s">
        <v>3683</v>
      </c>
      <c r="E3051" s="29"/>
      <c r="F3051" s="29" t="s">
        <v>3686</v>
      </c>
      <c r="G3051" s="29"/>
      <c r="H3051" s="29" t="s">
        <v>3687</v>
      </c>
      <c r="I3051" s="29"/>
      <c r="J3051" s="29"/>
      <c r="K3051" s="29"/>
      <c r="L3051" s="29"/>
      <c r="M3051" s="29"/>
      <c r="N3051" s="29" t="s">
        <v>3532</v>
      </c>
      <c r="O3051" s="29"/>
      <c r="P3051" s="29" t="s">
        <v>10268</v>
      </c>
      <c r="Q3051" t="s">
        <v>2038</v>
      </c>
      <c r="R3051" t="s">
        <v>2633</v>
      </c>
      <c r="S3051">
        <v>37</v>
      </c>
      <c r="T3051" s="43" t="str">
        <f t="shared" si="136"/>
        <v>2021.010B.R.Binomial_names.zip</v>
      </c>
      <c r="U3051" s="43" t="str">
        <f>HYPERLINK("https://ictv.global/taxonomy/taxondetails?taxnode_id=202206936","ictv.global=202206936")</f>
        <v>ictv.global=202206936</v>
      </c>
    </row>
    <row r="3052" spans="1:21">
      <c r="A3052">
        <v>3051</v>
      </c>
      <c r="B3052" s="29" t="s">
        <v>3682</v>
      </c>
      <c r="C3052" s="29"/>
      <c r="D3052" s="29" t="s">
        <v>3683</v>
      </c>
      <c r="E3052" s="29"/>
      <c r="F3052" s="29" t="s">
        <v>3686</v>
      </c>
      <c r="G3052" s="29"/>
      <c r="H3052" s="29" t="s">
        <v>3687</v>
      </c>
      <c r="I3052" s="29"/>
      <c r="J3052" s="29"/>
      <c r="K3052" s="29"/>
      <c r="L3052" s="29"/>
      <c r="M3052" s="29"/>
      <c r="N3052" s="29" t="s">
        <v>3532</v>
      </c>
      <c r="O3052" s="29"/>
      <c r="P3052" s="29" t="s">
        <v>10269</v>
      </c>
      <c r="Q3052" t="s">
        <v>2038</v>
      </c>
      <c r="R3052" t="s">
        <v>2633</v>
      </c>
      <c r="S3052">
        <v>37</v>
      </c>
      <c r="T3052" s="43" t="str">
        <f t="shared" si="136"/>
        <v>2021.010B.R.Binomial_names.zip</v>
      </c>
      <c r="U3052" s="43" t="str">
        <f>HYPERLINK("https://ictv.global/taxonomy/taxondetails?taxnode_id=202206938","ictv.global=202206938")</f>
        <v>ictv.global=202206938</v>
      </c>
    </row>
    <row r="3053" spans="1:21">
      <c r="A3053">
        <v>3052</v>
      </c>
      <c r="B3053" s="29" t="s">
        <v>3682</v>
      </c>
      <c r="C3053" s="29"/>
      <c r="D3053" s="29" t="s">
        <v>3683</v>
      </c>
      <c r="E3053" s="29"/>
      <c r="F3053" s="29" t="s">
        <v>3686</v>
      </c>
      <c r="G3053" s="29"/>
      <c r="H3053" s="29" t="s">
        <v>3687</v>
      </c>
      <c r="I3053" s="29"/>
      <c r="J3053" s="29"/>
      <c r="K3053" s="29"/>
      <c r="L3053" s="29"/>
      <c r="M3053" s="29"/>
      <c r="N3053" s="29" t="s">
        <v>3532</v>
      </c>
      <c r="O3053" s="29"/>
      <c r="P3053" s="29" t="s">
        <v>10270</v>
      </c>
      <c r="Q3053" t="s">
        <v>2038</v>
      </c>
      <c r="R3053" t="s">
        <v>2633</v>
      </c>
      <c r="S3053">
        <v>37</v>
      </c>
      <c r="T3053" s="43" t="str">
        <f t="shared" si="136"/>
        <v>2021.010B.R.Binomial_names.zip</v>
      </c>
      <c r="U3053" s="43" t="str">
        <f>HYPERLINK("https://ictv.global/taxonomy/taxondetails?taxnode_id=202206939","ictv.global=202206939")</f>
        <v>ictv.global=202206939</v>
      </c>
    </row>
    <row r="3054" spans="1:21">
      <c r="A3054">
        <v>3053</v>
      </c>
      <c r="B3054" s="29" t="s">
        <v>3682</v>
      </c>
      <c r="C3054" s="29"/>
      <c r="D3054" s="29" t="s">
        <v>3683</v>
      </c>
      <c r="E3054" s="29"/>
      <c r="F3054" s="29" t="s">
        <v>3686</v>
      </c>
      <c r="G3054" s="29"/>
      <c r="H3054" s="29" t="s">
        <v>3687</v>
      </c>
      <c r="I3054" s="29"/>
      <c r="J3054" s="29"/>
      <c r="K3054" s="29"/>
      <c r="L3054" s="29"/>
      <c r="M3054" s="29"/>
      <c r="N3054" s="29" t="s">
        <v>3532</v>
      </c>
      <c r="O3054" s="29"/>
      <c r="P3054" s="29" t="s">
        <v>10271</v>
      </c>
      <c r="Q3054" t="s">
        <v>2038</v>
      </c>
      <c r="R3054" t="s">
        <v>2633</v>
      </c>
      <c r="S3054">
        <v>37</v>
      </c>
      <c r="T3054" s="43" t="str">
        <f t="shared" si="136"/>
        <v>2021.010B.R.Binomial_names.zip</v>
      </c>
      <c r="U3054" s="43" t="str">
        <f>HYPERLINK("https://ictv.global/taxonomy/taxondetails?taxnode_id=202206935","ictv.global=202206935")</f>
        <v>ictv.global=202206935</v>
      </c>
    </row>
    <row r="3055" spans="1:21">
      <c r="A3055">
        <v>3054</v>
      </c>
      <c r="B3055" s="29" t="s">
        <v>3682</v>
      </c>
      <c r="C3055" s="29"/>
      <c r="D3055" s="29" t="s">
        <v>3683</v>
      </c>
      <c r="E3055" s="29"/>
      <c r="F3055" s="29" t="s">
        <v>3686</v>
      </c>
      <c r="G3055" s="29"/>
      <c r="H3055" s="29" t="s">
        <v>3687</v>
      </c>
      <c r="I3055" s="29"/>
      <c r="J3055" s="29"/>
      <c r="K3055" s="29"/>
      <c r="L3055" s="29"/>
      <c r="M3055" s="29"/>
      <c r="N3055" s="29" t="s">
        <v>3532</v>
      </c>
      <c r="O3055" s="29"/>
      <c r="P3055" s="29" t="s">
        <v>10272</v>
      </c>
      <c r="Q3055" t="s">
        <v>2038</v>
      </c>
      <c r="R3055" t="s">
        <v>2633</v>
      </c>
      <c r="S3055">
        <v>37</v>
      </c>
      <c r="T3055" s="43" t="str">
        <f t="shared" si="136"/>
        <v>2021.010B.R.Binomial_names.zip</v>
      </c>
      <c r="U3055" s="43" t="str">
        <f>HYPERLINK("https://ictv.global/taxonomy/taxondetails?taxnode_id=202206940","ictv.global=202206940")</f>
        <v>ictv.global=202206940</v>
      </c>
    </row>
    <row r="3056" spans="1:21">
      <c r="A3056">
        <v>3055</v>
      </c>
      <c r="B3056" s="29" t="s">
        <v>3682</v>
      </c>
      <c r="C3056" s="29"/>
      <c r="D3056" s="29" t="s">
        <v>3683</v>
      </c>
      <c r="E3056" s="29"/>
      <c r="F3056" s="29" t="s">
        <v>3686</v>
      </c>
      <c r="G3056" s="29"/>
      <c r="H3056" s="29" t="s">
        <v>3687</v>
      </c>
      <c r="I3056" s="29"/>
      <c r="J3056" s="29"/>
      <c r="K3056" s="29"/>
      <c r="L3056" s="29"/>
      <c r="M3056" s="29"/>
      <c r="N3056" s="29" t="s">
        <v>3532</v>
      </c>
      <c r="O3056" s="29"/>
      <c r="P3056" s="29" t="s">
        <v>10273</v>
      </c>
      <c r="Q3056" t="s">
        <v>2038</v>
      </c>
      <c r="R3056" t="s">
        <v>2633</v>
      </c>
      <c r="S3056">
        <v>37</v>
      </c>
      <c r="T3056" s="43" t="str">
        <f t="shared" si="136"/>
        <v>2021.010B.R.Binomial_names.zip</v>
      </c>
      <c r="U3056" s="43" t="str">
        <f>HYPERLINK("https://ictv.global/taxonomy/taxondetails?taxnode_id=202206934","ictv.global=202206934")</f>
        <v>ictv.global=202206934</v>
      </c>
    </row>
    <row r="3057" spans="1:21">
      <c r="A3057">
        <v>3056</v>
      </c>
      <c r="B3057" s="29" t="s">
        <v>3682</v>
      </c>
      <c r="C3057" s="29"/>
      <c r="D3057" s="29" t="s">
        <v>3683</v>
      </c>
      <c r="E3057" s="29"/>
      <c r="F3057" s="29" t="s">
        <v>3686</v>
      </c>
      <c r="G3057" s="29"/>
      <c r="H3057" s="29" t="s">
        <v>3687</v>
      </c>
      <c r="I3057" s="29"/>
      <c r="J3057" s="29"/>
      <c r="K3057" s="29"/>
      <c r="L3057" s="29"/>
      <c r="M3057" s="29"/>
      <c r="N3057" s="29" t="s">
        <v>3532</v>
      </c>
      <c r="O3057" s="29"/>
      <c r="P3057" s="29" t="s">
        <v>10274</v>
      </c>
      <c r="Q3057" t="s">
        <v>2038</v>
      </c>
      <c r="R3057" t="s">
        <v>2633</v>
      </c>
      <c r="S3057">
        <v>37</v>
      </c>
      <c r="T3057" s="43" t="str">
        <f t="shared" si="136"/>
        <v>2021.010B.R.Binomial_names.zip</v>
      </c>
      <c r="U3057" s="43" t="str">
        <f>HYPERLINK("https://ictv.global/taxonomy/taxondetails?taxnode_id=202206946","ictv.global=202206946")</f>
        <v>ictv.global=202206946</v>
      </c>
    </row>
    <row r="3058" spans="1:21">
      <c r="A3058">
        <v>3057</v>
      </c>
      <c r="B3058" s="29" t="s">
        <v>3682</v>
      </c>
      <c r="C3058" s="29"/>
      <c r="D3058" s="29" t="s">
        <v>3683</v>
      </c>
      <c r="E3058" s="29"/>
      <c r="F3058" s="29" t="s">
        <v>3686</v>
      </c>
      <c r="G3058" s="29"/>
      <c r="H3058" s="29" t="s">
        <v>3687</v>
      </c>
      <c r="I3058" s="29"/>
      <c r="J3058" s="29"/>
      <c r="K3058" s="29"/>
      <c r="L3058" s="29"/>
      <c r="M3058" s="29"/>
      <c r="N3058" s="29" t="s">
        <v>3532</v>
      </c>
      <c r="O3058" s="29"/>
      <c r="P3058" s="29" t="s">
        <v>10275</v>
      </c>
      <c r="Q3058" t="s">
        <v>2038</v>
      </c>
      <c r="R3058" t="s">
        <v>2633</v>
      </c>
      <c r="S3058">
        <v>37</v>
      </c>
      <c r="T3058" s="43" t="str">
        <f t="shared" si="136"/>
        <v>2021.010B.R.Binomial_names.zip</v>
      </c>
      <c r="U3058" s="43" t="str">
        <f>HYPERLINK("https://ictv.global/taxonomy/taxondetails?taxnode_id=202206947","ictv.global=202206947")</f>
        <v>ictv.global=202206947</v>
      </c>
    </row>
    <row r="3059" spans="1:21">
      <c r="A3059">
        <v>3058</v>
      </c>
      <c r="B3059" s="29" t="s">
        <v>3682</v>
      </c>
      <c r="C3059" s="29"/>
      <c r="D3059" s="29" t="s">
        <v>3683</v>
      </c>
      <c r="E3059" s="29"/>
      <c r="F3059" s="29" t="s">
        <v>3686</v>
      </c>
      <c r="G3059" s="29"/>
      <c r="H3059" s="29" t="s">
        <v>3687</v>
      </c>
      <c r="I3059" s="29"/>
      <c r="J3059" s="29"/>
      <c r="K3059" s="29"/>
      <c r="L3059" s="29"/>
      <c r="M3059" s="29"/>
      <c r="N3059" s="29" t="s">
        <v>3532</v>
      </c>
      <c r="O3059" s="29"/>
      <c r="P3059" s="29" t="s">
        <v>10276</v>
      </c>
      <c r="Q3059" t="s">
        <v>2038</v>
      </c>
      <c r="R3059" t="s">
        <v>2633</v>
      </c>
      <c r="S3059">
        <v>37</v>
      </c>
      <c r="T3059" s="43" t="str">
        <f t="shared" si="136"/>
        <v>2021.010B.R.Binomial_names.zip</v>
      </c>
      <c r="U3059" s="43" t="str">
        <f>HYPERLINK("https://ictv.global/taxonomy/taxondetails?taxnode_id=202206937","ictv.global=202206937")</f>
        <v>ictv.global=202206937</v>
      </c>
    </row>
    <row r="3060" spans="1:21">
      <c r="A3060">
        <v>3059</v>
      </c>
      <c r="B3060" s="29" t="s">
        <v>3682</v>
      </c>
      <c r="C3060" s="29"/>
      <c r="D3060" s="29" t="s">
        <v>3683</v>
      </c>
      <c r="E3060" s="29"/>
      <c r="F3060" s="29" t="s">
        <v>3686</v>
      </c>
      <c r="G3060" s="29"/>
      <c r="H3060" s="29" t="s">
        <v>3687</v>
      </c>
      <c r="I3060" s="29"/>
      <c r="J3060" s="29"/>
      <c r="K3060" s="29"/>
      <c r="L3060" s="29"/>
      <c r="M3060" s="29"/>
      <c r="N3060" s="29" t="s">
        <v>3532</v>
      </c>
      <c r="O3060" s="29"/>
      <c r="P3060" s="29" t="s">
        <v>10277</v>
      </c>
      <c r="Q3060" t="s">
        <v>2038</v>
      </c>
      <c r="R3060" t="s">
        <v>2633</v>
      </c>
      <c r="S3060">
        <v>37</v>
      </c>
      <c r="T3060" s="43" t="str">
        <f t="shared" si="136"/>
        <v>2021.010B.R.Binomial_names.zip</v>
      </c>
      <c r="U3060" s="43" t="str">
        <f>HYPERLINK("https://ictv.global/taxonomy/taxondetails?taxnode_id=202206945","ictv.global=202206945")</f>
        <v>ictv.global=202206945</v>
      </c>
    </row>
    <row r="3061" spans="1:21">
      <c r="A3061">
        <v>3060</v>
      </c>
      <c r="B3061" s="29" t="s">
        <v>3682</v>
      </c>
      <c r="C3061" s="29"/>
      <c r="D3061" s="29" t="s">
        <v>3683</v>
      </c>
      <c r="E3061" s="29"/>
      <c r="F3061" s="29" t="s">
        <v>3686</v>
      </c>
      <c r="G3061" s="29"/>
      <c r="H3061" s="29" t="s">
        <v>3687</v>
      </c>
      <c r="I3061" s="29"/>
      <c r="J3061" s="29"/>
      <c r="K3061" s="29"/>
      <c r="L3061" s="29"/>
      <c r="M3061" s="29"/>
      <c r="N3061" s="29" t="s">
        <v>3532</v>
      </c>
      <c r="O3061" s="29"/>
      <c r="P3061" s="29" t="s">
        <v>10278</v>
      </c>
      <c r="Q3061" t="s">
        <v>2038</v>
      </c>
      <c r="R3061" t="s">
        <v>2633</v>
      </c>
      <c r="S3061">
        <v>37</v>
      </c>
      <c r="T3061" s="43" t="str">
        <f t="shared" si="136"/>
        <v>2021.010B.R.Binomial_names.zip</v>
      </c>
      <c r="U3061" s="43" t="str">
        <f>HYPERLINK("https://ictv.global/taxonomy/taxondetails?taxnode_id=202206943","ictv.global=202206943")</f>
        <v>ictv.global=202206943</v>
      </c>
    </row>
    <row r="3062" spans="1:21">
      <c r="A3062">
        <v>3061</v>
      </c>
      <c r="B3062" s="29" t="s">
        <v>3682</v>
      </c>
      <c r="C3062" s="29"/>
      <c r="D3062" s="29" t="s">
        <v>3683</v>
      </c>
      <c r="E3062" s="29"/>
      <c r="F3062" s="29" t="s">
        <v>3686</v>
      </c>
      <c r="G3062" s="29"/>
      <c r="H3062" s="29" t="s">
        <v>3687</v>
      </c>
      <c r="I3062" s="29"/>
      <c r="J3062" s="29"/>
      <c r="K3062" s="29"/>
      <c r="L3062" s="29"/>
      <c r="M3062" s="29"/>
      <c r="N3062" s="29" t="s">
        <v>3532</v>
      </c>
      <c r="O3062" s="29"/>
      <c r="P3062" s="29" t="s">
        <v>10279</v>
      </c>
      <c r="Q3062" t="s">
        <v>2038</v>
      </c>
      <c r="R3062" t="s">
        <v>2633</v>
      </c>
      <c r="S3062">
        <v>37</v>
      </c>
      <c r="T3062" s="43" t="str">
        <f t="shared" si="136"/>
        <v>2021.010B.R.Binomial_names.zip</v>
      </c>
      <c r="U3062" s="43" t="str">
        <f>HYPERLINK("https://ictv.global/taxonomy/taxondetails?taxnode_id=202206944","ictv.global=202206944")</f>
        <v>ictv.global=202206944</v>
      </c>
    </row>
    <row r="3063" spans="1:21">
      <c r="A3063">
        <v>3062</v>
      </c>
      <c r="B3063" s="29" t="s">
        <v>3682</v>
      </c>
      <c r="C3063" s="29"/>
      <c r="D3063" s="29" t="s">
        <v>3683</v>
      </c>
      <c r="E3063" s="29"/>
      <c r="F3063" s="29" t="s">
        <v>3686</v>
      </c>
      <c r="G3063" s="29"/>
      <c r="H3063" s="29" t="s">
        <v>3687</v>
      </c>
      <c r="I3063" s="29"/>
      <c r="J3063" s="29"/>
      <c r="K3063" s="29"/>
      <c r="L3063" s="29"/>
      <c r="M3063" s="29"/>
      <c r="N3063" s="29" t="s">
        <v>3532</v>
      </c>
      <c r="O3063" s="29"/>
      <c r="P3063" s="29" t="s">
        <v>10280</v>
      </c>
      <c r="Q3063" t="s">
        <v>2038</v>
      </c>
      <c r="R3063" t="s">
        <v>2633</v>
      </c>
      <c r="S3063">
        <v>37</v>
      </c>
      <c r="T3063" s="43" t="str">
        <f t="shared" si="136"/>
        <v>2021.010B.R.Binomial_names.zip</v>
      </c>
      <c r="U3063" s="43" t="str">
        <f>HYPERLINK("https://ictv.global/taxonomy/taxondetails?taxnode_id=202206942","ictv.global=202206942")</f>
        <v>ictv.global=202206942</v>
      </c>
    </row>
    <row r="3064" spans="1:21">
      <c r="A3064">
        <v>3063</v>
      </c>
      <c r="B3064" s="29" t="s">
        <v>3682</v>
      </c>
      <c r="C3064" s="29"/>
      <c r="D3064" s="29" t="s">
        <v>3683</v>
      </c>
      <c r="E3064" s="29"/>
      <c r="F3064" s="29" t="s">
        <v>3686</v>
      </c>
      <c r="G3064" s="29"/>
      <c r="H3064" s="29" t="s">
        <v>3687</v>
      </c>
      <c r="I3064" s="29"/>
      <c r="J3064" s="29"/>
      <c r="K3064" s="29"/>
      <c r="L3064" s="29"/>
      <c r="M3064" s="29"/>
      <c r="N3064" s="29" t="s">
        <v>3532</v>
      </c>
      <c r="O3064" s="29"/>
      <c r="P3064" s="29" t="s">
        <v>10281</v>
      </c>
      <c r="Q3064" t="s">
        <v>2038</v>
      </c>
      <c r="R3064" t="s">
        <v>2633</v>
      </c>
      <c r="S3064">
        <v>37</v>
      </c>
      <c r="T3064" s="43" t="str">
        <f t="shared" si="136"/>
        <v>2021.010B.R.Binomial_names.zip</v>
      </c>
      <c r="U3064" s="43" t="str">
        <f>HYPERLINK("https://ictv.global/taxonomy/taxondetails?taxnode_id=202206941","ictv.global=202206941")</f>
        <v>ictv.global=202206941</v>
      </c>
    </row>
    <row r="3065" spans="1:21">
      <c r="A3065">
        <v>3064</v>
      </c>
      <c r="B3065" s="29" t="s">
        <v>3682</v>
      </c>
      <c r="C3065" s="29"/>
      <c r="D3065" s="29" t="s">
        <v>3683</v>
      </c>
      <c r="E3065" s="29"/>
      <c r="F3065" s="29" t="s">
        <v>3686</v>
      </c>
      <c r="G3065" s="29"/>
      <c r="H3065" s="29" t="s">
        <v>3687</v>
      </c>
      <c r="I3065" s="29"/>
      <c r="J3065" s="29"/>
      <c r="K3065" s="29"/>
      <c r="L3065" s="29"/>
      <c r="M3065" s="29"/>
      <c r="N3065" s="29" t="s">
        <v>2430</v>
      </c>
      <c r="O3065" s="29"/>
      <c r="P3065" s="29" t="s">
        <v>10282</v>
      </c>
      <c r="Q3065" t="s">
        <v>2038</v>
      </c>
      <c r="R3065" t="s">
        <v>2633</v>
      </c>
      <c r="S3065">
        <v>37</v>
      </c>
      <c r="T3065" s="43" t="str">
        <f t="shared" si="136"/>
        <v>2021.010B.R.Binomial_names.zip</v>
      </c>
      <c r="U3065" s="43" t="str">
        <f>HYPERLINK("https://ictv.global/taxonomy/taxondetails?taxnode_id=202200967","ictv.global=202200967")</f>
        <v>ictv.global=202200967</v>
      </c>
    </row>
    <row r="3066" spans="1:21">
      <c r="A3066">
        <v>3065</v>
      </c>
      <c r="B3066" s="29" t="s">
        <v>3682</v>
      </c>
      <c r="C3066" s="29"/>
      <c r="D3066" s="29" t="s">
        <v>3683</v>
      </c>
      <c r="E3066" s="29"/>
      <c r="F3066" s="29" t="s">
        <v>3686</v>
      </c>
      <c r="G3066" s="29"/>
      <c r="H3066" s="29" t="s">
        <v>3687</v>
      </c>
      <c r="I3066" s="29"/>
      <c r="J3066" s="29"/>
      <c r="K3066" s="29"/>
      <c r="L3066" s="29"/>
      <c r="M3066" s="29"/>
      <c r="N3066" s="29" t="s">
        <v>3533</v>
      </c>
      <c r="O3066" s="29"/>
      <c r="P3066" s="29" t="s">
        <v>10283</v>
      </c>
      <c r="Q3066" t="s">
        <v>2038</v>
      </c>
      <c r="R3066" t="s">
        <v>2633</v>
      </c>
      <c r="S3066">
        <v>37</v>
      </c>
      <c r="T3066" s="43" t="str">
        <f t="shared" si="136"/>
        <v>2021.010B.R.Binomial_names.zip</v>
      </c>
      <c r="U3066" s="43" t="str">
        <f>HYPERLINK("https://ictv.global/taxonomy/taxondetails?taxnode_id=202201379","ictv.global=202201379")</f>
        <v>ictv.global=202201379</v>
      </c>
    </row>
    <row r="3067" spans="1:21">
      <c r="A3067">
        <v>3066</v>
      </c>
      <c r="B3067" s="29" t="s">
        <v>3682</v>
      </c>
      <c r="C3067" s="29"/>
      <c r="D3067" s="29" t="s">
        <v>3683</v>
      </c>
      <c r="E3067" s="29"/>
      <c r="F3067" s="29" t="s">
        <v>3686</v>
      </c>
      <c r="G3067" s="29"/>
      <c r="H3067" s="29" t="s">
        <v>3687</v>
      </c>
      <c r="I3067" s="29"/>
      <c r="J3067" s="29"/>
      <c r="K3067" s="29"/>
      <c r="L3067" s="29"/>
      <c r="M3067" s="29"/>
      <c r="N3067" s="29" t="s">
        <v>10284</v>
      </c>
      <c r="O3067" s="29"/>
      <c r="P3067" s="29" t="s">
        <v>10285</v>
      </c>
      <c r="Q3067" t="s">
        <v>2038</v>
      </c>
      <c r="R3067" t="s">
        <v>2632</v>
      </c>
      <c r="S3067">
        <v>37</v>
      </c>
      <c r="T3067" s="43" t="str">
        <f t="shared" ref="T3067:T3072" si="137">HYPERLINK("https://ictv.global/ictv/proposals/2021.028B.R.Flavobacterium_phages_new_genera.zip","2021.028B.R.Flavobacterium_phages_new_genera.zip")</f>
        <v>2021.028B.R.Flavobacterium_phages_new_genera.zip</v>
      </c>
      <c r="U3067" s="43" t="str">
        <f>HYPERLINK("https://ictv.global/taxonomy/taxondetails?taxnode_id=202213530","ictv.global=202213530")</f>
        <v>ictv.global=202213530</v>
      </c>
    </row>
    <row r="3068" spans="1:21">
      <c r="A3068">
        <v>3067</v>
      </c>
      <c r="B3068" s="29" t="s">
        <v>3682</v>
      </c>
      <c r="C3068" s="29"/>
      <c r="D3068" s="29" t="s">
        <v>3683</v>
      </c>
      <c r="E3068" s="29"/>
      <c r="F3068" s="29" t="s">
        <v>3686</v>
      </c>
      <c r="G3068" s="29"/>
      <c r="H3068" s="29" t="s">
        <v>3687</v>
      </c>
      <c r="I3068" s="29"/>
      <c r="J3068" s="29"/>
      <c r="K3068" s="29"/>
      <c r="L3068" s="29"/>
      <c r="M3068" s="29"/>
      <c r="N3068" s="29" t="s">
        <v>10284</v>
      </c>
      <c r="O3068" s="29"/>
      <c r="P3068" s="29" t="s">
        <v>10286</v>
      </c>
      <c r="Q3068" t="s">
        <v>2038</v>
      </c>
      <c r="R3068" t="s">
        <v>2632</v>
      </c>
      <c r="S3068">
        <v>37</v>
      </c>
      <c r="T3068" s="43" t="str">
        <f t="shared" si="137"/>
        <v>2021.028B.R.Flavobacterium_phages_new_genera.zip</v>
      </c>
      <c r="U3068" s="43" t="str">
        <f>HYPERLINK("https://ictv.global/taxonomy/taxondetails?taxnode_id=202213531","ictv.global=202213531")</f>
        <v>ictv.global=202213531</v>
      </c>
    </row>
    <row r="3069" spans="1:21">
      <c r="A3069">
        <v>3068</v>
      </c>
      <c r="B3069" s="29" t="s">
        <v>3682</v>
      </c>
      <c r="C3069" s="29"/>
      <c r="D3069" s="29" t="s">
        <v>3683</v>
      </c>
      <c r="E3069" s="29"/>
      <c r="F3069" s="29" t="s">
        <v>3686</v>
      </c>
      <c r="G3069" s="29"/>
      <c r="H3069" s="29" t="s">
        <v>3687</v>
      </c>
      <c r="I3069" s="29"/>
      <c r="J3069" s="29"/>
      <c r="K3069" s="29"/>
      <c r="L3069" s="29"/>
      <c r="M3069" s="29"/>
      <c r="N3069" s="29" t="s">
        <v>10284</v>
      </c>
      <c r="O3069" s="29"/>
      <c r="P3069" s="29" t="s">
        <v>10287</v>
      </c>
      <c r="Q3069" t="s">
        <v>2038</v>
      </c>
      <c r="R3069" t="s">
        <v>2632</v>
      </c>
      <c r="S3069">
        <v>37</v>
      </c>
      <c r="T3069" s="43" t="str">
        <f t="shared" si="137"/>
        <v>2021.028B.R.Flavobacterium_phages_new_genera.zip</v>
      </c>
      <c r="U3069" s="43" t="str">
        <f>HYPERLINK("https://ictv.global/taxonomy/taxondetails?taxnode_id=202213532","ictv.global=202213532")</f>
        <v>ictv.global=202213532</v>
      </c>
    </row>
    <row r="3070" spans="1:21">
      <c r="A3070">
        <v>3069</v>
      </c>
      <c r="B3070" s="29" t="s">
        <v>3682</v>
      </c>
      <c r="C3070" s="29"/>
      <c r="D3070" s="29" t="s">
        <v>3683</v>
      </c>
      <c r="E3070" s="29"/>
      <c r="F3070" s="29" t="s">
        <v>3686</v>
      </c>
      <c r="G3070" s="29"/>
      <c r="H3070" s="29" t="s">
        <v>3687</v>
      </c>
      <c r="I3070" s="29"/>
      <c r="J3070" s="29"/>
      <c r="K3070" s="29"/>
      <c r="L3070" s="29"/>
      <c r="M3070" s="29"/>
      <c r="N3070" s="29" t="s">
        <v>10284</v>
      </c>
      <c r="O3070" s="29"/>
      <c r="P3070" s="29" t="s">
        <v>10288</v>
      </c>
      <c r="Q3070" t="s">
        <v>2038</v>
      </c>
      <c r="R3070" t="s">
        <v>2632</v>
      </c>
      <c r="S3070">
        <v>37</v>
      </c>
      <c r="T3070" s="43" t="str">
        <f t="shared" si="137"/>
        <v>2021.028B.R.Flavobacterium_phages_new_genera.zip</v>
      </c>
      <c r="U3070" s="43" t="str">
        <f>HYPERLINK("https://ictv.global/taxonomy/taxondetails?taxnode_id=202213533","ictv.global=202213533")</f>
        <v>ictv.global=202213533</v>
      </c>
    </row>
    <row r="3071" spans="1:21">
      <c r="A3071">
        <v>3070</v>
      </c>
      <c r="B3071" s="29" t="s">
        <v>3682</v>
      </c>
      <c r="C3071" s="29"/>
      <c r="D3071" s="29" t="s">
        <v>3683</v>
      </c>
      <c r="E3071" s="29"/>
      <c r="F3071" s="29" t="s">
        <v>3686</v>
      </c>
      <c r="G3071" s="29"/>
      <c r="H3071" s="29" t="s">
        <v>3687</v>
      </c>
      <c r="I3071" s="29"/>
      <c r="J3071" s="29"/>
      <c r="K3071" s="29"/>
      <c r="L3071" s="29"/>
      <c r="M3071" s="29"/>
      <c r="N3071" s="29" t="s">
        <v>10284</v>
      </c>
      <c r="O3071" s="29"/>
      <c r="P3071" s="29" t="s">
        <v>10289</v>
      </c>
      <c r="Q3071" t="s">
        <v>2038</v>
      </c>
      <c r="R3071" t="s">
        <v>2632</v>
      </c>
      <c r="S3071">
        <v>37</v>
      </c>
      <c r="T3071" s="43" t="str">
        <f t="shared" si="137"/>
        <v>2021.028B.R.Flavobacterium_phages_new_genera.zip</v>
      </c>
      <c r="U3071" s="43" t="str">
        <f>HYPERLINK("https://ictv.global/taxonomy/taxondetails?taxnode_id=202213534","ictv.global=202213534")</f>
        <v>ictv.global=202213534</v>
      </c>
    </row>
    <row r="3072" spans="1:21">
      <c r="A3072">
        <v>3071</v>
      </c>
      <c r="B3072" s="29" t="s">
        <v>3682</v>
      </c>
      <c r="C3072" s="29"/>
      <c r="D3072" s="29" t="s">
        <v>3683</v>
      </c>
      <c r="E3072" s="29"/>
      <c r="F3072" s="29" t="s">
        <v>3686</v>
      </c>
      <c r="G3072" s="29"/>
      <c r="H3072" s="29" t="s">
        <v>3687</v>
      </c>
      <c r="I3072" s="29"/>
      <c r="J3072" s="29"/>
      <c r="K3072" s="29"/>
      <c r="L3072" s="29"/>
      <c r="M3072" s="29"/>
      <c r="N3072" s="29" t="s">
        <v>10284</v>
      </c>
      <c r="O3072" s="29"/>
      <c r="P3072" s="29" t="s">
        <v>10290</v>
      </c>
      <c r="Q3072" t="s">
        <v>2038</v>
      </c>
      <c r="R3072" t="s">
        <v>2632</v>
      </c>
      <c r="S3072">
        <v>37</v>
      </c>
      <c r="T3072" s="43" t="str">
        <f t="shared" si="137"/>
        <v>2021.028B.R.Flavobacterium_phages_new_genera.zip</v>
      </c>
      <c r="U3072" s="43" t="str">
        <f>HYPERLINK("https://ictv.global/taxonomy/taxondetails?taxnode_id=202213535","ictv.global=202213535")</f>
        <v>ictv.global=202213535</v>
      </c>
    </row>
    <row r="3073" spans="1:21">
      <c r="A3073">
        <v>3072</v>
      </c>
      <c r="B3073" s="29" t="s">
        <v>3682</v>
      </c>
      <c r="C3073" s="29"/>
      <c r="D3073" s="29" t="s">
        <v>3683</v>
      </c>
      <c r="E3073" s="29"/>
      <c r="F3073" s="29" t="s">
        <v>3686</v>
      </c>
      <c r="G3073" s="29"/>
      <c r="H3073" s="29" t="s">
        <v>3687</v>
      </c>
      <c r="I3073" s="29"/>
      <c r="J3073" s="29"/>
      <c r="K3073" s="29"/>
      <c r="L3073" s="29"/>
      <c r="M3073" s="29"/>
      <c r="N3073" s="29" t="s">
        <v>3534</v>
      </c>
      <c r="O3073" s="29"/>
      <c r="P3073" s="29" t="s">
        <v>10291</v>
      </c>
      <c r="Q3073" t="s">
        <v>2038</v>
      </c>
      <c r="R3073" t="s">
        <v>2633</v>
      </c>
      <c r="S3073">
        <v>37</v>
      </c>
      <c r="T3073" s="43" t="str">
        <f t="shared" ref="T3073:T3082" si="138">HYPERLINK("https://ictv.global/ictv/proposals/2021.010B.R.Binomial_names.zip","2021.010B.R.Binomial_names.zip")</f>
        <v>2021.010B.R.Binomial_names.zip</v>
      </c>
      <c r="U3073" s="43" t="str">
        <f>HYPERLINK("https://ictv.global/taxonomy/taxondetails?taxnode_id=202206739","ictv.global=202206739")</f>
        <v>ictv.global=202206739</v>
      </c>
    </row>
    <row r="3074" spans="1:21">
      <c r="A3074">
        <v>3073</v>
      </c>
      <c r="B3074" s="29" t="s">
        <v>3682</v>
      </c>
      <c r="C3074" s="29"/>
      <c r="D3074" s="29" t="s">
        <v>3683</v>
      </c>
      <c r="E3074" s="29"/>
      <c r="F3074" s="29" t="s">
        <v>3686</v>
      </c>
      <c r="G3074" s="29"/>
      <c r="H3074" s="29" t="s">
        <v>3687</v>
      </c>
      <c r="I3074" s="29"/>
      <c r="J3074" s="29"/>
      <c r="K3074" s="29"/>
      <c r="L3074" s="29"/>
      <c r="M3074" s="29"/>
      <c r="N3074" s="29" t="s">
        <v>4558</v>
      </c>
      <c r="O3074" s="29"/>
      <c r="P3074" s="29" t="s">
        <v>10292</v>
      </c>
      <c r="Q3074" t="s">
        <v>2038</v>
      </c>
      <c r="R3074" t="s">
        <v>2633</v>
      </c>
      <c r="S3074">
        <v>37</v>
      </c>
      <c r="T3074" s="43" t="str">
        <f t="shared" si="138"/>
        <v>2021.010B.R.Binomial_names.zip</v>
      </c>
      <c r="U3074" s="43" t="str">
        <f>HYPERLINK("https://ictv.global/taxonomy/taxondetails?taxnode_id=202209991","ictv.global=202209991")</f>
        <v>ictv.global=202209991</v>
      </c>
    </row>
    <row r="3075" spans="1:21">
      <c r="A3075">
        <v>3074</v>
      </c>
      <c r="B3075" s="29" t="s">
        <v>3682</v>
      </c>
      <c r="C3075" s="29"/>
      <c r="D3075" s="29" t="s">
        <v>3683</v>
      </c>
      <c r="E3075" s="29"/>
      <c r="F3075" s="29" t="s">
        <v>3686</v>
      </c>
      <c r="G3075" s="29"/>
      <c r="H3075" s="29" t="s">
        <v>3687</v>
      </c>
      <c r="I3075" s="29"/>
      <c r="J3075" s="29"/>
      <c r="K3075" s="29"/>
      <c r="L3075" s="29"/>
      <c r="M3075" s="29"/>
      <c r="N3075" s="29" t="s">
        <v>2383</v>
      </c>
      <c r="O3075" s="29"/>
      <c r="P3075" s="29" t="s">
        <v>10293</v>
      </c>
      <c r="Q3075" t="s">
        <v>2038</v>
      </c>
      <c r="R3075" t="s">
        <v>2633</v>
      </c>
      <c r="S3075">
        <v>37</v>
      </c>
      <c r="T3075" s="43" t="str">
        <f t="shared" si="138"/>
        <v>2021.010B.R.Binomial_names.zip</v>
      </c>
      <c r="U3075" s="43" t="str">
        <f>HYPERLINK("https://ictv.global/taxonomy/taxondetails?taxnode_id=202200432","ictv.global=202200432")</f>
        <v>ictv.global=202200432</v>
      </c>
    </row>
    <row r="3076" spans="1:21">
      <c r="A3076">
        <v>3075</v>
      </c>
      <c r="B3076" s="29" t="s">
        <v>3682</v>
      </c>
      <c r="C3076" s="29"/>
      <c r="D3076" s="29" t="s">
        <v>3683</v>
      </c>
      <c r="E3076" s="29"/>
      <c r="F3076" s="29" t="s">
        <v>3686</v>
      </c>
      <c r="G3076" s="29"/>
      <c r="H3076" s="29" t="s">
        <v>3687</v>
      </c>
      <c r="I3076" s="29"/>
      <c r="J3076" s="29"/>
      <c r="K3076" s="29"/>
      <c r="L3076" s="29"/>
      <c r="M3076" s="29"/>
      <c r="N3076" s="29" t="s">
        <v>3535</v>
      </c>
      <c r="O3076" s="29"/>
      <c r="P3076" s="29" t="s">
        <v>10294</v>
      </c>
      <c r="Q3076" t="s">
        <v>2038</v>
      </c>
      <c r="R3076" t="s">
        <v>2633</v>
      </c>
      <c r="S3076">
        <v>37</v>
      </c>
      <c r="T3076" s="43" t="str">
        <f t="shared" si="138"/>
        <v>2021.010B.R.Binomial_names.zip</v>
      </c>
      <c r="U3076" s="43" t="str">
        <f>HYPERLINK("https://ictv.global/taxonomy/taxondetails?taxnode_id=202206821","ictv.global=202206821")</f>
        <v>ictv.global=202206821</v>
      </c>
    </row>
    <row r="3077" spans="1:21">
      <c r="A3077">
        <v>3076</v>
      </c>
      <c r="B3077" s="29" t="s">
        <v>3682</v>
      </c>
      <c r="C3077" s="29"/>
      <c r="D3077" s="29" t="s">
        <v>3683</v>
      </c>
      <c r="E3077" s="29"/>
      <c r="F3077" s="29" t="s">
        <v>3686</v>
      </c>
      <c r="G3077" s="29"/>
      <c r="H3077" s="29" t="s">
        <v>3687</v>
      </c>
      <c r="I3077" s="29"/>
      <c r="J3077" s="29"/>
      <c r="K3077" s="29"/>
      <c r="L3077" s="29"/>
      <c r="M3077" s="29"/>
      <c r="N3077" s="29" t="s">
        <v>3535</v>
      </c>
      <c r="O3077" s="29"/>
      <c r="P3077" s="29" t="s">
        <v>10295</v>
      </c>
      <c r="Q3077" t="s">
        <v>2038</v>
      </c>
      <c r="R3077" t="s">
        <v>2633</v>
      </c>
      <c r="S3077">
        <v>37</v>
      </c>
      <c r="T3077" s="43" t="str">
        <f t="shared" si="138"/>
        <v>2021.010B.R.Binomial_names.zip</v>
      </c>
      <c r="U3077" s="43" t="str">
        <f>HYPERLINK("https://ictv.global/taxonomy/taxondetails?taxnode_id=202206818","ictv.global=202206818")</f>
        <v>ictv.global=202206818</v>
      </c>
    </row>
    <row r="3078" spans="1:21">
      <c r="A3078">
        <v>3077</v>
      </c>
      <c r="B3078" s="29" t="s">
        <v>3682</v>
      </c>
      <c r="C3078" s="29"/>
      <c r="D3078" s="29" t="s">
        <v>3683</v>
      </c>
      <c r="E3078" s="29"/>
      <c r="F3078" s="29" t="s">
        <v>3686</v>
      </c>
      <c r="G3078" s="29"/>
      <c r="H3078" s="29" t="s">
        <v>3687</v>
      </c>
      <c r="I3078" s="29"/>
      <c r="J3078" s="29"/>
      <c r="K3078" s="29"/>
      <c r="L3078" s="29"/>
      <c r="M3078" s="29"/>
      <c r="N3078" s="29" t="s">
        <v>3535</v>
      </c>
      <c r="O3078" s="29"/>
      <c r="P3078" s="29" t="s">
        <v>10296</v>
      </c>
      <c r="Q3078" t="s">
        <v>2038</v>
      </c>
      <c r="R3078" t="s">
        <v>2633</v>
      </c>
      <c r="S3078">
        <v>37</v>
      </c>
      <c r="T3078" s="43" t="str">
        <f t="shared" si="138"/>
        <v>2021.010B.R.Binomial_names.zip</v>
      </c>
      <c r="U3078" s="43" t="str">
        <f>HYPERLINK("https://ictv.global/taxonomy/taxondetails?taxnode_id=202206819","ictv.global=202206819")</f>
        <v>ictv.global=202206819</v>
      </c>
    </row>
    <row r="3079" spans="1:21">
      <c r="A3079">
        <v>3078</v>
      </c>
      <c r="B3079" s="29" t="s">
        <v>3682</v>
      </c>
      <c r="C3079" s="29"/>
      <c r="D3079" s="29" t="s">
        <v>3683</v>
      </c>
      <c r="E3079" s="29"/>
      <c r="F3079" s="29" t="s">
        <v>3686</v>
      </c>
      <c r="G3079" s="29"/>
      <c r="H3079" s="29" t="s">
        <v>3687</v>
      </c>
      <c r="I3079" s="29"/>
      <c r="J3079" s="29"/>
      <c r="K3079" s="29"/>
      <c r="L3079" s="29"/>
      <c r="M3079" s="29"/>
      <c r="N3079" s="29" t="s">
        <v>3535</v>
      </c>
      <c r="O3079" s="29"/>
      <c r="P3079" s="29" t="s">
        <v>10297</v>
      </c>
      <c r="Q3079" t="s">
        <v>2038</v>
      </c>
      <c r="R3079" t="s">
        <v>2633</v>
      </c>
      <c r="S3079">
        <v>37</v>
      </c>
      <c r="T3079" s="43" t="str">
        <f t="shared" si="138"/>
        <v>2021.010B.R.Binomial_names.zip</v>
      </c>
      <c r="U3079" s="43" t="str">
        <f>HYPERLINK("https://ictv.global/taxonomy/taxondetails?taxnode_id=202206820","ictv.global=202206820")</f>
        <v>ictv.global=202206820</v>
      </c>
    </row>
    <row r="3080" spans="1:21">
      <c r="A3080">
        <v>3079</v>
      </c>
      <c r="B3080" s="29" t="s">
        <v>3682</v>
      </c>
      <c r="C3080" s="29"/>
      <c r="D3080" s="29" t="s">
        <v>3683</v>
      </c>
      <c r="E3080" s="29"/>
      <c r="F3080" s="29" t="s">
        <v>3686</v>
      </c>
      <c r="G3080" s="29"/>
      <c r="H3080" s="29" t="s">
        <v>3687</v>
      </c>
      <c r="I3080" s="29"/>
      <c r="J3080" s="29"/>
      <c r="K3080" s="29"/>
      <c r="L3080" s="29"/>
      <c r="M3080" s="29"/>
      <c r="N3080" s="29" t="s">
        <v>3403</v>
      </c>
      <c r="O3080" s="29"/>
      <c r="P3080" s="29" t="s">
        <v>10298</v>
      </c>
      <c r="Q3080" t="s">
        <v>2038</v>
      </c>
      <c r="R3080" t="s">
        <v>2633</v>
      </c>
      <c r="S3080">
        <v>37</v>
      </c>
      <c r="T3080" s="43" t="str">
        <f t="shared" si="138"/>
        <v>2021.010B.R.Binomial_names.zip</v>
      </c>
      <c r="U3080" s="43" t="str">
        <f>HYPERLINK("https://ictv.global/taxonomy/taxondetails?taxnode_id=202200444","ictv.global=202200444")</f>
        <v>ictv.global=202200444</v>
      </c>
    </row>
    <row r="3081" spans="1:21">
      <c r="A3081">
        <v>3080</v>
      </c>
      <c r="B3081" s="29" t="s">
        <v>3682</v>
      </c>
      <c r="C3081" s="29"/>
      <c r="D3081" s="29" t="s">
        <v>3683</v>
      </c>
      <c r="E3081" s="29"/>
      <c r="F3081" s="29" t="s">
        <v>3686</v>
      </c>
      <c r="G3081" s="29"/>
      <c r="H3081" s="29" t="s">
        <v>3687</v>
      </c>
      <c r="I3081" s="29"/>
      <c r="J3081" s="29"/>
      <c r="K3081" s="29"/>
      <c r="L3081" s="29"/>
      <c r="M3081" s="29"/>
      <c r="N3081" s="29" t="s">
        <v>3403</v>
      </c>
      <c r="O3081" s="29"/>
      <c r="P3081" s="29" t="s">
        <v>10299</v>
      </c>
      <c r="Q3081" t="s">
        <v>2038</v>
      </c>
      <c r="R3081" t="s">
        <v>2633</v>
      </c>
      <c r="S3081">
        <v>37</v>
      </c>
      <c r="T3081" s="43" t="str">
        <f t="shared" si="138"/>
        <v>2021.010B.R.Binomial_names.zip</v>
      </c>
      <c r="U3081" s="43" t="str">
        <f>HYPERLINK("https://ictv.global/taxonomy/taxondetails?taxnode_id=202200445","ictv.global=202200445")</f>
        <v>ictv.global=202200445</v>
      </c>
    </row>
    <row r="3082" spans="1:21">
      <c r="A3082">
        <v>3081</v>
      </c>
      <c r="B3082" s="29" t="s">
        <v>3682</v>
      </c>
      <c r="C3082" s="29"/>
      <c r="D3082" s="29" t="s">
        <v>3683</v>
      </c>
      <c r="E3082" s="29"/>
      <c r="F3082" s="29" t="s">
        <v>3686</v>
      </c>
      <c r="G3082" s="29"/>
      <c r="H3082" s="29" t="s">
        <v>3687</v>
      </c>
      <c r="I3082" s="29"/>
      <c r="J3082" s="29"/>
      <c r="K3082" s="29"/>
      <c r="L3082" s="29"/>
      <c r="M3082" s="29"/>
      <c r="N3082" s="29" t="s">
        <v>3403</v>
      </c>
      <c r="O3082" s="29"/>
      <c r="P3082" s="29" t="s">
        <v>10300</v>
      </c>
      <c r="Q3082" t="s">
        <v>2038</v>
      </c>
      <c r="R3082" t="s">
        <v>2633</v>
      </c>
      <c r="S3082">
        <v>37</v>
      </c>
      <c r="T3082" s="43" t="str">
        <f t="shared" si="138"/>
        <v>2021.010B.R.Binomial_names.zip</v>
      </c>
      <c r="U3082" s="43" t="str">
        <f>HYPERLINK("https://ictv.global/taxonomy/taxondetails?taxnode_id=202200446","ictv.global=202200446")</f>
        <v>ictv.global=202200446</v>
      </c>
    </row>
    <row r="3083" spans="1:21">
      <c r="A3083">
        <v>3082</v>
      </c>
      <c r="B3083" s="29" t="s">
        <v>3682</v>
      </c>
      <c r="C3083" s="29"/>
      <c r="D3083" s="29" t="s">
        <v>3683</v>
      </c>
      <c r="E3083" s="29"/>
      <c r="F3083" s="29" t="s">
        <v>3686</v>
      </c>
      <c r="G3083" s="29"/>
      <c r="H3083" s="29" t="s">
        <v>3687</v>
      </c>
      <c r="I3083" s="29"/>
      <c r="J3083" s="29"/>
      <c r="K3083" s="29"/>
      <c r="L3083" s="29"/>
      <c r="M3083" s="29"/>
      <c r="N3083" s="29" t="s">
        <v>10301</v>
      </c>
      <c r="O3083" s="29"/>
      <c r="P3083" s="29" t="s">
        <v>10302</v>
      </c>
      <c r="Q3083" t="s">
        <v>2038</v>
      </c>
      <c r="R3083" t="s">
        <v>2632</v>
      </c>
      <c r="S3083">
        <v>38</v>
      </c>
      <c r="T3083" s="43" t="str">
        <f>HYPERLINK("https://ictv.global/ictv/proposals/2022.032B.Caudoviricetes_5ng.zip","2022.032B.Caudoviricetes_5ng.zip")</f>
        <v>2022.032B.Caudoviricetes_5ng.zip</v>
      </c>
      <c r="U3083" s="43" t="str">
        <f>HYPERLINK("https://ictv.global/taxonomy/taxondetails?taxnode_id=202214591","ictv.global=202214591")</f>
        <v>ictv.global=202214591</v>
      </c>
    </row>
    <row r="3084" spans="1:21">
      <c r="A3084">
        <v>3083</v>
      </c>
      <c r="B3084" s="29" t="s">
        <v>3682</v>
      </c>
      <c r="C3084" s="29"/>
      <c r="D3084" s="29" t="s">
        <v>3683</v>
      </c>
      <c r="E3084" s="29"/>
      <c r="F3084" s="29" t="s">
        <v>3686</v>
      </c>
      <c r="G3084" s="29"/>
      <c r="H3084" s="29" t="s">
        <v>3687</v>
      </c>
      <c r="I3084" s="29"/>
      <c r="J3084" s="29"/>
      <c r="K3084" s="29"/>
      <c r="L3084" s="29"/>
      <c r="M3084" s="29"/>
      <c r="N3084" s="29" t="s">
        <v>10301</v>
      </c>
      <c r="O3084" s="29"/>
      <c r="P3084" s="29" t="s">
        <v>10303</v>
      </c>
      <c r="Q3084" t="s">
        <v>2038</v>
      </c>
      <c r="R3084" t="s">
        <v>2632</v>
      </c>
      <c r="S3084">
        <v>38</v>
      </c>
      <c r="T3084" s="43" t="str">
        <f>HYPERLINK("https://ictv.global/ictv/proposals/2022.032B.Caudoviricetes_5ng.zip","2022.032B.Caudoviricetes_5ng.zip")</f>
        <v>2022.032B.Caudoviricetes_5ng.zip</v>
      </c>
      <c r="U3084" s="43" t="str">
        <f>HYPERLINK("https://ictv.global/taxonomy/taxondetails?taxnode_id=202214592","ictv.global=202214592")</f>
        <v>ictv.global=202214592</v>
      </c>
    </row>
    <row r="3085" spans="1:21">
      <c r="A3085">
        <v>3084</v>
      </c>
      <c r="B3085" s="29" t="s">
        <v>3682</v>
      </c>
      <c r="C3085" s="29"/>
      <c r="D3085" s="29" t="s">
        <v>3683</v>
      </c>
      <c r="E3085" s="29"/>
      <c r="F3085" s="29" t="s">
        <v>3686</v>
      </c>
      <c r="G3085" s="29"/>
      <c r="H3085" s="29" t="s">
        <v>3687</v>
      </c>
      <c r="I3085" s="29"/>
      <c r="J3085" s="29"/>
      <c r="K3085" s="29"/>
      <c r="L3085" s="29"/>
      <c r="M3085" s="29"/>
      <c r="N3085" s="29" t="s">
        <v>3404</v>
      </c>
      <c r="O3085" s="29"/>
      <c r="P3085" s="29" t="s">
        <v>10304</v>
      </c>
      <c r="Q3085" t="s">
        <v>2038</v>
      </c>
      <c r="R3085" t="s">
        <v>2633</v>
      </c>
      <c r="S3085">
        <v>37</v>
      </c>
      <c r="T3085" s="43" t="str">
        <f>HYPERLINK("https://ictv.global/ictv/proposals/2021.010B.R.Binomial_names.zip","2021.010B.R.Binomial_names.zip")</f>
        <v>2021.010B.R.Binomial_names.zip</v>
      </c>
      <c r="U3085" s="43" t="str">
        <f>HYPERLINK("https://ictv.global/taxonomy/taxondetails?taxnode_id=202206669","ictv.global=202206669")</f>
        <v>ictv.global=202206669</v>
      </c>
    </row>
    <row r="3086" spans="1:21">
      <c r="A3086">
        <v>3085</v>
      </c>
      <c r="B3086" s="29" t="s">
        <v>3682</v>
      </c>
      <c r="C3086" s="29"/>
      <c r="D3086" s="29" t="s">
        <v>3683</v>
      </c>
      <c r="E3086" s="29"/>
      <c r="F3086" s="29" t="s">
        <v>3686</v>
      </c>
      <c r="G3086" s="29"/>
      <c r="H3086" s="29" t="s">
        <v>3687</v>
      </c>
      <c r="I3086" s="29"/>
      <c r="J3086" s="29"/>
      <c r="K3086" s="29"/>
      <c r="L3086" s="29"/>
      <c r="M3086" s="29"/>
      <c r="N3086" s="29" t="s">
        <v>3404</v>
      </c>
      <c r="O3086" s="29"/>
      <c r="P3086" s="29" t="s">
        <v>10305</v>
      </c>
      <c r="Q3086" t="s">
        <v>2038</v>
      </c>
      <c r="R3086" t="s">
        <v>2633</v>
      </c>
      <c r="S3086">
        <v>37</v>
      </c>
      <c r="T3086" s="43" t="str">
        <f>HYPERLINK("https://ictv.global/ictv/proposals/2021.010B.R.Binomial_names.zip","2021.010B.R.Binomial_names.zip")</f>
        <v>2021.010B.R.Binomial_names.zip</v>
      </c>
      <c r="U3086" s="43" t="str">
        <f>HYPERLINK("https://ictv.global/taxonomy/taxondetails?taxnode_id=202206670","ictv.global=202206670")</f>
        <v>ictv.global=202206670</v>
      </c>
    </row>
    <row r="3087" spans="1:21">
      <c r="A3087">
        <v>3086</v>
      </c>
      <c r="B3087" s="29" t="s">
        <v>3682</v>
      </c>
      <c r="C3087" s="29"/>
      <c r="D3087" s="29" t="s">
        <v>3683</v>
      </c>
      <c r="E3087" s="29"/>
      <c r="F3087" s="29" t="s">
        <v>3686</v>
      </c>
      <c r="G3087" s="29"/>
      <c r="H3087" s="29" t="s">
        <v>3687</v>
      </c>
      <c r="I3087" s="29"/>
      <c r="J3087" s="29"/>
      <c r="K3087" s="29"/>
      <c r="L3087" s="29"/>
      <c r="M3087" s="29"/>
      <c r="N3087" s="29" t="s">
        <v>10306</v>
      </c>
      <c r="O3087" s="29"/>
      <c r="P3087" s="29" t="s">
        <v>10307</v>
      </c>
      <c r="Q3087" t="s">
        <v>2038</v>
      </c>
      <c r="R3087" t="s">
        <v>2632</v>
      </c>
      <c r="S3087">
        <v>38</v>
      </c>
      <c r="T3087" s="43" t="str">
        <f>HYPERLINK("https://ictv.global/ictv/proposals/2022.089B.Caudoviricetes_3ng_vibrio.zip","2022.089B.Caudoviricetes_3ng_vibrio.zip")</f>
        <v>2022.089B.Caudoviricetes_3ng_vibrio.zip</v>
      </c>
      <c r="U3087" s="43" t="str">
        <f>HYPERLINK("https://ictv.global/taxonomy/taxondetails?taxnode_id=202214951","ictv.global=202214951")</f>
        <v>ictv.global=202214951</v>
      </c>
    </row>
    <row r="3088" spans="1:21">
      <c r="A3088">
        <v>3087</v>
      </c>
      <c r="B3088" s="29" t="s">
        <v>3682</v>
      </c>
      <c r="C3088" s="29"/>
      <c r="D3088" s="29" t="s">
        <v>3683</v>
      </c>
      <c r="E3088" s="29"/>
      <c r="F3088" s="29" t="s">
        <v>3686</v>
      </c>
      <c r="G3088" s="29"/>
      <c r="H3088" s="29" t="s">
        <v>3687</v>
      </c>
      <c r="I3088" s="29"/>
      <c r="J3088" s="29"/>
      <c r="K3088" s="29"/>
      <c r="L3088" s="29"/>
      <c r="M3088" s="29"/>
      <c r="N3088" s="29" t="s">
        <v>3465</v>
      </c>
      <c r="O3088" s="29"/>
      <c r="P3088" s="29" t="s">
        <v>10308</v>
      </c>
      <c r="Q3088" t="s">
        <v>2038</v>
      </c>
      <c r="R3088" t="s">
        <v>2633</v>
      </c>
      <c r="S3088">
        <v>37</v>
      </c>
      <c r="T3088" s="43" t="str">
        <f>HYPERLINK("https://ictv.global/ictv/proposals/2021.010B.R.Binomial_names.zip","2021.010B.R.Binomial_names.zip")</f>
        <v>2021.010B.R.Binomial_names.zip</v>
      </c>
      <c r="U3088" s="43" t="str">
        <f>HYPERLINK("https://ictv.global/taxonomy/taxondetails?taxnode_id=202200710","ictv.global=202200710")</f>
        <v>ictv.global=202200710</v>
      </c>
    </row>
    <row r="3089" spans="1:21">
      <c r="A3089">
        <v>3088</v>
      </c>
      <c r="B3089" s="29" t="s">
        <v>3682</v>
      </c>
      <c r="C3089" s="29"/>
      <c r="D3089" s="29" t="s">
        <v>3683</v>
      </c>
      <c r="E3089" s="29"/>
      <c r="F3089" s="29" t="s">
        <v>3686</v>
      </c>
      <c r="G3089" s="29"/>
      <c r="H3089" s="29" t="s">
        <v>3687</v>
      </c>
      <c r="I3089" s="29"/>
      <c r="J3089" s="29"/>
      <c r="K3089" s="29"/>
      <c r="L3089" s="29"/>
      <c r="M3089" s="29"/>
      <c r="N3089" s="29" t="s">
        <v>3465</v>
      </c>
      <c r="O3089" s="29"/>
      <c r="P3089" s="29" t="s">
        <v>10309</v>
      </c>
      <c r="Q3089" t="s">
        <v>2038</v>
      </c>
      <c r="R3089" t="s">
        <v>2633</v>
      </c>
      <c r="S3089">
        <v>37</v>
      </c>
      <c r="T3089" s="43" t="str">
        <f>HYPERLINK("https://ictv.global/ictv/proposals/2021.010B.R.Binomial_names.zip","2021.010B.R.Binomial_names.zip")</f>
        <v>2021.010B.R.Binomial_names.zip</v>
      </c>
      <c r="U3089" s="43" t="str">
        <f>HYPERLINK("https://ictv.global/taxonomy/taxondetails?taxnode_id=202200711","ictv.global=202200711")</f>
        <v>ictv.global=202200711</v>
      </c>
    </row>
    <row r="3090" spans="1:21">
      <c r="A3090">
        <v>3089</v>
      </c>
      <c r="B3090" s="29" t="s">
        <v>3682</v>
      </c>
      <c r="C3090" s="29"/>
      <c r="D3090" s="29" t="s">
        <v>3683</v>
      </c>
      <c r="E3090" s="29"/>
      <c r="F3090" s="29" t="s">
        <v>3686</v>
      </c>
      <c r="G3090" s="29"/>
      <c r="H3090" s="29" t="s">
        <v>3687</v>
      </c>
      <c r="I3090" s="29"/>
      <c r="J3090" s="29"/>
      <c r="K3090" s="29"/>
      <c r="L3090" s="29"/>
      <c r="M3090" s="29"/>
      <c r="N3090" s="29" t="s">
        <v>3465</v>
      </c>
      <c r="O3090" s="29"/>
      <c r="P3090" s="29" t="s">
        <v>10310</v>
      </c>
      <c r="Q3090" t="s">
        <v>2038</v>
      </c>
      <c r="R3090" t="s">
        <v>2633</v>
      </c>
      <c r="S3090">
        <v>37</v>
      </c>
      <c r="T3090" s="43" t="str">
        <f>HYPERLINK("https://ictv.global/ictv/proposals/2021.010B.R.Binomial_names.zip","2021.010B.R.Binomial_names.zip")</f>
        <v>2021.010B.R.Binomial_names.zip</v>
      </c>
      <c r="U3090" s="43" t="str">
        <f>HYPERLINK("https://ictv.global/taxonomy/taxondetails?taxnode_id=202200712","ictv.global=202200712")</f>
        <v>ictv.global=202200712</v>
      </c>
    </row>
    <row r="3091" spans="1:21">
      <c r="A3091">
        <v>3090</v>
      </c>
      <c r="B3091" s="29" t="s">
        <v>3682</v>
      </c>
      <c r="C3091" s="29"/>
      <c r="D3091" s="29" t="s">
        <v>3683</v>
      </c>
      <c r="E3091" s="29"/>
      <c r="F3091" s="29" t="s">
        <v>3686</v>
      </c>
      <c r="G3091" s="29"/>
      <c r="H3091" s="29" t="s">
        <v>3687</v>
      </c>
      <c r="I3091" s="29"/>
      <c r="J3091" s="29"/>
      <c r="K3091" s="29"/>
      <c r="L3091" s="29"/>
      <c r="M3091" s="29"/>
      <c r="N3091" s="29" t="s">
        <v>10311</v>
      </c>
      <c r="O3091" s="29"/>
      <c r="P3091" s="29" t="s">
        <v>10312</v>
      </c>
      <c r="Q3091" t="s">
        <v>2038</v>
      </c>
      <c r="R3091" t="s">
        <v>2632</v>
      </c>
      <c r="S3091">
        <v>38</v>
      </c>
      <c r="T3091" s="43" t="str">
        <f>HYPERLINK("https://ictv.global/ictv/proposals/2022.029B.Eowynvirus_ng.zip","2022.029B.Eowynvirus_ng.zip")</f>
        <v>2022.029B.Eowynvirus_ng.zip</v>
      </c>
      <c r="U3091" s="43" t="str">
        <f>HYPERLINK("https://ictv.global/taxonomy/taxondetails?taxnode_id=202214579","ictv.global=202214579")</f>
        <v>ictv.global=202214579</v>
      </c>
    </row>
    <row r="3092" spans="1:21">
      <c r="A3092">
        <v>3091</v>
      </c>
      <c r="B3092" s="29" t="s">
        <v>3682</v>
      </c>
      <c r="C3092" s="29"/>
      <c r="D3092" s="29" t="s">
        <v>3683</v>
      </c>
      <c r="E3092" s="29"/>
      <c r="F3092" s="29" t="s">
        <v>3686</v>
      </c>
      <c r="G3092" s="29"/>
      <c r="H3092" s="29" t="s">
        <v>3687</v>
      </c>
      <c r="I3092" s="29"/>
      <c r="J3092" s="29"/>
      <c r="K3092" s="29"/>
      <c r="L3092" s="29"/>
      <c r="M3092" s="29"/>
      <c r="N3092" s="29" t="s">
        <v>3912</v>
      </c>
      <c r="O3092" s="29"/>
      <c r="P3092" s="29" t="s">
        <v>10313</v>
      </c>
      <c r="Q3092" t="s">
        <v>2038</v>
      </c>
      <c r="R3092" t="s">
        <v>2633</v>
      </c>
      <c r="S3092">
        <v>37</v>
      </c>
      <c r="T3092" s="43" t="str">
        <f>HYPERLINK("https://ictv.global/ictv/proposals/2021.010B.R.Binomial_names.zip","2021.010B.R.Binomial_names.zip")</f>
        <v>2021.010B.R.Binomial_names.zip</v>
      </c>
      <c r="U3092" s="43" t="str">
        <f>HYPERLINK("https://ictv.global/taxonomy/taxondetails?taxnode_id=202208048","ictv.global=202208048")</f>
        <v>ictv.global=202208048</v>
      </c>
    </row>
    <row r="3093" spans="1:21">
      <c r="A3093">
        <v>3092</v>
      </c>
      <c r="B3093" s="29" t="s">
        <v>3682</v>
      </c>
      <c r="C3093" s="29"/>
      <c r="D3093" s="29" t="s">
        <v>3683</v>
      </c>
      <c r="E3093" s="29"/>
      <c r="F3093" s="29" t="s">
        <v>3686</v>
      </c>
      <c r="G3093" s="29"/>
      <c r="H3093" s="29" t="s">
        <v>3687</v>
      </c>
      <c r="I3093" s="29"/>
      <c r="J3093" s="29"/>
      <c r="K3093" s="29"/>
      <c r="L3093" s="29"/>
      <c r="M3093" s="29"/>
      <c r="N3093" s="29" t="s">
        <v>10314</v>
      </c>
      <c r="O3093" s="29"/>
      <c r="P3093" s="29" t="s">
        <v>10315</v>
      </c>
      <c r="Q3093" t="s">
        <v>2038</v>
      </c>
      <c r="R3093" t="s">
        <v>2632</v>
      </c>
      <c r="S3093">
        <v>38</v>
      </c>
      <c r="T3093" s="43" t="str">
        <f>HYPERLINK("https://ictv.global/ictv/proposals/2022.032B.Caudoviricetes_5ng.zip","2022.032B.Caudoviricetes_5ng.zip")</f>
        <v>2022.032B.Caudoviricetes_5ng.zip</v>
      </c>
      <c r="U3093" s="43" t="str">
        <f>HYPERLINK("https://ictv.global/taxonomy/taxondetails?taxnode_id=202214593","ictv.global=202214593")</f>
        <v>ictv.global=202214593</v>
      </c>
    </row>
    <row r="3094" spans="1:21">
      <c r="A3094">
        <v>3093</v>
      </c>
      <c r="B3094" s="29" t="s">
        <v>3682</v>
      </c>
      <c r="C3094" s="29"/>
      <c r="D3094" s="29" t="s">
        <v>3683</v>
      </c>
      <c r="E3094" s="29"/>
      <c r="F3094" s="29" t="s">
        <v>3686</v>
      </c>
      <c r="G3094" s="29"/>
      <c r="H3094" s="29" t="s">
        <v>3687</v>
      </c>
      <c r="I3094" s="29"/>
      <c r="J3094" s="29"/>
      <c r="K3094" s="29"/>
      <c r="L3094" s="29"/>
      <c r="M3094" s="29"/>
      <c r="N3094" s="29" t="s">
        <v>3405</v>
      </c>
      <c r="O3094" s="29"/>
      <c r="P3094" s="29" t="s">
        <v>10316</v>
      </c>
      <c r="Q3094" t="s">
        <v>2038</v>
      </c>
      <c r="R3094" t="s">
        <v>2633</v>
      </c>
      <c r="S3094">
        <v>37</v>
      </c>
      <c r="T3094" s="43" t="str">
        <f t="shared" ref="T3094:T3100" si="139">HYPERLINK("https://ictv.global/ictv/proposals/2021.010B.R.Binomial_names.zip","2021.010B.R.Binomial_names.zip")</f>
        <v>2021.010B.R.Binomial_names.zip</v>
      </c>
      <c r="U3094" s="43" t="str">
        <f>HYPERLINK("https://ictv.global/taxonomy/taxondetails?taxnode_id=202205480","ictv.global=202205480")</f>
        <v>ictv.global=202205480</v>
      </c>
    </row>
    <row r="3095" spans="1:21">
      <c r="A3095">
        <v>3094</v>
      </c>
      <c r="B3095" s="29" t="s">
        <v>3682</v>
      </c>
      <c r="C3095" s="29"/>
      <c r="D3095" s="29" t="s">
        <v>3683</v>
      </c>
      <c r="E3095" s="29"/>
      <c r="F3095" s="29" t="s">
        <v>3686</v>
      </c>
      <c r="G3095" s="29"/>
      <c r="H3095" s="29" t="s">
        <v>3687</v>
      </c>
      <c r="I3095" s="29"/>
      <c r="J3095" s="29"/>
      <c r="K3095" s="29"/>
      <c r="L3095" s="29"/>
      <c r="M3095" s="29"/>
      <c r="N3095" s="29" t="s">
        <v>3405</v>
      </c>
      <c r="O3095" s="29"/>
      <c r="P3095" s="29" t="s">
        <v>10317</v>
      </c>
      <c r="Q3095" t="s">
        <v>2038</v>
      </c>
      <c r="R3095" t="s">
        <v>2633</v>
      </c>
      <c r="S3095">
        <v>37</v>
      </c>
      <c r="T3095" s="43" t="str">
        <f t="shared" si="139"/>
        <v>2021.010B.R.Binomial_names.zip</v>
      </c>
      <c r="U3095" s="43" t="str">
        <f>HYPERLINK("https://ictv.global/taxonomy/taxondetails?taxnode_id=202205481","ictv.global=202205481")</f>
        <v>ictv.global=202205481</v>
      </c>
    </row>
    <row r="3096" spans="1:21">
      <c r="A3096">
        <v>3095</v>
      </c>
      <c r="B3096" s="29" t="s">
        <v>3682</v>
      </c>
      <c r="C3096" s="29"/>
      <c r="D3096" s="29" t="s">
        <v>3683</v>
      </c>
      <c r="E3096" s="29"/>
      <c r="F3096" s="29" t="s">
        <v>3686</v>
      </c>
      <c r="G3096" s="29"/>
      <c r="H3096" s="29" t="s">
        <v>3687</v>
      </c>
      <c r="I3096" s="29"/>
      <c r="J3096" s="29"/>
      <c r="K3096" s="29"/>
      <c r="L3096" s="29"/>
      <c r="M3096" s="29"/>
      <c r="N3096" s="29" t="s">
        <v>3913</v>
      </c>
      <c r="O3096" s="29"/>
      <c r="P3096" s="29" t="s">
        <v>10318</v>
      </c>
      <c r="Q3096" t="s">
        <v>2038</v>
      </c>
      <c r="R3096" t="s">
        <v>2633</v>
      </c>
      <c r="S3096">
        <v>37</v>
      </c>
      <c r="T3096" s="43" t="str">
        <f t="shared" si="139"/>
        <v>2021.010B.R.Binomial_names.zip</v>
      </c>
      <c r="U3096" s="43" t="str">
        <f>HYPERLINK("https://ictv.global/taxonomy/taxondetails?taxnode_id=202207779","ictv.global=202207779")</f>
        <v>ictv.global=202207779</v>
      </c>
    </row>
    <row r="3097" spans="1:21">
      <c r="A3097">
        <v>3096</v>
      </c>
      <c r="B3097" s="29" t="s">
        <v>3682</v>
      </c>
      <c r="C3097" s="29"/>
      <c r="D3097" s="29" t="s">
        <v>3683</v>
      </c>
      <c r="E3097" s="29"/>
      <c r="F3097" s="29" t="s">
        <v>3686</v>
      </c>
      <c r="G3097" s="29"/>
      <c r="H3097" s="29" t="s">
        <v>3687</v>
      </c>
      <c r="I3097" s="29"/>
      <c r="J3097" s="29"/>
      <c r="K3097" s="29"/>
      <c r="L3097" s="29"/>
      <c r="M3097" s="29"/>
      <c r="N3097" s="29" t="s">
        <v>3913</v>
      </c>
      <c r="O3097" s="29"/>
      <c r="P3097" s="29" t="s">
        <v>10319</v>
      </c>
      <c r="Q3097" t="s">
        <v>2038</v>
      </c>
      <c r="R3097" t="s">
        <v>2633</v>
      </c>
      <c r="S3097">
        <v>37</v>
      </c>
      <c r="T3097" s="43" t="str">
        <f t="shared" si="139"/>
        <v>2021.010B.R.Binomial_names.zip</v>
      </c>
      <c r="U3097" s="43" t="str">
        <f>HYPERLINK("https://ictv.global/taxonomy/taxondetails?taxnode_id=202207778","ictv.global=202207778")</f>
        <v>ictv.global=202207778</v>
      </c>
    </row>
    <row r="3098" spans="1:21">
      <c r="A3098">
        <v>3097</v>
      </c>
      <c r="B3098" s="29" t="s">
        <v>3682</v>
      </c>
      <c r="C3098" s="29"/>
      <c r="D3098" s="29" t="s">
        <v>3683</v>
      </c>
      <c r="E3098" s="29"/>
      <c r="F3098" s="29" t="s">
        <v>3686</v>
      </c>
      <c r="G3098" s="29"/>
      <c r="H3098" s="29" t="s">
        <v>3687</v>
      </c>
      <c r="I3098" s="29"/>
      <c r="J3098" s="29"/>
      <c r="K3098" s="29"/>
      <c r="L3098" s="29"/>
      <c r="M3098" s="29"/>
      <c r="N3098" s="29" t="s">
        <v>3913</v>
      </c>
      <c r="O3098" s="29"/>
      <c r="P3098" s="29" t="s">
        <v>10320</v>
      </c>
      <c r="Q3098" t="s">
        <v>2038</v>
      </c>
      <c r="R3098" t="s">
        <v>2633</v>
      </c>
      <c r="S3098">
        <v>37</v>
      </c>
      <c r="T3098" s="43" t="str">
        <f t="shared" si="139"/>
        <v>2021.010B.R.Binomial_names.zip</v>
      </c>
      <c r="U3098" s="43" t="str">
        <f>HYPERLINK("https://ictv.global/taxonomy/taxondetails?taxnode_id=202207780","ictv.global=202207780")</f>
        <v>ictv.global=202207780</v>
      </c>
    </row>
    <row r="3099" spans="1:21">
      <c r="A3099">
        <v>3098</v>
      </c>
      <c r="B3099" s="29" t="s">
        <v>3682</v>
      </c>
      <c r="C3099" s="29"/>
      <c r="D3099" s="29" t="s">
        <v>3683</v>
      </c>
      <c r="E3099" s="29"/>
      <c r="F3099" s="29" t="s">
        <v>3686</v>
      </c>
      <c r="G3099" s="29"/>
      <c r="H3099" s="29" t="s">
        <v>3687</v>
      </c>
      <c r="I3099" s="29"/>
      <c r="J3099" s="29"/>
      <c r="K3099" s="29"/>
      <c r="L3099" s="29"/>
      <c r="M3099" s="29"/>
      <c r="N3099" s="29" t="s">
        <v>3536</v>
      </c>
      <c r="O3099" s="29"/>
      <c r="P3099" s="29" t="s">
        <v>10321</v>
      </c>
      <c r="Q3099" t="s">
        <v>2038</v>
      </c>
      <c r="R3099" t="s">
        <v>2633</v>
      </c>
      <c r="S3099">
        <v>37</v>
      </c>
      <c r="T3099" s="43" t="str">
        <f t="shared" si="139"/>
        <v>2021.010B.R.Binomial_names.zip</v>
      </c>
      <c r="U3099" s="43" t="str">
        <f>HYPERLINK("https://ictv.global/taxonomy/taxondetails?taxnode_id=202206424","ictv.global=202206424")</f>
        <v>ictv.global=202206424</v>
      </c>
    </row>
    <row r="3100" spans="1:21">
      <c r="A3100">
        <v>3099</v>
      </c>
      <c r="B3100" s="29" t="s">
        <v>3682</v>
      </c>
      <c r="C3100" s="29"/>
      <c r="D3100" s="29" t="s">
        <v>3683</v>
      </c>
      <c r="E3100" s="29"/>
      <c r="F3100" s="29" t="s">
        <v>3686</v>
      </c>
      <c r="G3100" s="29"/>
      <c r="H3100" s="29" t="s">
        <v>3687</v>
      </c>
      <c r="I3100" s="29"/>
      <c r="J3100" s="29"/>
      <c r="K3100" s="29"/>
      <c r="L3100" s="29"/>
      <c r="M3100" s="29"/>
      <c r="N3100" s="29" t="s">
        <v>3997</v>
      </c>
      <c r="O3100" s="29"/>
      <c r="P3100" s="29" t="s">
        <v>10322</v>
      </c>
      <c r="Q3100" t="s">
        <v>2038</v>
      </c>
      <c r="R3100" t="s">
        <v>2633</v>
      </c>
      <c r="S3100">
        <v>37</v>
      </c>
      <c r="T3100" s="43" t="str">
        <f t="shared" si="139"/>
        <v>2021.010B.R.Binomial_names.zip</v>
      </c>
      <c r="U3100" s="43" t="str">
        <f>HYPERLINK("https://ictv.global/taxonomy/taxondetails?taxnode_id=202207273","ictv.global=202207273")</f>
        <v>ictv.global=202207273</v>
      </c>
    </row>
    <row r="3101" spans="1:21">
      <c r="A3101">
        <v>3100</v>
      </c>
      <c r="B3101" s="29" t="s">
        <v>3682</v>
      </c>
      <c r="C3101" s="29"/>
      <c r="D3101" s="29" t="s">
        <v>3683</v>
      </c>
      <c r="E3101" s="29"/>
      <c r="F3101" s="29" t="s">
        <v>3686</v>
      </c>
      <c r="G3101" s="29"/>
      <c r="H3101" s="29" t="s">
        <v>3687</v>
      </c>
      <c r="I3101" s="29"/>
      <c r="J3101" s="29"/>
      <c r="K3101" s="29"/>
      <c r="L3101" s="29"/>
      <c r="M3101" s="29"/>
      <c r="N3101" s="29" t="s">
        <v>3997</v>
      </c>
      <c r="O3101" s="29"/>
      <c r="P3101" s="29" t="s">
        <v>10323</v>
      </c>
      <c r="Q3101" t="s">
        <v>2038</v>
      </c>
      <c r="R3101" t="s">
        <v>2632</v>
      </c>
      <c r="S3101">
        <v>37</v>
      </c>
      <c r="T3101" s="43" t="str">
        <f>HYPERLINK("https://ictv.global/ictv/proposals/2021.026B.R.Fairfaxidumvirus_new_species.zip","2021.026B.R.Fairfaxidumvirus_new_species.zip")</f>
        <v>2021.026B.R.Fairfaxidumvirus_new_species.zip</v>
      </c>
      <c r="U3101" s="43" t="str">
        <f>HYPERLINK("https://ictv.global/taxonomy/taxondetails?taxnode_id=202213523","ictv.global=202213523")</f>
        <v>ictv.global=202213523</v>
      </c>
    </row>
    <row r="3102" spans="1:21">
      <c r="A3102">
        <v>3101</v>
      </c>
      <c r="B3102" s="29" t="s">
        <v>3682</v>
      </c>
      <c r="C3102" s="29"/>
      <c r="D3102" s="29" t="s">
        <v>3683</v>
      </c>
      <c r="E3102" s="29"/>
      <c r="F3102" s="29" t="s">
        <v>3686</v>
      </c>
      <c r="G3102" s="29"/>
      <c r="H3102" s="29" t="s">
        <v>3687</v>
      </c>
      <c r="I3102" s="29"/>
      <c r="J3102" s="29"/>
      <c r="K3102" s="29"/>
      <c r="L3102" s="29"/>
      <c r="M3102" s="29"/>
      <c r="N3102" s="29" t="s">
        <v>3997</v>
      </c>
      <c r="O3102" s="29"/>
      <c r="P3102" s="29" t="s">
        <v>10324</v>
      </c>
      <c r="Q3102" t="s">
        <v>2038</v>
      </c>
      <c r="R3102" t="s">
        <v>2632</v>
      </c>
      <c r="S3102">
        <v>37</v>
      </c>
      <c r="T3102" s="43" t="str">
        <f>HYPERLINK("https://ictv.global/ictv/proposals/2021.026B.R.Fairfaxidumvirus_new_species.zip","2021.026B.R.Fairfaxidumvirus_new_species.zip")</f>
        <v>2021.026B.R.Fairfaxidumvirus_new_species.zip</v>
      </c>
      <c r="U3102" s="43" t="str">
        <f>HYPERLINK("https://ictv.global/taxonomy/taxondetails?taxnode_id=202213524","ictv.global=202213524")</f>
        <v>ictv.global=202213524</v>
      </c>
    </row>
    <row r="3103" spans="1:21">
      <c r="A3103">
        <v>3102</v>
      </c>
      <c r="B3103" s="29" t="s">
        <v>3682</v>
      </c>
      <c r="C3103" s="29"/>
      <c r="D3103" s="29" t="s">
        <v>3683</v>
      </c>
      <c r="E3103" s="29"/>
      <c r="F3103" s="29" t="s">
        <v>3686</v>
      </c>
      <c r="G3103" s="29"/>
      <c r="H3103" s="29" t="s">
        <v>3687</v>
      </c>
      <c r="I3103" s="29"/>
      <c r="J3103" s="29"/>
      <c r="K3103" s="29"/>
      <c r="L3103" s="29"/>
      <c r="M3103" s="29"/>
      <c r="N3103" s="29" t="s">
        <v>10325</v>
      </c>
      <c r="O3103" s="29"/>
      <c r="P3103" s="29" t="s">
        <v>10326</v>
      </c>
      <c r="Q3103" t="s">
        <v>2038</v>
      </c>
      <c r="R3103" t="s">
        <v>2632</v>
      </c>
      <c r="S3103">
        <v>38</v>
      </c>
      <c r="T3103" s="43" t="str">
        <f>HYPERLINK("https://ictv.global/ictv/proposals/2022.080B.Caudoviricetes_6ng.zip","2022.080B.Caudoviricetes_6ng.zip")</f>
        <v>2022.080B.Caudoviricetes_6ng.zip</v>
      </c>
      <c r="U3103" s="43" t="str">
        <f>HYPERLINK("https://ictv.global/taxonomy/taxondetails?taxnode_id=202214869","ictv.global=202214869")</f>
        <v>ictv.global=202214869</v>
      </c>
    </row>
    <row r="3104" spans="1:21">
      <c r="A3104">
        <v>3103</v>
      </c>
      <c r="B3104" s="29" t="s">
        <v>3682</v>
      </c>
      <c r="C3104" s="29"/>
      <c r="D3104" s="29" t="s">
        <v>3683</v>
      </c>
      <c r="E3104" s="29"/>
      <c r="F3104" s="29" t="s">
        <v>3686</v>
      </c>
      <c r="G3104" s="29"/>
      <c r="H3104" s="29" t="s">
        <v>3687</v>
      </c>
      <c r="I3104" s="29"/>
      <c r="J3104" s="29"/>
      <c r="K3104" s="29"/>
      <c r="L3104" s="29"/>
      <c r="M3104" s="29"/>
      <c r="N3104" s="29" t="s">
        <v>3537</v>
      </c>
      <c r="O3104" s="29"/>
      <c r="P3104" s="29" t="s">
        <v>10327</v>
      </c>
      <c r="Q3104" t="s">
        <v>2038</v>
      </c>
      <c r="R3104" t="s">
        <v>2633</v>
      </c>
      <c r="S3104">
        <v>37</v>
      </c>
      <c r="T3104" s="43" t="str">
        <f t="shared" ref="T3104:T3125" si="140">HYPERLINK("https://ictv.global/ictv/proposals/2021.010B.R.Binomial_names.zip","2021.010B.R.Binomial_names.zip")</f>
        <v>2021.010B.R.Binomial_names.zip</v>
      </c>
      <c r="U3104" s="43" t="str">
        <f>HYPERLINK("https://ictv.global/taxonomy/taxondetails?taxnode_id=202206560","ictv.global=202206560")</f>
        <v>ictv.global=202206560</v>
      </c>
    </row>
    <row r="3105" spans="1:21">
      <c r="A3105">
        <v>3104</v>
      </c>
      <c r="B3105" s="29" t="s">
        <v>3682</v>
      </c>
      <c r="C3105" s="29"/>
      <c r="D3105" s="29" t="s">
        <v>3683</v>
      </c>
      <c r="E3105" s="29"/>
      <c r="F3105" s="29" t="s">
        <v>3686</v>
      </c>
      <c r="G3105" s="29"/>
      <c r="H3105" s="29" t="s">
        <v>3687</v>
      </c>
      <c r="I3105" s="29"/>
      <c r="J3105" s="29"/>
      <c r="K3105" s="29"/>
      <c r="L3105" s="29"/>
      <c r="M3105" s="29"/>
      <c r="N3105" s="29" t="s">
        <v>4722</v>
      </c>
      <c r="O3105" s="29"/>
      <c r="P3105" s="29" t="s">
        <v>10328</v>
      </c>
      <c r="Q3105" t="s">
        <v>2038</v>
      </c>
      <c r="R3105" t="s">
        <v>2633</v>
      </c>
      <c r="S3105">
        <v>37</v>
      </c>
      <c r="T3105" s="43" t="str">
        <f t="shared" si="140"/>
        <v>2021.010B.R.Binomial_names.zip</v>
      </c>
      <c r="U3105" s="43" t="str">
        <f>HYPERLINK("https://ictv.global/taxonomy/taxondetails?taxnode_id=202210174","ictv.global=202210174")</f>
        <v>ictv.global=202210174</v>
      </c>
    </row>
    <row r="3106" spans="1:21">
      <c r="A3106">
        <v>3105</v>
      </c>
      <c r="B3106" s="29" t="s">
        <v>3682</v>
      </c>
      <c r="C3106" s="29"/>
      <c r="D3106" s="29" t="s">
        <v>3683</v>
      </c>
      <c r="E3106" s="29"/>
      <c r="F3106" s="29" t="s">
        <v>3686</v>
      </c>
      <c r="G3106" s="29"/>
      <c r="H3106" s="29" t="s">
        <v>3687</v>
      </c>
      <c r="I3106" s="29"/>
      <c r="J3106" s="29"/>
      <c r="K3106" s="29"/>
      <c r="L3106" s="29"/>
      <c r="M3106" s="29"/>
      <c r="N3106" s="29" t="s">
        <v>3998</v>
      </c>
      <c r="O3106" s="29"/>
      <c r="P3106" s="29" t="s">
        <v>10329</v>
      </c>
      <c r="Q3106" t="s">
        <v>2038</v>
      </c>
      <c r="R3106" t="s">
        <v>2633</v>
      </c>
      <c r="S3106">
        <v>37</v>
      </c>
      <c r="T3106" s="43" t="str">
        <f t="shared" si="140"/>
        <v>2021.010B.R.Binomial_names.zip</v>
      </c>
      <c r="U3106" s="43" t="str">
        <f>HYPERLINK("https://ictv.global/taxonomy/taxondetails?taxnode_id=202207842","ictv.global=202207842")</f>
        <v>ictv.global=202207842</v>
      </c>
    </row>
    <row r="3107" spans="1:21">
      <c r="A3107">
        <v>3106</v>
      </c>
      <c r="B3107" s="29" t="s">
        <v>3682</v>
      </c>
      <c r="C3107" s="29"/>
      <c r="D3107" s="29" t="s">
        <v>3683</v>
      </c>
      <c r="E3107" s="29"/>
      <c r="F3107" s="29" t="s">
        <v>3686</v>
      </c>
      <c r="G3107" s="29"/>
      <c r="H3107" s="29" t="s">
        <v>3687</v>
      </c>
      <c r="I3107" s="29"/>
      <c r="J3107" s="29"/>
      <c r="K3107" s="29"/>
      <c r="L3107" s="29"/>
      <c r="M3107" s="29"/>
      <c r="N3107" s="29" t="s">
        <v>3998</v>
      </c>
      <c r="O3107" s="29"/>
      <c r="P3107" s="29" t="s">
        <v>10330</v>
      </c>
      <c r="Q3107" t="s">
        <v>2038</v>
      </c>
      <c r="R3107" t="s">
        <v>2633</v>
      </c>
      <c r="S3107">
        <v>37</v>
      </c>
      <c r="T3107" s="43" t="str">
        <f t="shared" si="140"/>
        <v>2021.010B.R.Binomial_names.zip</v>
      </c>
      <c r="U3107" s="43" t="str">
        <f>HYPERLINK("https://ictv.global/taxonomy/taxondetails?taxnode_id=202207841","ictv.global=202207841")</f>
        <v>ictv.global=202207841</v>
      </c>
    </row>
    <row r="3108" spans="1:21">
      <c r="A3108">
        <v>3107</v>
      </c>
      <c r="B3108" s="29" t="s">
        <v>3682</v>
      </c>
      <c r="C3108" s="29"/>
      <c r="D3108" s="29" t="s">
        <v>3683</v>
      </c>
      <c r="E3108" s="29"/>
      <c r="F3108" s="29" t="s">
        <v>3686</v>
      </c>
      <c r="G3108" s="29"/>
      <c r="H3108" s="29" t="s">
        <v>3687</v>
      </c>
      <c r="I3108" s="29"/>
      <c r="J3108" s="29"/>
      <c r="K3108" s="29"/>
      <c r="L3108" s="29"/>
      <c r="M3108" s="29"/>
      <c r="N3108" s="29" t="s">
        <v>4723</v>
      </c>
      <c r="O3108" s="29"/>
      <c r="P3108" s="29" t="s">
        <v>10331</v>
      </c>
      <c r="Q3108" t="s">
        <v>2038</v>
      </c>
      <c r="R3108" t="s">
        <v>2633</v>
      </c>
      <c r="S3108">
        <v>37</v>
      </c>
      <c r="T3108" s="43" t="str">
        <f t="shared" si="140"/>
        <v>2021.010B.R.Binomial_names.zip</v>
      </c>
      <c r="U3108" s="43" t="str">
        <f>HYPERLINK("https://ictv.global/taxonomy/taxondetails?taxnode_id=202210004","ictv.global=202210004")</f>
        <v>ictv.global=202210004</v>
      </c>
    </row>
    <row r="3109" spans="1:21">
      <c r="A3109">
        <v>3108</v>
      </c>
      <c r="B3109" s="29" t="s">
        <v>3682</v>
      </c>
      <c r="C3109" s="29"/>
      <c r="D3109" s="29" t="s">
        <v>3683</v>
      </c>
      <c r="E3109" s="29"/>
      <c r="F3109" s="29" t="s">
        <v>3686</v>
      </c>
      <c r="G3109" s="29"/>
      <c r="H3109" s="29" t="s">
        <v>3687</v>
      </c>
      <c r="I3109" s="29"/>
      <c r="J3109" s="29"/>
      <c r="K3109" s="29"/>
      <c r="L3109" s="29"/>
      <c r="M3109" s="29"/>
      <c r="N3109" s="29" t="s">
        <v>4723</v>
      </c>
      <c r="O3109" s="29"/>
      <c r="P3109" s="29" t="s">
        <v>10332</v>
      </c>
      <c r="Q3109" t="s">
        <v>2038</v>
      </c>
      <c r="R3109" t="s">
        <v>2633</v>
      </c>
      <c r="S3109">
        <v>37</v>
      </c>
      <c r="T3109" s="43" t="str">
        <f t="shared" si="140"/>
        <v>2021.010B.R.Binomial_names.zip</v>
      </c>
      <c r="U3109" s="43" t="str">
        <f>HYPERLINK("https://ictv.global/taxonomy/taxondetails?taxnode_id=202201279","ictv.global=202201279")</f>
        <v>ictv.global=202201279</v>
      </c>
    </row>
    <row r="3110" spans="1:21">
      <c r="A3110">
        <v>3109</v>
      </c>
      <c r="B3110" s="29" t="s">
        <v>3682</v>
      </c>
      <c r="C3110" s="29"/>
      <c r="D3110" s="29" t="s">
        <v>3683</v>
      </c>
      <c r="E3110" s="29"/>
      <c r="F3110" s="29" t="s">
        <v>3686</v>
      </c>
      <c r="G3110" s="29"/>
      <c r="H3110" s="29" t="s">
        <v>3687</v>
      </c>
      <c r="I3110" s="29"/>
      <c r="J3110" s="29"/>
      <c r="K3110" s="29"/>
      <c r="L3110" s="29"/>
      <c r="M3110" s="29"/>
      <c r="N3110" s="29" t="s">
        <v>4723</v>
      </c>
      <c r="O3110" s="29"/>
      <c r="P3110" s="29" t="s">
        <v>10333</v>
      </c>
      <c r="Q3110" t="s">
        <v>2038</v>
      </c>
      <c r="R3110" t="s">
        <v>2633</v>
      </c>
      <c r="S3110">
        <v>37</v>
      </c>
      <c r="T3110" s="43" t="str">
        <f t="shared" si="140"/>
        <v>2021.010B.R.Binomial_names.zip</v>
      </c>
      <c r="U3110" s="43" t="str">
        <f>HYPERLINK("https://ictv.global/taxonomy/taxondetails?taxnode_id=202210009","ictv.global=202210009")</f>
        <v>ictv.global=202210009</v>
      </c>
    </row>
    <row r="3111" spans="1:21">
      <c r="A3111">
        <v>3110</v>
      </c>
      <c r="B3111" s="29" t="s">
        <v>3682</v>
      </c>
      <c r="C3111" s="29"/>
      <c r="D3111" s="29" t="s">
        <v>3683</v>
      </c>
      <c r="E3111" s="29"/>
      <c r="F3111" s="29" t="s">
        <v>3686</v>
      </c>
      <c r="G3111" s="29"/>
      <c r="H3111" s="29" t="s">
        <v>3687</v>
      </c>
      <c r="I3111" s="29"/>
      <c r="J3111" s="29"/>
      <c r="K3111" s="29"/>
      <c r="L3111" s="29"/>
      <c r="M3111" s="29"/>
      <c r="N3111" s="29" t="s">
        <v>4723</v>
      </c>
      <c r="O3111" s="29"/>
      <c r="P3111" s="29" t="s">
        <v>10334</v>
      </c>
      <c r="Q3111" t="s">
        <v>2038</v>
      </c>
      <c r="R3111" t="s">
        <v>2633</v>
      </c>
      <c r="S3111">
        <v>37</v>
      </c>
      <c r="T3111" s="43" t="str">
        <f t="shared" si="140"/>
        <v>2021.010B.R.Binomial_names.zip</v>
      </c>
      <c r="U3111" s="43" t="str">
        <f>HYPERLINK("https://ictv.global/taxonomy/taxondetails?taxnode_id=202210012","ictv.global=202210012")</f>
        <v>ictv.global=202210012</v>
      </c>
    </row>
    <row r="3112" spans="1:21">
      <c r="A3112">
        <v>3111</v>
      </c>
      <c r="B3112" s="29" t="s">
        <v>3682</v>
      </c>
      <c r="C3112" s="29"/>
      <c r="D3112" s="29" t="s">
        <v>3683</v>
      </c>
      <c r="E3112" s="29"/>
      <c r="F3112" s="29" t="s">
        <v>3686</v>
      </c>
      <c r="G3112" s="29"/>
      <c r="H3112" s="29" t="s">
        <v>3687</v>
      </c>
      <c r="I3112" s="29"/>
      <c r="J3112" s="29"/>
      <c r="K3112" s="29"/>
      <c r="L3112" s="29"/>
      <c r="M3112" s="29"/>
      <c r="N3112" s="29" t="s">
        <v>4723</v>
      </c>
      <c r="O3112" s="29"/>
      <c r="P3112" s="29" t="s">
        <v>10335</v>
      </c>
      <c r="Q3112" t="s">
        <v>2038</v>
      </c>
      <c r="R3112" t="s">
        <v>2633</v>
      </c>
      <c r="S3112">
        <v>37</v>
      </c>
      <c r="T3112" s="43" t="str">
        <f t="shared" si="140"/>
        <v>2021.010B.R.Binomial_names.zip</v>
      </c>
      <c r="U3112" s="43" t="str">
        <f>HYPERLINK("https://ictv.global/taxonomy/taxondetails?taxnode_id=202201280","ictv.global=202201280")</f>
        <v>ictv.global=202201280</v>
      </c>
    </row>
    <row r="3113" spans="1:21">
      <c r="A3113">
        <v>3112</v>
      </c>
      <c r="B3113" s="29" t="s">
        <v>3682</v>
      </c>
      <c r="C3113" s="29"/>
      <c r="D3113" s="29" t="s">
        <v>3683</v>
      </c>
      <c r="E3113" s="29"/>
      <c r="F3113" s="29" t="s">
        <v>3686</v>
      </c>
      <c r="G3113" s="29"/>
      <c r="H3113" s="29" t="s">
        <v>3687</v>
      </c>
      <c r="I3113" s="29"/>
      <c r="J3113" s="29"/>
      <c r="K3113" s="29"/>
      <c r="L3113" s="29"/>
      <c r="M3113" s="29"/>
      <c r="N3113" s="29" t="s">
        <v>4723</v>
      </c>
      <c r="O3113" s="29"/>
      <c r="P3113" s="29" t="s">
        <v>10336</v>
      </c>
      <c r="Q3113" t="s">
        <v>2038</v>
      </c>
      <c r="R3113" t="s">
        <v>2633</v>
      </c>
      <c r="S3113">
        <v>37</v>
      </c>
      <c r="T3113" s="43" t="str">
        <f t="shared" si="140"/>
        <v>2021.010B.R.Binomial_names.zip</v>
      </c>
      <c r="U3113" s="43" t="str">
        <f>HYPERLINK("https://ictv.global/taxonomy/taxondetails?taxnode_id=202210000","ictv.global=202210000")</f>
        <v>ictv.global=202210000</v>
      </c>
    </row>
    <row r="3114" spans="1:21">
      <c r="A3114">
        <v>3113</v>
      </c>
      <c r="B3114" s="29" t="s">
        <v>3682</v>
      </c>
      <c r="C3114" s="29"/>
      <c r="D3114" s="29" t="s">
        <v>3683</v>
      </c>
      <c r="E3114" s="29"/>
      <c r="F3114" s="29" t="s">
        <v>3686</v>
      </c>
      <c r="G3114" s="29"/>
      <c r="H3114" s="29" t="s">
        <v>3687</v>
      </c>
      <c r="I3114" s="29"/>
      <c r="J3114" s="29"/>
      <c r="K3114" s="29"/>
      <c r="L3114" s="29"/>
      <c r="M3114" s="29"/>
      <c r="N3114" s="29" t="s">
        <v>4723</v>
      </c>
      <c r="O3114" s="29"/>
      <c r="P3114" s="29" t="s">
        <v>10337</v>
      </c>
      <c r="Q3114" t="s">
        <v>2038</v>
      </c>
      <c r="R3114" t="s">
        <v>2633</v>
      </c>
      <c r="S3114">
        <v>37</v>
      </c>
      <c r="T3114" s="43" t="str">
        <f t="shared" si="140"/>
        <v>2021.010B.R.Binomial_names.zip</v>
      </c>
      <c r="U3114" s="43" t="str">
        <f>HYPERLINK("https://ictv.global/taxonomy/taxondetails?taxnode_id=202210007","ictv.global=202210007")</f>
        <v>ictv.global=202210007</v>
      </c>
    </row>
    <row r="3115" spans="1:21">
      <c r="A3115">
        <v>3114</v>
      </c>
      <c r="B3115" s="29" t="s">
        <v>3682</v>
      </c>
      <c r="C3115" s="29"/>
      <c r="D3115" s="29" t="s">
        <v>3683</v>
      </c>
      <c r="E3115" s="29"/>
      <c r="F3115" s="29" t="s">
        <v>3686</v>
      </c>
      <c r="G3115" s="29"/>
      <c r="H3115" s="29" t="s">
        <v>3687</v>
      </c>
      <c r="I3115" s="29"/>
      <c r="J3115" s="29"/>
      <c r="K3115" s="29"/>
      <c r="L3115" s="29"/>
      <c r="M3115" s="29"/>
      <c r="N3115" s="29" t="s">
        <v>4723</v>
      </c>
      <c r="O3115" s="29"/>
      <c r="P3115" s="29" t="s">
        <v>10338</v>
      </c>
      <c r="Q3115" t="s">
        <v>2038</v>
      </c>
      <c r="R3115" t="s">
        <v>2633</v>
      </c>
      <c r="S3115">
        <v>37</v>
      </c>
      <c r="T3115" s="43" t="str">
        <f t="shared" si="140"/>
        <v>2021.010B.R.Binomial_names.zip</v>
      </c>
      <c r="U3115" s="43" t="str">
        <f>HYPERLINK("https://ictv.global/taxonomy/taxondetails?taxnode_id=202210002","ictv.global=202210002")</f>
        <v>ictv.global=202210002</v>
      </c>
    </row>
    <row r="3116" spans="1:21">
      <c r="A3116">
        <v>3115</v>
      </c>
      <c r="B3116" s="29" t="s">
        <v>3682</v>
      </c>
      <c r="C3116" s="29"/>
      <c r="D3116" s="29" t="s">
        <v>3683</v>
      </c>
      <c r="E3116" s="29"/>
      <c r="F3116" s="29" t="s">
        <v>3686</v>
      </c>
      <c r="G3116" s="29"/>
      <c r="H3116" s="29" t="s">
        <v>3687</v>
      </c>
      <c r="I3116" s="29"/>
      <c r="J3116" s="29"/>
      <c r="K3116" s="29"/>
      <c r="L3116" s="29"/>
      <c r="M3116" s="29"/>
      <c r="N3116" s="29" t="s">
        <v>4723</v>
      </c>
      <c r="O3116" s="29"/>
      <c r="P3116" s="29" t="s">
        <v>10339</v>
      </c>
      <c r="Q3116" t="s">
        <v>2038</v>
      </c>
      <c r="R3116" t="s">
        <v>2633</v>
      </c>
      <c r="S3116">
        <v>37</v>
      </c>
      <c r="T3116" s="43" t="str">
        <f t="shared" si="140"/>
        <v>2021.010B.R.Binomial_names.zip</v>
      </c>
      <c r="U3116" s="43" t="str">
        <f>HYPERLINK("https://ictv.global/taxonomy/taxondetails?taxnode_id=202210001","ictv.global=202210001")</f>
        <v>ictv.global=202210001</v>
      </c>
    </row>
    <row r="3117" spans="1:21">
      <c r="A3117">
        <v>3116</v>
      </c>
      <c r="B3117" s="29" t="s">
        <v>3682</v>
      </c>
      <c r="C3117" s="29"/>
      <c r="D3117" s="29" t="s">
        <v>3683</v>
      </c>
      <c r="E3117" s="29"/>
      <c r="F3117" s="29" t="s">
        <v>3686</v>
      </c>
      <c r="G3117" s="29"/>
      <c r="H3117" s="29" t="s">
        <v>3687</v>
      </c>
      <c r="I3117" s="29"/>
      <c r="J3117" s="29"/>
      <c r="K3117" s="29"/>
      <c r="L3117" s="29"/>
      <c r="M3117" s="29"/>
      <c r="N3117" s="29" t="s">
        <v>4723</v>
      </c>
      <c r="O3117" s="29"/>
      <c r="P3117" s="29" t="s">
        <v>10340</v>
      </c>
      <c r="Q3117" t="s">
        <v>2038</v>
      </c>
      <c r="R3117" t="s">
        <v>2633</v>
      </c>
      <c r="S3117">
        <v>37</v>
      </c>
      <c r="T3117" s="43" t="str">
        <f t="shared" si="140"/>
        <v>2021.010B.R.Binomial_names.zip</v>
      </c>
      <c r="U3117" s="43" t="str">
        <f>HYPERLINK("https://ictv.global/taxonomy/taxondetails?taxnode_id=202210008","ictv.global=202210008")</f>
        <v>ictv.global=202210008</v>
      </c>
    </row>
    <row r="3118" spans="1:21">
      <c r="A3118">
        <v>3117</v>
      </c>
      <c r="B3118" s="29" t="s">
        <v>3682</v>
      </c>
      <c r="C3118" s="29"/>
      <c r="D3118" s="29" t="s">
        <v>3683</v>
      </c>
      <c r="E3118" s="29"/>
      <c r="F3118" s="29" t="s">
        <v>3686</v>
      </c>
      <c r="G3118" s="29"/>
      <c r="H3118" s="29" t="s">
        <v>3687</v>
      </c>
      <c r="I3118" s="29"/>
      <c r="J3118" s="29"/>
      <c r="K3118" s="29"/>
      <c r="L3118" s="29"/>
      <c r="M3118" s="29"/>
      <c r="N3118" s="29" t="s">
        <v>4723</v>
      </c>
      <c r="O3118" s="29"/>
      <c r="P3118" s="29" t="s">
        <v>10341</v>
      </c>
      <c r="Q3118" t="s">
        <v>2038</v>
      </c>
      <c r="R3118" t="s">
        <v>2633</v>
      </c>
      <c r="S3118">
        <v>37</v>
      </c>
      <c r="T3118" s="43" t="str">
        <f t="shared" si="140"/>
        <v>2021.010B.R.Binomial_names.zip</v>
      </c>
      <c r="U3118" s="43" t="str">
        <f>HYPERLINK("https://ictv.global/taxonomy/taxondetails?taxnode_id=202210010","ictv.global=202210010")</f>
        <v>ictv.global=202210010</v>
      </c>
    </row>
    <row r="3119" spans="1:21">
      <c r="A3119">
        <v>3118</v>
      </c>
      <c r="B3119" s="29" t="s">
        <v>3682</v>
      </c>
      <c r="C3119" s="29"/>
      <c r="D3119" s="29" t="s">
        <v>3683</v>
      </c>
      <c r="E3119" s="29"/>
      <c r="F3119" s="29" t="s">
        <v>3686</v>
      </c>
      <c r="G3119" s="29"/>
      <c r="H3119" s="29" t="s">
        <v>3687</v>
      </c>
      <c r="I3119" s="29"/>
      <c r="J3119" s="29"/>
      <c r="K3119" s="29"/>
      <c r="L3119" s="29"/>
      <c r="M3119" s="29"/>
      <c r="N3119" s="29" t="s">
        <v>4723</v>
      </c>
      <c r="O3119" s="29"/>
      <c r="P3119" s="29" t="s">
        <v>10342</v>
      </c>
      <c r="Q3119" t="s">
        <v>2038</v>
      </c>
      <c r="R3119" t="s">
        <v>2633</v>
      </c>
      <c r="S3119">
        <v>37</v>
      </c>
      <c r="T3119" s="43" t="str">
        <f t="shared" si="140"/>
        <v>2021.010B.R.Binomial_names.zip</v>
      </c>
      <c r="U3119" s="43" t="str">
        <f>HYPERLINK("https://ictv.global/taxonomy/taxondetails?taxnode_id=202210006","ictv.global=202210006")</f>
        <v>ictv.global=202210006</v>
      </c>
    </row>
    <row r="3120" spans="1:21">
      <c r="A3120">
        <v>3119</v>
      </c>
      <c r="B3120" s="29" t="s">
        <v>3682</v>
      </c>
      <c r="C3120" s="29"/>
      <c r="D3120" s="29" t="s">
        <v>3683</v>
      </c>
      <c r="E3120" s="29"/>
      <c r="F3120" s="29" t="s">
        <v>3686</v>
      </c>
      <c r="G3120" s="29"/>
      <c r="H3120" s="29" t="s">
        <v>3687</v>
      </c>
      <c r="I3120" s="29"/>
      <c r="J3120" s="29"/>
      <c r="K3120" s="29"/>
      <c r="L3120" s="29"/>
      <c r="M3120" s="29"/>
      <c r="N3120" s="29" t="s">
        <v>4723</v>
      </c>
      <c r="O3120" s="29"/>
      <c r="P3120" s="29" t="s">
        <v>10343</v>
      </c>
      <c r="Q3120" t="s">
        <v>2038</v>
      </c>
      <c r="R3120" t="s">
        <v>2633</v>
      </c>
      <c r="S3120">
        <v>37</v>
      </c>
      <c r="T3120" s="43" t="str">
        <f t="shared" si="140"/>
        <v>2021.010B.R.Binomial_names.zip</v>
      </c>
      <c r="U3120" s="43" t="str">
        <f>HYPERLINK("https://ictv.global/taxonomy/taxondetails?taxnode_id=202210003","ictv.global=202210003")</f>
        <v>ictv.global=202210003</v>
      </c>
    </row>
    <row r="3121" spans="1:21">
      <c r="A3121">
        <v>3120</v>
      </c>
      <c r="B3121" s="29" t="s">
        <v>3682</v>
      </c>
      <c r="C3121" s="29"/>
      <c r="D3121" s="29" t="s">
        <v>3683</v>
      </c>
      <c r="E3121" s="29"/>
      <c r="F3121" s="29" t="s">
        <v>3686</v>
      </c>
      <c r="G3121" s="29"/>
      <c r="H3121" s="29" t="s">
        <v>3687</v>
      </c>
      <c r="I3121" s="29"/>
      <c r="J3121" s="29"/>
      <c r="K3121" s="29"/>
      <c r="L3121" s="29"/>
      <c r="M3121" s="29"/>
      <c r="N3121" s="29" t="s">
        <v>4723</v>
      </c>
      <c r="O3121" s="29"/>
      <c r="P3121" s="29" t="s">
        <v>10344</v>
      </c>
      <c r="Q3121" t="s">
        <v>2038</v>
      </c>
      <c r="R3121" t="s">
        <v>2633</v>
      </c>
      <c r="S3121">
        <v>37</v>
      </c>
      <c r="T3121" s="43" t="str">
        <f t="shared" si="140"/>
        <v>2021.010B.R.Binomial_names.zip</v>
      </c>
      <c r="U3121" s="43" t="str">
        <f>HYPERLINK("https://ictv.global/taxonomy/taxondetails?taxnode_id=202201281","ictv.global=202201281")</f>
        <v>ictv.global=202201281</v>
      </c>
    </row>
    <row r="3122" spans="1:21">
      <c r="A3122">
        <v>3121</v>
      </c>
      <c r="B3122" s="29" t="s">
        <v>3682</v>
      </c>
      <c r="C3122" s="29"/>
      <c r="D3122" s="29" t="s">
        <v>3683</v>
      </c>
      <c r="E3122" s="29"/>
      <c r="F3122" s="29" t="s">
        <v>3686</v>
      </c>
      <c r="G3122" s="29"/>
      <c r="H3122" s="29" t="s">
        <v>3687</v>
      </c>
      <c r="I3122" s="29"/>
      <c r="J3122" s="29"/>
      <c r="K3122" s="29"/>
      <c r="L3122" s="29"/>
      <c r="M3122" s="29"/>
      <c r="N3122" s="29" t="s">
        <v>4723</v>
      </c>
      <c r="O3122" s="29"/>
      <c r="P3122" s="29" t="s">
        <v>10345</v>
      </c>
      <c r="Q3122" t="s">
        <v>2038</v>
      </c>
      <c r="R3122" t="s">
        <v>2633</v>
      </c>
      <c r="S3122">
        <v>37</v>
      </c>
      <c r="T3122" s="43" t="str">
        <f t="shared" si="140"/>
        <v>2021.010B.R.Binomial_names.zip</v>
      </c>
      <c r="U3122" s="43" t="str">
        <f>HYPERLINK("https://ictv.global/taxonomy/taxondetails?taxnode_id=202201282","ictv.global=202201282")</f>
        <v>ictv.global=202201282</v>
      </c>
    </row>
    <row r="3123" spans="1:21">
      <c r="A3123">
        <v>3122</v>
      </c>
      <c r="B3123" s="29" t="s">
        <v>3682</v>
      </c>
      <c r="C3123" s="29"/>
      <c r="D3123" s="29" t="s">
        <v>3683</v>
      </c>
      <c r="E3123" s="29"/>
      <c r="F3123" s="29" t="s">
        <v>3686</v>
      </c>
      <c r="G3123" s="29"/>
      <c r="H3123" s="29" t="s">
        <v>3687</v>
      </c>
      <c r="I3123" s="29"/>
      <c r="J3123" s="29"/>
      <c r="K3123" s="29"/>
      <c r="L3123" s="29"/>
      <c r="M3123" s="29"/>
      <c r="N3123" s="29" t="s">
        <v>4723</v>
      </c>
      <c r="O3123" s="29"/>
      <c r="P3123" s="29" t="s">
        <v>10346</v>
      </c>
      <c r="Q3123" t="s">
        <v>2038</v>
      </c>
      <c r="R3123" t="s">
        <v>2633</v>
      </c>
      <c r="S3123">
        <v>37</v>
      </c>
      <c r="T3123" s="43" t="str">
        <f t="shared" si="140"/>
        <v>2021.010B.R.Binomial_names.zip</v>
      </c>
      <c r="U3123" s="43" t="str">
        <f>HYPERLINK("https://ictv.global/taxonomy/taxondetails?taxnode_id=202201283","ictv.global=202201283")</f>
        <v>ictv.global=202201283</v>
      </c>
    </row>
    <row r="3124" spans="1:21">
      <c r="A3124">
        <v>3123</v>
      </c>
      <c r="B3124" s="29" t="s">
        <v>3682</v>
      </c>
      <c r="C3124" s="29"/>
      <c r="D3124" s="29" t="s">
        <v>3683</v>
      </c>
      <c r="E3124" s="29"/>
      <c r="F3124" s="29" t="s">
        <v>3686</v>
      </c>
      <c r="G3124" s="29"/>
      <c r="H3124" s="29" t="s">
        <v>3687</v>
      </c>
      <c r="I3124" s="29"/>
      <c r="J3124" s="29"/>
      <c r="K3124" s="29"/>
      <c r="L3124" s="29"/>
      <c r="M3124" s="29"/>
      <c r="N3124" s="29" t="s">
        <v>4723</v>
      </c>
      <c r="O3124" s="29"/>
      <c r="P3124" s="29" t="s">
        <v>10347</v>
      </c>
      <c r="Q3124" t="s">
        <v>2038</v>
      </c>
      <c r="R3124" t="s">
        <v>2633</v>
      </c>
      <c r="S3124">
        <v>37</v>
      </c>
      <c r="T3124" s="43" t="str">
        <f t="shared" si="140"/>
        <v>2021.010B.R.Binomial_names.zip</v>
      </c>
      <c r="U3124" s="43" t="str">
        <f>HYPERLINK("https://ictv.global/taxonomy/taxondetails?taxnode_id=202210005","ictv.global=202210005")</f>
        <v>ictv.global=202210005</v>
      </c>
    </row>
    <row r="3125" spans="1:21">
      <c r="A3125">
        <v>3124</v>
      </c>
      <c r="B3125" s="29" t="s">
        <v>3682</v>
      </c>
      <c r="C3125" s="29"/>
      <c r="D3125" s="29" t="s">
        <v>3683</v>
      </c>
      <c r="E3125" s="29"/>
      <c r="F3125" s="29" t="s">
        <v>3686</v>
      </c>
      <c r="G3125" s="29"/>
      <c r="H3125" s="29" t="s">
        <v>3687</v>
      </c>
      <c r="I3125" s="29"/>
      <c r="J3125" s="29"/>
      <c r="K3125" s="29"/>
      <c r="L3125" s="29"/>
      <c r="M3125" s="29"/>
      <c r="N3125" s="29" t="s">
        <v>4723</v>
      </c>
      <c r="O3125" s="29"/>
      <c r="P3125" s="29" t="s">
        <v>10348</v>
      </c>
      <c r="Q3125" t="s">
        <v>2038</v>
      </c>
      <c r="R3125" t="s">
        <v>2633</v>
      </c>
      <c r="S3125">
        <v>37</v>
      </c>
      <c r="T3125" s="43" t="str">
        <f t="shared" si="140"/>
        <v>2021.010B.R.Binomial_names.zip</v>
      </c>
      <c r="U3125" s="43" t="str">
        <f>HYPERLINK("https://ictv.global/taxonomy/taxondetails?taxnode_id=202210011","ictv.global=202210011")</f>
        <v>ictv.global=202210011</v>
      </c>
    </row>
    <row r="3126" spans="1:21">
      <c r="A3126">
        <v>3125</v>
      </c>
      <c r="B3126" s="29" t="s">
        <v>3682</v>
      </c>
      <c r="C3126" s="29"/>
      <c r="D3126" s="29" t="s">
        <v>3683</v>
      </c>
      <c r="E3126" s="29"/>
      <c r="F3126" s="29" t="s">
        <v>3686</v>
      </c>
      <c r="G3126" s="29"/>
      <c r="H3126" s="29" t="s">
        <v>3687</v>
      </c>
      <c r="I3126" s="29"/>
      <c r="J3126" s="29"/>
      <c r="K3126" s="29"/>
      <c r="L3126" s="29"/>
      <c r="M3126" s="29"/>
      <c r="N3126" s="29" t="s">
        <v>10349</v>
      </c>
      <c r="O3126" s="29"/>
      <c r="P3126" s="29" t="s">
        <v>10350</v>
      </c>
      <c r="Q3126" t="s">
        <v>2038</v>
      </c>
      <c r="R3126" t="s">
        <v>2632</v>
      </c>
      <c r="S3126">
        <v>38</v>
      </c>
      <c r="T3126" s="43" t="str">
        <f>HYPERLINK("https://ictv.global/ictv/proposals/2022.031B.Ferozepurvirus_ng.zip","2022.031B.Ferozepurvirus_ng.zip")</f>
        <v>2022.031B.Ferozepurvirus_ng.zip</v>
      </c>
      <c r="U3126" s="43" t="str">
        <f>HYPERLINK("https://ictv.global/taxonomy/taxondetails?taxnode_id=202214582","ictv.global=202214582")</f>
        <v>ictv.global=202214582</v>
      </c>
    </row>
    <row r="3127" spans="1:21">
      <c r="A3127">
        <v>3126</v>
      </c>
      <c r="B3127" s="29" t="s">
        <v>3682</v>
      </c>
      <c r="C3127" s="29"/>
      <c r="D3127" s="29" t="s">
        <v>3683</v>
      </c>
      <c r="E3127" s="29"/>
      <c r="F3127" s="29" t="s">
        <v>3686</v>
      </c>
      <c r="G3127" s="29"/>
      <c r="H3127" s="29" t="s">
        <v>3687</v>
      </c>
      <c r="I3127" s="29"/>
      <c r="J3127" s="29"/>
      <c r="K3127" s="29"/>
      <c r="L3127" s="29"/>
      <c r="M3127" s="29"/>
      <c r="N3127" s="29" t="s">
        <v>10349</v>
      </c>
      <c r="O3127" s="29"/>
      <c r="P3127" s="29" t="s">
        <v>10351</v>
      </c>
      <c r="Q3127" t="s">
        <v>2038</v>
      </c>
      <c r="R3127" t="s">
        <v>2632</v>
      </c>
      <c r="S3127">
        <v>38</v>
      </c>
      <c r="T3127" s="43" t="str">
        <f>HYPERLINK("https://ictv.global/ictv/proposals/2022.031B.Ferozepurvirus_ng.zip","2022.031B.Ferozepurvirus_ng.zip")</f>
        <v>2022.031B.Ferozepurvirus_ng.zip</v>
      </c>
      <c r="U3127" s="43" t="str">
        <f>HYPERLINK("https://ictv.global/taxonomy/taxondetails?taxnode_id=202214581","ictv.global=202214581")</f>
        <v>ictv.global=202214581</v>
      </c>
    </row>
    <row r="3128" spans="1:21">
      <c r="A3128">
        <v>3127</v>
      </c>
      <c r="B3128" s="29" t="s">
        <v>3682</v>
      </c>
      <c r="C3128" s="29"/>
      <c r="D3128" s="29" t="s">
        <v>3683</v>
      </c>
      <c r="E3128" s="29"/>
      <c r="F3128" s="29" t="s">
        <v>3686</v>
      </c>
      <c r="G3128" s="29"/>
      <c r="H3128" s="29" t="s">
        <v>3687</v>
      </c>
      <c r="I3128" s="29"/>
      <c r="J3128" s="29"/>
      <c r="K3128" s="29"/>
      <c r="L3128" s="29"/>
      <c r="M3128" s="29"/>
      <c r="N3128" s="29" t="s">
        <v>3999</v>
      </c>
      <c r="O3128" s="29"/>
      <c r="P3128" s="29" t="s">
        <v>10352</v>
      </c>
      <c r="Q3128" t="s">
        <v>2038</v>
      </c>
      <c r="R3128" t="s">
        <v>2633</v>
      </c>
      <c r="S3128">
        <v>37</v>
      </c>
      <c r="T3128" s="43" t="str">
        <f>HYPERLINK("https://ictv.global/ictv/proposals/2021.010B.R.Binomial_names.zip","2021.010B.R.Binomial_names.zip")</f>
        <v>2021.010B.R.Binomial_names.zip</v>
      </c>
      <c r="U3128" s="43" t="str">
        <f>HYPERLINK("https://ictv.global/taxonomy/taxondetails?taxnode_id=202207845","ictv.global=202207845")</f>
        <v>ictv.global=202207845</v>
      </c>
    </row>
    <row r="3129" spans="1:21">
      <c r="A3129">
        <v>3128</v>
      </c>
      <c r="B3129" s="29" t="s">
        <v>3682</v>
      </c>
      <c r="C3129" s="29"/>
      <c r="D3129" s="29" t="s">
        <v>3683</v>
      </c>
      <c r="E3129" s="29"/>
      <c r="F3129" s="29" t="s">
        <v>3686</v>
      </c>
      <c r="G3129" s="29"/>
      <c r="H3129" s="29" t="s">
        <v>3687</v>
      </c>
      <c r="I3129" s="29"/>
      <c r="J3129" s="29"/>
      <c r="K3129" s="29"/>
      <c r="L3129" s="29"/>
      <c r="M3129" s="29"/>
      <c r="N3129" s="29" t="s">
        <v>3999</v>
      </c>
      <c r="O3129" s="29"/>
      <c r="P3129" s="29" t="s">
        <v>10353</v>
      </c>
      <c r="Q3129" t="s">
        <v>2038</v>
      </c>
      <c r="R3129" t="s">
        <v>2633</v>
      </c>
      <c r="S3129">
        <v>37</v>
      </c>
      <c r="T3129" s="43" t="str">
        <f>HYPERLINK("https://ictv.global/ictv/proposals/2021.010B.R.Binomial_names.zip","2021.010B.R.Binomial_names.zip")</f>
        <v>2021.010B.R.Binomial_names.zip</v>
      </c>
      <c r="U3129" s="43" t="str">
        <f>HYPERLINK("https://ictv.global/taxonomy/taxondetails?taxnode_id=202207844","ictv.global=202207844")</f>
        <v>ictv.global=202207844</v>
      </c>
    </row>
    <row r="3130" spans="1:21">
      <c r="A3130">
        <v>3129</v>
      </c>
      <c r="B3130" s="29" t="s">
        <v>3682</v>
      </c>
      <c r="C3130" s="29"/>
      <c r="D3130" s="29" t="s">
        <v>3683</v>
      </c>
      <c r="E3130" s="29"/>
      <c r="F3130" s="29" t="s">
        <v>3686</v>
      </c>
      <c r="G3130" s="29"/>
      <c r="H3130" s="29" t="s">
        <v>3687</v>
      </c>
      <c r="I3130" s="29"/>
      <c r="J3130" s="29"/>
      <c r="K3130" s="29"/>
      <c r="L3130" s="29"/>
      <c r="M3130" s="29"/>
      <c r="N3130" s="29" t="s">
        <v>3406</v>
      </c>
      <c r="O3130" s="29"/>
      <c r="P3130" s="29" t="s">
        <v>10354</v>
      </c>
      <c r="Q3130" t="s">
        <v>2038</v>
      </c>
      <c r="R3130" t="s">
        <v>2633</v>
      </c>
      <c r="S3130">
        <v>37</v>
      </c>
      <c r="T3130" s="43" t="str">
        <f>HYPERLINK("https://ictv.global/ictv/proposals/2021.010B.R.Binomial_names.zip","2021.010B.R.Binomial_names.zip")</f>
        <v>2021.010B.R.Binomial_names.zip</v>
      </c>
      <c r="U3130" s="43" t="str">
        <f>HYPERLINK("https://ictv.global/taxonomy/taxondetails?taxnode_id=202206949","ictv.global=202206949")</f>
        <v>ictv.global=202206949</v>
      </c>
    </row>
    <row r="3131" spans="1:21">
      <c r="A3131">
        <v>3130</v>
      </c>
      <c r="B3131" s="29" t="s">
        <v>3682</v>
      </c>
      <c r="C3131" s="29"/>
      <c r="D3131" s="29" t="s">
        <v>3683</v>
      </c>
      <c r="E3131" s="29"/>
      <c r="F3131" s="29" t="s">
        <v>3686</v>
      </c>
      <c r="G3131" s="29"/>
      <c r="H3131" s="29" t="s">
        <v>3687</v>
      </c>
      <c r="I3131" s="29"/>
      <c r="J3131" s="29"/>
      <c r="K3131" s="29"/>
      <c r="L3131" s="29"/>
      <c r="M3131" s="29"/>
      <c r="N3131" s="29" t="s">
        <v>3406</v>
      </c>
      <c r="O3131" s="29"/>
      <c r="P3131" s="29" t="s">
        <v>10355</v>
      </c>
      <c r="Q3131" t="s">
        <v>2038</v>
      </c>
      <c r="R3131" t="s">
        <v>2633</v>
      </c>
      <c r="S3131">
        <v>37</v>
      </c>
      <c r="T3131" s="43" t="str">
        <f>HYPERLINK("https://ictv.global/ictv/proposals/2021.010B.R.Binomial_names.zip","2021.010B.R.Binomial_names.zip")</f>
        <v>2021.010B.R.Binomial_names.zip</v>
      </c>
      <c r="U3131" s="43" t="str">
        <f>HYPERLINK("https://ictv.global/taxonomy/taxondetails?taxnode_id=202206950","ictv.global=202206950")</f>
        <v>ictv.global=202206950</v>
      </c>
    </row>
    <row r="3132" spans="1:21">
      <c r="A3132">
        <v>3131</v>
      </c>
      <c r="B3132" s="29" t="s">
        <v>3682</v>
      </c>
      <c r="C3132" s="29"/>
      <c r="D3132" s="29" t="s">
        <v>3683</v>
      </c>
      <c r="E3132" s="29"/>
      <c r="F3132" s="29" t="s">
        <v>3686</v>
      </c>
      <c r="G3132" s="29"/>
      <c r="H3132" s="29" t="s">
        <v>3687</v>
      </c>
      <c r="I3132" s="29"/>
      <c r="J3132" s="29"/>
      <c r="K3132" s="29"/>
      <c r="L3132" s="29"/>
      <c r="M3132" s="29"/>
      <c r="N3132" s="29" t="s">
        <v>10356</v>
      </c>
      <c r="O3132" s="29"/>
      <c r="P3132" s="29" t="s">
        <v>10357</v>
      </c>
      <c r="Q3132" t="s">
        <v>2038</v>
      </c>
      <c r="R3132" t="s">
        <v>2632</v>
      </c>
      <c r="S3132">
        <v>37</v>
      </c>
      <c r="T3132" s="43" t="str">
        <f>HYPERLINK("https://ictv.global/ictv/proposals/2021.027B.R.Finchvirus.zip","2021.027B.R.Finchvirus.zip")</f>
        <v>2021.027B.R.Finchvirus.zip</v>
      </c>
      <c r="U3132" s="43" t="str">
        <f>HYPERLINK("https://ictv.global/taxonomy/taxondetails?taxnode_id=202213526","ictv.global=202213526")</f>
        <v>ictv.global=202213526</v>
      </c>
    </row>
    <row r="3133" spans="1:21">
      <c r="A3133">
        <v>3132</v>
      </c>
      <c r="B3133" s="29" t="s">
        <v>3682</v>
      </c>
      <c r="C3133" s="29"/>
      <c r="D3133" s="29" t="s">
        <v>3683</v>
      </c>
      <c r="E3133" s="29"/>
      <c r="F3133" s="29" t="s">
        <v>3686</v>
      </c>
      <c r="G3133" s="29"/>
      <c r="H3133" s="29" t="s">
        <v>3687</v>
      </c>
      <c r="I3133" s="29"/>
      <c r="J3133" s="29"/>
      <c r="K3133" s="29"/>
      <c r="L3133" s="29"/>
      <c r="M3133" s="29"/>
      <c r="N3133" s="29" t="s">
        <v>3467</v>
      </c>
      <c r="O3133" s="29"/>
      <c r="P3133" s="29" t="s">
        <v>10358</v>
      </c>
      <c r="Q3133" t="s">
        <v>2038</v>
      </c>
      <c r="R3133" t="s">
        <v>2633</v>
      </c>
      <c r="S3133">
        <v>37</v>
      </c>
      <c r="T3133" s="43" t="str">
        <f t="shared" ref="T3133:T3138" si="141">HYPERLINK("https://ictv.global/ictv/proposals/2021.010B.R.Binomial_names.zip","2021.010B.R.Binomial_names.zip")</f>
        <v>2021.010B.R.Binomial_names.zip</v>
      </c>
      <c r="U3133" s="43" t="str">
        <f>HYPERLINK("https://ictv.global/taxonomy/taxondetails?taxnode_id=202206952","ictv.global=202206952")</f>
        <v>ictv.global=202206952</v>
      </c>
    </row>
    <row r="3134" spans="1:21">
      <c r="A3134">
        <v>3133</v>
      </c>
      <c r="B3134" s="29" t="s">
        <v>3682</v>
      </c>
      <c r="C3134" s="29"/>
      <c r="D3134" s="29" t="s">
        <v>3683</v>
      </c>
      <c r="E3134" s="29"/>
      <c r="F3134" s="29" t="s">
        <v>3686</v>
      </c>
      <c r="G3134" s="29"/>
      <c r="H3134" s="29" t="s">
        <v>3687</v>
      </c>
      <c r="I3134" s="29"/>
      <c r="J3134" s="29"/>
      <c r="K3134" s="29"/>
      <c r="L3134" s="29"/>
      <c r="M3134" s="29"/>
      <c r="N3134" s="29" t="s">
        <v>3467</v>
      </c>
      <c r="O3134" s="29"/>
      <c r="P3134" s="29" t="s">
        <v>10359</v>
      </c>
      <c r="Q3134" t="s">
        <v>2038</v>
      </c>
      <c r="R3134" t="s">
        <v>2633</v>
      </c>
      <c r="S3134">
        <v>37</v>
      </c>
      <c r="T3134" s="43" t="str">
        <f t="shared" si="141"/>
        <v>2021.010B.R.Binomial_names.zip</v>
      </c>
      <c r="U3134" s="43" t="str">
        <f>HYPERLINK("https://ictv.global/taxonomy/taxondetails?taxnode_id=202206953","ictv.global=202206953")</f>
        <v>ictv.global=202206953</v>
      </c>
    </row>
    <row r="3135" spans="1:21">
      <c r="A3135">
        <v>3134</v>
      </c>
      <c r="B3135" s="29" t="s">
        <v>3682</v>
      </c>
      <c r="C3135" s="29"/>
      <c r="D3135" s="29" t="s">
        <v>3683</v>
      </c>
      <c r="E3135" s="29"/>
      <c r="F3135" s="29" t="s">
        <v>3686</v>
      </c>
      <c r="G3135" s="29"/>
      <c r="H3135" s="29" t="s">
        <v>3687</v>
      </c>
      <c r="I3135" s="29"/>
      <c r="J3135" s="29"/>
      <c r="K3135" s="29"/>
      <c r="L3135" s="29"/>
      <c r="M3135" s="29"/>
      <c r="N3135" s="29" t="s">
        <v>4603</v>
      </c>
      <c r="O3135" s="29"/>
      <c r="P3135" s="29" t="s">
        <v>10360</v>
      </c>
      <c r="Q3135" t="s">
        <v>2038</v>
      </c>
      <c r="R3135" t="s">
        <v>2633</v>
      </c>
      <c r="S3135">
        <v>37</v>
      </c>
      <c r="T3135" s="43" t="str">
        <f t="shared" si="141"/>
        <v>2021.010B.R.Binomial_names.zip</v>
      </c>
      <c r="U3135" s="43" t="str">
        <f>HYPERLINK("https://ictv.global/taxonomy/taxondetails?taxnode_id=202211660","ictv.global=202211660")</f>
        <v>ictv.global=202211660</v>
      </c>
    </row>
    <row r="3136" spans="1:21">
      <c r="A3136">
        <v>3135</v>
      </c>
      <c r="B3136" s="29" t="s">
        <v>3682</v>
      </c>
      <c r="C3136" s="29"/>
      <c r="D3136" s="29" t="s">
        <v>3683</v>
      </c>
      <c r="E3136" s="29"/>
      <c r="F3136" s="29" t="s">
        <v>3686</v>
      </c>
      <c r="G3136" s="29"/>
      <c r="H3136" s="29" t="s">
        <v>3687</v>
      </c>
      <c r="I3136" s="29"/>
      <c r="J3136" s="29"/>
      <c r="K3136" s="29"/>
      <c r="L3136" s="29"/>
      <c r="M3136" s="29"/>
      <c r="N3136" s="29" t="s">
        <v>4603</v>
      </c>
      <c r="O3136" s="29"/>
      <c r="P3136" s="29" t="s">
        <v>10361</v>
      </c>
      <c r="Q3136" t="s">
        <v>2038</v>
      </c>
      <c r="R3136" t="s">
        <v>2633</v>
      </c>
      <c r="S3136">
        <v>37</v>
      </c>
      <c r="T3136" s="43" t="str">
        <f t="shared" si="141"/>
        <v>2021.010B.R.Binomial_names.zip</v>
      </c>
      <c r="U3136" s="43" t="str">
        <f>HYPERLINK("https://ictv.global/taxonomy/taxondetails?taxnode_id=202211661","ictv.global=202211661")</f>
        <v>ictv.global=202211661</v>
      </c>
    </row>
    <row r="3137" spans="1:21">
      <c r="A3137">
        <v>3136</v>
      </c>
      <c r="B3137" s="29" t="s">
        <v>3682</v>
      </c>
      <c r="C3137" s="29"/>
      <c r="D3137" s="29" t="s">
        <v>3683</v>
      </c>
      <c r="E3137" s="29"/>
      <c r="F3137" s="29" t="s">
        <v>3686</v>
      </c>
      <c r="G3137" s="29"/>
      <c r="H3137" s="29" t="s">
        <v>3687</v>
      </c>
      <c r="I3137" s="29"/>
      <c r="J3137" s="29"/>
      <c r="K3137" s="29"/>
      <c r="L3137" s="29"/>
      <c r="M3137" s="29"/>
      <c r="N3137" s="29" t="s">
        <v>3407</v>
      </c>
      <c r="O3137" s="29"/>
      <c r="P3137" s="29" t="s">
        <v>10362</v>
      </c>
      <c r="Q3137" t="s">
        <v>2038</v>
      </c>
      <c r="R3137" t="s">
        <v>2633</v>
      </c>
      <c r="S3137">
        <v>37</v>
      </c>
      <c r="T3137" s="43" t="str">
        <f t="shared" si="141"/>
        <v>2021.010B.R.Binomial_names.zip</v>
      </c>
      <c r="U3137" s="43" t="str">
        <f>HYPERLINK("https://ictv.global/taxonomy/taxondetails?taxnode_id=202206824","ictv.global=202206824")</f>
        <v>ictv.global=202206824</v>
      </c>
    </row>
    <row r="3138" spans="1:21">
      <c r="A3138">
        <v>3137</v>
      </c>
      <c r="B3138" s="29" t="s">
        <v>3682</v>
      </c>
      <c r="C3138" s="29"/>
      <c r="D3138" s="29" t="s">
        <v>3683</v>
      </c>
      <c r="E3138" s="29"/>
      <c r="F3138" s="29" t="s">
        <v>3686</v>
      </c>
      <c r="G3138" s="29"/>
      <c r="H3138" s="29" t="s">
        <v>3687</v>
      </c>
      <c r="I3138" s="29"/>
      <c r="J3138" s="29"/>
      <c r="K3138" s="29"/>
      <c r="L3138" s="29"/>
      <c r="M3138" s="29"/>
      <c r="N3138" s="29" t="s">
        <v>3407</v>
      </c>
      <c r="O3138" s="29"/>
      <c r="P3138" s="29" t="s">
        <v>10363</v>
      </c>
      <c r="Q3138" t="s">
        <v>2038</v>
      </c>
      <c r="R3138" t="s">
        <v>2633</v>
      </c>
      <c r="S3138">
        <v>37</v>
      </c>
      <c r="T3138" s="43" t="str">
        <f t="shared" si="141"/>
        <v>2021.010B.R.Binomial_names.zip</v>
      </c>
      <c r="U3138" s="43" t="str">
        <f>HYPERLINK("https://ictv.global/taxonomy/taxondetails?taxnode_id=202206823","ictv.global=202206823")</f>
        <v>ictv.global=202206823</v>
      </c>
    </row>
    <row r="3139" spans="1:21">
      <c r="A3139">
        <v>3138</v>
      </c>
      <c r="B3139" s="29" t="s">
        <v>3682</v>
      </c>
      <c r="C3139" s="29"/>
      <c r="D3139" s="29" t="s">
        <v>3683</v>
      </c>
      <c r="E3139" s="29"/>
      <c r="F3139" s="29" t="s">
        <v>3686</v>
      </c>
      <c r="G3139" s="29"/>
      <c r="H3139" s="29" t="s">
        <v>3687</v>
      </c>
      <c r="I3139" s="29"/>
      <c r="J3139" s="29"/>
      <c r="K3139" s="29"/>
      <c r="L3139" s="29"/>
      <c r="M3139" s="29"/>
      <c r="N3139" s="29" t="s">
        <v>10364</v>
      </c>
      <c r="O3139" s="29"/>
      <c r="P3139" s="29" t="s">
        <v>10365</v>
      </c>
      <c r="Q3139" t="s">
        <v>2038</v>
      </c>
      <c r="R3139" t="s">
        <v>2632</v>
      </c>
      <c r="S3139">
        <v>38</v>
      </c>
      <c r="T3139" s="43" t="str">
        <f>HYPERLINK("https://ictv.global/ictv/proposals/2022.092B.Caudoviricetes_3ng_gordonia.zip","2022.092B.Caudoviricetes_3ng_gordonia.zip")</f>
        <v>2022.092B.Caudoviricetes_3ng_gordonia.zip</v>
      </c>
      <c r="U3139" s="43" t="str">
        <f>HYPERLINK("https://ictv.global/taxonomy/taxondetails?taxnode_id=202214970","ictv.global=202214970")</f>
        <v>ictv.global=202214970</v>
      </c>
    </row>
    <row r="3140" spans="1:21">
      <c r="A3140">
        <v>3139</v>
      </c>
      <c r="B3140" s="29" t="s">
        <v>3682</v>
      </c>
      <c r="C3140" s="29"/>
      <c r="D3140" s="29" t="s">
        <v>3683</v>
      </c>
      <c r="E3140" s="29"/>
      <c r="F3140" s="29" t="s">
        <v>3686</v>
      </c>
      <c r="G3140" s="29"/>
      <c r="H3140" s="29" t="s">
        <v>3687</v>
      </c>
      <c r="I3140" s="29"/>
      <c r="J3140" s="29"/>
      <c r="K3140" s="29"/>
      <c r="L3140" s="29"/>
      <c r="M3140" s="29"/>
      <c r="N3140" s="29" t="s">
        <v>4724</v>
      </c>
      <c r="O3140" s="29"/>
      <c r="P3140" s="29" t="s">
        <v>10366</v>
      </c>
      <c r="Q3140" t="s">
        <v>2038</v>
      </c>
      <c r="R3140" t="s">
        <v>2633</v>
      </c>
      <c r="S3140">
        <v>37</v>
      </c>
      <c r="T3140" s="43" t="str">
        <f>HYPERLINK("https://ictv.global/ictv/proposals/2021.010B.R.Binomial_names.zip","2021.010B.R.Binomial_names.zip")</f>
        <v>2021.010B.R.Binomial_names.zip</v>
      </c>
      <c r="U3140" s="43" t="str">
        <f>HYPERLINK("https://ictv.global/taxonomy/taxondetails?taxnode_id=202209913","ictv.global=202209913")</f>
        <v>ictv.global=202209913</v>
      </c>
    </row>
    <row r="3141" spans="1:21">
      <c r="A3141">
        <v>3140</v>
      </c>
      <c r="B3141" s="29" t="s">
        <v>3682</v>
      </c>
      <c r="C3141" s="29"/>
      <c r="D3141" s="29" t="s">
        <v>3683</v>
      </c>
      <c r="E3141" s="29"/>
      <c r="F3141" s="29" t="s">
        <v>3686</v>
      </c>
      <c r="G3141" s="29"/>
      <c r="H3141" s="29" t="s">
        <v>3687</v>
      </c>
      <c r="I3141" s="29"/>
      <c r="J3141" s="29"/>
      <c r="K3141" s="29"/>
      <c r="L3141" s="29"/>
      <c r="M3141" s="29"/>
      <c r="N3141" s="29" t="s">
        <v>10367</v>
      </c>
      <c r="O3141" s="29"/>
      <c r="P3141" s="29" t="s">
        <v>10368</v>
      </c>
      <c r="Q3141" t="s">
        <v>2038</v>
      </c>
      <c r="R3141" t="s">
        <v>2632</v>
      </c>
      <c r="S3141">
        <v>37</v>
      </c>
      <c r="T3141" s="43" t="str">
        <f>HYPERLINK("https://ictv.global/ictv/proposals/2021.030B.R.Foxquatrovirus.zip","2021.030B.R.Foxquatrovirus.zip")</f>
        <v>2021.030B.R.Foxquatrovirus.zip</v>
      </c>
      <c r="U3141" s="43" t="str">
        <f>HYPERLINK("https://ictv.global/taxonomy/taxondetails?taxnode_id=202213577","ictv.global=202213577")</f>
        <v>ictv.global=202213577</v>
      </c>
    </row>
    <row r="3142" spans="1:21">
      <c r="A3142">
        <v>3141</v>
      </c>
      <c r="B3142" s="29" t="s">
        <v>3682</v>
      </c>
      <c r="C3142" s="29"/>
      <c r="D3142" s="29" t="s">
        <v>3683</v>
      </c>
      <c r="E3142" s="29"/>
      <c r="F3142" s="29" t="s">
        <v>3686</v>
      </c>
      <c r="G3142" s="29"/>
      <c r="H3142" s="29" t="s">
        <v>3687</v>
      </c>
      <c r="I3142" s="29"/>
      <c r="J3142" s="29"/>
      <c r="K3142" s="29"/>
      <c r="L3142" s="29"/>
      <c r="M3142" s="29"/>
      <c r="N3142" s="29" t="s">
        <v>10369</v>
      </c>
      <c r="O3142" s="29"/>
      <c r="P3142" s="29" t="s">
        <v>10370</v>
      </c>
      <c r="Q3142" t="s">
        <v>2038</v>
      </c>
      <c r="R3142" t="s">
        <v>2632</v>
      </c>
      <c r="S3142">
        <v>37</v>
      </c>
      <c r="T3142" s="43" t="str">
        <f>HYPERLINK("https://ictv.global/ictv/proposals/2021.031B.R.Foxunavirus.zip","2021.031B.R.Foxunavirus.zip")</f>
        <v>2021.031B.R.Foxunavirus.zip</v>
      </c>
      <c r="U3142" s="43" t="str">
        <f>HYPERLINK("https://ictv.global/taxonomy/taxondetails?taxnode_id=202213579","ictv.global=202213579")</f>
        <v>ictv.global=202213579</v>
      </c>
    </row>
    <row r="3143" spans="1:21">
      <c r="A3143">
        <v>3142</v>
      </c>
      <c r="B3143" s="29" t="s">
        <v>3682</v>
      </c>
      <c r="C3143" s="29"/>
      <c r="D3143" s="29" t="s">
        <v>3683</v>
      </c>
      <c r="E3143" s="29"/>
      <c r="F3143" s="29" t="s">
        <v>3686</v>
      </c>
      <c r="G3143" s="29"/>
      <c r="H3143" s="29" t="s">
        <v>3687</v>
      </c>
      <c r="I3143" s="29"/>
      <c r="J3143" s="29"/>
      <c r="K3143" s="29"/>
      <c r="L3143" s="29"/>
      <c r="M3143" s="29"/>
      <c r="N3143" s="29" t="s">
        <v>10369</v>
      </c>
      <c r="O3143" s="29"/>
      <c r="P3143" s="29" t="s">
        <v>10371</v>
      </c>
      <c r="Q3143" t="s">
        <v>2038</v>
      </c>
      <c r="R3143" t="s">
        <v>2632</v>
      </c>
      <c r="S3143">
        <v>37</v>
      </c>
      <c r="T3143" s="43" t="str">
        <f>HYPERLINK("https://ictv.global/ictv/proposals/2021.031B.R.Foxunavirus.zip","2021.031B.R.Foxunavirus.zip")</f>
        <v>2021.031B.R.Foxunavirus.zip</v>
      </c>
      <c r="U3143" s="43" t="str">
        <f>HYPERLINK("https://ictv.global/taxonomy/taxondetails?taxnode_id=202213580","ictv.global=202213580")</f>
        <v>ictv.global=202213580</v>
      </c>
    </row>
    <row r="3144" spans="1:21">
      <c r="A3144">
        <v>3143</v>
      </c>
      <c r="B3144" s="29" t="s">
        <v>3682</v>
      </c>
      <c r="C3144" s="29"/>
      <c r="D3144" s="29" t="s">
        <v>3683</v>
      </c>
      <c r="E3144" s="29"/>
      <c r="F3144" s="29" t="s">
        <v>3686</v>
      </c>
      <c r="G3144" s="29"/>
      <c r="H3144" s="29" t="s">
        <v>3687</v>
      </c>
      <c r="I3144" s="29"/>
      <c r="J3144" s="29"/>
      <c r="K3144" s="29"/>
      <c r="L3144" s="29"/>
      <c r="M3144" s="29"/>
      <c r="N3144" s="29" t="s">
        <v>10369</v>
      </c>
      <c r="O3144" s="29"/>
      <c r="P3144" s="29" t="s">
        <v>10372</v>
      </c>
      <c r="Q3144" t="s">
        <v>2038</v>
      </c>
      <c r="R3144" t="s">
        <v>2632</v>
      </c>
      <c r="S3144">
        <v>37</v>
      </c>
      <c r="T3144" s="43" t="str">
        <f>HYPERLINK("https://ictv.global/ictv/proposals/2021.031B.R.Foxunavirus.zip","2021.031B.R.Foxunavirus.zip")</f>
        <v>2021.031B.R.Foxunavirus.zip</v>
      </c>
      <c r="U3144" s="43" t="str">
        <f>HYPERLINK("https://ictv.global/taxonomy/taxondetails?taxnode_id=202213581","ictv.global=202213581")</f>
        <v>ictv.global=202213581</v>
      </c>
    </row>
    <row r="3145" spans="1:21">
      <c r="A3145">
        <v>3144</v>
      </c>
      <c r="B3145" s="29" t="s">
        <v>3682</v>
      </c>
      <c r="C3145" s="29"/>
      <c r="D3145" s="29" t="s">
        <v>3683</v>
      </c>
      <c r="E3145" s="29"/>
      <c r="F3145" s="29" t="s">
        <v>3686</v>
      </c>
      <c r="G3145" s="29"/>
      <c r="H3145" s="29" t="s">
        <v>3687</v>
      </c>
      <c r="I3145" s="29"/>
      <c r="J3145" s="29"/>
      <c r="K3145" s="29"/>
      <c r="L3145" s="29"/>
      <c r="M3145" s="29"/>
      <c r="N3145" s="29" t="s">
        <v>10369</v>
      </c>
      <c r="O3145" s="29"/>
      <c r="P3145" s="29" t="s">
        <v>10373</v>
      </c>
      <c r="Q3145" t="s">
        <v>2038</v>
      </c>
      <c r="R3145" t="s">
        <v>2632</v>
      </c>
      <c r="S3145">
        <v>37</v>
      </c>
      <c r="T3145" s="43" t="str">
        <f>HYPERLINK("https://ictv.global/ictv/proposals/2021.031B.R.Foxunavirus.zip","2021.031B.R.Foxunavirus.zip")</f>
        <v>2021.031B.R.Foxunavirus.zip</v>
      </c>
      <c r="U3145" s="43" t="str">
        <f>HYPERLINK("https://ictv.global/taxonomy/taxondetails?taxnode_id=202213582","ictv.global=202213582")</f>
        <v>ictv.global=202213582</v>
      </c>
    </row>
    <row r="3146" spans="1:21">
      <c r="A3146">
        <v>3145</v>
      </c>
      <c r="B3146" s="29" t="s">
        <v>3682</v>
      </c>
      <c r="C3146" s="29"/>
      <c r="D3146" s="29" t="s">
        <v>3683</v>
      </c>
      <c r="E3146" s="29"/>
      <c r="F3146" s="29" t="s">
        <v>3686</v>
      </c>
      <c r="G3146" s="29"/>
      <c r="H3146" s="29" t="s">
        <v>3687</v>
      </c>
      <c r="I3146" s="29"/>
      <c r="J3146" s="29"/>
      <c r="K3146" s="29"/>
      <c r="L3146" s="29"/>
      <c r="M3146" s="29"/>
      <c r="N3146" s="29" t="s">
        <v>4000</v>
      </c>
      <c r="O3146" s="29"/>
      <c r="P3146" s="29" t="s">
        <v>10374</v>
      </c>
      <c r="Q3146" t="s">
        <v>2038</v>
      </c>
      <c r="R3146" t="s">
        <v>2633</v>
      </c>
      <c r="S3146">
        <v>37</v>
      </c>
      <c r="T3146" s="43" t="str">
        <f t="shared" ref="T3146:T3177" si="142">HYPERLINK("https://ictv.global/ictv/proposals/2021.010B.R.Binomial_names.zip","2021.010B.R.Binomial_names.zip")</f>
        <v>2021.010B.R.Binomial_names.zip</v>
      </c>
      <c r="U3146" s="43" t="str">
        <f>HYPERLINK("https://ictv.global/taxonomy/taxondetails?taxnode_id=202207850","ictv.global=202207850")</f>
        <v>ictv.global=202207850</v>
      </c>
    </row>
    <row r="3147" spans="1:21">
      <c r="A3147">
        <v>3146</v>
      </c>
      <c r="B3147" s="29" t="s">
        <v>3682</v>
      </c>
      <c r="C3147" s="29"/>
      <c r="D3147" s="29" t="s">
        <v>3683</v>
      </c>
      <c r="E3147" s="29"/>
      <c r="F3147" s="29" t="s">
        <v>3686</v>
      </c>
      <c r="G3147" s="29"/>
      <c r="H3147" s="29" t="s">
        <v>3687</v>
      </c>
      <c r="I3147" s="29"/>
      <c r="J3147" s="29"/>
      <c r="K3147" s="29"/>
      <c r="L3147" s="29"/>
      <c r="M3147" s="29"/>
      <c r="N3147" s="29" t="s">
        <v>4725</v>
      </c>
      <c r="O3147" s="29"/>
      <c r="P3147" s="29" t="s">
        <v>10375</v>
      </c>
      <c r="Q3147" t="s">
        <v>2038</v>
      </c>
      <c r="R3147" t="s">
        <v>2633</v>
      </c>
      <c r="S3147">
        <v>37</v>
      </c>
      <c r="T3147" s="43" t="str">
        <f t="shared" si="142"/>
        <v>2021.010B.R.Binomial_names.zip</v>
      </c>
      <c r="U3147" s="43" t="str">
        <f>HYPERLINK("https://ictv.global/taxonomy/taxondetails?taxnode_id=202210037","ictv.global=202210037")</f>
        <v>ictv.global=202210037</v>
      </c>
    </row>
    <row r="3148" spans="1:21">
      <c r="A3148">
        <v>3147</v>
      </c>
      <c r="B3148" s="29" t="s">
        <v>3682</v>
      </c>
      <c r="C3148" s="29"/>
      <c r="D3148" s="29" t="s">
        <v>3683</v>
      </c>
      <c r="E3148" s="29"/>
      <c r="F3148" s="29" t="s">
        <v>3686</v>
      </c>
      <c r="G3148" s="29"/>
      <c r="H3148" s="29" t="s">
        <v>3687</v>
      </c>
      <c r="I3148" s="29"/>
      <c r="J3148" s="29"/>
      <c r="K3148" s="29"/>
      <c r="L3148" s="29"/>
      <c r="M3148" s="29"/>
      <c r="N3148" s="29" t="s">
        <v>4725</v>
      </c>
      <c r="O3148" s="29"/>
      <c r="P3148" s="29" t="s">
        <v>10376</v>
      </c>
      <c r="Q3148" t="s">
        <v>2038</v>
      </c>
      <c r="R3148" t="s">
        <v>2633</v>
      </c>
      <c r="S3148">
        <v>37</v>
      </c>
      <c r="T3148" s="43" t="str">
        <f t="shared" si="142"/>
        <v>2021.010B.R.Binomial_names.zip</v>
      </c>
      <c r="U3148" s="43" t="str">
        <f>HYPERLINK("https://ictv.global/taxonomy/taxondetails?taxnode_id=202210036","ictv.global=202210036")</f>
        <v>ictv.global=202210036</v>
      </c>
    </row>
    <row r="3149" spans="1:21">
      <c r="A3149">
        <v>3148</v>
      </c>
      <c r="B3149" s="29" t="s">
        <v>3682</v>
      </c>
      <c r="C3149" s="29"/>
      <c r="D3149" s="29" t="s">
        <v>3683</v>
      </c>
      <c r="E3149" s="29"/>
      <c r="F3149" s="29" t="s">
        <v>3686</v>
      </c>
      <c r="G3149" s="29"/>
      <c r="H3149" s="29" t="s">
        <v>3687</v>
      </c>
      <c r="I3149" s="29"/>
      <c r="J3149" s="29"/>
      <c r="K3149" s="29"/>
      <c r="L3149" s="29"/>
      <c r="M3149" s="29"/>
      <c r="N3149" s="29" t="s">
        <v>3538</v>
      </c>
      <c r="O3149" s="29"/>
      <c r="P3149" s="29" t="s">
        <v>10377</v>
      </c>
      <c r="Q3149" t="s">
        <v>2038</v>
      </c>
      <c r="R3149" t="s">
        <v>2633</v>
      </c>
      <c r="S3149">
        <v>37</v>
      </c>
      <c r="T3149" s="43" t="str">
        <f t="shared" si="142"/>
        <v>2021.010B.R.Binomial_names.zip</v>
      </c>
      <c r="U3149" s="43" t="str">
        <f>HYPERLINK("https://ictv.global/taxonomy/taxondetails?taxnode_id=202201009","ictv.global=202201009")</f>
        <v>ictv.global=202201009</v>
      </c>
    </row>
    <row r="3150" spans="1:21">
      <c r="A3150">
        <v>3149</v>
      </c>
      <c r="B3150" s="29" t="s">
        <v>3682</v>
      </c>
      <c r="C3150" s="29"/>
      <c r="D3150" s="29" t="s">
        <v>3683</v>
      </c>
      <c r="E3150" s="29"/>
      <c r="F3150" s="29" t="s">
        <v>3686</v>
      </c>
      <c r="G3150" s="29"/>
      <c r="H3150" s="29" t="s">
        <v>3687</v>
      </c>
      <c r="I3150" s="29"/>
      <c r="J3150" s="29"/>
      <c r="K3150" s="29"/>
      <c r="L3150" s="29"/>
      <c r="M3150" s="29"/>
      <c r="N3150" s="29" t="s">
        <v>3538</v>
      </c>
      <c r="O3150" s="29"/>
      <c r="P3150" s="29" t="s">
        <v>10378</v>
      </c>
      <c r="Q3150" t="s">
        <v>2038</v>
      </c>
      <c r="R3150" t="s">
        <v>2633</v>
      </c>
      <c r="S3150">
        <v>37</v>
      </c>
      <c r="T3150" s="43" t="str">
        <f t="shared" si="142"/>
        <v>2021.010B.R.Binomial_names.zip</v>
      </c>
      <c r="U3150" s="43" t="str">
        <f>HYPERLINK("https://ictv.global/taxonomy/taxondetails?taxnode_id=202201011","ictv.global=202201011")</f>
        <v>ictv.global=202201011</v>
      </c>
    </row>
    <row r="3151" spans="1:21">
      <c r="A3151">
        <v>3150</v>
      </c>
      <c r="B3151" s="29" t="s">
        <v>3682</v>
      </c>
      <c r="C3151" s="29"/>
      <c r="D3151" s="29" t="s">
        <v>3683</v>
      </c>
      <c r="E3151" s="29"/>
      <c r="F3151" s="29" t="s">
        <v>3686</v>
      </c>
      <c r="G3151" s="29"/>
      <c r="H3151" s="29" t="s">
        <v>3687</v>
      </c>
      <c r="I3151" s="29"/>
      <c r="J3151" s="29"/>
      <c r="K3151" s="29"/>
      <c r="L3151" s="29"/>
      <c r="M3151" s="29"/>
      <c r="N3151" s="29" t="s">
        <v>3538</v>
      </c>
      <c r="O3151" s="29"/>
      <c r="P3151" s="29" t="s">
        <v>10379</v>
      </c>
      <c r="Q3151" t="s">
        <v>2038</v>
      </c>
      <c r="R3151" t="s">
        <v>2633</v>
      </c>
      <c r="S3151">
        <v>37</v>
      </c>
      <c r="T3151" s="43" t="str">
        <f t="shared" si="142"/>
        <v>2021.010B.R.Binomial_names.zip</v>
      </c>
      <c r="U3151" s="43" t="str">
        <f>HYPERLINK("https://ictv.global/taxonomy/taxondetails?taxnode_id=202201015","ictv.global=202201015")</f>
        <v>ictv.global=202201015</v>
      </c>
    </row>
    <row r="3152" spans="1:21">
      <c r="A3152">
        <v>3151</v>
      </c>
      <c r="B3152" s="29" t="s">
        <v>3682</v>
      </c>
      <c r="C3152" s="29"/>
      <c r="D3152" s="29" t="s">
        <v>3683</v>
      </c>
      <c r="E3152" s="29"/>
      <c r="F3152" s="29" t="s">
        <v>3686</v>
      </c>
      <c r="G3152" s="29"/>
      <c r="H3152" s="29" t="s">
        <v>3687</v>
      </c>
      <c r="I3152" s="29"/>
      <c r="J3152" s="29"/>
      <c r="K3152" s="29"/>
      <c r="L3152" s="29"/>
      <c r="M3152" s="29"/>
      <c r="N3152" s="29" t="s">
        <v>3538</v>
      </c>
      <c r="O3152" s="29"/>
      <c r="P3152" s="29" t="s">
        <v>10380</v>
      </c>
      <c r="Q3152" t="s">
        <v>2038</v>
      </c>
      <c r="R3152" t="s">
        <v>2633</v>
      </c>
      <c r="S3152">
        <v>37</v>
      </c>
      <c r="T3152" s="43" t="str">
        <f t="shared" si="142"/>
        <v>2021.010B.R.Binomial_names.zip</v>
      </c>
      <c r="U3152" s="43" t="str">
        <f>HYPERLINK("https://ictv.global/taxonomy/taxondetails?taxnode_id=202201016","ictv.global=202201016")</f>
        <v>ictv.global=202201016</v>
      </c>
    </row>
    <row r="3153" spans="1:21">
      <c r="A3153">
        <v>3152</v>
      </c>
      <c r="B3153" s="29" t="s">
        <v>3682</v>
      </c>
      <c r="C3153" s="29"/>
      <c r="D3153" s="29" t="s">
        <v>3683</v>
      </c>
      <c r="E3153" s="29"/>
      <c r="F3153" s="29" t="s">
        <v>3686</v>
      </c>
      <c r="G3153" s="29"/>
      <c r="H3153" s="29" t="s">
        <v>3687</v>
      </c>
      <c r="I3153" s="29"/>
      <c r="J3153" s="29"/>
      <c r="K3153" s="29"/>
      <c r="L3153" s="29"/>
      <c r="M3153" s="29"/>
      <c r="N3153" s="29" t="s">
        <v>3538</v>
      </c>
      <c r="O3153" s="29"/>
      <c r="P3153" s="29" t="s">
        <v>10381</v>
      </c>
      <c r="Q3153" t="s">
        <v>2038</v>
      </c>
      <c r="R3153" t="s">
        <v>2633</v>
      </c>
      <c r="S3153">
        <v>37</v>
      </c>
      <c r="T3153" s="43" t="str">
        <f t="shared" si="142"/>
        <v>2021.010B.R.Binomial_names.zip</v>
      </c>
      <c r="U3153" s="43" t="str">
        <f>HYPERLINK("https://ictv.global/taxonomy/taxondetails?taxnode_id=202201013","ictv.global=202201013")</f>
        <v>ictv.global=202201013</v>
      </c>
    </row>
    <row r="3154" spans="1:21">
      <c r="A3154">
        <v>3153</v>
      </c>
      <c r="B3154" s="29" t="s">
        <v>3682</v>
      </c>
      <c r="C3154" s="29"/>
      <c r="D3154" s="29" t="s">
        <v>3683</v>
      </c>
      <c r="E3154" s="29"/>
      <c r="F3154" s="29" t="s">
        <v>3686</v>
      </c>
      <c r="G3154" s="29"/>
      <c r="H3154" s="29" t="s">
        <v>3687</v>
      </c>
      <c r="I3154" s="29"/>
      <c r="J3154" s="29"/>
      <c r="K3154" s="29"/>
      <c r="L3154" s="29"/>
      <c r="M3154" s="29"/>
      <c r="N3154" s="29" t="s">
        <v>3538</v>
      </c>
      <c r="O3154" s="29"/>
      <c r="P3154" s="29" t="s">
        <v>10382</v>
      </c>
      <c r="Q3154" t="s">
        <v>2038</v>
      </c>
      <c r="R3154" t="s">
        <v>2633</v>
      </c>
      <c r="S3154">
        <v>37</v>
      </c>
      <c r="T3154" s="43" t="str">
        <f t="shared" si="142"/>
        <v>2021.010B.R.Binomial_names.zip</v>
      </c>
      <c r="U3154" s="43" t="str">
        <f>HYPERLINK("https://ictv.global/taxonomy/taxondetails?taxnode_id=202201017","ictv.global=202201017")</f>
        <v>ictv.global=202201017</v>
      </c>
    </row>
    <row r="3155" spans="1:21">
      <c r="A3155">
        <v>3154</v>
      </c>
      <c r="B3155" s="29" t="s">
        <v>3682</v>
      </c>
      <c r="C3155" s="29"/>
      <c r="D3155" s="29" t="s">
        <v>3683</v>
      </c>
      <c r="E3155" s="29"/>
      <c r="F3155" s="29" t="s">
        <v>3686</v>
      </c>
      <c r="G3155" s="29"/>
      <c r="H3155" s="29" t="s">
        <v>3687</v>
      </c>
      <c r="I3155" s="29"/>
      <c r="J3155" s="29"/>
      <c r="K3155" s="29"/>
      <c r="L3155" s="29"/>
      <c r="M3155" s="29"/>
      <c r="N3155" s="29" t="s">
        <v>3538</v>
      </c>
      <c r="O3155" s="29"/>
      <c r="P3155" s="29" t="s">
        <v>10383</v>
      </c>
      <c r="Q3155" t="s">
        <v>2038</v>
      </c>
      <c r="R3155" t="s">
        <v>2633</v>
      </c>
      <c r="S3155">
        <v>37</v>
      </c>
      <c r="T3155" s="43" t="str">
        <f t="shared" si="142"/>
        <v>2021.010B.R.Binomial_names.zip</v>
      </c>
      <c r="U3155" s="43" t="str">
        <f>HYPERLINK("https://ictv.global/taxonomy/taxondetails?taxnode_id=202201018","ictv.global=202201018")</f>
        <v>ictv.global=202201018</v>
      </c>
    </row>
    <row r="3156" spans="1:21">
      <c r="A3156">
        <v>3155</v>
      </c>
      <c r="B3156" s="29" t="s">
        <v>3682</v>
      </c>
      <c r="C3156" s="29"/>
      <c r="D3156" s="29" t="s">
        <v>3683</v>
      </c>
      <c r="E3156" s="29"/>
      <c r="F3156" s="29" t="s">
        <v>3686</v>
      </c>
      <c r="G3156" s="29"/>
      <c r="H3156" s="29" t="s">
        <v>3687</v>
      </c>
      <c r="I3156" s="29"/>
      <c r="J3156" s="29"/>
      <c r="K3156" s="29"/>
      <c r="L3156" s="29"/>
      <c r="M3156" s="29"/>
      <c r="N3156" s="29" t="s">
        <v>3538</v>
      </c>
      <c r="O3156" s="29"/>
      <c r="P3156" s="29" t="s">
        <v>10384</v>
      </c>
      <c r="Q3156" t="s">
        <v>2038</v>
      </c>
      <c r="R3156" t="s">
        <v>2633</v>
      </c>
      <c r="S3156">
        <v>37</v>
      </c>
      <c r="T3156" s="43" t="str">
        <f t="shared" si="142"/>
        <v>2021.010B.R.Binomial_names.zip</v>
      </c>
      <c r="U3156" s="43" t="str">
        <f>HYPERLINK("https://ictv.global/taxonomy/taxondetails?taxnode_id=202201020","ictv.global=202201020")</f>
        <v>ictv.global=202201020</v>
      </c>
    </row>
    <row r="3157" spans="1:21">
      <c r="A3157">
        <v>3156</v>
      </c>
      <c r="B3157" s="29" t="s">
        <v>3682</v>
      </c>
      <c r="C3157" s="29"/>
      <c r="D3157" s="29" t="s">
        <v>3683</v>
      </c>
      <c r="E3157" s="29"/>
      <c r="F3157" s="29" t="s">
        <v>3686</v>
      </c>
      <c r="G3157" s="29"/>
      <c r="H3157" s="29" t="s">
        <v>3687</v>
      </c>
      <c r="I3157" s="29"/>
      <c r="J3157" s="29"/>
      <c r="K3157" s="29"/>
      <c r="L3157" s="29"/>
      <c r="M3157" s="29"/>
      <c r="N3157" s="29" t="s">
        <v>3538</v>
      </c>
      <c r="O3157" s="29"/>
      <c r="P3157" s="29" t="s">
        <v>10385</v>
      </c>
      <c r="Q3157" t="s">
        <v>2038</v>
      </c>
      <c r="R3157" t="s">
        <v>2633</v>
      </c>
      <c r="S3157">
        <v>37</v>
      </c>
      <c r="T3157" s="43" t="str">
        <f t="shared" si="142"/>
        <v>2021.010B.R.Binomial_names.zip</v>
      </c>
      <c r="U3157" s="43" t="str">
        <f>HYPERLINK("https://ictv.global/taxonomy/taxondetails?taxnode_id=202201022","ictv.global=202201022")</f>
        <v>ictv.global=202201022</v>
      </c>
    </row>
    <row r="3158" spans="1:21">
      <c r="A3158">
        <v>3157</v>
      </c>
      <c r="B3158" s="29" t="s">
        <v>3682</v>
      </c>
      <c r="C3158" s="29"/>
      <c r="D3158" s="29" t="s">
        <v>3683</v>
      </c>
      <c r="E3158" s="29"/>
      <c r="F3158" s="29" t="s">
        <v>3686</v>
      </c>
      <c r="G3158" s="29"/>
      <c r="H3158" s="29" t="s">
        <v>3687</v>
      </c>
      <c r="I3158" s="29"/>
      <c r="J3158" s="29"/>
      <c r="K3158" s="29"/>
      <c r="L3158" s="29"/>
      <c r="M3158" s="29"/>
      <c r="N3158" s="29" t="s">
        <v>3538</v>
      </c>
      <c r="O3158" s="29"/>
      <c r="P3158" s="29" t="s">
        <v>10386</v>
      </c>
      <c r="Q3158" t="s">
        <v>2038</v>
      </c>
      <c r="R3158" t="s">
        <v>2633</v>
      </c>
      <c r="S3158">
        <v>37</v>
      </c>
      <c r="T3158" s="43" t="str">
        <f t="shared" si="142"/>
        <v>2021.010B.R.Binomial_names.zip</v>
      </c>
      <c r="U3158" s="43" t="str">
        <f>HYPERLINK("https://ictv.global/taxonomy/taxondetails?taxnode_id=202201023","ictv.global=202201023")</f>
        <v>ictv.global=202201023</v>
      </c>
    </row>
    <row r="3159" spans="1:21">
      <c r="A3159">
        <v>3158</v>
      </c>
      <c r="B3159" s="29" t="s">
        <v>3682</v>
      </c>
      <c r="C3159" s="29"/>
      <c r="D3159" s="29" t="s">
        <v>3683</v>
      </c>
      <c r="E3159" s="29"/>
      <c r="F3159" s="29" t="s">
        <v>3686</v>
      </c>
      <c r="G3159" s="29"/>
      <c r="H3159" s="29" t="s">
        <v>3687</v>
      </c>
      <c r="I3159" s="29"/>
      <c r="J3159" s="29"/>
      <c r="K3159" s="29"/>
      <c r="L3159" s="29"/>
      <c r="M3159" s="29"/>
      <c r="N3159" s="29" t="s">
        <v>3538</v>
      </c>
      <c r="O3159" s="29"/>
      <c r="P3159" s="29" t="s">
        <v>10387</v>
      </c>
      <c r="Q3159" t="s">
        <v>2038</v>
      </c>
      <c r="R3159" t="s">
        <v>2633</v>
      </c>
      <c r="S3159">
        <v>37</v>
      </c>
      <c r="T3159" s="43" t="str">
        <f t="shared" si="142"/>
        <v>2021.010B.R.Binomial_names.zip</v>
      </c>
      <c r="U3159" s="43" t="str">
        <f>HYPERLINK("https://ictv.global/taxonomy/taxondetails?taxnode_id=202201025","ictv.global=202201025")</f>
        <v>ictv.global=202201025</v>
      </c>
    </row>
    <row r="3160" spans="1:21">
      <c r="A3160">
        <v>3159</v>
      </c>
      <c r="B3160" s="29" t="s">
        <v>3682</v>
      </c>
      <c r="C3160" s="29"/>
      <c r="D3160" s="29" t="s">
        <v>3683</v>
      </c>
      <c r="E3160" s="29"/>
      <c r="F3160" s="29" t="s">
        <v>3686</v>
      </c>
      <c r="G3160" s="29"/>
      <c r="H3160" s="29" t="s">
        <v>3687</v>
      </c>
      <c r="I3160" s="29"/>
      <c r="J3160" s="29"/>
      <c r="K3160" s="29"/>
      <c r="L3160" s="29"/>
      <c r="M3160" s="29"/>
      <c r="N3160" s="29" t="s">
        <v>3538</v>
      </c>
      <c r="O3160" s="29"/>
      <c r="P3160" s="29" t="s">
        <v>10388</v>
      </c>
      <c r="Q3160" t="s">
        <v>2038</v>
      </c>
      <c r="R3160" t="s">
        <v>2633</v>
      </c>
      <c r="S3160">
        <v>37</v>
      </c>
      <c r="T3160" s="43" t="str">
        <f t="shared" si="142"/>
        <v>2021.010B.R.Binomial_names.zip</v>
      </c>
      <c r="U3160" s="43" t="str">
        <f>HYPERLINK("https://ictv.global/taxonomy/taxondetails?taxnode_id=202201026","ictv.global=202201026")</f>
        <v>ictv.global=202201026</v>
      </c>
    </row>
    <row r="3161" spans="1:21">
      <c r="A3161">
        <v>3160</v>
      </c>
      <c r="B3161" s="29" t="s">
        <v>3682</v>
      </c>
      <c r="C3161" s="29"/>
      <c r="D3161" s="29" t="s">
        <v>3683</v>
      </c>
      <c r="E3161" s="29"/>
      <c r="F3161" s="29" t="s">
        <v>3686</v>
      </c>
      <c r="G3161" s="29"/>
      <c r="H3161" s="29" t="s">
        <v>3687</v>
      </c>
      <c r="I3161" s="29"/>
      <c r="J3161" s="29"/>
      <c r="K3161" s="29"/>
      <c r="L3161" s="29"/>
      <c r="M3161" s="29"/>
      <c r="N3161" s="29" t="s">
        <v>3538</v>
      </c>
      <c r="O3161" s="29"/>
      <c r="P3161" s="29" t="s">
        <v>10389</v>
      </c>
      <c r="Q3161" t="s">
        <v>2038</v>
      </c>
      <c r="R3161" t="s">
        <v>2633</v>
      </c>
      <c r="S3161">
        <v>37</v>
      </c>
      <c r="T3161" s="43" t="str">
        <f t="shared" si="142"/>
        <v>2021.010B.R.Binomial_names.zip</v>
      </c>
      <c r="U3161" s="43" t="str">
        <f>HYPERLINK("https://ictv.global/taxonomy/taxondetails?taxnode_id=202201028","ictv.global=202201028")</f>
        <v>ictv.global=202201028</v>
      </c>
    </row>
    <row r="3162" spans="1:21">
      <c r="A3162">
        <v>3161</v>
      </c>
      <c r="B3162" s="29" t="s">
        <v>3682</v>
      </c>
      <c r="C3162" s="29"/>
      <c r="D3162" s="29" t="s">
        <v>3683</v>
      </c>
      <c r="E3162" s="29"/>
      <c r="F3162" s="29" t="s">
        <v>3686</v>
      </c>
      <c r="G3162" s="29"/>
      <c r="H3162" s="29" t="s">
        <v>3687</v>
      </c>
      <c r="I3162" s="29"/>
      <c r="J3162" s="29"/>
      <c r="K3162" s="29"/>
      <c r="L3162" s="29"/>
      <c r="M3162" s="29"/>
      <c r="N3162" s="29" t="s">
        <v>3538</v>
      </c>
      <c r="O3162" s="29"/>
      <c r="P3162" s="29" t="s">
        <v>10390</v>
      </c>
      <c r="Q3162" t="s">
        <v>2038</v>
      </c>
      <c r="R3162" t="s">
        <v>2633</v>
      </c>
      <c r="S3162">
        <v>37</v>
      </c>
      <c r="T3162" s="43" t="str">
        <f t="shared" si="142"/>
        <v>2021.010B.R.Binomial_names.zip</v>
      </c>
      <c r="U3162" s="43" t="str">
        <f>HYPERLINK("https://ictv.global/taxonomy/taxondetails?taxnode_id=202201031","ictv.global=202201031")</f>
        <v>ictv.global=202201031</v>
      </c>
    </row>
    <row r="3163" spans="1:21">
      <c r="A3163">
        <v>3162</v>
      </c>
      <c r="B3163" s="29" t="s">
        <v>3682</v>
      </c>
      <c r="C3163" s="29"/>
      <c r="D3163" s="29" t="s">
        <v>3683</v>
      </c>
      <c r="E3163" s="29"/>
      <c r="F3163" s="29" t="s">
        <v>3686</v>
      </c>
      <c r="G3163" s="29"/>
      <c r="H3163" s="29" t="s">
        <v>3687</v>
      </c>
      <c r="I3163" s="29"/>
      <c r="J3163" s="29"/>
      <c r="K3163" s="29"/>
      <c r="L3163" s="29"/>
      <c r="M3163" s="29"/>
      <c r="N3163" s="29" t="s">
        <v>3538</v>
      </c>
      <c r="O3163" s="29"/>
      <c r="P3163" s="29" t="s">
        <v>10391</v>
      </c>
      <c r="Q3163" t="s">
        <v>2038</v>
      </c>
      <c r="R3163" t="s">
        <v>2633</v>
      </c>
      <c r="S3163">
        <v>37</v>
      </c>
      <c r="T3163" s="43" t="str">
        <f t="shared" si="142"/>
        <v>2021.010B.R.Binomial_names.zip</v>
      </c>
      <c r="U3163" s="43" t="str">
        <f>HYPERLINK("https://ictv.global/taxonomy/taxondetails?taxnode_id=202201032","ictv.global=202201032")</f>
        <v>ictv.global=202201032</v>
      </c>
    </row>
    <row r="3164" spans="1:21">
      <c r="A3164">
        <v>3163</v>
      </c>
      <c r="B3164" s="29" t="s">
        <v>3682</v>
      </c>
      <c r="C3164" s="29"/>
      <c r="D3164" s="29" t="s">
        <v>3683</v>
      </c>
      <c r="E3164" s="29"/>
      <c r="F3164" s="29" t="s">
        <v>3686</v>
      </c>
      <c r="G3164" s="29"/>
      <c r="H3164" s="29" t="s">
        <v>3687</v>
      </c>
      <c r="I3164" s="29"/>
      <c r="J3164" s="29"/>
      <c r="K3164" s="29"/>
      <c r="L3164" s="29"/>
      <c r="M3164" s="29"/>
      <c r="N3164" s="29" t="s">
        <v>3538</v>
      </c>
      <c r="O3164" s="29"/>
      <c r="P3164" s="29" t="s">
        <v>10392</v>
      </c>
      <c r="Q3164" t="s">
        <v>2038</v>
      </c>
      <c r="R3164" t="s">
        <v>2633</v>
      </c>
      <c r="S3164">
        <v>37</v>
      </c>
      <c r="T3164" s="43" t="str">
        <f t="shared" si="142"/>
        <v>2021.010B.R.Binomial_names.zip</v>
      </c>
      <c r="U3164" s="43" t="str">
        <f>HYPERLINK("https://ictv.global/taxonomy/taxondetails?taxnode_id=202201035","ictv.global=202201035")</f>
        <v>ictv.global=202201035</v>
      </c>
    </row>
    <row r="3165" spans="1:21">
      <c r="A3165">
        <v>3164</v>
      </c>
      <c r="B3165" s="29" t="s">
        <v>3682</v>
      </c>
      <c r="C3165" s="29"/>
      <c r="D3165" s="29" t="s">
        <v>3683</v>
      </c>
      <c r="E3165" s="29"/>
      <c r="F3165" s="29" t="s">
        <v>3686</v>
      </c>
      <c r="G3165" s="29"/>
      <c r="H3165" s="29" t="s">
        <v>3687</v>
      </c>
      <c r="I3165" s="29"/>
      <c r="J3165" s="29"/>
      <c r="K3165" s="29"/>
      <c r="L3165" s="29"/>
      <c r="M3165" s="29"/>
      <c r="N3165" s="29" t="s">
        <v>3538</v>
      </c>
      <c r="O3165" s="29"/>
      <c r="P3165" s="29" t="s">
        <v>10393</v>
      </c>
      <c r="Q3165" t="s">
        <v>2038</v>
      </c>
      <c r="R3165" t="s">
        <v>2633</v>
      </c>
      <c r="S3165">
        <v>37</v>
      </c>
      <c r="T3165" s="43" t="str">
        <f t="shared" si="142"/>
        <v>2021.010B.R.Binomial_names.zip</v>
      </c>
      <c r="U3165" s="43" t="str">
        <f>HYPERLINK("https://ictv.global/taxonomy/taxondetails?taxnode_id=202201036","ictv.global=202201036")</f>
        <v>ictv.global=202201036</v>
      </c>
    </row>
    <row r="3166" spans="1:21">
      <c r="A3166">
        <v>3165</v>
      </c>
      <c r="B3166" s="29" t="s">
        <v>3682</v>
      </c>
      <c r="C3166" s="29"/>
      <c r="D3166" s="29" t="s">
        <v>3683</v>
      </c>
      <c r="E3166" s="29"/>
      <c r="F3166" s="29" t="s">
        <v>3686</v>
      </c>
      <c r="G3166" s="29"/>
      <c r="H3166" s="29" t="s">
        <v>3687</v>
      </c>
      <c r="I3166" s="29"/>
      <c r="J3166" s="29"/>
      <c r="K3166" s="29"/>
      <c r="L3166" s="29"/>
      <c r="M3166" s="29"/>
      <c r="N3166" s="29" t="s">
        <v>3538</v>
      </c>
      <c r="O3166" s="29"/>
      <c r="P3166" s="29" t="s">
        <v>10394</v>
      </c>
      <c r="Q3166" t="s">
        <v>2038</v>
      </c>
      <c r="R3166" t="s">
        <v>2633</v>
      </c>
      <c r="S3166">
        <v>37</v>
      </c>
      <c r="T3166" s="43" t="str">
        <f t="shared" si="142"/>
        <v>2021.010B.R.Binomial_names.zip</v>
      </c>
      <c r="U3166" s="43" t="str">
        <f>HYPERLINK("https://ictv.global/taxonomy/taxondetails?taxnode_id=202201037","ictv.global=202201037")</f>
        <v>ictv.global=202201037</v>
      </c>
    </row>
    <row r="3167" spans="1:21">
      <c r="A3167">
        <v>3166</v>
      </c>
      <c r="B3167" s="29" t="s">
        <v>3682</v>
      </c>
      <c r="C3167" s="29"/>
      <c r="D3167" s="29" t="s">
        <v>3683</v>
      </c>
      <c r="E3167" s="29"/>
      <c r="F3167" s="29" t="s">
        <v>3686</v>
      </c>
      <c r="G3167" s="29"/>
      <c r="H3167" s="29" t="s">
        <v>3687</v>
      </c>
      <c r="I3167" s="29"/>
      <c r="J3167" s="29"/>
      <c r="K3167" s="29"/>
      <c r="L3167" s="29"/>
      <c r="M3167" s="29"/>
      <c r="N3167" s="29" t="s">
        <v>3538</v>
      </c>
      <c r="O3167" s="29"/>
      <c r="P3167" s="29" t="s">
        <v>10395</v>
      </c>
      <c r="Q3167" t="s">
        <v>2038</v>
      </c>
      <c r="R3167" t="s">
        <v>2633</v>
      </c>
      <c r="S3167">
        <v>37</v>
      </c>
      <c r="T3167" s="43" t="str">
        <f t="shared" si="142"/>
        <v>2021.010B.R.Binomial_names.zip</v>
      </c>
      <c r="U3167" s="43" t="str">
        <f>HYPERLINK("https://ictv.global/taxonomy/taxondetails?taxnode_id=202201038","ictv.global=202201038")</f>
        <v>ictv.global=202201038</v>
      </c>
    </row>
    <row r="3168" spans="1:21">
      <c r="A3168">
        <v>3167</v>
      </c>
      <c r="B3168" s="29" t="s">
        <v>3682</v>
      </c>
      <c r="C3168" s="29"/>
      <c r="D3168" s="29" t="s">
        <v>3683</v>
      </c>
      <c r="E3168" s="29"/>
      <c r="F3168" s="29" t="s">
        <v>3686</v>
      </c>
      <c r="G3168" s="29"/>
      <c r="H3168" s="29" t="s">
        <v>3687</v>
      </c>
      <c r="I3168" s="29"/>
      <c r="J3168" s="29"/>
      <c r="K3168" s="29"/>
      <c r="L3168" s="29"/>
      <c r="M3168" s="29"/>
      <c r="N3168" s="29" t="s">
        <v>3538</v>
      </c>
      <c r="O3168" s="29"/>
      <c r="P3168" s="29" t="s">
        <v>10396</v>
      </c>
      <c r="Q3168" t="s">
        <v>2038</v>
      </c>
      <c r="R3168" t="s">
        <v>2633</v>
      </c>
      <c r="S3168">
        <v>37</v>
      </c>
      <c r="T3168" s="43" t="str">
        <f t="shared" si="142"/>
        <v>2021.010B.R.Binomial_names.zip</v>
      </c>
      <c r="U3168" s="43" t="str">
        <f>HYPERLINK("https://ictv.global/taxonomy/taxondetails?taxnode_id=202201039","ictv.global=202201039")</f>
        <v>ictv.global=202201039</v>
      </c>
    </row>
    <row r="3169" spans="1:21">
      <c r="A3169">
        <v>3168</v>
      </c>
      <c r="B3169" s="29" t="s">
        <v>3682</v>
      </c>
      <c r="C3169" s="29"/>
      <c r="D3169" s="29" t="s">
        <v>3683</v>
      </c>
      <c r="E3169" s="29"/>
      <c r="F3169" s="29" t="s">
        <v>3686</v>
      </c>
      <c r="G3169" s="29"/>
      <c r="H3169" s="29" t="s">
        <v>3687</v>
      </c>
      <c r="I3169" s="29"/>
      <c r="J3169" s="29"/>
      <c r="K3169" s="29"/>
      <c r="L3169" s="29"/>
      <c r="M3169" s="29"/>
      <c r="N3169" s="29" t="s">
        <v>3538</v>
      </c>
      <c r="O3169" s="29"/>
      <c r="P3169" s="29" t="s">
        <v>10397</v>
      </c>
      <c r="Q3169" t="s">
        <v>2038</v>
      </c>
      <c r="R3169" t="s">
        <v>2633</v>
      </c>
      <c r="S3169">
        <v>37</v>
      </c>
      <c r="T3169" s="43" t="str">
        <f t="shared" si="142"/>
        <v>2021.010B.R.Binomial_names.zip</v>
      </c>
      <c r="U3169" s="43" t="str">
        <f>HYPERLINK("https://ictv.global/taxonomy/taxondetails?taxnode_id=202201041","ictv.global=202201041")</f>
        <v>ictv.global=202201041</v>
      </c>
    </row>
    <row r="3170" spans="1:21">
      <c r="A3170">
        <v>3169</v>
      </c>
      <c r="B3170" s="29" t="s">
        <v>3682</v>
      </c>
      <c r="C3170" s="29"/>
      <c r="D3170" s="29" t="s">
        <v>3683</v>
      </c>
      <c r="E3170" s="29"/>
      <c r="F3170" s="29" t="s">
        <v>3686</v>
      </c>
      <c r="G3170" s="29"/>
      <c r="H3170" s="29" t="s">
        <v>3687</v>
      </c>
      <c r="I3170" s="29"/>
      <c r="J3170" s="29"/>
      <c r="K3170" s="29"/>
      <c r="L3170" s="29"/>
      <c r="M3170" s="29"/>
      <c r="N3170" s="29" t="s">
        <v>3538</v>
      </c>
      <c r="O3170" s="29"/>
      <c r="P3170" s="29" t="s">
        <v>10398</v>
      </c>
      <c r="Q3170" t="s">
        <v>2038</v>
      </c>
      <c r="R3170" t="s">
        <v>2633</v>
      </c>
      <c r="S3170">
        <v>37</v>
      </c>
      <c r="T3170" s="43" t="str">
        <f t="shared" si="142"/>
        <v>2021.010B.R.Binomial_names.zip</v>
      </c>
      <c r="U3170" s="43" t="str">
        <f>HYPERLINK("https://ictv.global/taxonomy/taxondetails?taxnode_id=202201042","ictv.global=202201042")</f>
        <v>ictv.global=202201042</v>
      </c>
    </row>
    <row r="3171" spans="1:21">
      <c r="A3171">
        <v>3170</v>
      </c>
      <c r="B3171" s="29" t="s">
        <v>3682</v>
      </c>
      <c r="C3171" s="29"/>
      <c r="D3171" s="29" t="s">
        <v>3683</v>
      </c>
      <c r="E3171" s="29"/>
      <c r="F3171" s="29" t="s">
        <v>3686</v>
      </c>
      <c r="G3171" s="29"/>
      <c r="H3171" s="29" t="s">
        <v>3687</v>
      </c>
      <c r="I3171" s="29"/>
      <c r="J3171" s="29"/>
      <c r="K3171" s="29"/>
      <c r="L3171" s="29"/>
      <c r="M3171" s="29"/>
      <c r="N3171" s="29" t="s">
        <v>3538</v>
      </c>
      <c r="O3171" s="29"/>
      <c r="P3171" s="29" t="s">
        <v>10399</v>
      </c>
      <c r="Q3171" t="s">
        <v>2038</v>
      </c>
      <c r="R3171" t="s">
        <v>2633</v>
      </c>
      <c r="S3171">
        <v>37</v>
      </c>
      <c r="T3171" s="43" t="str">
        <f t="shared" si="142"/>
        <v>2021.010B.R.Binomial_names.zip</v>
      </c>
      <c r="U3171" s="43" t="str">
        <f>HYPERLINK("https://ictv.global/taxonomy/taxondetails?taxnode_id=202201044","ictv.global=202201044")</f>
        <v>ictv.global=202201044</v>
      </c>
    </row>
    <row r="3172" spans="1:21">
      <c r="A3172">
        <v>3171</v>
      </c>
      <c r="B3172" s="29" t="s">
        <v>3682</v>
      </c>
      <c r="C3172" s="29"/>
      <c r="D3172" s="29" t="s">
        <v>3683</v>
      </c>
      <c r="E3172" s="29"/>
      <c r="F3172" s="29" t="s">
        <v>3686</v>
      </c>
      <c r="G3172" s="29"/>
      <c r="H3172" s="29" t="s">
        <v>3687</v>
      </c>
      <c r="I3172" s="29"/>
      <c r="J3172" s="29"/>
      <c r="K3172" s="29"/>
      <c r="L3172" s="29"/>
      <c r="M3172" s="29"/>
      <c r="N3172" s="29" t="s">
        <v>3538</v>
      </c>
      <c r="O3172" s="29"/>
      <c r="P3172" s="29" t="s">
        <v>10400</v>
      </c>
      <c r="Q3172" t="s">
        <v>2038</v>
      </c>
      <c r="R3172" t="s">
        <v>2633</v>
      </c>
      <c r="S3172">
        <v>37</v>
      </c>
      <c r="T3172" s="43" t="str">
        <f t="shared" si="142"/>
        <v>2021.010B.R.Binomial_names.zip</v>
      </c>
      <c r="U3172" s="43" t="str">
        <f>HYPERLINK("https://ictv.global/taxonomy/taxondetails?taxnode_id=202201045","ictv.global=202201045")</f>
        <v>ictv.global=202201045</v>
      </c>
    </row>
    <row r="3173" spans="1:21">
      <c r="A3173">
        <v>3172</v>
      </c>
      <c r="B3173" s="29" t="s">
        <v>3682</v>
      </c>
      <c r="C3173" s="29"/>
      <c r="D3173" s="29" t="s">
        <v>3683</v>
      </c>
      <c r="E3173" s="29"/>
      <c r="F3173" s="29" t="s">
        <v>3686</v>
      </c>
      <c r="G3173" s="29"/>
      <c r="H3173" s="29" t="s">
        <v>3687</v>
      </c>
      <c r="I3173" s="29"/>
      <c r="J3173" s="29"/>
      <c r="K3173" s="29"/>
      <c r="L3173" s="29"/>
      <c r="M3173" s="29"/>
      <c r="N3173" s="29" t="s">
        <v>3538</v>
      </c>
      <c r="O3173" s="29"/>
      <c r="P3173" s="29" t="s">
        <v>10401</v>
      </c>
      <c r="Q3173" t="s">
        <v>2038</v>
      </c>
      <c r="R3173" t="s">
        <v>2633</v>
      </c>
      <c r="S3173">
        <v>37</v>
      </c>
      <c r="T3173" s="43" t="str">
        <f t="shared" si="142"/>
        <v>2021.010B.R.Binomial_names.zip</v>
      </c>
      <c r="U3173" s="43" t="str">
        <f>HYPERLINK("https://ictv.global/taxonomy/taxondetails?taxnode_id=202201046","ictv.global=202201046")</f>
        <v>ictv.global=202201046</v>
      </c>
    </row>
    <row r="3174" spans="1:21">
      <c r="A3174">
        <v>3173</v>
      </c>
      <c r="B3174" s="29" t="s">
        <v>3682</v>
      </c>
      <c r="C3174" s="29"/>
      <c r="D3174" s="29" t="s">
        <v>3683</v>
      </c>
      <c r="E3174" s="29"/>
      <c r="F3174" s="29" t="s">
        <v>3686</v>
      </c>
      <c r="G3174" s="29"/>
      <c r="H3174" s="29" t="s">
        <v>3687</v>
      </c>
      <c r="I3174" s="29"/>
      <c r="J3174" s="29"/>
      <c r="K3174" s="29"/>
      <c r="L3174" s="29"/>
      <c r="M3174" s="29"/>
      <c r="N3174" s="29" t="s">
        <v>3538</v>
      </c>
      <c r="O3174" s="29"/>
      <c r="P3174" s="29" t="s">
        <v>10402</v>
      </c>
      <c r="Q3174" t="s">
        <v>2038</v>
      </c>
      <c r="R3174" t="s">
        <v>2633</v>
      </c>
      <c r="S3174">
        <v>37</v>
      </c>
      <c r="T3174" s="43" t="str">
        <f t="shared" si="142"/>
        <v>2021.010B.R.Binomial_names.zip</v>
      </c>
      <c r="U3174" s="43" t="str">
        <f>HYPERLINK("https://ictv.global/taxonomy/taxondetails?taxnode_id=202201047","ictv.global=202201047")</f>
        <v>ictv.global=202201047</v>
      </c>
    </row>
    <row r="3175" spans="1:21">
      <c r="A3175">
        <v>3174</v>
      </c>
      <c r="B3175" s="29" t="s">
        <v>3682</v>
      </c>
      <c r="C3175" s="29"/>
      <c r="D3175" s="29" t="s">
        <v>3683</v>
      </c>
      <c r="E3175" s="29"/>
      <c r="F3175" s="29" t="s">
        <v>3686</v>
      </c>
      <c r="G3175" s="29"/>
      <c r="H3175" s="29" t="s">
        <v>3687</v>
      </c>
      <c r="I3175" s="29"/>
      <c r="J3175" s="29"/>
      <c r="K3175" s="29"/>
      <c r="L3175" s="29"/>
      <c r="M3175" s="29"/>
      <c r="N3175" s="29" t="s">
        <v>3538</v>
      </c>
      <c r="O3175" s="29"/>
      <c r="P3175" s="29" t="s">
        <v>10403</v>
      </c>
      <c r="Q3175" t="s">
        <v>2038</v>
      </c>
      <c r="R3175" t="s">
        <v>2633</v>
      </c>
      <c r="S3175">
        <v>37</v>
      </c>
      <c r="T3175" s="43" t="str">
        <f t="shared" si="142"/>
        <v>2021.010B.R.Binomial_names.zip</v>
      </c>
      <c r="U3175" s="43" t="str">
        <f>HYPERLINK("https://ictv.global/taxonomy/taxondetails?taxnode_id=202201049","ictv.global=202201049")</f>
        <v>ictv.global=202201049</v>
      </c>
    </row>
    <row r="3176" spans="1:21">
      <c r="A3176">
        <v>3175</v>
      </c>
      <c r="B3176" s="29" t="s">
        <v>3682</v>
      </c>
      <c r="C3176" s="29"/>
      <c r="D3176" s="29" t="s">
        <v>3683</v>
      </c>
      <c r="E3176" s="29"/>
      <c r="F3176" s="29" t="s">
        <v>3686</v>
      </c>
      <c r="G3176" s="29"/>
      <c r="H3176" s="29" t="s">
        <v>3687</v>
      </c>
      <c r="I3176" s="29"/>
      <c r="J3176" s="29"/>
      <c r="K3176" s="29"/>
      <c r="L3176" s="29"/>
      <c r="M3176" s="29"/>
      <c r="N3176" s="29" t="s">
        <v>3538</v>
      </c>
      <c r="O3176" s="29"/>
      <c r="P3176" s="29" t="s">
        <v>10404</v>
      </c>
      <c r="Q3176" t="s">
        <v>2038</v>
      </c>
      <c r="R3176" t="s">
        <v>2633</v>
      </c>
      <c r="S3176">
        <v>37</v>
      </c>
      <c r="T3176" s="43" t="str">
        <f t="shared" si="142"/>
        <v>2021.010B.R.Binomial_names.zip</v>
      </c>
      <c r="U3176" s="43" t="str">
        <f>HYPERLINK("https://ictv.global/taxonomy/taxondetails?taxnode_id=202201051","ictv.global=202201051")</f>
        <v>ictv.global=202201051</v>
      </c>
    </row>
    <row r="3177" spans="1:21">
      <c r="A3177">
        <v>3176</v>
      </c>
      <c r="B3177" s="29" t="s">
        <v>3682</v>
      </c>
      <c r="C3177" s="29"/>
      <c r="D3177" s="29" t="s">
        <v>3683</v>
      </c>
      <c r="E3177" s="29"/>
      <c r="F3177" s="29" t="s">
        <v>3686</v>
      </c>
      <c r="G3177" s="29"/>
      <c r="H3177" s="29" t="s">
        <v>3687</v>
      </c>
      <c r="I3177" s="29"/>
      <c r="J3177" s="29"/>
      <c r="K3177" s="29"/>
      <c r="L3177" s="29"/>
      <c r="M3177" s="29"/>
      <c r="N3177" s="29" t="s">
        <v>3538</v>
      </c>
      <c r="O3177" s="29"/>
      <c r="P3177" s="29" t="s">
        <v>10405</v>
      </c>
      <c r="Q3177" t="s">
        <v>2038</v>
      </c>
      <c r="R3177" t="s">
        <v>2633</v>
      </c>
      <c r="S3177">
        <v>37</v>
      </c>
      <c r="T3177" s="43" t="str">
        <f t="shared" si="142"/>
        <v>2021.010B.R.Binomial_names.zip</v>
      </c>
      <c r="U3177" s="43" t="str">
        <f>HYPERLINK("https://ictv.global/taxonomy/taxondetails?taxnode_id=202201052","ictv.global=202201052")</f>
        <v>ictv.global=202201052</v>
      </c>
    </row>
    <row r="3178" spans="1:21">
      <c r="A3178">
        <v>3177</v>
      </c>
      <c r="B3178" s="29" t="s">
        <v>3682</v>
      </c>
      <c r="C3178" s="29"/>
      <c r="D3178" s="29" t="s">
        <v>3683</v>
      </c>
      <c r="E3178" s="29"/>
      <c r="F3178" s="29" t="s">
        <v>3686</v>
      </c>
      <c r="G3178" s="29"/>
      <c r="H3178" s="29" t="s">
        <v>3687</v>
      </c>
      <c r="I3178" s="29"/>
      <c r="J3178" s="29"/>
      <c r="K3178" s="29"/>
      <c r="L3178" s="29"/>
      <c r="M3178" s="29"/>
      <c r="N3178" s="29" t="s">
        <v>3538</v>
      </c>
      <c r="O3178" s="29"/>
      <c r="P3178" s="29" t="s">
        <v>10406</v>
      </c>
      <c r="Q3178" t="s">
        <v>2038</v>
      </c>
      <c r="R3178" t="s">
        <v>2633</v>
      </c>
      <c r="S3178">
        <v>37</v>
      </c>
      <c r="T3178" s="43" t="str">
        <f t="shared" ref="T3178:T3202" si="143">HYPERLINK("https://ictv.global/ictv/proposals/2021.010B.R.Binomial_names.zip","2021.010B.R.Binomial_names.zip")</f>
        <v>2021.010B.R.Binomial_names.zip</v>
      </c>
      <c r="U3178" s="43" t="str">
        <f>HYPERLINK("https://ictv.global/taxonomy/taxondetails?taxnode_id=202201053","ictv.global=202201053")</f>
        <v>ictv.global=202201053</v>
      </c>
    </row>
    <row r="3179" spans="1:21">
      <c r="A3179">
        <v>3178</v>
      </c>
      <c r="B3179" s="29" t="s">
        <v>3682</v>
      </c>
      <c r="C3179" s="29"/>
      <c r="D3179" s="29" t="s">
        <v>3683</v>
      </c>
      <c r="E3179" s="29"/>
      <c r="F3179" s="29" t="s">
        <v>3686</v>
      </c>
      <c r="G3179" s="29"/>
      <c r="H3179" s="29" t="s">
        <v>3687</v>
      </c>
      <c r="I3179" s="29"/>
      <c r="J3179" s="29"/>
      <c r="K3179" s="29"/>
      <c r="L3179" s="29"/>
      <c r="M3179" s="29"/>
      <c r="N3179" s="29" t="s">
        <v>3538</v>
      </c>
      <c r="O3179" s="29"/>
      <c r="P3179" s="29" t="s">
        <v>10407</v>
      </c>
      <c r="Q3179" t="s">
        <v>2038</v>
      </c>
      <c r="R3179" t="s">
        <v>2633</v>
      </c>
      <c r="S3179">
        <v>37</v>
      </c>
      <c r="T3179" s="43" t="str">
        <f t="shared" si="143"/>
        <v>2021.010B.R.Binomial_names.zip</v>
      </c>
      <c r="U3179" s="43" t="str">
        <f>HYPERLINK("https://ictv.global/taxonomy/taxondetails?taxnode_id=202201055","ictv.global=202201055")</f>
        <v>ictv.global=202201055</v>
      </c>
    </row>
    <row r="3180" spans="1:21">
      <c r="A3180">
        <v>3179</v>
      </c>
      <c r="B3180" s="29" t="s">
        <v>3682</v>
      </c>
      <c r="C3180" s="29"/>
      <c r="D3180" s="29" t="s">
        <v>3683</v>
      </c>
      <c r="E3180" s="29"/>
      <c r="F3180" s="29" t="s">
        <v>3686</v>
      </c>
      <c r="G3180" s="29"/>
      <c r="H3180" s="29" t="s">
        <v>3687</v>
      </c>
      <c r="I3180" s="29"/>
      <c r="J3180" s="29"/>
      <c r="K3180" s="29"/>
      <c r="L3180" s="29"/>
      <c r="M3180" s="29"/>
      <c r="N3180" s="29" t="s">
        <v>3538</v>
      </c>
      <c r="O3180" s="29"/>
      <c r="P3180" s="29" t="s">
        <v>10408</v>
      </c>
      <c r="Q3180" t="s">
        <v>2038</v>
      </c>
      <c r="R3180" t="s">
        <v>2633</v>
      </c>
      <c r="S3180">
        <v>37</v>
      </c>
      <c r="T3180" s="43" t="str">
        <f t="shared" si="143"/>
        <v>2021.010B.R.Binomial_names.zip</v>
      </c>
      <c r="U3180" s="43" t="str">
        <f>HYPERLINK("https://ictv.global/taxonomy/taxondetails?taxnode_id=202201056","ictv.global=202201056")</f>
        <v>ictv.global=202201056</v>
      </c>
    </row>
    <row r="3181" spans="1:21">
      <c r="A3181">
        <v>3180</v>
      </c>
      <c r="B3181" s="29" t="s">
        <v>3682</v>
      </c>
      <c r="C3181" s="29"/>
      <c r="D3181" s="29" t="s">
        <v>3683</v>
      </c>
      <c r="E3181" s="29"/>
      <c r="F3181" s="29" t="s">
        <v>3686</v>
      </c>
      <c r="G3181" s="29"/>
      <c r="H3181" s="29" t="s">
        <v>3687</v>
      </c>
      <c r="I3181" s="29"/>
      <c r="J3181" s="29"/>
      <c r="K3181" s="29"/>
      <c r="L3181" s="29"/>
      <c r="M3181" s="29"/>
      <c r="N3181" s="29" t="s">
        <v>3538</v>
      </c>
      <c r="O3181" s="29"/>
      <c r="P3181" s="29" t="s">
        <v>10409</v>
      </c>
      <c r="Q3181" t="s">
        <v>2038</v>
      </c>
      <c r="R3181" t="s">
        <v>2633</v>
      </c>
      <c r="S3181">
        <v>37</v>
      </c>
      <c r="T3181" s="43" t="str">
        <f t="shared" si="143"/>
        <v>2021.010B.R.Binomial_names.zip</v>
      </c>
      <c r="U3181" s="43" t="str">
        <f>HYPERLINK("https://ictv.global/taxonomy/taxondetails?taxnode_id=202201057","ictv.global=202201057")</f>
        <v>ictv.global=202201057</v>
      </c>
    </row>
    <row r="3182" spans="1:21">
      <c r="A3182">
        <v>3181</v>
      </c>
      <c r="B3182" s="29" t="s">
        <v>3682</v>
      </c>
      <c r="C3182" s="29"/>
      <c r="D3182" s="29" t="s">
        <v>3683</v>
      </c>
      <c r="E3182" s="29"/>
      <c r="F3182" s="29" t="s">
        <v>3686</v>
      </c>
      <c r="G3182" s="29"/>
      <c r="H3182" s="29" t="s">
        <v>3687</v>
      </c>
      <c r="I3182" s="29"/>
      <c r="J3182" s="29"/>
      <c r="K3182" s="29"/>
      <c r="L3182" s="29"/>
      <c r="M3182" s="29"/>
      <c r="N3182" s="29" t="s">
        <v>3538</v>
      </c>
      <c r="O3182" s="29"/>
      <c r="P3182" s="29" t="s">
        <v>10410</v>
      </c>
      <c r="Q3182" t="s">
        <v>2038</v>
      </c>
      <c r="R3182" t="s">
        <v>2633</v>
      </c>
      <c r="S3182">
        <v>37</v>
      </c>
      <c r="T3182" s="43" t="str">
        <f t="shared" si="143"/>
        <v>2021.010B.R.Binomial_names.zip</v>
      </c>
      <c r="U3182" s="43" t="str">
        <f>HYPERLINK("https://ictv.global/taxonomy/taxondetails?taxnode_id=202201058","ictv.global=202201058")</f>
        <v>ictv.global=202201058</v>
      </c>
    </row>
    <row r="3183" spans="1:21">
      <c r="A3183">
        <v>3182</v>
      </c>
      <c r="B3183" s="29" t="s">
        <v>3682</v>
      </c>
      <c r="C3183" s="29"/>
      <c r="D3183" s="29" t="s">
        <v>3683</v>
      </c>
      <c r="E3183" s="29"/>
      <c r="F3183" s="29" t="s">
        <v>3686</v>
      </c>
      <c r="G3183" s="29"/>
      <c r="H3183" s="29" t="s">
        <v>3687</v>
      </c>
      <c r="I3183" s="29"/>
      <c r="J3183" s="29"/>
      <c r="K3183" s="29"/>
      <c r="L3183" s="29"/>
      <c r="M3183" s="29"/>
      <c r="N3183" s="29" t="s">
        <v>3538</v>
      </c>
      <c r="O3183" s="29"/>
      <c r="P3183" s="29" t="s">
        <v>10411</v>
      </c>
      <c r="Q3183" t="s">
        <v>2038</v>
      </c>
      <c r="R3183" t="s">
        <v>2633</v>
      </c>
      <c r="S3183">
        <v>37</v>
      </c>
      <c r="T3183" s="43" t="str">
        <f t="shared" si="143"/>
        <v>2021.010B.R.Binomial_names.zip</v>
      </c>
      <c r="U3183" s="43" t="str">
        <f>HYPERLINK("https://ictv.global/taxonomy/taxondetails?taxnode_id=202201059","ictv.global=202201059")</f>
        <v>ictv.global=202201059</v>
      </c>
    </row>
    <row r="3184" spans="1:21">
      <c r="A3184">
        <v>3183</v>
      </c>
      <c r="B3184" s="29" t="s">
        <v>3682</v>
      </c>
      <c r="C3184" s="29"/>
      <c r="D3184" s="29" t="s">
        <v>3683</v>
      </c>
      <c r="E3184" s="29"/>
      <c r="F3184" s="29" t="s">
        <v>3686</v>
      </c>
      <c r="G3184" s="29"/>
      <c r="H3184" s="29" t="s">
        <v>3687</v>
      </c>
      <c r="I3184" s="29"/>
      <c r="J3184" s="29"/>
      <c r="K3184" s="29"/>
      <c r="L3184" s="29"/>
      <c r="M3184" s="29"/>
      <c r="N3184" s="29" t="s">
        <v>3538</v>
      </c>
      <c r="O3184" s="29"/>
      <c r="P3184" s="29" t="s">
        <v>10412</v>
      </c>
      <c r="Q3184" t="s">
        <v>2038</v>
      </c>
      <c r="R3184" t="s">
        <v>2633</v>
      </c>
      <c r="S3184">
        <v>37</v>
      </c>
      <c r="T3184" s="43" t="str">
        <f t="shared" si="143"/>
        <v>2021.010B.R.Binomial_names.zip</v>
      </c>
      <c r="U3184" s="43" t="str">
        <f>HYPERLINK("https://ictv.global/taxonomy/taxondetails?taxnode_id=202201063","ictv.global=202201063")</f>
        <v>ictv.global=202201063</v>
      </c>
    </row>
    <row r="3185" spans="1:21">
      <c r="A3185">
        <v>3184</v>
      </c>
      <c r="B3185" s="29" t="s">
        <v>3682</v>
      </c>
      <c r="C3185" s="29"/>
      <c r="D3185" s="29" t="s">
        <v>3683</v>
      </c>
      <c r="E3185" s="29"/>
      <c r="F3185" s="29" t="s">
        <v>3686</v>
      </c>
      <c r="G3185" s="29"/>
      <c r="H3185" s="29" t="s">
        <v>3687</v>
      </c>
      <c r="I3185" s="29"/>
      <c r="J3185" s="29"/>
      <c r="K3185" s="29"/>
      <c r="L3185" s="29"/>
      <c r="M3185" s="29"/>
      <c r="N3185" s="29" t="s">
        <v>3538</v>
      </c>
      <c r="O3185" s="29"/>
      <c r="P3185" s="29" t="s">
        <v>10413</v>
      </c>
      <c r="Q3185" t="s">
        <v>2038</v>
      </c>
      <c r="R3185" t="s">
        <v>2633</v>
      </c>
      <c r="S3185">
        <v>37</v>
      </c>
      <c r="T3185" s="43" t="str">
        <f t="shared" si="143"/>
        <v>2021.010B.R.Binomial_names.zip</v>
      </c>
      <c r="U3185" s="43" t="str">
        <f>HYPERLINK("https://ictv.global/taxonomy/taxondetails?taxnode_id=202201065","ictv.global=202201065")</f>
        <v>ictv.global=202201065</v>
      </c>
    </row>
    <row r="3186" spans="1:21">
      <c r="A3186">
        <v>3185</v>
      </c>
      <c r="B3186" s="29" t="s">
        <v>3682</v>
      </c>
      <c r="C3186" s="29"/>
      <c r="D3186" s="29" t="s">
        <v>3683</v>
      </c>
      <c r="E3186" s="29"/>
      <c r="F3186" s="29" t="s">
        <v>3686</v>
      </c>
      <c r="G3186" s="29"/>
      <c r="H3186" s="29" t="s">
        <v>3687</v>
      </c>
      <c r="I3186" s="29"/>
      <c r="J3186" s="29"/>
      <c r="K3186" s="29"/>
      <c r="L3186" s="29"/>
      <c r="M3186" s="29"/>
      <c r="N3186" s="29" t="s">
        <v>3538</v>
      </c>
      <c r="O3186" s="29"/>
      <c r="P3186" s="29" t="s">
        <v>10414</v>
      </c>
      <c r="Q3186" t="s">
        <v>2038</v>
      </c>
      <c r="R3186" t="s">
        <v>2633</v>
      </c>
      <c r="S3186">
        <v>37</v>
      </c>
      <c r="T3186" s="43" t="str">
        <f t="shared" si="143"/>
        <v>2021.010B.R.Binomial_names.zip</v>
      </c>
      <c r="U3186" s="43" t="str">
        <f>HYPERLINK("https://ictv.global/taxonomy/taxondetails?taxnode_id=202201066","ictv.global=202201066")</f>
        <v>ictv.global=202201066</v>
      </c>
    </row>
    <row r="3187" spans="1:21">
      <c r="A3187">
        <v>3186</v>
      </c>
      <c r="B3187" s="29" t="s">
        <v>3682</v>
      </c>
      <c r="C3187" s="29"/>
      <c r="D3187" s="29" t="s">
        <v>3683</v>
      </c>
      <c r="E3187" s="29"/>
      <c r="F3187" s="29" t="s">
        <v>3686</v>
      </c>
      <c r="G3187" s="29"/>
      <c r="H3187" s="29" t="s">
        <v>3687</v>
      </c>
      <c r="I3187" s="29"/>
      <c r="J3187" s="29"/>
      <c r="K3187" s="29"/>
      <c r="L3187" s="29"/>
      <c r="M3187" s="29"/>
      <c r="N3187" s="29" t="s">
        <v>3538</v>
      </c>
      <c r="O3187" s="29"/>
      <c r="P3187" s="29" t="s">
        <v>10415</v>
      </c>
      <c r="Q3187" t="s">
        <v>2038</v>
      </c>
      <c r="R3187" t="s">
        <v>2633</v>
      </c>
      <c r="S3187">
        <v>37</v>
      </c>
      <c r="T3187" s="43" t="str">
        <f t="shared" si="143"/>
        <v>2021.010B.R.Binomial_names.zip</v>
      </c>
      <c r="U3187" s="43" t="str">
        <f>HYPERLINK("https://ictv.global/taxonomy/taxondetails?taxnode_id=202201067","ictv.global=202201067")</f>
        <v>ictv.global=202201067</v>
      </c>
    </row>
    <row r="3188" spans="1:21">
      <c r="A3188">
        <v>3187</v>
      </c>
      <c r="B3188" s="29" t="s">
        <v>3682</v>
      </c>
      <c r="C3188" s="29"/>
      <c r="D3188" s="29" t="s">
        <v>3683</v>
      </c>
      <c r="E3188" s="29"/>
      <c r="F3188" s="29" t="s">
        <v>3686</v>
      </c>
      <c r="G3188" s="29"/>
      <c r="H3188" s="29" t="s">
        <v>3687</v>
      </c>
      <c r="I3188" s="29"/>
      <c r="J3188" s="29"/>
      <c r="K3188" s="29"/>
      <c r="L3188" s="29"/>
      <c r="M3188" s="29"/>
      <c r="N3188" s="29" t="s">
        <v>4559</v>
      </c>
      <c r="O3188" s="29"/>
      <c r="P3188" s="29" t="s">
        <v>10416</v>
      </c>
      <c r="Q3188" t="s">
        <v>2038</v>
      </c>
      <c r="R3188" t="s">
        <v>2633</v>
      </c>
      <c r="S3188">
        <v>37</v>
      </c>
      <c r="T3188" s="43" t="str">
        <f t="shared" si="143"/>
        <v>2021.010B.R.Binomial_names.zip</v>
      </c>
      <c r="U3188" s="43" t="str">
        <f>HYPERLINK("https://ictv.global/taxonomy/taxondetails?taxnode_id=202200515","ictv.global=202200515")</f>
        <v>ictv.global=202200515</v>
      </c>
    </row>
    <row r="3189" spans="1:21">
      <c r="A3189">
        <v>3188</v>
      </c>
      <c r="B3189" s="29" t="s">
        <v>3682</v>
      </c>
      <c r="C3189" s="29"/>
      <c r="D3189" s="29" t="s">
        <v>3683</v>
      </c>
      <c r="E3189" s="29"/>
      <c r="F3189" s="29" t="s">
        <v>3686</v>
      </c>
      <c r="G3189" s="29"/>
      <c r="H3189" s="29" t="s">
        <v>3687</v>
      </c>
      <c r="I3189" s="29"/>
      <c r="J3189" s="29"/>
      <c r="K3189" s="29"/>
      <c r="L3189" s="29"/>
      <c r="M3189" s="29"/>
      <c r="N3189" s="29" t="s">
        <v>4559</v>
      </c>
      <c r="O3189" s="29"/>
      <c r="P3189" s="29" t="s">
        <v>10417</v>
      </c>
      <c r="Q3189" t="s">
        <v>2038</v>
      </c>
      <c r="R3189" t="s">
        <v>2633</v>
      </c>
      <c r="S3189">
        <v>37</v>
      </c>
      <c r="T3189" s="43" t="str">
        <f t="shared" si="143"/>
        <v>2021.010B.R.Binomial_names.zip</v>
      </c>
      <c r="U3189" s="43" t="str">
        <f>HYPERLINK("https://ictv.global/taxonomy/taxondetails?taxnode_id=202210039","ictv.global=202210039")</f>
        <v>ictv.global=202210039</v>
      </c>
    </row>
    <row r="3190" spans="1:21">
      <c r="A3190">
        <v>3189</v>
      </c>
      <c r="B3190" s="29" t="s">
        <v>3682</v>
      </c>
      <c r="C3190" s="29"/>
      <c r="D3190" s="29" t="s">
        <v>3683</v>
      </c>
      <c r="E3190" s="29"/>
      <c r="F3190" s="29" t="s">
        <v>3686</v>
      </c>
      <c r="G3190" s="29"/>
      <c r="H3190" s="29" t="s">
        <v>3687</v>
      </c>
      <c r="I3190" s="29"/>
      <c r="J3190" s="29"/>
      <c r="K3190" s="29"/>
      <c r="L3190" s="29"/>
      <c r="M3190" s="29"/>
      <c r="N3190" s="29" t="s">
        <v>2431</v>
      </c>
      <c r="O3190" s="29"/>
      <c r="P3190" s="29" t="s">
        <v>10418</v>
      </c>
      <c r="Q3190" t="s">
        <v>2038</v>
      </c>
      <c r="R3190" t="s">
        <v>2633</v>
      </c>
      <c r="S3190">
        <v>37</v>
      </c>
      <c r="T3190" s="43" t="str">
        <f t="shared" si="143"/>
        <v>2021.010B.R.Binomial_names.zip</v>
      </c>
      <c r="U3190" s="43" t="str">
        <f>HYPERLINK("https://ictv.global/taxonomy/taxondetails?taxnode_id=202200972","ictv.global=202200972")</f>
        <v>ictv.global=202200972</v>
      </c>
    </row>
    <row r="3191" spans="1:21">
      <c r="A3191">
        <v>3190</v>
      </c>
      <c r="B3191" s="29" t="s">
        <v>3682</v>
      </c>
      <c r="C3191" s="29"/>
      <c r="D3191" s="29" t="s">
        <v>3683</v>
      </c>
      <c r="E3191" s="29"/>
      <c r="F3191" s="29" t="s">
        <v>3686</v>
      </c>
      <c r="G3191" s="29"/>
      <c r="H3191" s="29" t="s">
        <v>3687</v>
      </c>
      <c r="I3191" s="29"/>
      <c r="J3191" s="29"/>
      <c r="K3191" s="29"/>
      <c r="L3191" s="29"/>
      <c r="M3191" s="29"/>
      <c r="N3191" s="29" t="s">
        <v>3539</v>
      </c>
      <c r="O3191" s="29"/>
      <c r="P3191" s="29" t="s">
        <v>10419</v>
      </c>
      <c r="Q3191" t="s">
        <v>2038</v>
      </c>
      <c r="R3191" t="s">
        <v>2633</v>
      </c>
      <c r="S3191">
        <v>37</v>
      </c>
      <c r="T3191" s="43" t="str">
        <f t="shared" si="143"/>
        <v>2021.010B.R.Binomial_names.zip</v>
      </c>
      <c r="U3191" s="43" t="str">
        <f>HYPERLINK("https://ictv.global/taxonomy/taxondetails?taxnode_id=202206628","ictv.global=202206628")</f>
        <v>ictv.global=202206628</v>
      </c>
    </row>
    <row r="3192" spans="1:21">
      <c r="A3192">
        <v>3191</v>
      </c>
      <c r="B3192" s="29" t="s">
        <v>3682</v>
      </c>
      <c r="C3192" s="29"/>
      <c r="D3192" s="29" t="s">
        <v>3683</v>
      </c>
      <c r="E3192" s="29"/>
      <c r="F3192" s="29" t="s">
        <v>3686</v>
      </c>
      <c r="G3192" s="29"/>
      <c r="H3192" s="29" t="s">
        <v>3687</v>
      </c>
      <c r="I3192" s="29"/>
      <c r="J3192" s="29"/>
      <c r="K3192" s="29"/>
      <c r="L3192" s="29"/>
      <c r="M3192" s="29"/>
      <c r="N3192" s="29" t="s">
        <v>3539</v>
      </c>
      <c r="O3192" s="29"/>
      <c r="P3192" s="29" t="s">
        <v>10420</v>
      </c>
      <c r="Q3192" t="s">
        <v>2038</v>
      </c>
      <c r="R3192" t="s">
        <v>2633</v>
      </c>
      <c r="S3192">
        <v>37</v>
      </c>
      <c r="T3192" s="43" t="str">
        <f t="shared" si="143"/>
        <v>2021.010B.R.Binomial_names.zip</v>
      </c>
      <c r="U3192" s="43" t="str">
        <f>HYPERLINK("https://ictv.global/taxonomy/taxondetails?taxnode_id=202206627","ictv.global=202206627")</f>
        <v>ictv.global=202206627</v>
      </c>
    </row>
    <row r="3193" spans="1:21">
      <c r="A3193">
        <v>3192</v>
      </c>
      <c r="B3193" s="29" t="s">
        <v>3682</v>
      </c>
      <c r="C3193" s="29"/>
      <c r="D3193" s="29" t="s">
        <v>3683</v>
      </c>
      <c r="E3193" s="29"/>
      <c r="F3193" s="29" t="s">
        <v>3686</v>
      </c>
      <c r="G3193" s="29"/>
      <c r="H3193" s="29" t="s">
        <v>3687</v>
      </c>
      <c r="I3193" s="29"/>
      <c r="J3193" s="29"/>
      <c r="K3193" s="29"/>
      <c r="L3193" s="29"/>
      <c r="M3193" s="29"/>
      <c r="N3193" s="29" t="s">
        <v>3540</v>
      </c>
      <c r="O3193" s="29"/>
      <c r="P3193" s="29" t="s">
        <v>10421</v>
      </c>
      <c r="Q3193" t="s">
        <v>2038</v>
      </c>
      <c r="R3193" t="s">
        <v>2633</v>
      </c>
      <c r="S3193">
        <v>37</v>
      </c>
      <c r="T3193" s="43" t="str">
        <f t="shared" si="143"/>
        <v>2021.010B.R.Binomial_names.zip</v>
      </c>
      <c r="U3193" s="43" t="str">
        <f>HYPERLINK("https://ictv.global/taxonomy/taxondetails?taxnode_id=202206444","ictv.global=202206444")</f>
        <v>ictv.global=202206444</v>
      </c>
    </row>
    <row r="3194" spans="1:21">
      <c r="A3194">
        <v>3193</v>
      </c>
      <c r="B3194" s="29" t="s">
        <v>3682</v>
      </c>
      <c r="C3194" s="29"/>
      <c r="D3194" s="29" t="s">
        <v>3683</v>
      </c>
      <c r="E3194" s="29"/>
      <c r="F3194" s="29" t="s">
        <v>3686</v>
      </c>
      <c r="G3194" s="29"/>
      <c r="H3194" s="29" t="s">
        <v>3687</v>
      </c>
      <c r="I3194" s="29"/>
      <c r="J3194" s="29"/>
      <c r="K3194" s="29"/>
      <c r="L3194" s="29"/>
      <c r="M3194" s="29"/>
      <c r="N3194" s="29" t="s">
        <v>3541</v>
      </c>
      <c r="O3194" s="29"/>
      <c r="P3194" s="29" t="s">
        <v>10422</v>
      </c>
      <c r="Q3194" t="s">
        <v>2038</v>
      </c>
      <c r="R3194" t="s">
        <v>2633</v>
      </c>
      <c r="S3194">
        <v>37</v>
      </c>
      <c r="T3194" s="43" t="str">
        <f t="shared" si="143"/>
        <v>2021.010B.R.Binomial_names.zip</v>
      </c>
      <c r="U3194" s="43" t="str">
        <f>HYPERLINK("https://ictv.global/taxonomy/taxondetails?taxnode_id=202206480","ictv.global=202206480")</f>
        <v>ictv.global=202206480</v>
      </c>
    </row>
    <row r="3195" spans="1:21">
      <c r="A3195">
        <v>3194</v>
      </c>
      <c r="B3195" s="29" t="s">
        <v>3682</v>
      </c>
      <c r="C3195" s="29"/>
      <c r="D3195" s="29" t="s">
        <v>3683</v>
      </c>
      <c r="E3195" s="29"/>
      <c r="F3195" s="29" t="s">
        <v>3686</v>
      </c>
      <c r="G3195" s="29"/>
      <c r="H3195" s="29" t="s">
        <v>3687</v>
      </c>
      <c r="I3195" s="29"/>
      <c r="J3195" s="29"/>
      <c r="K3195" s="29"/>
      <c r="L3195" s="29"/>
      <c r="M3195" s="29"/>
      <c r="N3195" s="29" t="s">
        <v>4604</v>
      </c>
      <c r="O3195" s="29"/>
      <c r="P3195" s="29" t="s">
        <v>10423</v>
      </c>
      <c r="Q3195" t="s">
        <v>2038</v>
      </c>
      <c r="R3195" t="s">
        <v>2633</v>
      </c>
      <c r="S3195">
        <v>37</v>
      </c>
      <c r="T3195" s="43" t="str">
        <f t="shared" si="143"/>
        <v>2021.010B.R.Binomial_names.zip</v>
      </c>
      <c r="U3195" s="43" t="str">
        <f>HYPERLINK("https://ictv.global/taxonomy/taxondetails?taxnode_id=202211663","ictv.global=202211663")</f>
        <v>ictv.global=202211663</v>
      </c>
    </row>
    <row r="3196" spans="1:21">
      <c r="A3196">
        <v>3195</v>
      </c>
      <c r="B3196" s="29" t="s">
        <v>3682</v>
      </c>
      <c r="C3196" s="29"/>
      <c r="D3196" s="29" t="s">
        <v>3683</v>
      </c>
      <c r="E3196" s="29"/>
      <c r="F3196" s="29" t="s">
        <v>3686</v>
      </c>
      <c r="G3196" s="29"/>
      <c r="H3196" s="29" t="s">
        <v>3687</v>
      </c>
      <c r="I3196" s="29"/>
      <c r="J3196" s="29"/>
      <c r="K3196" s="29"/>
      <c r="L3196" s="29"/>
      <c r="M3196" s="29"/>
      <c r="N3196" s="29" t="s">
        <v>4604</v>
      </c>
      <c r="O3196" s="29"/>
      <c r="P3196" s="29" t="s">
        <v>10424</v>
      </c>
      <c r="Q3196" t="s">
        <v>2038</v>
      </c>
      <c r="R3196" t="s">
        <v>2633</v>
      </c>
      <c r="S3196">
        <v>37</v>
      </c>
      <c r="T3196" s="43" t="str">
        <f t="shared" si="143"/>
        <v>2021.010B.R.Binomial_names.zip</v>
      </c>
      <c r="U3196" s="43" t="str">
        <f>HYPERLINK("https://ictv.global/taxonomy/taxondetails?taxnode_id=202211664","ictv.global=202211664")</f>
        <v>ictv.global=202211664</v>
      </c>
    </row>
    <row r="3197" spans="1:21">
      <c r="A3197">
        <v>3196</v>
      </c>
      <c r="B3197" s="29" t="s">
        <v>3682</v>
      </c>
      <c r="C3197" s="29"/>
      <c r="D3197" s="29" t="s">
        <v>3683</v>
      </c>
      <c r="E3197" s="29"/>
      <c r="F3197" s="29" t="s">
        <v>3686</v>
      </c>
      <c r="G3197" s="29"/>
      <c r="H3197" s="29" t="s">
        <v>3687</v>
      </c>
      <c r="I3197" s="29"/>
      <c r="J3197" s="29"/>
      <c r="K3197" s="29"/>
      <c r="L3197" s="29"/>
      <c r="M3197" s="29"/>
      <c r="N3197" s="29" t="s">
        <v>4604</v>
      </c>
      <c r="O3197" s="29"/>
      <c r="P3197" s="29" t="s">
        <v>10425</v>
      </c>
      <c r="Q3197" t="s">
        <v>2038</v>
      </c>
      <c r="R3197" t="s">
        <v>2633</v>
      </c>
      <c r="S3197">
        <v>37</v>
      </c>
      <c r="T3197" s="43" t="str">
        <f t="shared" si="143"/>
        <v>2021.010B.R.Binomial_names.zip</v>
      </c>
      <c r="U3197" s="43" t="str">
        <f>HYPERLINK("https://ictv.global/taxonomy/taxondetails?taxnode_id=202211665","ictv.global=202211665")</f>
        <v>ictv.global=202211665</v>
      </c>
    </row>
    <row r="3198" spans="1:21">
      <c r="A3198">
        <v>3197</v>
      </c>
      <c r="B3198" s="29" t="s">
        <v>3682</v>
      </c>
      <c r="C3198" s="29"/>
      <c r="D3198" s="29" t="s">
        <v>3683</v>
      </c>
      <c r="E3198" s="29"/>
      <c r="F3198" s="29" t="s">
        <v>3686</v>
      </c>
      <c r="G3198" s="29"/>
      <c r="H3198" s="29" t="s">
        <v>3687</v>
      </c>
      <c r="I3198" s="29"/>
      <c r="J3198" s="29"/>
      <c r="K3198" s="29"/>
      <c r="L3198" s="29"/>
      <c r="M3198" s="29"/>
      <c r="N3198" s="29" t="s">
        <v>3543</v>
      </c>
      <c r="O3198" s="29"/>
      <c r="P3198" s="29" t="s">
        <v>10426</v>
      </c>
      <c r="Q3198" t="s">
        <v>2038</v>
      </c>
      <c r="R3198" t="s">
        <v>2633</v>
      </c>
      <c r="S3198">
        <v>37</v>
      </c>
      <c r="T3198" s="43" t="str">
        <f t="shared" si="143"/>
        <v>2021.010B.R.Binomial_names.zip</v>
      </c>
      <c r="U3198" s="43" t="str">
        <f>HYPERLINK("https://ictv.global/taxonomy/taxondetails?taxnode_id=202206827","ictv.global=202206827")</f>
        <v>ictv.global=202206827</v>
      </c>
    </row>
    <row r="3199" spans="1:21">
      <c r="A3199">
        <v>3198</v>
      </c>
      <c r="B3199" s="29" t="s">
        <v>3682</v>
      </c>
      <c r="C3199" s="29"/>
      <c r="D3199" s="29" t="s">
        <v>3683</v>
      </c>
      <c r="E3199" s="29"/>
      <c r="F3199" s="29" t="s">
        <v>3686</v>
      </c>
      <c r="G3199" s="29"/>
      <c r="H3199" s="29" t="s">
        <v>3687</v>
      </c>
      <c r="I3199" s="29"/>
      <c r="J3199" s="29"/>
      <c r="K3199" s="29"/>
      <c r="L3199" s="29"/>
      <c r="M3199" s="29"/>
      <c r="N3199" s="29" t="s">
        <v>3543</v>
      </c>
      <c r="O3199" s="29"/>
      <c r="P3199" s="29" t="s">
        <v>10427</v>
      </c>
      <c r="Q3199" t="s">
        <v>2038</v>
      </c>
      <c r="R3199" t="s">
        <v>2633</v>
      </c>
      <c r="S3199">
        <v>37</v>
      </c>
      <c r="T3199" s="43" t="str">
        <f t="shared" si="143"/>
        <v>2021.010B.R.Binomial_names.zip</v>
      </c>
      <c r="U3199" s="43" t="str">
        <f>HYPERLINK("https://ictv.global/taxonomy/taxondetails?taxnode_id=202206826","ictv.global=202206826")</f>
        <v>ictv.global=202206826</v>
      </c>
    </row>
    <row r="3200" spans="1:21">
      <c r="A3200">
        <v>3199</v>
      </c>
      <c r="B3200" s="29" t="s">
        <v>3682</v>
      </c>
      <c r="C3200" s="29"/>
      <c r="D3200" s="29" t="s">
        <v>3683</v>
      </c>
      <c r="E3200" s="29"/>
      <c r="F3200" s="29" t="s">
        <v>3686</v>
      </c>
      <c r="G3200" s="29"/>
      <c r="H3200" s="29" t="s">
        <v>3687</v>
      </c>
      <c r="I3200" s="29"/>
      <c r="J3200" s="29"/>
      <c r="K3200" s="29"/>
      <c r="L3200" s="29"/>
      <c r="M3200" s="29"/>
      <c r="N3200" s="29" t="s">
        <v>3544</v>
      </c>
      <c r="O3200" s="29"/>
      <c r="P3200" s="29" t="s">
        <v>10428</v>
      </c>
      <c r="Q3200" t="s">
        <v>2038</v>
      </c>
      <c r="R3200" t="s">
        <v>2633</v>
      </c>
      <c r="S3200">
        <v>37</v>
      </c>
      <c r="T3200" s="43" t="str">
        <f t="shared" si="143"/>
        <v>2021.010B.R.Binomial_names.zip</v>
      </c>
      <c r="U3200" s="43" t="str">
        <f>HYPERLINK("https://ictv.global/taxonomy/taxondetails?taxnode_id=202206635","ictv.global=202206635")</f>
        <v>ictv.global=202206635</v>
      </c>
    </row>
    <row r="3201" spans="1:21">
      <c r="A3201">
        <v>3200</v>
      </c>
      <c r="B3201" s="29" t="s">
        <v>3682</v>
      </c>
      <c r="C3201" s="29"/>
      <c r="D3201" s="29" t="s">
        <v>3683</v>
      </c>
      <c r="E3201" s="29"/>
      <c r="F3201" s="29" t="s">
        <v>3686</v>
      </c>
      <c r="G3201" s="29"/>
      <c r="H3201" s="29" t="s">
        <v>3687</v>
      </c>
      <c r="I3201" s="29"/>
      <c r="J3201" s="29"/>
      <c r="K3201" s="29"/>
      <c r="L3201" s="29"/>
      <c r="M3201" s="29"/>
      <c r="N3201" s="29" t="s">
        <v>2432</v>
      </c>
      <c r="O3201" s="29"/>
      <c r="P3201" s="29" t="s">
        <v>10429</v>
      </c>
      <c r="Q3201" t="s">
        <v>2038</v>
      </c>
      <c r="R3201" t="s">
        <v>2633</v>
      </c>
      <c r="S3201">
        <v>37</v>
      </c>
      <c r="T3201" s="43" t="str">
        <f t="shared" si="143"/>
        <v>2021.010B.R.Binomial_names.zip</v>
      </c>
      <c r="U3201" s="43" t="str">
        <f>HYPERLINK("https://ictv.global/taxonomy/taxondetails?taxnode_id=202200974","ictv.global=202200974")</f>
        <v>ictv.global=202200974</v>
      </c>
    </row>
    <row r="3202" spans="1:21">
      <c r="A3202">
        <v>3201</v>
      </c>
      <c r="B3202" s="29" t="s">
        <v>3682</v>
      </c>
      <c r="C3202" s="29"/>
      <c r="D3202" s="29" t="s">
        <v>3683</v>
      </c>
      <c r="E3202" s="29"/>
      <c r="F3202" s="29" t="s">
        <v>3686</v>
      </c>
      <c r="G3202" s="29"/>
      <c r="H3202" s="29" t="s">
        <v>3687</v>
      </c>
      <c r="I3202" s="29"/>
      <c r="J3202" s="29"/>
      <c r="K3202" s="29"/>
      <c r="L3202" s="29"/>
      <c r="M3202" s="29"/>
      <c r="N3202" s="29" t="s">
        <v>4001</v>
      </c>
      <c r="O3202" s="29"/>
      <c r="P3202" s="29" t="s">
        <v>10430</v>
      </c>
      <c r="Q3202" t="s">
        <v>2038</v>
      </c>
      <c r="R3202" t="s">
        <v>2633</v>
      </c>
      <c r="S3202">
        <v>37</v>
      </c>
      <c r="T3202" s="43" t="str">
        <f t="shared" si="143"/>
        <v>2021.010B.R.Binomial_names.zip</v>
      </c>
      <c r="U3202" s="43" t="str">
        <f>HYPERLINK("https://ictv.global/taxonomy/taxondetails?taxnode_id=202207308","ictv.global=202207308")</f>
        <v>ictv.global=202207308</v>
      </c>
    </row>
    <row r="3203" spans="1:21">
      <c r="A3203">
        <v>3202</v>
      </c>
      <c r="B3203" s="29" t="s">
        <v>3682</v>
      </c>
      <c r="C3203" s="29"/>
      <c r="D3203" s="29" t="s">
        <v>3683</v>
      </c>
      <c r="E3203" s="29"/>
      <c r="F3203" s="29" t="s">
        <v>3686</v>
      </c>
      <c r="G3203" s="29"/>
      <c r="H3203" s="29" t="s">
        <v>3687</v>
      </c>
      <c r="I3203" s="29"/>
      <c r="J3203" s="29"/>
      <c r="K3203" s="29"/>
      <c r="L3203" s="29"/>
      <c r="M3203" s="29"/>
      <c r="N3203" s="29" t="s">
        <v>10431</v>
      </c>
      <c r="O3203" s="29"/>
      <c r="P3203" s="29" t="s">
        <v>10432</v>
      </c>
      <c r="Q3203" t="s">
        <v>2038</v>
      </c>
      <c r="R3203" t="s">
        <v>2632</v>
      </c>
      <c r="S3203">
        <v>38</v>
      </c>
      <c r="T3203" s="43" t="str">
        <f>HYPERLINK("https://ictv.global/ictv/proposals/2022.092B.Caudoviricetes_3ng_gordonia.zip","2022.092B.Caudoviricetes_3ng_gordonia.zip")</f>
        <v>2022.092B.Caudoviricetes_3ng_gordonia.zip</v>
      </c>
      <c r="U3203" s="43" t="str">
        <f>HYPERLINK("https://ictv.global/taxonomy/taxondetails?taxnode_id=202214972","ictv.global=202214972")</f>
        <v>ictv.global=202214972</v>
      </c>
    </row>
    <row r="3204" spans="1:21">
      <c r="A3204">
        <v>3203</v>
      </c>
      <c r="B3204" s="29" t="s">
        <v>3682</v>
      </c>
      <c r="C3204" s="29"/>
      <c r="D3204" s="29" t="s">
        <v>3683</v>
      </c>
      <c r="E3204" s="29"/>
      <c r="F3204" s="29" t="s">
        <v>3686</v>
      </c>
      <c r="G3204" s="29"/>
      <c r="H3204" s="29" t="s">
        <v>3687</v>
      </c>
      <c r="I3204" s="29"/>
      <c r="J3204" s="29"/>
      <c r="K3204" s="29"/>
      <c r="L3204" s="29"/>
      <c r="M3204" s="29"/>
      <c r="N3204" s="29" t="s">
        <v>10433</v>
      </c>
      <c r="O3204" s="29"/>
      <c r="P3204" s="29" t="s">
        <v>10434</v>
      </c>
      <c r="Q3204" t="s">
        <v>2038</v>
      </c>
      <c r="R3204" t="s">
        <v>2632</v>
      </c>
      <c r="S3204">
        <v>37</v>
      </c>
      <c r="T3204" s="43" t="str">
        <f t="shared" ref="T3204:T3213" si="144">HYPERLINK("https://ictv.global/ictv/proposals/2021.033B.R.Gladiatorvirus.zip","2021.033B.R.Gladiatorvirus.zip")</f>
        <v>2021.033B.R.Gladiatorvirus.zip</v>
      </c>
      <c r="U3204" s="43" t="str">
        <f>HYPERLINK("https://ictv.global/taxonomy/taxondetails?taxnode_id=202213602","ictv.global=202213602")</f>
        <v>ictv.global=202213602</v>
      </c>
    </row>
    <row r="3205" spans="1:21">
      <c r="A3205">
        <v>3204</v>
      </c>
      <c r="B3205" s="29" t="s">
        <v>3682</v>
      </c>
      <c r="C3205" s="29"/>
      <c r="D3205" s="29" t="s">
        <v>3683</v>
      </c>
      <c r="E3205" s="29"/>
      <c r="F3205" s="29" t="s">
        <v>3686</v>
      </c>
      <c r="G3205" s="29"/>
      <c r="H3205" s="29" t="s">
        <v>3687</v>
      </c>
      <c r="I3205" s="29"/>
      <c r="J3205" s="29"/>
      <c r="K3205" s="29"/>
      <c r="L3205" s="29"/>
      <c r="M3205" s="29"/>
      <c r="N3205" s="29" t="s">
        <v>10433</v>
      </c>
      <c r="O3205" s="29"/>
      <c r="P3205" s="29" t="s">
        <v>10435</v>
      </c>
      <c r="Q3205" t="s">
        <v>2038</v>
      </c>
      <c r="R3205" t="s">
        <v>2632</v>
      </c>
      <c r="S3205">
        <v>37</v>
      </c>
      <c r="T3205" s="43" t="str">
        <f t="shared" si="144"/>
        <v>2021.033B.R.Gladiatorvirus.zip</v>
      </c>
      <c r="U3205" s="43" t="str">
        <f>HYPERLINK("https://ictv.global/taxonomy/taxondetails?taxnode_id=202212254","ictv.global=202212254")</f>
        <v>ictv.global=202212254</v>
      </c>
    </row>
    <row r="3206" spans="1:21">
      <c r="A3206">
        <v>3205</v>
      </c>
      <c r="B3206" s="29" t="s">
        <v>3682</v>
      </c>
      <c r="C3206" s="29"/>
      <c r="D3206" s="29" t="s">
        <v>3683</v>
      </c>
      <c r="E3206" s="29"/>
      <c r="F3206" s="29" t="s">
        <v>3686</v>
      </c>
      <c r="G3206" s="29"/>
      <c r="H3206" s="29" t="s">
        <v>3687</v>
      </c>
      <c r="I3206" s="29"/>
      <c r="J3206" s="29"/>
      <c r="K3206" s="29"/>
      <c r="L3206" s="29"/>
      <c r="M3206" s="29"/>
      <c r="N3206" s="29" t="s">
        <v>10433</v>
      </c>
      <c r="O3206" s="29"/>
      <c r="P3206" s="29" t="s">
        <v>10436</v>
      </c>
      <c r="Q3206" t="s">
        <v>2038</v>
      </c>
      <c r="R3206" t="s">
        <v>2633</v>
      </c>
      <c r="S3206">
        <v>37</v>
      </c>
      <c r="T3206" s="43" t="str">
        <f t="shared" si="144"/>
        <v>2021.033B.R.Gladiatorvirus.zip</v>
      </c>
      <c r="U3206" s="43" t="str">
        <f>HYPERLINK("https://ictv.global/taxonomy/taxondetails?taxnode_id=202201024","ictv.global=202201024")</f>
        <v>ictv.global=202201024</v>
      </c>
    </row>
    <row r="3207" spans="1:21">
      <c r="A3207">
        <v>3206</v>
      </c>
      <c r="B3207" s="29" t="s">
        <v>3682</v>
      </c>
      <c r="C3207" s="29"/>
      <c r="D3207" s="29" t="s">
        <v>3683</v>
      </c>
      <c r="E3207" s="29"/>
      <c r="F3207" s="29" t="s">
        <v>3686</v>
      </c>
      <c r="G3207" s="29"/>
      <c r="H3207" s="29" t="s">
        <v>3687</v>
      </c>
      <c r="I3207" s="29"/>
      <c r="J3207" s="29"/>
      <c r="K3207" s="29"/>
      <c r="L3207" s="29"/>
      <c r="M3207" s="29"/>
      <c r="N3207" s="29" t="s">
        <v>10433</v>
      </c>
      <c r="O3207" s="29"/>
      <c r="P3207" s="29" t="s">
        <v>10437</v>
      </c>
      <c r="Q3207" t="s">
        <v>2038</v>
      </c>
      <c r="R3207" t="s">
        <v>2633</v>
      </c>
      <c r="S3207">
        <v>37</v>
      </c>
      <c r="T3207" s="43" t="str">
        <f t="shared" si="144"/>
        <v>2021.033B.R.Gladiatorvirus.zip</v>
      </c>
      <c r="U3207" s="43" t="str">
        <f>HYPERLINK("https://ictv.global/taxonomy/taxondetails?taxnode_id=202201027","ictv.global=202201027")</f>
        <v>ictv.global=202201027</v>
      </c>
    </row>
    <row r="3208" spans="1:21">
      <c r="A3208">
        <v>3207</v>
      </c>
      <c r="B3208" s="29" t="s">
        <v>3682</v>
      </c>
      <c r="C3208" s="29"/>
      <c r="D3208" s="29" t="s">
        <v>3683</v>
      </c>
      <c r="E3208" s="29"/>
      <c r="F3208" s="29" t="s">
        <v>3686</v>
      </c>
      <c r="G3208" s="29"/>
      <c r="H3208" s="29" t="s">
        <v>3687</v>
      </c>
      <c r="I3208" s="29"/>
      <c r="J3208" s="29"/>
      <c r="K3208" s="29"/>
      <c r="L3208" s="29"/>
      <c r="M3208" s="29"/>
      <c r="N3208" s="29" t="s">
        <v>10433</v>
      </c>
      <c r="O3208" s="29"/>
      <c r="P3208" s="29" t="s">
        <v>10438</v>
      </c>
      <c r="Q3208" t="s">
        <v>2038</v>
      </c>
      <c r="R3208" t="s">
        <v>2633</v>
      </c>
      <c r="S3208">
        <v>37</v>
      </c>
      <c r="T3208" s="43" t="str">
        <f t="shared" si="144"/>
        <v>2021.033B.R.Gladiatorvirus.zip</v>
      </c>
      <c r="U3208" s="43" t="str">
        <f>HYPERLINK("https://ictv.global/taxonomy/taxondetails?taxnode_id=202201029","ictv.global=202201029")</f>
        <v>ictv.global=202201029</v>
      </c>
    </row>
    <row r="3209" spans="1:21">
      <c r="A3209">
        <v>3208</v>
      </c>
      <c r="B3209" s="29" t="s">
        <v>3682</v>
      </c>
      <c r="C3209" s="29"/>
      <c r="D3209" s="29" t="s">
        <v>3683</v>
      </c>
      <c r="E3209" s="29"/>
      <c r="F3209" s="29" t="s">
        <v>3686</v>
      </c>
      <c r="G3209" s="29"/>
      <c r="H3209" s="29" t="s">
        <v>3687</v>
      </c>
      <c r="I3209" s="29"/>
      <c r="J3209" s="29"/>
      <c r="K3209" s="29"/>
      <c r="L3209" s="29"/>
      <c r="M3209" s="29"/>
      <c r="N3209" s="29" t="s">
        <v>10433</v>
      </c>
      <c r="O3209" s="29"/>
      <c r="P3209" s="29" t="s">
        <v>10439</v>
      </c>
      <c r="Q3209" t="s">
        <v>2038</v>
      </c>
      <c r="R3209" t="s">
        <v>2633</v>
      </c>
      <c r="S3209">
        <v>37</v>
      </c>
      <c r="T3209" s="43" t="str">
        <f t="shared" si="144"/>
        <v>2021.033B.R.Gladiatorvirus.zip</v>
      </c>
      <c r="U3209" s="43" t="str">
        <f>HYPERLINK("https://ictv.global/taxonomy/taxondetails?taxnode_id=202201033","ictv.global=202201033")</f>
        <v>ictv.global=202201033</v>
      </c>
    </row>
    <row r="3210" spans="1:21">
      <c r="A3210">
        <v>3209</v>
      </c>
      <c r="B3210" s="29" t="s">
        <v>3682</v>
      </c>
      <c r="C3210" s="29"/>
      <c r="D3210" s="29" t="s">
        <v>3683</v>
      </c>
      <c r="E3210" s="29"/>
      <c r="F3210" s="29" t="s">
        <v>3686</v>
      </c>
      <c r="G3210" s="29"/>
      <c r="H3210" s="29" t="s">
        <v>3687</v>
      </c>
      <c r="I3210" s="29"/>
      <c r="J3210" s="29"/>
      <c r="K3210" s="29"/>
      <c r="L3210" s="29"/>
      <c r="M3210" s="29"/>
      <c r="N3210" s="29" t="s">
        <v>10433</v>
      </c>
      <c r="O3210" s="29"/>
      <c r="P3210" s="29" t="s">
        <v>10440</v>
      </c>
      <c r="Q3210" t="s">
        <v>2038</v>
      </c>
      <c r="R3210" t="s">
        <v>2632</v>
      </c>
      <c r="S3210">
        <v>37</v>
      </c>
      <c r="T3210" s="43" t="str">
        <f t="shared" si="144"/>
        <v>2021.033B.R.Gladiatorvirus.zip</v>
      </c>
      <c r="U3210" s="43" t="str">
        <f>HYPERLINK("https://ictv.global/taxonomy/taxondetails?taxnode_id=202213604","ictv.global=202213604")</f>
        <v>ictv.global=202213604</v>
      </c>
    </row>
    <row r="3211" spans="1:21">
      <c r="A3211">
        <v>3210</v>
      </c>
      <c r="B3211" s="29" t="s">
        <v>3682</v>
      </c>
      <c r="C3211" s="29"/>
      <c r="D3211" s="29" t="s">
        <v>3683</v>
      </c>
      <c r="E3211" s="29"/>
      <c r="F3211" s="29" t="s">
        <v>3686</v>
      </c>
      <c r="G3211" s="29"/>
      <c r="H3211" s="29" t="s">
        <v>3687</v>
      </c>
      <c r="I3211" s="29"/>
      <c r="J3211" s="29"/>
      <c r="K3211" s="29"/>
      <c r="L3211" s="29"/>
      <c r="M3211" s="29"/>
      <c r="N3211" s="29" t="s">
        <v>10433</v>
      </c>
      <c r="O3211" s="29"/>
      <c r="P3211" s="29" t="s">
        <v>10441</v>
      </c>
      <c r="Q3211" t="s">
        <v>2038</v>
      </c>
      <c r="R3211" t="s">
        <v>2632</v>
      </c>
      <c r="S3211">
        <v>37</v>
      </c>
      <c r="T3211" s="43" t="str">
        <f t="shared" si="144"/>
        <v>2021.033B.R.Gladiatorvirus.zip</v>
      </c>
      <c r="U3211" s="43" t="str">
        <f>HYPERLINK("https://ictv.global/taxonomy/taxondetails?taxnode_id=202212253","ictv.global=202212253")</f>
        <v>ictv.global=202212253</v>
      </c>
    </row>
    <row r="3212" spans="1:21">
      <c r="A3212">
        <v>3211</v>
      </c>
      <c r="B3212" s="29" t="s">
        <v>3682</v>
      </c>
      <c r="C3212" s="29"/>
      <c r="D3212" s="29" t="s">
        <v>3683</v>
      </c>
      <c r="E3212" s="29"/>
      <c r="F3212" s="29" t="s">
        <v>3686</v>
      </c>
      <c r="G3212" s="29"/>
      <c r="H3212" s="29" t="s">
        <v>3687</v>
      </c>
      <c r="I3212" s="29"/>
      <c r="J3212" s="29"/>
      <c r="K3212" s="29"/>
      <c r="L3212" s="29"/>
      <c r="M3212" s="29"/>
      <c r="N3212" s="29" t="s">
        <v>10433</v>
      </c>
      <c r="O3212" s="29"/>
      <c r="P3212" s="29" t="s">
        <v>10442</v>
      </c>
      <c r="Q3212" t="s">
        <v>2038</v>
      </c>
      <c r="R3212" t="s">
        <v>2632</v>
      </c>
      <c r="S3212">
        <v>37</v>
      </c>
      <c r="T3212" s="43" t="str">
        <f t="shared" si="144"/>
        <v>2021.033B.R.Gladiatorvirus.zip</v>
      </c>
      <c r="U3212" s="43" t="str">
        <f>HYPERLINK("https://ictv.global/taxonomy/taxondetails?taxnode_id=202212252","ictv.global=202212252")</f>
        <v>ictv.global=202212252</v>
      </c>
    </row>
    <row r="3213" spans="1:21">
      <c r="A3213">
        <v>3212</v>
      </c>
      <c r="B3213" s="29" t="s">
        <v>3682</v>
      </c>
      <c r="C3213" s="29"/>
      <c r="D3213" s="29" t="s">
        <v>3683</v>
      </c>
      <c r="E3213" s="29"/>
      <c r="F3213" s="29" t="s">
        <v>3686</v>
      </c>
      <c r="G3213" s="29"/>
      <c r="H3213" s="29" t="s">
        <v>3687</v>
      </c>
      <c r="I3213" s="29"/>
      <c r="J3213" s="29"/>
      <c r="K3213" s="29"/>
      <c r="L3213" s="29"/>
      <c r="M3213" s="29"/>
      <c r="N3213" s="29" t="s">
        <v>10433</v>
      </c>
      <c r="O3213" s="29"/>
      <c r="P3213" s="29" t="s">
        <v>10443</v>
      </c>
      <c r="Q3213" t="s">
        <v>2038</v>
      </c>
      <c r="R3213" t="s">
        <v>2632</v>
      </c>
      <c r="S3213">
        <v>37</v>
      </c>
      <c r="T3213" s="43" t="str">
        <f t="shared" si="144"/>
        <v>2021.033B.R.Gladiatorvirus.zip</v>
      </c>
      <c r="U3213" s="43" t="str">
        <f>HYPERLINK("https://ictv.global/taxonomy/taxondetails?taxnode_id=202213603","ictv.global=202213603")</f>
        <v>ictv.global=202213603</v>
      </c>
    </row>
    <row r="3214" spans="1:21">
      <c r="A3214">
        <v>3213</v>
      </c>
      <c r="B3214" s="29" t="s">
        <v>3682</v>
      </c>
      <c r="C3214" s="29"/>
      <c r="D3214" s="29" t="s">
        <v>3683</v>
      </c>
      <c r="E3214" s="29"/>
      <c r="F3214" s="29" t="s">
        <v>3686</v>
      </c>
      <c r="G3214" s="29"/>
      <c r="H3214" s="29" t="s">
        <v>3687</v>
      </c>
      <c r="I3214" s="29"/>
      <c r="J3214" s="29"/>
      <c r="K3214" s="29"/>
      <c r="L3214" s="29"/>
      <c r="M3214" s="29"/>
      <c r="N3214" s="29" t="s">
        <v>4727</v>
      </c>
      <c r="O3214" s="29"/>
      <c r="P3214" s="29" t="s">
        <v>10444</v>
      </c>
      <c r="Q3214" t="s">
        <v>2038</v>
      </c>
      <c r="R3214" t="s">
        <v>2633</v>
      </c>
      <c r="S3214">
        <v>37</v>
      </c>
      <c r="T3214" s="43" t="str">
        <f>HYPERLINK("https://ictv.global/ictv/proposals/2021.010B.R.Binomial_names.zip","2021.010B.R.Binomial_names.zip")</f>
        <v>2021.010B.R.Binomial_names.zip</v>
      </c>
      <c r="U3214" s="43" t="str">
        <f>HYPERLINK("https://ictv.global/taxonomy/taxondetails?taxnode_id=202209350","ictv.global=202209350")</f>
        <v>ictv.global=202209350</v>
      </c>
    </row>
    <row r="3215" spans="1:21">
      <c r="A3215">
        <v>3214</v>
      </c>
      <c r="B3215" s="29" t="s">
        <v>3682</v>
      </c>
      <c r="C3215" s="29"/>
      <c r="D3215" s="29" t="s">
        <v>3683</v>
      </c>
      <c r="E3215" s="29"/>
      <c r="F3215" s="29" t="s">
        <v>3686</v>
      </c>
      <c r="G3215" s="29"/>
      <c r="H3215" s="29" t="s">
        <v>3687</v>
      </c>
      <c r="I3215" s="29"/>
      <c r="J3215" s="29"/>
      <c r="K3215" s="29"/>
      <c r="L3215" s="29"/>
      <c r="M3215" s="29"/>
      <c r="N3215" s="29" t="s">
        <v>4002</v>
      </c>
      <c r="O3215" s="29"/>
      <c r="P3215" s="29" t="s">
        <v>10445</v>
      </c>
      <c r="Q3215" t="s">
        <v>2038</v>
      </c>
      <c r="R3215" t="s">
        <v>2633</v>
      </c>
      <c r="S3215">
        <v>37</v>
      </c>
      <c r="T3215" s="43" t="str">
        <f>HYPERLINK("https://ictv.global/ictv/proposals/2021.010B.R.Binomial_names.zip","2021.010B.R.Binomial_names.zip")</f>
        <v>2021.010B.R.Binomial_names.zip</v>
      </c>
      <c r="U3215" s="43" t="str">
        <f>HYPERLINK("https://ictv.global/taxonomy/taxondetails?taxnode_id=202207287","ictv.global=202207287")</f>
        <v>ictv.global=202207287</v>
      </c>
    </row>
    <row r="3216" spans="1:21">
      <c r="A3216">
        <v>3215</v>
      </c>
      <c r="B3216" s="29" t="s">
        <v>3682</v>
      </c>
      <c r="C3216" s="29"/>
      <c r="D3216" s="29" t="s">
        <v>3683</v>
      </c>
      <c r="E3216" s="29"/>
      <c r="F3216" s="29" t="s">
        <v>3686</v>
      </c>
      <c r="G3216" s="29"/>
      <c r="H3216" s="29" t="s">
        <v>3687</v>
      </c>
      <c r="I3216" s="29"/>
      <c r="J3216" s="29"/>
      <c r="K3216" s="29"/>
      <c r="L3216" s="29"/>
      <c r="M3216" s="29"/>
      <c r="N3216" s="29" t="s">
        <v>4002</v>
      </c>
      <c r="O3216" s="29"/>
      <c r="P3216" s="29" t="s">
        <v>10446</v>
      </c>
      <c r="Q3216" t="s">
        <v>2038</v>
      </c>
      <c r="R3216" t="s">
        <v>2632</v>
      </c>
      <c r="S3216">
        <v>38</v>
      </c>
      <c r="T3216" s="43" t="str">
        <f>HYPERLINK("https://ictv.global/ictv/proposals/2022.092B.Caudoviricetes_3ng_gordonia.zip","2022.092B.Caudoviricetes_3ng_gordonia.zip")</f>
        <v>2022.092B.Caudoviricetes_3ng_gordonia.zip</v>
      </c>
      <c r="U3216" s="43" t="str">
        <f>HYPERLINK("https://ictv.global/taxonomy/taxondetails?taxnode_id=202214969","ictv.global=202214969")</f>
        <v>ictv.global=202214969</v>
      </c>
    </row>
    <row r="3217" spans="1:21">
      <c r="A3217">
        <v>3216</v>
      </c>
      <c r="B3217" s="29" t="s">
        <v>3682</v>
      </c>
      <c r="C3217" s="29"/>
      <c r="D3217" s="29" t="s">
        <v>3683</v>
      </c>
      <c r="E3217" s="29"/>
      <c r="F3217" s="29" t="s">
        <v>3686</v>
      </c>
      <c r="G3217" s="29"/>
      <c r="H3217" s="29" t="s">
        <v>3687</v>
      </c>
      <c r="I3217" s="29"/>
      <c r="J3217" s="29"/>
      <c r="K3217" s="29"/>
      <c r="L3217" s="29"/>
      <c r="M3217" s="29"/>
      <c r="N3217" s="29" t="s">
        <v>3408</v>
      </c>
      <c r="O3217" s="29"/>
      <c r="P3217" s="29" t="s">
        <v>10447</v>
      </c>
      <c r="Q3217" t="s">
        <v>2038</v>
      </c>
      <c r="R3217" t="s">
        <v>2632</v>
      </c>
      <c r="S3217">
        <v>37</v>
      </c>
      <c r="T3217" s="43" t="str">
        <f>HYPERLINK("https://ictv.global/ictv/proposals/2021.034B.R.Gofduovirus_new_species.zip","2021.034B.R.Gofduovirus_new_species.zip")</f>
        <v>2021.034B.R.Gofduovirus_new_species.zip</v>
      </c>
      <c r="U3217" s="43" t="str">
        <f>HYPERLINK("https://ictv.global/taxonomy/taxondetails?taxnode_id=202212255","ictv.global=202212255")</f>
        <v>ictv.global=202212255</v>
      </c>
    </row>
    <row r="3218" spans="1:21">
      <c r="A3218">
        <v>3217</v>
      </c>
      <c r="B3218" s="29" t="s">
        <v>3682</v>
      </c>
      <c r="C3218" s="29"/>
      <c r="D3218" s="29" t="s">
        <v>3683</v>
      </c>
      <c r="E3218" s="29"/>
      <c r="F3218" s="29" t="s">
        <v>3686</v>
      </c>
      <c r="G3218" s="29"/>
      <c r="H3218" s="29" t="s">
        <v>3687</v>
      </c>
      <c r="I3218" s="29"/>
      <c r="J3218" s="29"/>
      <c r="K3218" s="29"/>
      <c r="L3218" s="29"/>
      <c r="M3218" s="29"/>
      <c r="N3218" s="29" t="s">
        <v>3408</v>
      </c>
      <c r="O3218" s="29"/>
      <c r="P3218" s="29" t="s">
        <v>10448</v>
      </c>
      <c r="Q3218" t="s">
        <v>2038</v>
      </c>
      <c r="R3218" t="s">
        <v>2633</v>
      </c>
      <c r="S3218">
        <v>37</v>
      </c>
      <c r="T3218" s="43" t="str">
        <f t="shared" ref="T3218:T3225" si="145">HYPERLINK("https://ictv.global/ictv/proposals/2021.010B.R.Binomial_names.zip","2021.010B.R.Binomial_names.zip")</f>
        <v>2021.010B.R.Binomial_names.zip</v>
      </c>
      <c r="U3218" s="43" t="str">
        <f>HYPERLINK("https://ictv.global/taxonomy/taxondetails?taxnode_id=202206769","ictv.global=202206769")</f>
        <v>ictv.global=202206769</v>
      </c>
    </row>
    <row r="3219" spans="1:21">
      <c r="A3219">
        <v>3218</v>
      </c>
      <c r="B3219" s="29" t="s">
        <v>3682</v>
      </c>
      <c r="C3219" s="29"/>
      <c r="D3219" s="29" t="s">
        <v>3683</v>
      </c>
      <c r="E3219" s="29"/>
      <c r="F3219" s="29" t="s">
        <v>3686</v>
      </c>
      <c r="G3219" s="29"/>
      <c r="H3219" s="29" t="s">
        <v>3687</v>
      </c>
      <c r="I3219" s="29"/>
      <c r="J3219" s="29"/>
      <c r="K3219" s="29"/>
      <c r="L3219" s="29"/>
      <c r="M3219" s="29"/>
      <c r="N3219" s="29" t="s">
        <v>4003</v>
      </c>
      <c r="O3219" s="29"/>
      <c r="P3219" s="29" t="s">
        <v>10449</v>
      </c>
      <c r="Q3219" t="s">
        <v>2038</v>
      </c>
      <c r="R3219" t="s">
        <v>2633</v>
      </c>
      <c r="S3219">
        <v>37</v>
      </c>
      <c r="T3219" s="43" t="str">
        <f t="shared" si="145"/>
        <v>2021.010B.R.Binomial_names.zip</v>
      </c>
      <c r="U3219" s="43" t="str">
        <f>HYPERLINK("https://ictv.global/taxonomy/taxondetails?taxnode_id=202207361","ictv.global=202207361")</f>
        <v>ictv.global=202207361</v>
      </c>
    </row>
    <row r="3220" spans="1:21">
      <c r="A3220">
        <v>3219</v>
      </c>
      <c r="B3220" s="29" t="s">
        <v>3682</v>
      </c>
      <c r="C3220" s="29"/>
      <c r="D3220" s="29" t="s">
        <v>3683</v>
      </c>
      <c r="E3220" s="29"/>
      <c r="F3220" s="29" t="s">
        <v>3686</v>
      </c>
      <c r="G3220" s="29"/>
      <c r="H3220" s="29" t="s">
        <v>3687</v>
      </c>
      <c r="I3220" s="29"/>
      <c r="J3220" s="29"/>
      <c r="K3220" s="29"/>
      <c r="L3220" s="29"/>
      <c r="M3220" s="29"/>
      <c r="N3220" s="29" t="s">
        <v>2433</v>
      </c>
      <c r="O3220" s="29"/>
      <c r="P3220" s="29" t="s">
        <v>10450</v>
      </c>
      <c r="Q3220" t="s">
        <v>2038</v>
      </c>
      <c r="R3220" t="s">
        <v>2633</v>
      </c>
      <c r="S3220">
        <v>37</v>
      </c>
      <c r="T3220" s="43" t="str">
        <f t="shared" si="145"/>
        <v>2021.010B.R.Binomial_names.zip</v>
      </c>
      <c r="U3220" s="43" t="str">
        <f>HYPERLINK("https://ictv.global/taxonomy/taxondetails?taxnode_id=202200976","ictv.global=202200976")</f>
        <v>ictv.global=202200976</v>
      </c>
    </row>
    <row r="3221" spans="1:21">
      <c r="A3221">
        <v>3220</v>
      </c>
      <c r="B3221" s="29" t="s">
        <v>3682</v>
      </c>
      <c r="C3221" s="29"/>
      <c r="D3221" s="29" t="s">
        <v>3683</v>
      </c>
      <c r="E3221" s="29"/>
      <c r="F3221" s="29" t="s">
        <v>3686</v>
      </c>
      <c r="G3221" s="29"/>
      <c r="H3221" s="29" t="s">
        <v>3687</v>
      </c>
      <c r="I3221" s="29"/>
      <c r="J3221" s="29"/>
      <c r="K3221" s="29"/>
      <c r="L3221" s="29"/>
      <c r="M3221" s="29"/>
      <c r="N3221" s="29" t="s">
        <v>2433</v>
      </c>
      <c r="O3221" s="29"/>
      <c r="P3221" s="29" t="s">
        <v>10451</v>
      </c>
      <c r="Q3221" t="s">
        <v>2038</v>
      </c>
      <c r="R3221" t="s">
        <v>2633</v>
      </c>
      <c r="S3221">
        <v>37</v>
      </c>
      <c r="T3221" s="43" t="str">
        <f t="shared" si="145"/>
        <v>2021.010B.R.Binomial_names.zip</v>
      </c>
      <c r="U3221" s="43" t="str">
        <f>HYPERLINK("https://ictv.global/taxonomy/taxondetails?taxnode_id=202200977","ictv.global=202200977")</f>
        <v>ictv.global=202200977</v>
      </c>
    </row>
    <row r="3222" spans="1:21">
      <c r="A3222">
        <v>3221</v>
      </c>
      <c r="B3222" s="29" t="s">
        <v>3682</v>
      </c>
      <c r="C3222" s="29"/>
      <c r="D3222" s="29" t="s">
        <v>3683</v>
      </c>
      <c r="E3222" s="29"/>
      <c r="F3222" s="29" t="s">
        <v>3686</v>
      </c>
      <c r="G3222" s="29"/>
      <c r="H3222" s="29" t="s">
        <v>3687</v>
      </c>
      <c r="I3222" s="29"/>
      <c r="J3222" s="29"/>
      <c r="K3222" s="29"/>
      <c r="L3222" s="29"/>
      <c r="M3222" s="29"/>
      <c r="N3222" s="29" t="s">
        <v>2434</v>
      </c>
      <c r="O3222" s="29"/>
      <c r="P3222" s="29" t="s">
        <v>10452</v>
      </c>
      <c r="Q3222" t="s">
        <v>2038</v>
      </c>
      <c r="R3222" t="s">
        <v>2633</v>
      </c>
      <c r="S3222">
        <v>37</v>
      </c>
      <c r="T3222" s="43" t="str">
        <f t="shared" si="145"/>
        <v>2021.010B.R.Binomial_names.zip</v>
      </c>
      <c r="U3222" s="43" t="str">
        <f>HYPERLINK("https://ictv.global/taxonomy/taxondetails?taxnode_id=202200979","ictv.global=202200979")</f>
        <v>ictv.global=202200979</v>
      </c>
    </row>
    <row r="3223" spans="1:21">
      <c r="A3223">
        <v>3222</v>
      </c>
      <c r="B3223" s="29" t="s">
        <v>3682</v>
      </c>
      <c r="C3223" s="29"/>
      <c r="D3223" s="29" t="s">
        <v>3683</v>
      </c>
      <c r="E3223" s="29"/>
      <c r="F3223" s="29" t="s">
        <v>3686</v>
      </c>
      <c r="G3223" s="29"/>
      <c r="H3223" s="29" t="s">
        <v>3687</v>
      </c>
      <c r="I3223" s="29"/>
      <c r="J3223" s="29"/>
      <c r="K3223" s="29"/>
      <c r="L3223" s="29"/>
      <c r="M3223" s="29"/>
      <c r="N3223" s="29" t="s">
        <v>3545</v>
      </c>
      <c r="O3223" s="29"/>
      <c r="P3223" s="29" t="s">
        <v>10453</v>
      </c>
      <c r="Q3223" t="s">
        <v>2038</v>
      </c>
      <c r="R3223" t="s">
        <v>2633</v>
      </c>
      <c r="S3223">
        <v>37</v>
      </c>
      <c r="T3223" s="43" t="str">
        <f t="shared" si="145"/>
        <v>2021.010B.R.Binomial_names.zip</v>
      </c>
      <c r="U3223" s="43" t="str">
        <f>HYPERLINK("https://ictv.global/taxonomy/taxondetails?taxnode_id=202206985","ictv.global=202206985")</f>
        <v>ictv.global=202206985</v>
      </c>
    </row>
    <row r="3224" spans="1:21">
      <c r="A3224">
        <v>3223</v>
      </c>
      <c r="B3224" s="29" t="s">
        <v>3682</v>
      </c>
      <c r="C3224" s="29"/>
      <c r="D3224" s="29" t="s">
        <v>3683</v>
      </c>
      <c r="E3224" s="29"/>
      <c r="F3224" s="29" t="s">
        <v>3686</v>
      </c>
      <c r="G3224" s="29"/>
      <c r="H3224" s="29" t="s">
        <v>3687</v>
      </c>
      <c r="I3224" s="29"/>
      <c r="J3224" s="29"/>
      <c r="K3224" s="29"/>
      <c r="L3224" s="29"/>
      <c r="M3224" s="29"/>
      <c r="N3224" s="29" t="s">
        <v>3546</v>
      </c>
      <c r="O3224" s="29"/>
      <c r="P3224" s="29" t="s">
        <v>10454</v>
      </c>
      <c r="Q3224" t="s">
        <v>2038</v>
      </c>
      <c r="R3224" t="s">
        <v>2633</v>
      </c>
      <c r="S3224">
        <v>37</v>
      </c>
      <c r="T3224" s="43" t="str">
        <f t="shared" si="145"/>
        <v>2021.010B.R.Binomial_names.zip</v>
      </c>
      <c r="U3224" s="43" t="str">
        <f>HYPERLINK("https://ictv.global/taxonomy/taxondetails?taxnode_id=202206485","ictv.global=202206485")</f>
        <v>ictv.global=202206485</v>
      </c>
    </row>
    <row r="3225" spans="1:21">
      <c r="A3225">
        <v>3224</v>
      </c>
      <c r="B3225" s="29" t="s">
        <v>3682</v>
      </c>
      <c r="C3225" s="29"/>
      <c r="D3225" s="29" t="s">
        <v>3683</v>
      </c>
      <c r="E3225" s="29"/>
      <c r="F3225" s="29" t="s">
        <v>3686</v>
      </c>
      <c r="G3225" s="29"/>
      <c r="H3225" s="29" t="s">
        <v>3687</v>
      </c>
      <c r="I3225" s="29"/>
      <c r="J3225" s="29"/>
      <c r="K3225" s="29"/>
      <c r="L3225" s="29"/>
      <c r="M3225" s="29"/>
      <c r="N3225" s="29" t="s">
        <v>3914</v>
      </c>
      <c r="O3225" s="29"/>
      <c r="P3225" s="29" t="s">
        <v>10455</v>
      </c>
      <c r="Q3225" t="s">
        <v>2038</v>
      </c>
      <c r="R3225" t="s">
        <v>2633</v>
      </c>
      <c r="S3225">
        <v>37</v>
      </c>
      <c r="T3225" s="43" t="str">
        <f t="shared" si="145"/>
        <v>2021.010B.R.Binomial_names.zip</v>
      </c>
      <c r="U3225" s="43" t="str">
        <f>HYPERLINK("https://ictv.global/taxonomy/taxondetails?taxnode_id=202207371","ictv.global=202207371")</f>
        <v>ictv.global=202207371</v>
      </c>
    </row>
    <row r="3226" spans="1:21">
      <c r="A3226">
        <v>3225</v>
      </c>
      <c r="B3226" s="29" t="s">
        <v>3682</v>
      </c>
      <c r="C3226" s="29"/>
      <c r="D3226" s="29" t="s">
        <v>3683</v>
      </c>
      <c r="E3226" s="29"/>
      <c r="F3226" s="29" t="s">
        <v>3686</v>
      </c>
      <c r="G3226" s="29"/>
      <c r="H3226" s="29" t="s">
        <v>3687</v>
      </c>
      <c r="I3226" s="29"/>
      <c r="J3226" s="29"/>
      <c r="K3226" s="29"/>
      <c r="L3226" s="29"/>
      <c r="M3226" s="29"/>
      <c r="N3226" s="29" t="s">
        <v>10456</v>
      </c>
      <c r="O3226" s="29"/>
      <c r="P3226" s="29" t="s">
        <v>10457</v>
      </c>
      <c r="Q3226" t="s">
        <v>2038</v>
      </c>
      <c r="R3226" t="s">
        <v>2632</v>
      </c>
      <c r="S3226">
        <v>38</v>
      </c>
      <c r="T3226" s="43" t="str">
        <f>HYPERLINK("https://ictv.global/ictv/proposals/2022.032B.Caudoviricetes_5ng.zip","2022.032B.Caudoviricetes_5ng.zip")</f>
        <v>2022.032B.Caudoviricetes_5ng.zip</v>
      </c>
      <c r="U3226" s="43" t="str">
        <f>HYPERLINK("https://ictv.global/taxonomy/taxondetails?taxnode_id=202214589","ictv.global=202214589")</f>
        <v>ictv.global=202214589</v>
      </c>
    </row>
    <row r="3227" spans="1:21">
      <c r="A3227">
        <v>3226</v>
      </c>
      <c r="B3227" s="29" t="s">
        <v>3682</v>
      </c>
      <c r="C3227" s="29"/>
      <c r="D3227" s="29" t="s">
        <v>3683</v>
      </c>
      <c r="E3227" s="29"/>
      <c r="F3227" s="29" t="s">
        <v>3686</v>
      </c>
      <c r="G3227" s="29"/>
      <c r="H3227" s="29" t="s">
        <v>3687</v>
      </c>
      <c r="I3227" s="29"/>
      <c r="J3227" s="29"/>
      <c r="K3227" s="29"/>
      <c r="L3227" s="29"/>
      <c r="M3227" s="29"/>
      <c r="N3227" s="29" t="s">
        <v>10456</v>
      </c>
      <c r="O3227" s="29"/>
      <c r="P3227" s="29" t="s">
        <v>10458</v>
      </c>
      <c r="Q3227" t="s">
        <v>2038</v>
      </c>
      <c r="R3227" t="s">
        <v>2632</v>
      </c>
      <c r="S3227">
        <v>38</v>
      </c>
      <c r="T3227" s="43" t="str">
        <f>HYPERLINK("https://ictv.global/ictv/proposals/2022.032B.Caudoviricetes_5ng.zip","2022.032B.Caudoviricetes_5ng.zip")</f>
        <v>2022.032B.Caudoviricetes_5ng.zip</v>
      </c>
      <c r="U3227" s="43" t="str">
        <f>HYPERLINK("https://ictv.global/taxonomy/taxondetails?taxnode_id=202214588","ictv.global=202214588")</f>
        <v>ictv.global=202214588</v>
      </c>
    </row>
    <row r="3228" spans="1:21">
      <c r="A3228">
        <v>3227</v>
      </c>
      <c r="B3228" s="29" t="s">
        <v>3682</v>
      </c>
      <c r="C3228" s="29"/>
      <c r="D3228" s="29" t="s">
        <v>3683</v>
      </c>
      <c r="E3228" s="29"/>
      <c r="F3228" s="29" t="s">
        <v>3686</v>
      </c>
      <c r="G3228" s="29"/>
      <c r="H3228" s="29" t="s">
        <v>3687</v>
      </c>
      <c r="I3228" s="29"/>
      <c r="J3228" s="29"/>
      <c r="K3228" s="29"/>
      <c r="L3228" s="29"/>
      <c r="M3228" s="29"/>
      <c r="N3228" s="29" t="s">
        <v>3547</v>
      </c>
      <c r="O3228" s="29"/>
      <c r="P3228" s="29" t="s">
        <v>10459</v>
      </c>
      <c r="Q3228" t="s">
        <v>2038</v>
      </c>
      <c r="R3228" t="s">
        <v>2633</v>
      </c>
      <c r="S3228">
        <v>37</v>
      </c>
      <c r="T3228" s="43" t="str">
        <f t="shared" ref="T3228:T3236" si="146">HYPERLINK("https://ictv.global/ictv/proposals/2021.010B.R.Binomial_names.zip","2021.010B.R.Binomial_names.zip")</f>
        <v>2021.010B.R.Binomial_names.zip</v>
      </c>
      <c r="U3228" s="43" t="str">
        <f>HYPERLINK("https://ictv.global/taxonomy/taxondetails?taxnode_id=202206638","ictv.global=202206638")</f>
        <v>ictv.global=202206638</v>
      </c>
    </row>
    <row r="3229" spans="1:21">
      <c r="A3229">
        <v>3228</v>
      </c>
      <c r="B3229" s="29" t="s">
        <v>3682</v>
      </c>
      <c r="C3229" s="29"/>
      <c r="D3229" s="29" t="s">
        <v>3683</v>
      </c>
      <c r="E3229" s="29"/>
      <c r="F3229" s="29" t="s">
        <v>3686</v>
      </c>
      <c r="G3229" s="29"/>
      <c r="H3229" s="29" t="s">
        <v>3687</v>
      </c>
      <c r="I3229" s="29"/>
      <c r="J3229" s="29"/>
      <c r="K3229" s="29"/>
      <c r="L3229" s="29"/>
      <c r="M3229" s="29"/>
      <c r="N3229" s="29" t="s">
        <v>3547</v>
      </c>
      <c r="O3229" s="29"/>
      <c r="P3229" s="29" t="s">
        <v>10460</v>
      </c>
      <c r="Q3229" t="s">
        <v>2038</v>
      </c>
      <c r="R3229" t="s">
        <v>2633</v>
      </c>
      <c r="S3229">
        <v>37</v>
      </c>
      <c r="T3229" s="43" t="str">
        <f t="shared" si="146"/>
        <v>2021.010B.R.Binomial_names.zip</v>
      </c>
      <c r="U3229" s="43" t="str">
        <f>HYPERLINK("https://ictv.global/taxonomy/taxondetails?taxnode_id=202206639","ictv.global=202206639")</f>
        <v>ictv.global=202206639</v>
      </c>
    </row>
    <row r="3230" spans="1:21">
      <c r="A3230">
        <v>3229</v>
      </c>
      <c r="B3230" s="29" t="s">
        <v>3682</v>
      </c>
      <c r="C3230" s="29"/>
      <c r="D3230" s="29" t="s">
        <v>3683</v>
      </c>
      <c r="E3230" s="29"/>
      <c r="F3230" s="29" t="s">
        <v>3686</v>
      </c>
      <c r="G3230" s="29"/>
      <c r="H3230" s="29" t="s">
        <v>3687</v>
      </c>
      <c r="I3230" s="29"/>
      <c r="J3230" s="29"/>
      <c r="K3230" s="29"/>
      <c r="L3230" s="29"/>
      <c r="M3230" s="29"/>
      <c r="N3230" s="29" t="s">
        <v>4728</v>
      </c>
      <c r="O3230" s="29"/>
      <c r="P3230" s="29" t="s">
        <v>10461</v>
      </c>
      <c r="Q3230" t="s">
        <v>2038</v>
      </c>
      <c r="R3230" t="s">
        <v>2633</v>
      </c>
      <c r="S3230">
        <v>37</v>
      </c>
      <c r="T3230" s="43" t="str">
        <f t="shared" si="146"/>
        <v>2021.010B.R.Binomial_names.zip</v>
      </c>
      <c r="U3230" s="43" t="str">
        <f>HYPERLINK("https://ictv.global/taxonomy/taxondetails?taxnode_id=202210078","ictv.global=202210078")</f>
        <v>ictv.global=202210078</v>
      </c>
    </row>
    <row r="3231" spans="1:21">
      <c r="A3231">
        <v>3230</v>
      </c>
      <c r="B3231" s="29" t="s">
        <v>3682</v>
      </c>
      <c r="C3231" s="29"/>
      <c r="D3231" s="29" t="s">
        <v>3683</v>
      </c>
      <c r="E3231" s="29"/>
      <c r="F3231" s="29" t="s">
        <v>3686</v>
      </c>
      <c r="G3231" s="29"/>
      <c r="H3231" s="29" t="s">
        <v>3687</v>
      </c>
      <c r="I3231" s="29"/>
      <c r="J3231" s="29"/>
      <c r="K3231" s="29"/>
      <c r="L3231" s="29"/>
      <c r="M3231" s="29"/>
      <c r="N3231" s="29" t="s">
        <v>4728</v>
      </c>
      <c r="O3231" s="29"/>
      <c r="P3231" s="29" t="s">
        <v>10462</v>
      </c>
      <c r="Q3231" t="s">
        <v>2038</v>
      </c>
      <c r="R3231" t="s">
        <v>2633</v>
      </c>
      <c r="S3231">
        <v>37</v>
      </c>
      <c r="T3231" s="43" t="str">
        <f t="shared" si="146"/>
        <v>2021.010B.R.Binomial_names.zip</v>
      </c>
      <c r="U3231" s="43" t="str">
        <f>HYPERLINK("https://ictv.global/taxonomy/taxondetails?taxnode_id=202210075","ictv.global=202210075")</f>
        <v>ictv.global=202210075</v>
      </c>
    </row>
    <row r="3232" spans="1:21">
      <c r="A3232">
        <v>3231</v>
      </c>
      <c r="B3232" s="29" t="s">
        <v>3682</v>
      </c>
      <c r="C3232" s="29"/>
      <c r="D3232" s="29" t="s">
        <v>3683</v>
      </c>
      <c r="E3232" s="29"/>
      <c r="F3232" s="29" t="s">
        <v>3686</v>
      </c>
      <c r="G3232" s="29"/>
      <c r="H3232" s="29" t="s">
        <v>3687</v>
      </c>
      <c r="I3232" s="29"/>
      <c r="J3232" s="29"/>
      <c r="K3232" s="29"/>
      <c r="L3232" s="29"/>
      <c r="M3232" s="29"/>
      <c r="N3232" s="29" t="s">
        <v>4728</v>
      </c>
      <c r="O3232" s="29"/>
      <c r="P3232" s="29" t="s">
        <v>10463</v>
      </c>
      <c r="Q3232" t="s">
        <v>2038</v>
      </c>
      <c r="R3232" t="s">
        <v>2633</v>
      </c>
      <c r="S3232">
        <v>37</v>
      </c>
      <c r="T3232" s="43" t="str">
        <f t="shared" si="146"/>
        <v>2021.010B.R.Binomial_names.zip</v>
      </c>
      <c r="U3232" s="43" t="str">
        <f>HYPERLINK("https://ictv.global/taxonomy/taxondetails?taxnode_id=202210077","ictv.global=202210077")</f>
        <v>ictv.global=202210077</v>
      </c>
    </row>
    <row r="3233" spans="1:21">
      <c r="A3233">
        <v>3232</v>
      </c>
      <c r="B3233" s="29" t="s">
        <v>3682</v>
      </c>
      <c r="C3233" s="29"/>
      <c r="D3233" s="29" t="s">
        <v>3683</v>
      </c>
      <c r="E3233" s="29"/>
      <c r="F3233" s="29" t="s">
        <v>3686</v>
      </c>
      <c r="G3233" s="29"/>
      <c r="H3233" s="29" t="s">
        <v>3687</v>
      </c>
      <c r="I3233" s="29"/>
      <c r="J3233" s="29"/>
      <c r="K3233" s="29"/>
      <c r="L3233" s="29"/>
      <c r="M3233" s="29"/>
      <c r="N3233" s="29" t="s">
        <v>4728</v>
      </c>
      <c r="O3233" s="29"/>
      <c r="P3233" s="29" t="s">
        <v>10464</v>
      </c>
      <c r="Q3233" t="s">
        <v>2038</v>
      </c>
      <c r="R3233" t="s">
        <v>2633</v>
      </c>
      <c r="S3233">
        <v>37</v>
      </c>
      <c r="T3233" s="43" t="str">
        <f t="shared" si="146"/>
        <v>2021.010B.R.Binomial_names.zip</v>
      </c>
      <c r="U3233" s="43" t="str">
        <f>HYPERLINK("https://ictv.global/taxonomy/taxondetails?taxnode_id=202206895","ictv.global=202206895")</f>
        <v>ictv.global=202206895</v>
      </c>
    </row>
    <row r="3234" spans="1:21">
      <c r="A3234">
        <v>3233</v>
      </c>
      <c r="B3234" s="29" t="s">
        <v>3682</v>
      </c>
      <c r="C3234" s="29"/>
      <c r="D3234" s="29" t="s">
        <v>3683</v>
      </c>
      <c r="E3234" s="29"/>
      <c r="F3234" s="29" t="s">
        <v>3686</v>
      </c>
      <c r="G3234" s="29"/>
      <c r="H3234" s="29" t="s">
        <v>3687</v>
      </c>
      <c r="I3234" s="29"/>
      <c r="J3234" s="29"/>
      <c r="K3234" s="29"/>
      <c r="L3234" s="29"/>
      <c r="M3234" s="29"/>
      <c r="N3234" s="29" t="s">
        <v>4728</v>
      </c>
      <c r="O3234" s="29"/>
      <c r="P3234" s="29" t="s">
        <v>10465</v>
      </c>
      <c r="Q3234" t="s">
        <v>2038</v>
      </c>
      <c r="R3234" t="s">
        <v>2633</v>
      </c>
      <c r="S3234">
        <v>37</v>
      </c>
      <c r="T3234" s="43" t="str">
        <f t="shared" si="146"/>
        <v>2021.010B.R.Binomial_names.zip</v>
      </c>
      <c r="U3234" s="43" t="str">
        <f>HYPERLINK("https://ictv.global/taxonomy/taxondetails?taxnode_id=202210076","ictv.global=202210076")</f>
        <v>ictv.global=202210076</v>
      </c>
    </row>
    <row r="3235" spans="1:21">
      <c r="A3235">
        <v>3234</v>
      </c>
      <c r="B3235" s="29" t="s">
        <v>3682</v>
      </c>
      <c r="C3235" s="29"/>
      <c r="D3235" s="29" t="s">
        <v>3683</v>
      </c>
      <c r="E3235" s="29"/>
      <c r="F3235" s="29" t="s">
        <v>3686</v>
      </c>
      <c r="G3235" s="29"/>
      <c r="H3235" s="29" t="s">
        <v>3687</v>
      </c>
      <c r="I3235" s="29"/>
      <c r="J3235" s="29"/>
      <c r="K3235" s="29"/>
      <c r="L3235" s="29"/>
      <c r="M3235" s="29"/>
      <c r="N3235" s="29" t="s">
        <v>2059</v>
      </c>
      <c r="O3235" s="29"/>
      <c r="P3235" s="29" t="s">
        <v>10466</v>
      </c>
      <c r="Q3235" t="s">
        <v>2038</v>
      </c>
      <c r="R3235" t="s">
        <v>2633</v>
      </c>
      <c r="S3235">
        <v>37</v>
      </c>
      <c r="T3235" s="43" t="str">
        <f t="shared" si="146"/>
        <v>2021.010B.R.Binomial_names.zip</v>
      </c>
      <c r="U3235" s="43" t="str">
        <f>HYPERLINK("https://ictv.global/taxonomy/taxondetails?taxnode_id=202200434","ictv.global=202200434")</f>
        <v>ictv.global=202200434</v>
      </c>
    </row>
    <row r="3236" spans="1:21">
      <c r="A3236">
        <v>3235</v>
      </c>
      <c r="B3236" s="29" t="s">
        <v>3682</v>
      </c>
      <c r="C3236" s="29"/>
      <c r="D3236" s="29" t="s">
        <v>3683</v>
      </c>
      <c r="E3236" s="29"/>
      <c r="F3236" s="29" t="s">
        <v>3686</v>
      </c>
      <c r="G3236" s="29"/>
      <c r="H3236" s="29" t="s">
        <v>3687</v>
      </c>
      <c r="I3236" s="29"/>
      <c r="J3236" s="29"/>
      <c r="K3236" s="29"/>
      <c r="L3236" s="29"/>
      <c r="M3236" s="29"/>
      <c r="N3236" s="29" t="s">
        <v>2059</v>
      </c>
      <c r="O3236" s="29"/>
      <c r="P3236" s="29" t="s">
        <v>10467</v>
      </c>
      <c r="Q3236" t="s">
        <v>2038</v>
      </c>
      <c r="R3236" t="s">
        <v>2633</v>
      </c>
      <c r="S3236">
        <v>37</v>
      </c>
      <c r="T3236" s="43" t="str">
        <f t="shared" si="146"/>
        <v>2021.010B.R.Binomial_names.zip</v>
      </c>
      <c r="U3236" s="43" t="str">
        <f>HYPERLINK("https://ictv.global/taxonomy/taxondetails?taxnode_id=202200435","ictv.global=202200435")</f>
        <v>ictv.global=202200435</v>
      </c>
    </row>
    <row r="3237" spans="1:21">
      <c r="A3237">
        <v>3236</v>
      </c>
      <c r="B3237" s="29" t="s">
        <v>3682</v>
      </c>
      <c r="C3237" s="29"/>
      <c r="D3237" s="29" t="s">
        <v>3683</v>
      </c>
      <c r="E3237" s="29"/>
      <c r="F3237" s="29" t="s">
        <v>3686</v>
      </c>
      <c r="G3237" s="29"/>
      <c r="H3237" s="29" t="s">
        <v>3687</v>
      </c>
      <c r="I3237" s="29"/>
      <c r="J3237" s="29"/>
      <c r="K3237" s="29"/>
      <c r="L3237" s="29"/>
      <c r="M3237" s="29"/>
      <c r="N3237" s="29" t="s">
        <v>10468</v>
      </c>
      <c r="O3237" s="29"/>
      <c r="P3237" s="29" t="s">
        <v>10469</v>
      </c>
      <c r="Q3237" t="s">
        <v>2038</v>
      </c>
      <c r="R3237" t="s">
        <v>2632</v>
      </c>
      <c r="S3237">
        <v>37</v>
      </c>
      <c r="T3237" s="43" t="str">
        <f>HYPERLINK("https://ictv.global/ictv/proposals/2021.036B.R.Harrisonburgvirus.zip","2021.036B.R.Harrisonburgvirus.zip")</f>
        <v>2021.036B.R.Harrisonburgvirus.zip</v>
      </c>
      <c r="U3237" s="43" t="str">
        <f>HYPERLINK("https://ictv.global/taxonomy/taxondetails?taxnode_id=202212344","ictv.global=202212344")</f>
        <v>ictv.global=202212344</v>
      </c>
    </row>
    <row r="3238" spans="1:21">
      <c r="A3238">
        <v>3237</v>
      </c>
      <c r="B3238" s="29" t="s">
        <v>3682</v>
      </c>
      <c r="C3238" s="29"/>
      <c r="D3238" s="29" t="s">
        <v>3683</v>
      </c>
      <c r="E3238" s="29"/>
      <c r="F3238" s="29" t="s">
        <v>3686</v>
      </c>
      <c r="G3238" s="29"/>
      <c r="H3238" s="29" t="s">
        <v>3687</v>
      </c>
      <c r="I3238" s="29"/>
      <c r="J3238" s="29"/>
      <c r="K3238" s="29"/>
      <c r="L3238" s="29"/>
      <c r="M3238" s="29"/>
      <c r="N3238" s="29" t="s">
        <v>4729</v>
      </c>
      <c r="O3238" s="29"/>
      <c r="P3238" s="29" t="s">
        <v>10470</v>
      </c>
      <c r="Q3238" t="s">
        <v>2038</v>
      </c>
      <c r="R3238" t="s">
        <v>2633</v>
      </c>
      <c r="S3238">
        <v>37</v>
      </c>
      <c r="T3238" s="43" t="str">
        <f t="shared" ref="T3238:T3243" si="147">HYPERLINK("https://ictv.global/ictv/proposals/2021.010B.R.Binomial_names.zip","2021.010B.R.Binomial_names.zip")</f>
        <v>2021.010B.R.Binomial_names.zip</v>
      </c>
      <c r="U3238" s="43" t="str">
        <f>HYPERLINK("https://ictv.global/taxonomy/taxondetails?taxnode_id=202210025","ictv.global=202210025")</f>
        <v>ictv.global=202210025</v>
      </c>
    </row>
    <row r="3239" spans="1:21">
      <c r="A3239">
        <v>3238</v>
      </c>
      <c r="B3239" s="29" t="s">
        <v>3682</v>
      </c>
      <c r="C3239" s="29"/>
      <c r="D3239" s="29" t="s">
        <v>3683</v>
      </c>
      <c r="E3239" s="29"/>
      <c r="F3239" s="29" t="s">
        <v>3686</v>
      </c>
      <c r="G3239" s="29"/>
      <c r="H3239" s="29" t="s">
        <v>3687</v>
      </c>
      <c r="I3239" s="29"/>
      <c r="J3239" s="29"/>
      <c r="K3239" s="29"/>
      <c r="L3239" s="29"/>
      <c r="M3239" s="29"/>
      <c r="N3239" s="29" t="s">
        <v>3548</v>
      </c>
      <c r="O3239" s="29"/>
      <c r="P3239" s="29" t="s">
        <v>10471</v>
      </c>
      <c r="Q3239" t="s">
        <v>2038</v>
      </c>
      <c r="R3239" t="s">
        <v>2633</v>
      </c>
      <c r="S3239">
        <v>37</v>
      </c>
      <c r="T3239" s="43" t="str">
        <f t="shared" si="147"/>
        <v>2021.010B.R.Binomial_names.zip</v>
      </c>
      <c r="U3239" s="43" t="str">
        <f>HYPERLINK("https://ictv.global/taxonomy/taxondetails?taxnode_id=202206684","ictv.global=202206684")</f>
        <v>ictv.global=202206684</v>
      </c>
    </row>
    <row r="3240" spans="1:21">
      <c r="A3240">
        <v>3239</v>
      </c>
      <c r="B3240" s="29" t="s">
        <v>3682</v>
      </c>
      <c r="C3240" s="29"/>
      <c r="D3240" s="29" t="s">
        <v>3683</v>
      </c>
      <c r="E3240" s="29"/>
      <c r="F3240" s="29" t="s">
        <v>3686</v>
      </c>
      <c r="G3240" s="29"/>
      <c r="H3240" s="29" t="s">
        <v>3687</v>
      </c>
      <c r="I3240" s="29"/>
      <c r="J3240" s="29"/>
      <c r="K3240" s="29"/>
      <c r="L3240" s="29"/>
      <c r="M3240" s="29"/>
      <c r="N3240" s="29" t="s">
        <v>3915</v>
      </c>
      <c r="O3240" s="29"/>
      <c r="P3240" s="29" t="s">
        <v>10472</v>
      </c>
      <c r="Q3240" t="s">
        <v>2038</v>
      </c>
      <c r="R3240" t="s">
        <v>2633</v>
      </c>
      <c r="S3240">
        <v>37</v>
      </c>
      <c r="T3240" s="43" t="str">
        <f t="shared" si="147"/>
        <v>2021.010B.R.Binomial_names.zip</v>
      </c>
      <c r="U3240" s="43" t="str">
        <f>HYPERLINK("https://ictv.global/taxonomy/taxondetails?taxnode_id=202207908","ictv.global=202207908")</f>
        <v>ictv.global=202207908</v>
      </c>
    </row>
    <row r="3241" spans="1:21">
      <c r="A3241">
        <v>3240</v>
      </c>
      <c r="B3241" s="29" t="s">
        <v>3682</v>
      </c>
      <c r="C3241" s="29"/>
      <c r="D3241" s="29" t="s">
        <v>3683</v>
      </c>
      <c r="E3241" s="29"/>
      <c r="F3241" s="29" t="s">
        <v>3686</v>
      </c>
      <c r="G3241" s="29"/>
      <c r="H3241" s="29" t="s">
        <v>3687</v>
      </c>
      <c r="I3241" s="29"/>
      <c r="J3241" s="29"/>
      <c r="K3241" s="29"/>
      <c r="L3241" s="29"/>
      <c r="M3241" s="29"/>
      <c r="N3241" s="29" t="s">
        <v>3549</v>
      </c>
      <c r="O3241" s="29"/>
      <c r="P3241" s="29" t="s">
        <v>10473</v>
      </c>
      <c r="Q3241" t="s">
        <v>2038</v>
      </c>
      <c r="R3241" t="s">
        <v>2633</v>
      </c>
      <c r="S3241">
        <v>37</v>
      </c>
      <c r="T3241" s="43" t="str">
        <f t="shared" si="147"/>
        <v>2021.010B.R.Binomial_names.zip</v>
      </c>
      <c r="U3241" s="43" t="str">
        <f>HYPERLINK("https://ictv.global/taxonomy/taxondetails?taxnode_id=202200879","ictv.global=202200879")</f>
        <v>ictv.global=202200879</v>
      </c>
    </row>
    <row r="3242" spans="1:21">
      <c r="A3242">
        <v>3241</v>
      </c>
      <c r="B3242" s="29" t="s">
        <v>3682</v>
      </c>
      <c r="C3242" s="29"/>
      <c r="D3242" s="29" t="s">
        <v>3683</v>
      </c>
      <c r="E3242" s="29"/>
      <c r="F3242" s="29" t="s">
        <v>3686</v>
      </c>
      <c r="G3242" s="29"/>
      <c r="H3242" s="29" t="s">
        <v>3687</v>
      </c>
      <c r="I3242" s="29"/>
      <c r="J3242" s="29"/>
      <c r="K3242" s="29"/>
      <c r="L3242" s="29"/>
      <c r="M3242" s="29"/>
      <c r="N3242" s="29" t="s">
        <v>3549</v>
      </c>
      <c r="O3242" s="29"/>
      <c r="P3242" s="29" t="s">
        <v>10474</v>
      </c>
      <c r="Q3242" t="s">
        <v>2038</v>
      </c>
      <c r="R3242" t="s">
        <v>2633</v>
      </c>
      <c r="S3242">
        <v>37</v>
      </c>
      <c r="T3242" s="43" t="str">
        <f t="shared" si="147"/>
        <v>2021.010B.R.Binomial_names.zip</v>
      </c>
      <c r="U3242" s="43" t="str">
        <f>HYPERLINK("https://ictv.global/taxonomy/taxondetails?taxnode_id=202200880","ictv.global=202200880")</f>
        <v>ictv.global=202200880</v>
      </c>
    </row>
    <row r="3243" spans="1:21">
      <c r="A3243">
        <v>3242</v>
      </c>
      <c r="B3243" s="29" t="s">
        <v>3682</v>
      </c>
      <c r="C3243" s="29"/>
      <c r="D3243" s="29" t="s">
        <v>3683</v>
      </c>
      <c r="E3243" s="29"/>
      <c r="F3243" s="29" t="s">
        <v>3686</v>
      </c>
      <c r="G3243" s="29"/>
      <c r="H3243" s="29" t="s">
        <v>3687</v>
      </c>
      <c r="I3243" s="29"/>
      <c r="J3243" s="29"/>
      <c r="K3243" s="29"/>
      <c r="L3243" s="29"/>
      <c r="M3243" s="29"/>
      <c r="N3243" s="29" t="s">
        <v>3549</v>
      </c>
      <c r="O3243" s="29"/>
      <c r="P3243" s="29" t="s">
        <v>10475</v>
      </c>
      <c r="Q3243" t="s">
        <v>2038</v>
      </c>
      <c r="R3243" t="s">
        <v>2633</v>
      </c>
      <c r="S3243">
        <v>37</v>
      </c>
      <c r="T3243" s="43" t="str">
        <f t="shared" si="147"/>
        <v>2021.010B.R.Binomial_names.zip</v>
      </c>
      <c r="U3243" s="43" t="str">
        <f>HYPERLINK("https://ictv.global/taxonomy/taxondetails?taxnode_id=202200881","ictv.global=202200881")</f>
        <v>ictv.global=202200881</v>
      </c>
    </row>
    <row r="3244" spans="1:21">
      <c r="A3244">
        <v>3243</v>
      </c>
      <c r="B3244" s="29" t="s">
        <v>3682</v>
      </c>
      <c r="C3244" s="29"/>
      <c r="D3244" s="29" t="s">
        <v>3683</v>
      </c>
      <c r="E3244" s="29"/>
      <c r="F3244" s="29" t="s">
        <v>3686</v>
      </c>
      <c r="G3244" s="29"/>
      <c r="H3244" s="29" t="s">
        <v>3687</v>
      </c>
      <c r="I3244" s="29"/>
      <c r="J3244" s="29"/>
      <c r="K3244" s="29"/>
      <c r="L3244" s="29"/>
      <c r="M3244" s="29"/>
      <c r="N3244" s="29" t="s">
        <v>10476</v>
      </c>
      <c r="O3244" s="29"/>
      <c r="P3244" s="29" t="s">
        <v>10477</v>
      </c>
      <c r="Q3244" t="s">
        <v>2038</v>
      </c>
      <c r="R3244" t="s">
        <v>2632</v>
      </c>
      <c r="S3244">
        <v>38</v>
      </c>
      <c r="T3244" s="43" t="str">
        <f>HYPERLINK("https://ictv.global/ictv/proposals/2022.080B.Caudoviricetes_6ng.zip","2022.080B.Caudoviricetes_6ng.zip")</f>
        <v>2022.080B.Caudoviricetes_6ng.zip</v>
      </c>
      <c r="U3244" s="43" t="str">
        <f>HYPERLINK("https://ictv.global/taxonomy/taxondetails?taxnode_id=202214865","ictv.global=202214865")</f>
        <v>ictv.global=202214865</v>
      </c>
    </row>
    <row r="3245" spans="1:21">
      <c r="A3245">
        <v>3244</v>
      </c>
      <c r="B3245" s="29" t="s">
        <v>3682</v>
      </c>
      <c r="C3245" s="29"/>
      <c r="D3245" s="29" t="s">
        <v>3683</v>
      </c>
      <c r="E3245" s="29"/>
      <c r="F3245" s="29" t="s">
        <v>3686</v>
      </c>
      <c r="G3245" s="29"/>
      <c r="H3245" s="29" t="s">
        <v>3687</v>
      </c>
      <c r="I3245" s="29"/>
      <c r="J3245" s="29"/>
      <c r="K3245" s="29"/>
      <c r="L3245" s="29"/>
      <c r="M3245" s="29"/>
      <c r="N3245" s="29" t="s">
        <v>10478</v>
      </c>
      <c r="O3245" s="29"/>
      <c r="P3245" s="29" t="s">
        <v>10479</v>
      </c>
      <c r="Q3245" t="s">
        <v>2038</v>
      </c>
      <c r="R3245" t="s">
        <v>2632</v>
      </c>
      <c r="S3245">
        <v>38</v>
      </c>
      <c r="T3245" s="43" t="str">
        <f>HYPERLINK("https://ictv.global/ictv/proposals/2022.036B.Hiroshimavirus_ng.zip","2022.036B.Hiroshimavirus_ng.zip")</f>
        <v>2022.036B.Hiroshimavirus_ng.zip</v>
      </c>
      <c r="U3245" s="43" t="str">
        <f>HYPERLINK("https://ictv.global/taxonomy/taxondetails?taxnode_id=202214628","ictv.global=202214628")</f>
        <v>ictv.global=202214628</v>
      </c>
    </row>
    <row r="3246" spans="1:21">
      <c r="A3246">
        <v>3245</v>
      </c>
      <c r="B3246" s="29" t="s">
        <v>3682</v>
      </c>
      <c r="C3246" s="29"/>
      <c r="D3246" s="29" t="s">
        <v>3683</v>
      </c>
      <c r="E3246" s="29"/>
      <c r="F3246" s="29" t="s">
        <v>3686</v>
      </c>
      <c r="G3246" s="29"/>
      <c r="H3246" s="29" t="s">
        <v>3687</v>
      </c>
      <c r="I3246" s="29"/>
      <c r="J3246" s="29"/>
      <c r="K3246" s="29"/>
      <c r="L3246" s="29"/>
      <c r="M3246" s="29"/>
      <c r="N3246" s="29" t="s">
        <v>4004</v>
      </c>
      <c r="O3246" s="29"/>
      <c r="P3246" s="29" t="s">
        <v>10480</v>
      </c>
      <c r="Q3246" t="s">
        <v>2038</v>
      </c>
      <c r="R3246" t="s">
        <v>2633</v>
      </c>
      <c r="S3246">
        <v>37</v>
      </c>
      <c r="T3246" s="43" t="str">
        <f t="shared" ref="T3246:T3256" si="148">HYPERLINK("https://ictv.global/ictv/proposals/2021.010B.R.Binomial_names.zip","2021.010B.R.Binomial_names.zip")</f>
        <v>2021.010B.R.Binomial_names.zip</v>
      </c>
      <c r="U3246" s="43" t="str">
        <f>HYPERLINK("https://ictv.global/taxonomy/taxondetails?taxnode_id=202207853","ictv.global=202207853")</f>
        <v>ictv.global=202207853</v>
      </c>
    </row>
    <row r="3247" spans="1:21">
      <c r="A3247">
        <v>3246</v>
      </c>
      <c r="B3247" s="29" t="s">
        <v>3682</v>
      </c>
      <c r="C3247" s="29"/>
      <c r="D3247" s="29" t="s">
        <v>3683</v>
      </c>
      <c r="E3247" s="29"/>
      <c r="F3247" s="29" t="s">
        <v>3686</v>
      </c>
      <c r="G3247" s="29"/>
      <c r="H3247" s="29" t="s">
        <v>3687</v>
      </c>
      <c r="I3247" s="29"/>
      <c r="J3247" s="29"/>
      <c r="K3247" s="29"/>
      <c r="L3247" s="29"/>
      <c r="M3247" s="29"/>
      <c r="N3247" s="29" t="s">
        <v>4730</v>
      </c>
      <c r="O3247" s="29"/>
      <c r="P3247" s="29" t="s">
        <v>10481</v>
      </c>
      <c r="Q3247" t="s">
        <v>2038</v>
      </c>
      <c r="R3247" t="s">
        <v>2633</v>
      </c>
      <c r="S3247">
        <v>37</v>
      </c>
      <c r="T3247" s="43" t="str">
        <f t="shared" si="148"/>
        <v>2021.010B.R.Binomial_names.zip</v>
      </c>
      <c r="U3247" s="43" t="str">
        <f>HYPERLINK("https://ictv.global/taxonomy/taxondetails?taxnode_id=202210130","ictv.global=202210130")</f>
        <v>ictv.global=202210130</v>
      </c>
    </row>
    <row r="3248" spans="1:21">
      <c r="A3248">
        <v>3247</v>
      </c>
      <c r="B3248" s="29" t="s">
        <v>3682</v>
      </c>
      <c r="C3248" s="29"/>
      <c r="D3248" s="29" t="s">
        <v>3683</v>
      </c>
      <c r="E3248" s="29"/>
      <c r="F3248" s="29" t="s">
        <v>3686</v>
      </c>
      <c r="G3248" s="29"/>
      <c r="H3248" s="29" t="s">
        <v>3687</v>
      </c>
      <c r="I3248" s="29"/>
      <c r="J3248" s="29"/>
      <c r="K3248" s="29"/>
      <c r="L3248" s="29"/>
      <c r="M3248" s="29"/>
      <c r="N3248" s="29" t="s">
        <v>3469</v>
      </c>
      <c r="O3248" s="29"/>
      <c r="P3248" s="29" t="s">
        <v>10482</v>
      </c>
      <c r="Q3248" t="s">
        <v>2038</v>
      </c>
      <c r="R3248" t="s">
        <v>2633</v>
      </c>
      <c r="S3248">
        <v>37</v>
      </c>
      <c r="T3248" s="43" t="str">
        <f t="shared" si="148"/>
        <v>2021.010B.R.Binomial_names.zip</v>
      </c>
      <c r="U3248" s="43" t="str">
        <f>HYPERLINK("https://ictv.global/taxonomy/taxondetails?taxnode_id=202200640","ictv.global=202200640")</f>
        <v>ictv.global=202200640</v>
      </c>
    </row>
    <row r="3249" spans="1:21">
      <c r="A3249">
        <v>3248</v>
      </c>
      <c r="B3249" s="29" t="s">
        <v>3682</v>
      </c>
      <c r="C3249" s="29"/>
      <c r="D3249" s="29" t="s">
        <v>3683</v>
      </c>
      <c r="E3249" s="29"/>
      <c r="F3249" s="29" t="s">
        <v>3686</v>
      </c>
      <c r="G3249" s="29"/>
      <c r="H3249" s="29" t="s">
        <v>3687</v>
      </c>
      <c r="I3249" s="29"/>
      <c r="J3249" s="29"/>
      <c r="K3249" s="29"/>
      <c r="L3249" s="29"/>
      <c r="M3249" s="29"/>
      <c r="N3249" s="29" t="s">
        <v>3469</v>
      </c>
      <c r="O3249" s="29"/>
      <c r="P3249" s="29" t="s">
        <v>10483</v>
      </c>
      <c r="Q3249" t="s">
        <v>2038</v>
      </c>
      <c r="R3249" t="s">
        <v>2633</v>
      </c>
      <c r="S3249">
        <v>37</v>
      </c>
      <c r="T3249" s="43" t="str">
        <f t="shared" si="148"/>
        <v>2021.010B.R.Binomial_names.zip</v>
      </c>
      <c r="U3249" s="43" t="str">
        <f>HYPERLINK("https://ictv.global/taxonomy/taxondetails?taxnode_id=202200641","ictv.global=202200641")</f>
        <v>ictv.global=202200641</v>
      </c>
    </row>
    <row r="3250" spans="1:21">
      <c r="A3250">
        <v>3249</v>
      </c>
      <c r="B3250" s="29" t="s">
        <v>3682</v>
      </c>
      <c r="C3250" s="29"/>
      <c r="D3250" s="29" t="s">
        <v>3683</v>
      </c>
      <c r="E3250" s="29"/>
      <c r="F3250" s="29" t="s">
        <v>3686</v>
      </c>
      <c r="G3250" s="29"/>
      <c r="H3250" s="29" t="s">
        <v>3687</v>
      </c>
      <c r="I3250" s="29"/>
      <c r="J3250" s="29"/>
      <c r="K3250" s="29"/>
      <c r="L3250" s="29"/>
      <c r="M3250" s="29"/>
      <c r="N3250" s="29" t="s">
        <v>3550</v>
      </c>
      <c r="O3250" s="29"/>
      <c r="P3250" s="29" t="s">
        <v>10484</v>
      </c>
      <c r="Q3250" t="s">
        <v>2038</v>
      </c>
      <c r="R3250" t="s">
        <v>2633</v>
      </c>
      <c r="S3250">
        <v>37</v>
      </c>
      <c r="T3250" s="43" t="str">
        <f t="shared" si="148"/>
        <v>2021.010B.R.Binomial_names.zip</v>
      </c>
      <c r="U3250" s="43" t="str">
        <f>HYPERLINK("https://ictv.global/taxonomy/taxondetails?taxnode_id=202206830","ictv.global=202206830")</f>
        <v>ictv.global=202206830</v>
      </c>
    </row>
    <row r="3251" spans="1:21">
      <c r="A3251">
        <v>3250</v>
      </c>
      <c r="B3251" s="29" t="s">
        <v>3682</v>
      </c>
      <c r="C3251" s="29"/>
      <c r="D3251" s="29" t="s">
        <v>3683</v>
      </c>
      <c r="E3251" s="29"/>
      <c r="F3251" s="29" t="s">
        <v>3686</v>
      </c>
      <c r="G3251" s="29"/>
      <c r="H3251" s="29" t="s">
        <v>3687</v>
      </c>
      <c r="I3251" s="29"/>
      <c r="J3251" s="29"/>
      <c r="K3251" s="29"/>
      <c r="L3251" s="29"/>
      <c r="M3251" s="29"/>
      <c r="N3251" s="29" t="s">
        <v>3550</v>
      </c>
      <c r="O3251" s="29"/>
      <c r="P3251" s="29" t="s">
        <v>10485</v>
      </c>
      <c r="Q3251" t="s">
        <v>2038</v>
      </c>
      <c r="R3251" t="s">
        <v>2633</v>
      </c>
      <c r="S3251">
        <v>37</v>
      </c>
      <c r="T3251" s="43" t="str">
        <f t="shared" si="148"/>
        <v>2021.010B.R.Binomial_names.zip</v>
      </c>
      <c r="U3251" s="43" t="str">
        <f>HYPERLINK("https://ictv.global/taxonomy/taxondetails?taxnode_id=202206829","ictv.global=202206829")</f>
        <v>ictv.global=202206829</v>
      </c>
    </row>
    <row r="3252" spans="1:21">
      <c r="A3252">
        <v>3251</v>
      </c>
      <c r="B3252" s="29" t="s">
        <v>3682</v>
      </c>
      <c r="C3252" s="29"/>
      <c r="D3252" s="29" t="s">
        <v>3683</v>
      </c>
      <c r="E3252" s="29"/>
      <c r="F3252" s="29" t="s">
        <v>3686</v>
      </c>
      <c r="G3252" s="29"/>
      <c r="H3252" s="29" t="s">
        <v>3687</v>
      </c>
      <c r="I3252" s="29"/>
      <c r="J3252" s="29"/>
      <c r="K3252" s="29"/>
      <c r="L3252" s="29"/>
      <c r="M3252" s="29"/>
      <c r="N3252" s="29" t="s">
        <v>3551</v>
      </c>
      <c r="O3252" s="29"/>
      <c r="P3252" s="29" t="s">
        <v>10486</v>
      </c>
      <c r="Q3252" t="s">
        <v>2038</v>
      </c>
      <c r="R3252" t="s">
        <v>2633</v>
      </c>
      <c r="S3252">
        <v>37</v>
      </c>
      <c r="T3252" s="43" t="str">
        <f t="shared" si="148"/>
        <v>2021.010B.R.Binomial_names.zip</v>
      </c>
      <c r="U3252" s="43" t="str">
        <f>HYPERLINK("https://ictv.global/taxonomy/taxondetails?taxnode_id=202201111","ictv.global=202201111")</f>
        <v>ictv.global=202201111</v>
      </c>
    </row>
    <row r="3253" spans="1:21">
      <c r="A3253">
        <v>3252</v>
      </c>
      <c r="B3253" s="29" t="s">
        <v>3682</v>
      </c>
      <c r="C3253" s="29"/>
      <c r="D3253" s="29" t="s">
        <v>3683</v>
      </c>
      <c r="E3253" s="29"/>
      <c r="F3253" s="29" t="s">
        <v>3686</v>
      </c>
      <c r="G3253" s="29"/>
      <c r="H3253" s="29" t="s">
        <v>3687</v>
      </c>
      <c r="I3253" s="29"/>
      <c r="J3253" s="29"/>
      <c r="K3253" s="29"/>
      <c r="L3253" s="29"/>
      <c r="M3253" s="29"/>
      <c r="N3253" s="29" t="s">
        <v>3551</v>
      </c>
      <c r="O3253" s="29"/>
      <c r="P3253" s="29" t="s">
        <v>10487</v>
      </c>
      <c r="Q3253" t="s">
        <v>2038</v>
      </c>
      <c r="R3253" t="s">
        <v>2633</v>
      </c>
      <c r="S3253">
        <v>37</v>
      </c>
      <c r="T3253" s="43" t="str">
        <f t="shared" si="148"/>
        <v>2021.010B.R.Binomial_names.zip</v>
      </c>
      <c r="U3253" s="43" t="str">
        <f>HYPERLINK("https://ictv.global/taxonomy/taxondetails?taxnode_id=202201112","ictv.global=202201112")</f>
        <v>ictv.global=202201112</v>
      </c>
    </row>
    <row r="3254" spans="1:21">
      <c r="A3254">
        <v>3253</v>
      </c>
      <c r="B3254" s="29" t="s">
        <v>3682</v>
      </c>
      <c r="C3254" s="29"/>
      <c r="D3254" s="29" t="s">
        <v>3683</v>
      </c>
      <c r="E3254" s="29"/>
      <c r="F3254" s="29" t="s">
        <v>3686</v>
      </c>
      <c r="G3254" s="29"/>
      <c r="H3254" s="29" t="s">
        <v>3687</v>
      </c>
      <c r="I3254" s="29"/>
      <c r="J3254" s="29"/>
      <c r="K3254" s="29"/>
      <c r="L3254" s="29"/>
      <c r="M3254" s="29"/>
      <c r="N3254" s="29" t="s">
        <v>3551</v>
      </c>
      <c r="O3254" s="29"/>
      <c r="P3254" s="29" t="s">
        <v>10488</v>
      </c>
      <c r="Q3254" t="s">
        <v>2038</v>
      </c>
      <c r="R3254" t="s">
        <v>2633</v>
      </c>
      <c r="S3254">
        <v>37</v>
      </c>
      <c r="T3254" s="43" t="str">
        <f t="shared" si="148"/>
        <v>2021.010B.R.Binomial_names.zip</v>
      </c>
      <c r="U3254" s="43" t="str">
        <f>HYPERLINK("https://ictv.global/taxonomy/taxondetails?taxnode_id=202201113","ictv.global=202201113")</f>
        <v>ictv.global=202201113</v>
      </c>
    </row>
    <row r="3255" spans="1:21">
      <c r="A3255">
        <v>3254</v>
      </c>
      <c r="B3255" s="29" t="s">
        <v>3682</v>
      </c>
      <c r="C3255" s="29"/>
      <c r="D3255" s="29" t="s">
        <v>3683</v>
      </c>
      <c r="E3255" s="29"/>
      <c r="F3255" s="29" t="s">
        <v>3686</v>
      </c>
      <c r="G3255" s="29"/>
      <c r="H3255" s="29" t="s">
        <v>3687</v>
      </c>
      <c r="I3255" s="29"/>
      <c r="J3255" s="29"/>
      <c r="K3255" s="29"/>
      <c r="L3255" s="29"/>
      <c r="M3255" s="29"/>
      <c r="N3255" s="29" t="s">
        <v>3551</v>
      </c>
      <c r="O3255" s="29"/>
      <c r="P3255" s="29" t="s">
        <v>10489</v>
      </c>
      <c r="Q3255" t="s">
        <v>2038</v>
      </c>
      <c r="R3255" t="s">
        <v>2633</v>
      </c>
      <c r="S3255">
        <v>37</v>
      </c>
      <c r="T3255" s="43" t="str">
        <f t="shared" si="148"/>
        <v>2021.010B.R.Binomial_names.zip</v>
      </c>
      <c r="U3255" s="43" t="str">
        <f>HYPERLINK("https://ictv.global/taxonomy/taxondetails?taxnode_id=202201114","ictv.global=202201114")</f>
        <v>ictv.global=202201114</v>
      </c>
    </row>
    <row r="3256" spans="1:21">
      <c r="A3256">
        <v>3255</v>
      </c>
      <c r="B3256" s="29" t="s">
        <v>3682</v>
      </c>
      <c r="C3256" s="29"/>
      <c r="D3256" s="29" t="s">
        <v>3683</v>
      </c>
      <c r="E3256" s="29"/>
      <c r="F3256" s="29" t="s">
        <v>3686</v>
      </c>
      <c r="G3256" s="29"/>
      <c r="H3256" s="29" t="s">
        <v>3687</v>
      </c>
      <c r="I3256" s="29"/>
      <c r="J3256" s="29"/>
      <c r="K3256" s="29"/>
      <c r="L3256" s="29"/>
      <c r="M3256" s="29"/>
      <c r="N3256" s="29" t="s">
        <v>3551</v>
      </c>
      <c r="O3256" s="29"/>
      <c r="P3256" s="29" t="s">
        <v>10490</v>
      </c>
      <c r="Q3256" t="s">
        <v>2038</v>
      </c>
      <c r="R3256" t="s">
        <v>2633</v>
      </c>
      <c r="S3256">
        <v>37</v>
      </c>
      <c r="T3256" s="43" t="str">
        <f t="shared" si="148"/>
        <v>2021.010B.R.Binomial_names.zip</v>
      </c>
      <c r="U3256" s="43" t="str">
        <f>HYPERLINK("https://ictv.global/taxonomy/taxondetails?taxnode_id=202201115","ictv.global=202201115")</f>
        <v>ictv.global=202201115</v>
      </c>
    </row>
    <row r="3257" spans="1:21">
      <c r="A3257">
        <v>3256</v>
      </c>
      <c r="B3257" s="29" t="s">
        <v>3682</v>
      </c>
      <c r="C3257" s="29"/>
      <c r="D3257" s="29" t="s">
        <v>3683</v>
      </c>
      <c r="E3257" s="29"/>
      <c r="F3257" s="29" t="s">
        <v>3686</v>
      </c>
      <c r="G3257" s="29"/>
      <c r="H3257" s="29" t="s">
        <v>3687</v>
      </c>
      <c r="I3257" s="29"/>
      <c r="J3257" s="29"/>
      <c r="K3257" s="29"/>
      <c r="L3257" s="29"/>
      <c r="M3257" s="29"/>
      <c r="N3257" s="29" t="s">
        <v>10491</v>
      </c>
      <c r="O3257" s="29"/>
      <c r="P3257" s="29" t="s">
        <v>10492</v>
      </c>
      <c r="Q3257" t="s">
        <v>2038</v>
      </c>
      <c r="R3257" t="s">
        <v>2632</v>
      </c>
      <c r="S3257">
        <v>38</v>
      </c>
      <c r="T3257" s="43" t="str">
        <f>HYPERLINK("https://ictv.global/ictv/proposals/2022.084B.Caudoviricetes_6ng_33nsp.zip","2022.084B.Caudoviricetes_6ng_33nsp.zip")</f>
        <v>2022.084B.Caudoviricetes_6ng_33nsp.zip</v>
      </c>
      <c r="U3257" s="43" t="str">
        <f>HYPERLINK("https://ictv.global/taxonomy/taxondetails?taxnode_id=202214922","ictv.global=202214922")</f>
        <v>ictv.global=202214922</v>
      </c>
    </row>
    <row r="3258" spans="1:21">
      <c r="A3258">
        <v>3257</v>
      </c>
      <c r="B3258" s="29" t="s">
        <v>3682</v>
      </c>
      <c r="C3258" s="29"/>
      <c r="D3258" s="29" t="s">
        <v>3683</v>
      </c>
      <c r="E3258" s="29"/>
      <c r="F3258" s="29" t="s">
        <v>3686</v>
      </c>
      <c r="G3258" s="29"/>
      <c r="H3258" s="29" t="s">
        <v>3687</v>
      </c>
      <c r="I3258" s="29"/>
      <c r="J3258" s="29"/>
      <c r="K3258" s="29"/>
      <c r="L3258" s="29"/>
      <c r="M3258" s="29"/>
      <c r="N3258" s="29" t="s">
        <v>10491</v>
      </c>
      <c r="O3258" s="29"/>
      <c r="P3258" s="29" t="s">
        <v>10493</v>
      </c>
      <c r="Q3258" t="s">
        <v>2038</v>
      </c>
      <c r="R3258" t="s">
        <v>2632</v>
      </c>
      <c r="S3258">
        <v>38</v>
      </c>
      <c r="T3258" s="43" t="str">
        <f>HYPERLINK("https://ictv.global/ictv/proposals/2022.084B.Caudoviricetes_6ng_33nsp.zip","2022.084B.Caudoviricetes_6ng_33nsp.zip")</f>
        <v>2022.084B.Caudoviricetes_6ng_33nsp.zip</v>
      </c>
      <c r="U3258" s="43" t="str">
        <f>HYPERLINK("https://ictv.global/taxonomy/taxondetails?taxnode_id=202214923","ictv.global=202214923")</f>
        <v>ictv.global=202214923</v>
      </c>
    </row>
    <row r="3259" spans="1:21">
      <c r="A3259">
        <v>3258</v>
      </c>
      <c r="B3259" s="29" t="s">
        <v>3682</v>
      </c>
      <c r="C3259" s="29"/>
      <c r="D3259" s="29" t="s">
        <v>3683</v>
      </c>
      <c r="E3259" s="29"/>
      <c r="F3259" s="29" t="s">
        <v>3686</v>
      </c>
      <c r="G3259" s="29"/>
      <c r="H3259" s="29" t="s">
        <v>3687</v>
      </c>
      <c r="I3259" s="29"/>
      <c r="J3259" s="29"/>
      <c r="K3259" s="29"/>
      <c r="L3259" s="29"/>
      <c r="M3259" s="29"/>
      <c r="N3259" s="29" t="s">
        <v>4731</v>
      </c>
      <c r="O3259" s="29"/>
      <c r="P3259" s="29" t="s">
        <v>10494</v>
      </c>
      <c r="Q3259" t="s">
        <v>2038</v>
      </c>
      <c r="R3259" t="s">
        <v>2633</v>
      </c>
      <c r="S3259">
        <v>37</v>
      </c>
      <c r="T3259" s="43" t="str">
        <f>HYPERLINK("https://ictv.global/ictv/proposals/2021.010B.R.Binomial_names.zip","2021.010B.R.Binomial_names.zip")</f>
        <v>2021.010B.R.Binomial_names.zip</v>
      </c>
      <c r="U3259" s="43" t="str">
        <f>HYPERLINK("https://ictv.global/taxonomy/taxondetails?taxnode_id=202210133","ictv.global=202210133")</f>
        <v>ictv.global=202210133</v>
      </c>
    </row>
    <row r="3260" spans="1:21">
      <c r="A3260">
        <v>3259</v>
      </c>
      <c r="B3260" s="29" t="s">
        <v>3682</v>
      </c>
      <c r="C3260" s="29"/>
      <c r="D3260" s="29" t="s">
        <v>3683</v>
      </c>
      <c r="E3260" s="29"/>
      <c r="F3260" s="29" t="s">
        <v>3686</v>
      </c>
      <c r="G3260" s="29"/>
      <c r="H3260" s="29" t="s">
        <v>3687</v>
      </c>
      <c r="I3260" s="29"/>
      <c r="J3260" s="29"/>
      <c r="K3260" s="29"/>
      <c r="L3260" s="29"/>
      <c r="M3260" s="29"/>
      <c r="N3260" s="29" t="s">
        <v>4731</v>
      </c>
      <c r="O3260" s="29"/>
      <c r="P3260" s="29" t="s">
        <v>10495</v>
      </c>
      <c r="Q3260" t="s">
        <v>2038</v>
      </c>
      <c r="R3260" t="s">
        <v>2633</v>
      </c>
      <c r="S3260">
        <v>37</v>
      </c>
      <c r="T3260" s="43" t="str">
        <f>HYPERLINK("https://ictv.global/ictv/proposals/2021.010B.R.Binomial_names.zip","2021.010B.R.Binomial_names.zip")</f>
        <v>2021.010B.R.Binomial_names.zip</v>
      </c>
      <c r="U3260" s="43" t="str">
        <f>HYPERLINK("https://ictv.global/taxonomy/taxondetails?taxnode_id=202210132","ictv.global=202210132")</f>
        <v>ictv.global=202210132</v>
      </c>
    </row>
    <row r="3261" spans="1:21">
      <c r="A3261">
        <v>3260</v>
      </c>
      <c r="B3261" s="29" t="s">
        <v>3682</v>
      </c>
      <c r="C3261" s="29"/>
      <c r="D3261" s="29" t="s">
        <v>3683</v>
      </c>
      <c r="E3261" s="29"/>
      <c r="F3261" s="29" t="s">
        <v>3686</v>
      </c>
      <c r="G3261" s="29"/>
      <c r="H3261" s="29" t="s">
        <v>3687</v>
      </c>
      <c r="I3261" s="29"/>
      <c r="J3261" s="29"/>
      <c r="K3261" s="29"/>
      <c r="L3261" s="29"/>
      <c r="M3261" s="29"/>
      <c r="N3261" s="29" t="s">
        <v>10496</v>
      </c>
      <c r="O3261" s="29"/>
      <c r="P3261" s="29" t="s">
        <v>10497</v>
      </c>
      <c r="Q3261" t="s">
        <v>2038</v>
      </c>
      <c r="R3261" t="s">
        <v>2633</v>
      </c>
      <c r="S3261">
        <v>37</v>
      </c>
      <c r="T3261" s="43" t="str">
        <f>HYPERLINK("https://ictv.global/ictv/proposals/2021.069B.R.Rename_Giessenvirus.zip","2021.069B.R.Rename_Giessenvirus.zip")</f>
        <v>2021.069B.R.Rename_Giessenvirus.zip</v>
      </c>
      <c r="U3261" s="43" t="str">
        <f>HYPERLINK("https://ictv.global/taxonomy/taxondetails?taxnode_id=202207995","ictv.global=202207995")</f>
        <v>ictv.global=202207995</v>
      </c>
    </row>
    <row r="3262" spans="1:21">
      <c r="A3262">
        <v>3261</v>
      </c>
      <c r="B3262" s="29" t="s">
        <v>3682</v>
      </c>
      <c r="C3262" s="29"/>
      <c r="D3262" s="29" t="s">
        <v>3683</v>
      </c>
      <c r="E3262" s="29"/>
      <c r="F3262" s="29" t="s">
        <v>3686</v>
      </c>
      <c r="G3262" s="29"/>
      <c r="H3262" s="29" t="s">
        <v>3687</v>
      </c>
      <c r="I3262" s="29"/>
      <c r="J3262" s="29"/>
      <c r="K3262" s="29"/>
      <c r="L3262" s="29"/>
      <c r="M3262" s="29"/>
      <c r="N3262" s="29" t="s">
        <v>4732</v>
      </c>
      <c r="O3262" s="29"/>
      <c r="P3262" s="29" t="s">
        <v>10498</v>
      </c>
      <c r="Q3262" t="s">
        <v>2038</v>
      </c>
      <c r="R3262" t="s">
        <v>2633</v>
      </c>
      <c r="S3262">
        <v>37</v>
      </c>
      <c r="T3262" s="43" t="str">
        <f>HYPERLINK("https://ictv.global/ictv/proposals/2021.010B.R.Binomial_names.zip","2021.010B.R.Binomial_names.zip")</f>
        <v>2021.010B.R.Binomial_names.zip</v>
      </c>
      <c r="U3262" s="43" t="str">
        <f>HYPERLINK("https://ictv.global/taxonomy/taxondetails?taxnode_id=202210189","ictv.global=202210189")</f>
        <v>ictv.global=202210189</v>
      </c>
    </row>
    <row r="3263" spans="1:21">
      <c r="A3263">
        <v>3262</v>
      </c>
      <c r="B3263" s="29" t="s">
        <v>3682</v>
      </c>
      <c r="C3263" s="29"/>
      <c r="D3263" s="29" t="s">
        <v>3683</v>
      </c>
      <c r="E3263" s="29"/>
      <c r="F3263" s="29" t="s">
        <v>3686</v>
      </c>
      <c r="G3263" s="29"/>
      <c r="H3263" s="29" t="s">
        <v>3687</v>
      </c>
      <c r="I3263" s="29"/>
      <c r="J3263" s="29"/>
      <c r="K3263" s="29"/>
      <c r="L3263" s="29"/>
      <c r="M3263" s="29"/>
      <c r="N3263" s="29" t="s">
        <v>3409</v>
      </c>
      <c r="O3263" s="29"/>
      <c r="P3263" s="29" t="s">
        <v>10499</v>
      </c>
      <c r="Q3263" t="s">
        <v>2038</v>
      </c>
      <c r="R3263" t="s">
        <v>2633</v>
      </c>
      <c r="S3263">
        <v>37</v>
      </c>
      <c r="T3263" s="43" t="str">
        <f>HYPERLINK("https://ictv.global/ictv/proposals/2021.010B.R.Binomial_names.zip","2021.010B.R.Binomial_names.zip")</f>
        <v>2021.010B.R.Binomial_names.zip</v>
      </c>
      <c r="U3263" s="43" t="str">
        <f>HYPERLINK("https://ictv.global/taxonomy/taxondetails?taxnode_id=202206317","ictv.global=202206317")</f>
        <v>ictv.global=202206317</v>
      </c>
    </row>
    <row r="3264" spans="1:21">
      <c r="A3264">
        <v>3263</v>
      </c>
      <c r="B3264" s="29" t="s">
        <v>3682</v>
      </c>
      <c r="C3264" s="29"/>
      <c r="D3264" s="29" t="s">
        <v>3683</v>
      </c>
      <c r="E3264" s="29"/>
      <c r="F3264" s="29" t="s">
        <v>3686</v>
      </c>
      <c r="G3264" s="29"/>
      <c r="H3264" s="29" t="s">
        <v>3687</v>
      </c>
      <c r="I3264" s="29"/>
      <c r="J3264" s="29"/>
      <c r="K3264" s="29"/>
      <c r="L3264" s="29"/>
      <c r="M3264" s="29"/>
      <c r="N3264" s="29" t="s">
        <v>10500</v>
      </c>
      <c r="O3264" s="29"/>
      <c r="P3264" s="29" t="s">
        <v>10501</v>
      </c>
      <c r="Q3264" t="s">
        <v>2038</v>
      </c>
      <c r="R3264" t="s">
        <v>2632</v>
      </c>
      <c r="S3264">
        <v>38</v>
      </c>
      <c r="T3264" s="43" t="str">
        <f>HYPERLINK("https://ictv.global/ictv/proposals/2022.038B.Iggyvirus_ng.zip","2022.038B.Iggyvirus_ng.zip")</f>
        <v>2022.038B.Iggyvirus_ng.zip</v>
      </c>
      <c r="U3264" s="43" t="str">
        <f>HYPERLINK("https://ictv.global/taxonomy/taxondetails?taxnode_id=202214632","ictv.global=202214632")</f>
        <v>ictv.global=202214632</v>
      </c>
    </row>
    <row r="3265" spans="1:21">
      <c r="A3265">
        <v>3264</v>
      </c>
      <c r="B3265" s="29" t="s">
        <v>3682</v>
      </c>
      <c r="C3265" s="29"/>
      <c r="D3265" s="29" t="s">
        <v>3683</v>
      </c>
      <c r="E3265" s="29"/>
      <c r="F3265" s="29" t="s">
        <v>3686</v>
      </c>
      <c r="G3265" s="29"/>
      <c r="H3265" s="29" t="s">
        <v>3687</v>
      </c>
      <c r="I3265" s="29"/>
      <c r="J3265" s="29"/>
      <c r="K3265" s="29"/>
      <c r="L3265" s="29"/>
      <c r="M3265" s="29"/>
      <c r="N3265" s="29" t="s">
        <v>10500</v>
      </c>
      <c r="O3265" s="29"/>
      <c r="P3265" s="29" t="s">
        <v>10502</v>
      </c>
      <c r="Q3265" t="s">
        <v>2038</v>
      </c>
      <c r="R3265" t="s">
        <v>2632</v>
      </c>
      <c r="S3265">
        <v>38</v>
      </c>
      <c r="T3265" s="43" t="str">
        <f>HYPERLINK("https://ictv.global/ictv/proposals/2022.038B.Iggyvirus_ng.zip","2022.038B.Iggyvirus_ng.zip")</f>
        <v>2022.038B.Iggyvirus_ng.zip</v>
      </c>
      <c r="U3265" s="43" t="str">
        <f>HYPERLINK("https://ictv.global/taxonomy/taxondetails?taxnode_id=202214633","ictv.global=202214633")</f>
        <v>ictv.global=202214633</v>
      </c>
    </row>
    <row r="3266" spans="1:21">
      <c r="A3266">
        <v>3265</v>
      </c>
      <c r="B3266" s="29" t="s">
        <v>3682</v>
      </c>
      <c r="C3266" s="29"/>
      <c r="D3266" s="29" t="s">
        <v>3683</v>
      </c>
      <c r="E3266" s="29"/>
      <c r="F3266" s="29" t="s">
        <v>3686</v>
      </c>
      <c r="G3266" s="29"/>
      <c r="H3266" s="29" t="s">
        <v>3687</v>
      </c>
      <c r="I3266" s="29"/>
      <c r="J3266" s="29"/>
      <c r="K3266" s="29"/>
      <c r="L3266" s="29"/>
      <c r="M3266" s="29"/>
      <c r="N3266" s="29" t="s">
        <v>3552</v>
      </c>
      <c r="O3266" s="29"/>
      <c r="P3266" s="29" t="s">
        <v>10503</v>
      </c>
      <c r="Q3266" t="s">
        <v>2038</v>
      </c>
      <c r="R3266" t="s">
        <v>2633</v>
      </c>
      <c r="S3266">
        <v>37</v>
      </c>
      <c r="T3266" s="43" t="str">
        <f t="shared" ref="T3266:T3272" si="149">HYPERLINK("https://ictv.global/ictv/proposals/2021.010B.R.Binomial_names.zip","2021.010B.R.Binomial_names.zip")</f>
        <v>2021.010B.R.Binomial_names.zip</v>
      </c>
      <c r="U3266" s="43" t="str">
        <f>HYPERLINK("https://ictv.global/taxonomy/taxondetails?taxnode_id=202206771","ictv.global=202206771")</f>
        <v>ictv.global=202206771</v>
      </c>
    </row>
    <row r="3267" spans="1:21">
      <c r="A3267">
        <v>3266</v>
      </c>
      <c r="B3267" s="29" t="s">
        <v>3682</v>
      </c>
      <c r="C3267" s="29"/>
      <c r="D3267" s="29" t="s">
        <v>3683</v>
      </c>
      <c r="E3267" s="29"/>
      <c r="F3267" s="29" t="s">
        <v>3686</v>
      </c>
      <c r="G3267" s="29"/>
      <c r="H3267" s="29" t="s">
        <v>3687</v>
      </c>
      <c r="I3267" s="29"/>
      <c r="J3267" s="29"/>
      <c r="K3267" s="29"/>
      <c r="L3267" s="29"/>
      <c r="M3267" s="29"/>
      <c r="N3267" s="29" t="s">
        <v>3552</v>
      </c>
      <c r="O3267" s="29"/>
      <c r="P3267" s="29" t="s">
        <v>10504</v>
      </c>
      <c r="Q3267" t="s">
        <v>2038</v>
      </c>
      <c r="R3267" t="s">
        <v>2633</v>
      </c>
      <c r="S3267">
        <v>37</v>
      </c>
      <c r="T3267" s="43" t="str">
        <f t="shared" si="149"/>
        <v>2021.010B.R.Binomial_names.zip</v>
      </c>
      <c r="U3267" s="43" t="str">
        <f>HYPERLINK("https://ictv.global/taxonomy/taxondetails?taxnode_id=202206772","ictv.global=202206772")</f>
        <v>ictv.global=202206772</v>
      </c>
    </row>
    <row r="3268" spans="1:21">
      <c r="A3268">
        <v>3267</v>
      </c>
      <c r="B3268" s="29" t="s">
        <v>3682</v>
      </c>
      <c r="C3268" s="29"/>
      <c r="D3268" s="29" t="s">
        <v>3683</v>
      </c>
      <c r="E3268" s="29"/>
      <c r="F3268" s="29" t="s">
        <v>3686</v>
      </c>
      <c r="G3268" s="29"/>
      <c r="H3268" s="29" t="s">
        <v>3687</v>
      </c>
      <c r="I3268" s="29"/>
      <c r="J3268" s="29"/>
      <c r="K3268" s="29"/>
      <c r="L3268" s="29"/>
      <c r="M3268" s="29"/>
      <c r="N3268" s="29" t="s">
        <v>3553</v>
      </c>
      <c r="O3268" s="29"/>
      <c r="P3268" s="29" t="s">
        <v>10505</v>
      </c>
      <c r="Q3268" t="s">
        <v>2038</v>
      </c>
      <c r="R3268" t="s">
        <v>2633</v>
      </c>
      <c r="S3268">
        <v>37</v>
      </c>
      <c r="T3268" s="43" t="str">
        <f t="shared" si="149"/>
        <v>2021.010B.R.Binomial_names.zip</v>
      </c>
      <c r="U3268" s="43" t="str">
        <f>HYPERLINK("https://ictv.global/taxonomy/taxondetails?taxnode_id=202206742","ictv.global=202206742")</f>
        <v>ictv.global=202206742</v>
      </c>
    </row>
    <row r="3269" spans="1:21">
      <c r="A3269">
        <v>3268</v>
      </c>
      <c r="B3269" s="29" t="s">
        <v>3682</v>
      </c>
      <c r="C3269" s="29"/>
      <c r="D3269" s="29" t="s">
        <v>3683</v>
      </c>
      <c r="E3269" s="29"/>
      <c r="F3269" s="29" t="s">
        <v>3686</v>
      </c>
      <c r="G3269" s="29"/>
      <c r="H3269" s="29" t="s">
        <v>3687</v>
      </c>
      <c r="I3269" s="29"/>
      <c r="J3269" s="29"/>
      <c r="K3269" s="29"/>
      <c r="L3269" s="29"/>
      <c r="M3269" s="29"/>
      <c r="N3269" s="29" t="s">
        <v>3553</v>
      </c>
      <c r="O3269" s="29"/>
      <c r="P3269" s="29" t="s">
        <v>10506</v>
      </c>
      <c r="Q3269" t="s">
        <v>2038</v>
      </c>
      <c r="R3269" t="s">
        <v>2633</v>
      </c>
      <c r="S3269">
        <v>37</v>
      </c>
      <c r="T3269" s="43" t="str">
        <f t="shared" si="149"/>
        <v>2021.010B.R.Binomial_names.zip</v>
      </c>
      <c r="U3269" s="43" t="str">
        <f>HYPERLINK("https://ictv.global/taxonomy/taxondetails?taxnode_id=202206741","ictv.global=202206741")</f>
        <v>ictv.global=202206741</v>
      </c>
    </row>
    <row r="3270" spans="1:21">
      <c r="A3270">
        <v>3269</v>
      </c>
      <c r="B3270" s="29" t="s">
        <v>3682</v>
      </c>
      <c r="C3270" s="29"/>
      <c r="D3270" s="29" t="s">
        <v>3683</v>
      </c>
      <c r="E3270" s="29"/>
      <c r="F3270" s="29" t="s">
        <v>3686</v>
      </c>
      <c r="G3270" s="29"/>
      <c r="H3270" s="29" t="s">
        <v>3687</v>
      </c>
      <c r="I3270" s="29"/>
      <c r="J3270" s="29"/>
      <c r="K3270" s="29"/>
      <c r="L3270" s="29"/>
      <c r="M3270" s="29"/>
      <c r="N3270" s="29" t="s">
        <v>3553</v>
      </c>
      <c r="O3270" s="29"/>
      <c r="P3270" s="29" t="s">
        <v>10507</v>
      </c>
      <c r="Q3270" t="s">
        <v>2038</v>
      </c>
      <c r="R3270" t="s">
        <v>2633</v>
      </c>
      <c r="S3270">
        <v>37</v>
      </c>
      <c r="T3270" s="43" t="str">
        <f t="shared" si="149"/>
        <v>2021.010B.R.Binomial_names.zip</v>
      </c>
      <c r="U3270" s="43" t="str">
        <f>HYPERLINK("https://ictv.global/taxonomy/taxondetails?taxnode_id=202210134","ictv.global=202210134")</f>
        <v>ictv.global=202210134</v>
      </c>
    </row>
    <row r="3271" spans="1:21">
      <c r="A3271">
        <v>3270</v>
      </c>
      <c r="B3271" s="29" t="s">
        <v>3682</v>
      </c>
      <c r="C3271" s="29"/>
      <c r="D3271" s="29" t="s">
        <v>3683</v>
      </c>
      <c r="E3271" s="29"/>
      <c r="F3271" s="29" t="s">
        <v>3686</v>
      </c>
      <c r="G3271" s="29"/>
      <c r="H3271" s="29" t="s">
        <v>3687</v>
      </c>
      <c r="I3271" s="29"/>
      <c r="J3271" s="29"/>
      <c r="K3271" s="29"/>
      <c r="L3271" s="29"/>
      <c r="M3271" s="29"/>
      <c r="N3271" s="29" t="s">
        <v>3553</v>
      </c>
      <c r="O3271" s="29"/>
      <c r="P3271" s="29" t="s">
        <v>10508</v>
      </c>
      <c r="Q3271" t="s">
        <v>2038</v>
      </c>
      <c r="R3271" t="s">
        <v>2633</v>
      </c>
      <c r="S3271">
        <v>37</v>
      </c>
      <c r="T3271" s="43" t="str">
        <f t="shared" si="149"/>
        <v>2021.010B.R.Binomial_names.zip</v>
      </c>
      <c r="U3271" s="43" t="str">
        <f>HYPERLINK("https://ictv.global/taxonomy/taxondetails?taxnode_id=202210135","ictv.global=202210135")</f>
        <v>ictv.global=202210135</v>
      </c>
    </row>
    <row r="3272" spans="1:21">
      <c r="A3272">
        <v>3271</v>
      </c>
      <c r="B3272" s="29" t="s">
        <v>3682</v>
      </c>
      <c r="C3272" s="29"/>
      <c r="D3272" s="29" t="s">
        <v>3683</v>
      </c>
      <c r="E3272" s="29"/>
      <c r="F3272" s="29" t="s">
        <v>3686</v>
      </c>
      <c r="G3272" s="29"/>
      <c r="H3272" s="29" t="s">
        <v>3687</v>
      </c>
      <c r="I3272" s="29"/>
      <c r="J3272" s="29"/>
      <c r="K3272" s="29"/>
      <c r="L3272" s="29"/>
      <c r="M3272" s="29"/>
      <c r="N3272" s="29" t="s">
        <v>3553</v>
      </c>
      <c r="O3272" s="29"/>
      <c r="P3272" s="29" t="s">
        <v>10509</v>
      </c>
      <c r="Q3272" t="s">
        <v>2038</v>
      </c>
      <c r="R3272" t="s">
        <v>2633</v>
      </c>
      <c r="S3272">
        <v>37</v>
      </c>
      <c r="T3272" s="43" t="str">
        <f t="shared" si="149"/>
        <v>2021.010B.R.Binomial_names.zip</v>
      </c>
      <c r="U3272" s="43" t="str">
        <f>HYPERLINK("https://ictv.global/taxonomy/taxondetails?taxnode_id=202210136","ictv.global=202210136")</f>
        <v>ictv.global=202210136</v>
      </c>
    </row>
    <row r="3273" spans="1:21">
      <c r="A3273">
        <v>3272</v>
      </c>
      <c r="B3273" s="29" t="s">
        <v>3682</v>
      </c>
      <c r="C3273" s="29"/>
      <c r="D3273" s="29" t="s">
        <v>3683</v>
      </c>
      <c r="E3273" s="29"/>
      <c r="F3273" s="29" t="s">
        <v>3686</v>
      </c>
      <c r="G3273" s="29"/>
      <c r="H3273" s="29" t="s">
        <v>3687</v>
      </c>
      <c r="I3273" s="29"/>
      <c r="J3273" s="29"/>
      <c r="K3273" s="29"/>
      <c r="L3273" s="29"/>
      <c r="M3273" s="29"/>
      <c r="N3273" s="29" t="s">
        <v>10510</v>
      </c>
      <c r="O3273" s="29"/>
      <c r="P3273" s="29" t="s">
        <v>10511</v>
      </c>
      <c r="Q3273" t="s">
        <v>2038</v>
      </c>
      <c r="R3273" t="s">
        <v>2632</v>
      </c>
      <c r="S3273">
        <v>37</v>
      </c>
      <c r="T3273" s="43" t="str">
        <f>HYPERLINK("https://ictv.global/ictv/proposals/2021.028B.R.Flavobacterium_phages_new_genera.zip","2021.028B.R.Flavobacterium_phages_new_genera.zip")</f>
        <v>2021.028B.R.Flavobacterium_phages_new_genera.zip</v>
      </c>
      <c r="U3273" s="43" t="str">
        <f>HYPERLINK("https://ictv.global/taxonomy/taxondetails?taxnode_id=202213528","ictv.global=202213528")</f>
        <v>ictv.global=202213528</v>
      </c>
    </row>
    <row r="3274" spans="1:21">
      <c r="A3274">
        <v>3273</v>
      </c>
      <c r="B3274" s="29" t="s">
        <v>3682</v>
      </c>
      <c r="C3274" s="29"/>
      <c r="D3274" s="29" t="s">
        <v>3683</v>
      </c>
      <c r="E3274" s="29"/>
      <c r="F3274" s="29" t="s">
        <v>3686</v>
      </c>
      <c r="G3274" s="29"/>
      <c r="H3274" s="29" t="s">
        <v>3687</v>
      </c>
      <c r="I3274" s="29"/>
      <c r="J3274" s="29"/>
      <c r="K3274" s="29"/>
      <c r="L3274" s="29"/>
      <c r="M3274" s="29"/>
      <c r="N3274" s="29" t="s">
        <v>10512</v>
      </c>
      <c r="O3274" s="29"/>
      <c r="P3274" s="29" t="s">
        <v>10513</v>
      </c>
      <c r="Q3274" t="s">
        <v>2038</v>
      </c>
      <c r="R3274" t="s">
        <v>2635</v>
      </c>
      <c r="S3274">
        <v>38</v>
      </c>
      <c r="T3274" s="43" t="str">
        <f>HYPERLINK("https://ictv.global/ictv/proposals/2022.030B.Error_correction.zip","2022.030B.Error_correction.zip")</f>
        <v>2022.030B.Error_correction.zip</v>
      </c>
      <c r="U3274" s="43" t="str">
        <f>HYPERLINK("https://ictv.global/taxonomy/taxondetails?taxnode_id=202201102","ictv.global=202201102")</f>
        <v>ictv.global=202201102</v>
      </c>
    </row>
    <row r="3275" spans="1:21">
      <c r="A3275">
        <v>3274</v>
      </c>
      <c r="B3275" s="29" t="s">
        <v>3682</v>
      </c>
      <c r="C3275" s="29"/>
      <c r="D3275" s="29" t="s">
        <v>3683</v>
      </c>
      <c r="E3275" s="29"/>
      <c r="F3275" s="29" t="s">
        <v>3686</v>
      </c>
      <c r="G3275" s="29"/>
      <c r="H3275" s="29" t="s">
        <v>3687</v>
      </c>
      <c r="I3275" s="29"/>
      <c r="J3275" s="29"/>
      <c r="K3275" s="29"/>
      <c r="L3275" s="29"/>
      <c r="M3275" s="29"/>
      <c r="N3275" s="29" t="s">
        <v>10512</v>
      </c>
      <c r="O3275" s="29"/>
      <c r="P3275" s="29" t="s">
        <v>10514</v>
      </c>
      <c r="Q3275" t="s">
        <v>2038</v>
      </c>
      <c r="R3275" t="s">
        <v>2635</v>
      </c>
      <c r="S3275">
        <v>38</v>
      </c>
      <c r="T3275" s="43" t="str">
        <f>HYPERLINK("https://ictv.global/ictv/proposals/2022.030B.Error_correction.zip","2022.030B.Error_correction.zip")</f>
        <v>2022.030B.Error_correction.zip</v>
      </c>
      <c r="U3275" s="43" t="str">
        <f>HYPERLINK("https://ictv.global/taxonomy/taxondetails?taxnode_id=202201103","ictv.global=202201103")</f>
        <v>ictv.global=202201103</v>
      </c>
    </row>
    <row r="3276" spans="1:21">
      <c r="A3276">
        <v>3275</v>
      </c>
      <c r="B3276" s="29" t="s">
        <v>3682</v>
      </c>
      <c r="C3276" s="29"/>
      <c r="D3276" s="29" t="s">
        <v>3683</v>
      </c>
      <c r="E3276" s="29"/>
      <c r="F3276" s="29" t="s">
        <v>3686</v>
      </c>
      <c r="G3276" s="29"/>
      <c r="H3276" s="29" t="s">
        <v>3687</v>
      </c>
      <c r="I3276" s="29"/>
      <c r="J3276" s="29"/>
      <c r="K3276" s="29"/>
      <c r="L3276" s="29"/>
      <c r="M3276" s="29"/>
      <c r="N3276" s="29" t="s">
        <v>4733</v>
      </c>
      <c r="O3276" s="29"/>
      <c r="P3276" s="29" t="s">
        <v>10515</v>
      </c>
      <c r="Q3276" t="s">
        <v>2038</v>
      </c>
      <c r="R3276" t="s">
        <v>2633</v>
      </c>
      <c r="S3276">
        <v>37</v>
      </c>
      <c r="T3276" s="43" t="str">
        <f>HYPERLINK("https://ictv.global/ictv/proposals/2021.010B.R.Binomial_names.zip","2021.010B.R.Binomial_names.zip")</f>
        <v>2021.010B.R.Binomial_names.zip</v>
      </c>
      <c r="U3276" s="43" t="str">
        <f>HYPERLINK("https://ictv.global/taxonomy/taxondetails?taxnode_id=202209915","ictv.global=202209915")</f>
        <v>ictv.global=202209915</v>
      </c>
    </row>
    <row r="3277" spans="1:21">
      <c r="A3277">
        <v>3276</v>
      </c>
      <c r="B3277" s="29" t="s">
        <v>3682</v>
      </c>
      <c r="C3277" s="29"/>
      <c r="D3277" s="29" t="s">
        <v>3683</v>
      </c>
      <c r="E3277" s="29"/>
      <c r="F3277" s="29" t="s">
        <v>3686</v>
      </c>
      <c r="G3277" s="29"/>
      <c r="H3277" s="29" t="s">
        <v>3687</v>
      </c>
      <c r="I3277" s="29"/>
      <c r="J3277" s="29"/>
      <c r="K3277" s="29"/>
      <c r="L3277" s="29"/>
      <c r="M3277" s="29"/>
      <c r="N3277" s="29" t="s">
        <v>3554</v>
      </c>
      <c r="O3277" s="29"/>
      <c r="P3277" s="29" t="s">
        <v>10516</v>
      </c>
      <c r="Q3277" t="s">
        <v>2038</v>
      </c>
      <c r="R3277" t="s">
        <v>2633</v>
      </c>
      <c r="S3277">
        <v>37</v>
      </c>
      <c r="T3277" s="43" t="str">
        <f>HYPERLINK("https://ictv.global/ictv/proposals/2021.010B.R.Binomial_names.zip","2021.010B.R.Binomial_names.zip")</f>
        <v>2021.010B.R.Binomial_names.zip</v>
      </c>
      <c r="U3277" s="43" t="str">
        <f>HYPERLINK("https://ictv.global/taxonomy/taxondetails?taxnode_id=202201105","ictv.global=202201105")</f>
        <v>ictv.global=202201105</v>
      </c>
    </row>
    <row r="3278" spans="1:21">
      <c r="A3278">
        <v>3277</v>
      </c>
      <c r="B3278" s="29" t="s">
        <v>3682</v>
      </c>
      <c r="C3278" s="29"/>
      <c r="D3278" s="29" t="s">
        <v>3683</v>
      </c>
      <c r="E3278" s="29"/>
      <c r="F3278" s="29" t="s">
        <v>3686</v>
      </c>
      <c r="G3278" s="29"/>
      <c r="H3278" s="29" t="s">
        <v>3687</v>
      </c>
      <c r="I3278" s="29"/>
      <c r="J3278" s="29"/>
      <c r="K3278" s="29"/>
      <c r="L3278" s="29"/>
      <c r="M3278" s="29"/>
      <c r="N3278" s="29" t="s">
        <v>3554</v>
      </c>
      <c r="O3278" s="29"/>
      <c r="P3278" s="29" t="s">
        <v>10517</v>
      </c>
      <c r="Q3278" t="s">
        <v>2038</v>
      </c>
      <c r="R3278" t="s">
        <v>2633</v>
      </c>
      <c r="S3278">
        <v>37</v>
      </c>
      <c r="T3278" s="43" t="str">
        <f>HYPERLINK("https://ictv.global/ictv/proposals/2021.010B.R.Binomial_names.zip","2021.010B.R.Binomial_names.zip")</f>
        <v>2021.010B.R.Binomial_names.zip</v>
      </c>
      <c r="U3278" s="43" t="str">
        <f>HYPERLINK("https://ictv.global/taxonomy/taxondetails?taxnode_id=202201106","ictv.global=202201106")</f>
        <v>ictv.global=202201106</v>
      </c>
    </row>
    <row r="3279" spans="1:21">
      <c r="A3279">
        <v>3278</v>
      </c>
      <c r="B3279" s="29" t="s">
        <v>3682</v>
      </c>
      <c r="C3279" s="29"/>
      <c r="D3279" s="29" t="s">
        <v>3683</v>
      </c>
      <c r="E3279" s="29"/>
      <c r="F3279" s="29" t="s">
        <v>3686</v>
      </c>
      <c r="G3279" s="29"/>
      <c r="H3279" s="29" t="s">
        <v>3687</v>
      </c>
      <c r="I3279" s="29"/>
      <c r="J3279" s="29"/>
      <c r="K3279" s="29"/>
      <c r="L3279" s="29"/>
      <c r="M3279" s="29"/>
      <c r="N3279" s="29" t="s">
        <v>3410</v>
      </c>
      <c r="O3279" s="29"/>
      <c r="P3279" s="29" t="s">
        <v>10518</v>
      </c>
      <c r="Q3279" t="s">
        <v>2038</v>
      </c>
      <c r="R3279" t="s">
        <v>2633</v>
      </c>
      <c r="S3279">
        <v>37</v>
      </c>
      <c r="T3279" s="43" t="str">
        <f>HYPERLINK("https://ictv.global/ictv/proposals/2021.010B.R.Binomial_names.zip","2021.010B.R.Binomial_names.zip")</f>
        <v>2021.010B.R.Binomial_names.zip</v>
      </c>
      <c r="U3279" s="43" t="str">
        <f>HYPERLINK("https://ictv.global/taxonomy/taxondetails?taxnode_id=202206507","ictv.global=202206507")</f>
        <v>ictv.global=202206507</v>
      </c>
    </row>
    <row r="3280" spans="1:21">
      <c r="A3280">
        <v>3279</v>
      </c>
      <c r="B3280" s="29" t="s">
        <v>3682</v>
      </c>
      <c r="C3280" s="29"/>
      <c r="D3280" s="29" t="s">
        <v>3683</v>
      </c>
      <c r="E3280" s="29"/>
      <c r="F3280" s="29" t="s">
        <v>3686</v>
      </c>
      <c r="G3280" s="29"/>
      <c r="H3280" s="29" t="s">
        <v>3687</v>
      </c>
      <c r="I3280" s="29"/>
      <c r="J3280" s="29"/>
      <c r="K3280" s="29"/>
      <c r="L3280" s="29"/>
      <c r="M3280" s="29"/>
      <c r="N3280" s="29" t="s">
        <v>3411</v>
      </c>
      <c r="O3280" s="29"/>
      <c r="P3280" s="29" t="s">
        <v>10519</v>
      </c>
      <c r="Q3280" t="s">
        <v>2038</v>
      </c>
      <c r="R3280" t="s">
        <v>2633</v>
      </c>
      <c r="S3280">
        <v>37</v>
      </c>
      <c r="T3280" s="43" t="str">
        <f>HYPERLINK("https://ictv.global/ictv/proposals/2021.010B.R.Binomial_names.zip","2021.010B.R.Binomial_names.zip")</f>
        <v>2021.010B.R.Binomial_names.zip</v>
      </c>
      <c r="U3280" s="43" t="str">
        <f>HYPERLINK("https://ictv.global/taxonomy/taxondetails?taxnode_id=202206832","ictv.global=202206832")</f>
        <v>ictv.global=202206832</v>
      </c>
    </row>
    <row r="3281" spans="1:21">
      <c r="A3281">
        <v>3280</v>
      </c>
      <c r="B3281" s="29" t="s">
        <v>3682</v>
      </c>
      <c r="C3281" s="29"/>
      <c r="D3281" s="29" t="s">
        <v>3683</v>
      </c>
      <c r="E3281" s="29"/>
      <c r="F3281" s="29" t="s">
        <v>3686</v>
      </c>
      <c r="G3281" s="29"/>
      <c r="H3281" s="29" t="s">
        <v>3687</v>
      </c>
      <c r="I3281" s="29"/>
      <c r="J3281" s="29"/>
      <c r="K3281" s="29"/>
      <c r="L3281" s="29"/>
      <c r="M3281" s="29"/>
      <c r="N3281" s="29" t="s">
        <v>10520</v>
      </c>
      <c r="O3281" s="29"/>
      <c r="P3281" s="29" t="s">
        <v>10521</v>
      </c>
      <c r="Q3281" t="s">
        <v>2038</v>
      </c>
      <c r="R3281" t="s">
        <v>2632</v>
      </c>
      <c r="S3281">
        <v>38</v>
      </c>
      <c r="T3281" s="43" t="str">
        <f>HYPERLINK("https://ictv.global/ictv/proposals/2022.080B.Caudoviricetes_6ng.zip","2022.080B.Caudoviricetes_6ng.zip")</f>
        <v>2022.080B.Caudoviricetes_6ng.zip</v>
      </c>
      <c r="U3281" s="43" t="str">
        <f>HYPERLINK("https://ictv.global/taxonomy/taxondetails?taxnode_id=202214867","ictv.global=202214867")</f>
        <v>ictv.global=202214867</v>
      </c>
    </row>
    <row r="3282" spans="1:21">
      <c r="A3282">
        <v>3281</v>
      </c>
      <c r="B3282" s="29" t="s">
        <v>3682</v>
      </c>
      <c r="C3282" s="29"/>
      <c r="D3282" s="29" t="s">
        <v>3683</v>
      </c>
      <c r="E3282" s="29"/>
      <c r="F3282" s="29" t="s">
        <v>3686</v>
      </c>
      <c r="G3282" s="29"/>
      <c r="H3282" s="29" t="s">
        <v>3687</v>
      </c>
      <c r="I3282" s="29"/>
      <c r="J3282" s="29"/>
      <c r="K3282" s="29"/>
      <c r="L3282" s="29"/>
      <c r="M3282" s="29"/>
      <c r="N3282" s="29" t="s">
        <v>10522</v>
      </c>
      <c r="O3282" s="29"/>
      <c r="P3282" s="29" t="s">
        <v>10523</v>
      </c>
      <c r="Q3282" t="s">
        <v>2038</v>
      </c>
      <c r="R3282" t="s">
        <v>2632</v>
      </c>
      <c r="S3282">
        <v>38</v>
      </c>
      <c r="T3282" s="43" t="str">
        <f>HYPERLINK("https://ictv.global/ictv/proposals/2022.040B.Ittyvirus_ng.zip","2022.040B.Ittyvirus_ng.zip")</f>
        <v>2022.040B.Ittyvirus_ng.zip</v>
      </c>
      <c r="U3282" s="43" t="str">
        <f>HYPERLINK("https://ictv.global/taxonomy/taxondetails?taxnode_id=202214638","ictv.global=202214638")</f>
        <v>ictv.global=202214638</v>
      </c>
    </row>
    <row r="3283" spans="1:21">
      <c r="A3283">
        <v>3282</v>
      </c>
      <c r="B3283" s="29" t="s">
        <v>3682</v>
      </c>
      <c r="C3283" s="29"/>
      <c r="D3283" s="29" t="s">
        <v>3683</v>
      </c>
      <c r="E3283" s="29"/>
      <c r="F3283" s="29" t="s">
        <v>3686</v>
      </c>
      <c r="G3283" s="29"/>
      <c r="H3283" s="29" t="s">
        <v>3687</v>
      </c>
      <c r="I3283" s="29"/>
      <c r="J3283" s="29"/>
      <c r="K3283" s="29"/>
      <c r="L3283" s="29"/>
      <c r="M3283" s="29"/>
      <c r="N3283" s="29" t="s">
        <v>4005</v>
      </c>
      <c r="O3283" s="29"/>
      <c r="P3283" s="29" t="s">
        <v>10524</v>
      </c>
      <c r="Q3283" t="s">
        <v>2038</v>
      </c>
      <c r="R3283" t="s">
        <v>2633</v>
      </c>
      <c r="S3283">
        <v>37</v>
      </c>
      <c r="T3283" s="43" t="str">
        <f t="shared" ref="T3283:T3296" si="150">HYPERLINK("https://ictv.global/ictv/proposals/2021.010B.R.Binomial_names.zip","2021.010B.R.Binomial_names.zip")</f>
        <v>2021.010B.R.Binomial_names.zip</v>
      </c>
      <c r="U3283" s="43" t="str">
        <f>HYPERLINK("https://ictv.global/taxonomy/taxondetails?taxnode_id=202207414","ictv.global=202207414")</f>
        <v>ictv.global=202207414</v>
      </c>
    </row>
    <row r="3284" spans="1:21">
      <c r="A3284">
        <v>3283</v>
      </c>
      <c r="B3284" s="29" t="s">
        <v>3682</v>
      </c>
      <c r="C3284" s="29"/>
      <c r="D3284" s="29" t="s">
        <v>3683</v>
      </c>
      <c r="E3284" s="29"/>
      <c r="F3284" s="29" t="s">
        <v>3686</v>
      </c>
      <c r="G3284" s="29"/>
      <c r="H3284" s="29" t="s">
        <v>3687</v>
      </c>
      <c r="I3284" s="29"/>
      <c r="J3284" s="29"/>
      <c r="K3284" s="29"/>
      <c r="L3284" s="29"/>
      <c r="M3284" s="29"/>
      <c r="N3284" s="29" t="s">
        <v>4734</v>
      </c>
      <c r="O3284" s="29"/>
      <c r="P3284" s="29" t="s">
        <v>10525</v>
      </c>
      <c r="Q3284" t="s">
        <v>2038</v>
      </c>
      <c r="R3284" t="s">
        <v>2633</v>
      </c>
      <c r="S3284">
        <v>37</v>
      </c>
      <c r="T3284" s="43" t="str">
        <f t="shared" si="150"/>
        <v>2021.010B.R.Binomial_names.zip</v>
      </c>
      <c r="U3284" s="43" t="str">
        <f>HYPERLINK("https://ictv.global/taxonomy/taxondetails?taxnode_id=202210138","ictv.global=202210138")</f>
        <v>ictv.global=202210138</v>
      </c>
    </row>
    <row r="3285" spans="1:21">
      <c r="A3285">
        <v>3284</v>
      </c>
      <c r="B3285" s="29" t="s">
        <v>3682</v>
      </c>
      <c r="C3285" s="29"/>
      <c r="D3285" s="29" t="s">
        <v>3683</v>
      </c>
      <c r="E3285" s="29"/>
      <c r="F3285" s="29" t="s">
        <v>3686</v>
      </c>
      <c r="G3285" s="29"/>
      <c r="H3285" s="29" t="s">
        <v>3687</v>
      </c>
      <c r="I3285" s="29"/>
      <c r="J3285" s="29"/>
      <c r="K3285" s="29"/>
      <c r="L3285" s="29"/>
      <c r="M3285" s="29"/>
      <c r="N3285" s="29" t="s">
        <v>3471</v>
      </c>
      <c r="O3285" s="29"/>
      <c r="P3285" s="29" t="s">
        <v>10526</v>
      </c>
      <c r="Q3285" t="s">
        <v>2038</v>
      </c>
      <c r="R3285" t="s">
        <v>2633</v>
      </c>
      <c r="S3285">
        <v>37</v>
      </c>
      <c r="T3285" s="43" t="str">
        <f t="shared" si="150"/>
        <v>2021.010B.R.Binomial_names.zip</v>
      </c>
      <c r="U3285" s="43" t="str">
        <f>HYPERLINK("https://ictv.global/taxonomy/taxondetails?taxnode_id=202206491","ictv.global=202206491")</f>
        <v>ictv.global=202206491</v>
      </c>
    </row>
    <row r="3286" spans="1:21">
      <c r="A3286">
        <v>3285</v>
      </c>
      <c r="B3286" s="29" t="s">
        <v>3682</v>
      </c>
      <c r="C3286" s="29"/>
      <c r="D3286" s="29" t="s">
        <v>3683</v>
      </c>
      <c r="E3286" s="29"/>
      <c r="F3286" s="29" t="s">
        <v>3686</v>
      </c>
      <c r="G3286" s="29"/>
      <c r="H3286" s="29" t="s">
        <v>3687</v>
      </c>
      <c r="I3286" s="29"/>
      <c r="J3286" s="29"/>
      <c r="K3286" s="29"/>
      <c r="L3286" s="29"/>
      <c r="M3286" s="29"/>
      <c r="N3286" s="29" t="s">
        <v>3471</v>
      </c>
      <c r="O3286" s="29"/>
      <c r="P3286" s="29" t="s">
        <v>10527</v>
      </c>
      <c r="Q3286" t="s">
        <v>2038</v>
      </c>
      <c r="R3286" t="s">
        <v>2633</v>
      </c>
      <c r="S3286">
        <v>37</v>
      </c>
      <c r="T3286" s="43" t="str">
        <f t="shared" si="150"/>
        <v>2021.010B.R.Binomial_names.zip</v>
      </c>
      <c r="U3286" s="43" t="str">
        <f>HYPERLINK("https://ictv.global/taxonomy/taxondetails?taxnode_id=202206490","ictv.global=202206490")</f>
        <v>ictv.global=202206490</v>
      </c>
    </row>
    <row r="3287" spans="1:21">
      <c r="A3287">
        <v>3286</v>
      </c>
      <c r="B3287" s="29" t="s">
        <v>3682</v>
      </c>
      <c r="C3287" s="29"/>
      <c r="D3287" s="29" t="s">
        <v>3683</v>
      </c>
      <c r="E3287" s="29"/>
      <c r="F3287" s="29" t="s">
        <v>3686</v>
      </c>
      <c r="G3287" s="29"/>
      <c r="H3287" s="29" t="s">
        <v>3687</v>
      </c>
      <c r="I3287" s="29"/>
      <c r="J3287" s="29"/>
      <c r="K3287" s="29"/>
      <c r="L3287" s="29"/>
      <c r="M3287" s="29"/>
      <c r="N3287" s="29" t="s">
        <v>3412</v>
      </c>
      <c r="O3287" s="29"/>
      <c r="P3287" s="29" t="s">
        <v>10528</v>
      </c>
      <c r="Q3287" t="s">
        <v>2038</v>
      </c>
      <c r="R3287" t="s">
        <v>2633</v>
      </c>
      <c r="S3287">
        <v>37</v>
      </c>
      <c r="T3287" s="43" t="str">
        <f t="shared" si="150"/>
        <v>2021.010B.R.Binomial_names.zip</v>
      </c>
      <c r="U3287" s="43" t="str">
        <f>HYPERLINK("https://ictv.global/taxonomy/taxondetails?taxnode_id=202206836","ictv.global=202206836")</f>
        <v>ictv.global=202206836</v>
      </c>
    </row>
    <row r="3288" spans="1:21">
      <c r="A3288">
        <v>3287</v>
      </c>
      <c r="B3288" s="29" t="s">
        <v>3682</v>
      </c>
      <c r="C3288" s="29"/>
      <c r="D3288" s="29" t="s">
        <v>3683</v>
      </c>
      <c r="E3288" s="29"/>
      <c r="F3288" s="29" t="s">
        <v>3686</v>
      </c>
      <c r="G3288" s="29"/>
      <c r="H3288" s="29" t="s">
        <v>3687</v>
      </c>
      <c r="I3288" s="29"/>
      <c r="J3288" s="29"/>
      <c r="K3288" s="29"/>
      <c r="L3288" s="29"/>
      <c r="M3288" s="29"/>
      <c r="N3288" s="29" t="s">
        <v>3412</v>
      </c>
      <c r="O3288" s="29"/>
      <c r="P3288" s="29" t="s">
        <v>10529</v>
      </c>
      <c r="Q3288" t="s">
        <v>2038</v>
      </c>
      <c r="R3288" t="s">
        <v>2633</v>
      </c>
      <c r="S3288">
        <v>37</v>
      </c>
      <c r="T3288" s="43" t="str">
        <f t="shared" si="150"/>
        <v>2021.010B.R.Binomial_names.zip</v>
      </c>
      <c r="U3288" s="43" t="str">
        <f>HYPERLINK("https://ictv.global/taxonomy/taxondetails?taxnode_id=202206837","ictv.global=202206837")</f>
        <v>ictv.global=202206837</v>
      </c>
    </row>
    <row r="3289" spans="1:21">
      <c r="A3289">
        <v>3288</v>
      </c>
      <c r="B3289" s="29" t="s">
        <v>3682</v>
      </c>
      <c r="C3289" s="29"/>
      <c r="D3289" s="29" t="s">
        <v>3683</v>
      </c>
      <c r="E3289" s="29"/>
      <c r="F3289" s="29" t="s">
        <v>3686</v>
      </c>
      <c r="G3289" s="29"/>
      <c r="H3289" s="29" t="s">
        <v>3687</v>
      </c>
      <c r="I3289" s="29"/>
      <c r="J3289" s="29"/>
      <c r="K3289" s="29"/>
      <c r="L3289" s="29"/>
      <c r="M3289" s="29"/>
      <c r="N3289" s="29" t="s">
        <v>3412</v>
      </c>
      <c r="O3289" s="29"/>
      <c r="P3289" s="29" t="s">
        <v>10530</v>
      </c>
      <c r="Q3289" t="s">
        <v>2038</v>
      </c>
      <c r="R3289" t="s">
        <v>2633</v>
      </c>
      <c r="S3289">
        <v>37</v>
      </c>
      <c r="T3289" s="43" t="str">
        <f t="shared" si="150"/>
        <v>2021.010B.R.Binomial_names.zip</v>
      </c>
      <c r="U3289" s="43" t="str">
        <f>HYPERLINK("https://ictv.global/taxonomy/taxondetails?taxnode_id=202206838","ictv.global=202206838")</f>
        <v>ictv.global=202206838</v>
      </c>
    </row>
    <row r="3290" spans="1:21">
      <c r="A3290">
        <v>3289</v>
      </c>
      <c r="B3290" s="29" t="s">
        <v>3682</v>
      </c>
      <c r="C3290" s="29"/>
      <c r="D3290" s="29" t="s">
        <v>3683</v>
      </c>
      <c r="E3290" s="29"/>
      <c r="F3290" s="29" t="s">
        <v>3686</v>
      </c>
      <c r="G3290" s="29"/>
      <c r="H3290" s="29" t="s">
        <v>3687</v>
      </c>
      <c r="I3290" s="29"/>
      <c r="J3290" s="29"/>
      <c r="K3290" s="29"/>
      <c r="L3290" s="29"/>
      <c r="M3290" s="29"/>
      <c r="N3290" s="29" t="s">
        <v>2436</v>
      </c>
      <c r="O3290" s="29"/>
      <c r="P3290" s="29" t="s">
        <v>10531</v>
      </c>
      <c r="Q3290" t="s">
        <v>2038</v>
      </c>
      <c r="R3290" t="s">
        <v>2633</v>
      </c>
      <c r="S3290">
        <v>37</v>
      </c>
      <c r="T3290" s="43" t="str">
        <f t="shared" si="150"/>
        <v>2021.010B.R.Binomial_names.zip</v>
      </c>
      <c r="U3290" s="43" t="str">
        <f>HYPERLINK("https://ictv.global/taxonomy/taxondetails?taxnode_id=202200991","ictv.global=202200991")</f>
        <v>ictv.global=202200991</v>
      </c>
    </row>
    <row r="3291" spans="1:21">
      <c r="A3291">
        <v>3290</v>
      </c>
      <c r="B3291" s="29" t="s">
        <v>3682</v>
      </c>
      <c r="C3291" s="29"/>
      <c r="D3291" s="29" t="s">
        <v>3683</v>
      </c>
      <c r="E3291" s="29"/>
      <c r="F3291" s="29" t="s">
        <v>3686</v>
      </c>
      <c r="G3291" s="29"/>
      <c r="H3291" s="29" t="s">
        <v>3687</v>
      </c>
      <c r="I3291" s="29"/>
      <c r="J3291" s="29"/>
      <c r="K3291" s="29"/>
      <c r="L3291" s="29"/>
      <c r="M3291" s="29"/>
      <c r="N3291" s="29" t="s">
        <v>2415</v>
      </c>
      <c r="O3291" s="29"/>
      <c r="P3291" s="29" t="s">
        <v>10532</v>
      </c>
      <c r="Q3291" t="s">
        <v>2038</v>
      </c>
      <c r="R3291" t="s">
        <v>2633</v>
      </c>
      <c r="S3291">
        <v>37</v>
      </c>
      <c r="T3291" s="43" t="str">
        <f t="shared" si="150"/>
        <v>2021.010B.R.Binomial_names.zip</v>
      </c>
      <c r="U3291" s="43" t="str">
        <f>HYPERLINK("https://ictv.global/taxonomy/taxondetails?taxnode_id=202200437","ictv.global=202200437")</f>
        <v>ictv.global=202200437</v>
      </c>
    </row>
    <row r="3292" spans="1:21">
      <c r="A3292">
        <v>3291</v>
      </c>
      <c r="B3292" s="29" t="s">
        <v>3682</v>
      </c>
      <c r="C3292" s="29"/>
      <c r="D3292" s="29" t="s">
        <v>3683</v>
      </c>
      <c r="E3292" s="29"/>
      <c r="F3292" s="29" t="s">
        <v>3686</v>
      </c>
      <c r="G3292" s="29"/>
      <c r="H3292" s="29" t="s">
        <v>3687</v>
      </c>
      <c r="I3292" s="29"/>
      <c r="J3292" s="29"/>
      <c r="K3292" s="29"/>
      <c r="L3292" s="29"/>
      <c r="M3292" s="29"/>
      <c r="N3292" s="29" t="s">
        <v>2415</v>
      </c>
      <c r="O3292" s="29"/>
      <c r="P3292" s="29" t="s">
        <v>10533</v>
      </c>
      <c r="Q3292" t="s">
        <v>2038</v>
      </c>
      <c r="R3292" t="s">
        <v>2633</v>
      </c>
      <c r="S3292">
        <v>37</v>
      </c>
      <c r="T3292" s="43" t="str">
        <f t="shared" si="150"/>
        <v>2021.010B.R.Binomial_names.zip</v>
      </c>
      <c r="U3292" s="43" t="str">
        <f>HYPERLINK("https://ictv.global/taxonomy/taxondetails?taxnode_id=202200438","ictv.global=202200438")</f>
        <v>ictv.global=202200438</v>
      </c>
    </row>
    <row r="3293" spans="1:21">
      <c r="A3293">
        <v>3292</v>
      </c>
      <c r="B3293" s="29" t="s">
        <v>3682</v>
      </c>
      <c r="C3293" s="29"/>
      <c r="D3293" s="29" t="s">
        <v>3683</v>
      </c>
      <c r="E3293" s="29"/>
      <c r="F3293" s="29" t="s">
        <v>3686</v>
      </c>
      <c r="G3293" s="29"/>
      <c r="H3293" s="29" t="s">
        <v>3687</v>
      </c>
      <c r="I3293" s="29"/>
      <c r="J3293" s="29"/>
      <c r="K3293" s="29"/>
      <c r="L3293" s="29"/>
      <c r="M3293" s="29"/>
      <c r="N3293" s="29" t="s">
        <v>4735</v>
      </c>
      <c r="O3293" s="29"/>
      <c r="P3293" s="29" t="s">
        <v>10534</v>
      </c>
      <c r="Q3293" t="s">
        <v>2038</v>
      </c>
      <c r="R3293" t="s">
        <v>2633</v>
      </c>
      <c r="S3293">
        <v>37</v>
      </c>
      <c r="T3293" s="43" t="str">
        <f t="shared" si="150"/>
        <v>2021.010B.R.Binomial_names.zip</v>
      </c>
      <c r="U3293" s="43" t="str">
        <f>HYPERLINK("https://ictv.global/taxonomy/taxondetails?taxnode_id=202209348","ictv.global=202209348")</f>
        <v>ictv.global=202209348</v>
      </c>
    </row>
    <row r="3294" spans="1:21">
      <c r="A3294">
        <v>3293</v>
      </c>
      <c r="B3294" s="29" t="s">
        <v>3682</v>
      </c>
      <c r="C3294" s="29"/>
      <c r="D3294" s="29" t="s">
        <v>3683</v>
      </c>
      <c r="E3294" s="29"/>
      <c r="F3294" s="29" t="s">
        <v>3686</v>
      </c>
      <c r="G3294" s="29"/>
      <c r="H3294" s="29" t="s">
        <v>3687</v>
      </c>
      <c r="I3294" s="29"/>
      <c r="J3294" s="29"/>
      <c r="K3294" s="29"/>
      <c r="L3294" s="29"/>
      <c r="M3294" s="29"/>
      <c r="N3294" s="29" t="s">
        <v>4735</v>
      </c>
      <c r="O3294" s="29"/>
      <c r="P3294" s="29" t="s">
        <v>10535</v>
      </c>
      <c r="Q3294" t="s">
        <v>2038</v>
      </c>
      <c r="R3294" t="s">
        <v>2633</v>
      </c>
      <c r="S3294">
        <v>37</v>
      </c>
      <c r="T3294" s="43" t="str">
        <f t="shared" si="150"/>
        <v>2021.010B.R.Binomial_names.zip</v>
      </c>
      <c r="U3294" s="43" t="str">
        <f>HYPERLINK("https://ictv.global/taxonomy/taxondetails?taxnode_id=202209347","ictv.global=202209347")</f>
        <v>ictv.global=202209347</v>
      </c>
    </row>
    <row r="3295" spans="1:21">
      <c r="A3295">
        <v>3294</v>
      </c>
      <c r="B3295" s="29" t="s">
        <v>3682</v>
      </c>
      <c r="C3295" s="29"/>
      <c r="D3295" s="29" t="s">
        <v>3683</v>
      </c>
      <c r="E3295" s="29"/>
      <c r="F3295" s="29" t="s">
        <v>3686</v>
      </c>
      <c r="G3295" s="29"/>
      <c r="H3295" s="29" t="s">
        <v>3687</v>
      </c>
      <c r="I3295" s="29"/>
      <c r="J3295" s="29"/>
      <c r="K3295" s="29"/>
      <c r="L3295" s="29"/>
      <c r="M3295" s="29"/>
      <c r="N3295" s="29" t="s">
        <v>4735</v>
      </c>
      <c r="O3295" s="29"/>
      <c r="P3295" s="29" t="s">
        <v>10536</v>
      </c>
      <c r="Q3295" t="s">
        <v>2038</v>
      </c>
      <c r="R3295" t="s">
        <v>2633</v>
      </c>
      <c r="S3295">
        <v>37</v>
      </c>
      <c r="T3295" s="43" t="str">
        <f t="shared" si="150"/>
        <v>2021.010B.R.Binomial_names.zip</v>
      </c>
      <c r="U3295" s="43" t="str">
        <f>HYPERLINK("https://ictv.global/taxonomy/taxondetails?taxnode_id=202209346","ictv.global=202209346")</f>
        <v>ictv.global=202209346</v>
      </c>
    </row>
    <row r="3296" spans="1:21">
      <c r="A3296">
        <v>3295</v>
      </c>
      <c r="B3296" s="29" t="s">
        <v>3682</v>
      </c>
      <c r="C3296" s="29"/>
      <c r="D3296" s="29" t="s">
        <v>3683</v>
      </c>
      <c r="E3296" s="29"/>
      <c r="F3296" s="29" t="s">
        <v>3686</v>
      </c>
      <c r="G3296" s="29"/>
      <c r="H3296" s="29" t="s">
        <v>3687</v>
      </c>
      <c r="I3296" s="29"/>
      <c r="J3296" s="29"/>
      <c r="K3296" s="29"/>
      <c r="L3296" s="29"/>
      <c r="M3296" s="29"/>
      <c r="N3296" s="29" t="s">
        <v>4006</v>
      </c>
      <c r="O3296" s="29"/>
      <c r="P3296" s="29" t="s">
        <v>10537</v>
      </c>
      <c r="Q3296" t="s">
        <v>2038</v>
      </c>
      <c r="R3296" t="s">
        <v>2633</v>
      </c>
      <c r="S3296">
        <v>37</v>
      </c>
      <c r="T3296" s="43" t="str">
        <f t="shared" si="150"/>
        <v>2021.010B.R.Binomial_names.zip</v>
      </c>
      <c r="U3296" s="43" t="str">
        <f>HYPERLINK("https://ictv.global/taxonomy/taxondetails?taxnode_id=202207421","ictv.global=202207421")</f>
        <v>ictv.global=202207421</v>
      </c>
    </row>
    <row r="3297" spans="1:21">
      <c r="A3297">
        <v>3296</v>
      </c>
      <c r="B3297" s="29" t="s">
        <v>3682</v>
      </c>
      <c r="C3297" s="29"/>
      <c r="D3297" s="29" t="s">
        <v>3683</v>
      </c>
      <c r="E3297" s="29"/>
      <c r="F3297" s="29" t="s">
        <v>3686</v>
      </c>
      <c r="G3297" s="29"/>
      <c r="H3297" s="29" t="s">
        <v>3687</v>
      </c>
      <c r="I3297" s="29"/>
      <c r="J3297" s="29"/>
      <c r="K3297" s="29"/>
      <c r="L3297" s="29"/>
      <c r="M3297" s="29"/>
      <c r="N3297" s="29" t="s">
        <v>10538</v>
      </c>
      <c r="O3297" s="29"/>
      <c r="P3297" s="29" t="s">
        <v>10539</v>
      </c>
      <c r="Q3297" t="s">
        <v>2038</v>
      </c>
      <c r="R3297" t="s">
        <v>2632</v>
      </c>
      <c r="S3297">
        <v>37</v>
      </c>
      <c r="T3297" s="43" t="str">
        <f t="shared" ref="T3297:T3302" si="151">HYPERLINK("https://ictv.global/ictv/proposals/2021.041B.R.Jujuvirus.zip","2021.041B.R.Jujuvirus.zip")</f>
        <v>2021.041B.R.Jujuvirus.zip</v>
      </c>
      <c r="U3297" s="43" t="str">
        <f>HYPERLINK("https://ictv.global/taxonomy/taxondetails?taxnode_id=202212364","ictv.global=202212364")</f>
        <v>ictv.global=202212364</v>
      </c>
    </row>
    <row r="3298" spans="1:21">
      <c r="A3298">
        <v>3297</v>
      </c>
      <c r="B3298" s="29" t="s">
        <v>3682</v>
      </c>
      <c r="C3298" s="29"/>
      <c r="D3298" s="29" t="s">
        <v>3683</v>
      </c>
      <c r="E3298" s="29"/>
      <c r="F3298" s="29" t="s">
        <v>3686</v>
      </c>
      <c r="G3298" s="29"/>
      <c r="H3298" s="29" t="s">
        <v>3687</v>
      </c>
      <c r="I3298" s="29"/>
      <c r="J3298" s="29"/>
      <c r="K3298" s="29"/>
      <c r="L3298" s="29"/>
      <c r="M3298" s="29"/>
      <c r="N3298" s="29" t="s">
        <v>10538</v>
      </c>
      <c r="O3298" s="29"/>
      <c r="P3298" s="29" t="s">
        <v>10540</v>
      </c>
      <c r="Q3298" t="s">
        <v>2038</v>
      </c>
      <c r="R3298" t="s">
        <v>2632</v>
      </c>
      <c r="S3298">
        <v>37</v>
      </c>
      <c r="T3298" s="43" t="str">
        <f t="shared" si="151"/>
        <v>2021.041B.R.Jujuvirus.zip</v>
      </c>
      <c r="U3298" s="43" t="str">
        <f>HYPERLINK("https://ictv.global/taxonomy/taxondetails?taxnode_id=202212362","ictv.global=202212362")</f>
        <v>ictv.global=202212362</v>
      </c>
    </row>
    <row r="3299" spans="1:21">
      <c r="A3299">
        <v>3298</v>
      </c>
      <c r="B3299" s="29" t="s">
        <v>3682</v>
      </c>
      <c r="C3299" s="29"/>
      <c r="D3299" s="29" t="s">
        <v>3683</v>
      </c>
      <c r="E3299" s="29"/>
      <c r="F3299" s="29" t="s">
        <v>3686</v>
      </c>
      <c r="G3299" s="29"/>
      <c r="H3299" s="29" t="s">
        <v>3687</v>
      </c>
      <c r="I3299" s="29"/>
      <c r="J3299" s="29"/>
      <c r="K3299" s="29"/>
      <c r="L3299" s="29"/>
      <c r="M3299" s="29"/>
      <c r="N3299" s="29" t="s">
        <v>10538</v>
      </c>
      <c r="O3299" s="29"/>
      <c r="P3299" s="29" t="s">
        <v>10541</v>
      </c>
      <c r="Q3299" t="s">
        <v>2038</v>
      </c>
      <c r="R3299" t="s">
        <v>2632</v>
      </c>
      <c r="S3299">
        <v>37</v>
      </c>
      <c r="T3299" s="43" t="str">
        <f t="shared" si="151"/>
        <v>2021.041B.R.Jujuvirus.zip</v>
      </c>
      <c r="U3299" s="43" t="str">
        <f>HYPERLINK("https://ictv.global/taxonomy/taxondetails?taxnode_id=202212363","ictv.global=202212363")</f>
        <v>ictv.global=202212363</v>
      </c>
    </row>
    <row r="3300" spans="1:21">
      <c r="A3300">
        <v>3299</v>
      </c>
      <c r="B3300" s="29" t="s">
        <v>3682</v>
      </c>
      <c r="C3300" s="29"/>
      <c r="D3300" s="29" t="s">
        <v>3683</v>
      </c>
      <c r="E3300" s="29"/>
      <c r="F3300" s="29" t="s">
        <v>3686</v>
      </c>
      <c r="G3300" s="29"/>
      <c r="H3300" s="29" t="s">
        <v>3687</v>
      </c>
      <c r="I3300" s="29"/>
      <c r="J3300" s="29"/>
      <c r="K3300" s="29"/>
      <c r="L3300" s="29"/>
      <c r="M3300" s="29"/>
      <c r="N3300" s="29" t="s">
        <v>10538</v>
      </c>
      <c r="O3300" s="29"/>
      <c r="P3300" s="29" t="s">
        <v>10542</v>
      </c>
      <c r="Q3300" t="s">
        <v>2038</v>
      </c>
      <c r="R3300" t="s">
        <v>2632</v>
      </c>
      <c r="S3300">
        <v>37</v>
      </c>
      <c r="T3300" s="43" t="str">
        <f t="shared" si="151"/>
        <v>2021.041B.R.Jujuvirus.zip</v>
      </c>
      <c r="U3300" s="43" t="str">
        <f>HYPERLINK("https://ictv.global/taxonomy/taxondetails?taxnode_id=202212359","ictv.global=202212359")</f>
        <v>ictv.global=202212359</v>
      </c>
    </row>
    <row r="3301" spans="1:21">
      <c r="A3301">
        <v>3300</v>
      </c>
      <c r="B3301" s="29" t="s">
        <v>3682</v>
      </c>
      <c r="C3301" s="29"/>
      <c r="D3301" s="29" t="s">
        <v>3683</v>
      </c>
      <c r="E3301" s="29"/>
      <c r="F3301" s="29" t="s">
        <v>3686</v>
      </c>
      <c r="G3301" s="29"/>
      <c r="H3301" s="29" t="s">
        <v>3687</v>
      </c>
      <c r="I3301" s="29"/>
      <c r="J3301" s="29"/>
      <c r="K3301" s="29"/>
      <c r="L3301" s="29"/>
      <c r="M3301" s="29"/>
      <c r="N3301" s="29" t="s">
        <v>10538</v>
      </c>
      <c r="O3301" s="29"/>
      <c r="P3301" s="29" t="s">
        <v>10543</v>
      </c>
      <c r="Q3301" t="s">
        <v>2038</v>
      </c>
      <c r="R3301" t="s">
        <v>2632</v>
      </c>
      <c r="S3301">
        <v>37</v>
      </c>
      <c r="T3301" s="43" t="str">
        <f t="shared" si="151"/>
        <v>2021.041B.R.Jujuvirus.zip</v>
      </c>
      <c r="U3301" s="43" t="str">
        <f>HYPERLINK("https://ictv.global/taxonomy/taxondetails?taxnode_id=202212360","ictv.global=202212360")</f>
        <v>ictv.global=202212360</v>
      </c>
    </row>
    <row r="3302" spans="1:21">
      <c r="A3302">
        <v>3301</v>
      </c>
      <c r="B3302" s="29" t="s">
        <v>3682</v>
      </c>
      <c r="C3302" s="29"/>
      <c r="D3302" s="29" t="s">
        <v>3683</v>
      </c>
      <c r="E3302" s="29"/>
      <c r="F3302" s="29" t="s">
        <v>3686</v>
      </c>
      <c r="G3302" s="29"/>
      <c r="H3302" s="29" t="s">
        <v>3687</v>
      </c>
      <c r="I3302" s="29"/>
      <c r="J3302" s="29"/>
      <c r="K3302" s="29"/>
      <c r="L3302" s="29"/>
      <c r="M3302" s="29"/>
      <c r="N3302" s="29" t="s">
        <v>10538</v>
      </c>
      <c r="O3302" s="29"/>
      <c r="P3302" s="29" t="s">
        <v>10544</v>
      </c>
      <c r="Q3302" t="s">
        <v>2038</v>
      </c>
      <c r="R3302" t="s">
        <v>2632</v>
      </c>
      <c r="S3302">
        <v>37</v>
      </c>
      <c r="T3302" s="43" t="str">
        <f t="shared" si="151"/>
        <v>2021.041B.R.Jujuvirus.zip</v>
      </c>
      <c r="U3302" s="43" t="str">
        <f>HYPERLINK("https://ictv.global/taxonomy/taxondetails?taxnode_id=202212361","ictv.global=202212361")</f>
        <v>ictv.global=202212361</v>
      </c>
    </row>
    <row r="3303" spans="1:21">
      <c r="A3303">
        <v>3302</v>
      </c>
      <c r="B3303" s="29" t="s">
        <v>3682</v>
      </c>
      <c r="C3303" s="29"/>
      <c r="D3303" s="29" t="s">
        <v>3683</v>
      </c>
      <c r="E3303" s="29"/>
      <c r="F3303" s="29" t="s">
        <v>3686</v>
      </c>
      <c r="G3303" s="29"/>
      <c r="H3303" s="29" t="s">
        <v>3687</v>
      </c>
      <c r="I3303" s="29"/>
      <c r="J3303" s="29"/>
      <c r="K3303" s="29"/>
      <c r="L3303" s="29"/>
      <c r="M3303" s="29"/>
      <c r="N3303" s="29" t="s">
        <v>4736</v>
      </c>
      <c r="O3303" s="29"/>
      <c r="P3303" s="29" t="s">
        <v>10545</v>
      </c>
      <c r="Q3303" t="s">
        <v>2038</v>
      </c>
      <c r="R3303" t="s">
        <v>2633</v>
      </c>
      <c r="S3303">
        <v>37</v>
      </c>
      <c r="T3303" s="43" t="str">
        <f t="shared" ref="T3303:T3312" si="152">HYPERLINK("https://ictv.global/ictv/proposals/2021.010B.R.Binomial_names.zip","2021.010B.R.Binomial_names.zip")</f>
        <v>2021.010B.R.Binomial_names.zip</v>
      </c>
      <c r="U3303" s="43" t="str">
        <f>HYPERLINK("https://ictv.global/taxonomy/taxondetails?taxnode_id=202210197","ictv.global=202210197")</f>
        <v>ictv.global=202210197</v>
      </c>
    </row>
    <row r="3304" spans="1:21">
      <c r="A3304">
        <v>3303</v>
      </c>
      <c r="B3304" s="29" t="s">
        <v>3682</v>
      </c>
      <c r="C3304" s="29"/>
      <c r="D3304" s="29" t="s">
        <v>3683</v>
      </c>
      <c r="E3304" s="29"/>
      <c r="F3304" s="29" t="s">
        <v>3686</v>
      </c>
      <c r="G3304" s="29"/>
      <c r="H3304" s="29" t="s">
        <v>3687</v>
      </c>
      <c r="I3304" s="29"/>
      <c r="J3304" s="29"/>
      <c r="K3304" s="29"/>
      <c r="L3304" s="29"/>
      <c r="M3304" s="29"/>
      <c r="N3304" s="29" t="s">
        <v>4736</v>
      </c>
      <c r="O3304" s="29"/>
      <c r="P3304" s="29" t="s">
        <v>10546</v>
      </c>
      <c r="Q3304" t="s">
        <v>2038</v>
      </c>
      <c r="R3304" t="s">
        <v>2633</v>
      </c>
      <c r="S3304">
        <v>37</v>
      </c>
      <c r="T3304" s="43" t="str">
        <f t="shared" si="152"/>
        <v>2021.010B.R.Binomial_names.zip</v>
      </c>
      <c r="U3304" s="43" t="str">
        <f>HYPERLINK("https://ictv.global/taxonomy/taxondetails?taxnode_id=202210199","ictv.global=202210199")</f>
        <v>ictv.global=202210199</v>
      </c>
    </row>
    <row r="3305" spans="1:21">
      <c r="A3305">
        <v>3304</v>
      </c>
      <c r="B3305" s="29" t="s">
        <v>3682</v>
      </c>
      <c r="C3305" s="29"/>
      <c r="D3305" s="29" t="s">
        <v>3683</v>
      </c>
      <c r="E3305" s="29"/>
      <c r="F3305" s="29" t="s">
        <v>3686</v>
      </c>
      <c r="G3305" s="29"/>
      <c r="H3305" s="29" t="s">
        <v>3687</v>
      </c>
      <c r="I3305" s="29"/>
      <c r="J3305" s="29"/>
      <c r="K3305" s="29"/>
      <c r="L3305" s="29"/>
      <c r="M3305" s="29"/>
      <c r="N3305" s="29" t="s">
        <v>4736</v>
      </c>
      <c r="O3305" s="29"/>
      <c r="P3305" s="29" t="s">
        <v>10547</v>
      </c>
      <c r="Q3305" t="s">
        <v>2038</v>
      </c>
      <c r="R3305" t="s">
        <v>2633</v>
      </c>
      <c r="S3305">
        <v>37</v>
      </c>
      <c r="T3305" s="43" t="str">
        <f t="shared" si="152"/>
        <v>2021.010B.R.Binomial_names.zip</v>
      </c>
      <c r="U3305" s="43" t="str">
        <f>HYPERLINK("https://ictv.global/taxonomy/taxondetails?taxnode_id=202210198","ictv.global=202210198")</f>
        <v>ictv.global=202210198</v>
      </c>
    </row>
    <row r="3306" spans="1:21">
      <c r="A3306">
        <v>3305</v>
      </c>
      <c r="B3306" s="29" t="s">
        <v>3682</v>
      </c>
      <c r="C3306" s="29"/>
      <c r="D3306" s="29" t="s">
        <v>3683</v>
      </c>
      <c r="E3306" s="29"/>
      <c r="F3306" s="29" t="s">
        <v>3686</v>
      </c>
      <c r="G3306" s="29"/>
      <c r="H3306" s="29" t="s">
        <v>3687</v>
      </c>
      <c r="I3306" s="29"/>
      <c r="J3306" s="29"/>
      <c r="K3306" s="29"/>
      <c r="L3306" s="29"/>
      <c r="M3306" s="29"/>
      <c r="N3306" s="29" t="s">
        <v>3473</v>
      </c>
      <c r="O3306" s="29"/>
      <c r="P3306" s="29" t="s">
        <v>10548</v>
      </c>
      <c r="Q3306" t="s">
        <v>2038</v>
      </c>
      <c r="R3306" t="s">
        <v>2633</v>
      </c>
      <c r="S3306">
        <v>37</v>
      </c>
      <c r="T3306" s="43" t="str">
        <f t="shared" si="152"/>
        <v>2021.010B.R.Binomial_names.zip</v>
      </c>
      <c r="U3306" s="43" t="str">
        <f>HYPERLINK("https://ictv.global/taxonomy/taxondetails?taxnode_id=202200652","ictv.global=202200652")</f>
        <v>ictv.global=202200652</v>
      </c>
    </row>
    <row r="3307" spans="1:21">
      <c r="A3307">
        <v>3306</v>
      </c>
      <c r="B3307" s="29" t="s">
        <v>3682</v>
      </c>
      <c r="C3307" s="29"/>
      <c r="D3307" s="29" t="s">
        <v>3683</v>
      </c>
      <c r="E3307" s="29"/>
      <c r="F3307" s="29" t="s">
        <v>3686</v>
      </c>
      <c r="G3307" s="29"/>
      <c r="H3307" s="29" t="s">
        <v>3687</v>
      </c>
      <c r="I3307" s="29"/>
      <c r="J3307" s="29"/>
      <c r="K3307" s="29"/>
      <c r="L3307" s="29"/>
      <c r="M3307" s="29"/>
      <c r="N3307" s="29" t="s">
        <v>3556</v>
      </c>
      <c r="O3307" s="29"/>
      <c r="P3307" s="29" t="s">
        <v>10549</v>
      </c>
      <c r="Q3307" t="s">
        <v>2038</v>
      </c>
      <c r="R3307" t="s">
        <v>2633</v>
      </c>
      <c r="S3307">
        <v>37</v>
      </c>
      <c r="T3307" s="43" t="str">
        <f t="shared" si="152"/>
        <v>2021.010B.R.Binomial_names.zip</v>
      </c>
      <c r="U3307" s="43" t="str">
        <f>HYPERLINK("https://ictv.global/taxonomy/taxondetails?taxnode_id=202206840","ictv.global=202206840")</f>
        <v>ictv.global=202206840</v>
      </c>
    </row>
    <row r="3308" spans="1:21">
      <c r="A3308">
        <v>3307</v>
      </c>
      <c r="B3308" s="29" t="s">
        <v>3682</v>
      </c>
      <c r="C3308" s="29"/>
      <c r="D3308" s="29" t="s">
        <v>3683</v>
      </c>
      <c r="E3308" s="29"/>
      <c r="F3308" s="29" t="s">
        <v>3686</v>
      </c>
      <c r="G3308" s="29"/>
      <c r="H3308" s="29" t="s">
        <v>3687</v>
      </c>
      <c r="I3308" s="29"/>
      <c r="J3308" s="29"/>
      <c r="K3308" s="29"/>
      <c r="L3308" s="29"/>
      <c r="M3308" s="29"/>
      <c r="N3308" s="29" t="s">
        <v>3556</v>
      </c>
      <c r="O3308" s="29"/>
      <c r="P3308" s="29" t="s">
        <v>10550</v>
      </c>
      <c r="Q3308" t="s">
        <v>2038</v>
      </c>
      <c r="R3308" t="s">
        <v>2633</v>
      </c>
      <c r="S3308">
        <v>37</v>
      </c>
      <c r="T3308" s="43" t="str">
        <f t="shared" si="152"/>
        <v>2021.010B.R.Binomial_names.zip</v>
      </c>
      <c r="U3308" s="43" t="str">
        <f>HYPERLINK("https://ictv.global/taxonomy/taxondetails?taxnode_id=202206841","ictv.global=202206841")</f>
        <v>ictv.global=202206841</v>
      </c>
    </row>
    <row r="3309" spans="1:21">
      <c r="A3309">
        <v>3308</v>
      </c>
      <c r="B3309" s="29" t="s">
        <v>3682</v>
      </c>
      <c r="C3309" s="29"/>
      <c r="D3309" s="29" t="s">
        <v>3683</v>
      </c>
      <c r="E3309" s="29"/>
      <c r="F3309" s="29" t="s">
        <v>3686</v>
      </c>
      <c r="G3309" s="29"/>
      <c r="H3309" s="29" t="s">
        <v>3687</v>
      </c>
      <c r="I3309" s="29"/>
      <c r="J3309" s="29"/>
      <c r="K3309" s="29"/>
      <c r="L3309" s="29"/>
      <c r="M3309" s="29"/>
      <c r="N3309" s="29" t="s">
        <v>4737</v>
      </c>
      <c r="O3309" s="29"/>
      <c r="P3309" s="29" t="s">
        <v>10551</v>
      </c>
      <c r="Q3309" t="s">
        <v>2038</v>
      </c>
      <c r="R3309" t="s">
        <v>2633</v>
      </c>
      <c r="S3309">
        <v>37</v>
      </c>
      <c r="T3309" s="43" t="str">
        <f t="shared" si="152"/>
        <v>2021.010B.R.Binomial_names.zip</v>
      </c>
      <c r="U3309" s="43" t="str">
        <f>HYPERLINK("https://ictv.global/taxonomy/taxondetails?taxnode_id=202210140","ictv.global=202210140")</f>
        <v>ictv.global=202210140</v>
      </c>
    </row>
    <row r="3310" spans="1:21">
      <c r="A3310">
        <v>3309</v>
      </c>
      <c r="B3310" s="29" t="s">
        <v>3682</v>
      </c>
      <c r="C3310" s="29"/>
      <c r="D3310" s="29" t="s">
        <v>3683</v>
      </c>
      <c r="E3310" s="29"/>
      <c r="F3310" s="29" t="s">
        <v>3686</v>
      </c>
      <c r="G3310" s="29"/>
      <c r="H3310" s="29" t="s">
        <v>3687</v>
      </c>
      <c r="I3310" s="29"/>
      <c r="J3310" s="29"/>
      <c r="K3310" s="29"/>
      <c r="L3310" s="29"/>
      <c r="M3310" s="29"/>
      <c r="N3310" s="29" t="s">
        <v>2437</v>
      </c>
      <c r="O3310" s="29"/>
      <c r="P3310" s="29" t="s">
        <v>10552</v>
      </c>
      <c r="Q3310" t="s">
        <v>2038</v>
      </c>
      <c r="R3310" t="s">
        <v>2633</v>
      </c>
      <c r="S3310">
        <v>37</v>
      </c>
      <c r="T3310" s="43" t="str">
        <f t="shared" si="152"/>
        <v>2021.010B.R.Binomial_names.zip</v>
      </c>
      <c r="U3310" s="43" t="str">
        <f>HYPERLINK("https://ictv.global/taxonomy/taxondetails?taxnode_id=202200996","ictv.global=202200996")</f>
        <v>ictv.global=202200996</v>
      </c>
    </row>
    <row r="3311" spans="1:21">
      <c r="A3311">
        <v>3310</v>
      </c>
      <c r="B3311" s="29" t="s">
        <v>3682</v>
      </c>
      <c r="C3311" s="29"/>
      <c r="D3311" s="29" t="s">
        <v>3683</v>
      </c>
      <c r="E3311" s="29"/>
      <c r="F3311" s="29" t="s">
        <v>3686</v>
      </c>
      <c r="G3311" s="29"/>
      <c r="H3311" s="29" t="s">
        <v>3687</v>
      </c>
      <c r="I3311" s="29"/>
      <c r="J3311" s="29"/>
      <c r="K3311" s="29"/>
      <c r="L3311" s="29"/>
      <c r="M3311" s="29"/>
      <c r="N3311" s="29" t="s">
        <v>2437</v>
      </c>
      <c r="O3311" s="29"/>
      <c r="P3311" s="29" t="s">
        <v>10553</v>
      </c>
      <c r="Q3311" t="s">
        <v>2038</v>
      </c>
      <c r="R3311" t="s">
        <v>2633</v>
      </c>
      <c r="S3311">
        <v>37</v>
      </c>
      <c r="T3311" s="43" t="str">
        <f t="shared" si="152"/>
        <v>2021.010B.R.Binomial_names.zip</v>
      </c>
      <c r="U3311" s="43" t="str">
        <f>HYPERLINK("https://ictv.global/taxonomy/taxondetails?taxnode_id=202200997","ictv.global=202200997")</f>
        <v>ictv.global=202200997</v>
      </c>
    </row>
    <row r="3312" spans="1:21">
      <c r="A3312">
        <v>3311</v>
      </c>
      <c r="B3312" s="29" t="s">
        <v>3682</v>
      </c>
      <c r="C3312" s="29"/>
      <c r="D3312" s="29" t="s">
        <v>3683</v>
      </c>
      <c r="E3312" s="29"/>
      <c r="F3312" s="29" t="s">
        <v>3686</v>
      </c>
      <c r="G3312" s="29"/>
      <c r="H3312" s="29" t="s">
        <v>3687</v>
      </c>
      <c r="I3312" s="29"/>
      <c r="J3312" s="29"/>
      <c r="K3312" s="29"/>
      <c r="L3312" s="29"/>
      <c r="M3312" s="29"/>
      <c r="N3312" s="29" t="s">
        <v>3960</v>
      </c>
      <c r="O3312" s="29"/>
      <c r="P3312" s="29" t="s">
        <v>10554</v>
      </c>
      <c r="Q3312" t="s">
        <v>2038</v>
      </c>
      <c r="R3312" t="s">
        <v>2633</v>
      </c>
      <c r="S3312">
        <v>37</v>
      </c>
      <c r="T3312" s="43" t="str">
        <f t="shared" si="152"/>
        <v>2021.010B.R.Binomial_names.zip</v>
      </c>
      <c r="U3312" s="43" t="str">
        <f>HYPERLINK("https://ictv.global/taxonomy/taxondetails?taxnode_id=202208022","ictv.global=202208022")</f>
        <v>ictv.global=202208022</v>
      </c>
    </row>
    <row r="3313" spans="1:21">
      <c r="A3313">
        <v>3312</v>
      </c>
      <c r="B3313" s="29" t="s">
        <v>3682</v>
      </c>
      <c r="C3313" s="29"/>
      <c r="D3313" s="29" t="s">
        <v>3683</v>
      </c>
      <c r="E3313" s="29"/>
      <c r="F3313" s="29" t="s">
        <v>3686</v>
      </c>
      <c r="G3313" s="29"/>
      <c r="H3313" s="29" t="s">
        <v>3687</v>
      </c>
      <c r="I3313" s="29"/>
      <c r="J3313" s="29"/>
      <c r="K3313" s="29"/>
      <c r="L3313" s="29"/>
      <c r="M3313" s="29"/>
      <c r="N3313" s="29" t="s">
        <v>10555</v>
      </c>
      <c r="O3313" s="29"/>
      <c r="P3313" s="29" t="s">
        <v>10556</v>
      </c>
      <c r="Q3313" t="s">
        <v>2038</v>
      </c>
      <c r="R3313" t="s">
        <v>2632</v>
      </c>
      <c r="S3313">
        <v>38</v>
      </c>
      <c r="T3313" s="43" t="str">
        <f>HYPERLINK("https://ictv.global/ictv/proposals/2022.005B.Andregratiavirinae_Joanripponvirinae_nsf.zip","2022.005B.Andregratiavirinae_Joanripponvirinae_nsf.zip")</f>
        <v>2022.005B.Andregratiavirinae_Joanripponvirinae_nsf.zip</v>
      </c>
      <c r="U3313" s="43" t="str">
        <f>HYPERLINK("https://ictv.global/taxonomy/taxondetails?taxnode_id=202214485","ictv.global=202214485")</f>
        <v>ictv.global=202214485</v>
      </c>
    </row>
    <row r="3314" spans="1:21">
      <c r="A3314">
        <v>3313</v>
      </c>
      <c r="B3314" s="29" t="s">
        <v>3682</v>
      </c>
      <c r="C3314" s="29"/>
      <c r="D3314" s="29" t="s">
        <v>3683</v>
      </c>
      <c r="E3314" s="29"/>
      <c r="F3314" s="29" t="s">
        <v>3686</v>
      </c>
      <c r="G3314" s="29"/>
      <c r="H3314" s="29" t="s">
        <v>3687</v>
      </c>
      <c r="I3314" s="29"/>
      <c r="J3314" s="29"/>
      <c r="K3314" s="29"/>
      <c r="L3314" s="29"/>
      <c r="M3314" s="29"/>
      <c r="N3314" s="29" t="s">
        <v>4007</v>
      </c>
      <c r="O3314" s="29"/>
      <c r="P3314" s="29" t="s">
        <v>10557</v>
      </c>
      <c r="Q3314" t="s">
        <v>2038</v>
      </c>
      <c r="R3314" t="s">
        <v>2633</v>
      </c>
      <c r="S3314">
        <v>37</v>
      </c>
      <c r="T3314" s="43" t="str">
        <f>HYPERLINK("https://ictv.global/ictv/proposals/2021.010B.R.Binomial_names.zip","2021.010B.R.Binomial_names.zip")</f>
        <v>2021.010B.R.Binomial_names.zip</v>
      </c>
      <c r="U3314" s="43" t="str">
        <f>HYPERLINK("https://ictv.global/taxonomy/taxondetails?taxnode_id=202201256","ictv.global=202201256")</f>
        <v>ictv.global=202201256</v>
      </c>
    </row>
    <row r="3315" spans="1:21">
      <c r="A3315">
        <v>3314</v>
      </c>
      <c r="B3315" s="29" t="s">
        <v>3682</v>
      </c>
      <c r="C3315" s="29"/>
      <c r="D3315" s="29" t="s">
        <v>3683</v>
      </c>
      <c r="E3315" s="29"/>
      <c r="F3315" s="29" t="s">
        <v>3686</v>
      </c>
      <c r="G3315" s="29"/>
      <c r="H3315" s="29" t="s">
        <v>3687</v>
      </c>
      <c r="I3315" s="29"/>
      <c r="J3315" s="29"/>
      <c r="K3315" s="29"/>
      <c r="L3315" s="29"/>
      <c r="M3315" s="29"/>
      <c r="N3315" s="29" t="s">
        <v>10558</v>
      </c>
      <c r="O3315" s="29"/>
      <c r="P3315" s="29" t="s">
        <v>10559</v>
      </c>
      <c r="Q3315" t="s">
        <v>2038</v>
      </c>
      <c r="R3315" t="s">
        <v>2632</v>
      </c>
      <c r="S3315">
        <v>37</v>
      </c>
      <c r="T3315" s="43" t="str">
        <f>HYPERLINK("https://ictv.global/ictv/proposals/2021.042B.R.Kimonavirus.zip","2021.042B.R.Kimonavirus.zip")</f>
        <v>2021.042B.R.Kimonavirus.zip</v>
      </c>
      <c r="U3315" s="43" t="str">
        <f>HYPERLINK("https://ictv.global/taxonomy/taxondetails?taxnode_id=202212366","ictv.global=202212366")</f>
        <v>ictv.global=202212366</v>
      </c>
    </row>
    <row r="3316" spans="1:21">
      <c r="A3316">
        <v>3315</v>
      </c>
      <c r="B3316" s="29" t="s">
        <v>3682</v>
      </c>
      <c r="C3316" s="29"/>
      <c r="D3316" s="29" t="s">
        <v>3683</v>
      </c>
      <c r="E3316" s="29"/>
      <c r="F3316" s="29" t="s">
        <v>3686</v>
      </c>
      <c r="G3316" s="29"/>
      <c r="H3316" s="29" t="s">
        <v>3687</v>
      </c>
      <c r="I3316" s="29"/>
      <c r="J3316" s="29"/>
      <c r="K3316" s="29"/>
      <c r="L3316" s="29"/>
      <c r="M3316" s="29"/>
      <c r="N3316" s="29" t="s">
        <v>4562</v>
      </c>
      <c r="O3316" s="29"/>
      <c r="P3316" s="29" t="s">
        <v>10560</v>
      </c>
      <c r="Q3316" t="s">
        <v>2038</v>
      </c>
      <c r="R3316" t="s">
        <v>2633</v>
      </c>
      <c r="S3316">
        <v>37</v>
      </c>
      <c r="T3316" s="43" t="str">
        <f t="shared" ref="T3316:T3330" si="153">HYPERLINK("https://ictv.global/ictv/proposals/2021.010B.R.Binomial_names.zip","2021.010B.R.Binomial_names.zip")</f>
        <v>2021.010B.R.Binomial_names.zip</v>
      </c>
      <c r="U3316" s="43" t="str">
        <f>HYPERLINK("https://ictv.global/taxonomy/taxondetails?taxnode_id=202200382","ictv.global=202200382")</f>
        <v>ictv.global=202200382</v>
      </c>
    </row>
    <row r="3317" spans="1:21">
      <c r="A3317">
        <v>3316</v>
      </c>
      <c r="B3317" s="29" t="s">
        <v>3682</v>
      </c>
      <c r="C3317" s="29"/>
      <c r="D3317" s="29" t="s">
        <v>3683</v>
      </c>
      <c r="E3317" s="29"/>
      <c r="F3317" s="29" t="s">
        <v>3686</v>
      </c>
      <c r="G3317" s="29"/>
      <c r="H3317" s="29" t="s">
        <v>3687</v>
      </c>
      <c r="I3317" s="29"/>
      <c r="J3317" s="29"/>
      <c r="K3317" s="29"/>
      <c r="L3317" s="29"/>
      <c r="M3317" s="29"/>
      <c r="N3317" s="29" t="s">
        <v>4562</v>
      </c>
      <c r="O3317" s="29"/>
      <c r="P3317" s="29" t="s">
        <v>10561</v>
      </c>
      <c r="Q3317" t="s">
        <v>2038</v>
      </c>
      <c r="R3317" t="s">
        <v>2633</v>
      </c>
      <c r="S3317">
        <v>37</v>
      </c>
      <c r="T3317" s="43" t="str">
        <f t="shared" si="153"/>
        <v>2021.010B.R.Binomial_names.zip</v>
      </c>
      <c r="U3317" s="43" t="str">
        <f>HYPERLINK("https://ictv.global/taxonomy/taxondetails?taxnode_id=202206996","ictv.global=202206996")</f>
        <v>ictv.global=202206996</v>
      </c>
    </row>
    <row r="3318" spans="1:21">
      <c r="A3318">
        <v>3317</v>
      </c>
      <c r="B3318" s="29" t="s">
        <v>3682</v>
      </c>
      <c r="C3318" s="29"/>
      <c r="D3318" s="29" t="s">
        <v>3683</v>
      </c>
      <c r="E3318" s="29"/>
      <c r="F3318" s="29" t="s">
        <v>3686</v>
      </c>
      <c r="G3318" s="29"/>
      <c r="H3318" s="29" t="s">
        <v>3687</v>
      </c>
      <c r="I3318" s="29"/>
      <c r="J3318" s="29"/>
      <c r="K3318" s="29"/>
      <c r="L3318" s="29"/>
      <c r="M3318" s="29"/>
      <c r="N3318" s="29" t="s">
        <v>4562</v>
      </c>
      <c r="O3318" s="29"/>
      <c r="P3318" s="29" t="s">
        <v>10562</v>
      </c>
      <c r="Q3318" t="s">
        <v>2038</v>
      </c>
      <c r="R3318" t="s">
        <v>2633</v>
      </c>
      <c r="S3318">
        <v>37</v>
      </c>
      <c r="T3318" s="43" t="str">
        <f t="shared" si="153"/>
        <v>2021.010B.R.Binomial_names.zip</v>
      </c>
      <c r="U3318" s="43" t="str">
        <f>HYPERLINK("https://ictv.global/taxonomy/taxondetails?taxnode_id=202211644","ictv.global=202211644")</f>
        <v>ictv.global=202211644</v>
      </c>
    </row>
    <row r="3319" spans="1:21">
      <c r="A3319">
        <v>3318</v>
      </c>
      <c r="B3319" s="29" t="s">
        <v>3682</v>
      </c>
      <c r="C3319" s="29"/>
      <c r="D3319" s="29" t="s">
        <v>3683</v>
      </c>
      <c r="E3319" s="29"/>
      <c r="F3319" s="29" t="s">
        <v>3686</v>
      </c>
      <c r="G3319" s="29"/>
      <c r="H3319" s="29" t="s">
        <v>3687</v>
      </c>
      <c r="I3319" s="29"/>
      <c r="J3319" s="29"/>
      <c r="K3319" s="29"/>
      <c r="L3319" s="29"/>
      <c r="M3319" s="29"/>
      <c r="N3319" s="29" t="s">
        <v>4562</v>
      </c>
      <c r="O3319" s="29"/>
      <c r="P3319" s="29" t="s">
        <v>10563</v>
      </c>
      <c r="Q3319" t="s">
        <v>2038</v>
      </c>
      <c r="R3319" t="s">
        <v>2633</v>
      </c>
      <c r="S3319">
        <v>37</v>
      </c>
      <c r="T3319" s="43" t="str">
        <f t="shared" si="153"/>
        <v>2021.010B.R.Binomial_names.zip</v>
      </c>
      <c r="U3319" s="43" t="str">
        <f>HYPERLINK("https://ictv.global/taxonomy/taxondetails?taxnode_id=202211643","ictv.global=202211643")</f>
        <v>ictv.global=202211643</v>
      </c>
    </row>
    <row r="3320" spans="1:21">
      <c r="A3320">
        <v>3319</v>
      </c>
      <c r="B3320" s="29" t="s">
        <v>3682</v>
      </c>
      <c r="C3320" s="29"/>
      <c r="D3320" s="29" t="s">
        <v>3683</v>
      </c>
      <c r="E3320" s="29"/>
      <c r="F3320" s="29" t="s">
        <v>3686</v>
      </c>
      <c r="G3320" s="29"/>
      <c r="H3320" s="29" t="s">
        <v>3687</v>
      </c>
      <c r="I3320" s="29"/>
      <c r="J3320" s="29"/>
      <c r="K3320" s="29"/>
      <c r="L3320" s="29"/>
      <c r="M3320" s="29"/>
      <c r="N3320" s="29" t="s">
        <v>4562</v>
      </c>
      <c r="O3320" s="29"/>
      <c r="P3320" s="29" t="s">
        <v>10564</v>
      </c>
      <c r="Q3320" t="s">
        <v>2038</v>
      </c>
      <c r="R3320" t="s">
        <v>2633</v>
      </c>
      <c r="S3320">
        <v>37</v>
      </c>
      <c r="T3320" s="43" t="str">
        <f t="shared" si="153"/>
        <v>2021.010B.R.Binomial_names.zip</v>
      </c>
      <c r="U3320" s="43" t="str">
        <f>HYPERLINK("https://ictv.global/taxonomy/taxondetails?taxnode_id=202211645","ictv.global=202211645")</f>
        <v>ictv.global=202211645</v>
      </c>
    </row>
    <row r="3321" spans="1:21">
      <c r="A3321">
        <v>3320</v>
      </c>
      <c r="B3321" s="29" t="s">
        <v>3682</v>
      </c>
      <c r="C3321" s="29"/>
      <c r="D3321" s="29" t="s">
        <v>3683</v>
      </c>
      <c r="E3321" s="29"/>
      <c r="F3321" s="29" t="s">
        <v>3686</v>
      </c>
      <c r="G3321" s="29"/>
      <c r="H3321" s="29" t="s">
        <v>3687</v>
      </c>
      <c r="I3321" s="29"/>
      <c r="J3321" s="29"/>
      <c r="K3321" s="29"/>
      <c r="L3321" s="29"/>
      <c r="M3321" s="29"/>
      <c r="N3321" s="29" t="s">
        <v>4562</v>
      </c>
      <c r="O3321" s="29"/>
      <c r="P3321" s="29" t="s">
        <v>10565</v>
      </c>
      <c r="Q3321" t="s">
        <v>2038</v>
      </c>
      <c r="R3321" t="s">
        <v>2633</v>
      </c>
      <c r="S3321">
        <v>37</v>
      </c>
      <c r="T3321" s="43" t="str">
        <f t="shared" si="153"/>
        <v>2021.010B.R.Binomial_names.zip</v>
      </c>
      <c r="U3321" s="43" t="str">
        <f>HYPERLINK("https://ictv.global/taxonomy/taxondetails?taxnode_id=202200383","ictv.global=202200383")</f>
        <v>ictv.global=202200383</v>
      </c>
    </row>
    <row r="3322" spans="1:21">
      <c r="A3322">
        <v>3321</v>
      </c>
      <c r="B3322" s="29" t="s">
        <v>3682</v>
      </c>
      <c r="C3322" s="29"/>
      <c r="D3322" s="29" t="s">
        <v>3683</v>
      </c>
      <c r="E3322" s="29"/>
      <c r="F3322" s="29" t="s">
        <v>3686</v>
      </c>
      <c r="G3322" s="29"/>
      <c r="H3322" s="29" t="s">
        <v>3687</v>
      </c>
      <c r="I3322" s="29"/>
      <c r="J3322" s="29"/>
      <c r="K3322" s="29"/>
      <c r="L3322" s="29"/>
      <c r="M3322" s="29"/>
      <c r="N3322" s="29" t="s">
        <v>3414</v>
      </c>
      <c r="O3322" s="29"/>
      <c r="P3322" s="29" t="s">
        <v>10566</v>
      </c>
      <c r="Q3322" t="s">
        <v>2038</v>
      </c>
      <c r="R3322" t="s">
        <v>2633</v>
      </c>
      <c r="S3322">
        <v>37</v>
      </c>
      <c r="T3322" s="43" t="str">
        <f t="shared" si="153"/>
        <v>2021.010B.R.Binomial_names.zip</v>
      </c>
      <c r="U3322" s="43" t="str">
        <f>HYPERLINK("https://ictv.global/taxonomy/taxondetails?taxnode_id=202200491","ictv.global=202200491")</f>
        <v>ictv.global=202200491</v>
      </c>
    </row>
    <row r="3323" spans="1:21">
      <c r="A3323">
        <v>3322</v>
      </c>
      <c r="B3323" s="29" t="s">
        <v>3682</v>
      </c>
      <c r="C3323" s="29"/>
      <c r="D3323" s="29" t="s">
        <v>3683</v>
      </c>
      <c r="E3323" s="29"/>
      <c r="F3323" s="29" t="s">
        <v>3686</v>
      </c>
      <c r="G3323" s="29"/>
      <c r="H3323" s="29" t="s">
        <v>3687</v>
      </c>
      <c r="I3323" s="29"/>
      <c r="J3323" s="29"/>
      <c r="K3323" s="29"/>
      <c r="L3323" s="29"/>
      <c r="M3323" s="29"/>
      <c r="N3323" s="29" t="s">
        <v>3557</v>
      </c>
      <c r="O3323" s="29"/>
      <c r="P3323" s="29" t="s">
        <v>10567</v>
      </c>
      <c r="Q3323" t="s">
        <v>2038</v>
      </c>
      <c r="R3323" t="s">
        <v>2633</v>
      </c>
      <c r="S3323">
        <v>37</v>
      </c>
      <c r="T3323" s="43" t="str">
        <f t="shared" si="153"/>
        <v>2021.010B.R.Binomial_names.zip</v>
      </c>
      <c r="U3323" s="43" t="str">
        <f>HYPERLINK("https://ictv.global/taxonomy/taxondetails?taxnode_id=202201377","ictv.global=202201377")</f>
        <v>ictv.global=202201377</v>
      </c>
    </row>
    <row r="3324" spans="1:21">
      <c r="A3324">
        <v>3323</v>
      </c>
      <c r="B3324" s="29" t="s">
        <v>3682</v>
      </c>
      <c r="C3324" s="29"/>
      <c r="D3324" s="29" t="s">
        <v>3683</v>
      </c>
      <c r="E3324" s="29"/>
      <c r="F3324" s="29" t="s">
        <v>3686</v>
      </c>
      <c r="G3324" s="29"/>
      <c r="H3324" s="29" t="s">
        <v>3687</v>
      </c>
      <c r="I3324" s="29"/>
      <c r="J3324" s="29"/>
      <c r="K3324" s="29"/>
      <c r="L3324" s="29"/>
      <c r="M3324" s="29"/>
      <c r="N3324" s="29" t="s">
        <v>4744</v>
      </c>
      <c r="O3324" s="29"/>
      <c r="P3324" s="29" t="s">
        <v>10568</v>
      </c>
      <c r="Q3324" t="s">
        <v>2038</v>
      </c>
      <c r="R3324" t="s">
        <v>2633</v>
      </c>
      <c r="S3324">
        <v>37</v>
      </c>
      <c r="T3324" s="43" t="str">
        <f t="shared" si="153"/>
        <v>2021.010B.R.Binomial_names.zip</v>
      </c>
      <c r="U3324" s="43" t="str">
        <f>HYPERLINK("https://ictv.global/taxonomy/taxondetails?taxnode_id=202210151","ictv.global=202210151")</f>
        <v>ictv.global=202210151</v>
      </c>
    </row>
    <row r="3325" spans="1:21">
      <c r="A3325">
        <v>3324</v>
      </c>
      <c r="B3325" s="29" t="s">
        <v>3682</v>
      </c>
      <c r="C3325" s="29"/>
      <c r="D3325" s="29" t="s">
        <v>3683</v>
      </c>
      <c r="E3325" s="29"/>
      <c r="F3325" s="29" t="s">
        <v>3686</v>
      </c>
      <c r="G3325" s="29"/>
      <c r="H3325" s="29" t="s">
        <v>3687</v>
      </c>
      <c r="I3325" s="29"/>
      <c r="J3325" s="29"/>
      <c r="K3325" s="29"/>
      <c r="L3325" s="29"/>
      <c r="M3325" s="29"/>
      <c r="N3325" s="29" t="s">
        <v>3474</v>
      </c>
      <c r="O3325" s="29"/>
      <c r="P3325" s="29" t="s">
        <v>10569</v>
      </c>
      <c r="Q3325" t="s">
        <v>2038</v>
      </c>
      <c r="R3325" t="s">
        <v>2633</v>
      </c>
      <c r="S3325">
        <v>37</v>
      </c>
      <c r="T3325" s="43" t="str">
        <f t="shared" si="153"/>
        <v>2021.010B.R.Binomial_names.zip</v>
      </c>
      <c r="U3325" s="43" t="str">
        <f>HYPERLINK("https://ictv.global/taxonomy/taxondetails?taxnode_id=202200654","ictv.global=202200654")</f>
        <v>ictv.global=202200654</v>
      </c>
    </row>
    <row r="3326" spans="1:21">
      <c r="A3326">
        <v>3325</v>
      </c>
      <c r="B3326" s="29" t="s">
        <v>3682</v>
      </c>
      <c r="C3326" s="29"/>
      <c r="D3326" s="29" t="s">
        <v>3683</v>
      </c>
      <c r="E3326" s="29"/>
      <c r="F3326" s="29" t="s">
        <v>3686</v>
      </c>
      <c r="G3326" s="29"/>
      <c r="H3326" s="29" t="s">
        <v>3687</v>
      </c>
      <c r="I3326" s="29"/>
      <c r="J3326" s="29"/>
      <c r="K3326" s="29"/>
      <c r="L3326" s="29"/>
      <c r="M3326" s="29"/>
      <c r="N3326" s="29" t="s">
        <v>3474</v>
      </c>
      <c r="O3326" s="29"/>
      <c r="P3326" s="29" t="s">
        <v>10570</v>
      </c>
      <c r="Q3326" t="s">
        <v>2038</v>
      </c>
      <c r="R3326" t="s">
        <v>2633</v>
      </c>
      <c r="S3326">
        <v>37</v>
      </c>
      <c r="T3326" s="43" t="str">
        <f t="shared" si="153"/>
        <v>2021.010B.R.Binomial_names.zip</v>
      </c>
      <c r="U3326" s="43" t="str">
        <f>HYPERLINK("https://ictv.global/taxonomy/taxondetails?taxnode_id=202200655","ictv.global=202200655")</f>
        <v>ictv.global=202200655</v>
      </c>
    </row>
    <row r="3327" spans="1:21">
      <c r="A3327">
        <v>3326</v>
      </c>
      <c r="B3327" s="29" t="s">
        <v>3682</v>
      </c>
      <c r="C3327" s="29"/>
      <c r="D3327" s="29" t="s">
        <v>3683</v>
      </c>
      <c r="E3327" s="29"/>
      <c r="F3327" s="29" t="s">
        <v>3686</v>
      </c>
      <c r="G3327" s="29"/>
      <c r="H3327" s="29" t="s">
        <v>3687</v>
      </c>
      <c r="I3327" s="29"/>
      <c r="J3327" s="29"/>
      <c r="K3327" s="29"/>
      <c r="L3327" s="29"/>
      <c r="M3327" s="29"/>
      <c r="N3327" s="29" t="s">
        <v>3558</v>
      </c>
      <c r="O3327" s="29"/>
      <c r="P3327" s="29" t="s">
        <v>10571</v>
      </c>
      <c r="Q3327" t="s">
        <v>2038</v>
      </c>
      <c r="R3327" t="s">
        <v>2633</v>
      </c>
      <c r="S3327">
        <v>37</v>
      </c>
      <c r="T3327" s="43" t="str">
        <f t="shared" si="153"/>
        <v>2021.010B.R.Binomial_names.zip</v>
      </c>
      <c r="U3327" s="43" t="str">
        <f>HYPERLINK("https://ictv.global/taxonomy/taxondetails?taxnode_id=202206745","ictv.global=202206745")</f>
        <v>ictv.global=202206745</v>
      </c>
    </row>
    <row r="3328" spans="1:21">
      <c r="A3328">
        <v>3327</v>
      </c>
      <c r="B3328" s="29" t="s">
        <v>3682</v>
      </c>
      <c r="C3328" s="29"/>
      <c r="D3328" s="29" t="s">
        <v>3683</v>
      </c>
      <c r="E3328" s="29"/>
      <c r="F3328" s="29" t="s">
        <v>3686</v>
      </c>
      <c r="G3328" s="29"/>
      <c r="H3328" s="29" t="s">
        <v>3687</v>
      </c>
      <c r="I3328" s="29"/>
      <c r="J3328" s="29"/>
      <c r="K3328" s="29"/>
      <c r="L3328" s="29"/>
      <c r="M3328" s="29"/>
      <c r="N3328" s="29" t="s">
        <v>3558</v>
      </c>
      <c r="O3328" s="29"/>
      <c r="P3328" s="29" t="s">
        <v>10572</v>
      </c>
      <c r="Q3328" t="s">
        <v>2038</v>
      </c>
      <c r="R3328" t="s">
        <v>2633</v>
      </c>
      <c r="S3328">
        <v>37</v>
      </c>
      <c r="T3328" s="43" t="str">
        <f t="shared" si="153"/>
        <v>2021.010B.R.Binomial_names.zip</v>
      </c>
      <c r="U3328" s="43" t="str">
        <f>HYPERLINK("https://ictv.global/taxonomy/taxondetails?taxnode_id=202206744","ictv.global=202206744")</f>
        <v>ictv.global=202206744</v>
      </c>
    </row>
    <row r="3329" spans="1:21">
      <c r="A3329">
        <v>3328</v>
      </c>
      <c r="B3329" s="29" t="s">
        <v>3682</v>
      </c>
      <c r="C3329" s="29"/>
      <c r="D3329" s="29" t="s">
        <v>3683</v>
      </c>
      <c r="E3329" s="29"/>
      <c r="F3329" s="29" t="s">
        <v>3686</v>
      </c>
      <c r="G3329" s="29"/>
      <c r="H3329" s="29" t="s">
        <v>3687</v>
      </c>
      <c r="I3329" s="29"/>
      <c r="J3329" s="29"/>
      <c r="K3329" s="29"/>
      <c r="L3329" s="29"/>
      <c r="M3329" s="29"/>
      <c r="N3329" s="29" t="s">
        <v>4745</v>
      </c>
      <c r="O3329" s="29"/>
      <c r="P3329" s="29" t="s">
        <v>10573</v>
      </c>
      <c r="Q3329" t="s">
        <v>2038</v>
      </c>
      <c r="R3329" t="s">
        <v>2633</v>
      </c>
      <c r="S3329">
        <v>37</v>
      </c>
      <c r="T3329" s="43" t="str">
        <f t="shared" si="153"/>
        <v>2021.010B.R.Binomial_names.zip</v>
      </c>
      <c r="U3329" s="43" t="str">
        <f>HYPERLINK("https://ictv.global/taxonomy/taxondetails?taxnode_id=202200855","ictv.global=202200855")</f>
        <v>ictv.global=202200855</v>
      </c>
    </row>
    <row r="3330" spans="1:21">
      <c r="A3330">
        <v>3329</v>
      </c>
      <c r="B3330" s="29" t="s">
        <v>3682</v>
      </c>
      <c r="C3330" s="29"/>
      <c r="D3330" s="29" t="s">
        <v>3683</v>
      </c>
      <c r="E3330" s="29"/>
      <c r="F3330" s="29" t="s">
        <v>3686</v>
      </c>
      <c r="G3330" s="29"/>
      <c r="H3330" s="29" t="s">
        <v>3687</v>
      </c>
      <c r="I3330" s="29"/>
      <c r="J3330" s="29"/>
      <c r="K3330" s="29"/>
      <c r="L3330" s="29"/>
      <c r="M3330" s="29"/>
      <c r="N3330" s="29" t="s">
        <v>2438</v>
      </c>
      <c r="O3330" s="29"/>
      <c r="P3330" s="29" t="s">
        <v>10574</v>
      </c>
      <c r="Q3330" t="s">
        <v>2038</v>
      </c>
      <c r="R3330" t="s">
        <v>2633</v>
      </c>
      <c r="S3330">
        <v>37</v>
      </c>
      <c r="T3330" s="43" t="str">
        <f t="shared" si="153"/>
        <v>2021.010B.R.Binomial_names.zip</v>
      </c>
      <c r="U3330" s="43" t="str">
        <f>HYPERLINK("https://ictv.global/taxonomy/taxondetails?taxnode_id=202200999","ictv.global=202200999")</f>
        <v>ictv.global=202200999</v>
      </c>
    </row>
    <row r="3331" spans="1:21">
      <c r="A3331">
        <v>3330</v>
      </c>
      <c r="B3331" s="29" t="s">
        <v>3682</v>
      </c>
      <c r="C3331" s="29"/>
      <c r="D3331" s="29" t="s">
        <v>3683</v>
      </c>
      <c r="E3331" s="29"/>
      <c r="F3331" s="29" t="s">
        <v>3686</v>
      </c>
      <c r="G3331" s="29"/>
      <c r="H3331" s="29" t="s">
        <v>3687</v>
      </c>
      <c r="I3331" s="29"/>
      <c r="J3331" s="29"/>
      <c r="K3331" s="29"/>
      <c r="L3331" s="29"/>
      <c r="M3331" s="29"/>
      <c r="N3331" s="29" t="s">
        <v>2438</v>
      </c>
      <c r="O3331" s="29"/>
      <c r="P3331" s="29" t="s">
        <v>10575</v>
      </c>
      <c r="Q3331" t="s">
        <v>2038</v>
      </c>
      <c r="R3331" t="s">
        <v>2632</v>
      </c>
      <c r="S3331">
        <v>37</v>
      </c>
      <c r="T3331" s="43" t="str">
        <f>HYPERLINK("https://ictv.global/ictv/proposals/2021.044B.R.Korravirus_new_species.zip","2021.044B.R.Korravirus_new_species.zip")</f>
        <v>2021.044B.R.Korravirus_new_species.zip</v>
      </c>
      <c r="U3331" s="43" t="str">
        <f>HYPERLINK("https://ictv.global/taxonomy/taxondetails?taxnode_id=202212368","ictv.global=202212368")</f>
        <v>ictv.global=202212368</v>
      </c>
    </row>
    <row r="3332" spans="1:21">
      <c r="A3332">
        <v>3331</v>
      </c>
      <c r="B3332" s="29" t="s">
        <v>3682</v>
      </c>
      <c r="C3332" s="29"/>
      <c r="D3332" s="29" t="s">
        <v>3683</v>
      </c>
      <c r="E3332" s="29"/>
      <c r="F3332" s="29" t="s">
        <v>3686</v>
      </c>
      <c r="G3332" s="29"/>
      <c r="H3332" s="29" t="s">
        <v>3687</v>
      </c>
      <c r="I3332" s="29"/>
      <c r="J3332" s="29"/>
      <c r="K3332" s="29"/>
      <c r="L3332" s="29"/>
      <c r="M3332" s="29"/>
      <c r="N3332" s="29" t="s">
        <v>2438</v>
      </c>
      <c r="O3332" s="29"/>
      <c r="P3332" s="29" t="s">
        <v>10576</v>
      </c>
      <c r="Q3332" t="s">
        <v>2038</v>
      </c>
      <c r="R3332" t="s">
        <v>2633</v>
      </c>
      <c r="S3332">
        <v>37</v>
      </c>
      <c r="T3332" s="43" t="str">
        <f>HYPERLINK("https://ictv.global/ictv/proposals/2021.010B.R.Binomial_names.zip","2021.010B.R.Binomial_names.zip")</f>
        <v>2021.010B.R.Binomial_names.zip</v>
      </c>
      <c r="U3332" s="43" t="str">
        <f>HYPERLINK("https://ictv.global/taxonomy/taxondetails?taxnode_id=202201000","ictv.global=202201000")</f>
        <v>ictv.global=202201000</v>
      </c>
    </row>
    <row r="3333" spans="1:21">
      <c r="A3333">
        <v>3332</v>
      </c>
      <c r="B3333" s="29" t="s">
        <v>3682</v>
      </c>
      <c r="C3333" s="29"/>
      <c r="D3333" s="29" t="s">
        <v>3683</v>
      </c>
      <c r="E3333" s="29"/>
      <c r="F3333" s="29" t="s">
        <v>3686</v>
      </c>
      <c r="G3333" s="29"/>
      <c r="H3333" s="29" t="s">
        <v>3687</v>
      </c>
      <c r="I3333" s="29"/>
      <c r="J3333" s="29"/>
      <c r="K3333" s="29"/>
      <c r="L3333" s="29"/>
      <c r="M3333" s="29"/>
      <c r="N3333" s="29" t="s">
        <v>2438</v>
      </c>
      <c r="O3333" s="29"/>
      <c r="P3333" s="29" t="s">
        <v>10577</v>
      </c>
      <c r="Q3333" t="s">
        <v>2038</v>
      </c>
      <c r="R3333" t="s">
        <v>2632</v>
      </c>
      <c r="S3333">
        <v>37</v>
      </c>
      <c r="T3333" s="43" t="str">
        <f>HYPERLINK("https://ictv.global/ictv/proposals/2021.044B.R.Korravirus_new_species.zip","2021.044B.R.Korravirus_new_species.zip")</f>
        <v>2021.044B.R.Korravirus_new_species.zip</v>
      </c>
      <c r="U3333" s="43" t="str">
        <f>HYPERLINK("https://ictv.global/taxonomy/taxondetails?taxnode_id=202212369","ictv.global=202212369")</f>
        <v>ictv.global=202212369</v>
      </c>
    </row>
    <row r="3334" spans="1:21">
      <c r="A3334">
        <v>3333</v>
      </c>
      <c r="B3334" s="29" t="s">
        <v>3682</v>
      </c>
      <c r="C3334" s="29"/>
      <c r="D3334" s="29" t="s">
        <v>3683</v>
      </c>
      <c r="E3334" s="29"/>
      <c r="F3334" s="29" t="s">
        <v>3686</v>
      </c>
      <c r="G3334" s="29"/>
      <c r="H3334" s="29" t="s">
        <v>3687</v>
      </c>
      <c r="I3334" s="29"/>
      <c r="J3334" s="29"/>
      <c r="K3334" s="29"/>
      <c r="L3334" s="29"/>
      <c r="M3334" s="29"/>
      <c r="N3334" s="29" t="s">
        <v>2438</v>
      </c>
      <c r="O3334" s="29"/>
      <c r="P3334" s="29" t="s">
        <v>10578</v>
      </c>
      <c r="Q3334" t="s">
        <v>2038</v>
      </c>
      <c r="R3334" t="s">
        <v>2633</v>
      </c>
      <c r="S3334">
        <v>37</v>
      </c>
      <c r="T3334" s="43" t="str">
        <f>HYPERLINK("https://ictv.global/ictv/proposals/2021.010B.R.Binomial_names.zip","2021.010B.R.Binomial_names.zip")</f>
        <v>2021.010B.R.Binomial_names.zip</v>
      </c>
      <c r="U3334" s="43" t="str">
        <f>HYPERLINK("https://ictv.global/taxonomy/taxondetails?taxnode_id=202201001","ictv.global=202201001")</f>
        <v>ictv.global=202201001</v>
      </c>
    </row>
    <row r="3335" spans="1:21">
      <c r="A3335">
        <v>3334</v>
      </c>
      <c r="B3335" s="29" t="s">
        <v>3682</v>
      </c>
      <c r="C3335" s="29"/>
      <c r="D3335" s="29" t="s">
        <v>3683</v>
      </c>
      <c r="E3335" s="29"/>
      <c r="F3335" s="29" t="s">
        <v>3686</v>
      </c>
      <c r="G3335" s="29"/>
      <c r="H3335" s="29" t="s">
        <v>3687</v>
      </c>
      <c r="I3335" s="29"/>
      <c r="J3335" s="29"/>
      <c r="K3335" s="29"/>
      <c r="L3335" s="29"/>
      <c r="M3335" s="29"/>
      <c r="N3335" s="29" t="s">
        <v>2438</v>
      </c>
      <c r="O3335" s="29"/>
      <c r="P3335" s="29" t="s">
        <v>10579</v>
      </c>
      <c r="Q3335" t="s">
        <v>2038</v>
      </c>
      <c r="R3335" t="s">
        <v>2632</v>
      </c>
      <c r="S3335">
        <v>37</v>
      </c>
      <c r="T3335" s="43" t="str">
        <f>HYPERLINK("https://ictv.global/ictv/proposals/2021.044B.R.Korravirus_new_species.zip","2021.044B.R.Korravirus_new_species.zip")</f>
        <v>2021.044B.R.Korravirus_new_species.zip</v>
      </c>
      <c r="U3335" s="43" t="str">
        <f>HYPERLINK("https://ictv.global/taxonomy/taxondetails?taxnode_id=202212370","ictv.global=202212370")</f>
        <v>ictv.global=202212370</v>
      </c>
    </row>
    <row r="3336" spans="1:21">
      <c r="A3336">
        <v>3335</v>
      </c>
      <c r="B3336" s="29" t="s">
        <v>3682</v>
      </c>
      <c r="C3336" s="29"/>
      <c r="D3336" s="29" t="s">
        <v>3683</v>
      </c>
      <c r="E3336" s="29"/>
      <c r="F3336" s="29" t="s">
        <v>3686</v>
      </c>
      <c r="G3336" s="29"/>
      <c r="H3336" s="29" t="s">
        <v>3687</v>
      </c>
      <c r="I3336" s="29"/>
      <c r="J3336" s="29"/>
      <c r="K3336" s="29"/>
      <c r="L3336" s="29"/>
      <c r="M3336" s="29"/>
      <c r="N3336" s="29" t="s">
        <v>2438</v>
      </c>
      <c r="O3336" s="29"/>
      <c r="P3336" s="29" t="s">
        <v>10580</v>
      </c>
      <c r="Q3336" t="s">
        <v>2038</v>
      </c>
      <c r="R3336" t="s">
        <v>2632</v>
      </c>
      <c r="S3336">
        <v>37</v>
      </c>
      <c r="T3336" s="43" t="str">
        <f>HYPERLINK("https://ictv.global/ictv/proposals/2021.044B.R.Korravirus_new_species.zip","2021.044B.R.Korravirus_new_species.zip")</f>
        <v>2021.044B.R.Korravirus_new_species.zip</v>
      </c>
      <c r="U3336" s="43" t="str">
        <f>HYPERLINK("https://ictv.global/taxonomy/taxondetails?taxnode_id=202212371","ictv.global=202212371")</f>
        <v>ictv.global=202212371</v>
      </c>
    </row>
    <row r="3337" spans="1:21">
      <c r="A3337">
        <v>3336</v>
      </c>
      <c r="B3337" s="29" t="s">
        <v>3682</v>
      </c>
      <c r="C3337" s="29"/>
      <c r="D3337" s="29" t="s">
        <v>3683</v>
      </c>
      <c r="E3337" s="29"/>
      <c r="F3337" s="29" t="s">
        <v>3686</v>
      </c>
      <c r="G3337" s="29"/>
      <c r="H3337" s="29" t="s">
        <v>3687</v>
      </c>
      <c r="I3337" s="29"/>
      <c r="J3337" s="29"/>
      <c r="K3337" s="29"/>
      <c r="L3337" s="29"/>
      <c r="M3337" s="29"/>
      <c r="N3337" s="29" t="s">
        <v>2438</v>
      </c>
      <c r="O3337" s="29"/>
      <c r="P3337" s="29" t="s">
        <v>10581</v>
      </c>
      <c r="Q3337" t="s">
        <v>2038</v>
      </c>
      <c r="R3337" t="s">
        <v>2633</v>
      </c>
      <c r="S3337">
        <v>37</v>
      </c>
      <c r="T3337" s="43" t="str">
        <f>HYPERLINK("https://ictv.global/ictv/proposals/2021.010B.R.Binomial_names.zip","2021.010B.R.Binomial_names.zip")</f>
        <v>2021.010B.R.Binomial_names.zip</v>
      </c>
      <c r="U3337" s="43" t="str">
        <f>HYPERLINK("https://ictv.global/taxonomy/taxondetails?taxnode_id=202201002","ictv.global=202201002")</f>
        <v>ictv.global=202201002</v>
      </c>
    </row>
    <row r="3338" spans="1:21">
      <c r="A3338">
        <v>3337</v>
      </c>
      <c r="B3338" s="29" t="s">
        <v>3682</v>
      </c>
      <c r="C3338" s="29"/>
      <c r="D3338" s="29" t="s">
        <v>3683</v>
      </c>
      <c r="E3338" s="29"/>
      <c r="F3338" s="29" t="s">
        <v>3686</v>
      </c>
      <c r="G3338" s="29"/>
      <c r="H3338" s="29" t="s">
        <v>3687</v>
      </c>
      <c r="I3338" s="29"/>
      <c r="J3338" s="29"/>
      <c r="K3338" s="29"/>
      <c r="L3338" s="29"/>
      <c r="M3338" s="29"/>
      <c r="N3338" s="29" t="s">
        <v>2438</v>
      </c>
      <c r="O3338" s="29"/>
      <c r="P3338" s="29" t="s">
        <v>10582</v>
      </c>
      <c r="Q3338" t="s">
        <v>2038</v>
      </c>
      <c r="R3338" t="s">
        <v>2632</v>
      </c>
      <c r="S3338">
        <v>37</v>
      </c>
      <c r="T3338" s="43" t="str">
        <f>HYPERLINK("https://ictv.global/ictv/proposals/2021.044B.R.Korravirus_new_species.zip","2021.044B.R.Korravirus_new_species.zip")</f>
        <v>2021.044B.R.Korravirus_new_species.zip</v>
      </c>
      <c r="U3338" s="43" t="str">
        <f>HYPERLINK("https://ictv.global/taxonomy/taxondetails?taxnode_id=202212372","ictv.global=202212372")</f>
        <v>ictv.global=202212372</v>
      </c>
    </row>
    <row r="3339" spans="1:21">
      <c r="A3339">
        <v>3338</v>
      </c>
      <c r="B3339" s="29" t="s">
        <v>3682</v>
      </c>
      <c r="C3339" s="29"/>
      <c r="D3339" s="29" t="s">
        <v>3683</v>
      </c>
      <c r="E3339" s="29"/>
      <c r="F3339" s="29" t="s">
        <v>3686</v>
      </c>
      <c r="G3339" s="29"/>
      <c r="H3339" s="29" t="s">
        <v>3687</v>
      </c>
      <c r="I3339" s="29"/>
      <c r="J3339" s="29"/>
      <c r="K3339" s="29"/>
      <c r="L3339" s="29"/>
      <c r="M3339" s="29"/>
      <c r="N3339" s="29" t="s">
        <v>2438</v>
      </c>
      <c r="O3339" s="29"/>
      <c r="P3339" s="29" t="s">
        <v>10583</v>
      </c>
      <c r="Q3339" t="s">
        <v>2038</v>
      </c>
      <c r="R3339" t="s">
        <v>2633</v>
      </c>
      <c r="S3339">
        <v>37</v>
      </c>
      <c r="T3339" s="43" t="str">
        <f>HYPERLINK("https://ictv.global/ictv/proposals/2021.010B.R.Binomial_names.zip","2021.010B.R.Binomial_names.zip")</f>
        <v>2021.010B.R.Binomial_names.zip</v>
      </c>
      <c r="U3339" s="43" t="str">
        <f>HYPERLINK("https://ictv.global/taxonomy/taxondetails?taxnode_id=202201003","ictv.global=202201003")</f>
        <v>ictv.global=202201003</v>
      </c>
    </row>
    <row r="3340" spans="1:21">
      <c r="A3340">
        <v>3339</v>
      </c>
      <c r="B3340" s="29" t="s">
        <v>3682</v>
      </c>
      <c r="C3340" s="29"/>
      <c r="D3340" s="29" t="s">
        <v>3683</v>
      </c>
      <c r="E3340" s="29"/>
      <c r="F3340" s="29" t="s">
        <v>3686</v>
      </c>
      <c r="G3340" s="29"/>
      <c r="H3340" s="29" t="s">
        <v>3687</v>
      </c>
      <c r="I3340" s="29"/>
      <c r="J3340" s="29"/>
      <c r="K3340" s="29"/>
      <c r="L3340" s="29"/>
      <c r="M3340" s="29"/>
      <c r="N3340" s="29" t="s">
        <v>2438</v>
      </c>
      <c r="O3340" s="29"/>
      <c r="P3340" s="29" t="s">
        <v>10584</v>
      </c>
      <c r="Q3340" t="s">
        <v>2038</v>
      </c>
      <c r="R3340" t="s">
        <v>2632</v>
      </c>
      <c r="S3340">
        <v>37</v>
      </c>
      <c r="T3340" s="43" t="str">
        <f>HYPERLINK("https://ictv.global/ictv/proposals/2021.044B.R.Korravirus_new_species.zip","2021.044B.R.Korravirus_new_species.zip")</f>
        <v>2021.044B.R.Korravirus_new_species.zip</v>
      </c>
      <c r="U3340" s="43" t="str">
        <f>HYPERLINK("https://ictv.global/taxonomy/taxondetails?taxnode_id=202212373","ictv.global=202212373")</f>
        <v>ictv.global=202212373</v>
      </c>
    </row>
    <row r="3341" spans="1:21">
      <c r="A3341">
        <v>3340</v>
      </c>
      <c r="B3341" s="29" t="s">
        <v>3682</v>
      </c>
      <c r="C3341" s="29"/>
      <c r="D3341" s="29" t="s">
        <v>3683</v>
      </c>
      <c r="E3341" s="29"/>
      <c r="F3341" s="29" t="s">
        <v>3686</v>
      </c>
      <c r="G3341" s="29"/>
      <c r="H3341" s="29" t="s">
        <v>3687</v>
      </c>
      <c r="I3341" s="29"/>
      <c r="J3341" s="29"/>
      <c r="K3341" s="29"/>
      <c r="L3341" s="29"/>
      <c r="M3341" s="29"/>
      <c r="N3341" s="29" t="s">
        <v>2438</v>
      </c>
      <c r="O3341" s="29"/>
      <c r="P3341" s="29" t="s">
        <v>10585</v>
      </c>
      <c r="Q3341" t="s">
        <v>2038</v>
      </c>
      <c r="R3341" t="s">
        <v>2633</v>
      </c>
      <c r="S3341">
        <v>37</v>
      </c>
      <c r="T3341" s="43" t="str">
        <f>HYPERLINK("https://ictv.global/ictv/proposals/2021.010B.R.Binomial_names.zip","2021.010B.R.Binomial_names.zip")</f>
        <v>2021.010B.R.Binomial_names.zip</v>
      </c>
      <c r="U3341" s="43" t="str">
        <f>HYPERLINK("https://ictv.global/taxonomy/taxondetails?taxnode_id=202201004","ictv.global=202201004")</f>
        <v>ictv.global=202201004</v>
      </c>
    </row>
    <row r="3342" spans="1:21">
      <c r="A3342">
        <v>3341</v>
      </c>
      <c r="B3342" s="29" t="s">
        <v>3682</v>
      </c>
      <c r="C3342" s="29"/>
      <c r="D3342" s="29" t="s">
        <v>3683</v>
      </c>
      <c r="E3342" s="29"/>
      <c r="F3342" s="29" t="s">
        <v>3686</v>
      </c>
      <c r="G3342" s="29"/>
      <c r="H3342" s="29" t="s">
        <v>3687</v>
      </c>
      <c r="I3342" s="29"/>
      <c r="J3342" s="29"/>
      <c r="K3342" s="29"/>
      <c r="L3342" s="29"/>
      <c r="M3342" s="29"/>
      <c r="N3342" s="29" t="s">
        <v>2438</v>
      </c>
      <c r="O3342" s="29"/>
      <c r="P3342" s="29" t="s">
        <v>10586</v>
      </c>
      <c r="Q3342" t="s">
        <v>2038</v>
      </c>
      <c r="R3342" t="s">
        <v>2632</v>
      </c>
      <c r="S3342">
        <v>37</v>
      </c>
      <c r="T3342" s="43" t="str">
        <f>HYPERLINK("https://ictv.global/ictv/proposals/2021.044B.R.Korravirus_new_species.zip","2021.044B.R.Korravirus_new_species.zip")</f>
        <v>2021.044B.R.Korravirus_new_species.zip</v>
      </c>
      <c r="U3342" s="43" t="str">
        <f>HYPERLINK("https://ictv.global/taxonomy/taxondetails?taxnode_id=202212374","ictv.global=202212374")</f>
        <v>ictv.global=202212374</v>
      </c>
    </row>
    <row r="3343" spans="1:21">
      <c r="A3343">
        <v>3342</v>
      </c>
      <c r="B3343" s="29" t="s">
        <v>3682</v>
      </c>
      <c r="C3343" s="29"/>
      <c r="D3343" s="29" t="s">
        <v>3683</v>
      </c>
      <c r="E3343" s="29"/>
      <c r="F3343" s="29" t="s">
        <v>3686</v>
      </c>
      <c r="G3343" s="29"/>
      <c r="H3343" s="29" t="s">
        <v>3687</v>
      </c>
      <c r="I3343" s="29"/>
      <c r="J3343" s="29"/>
      <c r="K3343" s="29"/>
      <c r="L3343" s="29"/>
      <c r="M3343" s="29"/>
      <c r="N3343" s="29" t="s">
        <v>2438</v>
      </c>
      <c r="O3343" s="29"/>
      <c r="P3343" s="29" t="s">
        <v>10587</v>
      </c>
      <c r="Q3343" t="s">
        <v>2038</v>
      </c>
      <c r="R3343" t="s">
        <v>2632</v>
      </c>
      <c r="S3343">
        <v>37</v>
      </c>
      <c r="T3343" s="43" t="str">
        <f>HYPERLINK("https://ictv.global/ictv/proposals/2021.044B.R.Korravirus_new_species.zip","2021.044B.R.Korravirus_new_species.zip")</f>
        <v>2021.044B.R.Korravirus_new_species.zip</v>
      </c>
      <c r="U3343" s="43" t="str">
        <f>HYPERLINK("https://ictv.global/taxonomy/taxondetails?taxnode_id=202212375","ictv.global=202212375")</f>
        <v>ictv.global=202212375</v>
      </c>
    </row>
    <row r="3344" spans="1:21">
      <c r="A3344">
        <v>3343</v>
      </c>
      <c r="B3344" s="29" t="s">
        <v>3682</v>
      </c>
      <c r="C3344" s="29"/>
      <c r="D3344" s="29" t="s">
        <v>3683</v>
      </c>
      <c r="E3344" s="29"/>
      <c r="F3344" s="29" t="s">
        <v>3686</v>
      </c>
      <c r="G3344" s="29"/>
      <c r="H3344" s="29" t="s">
        <v>3687</v>
      </c>
      <c r="I3344" s="29"/>
      <c r="J3344" s="29"/>
      <c r="K3344" s="29"/>
      <c r="L3344" s="29"/>
      <c r="M3344" s="29"/>
      <c r="N3344" s="29" t="s">
        <v>2438</v>
      </c>
      <c r="O3344" s="29"/>
      <c r="P3344" s="29" t="s">
        <v>10588</v>
      </c>
      <c r="Q3344" t="s">
        <v>2038</v>
      </c>
      <c r="R3344" t="s">
        <v>2632</v>
      </c>
      <c r="S3344">
        <v>37</v>
      </c>
      <c r="T3344" s="43" t="str">
        <f>HYPERLINK("https://ictv.global/ictv/proposals/2021.044B.R.Korravirus_new_species.zip","2021.044B.R.Korravirus_new_species.zip")</f>
        <v>2021.044B.R.Korravirus_new_species.zip</v>
      </c>
      <c r="U3344" s="43" t="str">
        <f>HYPERLINK("https://ictv.global/taxonomy/taxondetails?taxnode_id=202212376","ictv.global=202212376")</f>
        <v>ictv.global=202212376</v>
      </c>
    </row>
    <row r="3345" spans="1:21">
      <c r="A3345">
        <v>3344</v>
      </c>
      <c r="B3345" s="29" t="s">
        <v>3682</v>
      </c>
      <c r="C3345" s="29"/>
      <c r="D3345" s="29" t="s">
        <v>3683</v>
      </c>
      <c r="E3345" s="29"/>
      <c r="F3345" s="29" t="s">
        <v>3686</v>
      </c>
      <c r="G3345" s="29"/>
      <c r="H3345" s="29" t="s">
        <v>3687</v>
      </c>
      <c r="I3345" s="29"/>
      <c r="J3345" s="29"/>
      <c r="K3345" s="29"/>
      <c r="L3345" s="29"/>
      <c r="M3345" s="29"/>
      <c r="N3345" s="29" t="s">
        <v>2438</v>
      </c>
      <c r="O3345" s="29"/>
      <c r="P3345" s="29" t="s">
        <v>10589</v>
      </c>
      <c r="Q3345" t="s">
        <v>2038</v>
      </c>
      <c r="R3345" t="s">
        <v>2632</v>
      </c>
      <c r="S3345">
        <v>37</v>
      </c>
      <c r="T3345" s="43" t="str">
        <f>HYPERLINK("https://ictv.global/ictv/proposals/2021.044B.R.Korravirus_new_species.zip","2021.044B.R.Korravirus_new_species.zip")</f>
        <v>2021.044B.R.Korravirus_new_species.zip</v>
      </c>
      <c r="U3345" s="43" t="str">
        <f>HYPERLINK("https://ictv.global/taxonomy/taxondetails?taxnode_id=202212377","ictv.global=202212377")</f>
        <v>ictv.global=202212377</v>
      </c>
    </row>
    <row r="3346" spans="1:21">
      <c r="A3346">
        <v>3345</v>
      </c>
      <c r="B3346" s="29" t="s">
        <v>3682</v>
      </c>
      <c r="C3346" s="29"/>
      <c r="D3346" s="29" t="s">
        <v>3683</v>
      </c>
      <c r="E3346" s="29"/>
      <c r="F3346" s="29" t="s">
        <v>3686</v>
      </c>
      <c r="G3346" s="29"/>
      <c r="H3346" s="29" t="s">
        <v>3687</v>
      </c>
      <c r="I3346" s="29"/>
      <c r="J3346" s="29"/>
      <c r="K3346" s="29"/>
      <c r="L3346" s="29"/>
      <c r="M3346" s="29"/>
      <c r="N3346" s="29" t="s">
        <v>2438</v>
      </c>
      <c r="O3346" s="29"/>
      <c r="P3346" s="29" t="s">
        <v>10590</v>
      </c>
      <c r="Q3346" t="s">
        <v>2038</v>
      </c>
      <c r="R3346" t="s">
        <v>2633</v>
      </c>
      <c r="S3346">
        <v>37</v>
      </c>
      <c r="T3346" s="43" t="str">
        <f>HYPERLINK("https://ictv.global/ictv/proposals/2021.010B.R.Binomial_names.zip","2021.010B.R.Binomial_names.zip")</f>
        <v>2021.010B.R.Binomial_names.zip</v>
      </c>
      <c r="U3346" s="43" t="str">
        <f>HYPERLINK("https://ictv.global/taxonomy/taxondetails?taxnode_id=202201005","ictv.global=202201005")</f>
        <v>ictv.global=202201005</v>
      </c>
    </row>
    <row r="3347" spans="1:21">
      <c r="A3347">
        <v>3346</v>
      </c>
      <c r="B3347" s="29" t="s">
        <v>3682</v>
      </c>
      <c r="C3347" s="29"/>
      <c r="D3347" s="29" t="s">
        <v>3683</v>
      </c>
      <c r="E3347" s="29"/>
      <c r="F3347" s="29" t="s">
        <v>3686</v>
      </c>
      <c r="G3347" s="29"/>
      <c r="H3347" s="29" t="s">
        <v>3687</v>
      </c>
      <c r="I3347" s="29"/>
      <c r="J3347" s="29"/>
      <c r="K3347" s="29"/>
      <c r="L3347" s="29"/>
      <c r="M3347" s="29"/>
      <c r="N3347" s="29" t="s">
        <v>2438</v>
      </c>
      <c r="O3347" s="29"/>
      <c r="P3347" s="29" t="s">
        <v>10591</v>
      </c>
      <c r="Q3347" t="s">
        <v>2038</v>
      </c>
      <c r="R3347" t="s">
        <v>2633</v>
      </c>
      <c r="S3347">
        <v>37</v>
      </c>
      <c r="T3347" s="43" t="str">
        <f>HYPERLINK("https://ictv.global/ictv/proposals/2021.010B.R.Binomial_names.zip","2021.010B.R.Binomial_names.zip")</f>
        <v>2021.010B.R.Binomial_names.zip</v>
      </c>
      <c r="U3347" s="43" t="str">
        <f>HYPERLINK("https://ictv.global/taxonomy/taxondetails?taxnode_id=202201006","ictv.global=202201006")</f>
        <v>ictv.global=202201006</v>
      </c>
    </row>
    <row r="3348" spans="1:21">
      <c r="A3348">
        <v>3347</v>
      </c>
      <c r="B3348" s="29" t="s">
        <v>3682</v>
      </c>
      <c r="C3348" s="29"/>
      <c r="D3348" s="29" t="s">
        <v>3683</v>
      </c>
      <c r="E3348" s="29"/>
      <c r="F3348" s="29" t="s">
        <v>3686</v>
      </c>
      <c r="G3348" s="29"/>
      <c r="H3348" s="29" t="s">
        <v>3687</v>
      </c>
      <c r="I3348" s="29"/>
      <c r="J3348" s="29"/>
      <c r="K3348" s="29"/>
      <c r="L3348" s="29"/>
      <c r="M3348" s="29"/>
      <c r="N3348" s="29" t="s">
        <v>2438</v>
      </c>
      <c r="O3348" s="29"/>
      <c r="P3348" s="29" t="s">
        <v>10592</v>
      </c>
      <c r="Q3348" t="s">
        <v>2038</v>
      </c>
      <c r="R3348" t="s">
        <v>2632</v>
      </c>
      <c r="S3348">
        <v>37</v>
      </c>
      <c r="T3348" s="43" t="str">
        <f>HYPERLINK("https://ictv.global/ictv/proposals/2021.044B.R.Korravirus_new_species.zip","2021.044B.R.Korravirus_new_species.zip")</f>
        <v>2021.044B.R.Korravirus_new_species.zip</v>
      </c>
      <c r="U3348" s="43" t="str">
        <f>HYPERLINK("https://ictv.global/taxonomy/taxondetails?taxnode_id=202212378","ictv.global=202212378")</f>
        <v>ictv.global=202212378</v>
      </c>
    </row>
    <row r="3349" spans="1:21">
      <c r="A3349">
        <v>3348</v>
      </c>
      <c r="B3349" s="29" t="s">
        <v>3682</v>
      </c>
      <c r="C3349" s="29"/>
      <c r="D3349" s="29" t="s">
        <v>3683</v>
      </c>
      <c r="E3349" s="29"/>
      <c r="F3349" s="29" t="s">
        <v>3686</v>
      </c>
      <c r="G3349" s="29"/>
      <c r="H3349" s="29" t="s">
        <v>3687</v>
      </c>
      <c r="I3349" s="29"/>
      <c r="J3349" s="29"/>
      <c r="K3349" s="29"/>
      <c r="L3349" s="29"/>
      <c r="M3349" s="29"/>
      <c r="N3349" s="29" t="s">
        <v>2438</v>
      </c>
      <c r="O3349" s="29"/>
      <c r="P3349" s="29" t="s">
        <v>10593</v>
      </c>
      <c r="Q3349" t="s">
        <v>2038</v>
      </c>
      <c r="R3349" t="s">
        <v>2632</v>
      </c>
      <c r="S3349">
        <v>37</v>
      </c>
      <c r="T3349" s="43" t="str">
        <f>HYPERLINK("https://ictv.global/ictv/proposals/2021.044B.R.Korravirus_new_species.zip","2021.044B.R.Korravirus_new_species.zip")</f>
        <v>2021.044B.R.Korravirus_new_species.zip</v>
      </c>
      <c r="U3349" s="43" t="str">
        <f>HYPERLINK("https://ictv.global/taxonomy/taxondetails?taxnode_id=202212379","ictv.global=202212379")</f>
        <v>ictv.global=202212379</v>
      </c>
    </row>
    <row r="3350" spans="1:21">
      <c r="A3350">
        <v>3349</v>
      </c>
      <c r="B3350" s="29" t="s">
        <v>3682</v>
      </c>
      <c r="C3350" s="29"/>
      <c r="D3350" s="29" t="s">
        <v>3683</v>
      </c>
      <c r="E3350" s="29"/>
      <c r="F3350" s="29" t="s">
        <v>3686</v>
      </c>
      <c r="G3350" s="29"/>
      <c r="H3350" s="29" t="s">
        <v>3687</v>
      </c>
      <c r="I3350" s="29"/>
      <c r="J3350" s="29"/>
      <c r="K3350" s="29"/>
      <c r="L3350" s="29"/>
      <c r="M3350" s="29"/>
      <c r="N3350" s="29" t="s">
        <v>2438</v>
      </c>
      <c r="O3350" s="29"/>
      <c r="P3350" s="29" t="s">
        <v>10594</v>
      </c>
      <c r="Q3350" t="s">
        <v>2038</v>
      </c>
      <c r="R3350" t="s">
        <v>2632</v>
      </c>
      <c r="S3350">
        <v>37</v>
      </c>
      <c r="T3350" s="43" t="str">
        <f>HYPERLINK("https://ictv.global/ictv/proposals/2021.044B.R.Korravirus_new_species.zip","2021.044B.R.Korravirus_new_species.zip")</f>
        <v>2021.044B.R.Korravirus_new_species.zip</v>
      </c>
      <c r="U3350" s="43" t="str">
        <f>HYPERLINK("https://ictv.global/taxonomy/taxondetails?taxnode_id=202212380","ictv.global=202212380")</f>
        <v>ictv.global=202212380</v>
      </c>
    </row>
    <row r="3351" spans="1:21">
      <c r="A3351">
        <v>3350</v>
      </c>
      <c r="B3351" s="29" t="s">
        <v>3682</v>
      </c>
      <c r="C3351" s="29"/>
      <c r="D3351" s="29" t="s">
        <v>3683</v>
      </c>
      <c r="E3351" s="29"/>
      <c r="F3351" s="29" t="s">
        <v>3686</v>
      </c>
      <c r="G3351" s="29"/>
      <c r="H3351" s="29" t="s">
        <v>3687</v>
      </c>
      <c r="I3351" s="29"/>
      <c r="J3351" s="29"/>
      <c r="K3351" s="29"/>
      <c r="L3351" s="29"/>
      <c r="M3351" s="29"/>
      <c r="N3351" s="29" t="s">
        <v>2438</v>
      </c>
      <c r="O3351" s="29"/>
      <c r="P3351" s="29" t="s">
        <v>10595</v>
      </c>
      <c r="Q3351" t="s">
        <v>2038</v>
      </c>
      <c r="R3351" t="s">
        <v>2633</v>
      </c>
      <c r="S3351">
        <v>37</v>
      </c>
      <c r="T3351" s="43" t="str">
        <f t="shared" ref="T3351:T3362" si="154">HYPERLINK("https://ictv.global/ictv/proposals/2021.010B.R.Binomial_names.zip","2021.010B.R.Binomial_names.zip")</f>
        <v>2021.010B.R.Binomial_names.zip</v>
      </c>
      <c r="U3351" s="43" t="str">
        <f>HYPERLINK("https://ictv.global/taxonomy/taxondetails?taxnode_id=202201007","ictv.global=202201007")</f>
        <v>ictv.global=202201007</v>
      </c>
    </row>
    <row r="3352" spans="1:21">
      <c r="A3352">
        <v>3351</v>
      </c>
      <c r="B3352" s="29" t="s">
        <v>3682</v>
      </c>
      <c r="C3352" s="29"/>
      <c r="D3352" s="29" t="s">
        <v>3683</v>
      </c>
      <c r="E3352" s="29"/>
      <c r="F3352" s="29" t="s">
        <v>3686</v>
      </c>
      <c r="G3352" s="29"/>
      <c r="H3352" s="29" t="s">
        <v>3687</v>
      </c>
      <c r="I3352" s="29"/>
      <c r="J3352" s="29"/>
      <c r="K3352" s="29"/>
      <c r="L3352" s="29"/>
      <c r="M3352" s="29"/>
      <c r="N3352" s="29" t="s">
        <v>3559</v>
      </c>
      <c r="O3352" s="29"/>
      <c r="P3352" s="29" t="s">
        <v>10596</v>
      </c>
      <c r="Q3352" t="s">
        <v>2038</v>
      </c>
      <c r="R3352" t="s">
        <v>2633</v>
      </c>
      <c r="S3352">
        <v>37</v>
      </c>
      <c r="T3352" s="43" t="str">
        <f t="shared" si="154"/>
        <v>2021.010B.R.Binomial_names.zip</v>
      </c>
      <c r="U3352" s="43" t="str">
        <f>HYPERLINK("https://ictv.global/taxonomy/taxondetails?taxnode_id=202200931","ictv.global=202200931")</f>
        <v>ictv.global=202200931</v>
      </c>
    </row>
    <row r="3353" spans="1:21">
      <c r="A3353">
        <v>3352</v>
      </c>
      <c r="B3353" s="29" t="s">
        <v>3682</v>
      </c>
      <c r="C3353" s="29"/>
      <c r="D3353" s="29" t="s">
        <v>3683</v>
      </c>
      <c r="E3353" s="29"/>
      <c r="F3353" s="29" t="s">
        <v>3686</v>
      </c>
      <c r="G3353" s="29"/>
      <c r="H3353" s="29" t="s">
        <v>3687</v>
      </c>
      <c r="I3353" s="29"/>
      <c r="J3353" s="29"/>
      <c r="K3353" s="29"/>
      <c r="L3353" s="29"/>
      <c r="M3353" s="29"/>
      <c r="N3353" s="29" t="s">
        <v>3559</v>
      </c>
      <c r="O3353" s="29"/>
      <c r="P3353" s="29" t="s">
        <v>10597</v>
      </c>
      <c r="Q3353" t="s">
        <v>2038</v>
      </c>
      <c r="R3353" t="s">
        <v>2633</v>
      </c>
      <c r="S3353">
        <v>37</v>
      </c>
      <c r="T3353" s="43" t="str">
        <f t="shared" si="154"/>
        <v>2021.010B.R.Binomial_names.zip</v>
      </c>
      <c r="U3353" s="43" t="str">
        <f>HYPERLINK("https://ictv.global/taxonomy/taxondetails?taxnode_id=202200932","ictv.global=202200932")</f>
        <v>ictv.global=202200932</v>
      </c>
    </row>
    <row r="3354" spans="1:21">
      <c r="A3354">
        <v>3353</v>
      </c>
      <c r="B3354" s="29" t="s">
        <v>3682</v>
      </c>
      <c r="C3354" s="29"/>
      <c r="D3354" s="29" t="s">
        <v>3683</v>
      </c>
      <c r="E3354" s="29"/>
      <c r="F3354" s="29" t="s">
        <v>3686</v>
      </c>
      <c r="G3354" s="29"/>
      <c r="H3354" s="29" t="s">
        <v>3687</v>
      </c>
      <c r="I3354" s="29"/>
      <c r="J3354" s="29"/>
      <c r="K3354" s="29"/>
      <c r="L3354" s="29"/>
      <c r="M3354" s="29"/>
      <c r="N3354" s="29" t="s">
        <v>3559</v>
      </c>
      <c r="O3354" s="29"/>
      <c r="P3354" s="29" t="s">
        <v>10598</v>
      </c>
      <c r="Q3354" t="s">
        <v>2038</v>
      </c>
      <c r="R3354" t="s">
        <v>2633</v>
      </c>
      <c r="S3354">
        <v>37</v>
      </c>
      <c r="T3354" s="43" t="str">
        <f t="shared" si="154"/>
        <v>2021.010B.R.Binomial_names.zip</v>
      </c>
      <c r="U3354" s="43" t="str">
        <f>HYPERLINK("https://ictv.global/taxonomy/taxondetails?taxnode_id=202200933","ictv.global=202200933")</f>
        <v>ictv.global=202200933</v>
      </c>
    </row>
    <row r="3355" spans="1:21">
      <c r="A3355">
        <v>3354</v>
      </c>
      <c r="B3355" s="29" t="s">
        <v>3682</v>
      </c>
      <c r="C3355" s="29"/>
      <c r="D3355" s="29" t="s">
        <v>3683</v>
      </c>
      <c r="E3355" s="29"/>
      <c r="F3355" s="29" t="s">
        <v>3686</v>
      </c>
      <c r="G3355" s="29"/>
      <c r="H3355" s="29" t="s">
        <v>3687</v>
      </c>
      <c r="I3355" s="29"/>
      <c r="J3355" s="29"/>
      <c r="K3355" s="29"/>
      <c r="L3355" s="29"/>
      <c r="M3355" s="29"/>
      <c r="N3355" s="29" t="s">
        <v>3559</v>
      </c>
      <c r="O3355" s="29"/>
      <c r="P3355" s="29" t="s">
        <v>10599</v>
      </c>
      <c r="Q3355" t="s">
        <v>2038</v>
      </c>
      <c r="R3355" t="s">
        <v>2633</v>
      </c>
      <c r="S3355">
        <v>37</v>
      </c>
      <c r="T3355" s="43" t="str">
        <f t="shared" si="154"/>
        <v>2021.010B.R.Binomial_names.zip</v>
      </c>
      <c r="U3355" s="43" t="str">
        <f>HYPERLINK("https://ictv.global/taxonomy/taxondetails?taxnode_id=202200934","ictv.global=202200934")</f>
        <v>ictv.global=202200934</v>
      </c>
    </row>
    <row r="3356" spans="1:21">
      <c r="A3356">
        <v>3355</v>
      </c>
      <c r="B3356" s="29" t="s">
        <v>3682</v>
      </c>
      <c r="C3356" s="29"/>
      <c r="D3356" s="29" t="s">
        <v>3683</v>
      </c>
      <c r="E3356" s="29"/>
      <c r="F3356" s="29" t="s">
        <v>3686</v>
      </c>
      <c r="G3356" s="29"/>
      <c r="H3356" s="29" t="s">
        <v>3687</v>
      </c>
      <c r="I3356" s="29"/>
      <c r="J3356" s="29"/>
      <c r="K3356" s="29"/>
      <c r="L3356" s="29"/>
      <c r="M3356" s="29"/>
      <c r="N3356" s="29" t="s">
        <v>3559</v>
      </c>
      <c r="O3356" s="29"/>
      <c r="P3356" s="29" t="s">
        <v>10600</v>
      </c>
      <c r="Q3356" t="s">
        <v>2038</v>
      </c>
      <c r="R3356" t="s">
        <v>2633</v>
      </c>
      <c r="S3356">
        <v>37</v>
      </c>
      <c r="T3356" s="43" t="str">
        <f t="shared" si="154"/>
        <v>2021.010B.R.Binomial_names.zip</v>
      </c>
      <c r="U3356" s="43" t="str">
        <f>HYPERLINK("https://ictv.global/taxonomy/taxondetails?taxnode_id=202200930","ictv.global=202200930")</f>
        <v>ictv.global=202200930</v>
      </c>
    </row>
    <row r="3357" spans="1:21">
      <c r="A3357">
        <v>3356</v>
      </c>
      <c r="B3357" s="29" t="s">
        <v>3682</v>
      </c>
      <c r="C3357" s="29"/>
      <c r="D3357" s="29" t="s">
        <v>3683</v>
      </c>
      <c r="E3357" s="29"/>
      <c r="F3357" s="29" t="s">
        <v>3686</v>
      </c>
      <c r="G3357" s="29"/>
      <c r="H3357" s="29" t="s">
        <v>3687</v>
      </c>
      <c r="I3357" s="29"/>
      <c r="J3357" s="29"/>
      <c r="K3357" s="29"/>
      <c r="L3357" s="29"/>
      <c r="M3357" s="29"/>
      <c r="N3357" s="29" t="s">
        <v>3559</v>
      </c>
      <c r="O3357" s="29"/>
      <c r="P3357" s="29" t="s">
        <v>10601</v>
      </c>
      <c r="Q3357" t="s">
        <v>2038</v>
      </c>
      <c r="R3357" t="s">
        <v>2633</v>
      </c>
      <c r="S3357">
        <v>37</v>
      </c>
      <c r="T3357" s="43" t="str">
        <f t="shared" si="154"/>
        <v>2021.010B.R.Binomial_names.zip</v>
      </c>
      <c r="U3357" s="43" t="str">
        <f>HYPERLINK("https://ictv.global/taxonomy/taxondetails?taxnode_id=202200935","ictv.global=202200935")</f>
        <v>ictv.global=202200935</v>
      </c>
    </row>
    <row r="3358" spans="1:21">
      <c r="A3358">
        <v>3357</v>
      </c>
      <c r="B3358" s="29" t="s">
        <v>3682</v>
      </c>
      <c r="C3358" s="29"/>
      <c r="D3358" s="29" t="s">
        <v>3683</v>
      </c>
      <c r="E3358" s="29"/>
      <c r="F3358" s="29" t="s">
        <v>3686</v>
      </c>
      <c r="G3358" s="29"/>
      <c r="H3358" s="29" t="s">
        <v>3687</v>
      </c>
      <c r="I3358" s="29"/>
      <c r="J3358" s="29"/>
      <c r="K3358" s="29"/>
      <c r="L3358" s="29"/>
      <c r="M3358" s="29"/>
      <c r="N3358" s="29" t="s">
        <v>3559</v>
      </c>
      <c r="O3358" s="29"/>
      <c r="P3358" s="29" t="s">
        <v>10602</v>
      </c>
      <c r="Q3358" t="s">
        <v>2038</v>
      </c>
      <c r="R3358" t="s">
        <v>2633</v>
      </c>
      <c r="S3358">
        <v>37</v>
      </c>
      <c r="T3358" s="43" t="str">
        <f t="shared" si="154"/>
        <v>2021.010B.R.Binomial_names.zip</v>
      </c>
      <c r="U3358" s="43" t="str">
        <f>HYPERLINK("https://ictv.global/taxonomy/taxondetails?taxnode_id=202200936","ictv.global=202200936")</f>
        <v>ictv.global=202200936</v>
      </c>
    </row>
    <row r="3359" spans="1:21">
      <c r="A3359">
        <v>3358</v>
      </c>
      <c r="B3359" s="29" t="s">
        <v>3682</v>
      </c>
      <c r="C3359" s="29"/>
      <c r="D3359" s="29" t="s">
        <v>3683</v>
      </c>
      <c r="E3359" s="29"/>
      <c r="F3359" s="29" t="s">
        <v>3686</v>
      </c>
      <c r="G3359" s="29"/>
      <c r="H3359" s="29" t="s">
        <v>3687</v>
      </c>
      <c r="I3359" s="29"/>
      <c r="J3359" s="29"/>
      <c r="K3359" s="29"/>
      <c r="L3359" s="29"/>
      <c r="M3359" s="29"/>
      <c r="N3359" s="29" t="s">
        <v>3559</v>
      </c>
      <c r="O3359" s="29"/>
      <c r="P3359" s="29" t="s">
        <v>10603</v>
      </c>
      <c r="Q3359" t="s">
        <v>2038</v>
      </c>
      <c r="R3359" t="s">
        <v>2633</v>
      </c>
      <c r="S3359">
        <v>37</v>
      </c>
      <c r="T3359" s="43" t="str">
        <f t="shared" si="154"/>
        <v>2021.010B.R.Binomial_names.zip</v>
      </c>
      <c r="U3359" s="43" t="str">
        <f>HYPERLINK("https://ictv.global/taxonomy/taxondetails?taxnode_id=202200937","ictv.global=202200937")</f>
        <v>ictv.global=202200937</v>
      </c>
    </row>
    <row r="3360" spans="1:21">
      <c r="A3360">
        <v>3359</v>
      </c>
      <c r="B3360" s="29" t="s">
        <v>3682</v>
      </c>
      <c r="C3360" s="29"/>
      <c r="D3360" s="29" t="s">
        <v>3683</v>
      </c>
      <c r="E3360" s="29"/>
      <c r="F3360" s="29" t="s">
        <v>3686</v>
      </c>
      <c r="G3360" s="29"/>
      <c r="H3360" s="29" t="s">
        <v>3687</v>
      </c>
      <c r="I3360" s="29"/>
      <c r="J3360" s="29"/>
      <c r="K3360" s="29"/>
      <c r="L3360" s="29"/>
      <c r="M3360" s="29"/>
      <c r="N3360" s="29" t="s">
        <v>3559</v>
      </c>
      <c r="O3360" s="29"/>
      <c r="P3360" s="29" t="s">
        <v>10604</v>
      </c>
      <c r="Q3360" t="s">
        <v>2038</v>
      </c>
      <c r="R3360" t="s">
        <v>2633</v>
      </c>
      <c r="S3360">
        <v>37</v>
      </c>
      <c r="T3360" s="43" t="str">
        <f t="shared" si="154"/>
        <v>2021.010B.R.Binomial_names.zip</v>
      </c>
      <c r="U3360" s="43" t="str">
        <f>HYPERLINK("https://ictv.global/taxonomy/taxondetails?taxnode_id=202200938","ictv.global=202200938")</f>
        <v>ictv.global=202200938</v>
      </c>
    </row>
    <row r="3361" spans="1:21">
      <c r="A3361">
        <v>3360</v>
      </c>
      <c r="B3361" s="29" t="s">
        <v>3682</v>
      </c>
      <c r="C3361" s="29"/>
      <c r="D3361" s="29" t="s">
        <v>3683</v>
      </c>
      <c r="E3361" s="29"/>
      <c r="F3361" s="29" t="s">
        <v>3686</v>
      </c>
      <c r="G3361" s="29"/>
      <c r="H3361" s="29" t="s">
        <v>3687</v>
      </c>
      <c r="I3361" s="29"/>
      <c r="J3361" s="29"/>
      <c r="K3361" s="29"/>
      <c r="L3361" s="29"/>
      <c r="M3361" s="29"/>
      <c r="N3361" s="29" t="s">
        <v>4605</v>
      </c>
      <c r="O3361" s="29"/>
      <c r="P3361" s="29" t="s">
        <v>10605</v>
      </c>
      <c r="Q3361" t="s">
        <v>2038</v>
      </c>
      <c r="R3361" t="s">
        <v>2633</v>
      </c>
      <c r="S3361">
        <v>37</v>
      </c>
      <c r="T3361" s="43" t="str">
        <f t="shared" si="154"/>
        <v>2021.010B.R.Binomial_names.zip</v>
      </c>
      <c r="U3361" s="43" t="str">
        <f>HYPERLINK("https://ictv.global/taxonomy/taxondetails?taxnode_id=202210153","ictv.global=202210153")</f>
        <v>ictv.global=202210153</v>
      </c>
    </row>
    <row r="3362" spans="1:21">
      <c r="A3362">
        <v>3361</v>
      </c>
      <c r="B3362" s="29" t="s">
        <v>3682</v>
      </c>
      <c r="C3362" s="29"/>
      <c r="D3362" s="29" t="s">
        <v>3683</v>
      </c>
      <c r="E3362" s="29"/>
      <c r="F3362" s="29" t="s">
        <v>3686</v>
      </c>
      <c r="G3362" s="29"/>
      <c r="H3362" s="29" t="s">
        <v>3687</v>
      </c>
      <c r="I3362" s="29"/>
      <c r="J3362" s="29"/>
      <c r="K3362" s="29"/>
      <c r="L3362" s="29"/>
      <c r="M3362" s="29"/>
      <c r="N3362" s="29" t="s">
        <v>4008</v>
      </c>
      <c r="O3362" s="29"/>
      <c r="P3362" s="29" t="s">
        <v>10606</v>
      </c>
      <c r="Q3362" t="s">
        <v>2038</v>
      </c>
      <c r="R3362" t="s">
        <v>2633</v>
      </c>
      <c r="S3362">
        <v>37</v>
      </c>
      <c r="T3362" s="43" t="str">
        <f t="shared" si="154"/>
        <v>2021.010B.R.Binomial_names.zip</v>
      </c>
      <c r="U3362" s="43" t="str">
        <f>HYPERLINK("https://ictv.global/taxonomy/taxondetails?taxnode_id=202207430","ictv.global=202207430")</f>
        <v>ictv.global=202207430</v>
      </c>
    </row>
    <row r="3363" spans="1:21">
      <c r="A3363">
        <v>3362</v>
      </c>
      <c r="B3363" s="29" t="s">
        <v>3682</v>
      </c>
      <c r="C3363" s="29"/>
      <c r="D3363" s="29" t="s">
        <v>3683</v>
      </c>
      <c r="E3363" s="29"/>
      <c r="F3363" s="29" t="s">
        <v>3686</v>
      </c>
      <c r="G3363" s="29"/>
      <c r="H3363" s="29" t="s">
        <v>3687</v>
      </c>
      <c r="I3363" s="29"/>
      <c r="J3363" s="29"/>
      <c r="K3363" s="29"/>
      <c r="L3363" s="29"/>
      <c r="M3363" s="29"/>
      <c r="N3363" s="29" t="s">
        <v>10607</v>
      </c>
      <c r="O3363" s="29"/>
      <c r="P3363" s="29" t="s">
        <v>10608</v>
      </c>
      <c r="Q3363" t="s">
        <v>2038</v>
      </c>
      <c r="R3363" t="s">
        <v>2632</v>
      </c>
      <c r="S3363">
        <v>37</v>
      </c>
      <c r="T3363" s="43" t="str">
        <f t="shared" ref="T3363:T3370" si="155">HYPERLINK("https://ictv.global/ictv/proposals/2021.045B.R.Kroosvirus.zip","2021.045B.R.Kroosvirus.zip")</f>
        <v>2021.045B.R.Kroosvirus.zip</v>
      </c>
      <c r="U3363" s="43" t="str">
        <f>HYPERLINK("https://ictv.global/taxonomy/taxondetails?taxnode_id=202212385","ictv.global=202212385")</f>
        <v>ictv.global=202212385</v>
      </c>
    </row>
    <row r="3364" spans="1:21">
      <c r="A3364">
        <v>3363</v>
      </c>
      <c r="B3364" s="29" t="s">
        <v>3682</v>
      </c>
      <c r="C3364" s="29"/>
      <c r="D3364" s="29" t="s">
        <v>3683</v>
      </c>
      <c r="E3364" s="29"/>
      <c r="F3364" s="29" t="s">
        <v>3686</v>
      </c>
      <c r="G3364" s="29"/>
      <c r="H3364" s="29" t="s">
        <v>3687</v>
      </c>
      <c r="I3364" s="29"/>
      <c r="J3364" s="29"/>
      <c r="K3364" s="29"/>
      <c r="L3364" s="29"/>
      <c r="M3364" s="29"/>
      <c r="N3364" s="29" t="s">
        <v>10607</v>
      </c>
      <c r="O3364" s="29"/>
      <c r="P3364" s="29" t="s">
        <v>10609</v>
      </c>
      <c r="Q3364" t="s">
        <v>2038</v>
      </c>
      <c r="R3364" t="s">
        <v>2632</v>
      </c>
      <c r="S3364">
        <v>37</v>
      </c>
      <c r="T3364" s="43" t="str">
        <f t="shared" si="155"/>
        <v>2021.045B.R.Kroosvirus.zip</v>
      </c>
      <c r="U3364" s="43" t="str">
        <f>HYPERLINK("https://ictv.global/taxonomy/taxondetails?taxnode_id=202212387","ictv.global=202212387")</f>
        <v>ictv.global=202212387</v>
      </c>
    </row>
    <row r="3365" spans="1:21">
      <c r="A3365">
        <v>3364</v>
      </c>
      <c r="B3365" s="29" t="s">
        <v>3682</v>
      </c>
      <c r="C3365" s="29"/>
      <c r="D3365" s="29" t="s">
        <v>3683</v>
      </c>
      <c r="E3365" s="29"/>
      <c r="F3365" s="29" t="s">
        <v>3686</v>
      </c>
      <c r="G3365" s="29"/>
      <c r="H3365" s="29" t="s">
        <v>3687</v>
      </c>
      <c r="I3365" s="29"/>
      <c r="J3365" s="29"/>
      <c r="K3365" s="29"/>
      <c r="L3365" s="29"/>
      <c r="M3365" s="29"/>
      <c r="N3365" s="29" t="s">
        <v>10607</v>
      </c>
      <c r="O3365" s="29"/>
      <c r="P3365" s="29" t="s">
        <v>10610</v>
      </c>
      <c r="Q3365" t="s">
        <v>2038</v>
      </c>
      <c r="R3365" t="s">
        <v>2632</v>
      </c>
      <c r="S3365">
        <v>37</v>
      </c>
      <c r="T3365" s="43" t="str">
        <f t="shared" si="155"/>
        <v>2021.045B.R.Kroosvirus.zip</v>
      </c>
      <c r="U3365" s="43" t="str">
        <f>HYPERLINK("https://ictv.global/taxonomy/taxondetails?taxnode_id=202212386","ictv.global=202212386")</f>
        <v>ictv.global=202212386</v>
      </c>
    </row>
    <row r="3366" spans="1:21">
      <c r="A3366">
        <v>3365</v>
      </c>
      <c r="B3366" s="29" t="s">
        <v>3682</v>
      </c>
      <c r="C3366" s="29"/>
      <c r="D3366" s="29" t="s">
        <v>3683</v>
      </c>
      <c r="E3366" s="29"/>
      <c r="F3366" s="29" t="s">
        <v>3686</v>
      </c>
      <c r="G3366" s="29"/>
      <c r="H3366" s="29" t="s">
        <v>3687</v>
      </c>
      <c r="I3366" s="29"/>
      <c r="J3366" s="29"/>
      <c r="K3366" s="29"/>
      <c r="L3366" s="29"/>
      <c r="M3366" s="29"/>
      <c r="N3366" s="29" t="s">
        <v>10607</v>
      </c>
      <c r="O3366" s="29"/>
      <c r="P3366" s="29" t="s">
        <v>10611</v>
      </c>
      <c r="Q3366" t="s">
        <v>2038</v>
      </c>
      <c r="R3366" t="s">
        <v>2632</v>
      </c>
      <c r="S3366">
        <v>37</v>
      </c>
      <c r="T3366" s="43" t="str">
        <f t="shared" si="155"/>
        <v>2021.045B.R.Kroosvirus.zip</v>
      </c>
      <c r="U3366" s="43" t="str">
        <f>HYPERLINK("https://ictv.global/taxonomy/taxondetails?taxnode_id=202212383","ictv.global=202212383")</f>
        <v>ictv.global=202212383</v>
      </c>
    </row>
    <row r="3367" spans="1:21">
      <c r="A3367">
        <v>3366</v>
      </c>
      <c r="B3367" s="29" t="s">
        <v>3682</v>
      </c>
      <c r="C3367" s="29"/>
      <c r="D3367" s="29" t="s">
        <v>3683</v>
      </c>
      <c r="E3367" s="29"/>
      <c r="F3367" s="29" t="s">
        <v>3686</v>
      </c>
      <c r="G3367" s="29"/>
      <c r="H3367" s="29" t="s">
        <v>3687</v>
      </c>
      <c r="I3367" s="29"/>
      <c r="J3367" s="29"/>
      <c r="K3367" s="29"/>
      <c r="L3367" s="29"/>
      <c r="M3367" s="29"/>
      <c r="N3367" s="29" t="s">
        <v>10607</v>
      </c>
      <c r="O3367" s="29"/>
      <c r="P3367" s="29" t="s">
        <v>10612</v>
      </c>
      <c r="Q3367" t="s">
        <v>2038</v>
      </c>
      <c r="R3367" t="s">
        <v>2632</v>
      </c>
      <c r="S3367">
        <v>37</v>
      </c>
      <c r="T3367" s="43" t="str">
        <f t="shared" si="155"/>
        <v>2021.045B.R.Kroosvirus.zip</v>
      </c>
      <c r="U3367" s="43" t="str">
        <f>HYPERLINK("https://ictv.global/taxonomy/taxondetails?taxnode_id=202212382","ictv.global=202212382")</f>
        <v>ictv.global=202212382</v>
      </c>
    </row>
    <row r="3368" spans="1:21">
      <c r="A3368">
        <v>3367</v>
      </c>
      <c r="B3368" s="29" t="s">
        <v>3682</v>
      </c>
      <c r="C3368" s="29"/>
      <c r="D3368" s="29" t="s">
        <v>3683</v>
      </c>
      <c r="E3368" s="29"/>
      <c r="F3368" s="29" t="s">
        <v>3686</v>
      </c>
      <c r="G3368" s="29"/>
      <c r="H3368" s="29" t="s">
        <v>3687</v>
      </c>
      <c r="I3368" s="29"/>
      <c r="J3368" s="29"/>
      <c r="K3368" s="29"/>
      <c r="L3368" s="29"/>
      <c r="M3368" s="29"/>
      <c r="N3368" s="29" t="s">
        <v>10607</v>
      </c>
      <c r="O3368" s="29"/>
      <c r="P3368" s="29" t="s">
        <v>10613</v>
      </c>
      <c r="Q3368" t="s">
        <v>2038</v>
      </c>
      <c r="R3368" t="s">
        <v>2632</v>
      </c>
      <c r="S3368">
        <v>37</v>
      </c>
      <c r="T3368" s="43" t="str">
        <f t="shared" si="155"/>
        <v>2021.045B.R.Kroosvirus.zip</v>
      </c>
      <c r="U3368" s="43" t="str">
        <f>HYPERLINK("https://ictv.global/taxonomy/taxondetails?taxnode_id=202212389","ictv.global=202212389")</f>
        <v>ictv.global=202212389</v>
      </c>
    </row>
    <row r="3369" spans="1:21">
      <c r="A3369">
        <v>3368</v>
      </c>
      <c r="B3369" s="29" t="s">
        <v>3682</v>
      </c>
      <c r="C3369" s="29"/>
      <c r="D3369" s="29" t="s">
        <v>3683</v>
      </c>
      <c r="E3369" s="29"/>
      <c r="F3369" s="29" t="s">
        <v>3686</v>
      </c>
      <c r="G3369" s="29"/>
      <c r="H3369" s="29" t="s">
        <v>3687</v>
      </c>
      <c r="I3369" s="29"/>
      <c r="J3369" s="29"/>
      <c r="K3369" s="29"/>
      <c r="L3369" s="29"/>
      <c r="M3369" s="29"/>
      <c r="N3369" s="29" t="s">
        <v>10607</v>
      </c>
      <c r="O3369" s="29"/>
      <c r="P3369" s="29" t="s">
        <v>10614</v>
      </c>
      <c r="Q3369" t="s">
        <v>2038</v>
      </c>
      <c r="R3369" t="s">
        <v>2632</v>
      </c>
      <c r="S3369">
        <v>37</v>
      </c>
      <c r="T3369" s="43" t="str">
        <f t="shared" si="155"/>
        <v>2021.045B.R.Kroosvirus.zip</v>
      </c>
      <c r="U3369" s="43" t="str">
        <f>HYPERLINK("https://ictv.global/taxonomy/taxondetails?taxnode_id=202212388","ictv.global=202212388")</f>
        <v>ictv.global=202212388</v>
      </c>
    </row>
    <row r="3370" spans="1:21">
      <c r="A3370">
        <v>3369</v>
      </c>
      <c r="B3370" s="29" t="s">
        <v>3682</v>
      </c>
      <c r="C3370" s="29"/>
      <c r="D3370" s="29" t="s">
        <v>3683</v>
      </c>
      <c r="E3370" s="29"/>
      <c r="F3370" s="29" t="s">
        <v>3686</v>
      </c>
      <c r="G3370" s="29"/>
      <c r="H3370" s="29" t="s">
        <v>3687</v>
      </c>
      <c r="I3370" s="29"/>
      <c r="J3370" s="29"/>
      <c r="K3370" s="29"/>
      <c r="L3370" s="29"/>
      <c r="M3370" s="29"/>
      <c r="N3370" s="29" t="s">
        <v>10607</v>
      </c>
      <c r="O3370" s="29"/>
      <c r="P3370" s="29" t="s">
        <v>10615</v>
      </c>
      <c r="Q3370" t="s">
        <v>2038</v>
      </c>
      <c r="R3370" t="s">
        <v>2632</v>
      </c>
      <c r="S3370">
        <v>37</v>
      </c>
      <c r="T3370" s="43" t="str">
        <f t="shared" si="155"/>
        <v>2021.045B.R.Kroosvirus.zip</v>
      </c>
      <c r="U3370" s="43" t="str">
        <f>HYPERLINK("https://ictv.global/taxonomy/taxondetails?taxnode_id=202212384","ictv.global=202212384")</f>
        <v>ictv.global=202212384</v>
      </c>
    </row>
    <row r="3371" spans="1:21">
      <c r="A3371">
        <v>3370</v>
      </c>
      <c r="B3371" s="29" t="s">
        <v>3682</v>
      </c>
      <c r="C3371" s="29"/>
      <c r="D3371" s="29" t="s">
        <v>3683</v>
      </c>
      <c r="E3371" s="29"/>
      <c r="F3371" s="29" t="s">
        <v>3686</v>
      </c>
      <c r="G3371" s="29"/>
      <c r="H3371" s="29" t="s">
        <v>3687</v>
      </c>
      <c r="I3371" s="29"/>
      <c r="J3371" s="29"/>
      <c r="K3371" s="29"/>
      <c r="L3371" s="29"/>
      <c r="M3371" s="29"/>
      <c r="N3371" s="29" t="s">
        <v>3475</v>
      </c>
      <c r="O3371" s="29"/>
      <c r="P3371" s="29" t="s">
        <v>10616</v>
      </c>
      <c r="Q3371" t="s">
        <v>2038</v>
      </c>
      <c r="R3371" t="s">
        <v>2633</v>
      </c>
      <c r="S3371">
        <v>37</v>
      </c>
      <c r="T3371" s="43" t="str">
        <f>HYPERLINK("https://ictv.global/ictv/proposals/2021.010B.R.Binomial_names.zip","2021.010B.R.Binomial_names.zip")</f>
        <v>2021.010B.R.Binomial_names.zip</v>
      </c>
      <c r="U3371" s="43" t="str">
        <f>HYPERLINK("https://ictv.global/taxonomy/taxondetails?taxnode_id=202206843","ictv.global=202206843")</f>
        <v>ictv.global=202206843</v>
      </c>
    </row>
    <row r="3372" spans="1:21">
      <c r="A3372">
        <v>3371</v>
      </c>
      <c r="B3372" s="29" t="s">
        <v>3682</v>
      </c>
      <c r="C3372" s="29"/>
      <c r="D3372" s="29" t="s">
        <v>3683</v>
      </c>
      <c r="E3372" s="29"/>
      <c r="F3372" s="29" t="s">
        <v>3686</v>
      </c>
      <c r="G3372" s="29"/>
      <c r="H3372" s="29" t="s">
        <v>3687</v>
      </c>
      <c r="I3372" s="29"/>
      <c r="J3372" s="29"/>
      <c r="K3372" s="29"/>
      <c r="L3372" s="29"/>
      <c r="M3372" s="29"/>
      <c r="N3372" s="29" t="s">
        <v>3560</v>
      </c>
      <c r="O3372" s="29"/>
      <c r="P3372" s="29" t="s">
        <v>10617</v>
      </c>
      <c r="Q3372" t="s">
        <v>2038</v>
      </c>
      <c r="R3372" t="s">
        <v>2633</v>
      </c>
      <c r="S3372">
        <v>37</v>
      </c>
      <c r="T3372" s="43" t="str">
        <f>HYPERLINK("https://ictv.global/ictv/proposals/2021.010B.R.Binomial_names.zip","2021.010B.R.Binomial_names.zip")</f>
        <v>2021.010B.R.Binomial_names.zip</v>
      </c>
      <c r="U3372" s="43" t="str">
        <f>HYPERLINK("https://ictv.global/taxonomy/taxondetails?taxnode_id=202206845","ictv.global=202206845")</f>
        <v>ictv.global=202206845</v>
      </c>
    </row>
    <row r="3373" spans="1:21">
      <c r="A3373">
        <v>3372</v>
      </c>
      <c r="B3373" s="29" t="s">
        <v>3682</v>
      </c>
      <c r="C3373" s="29"/>
      <c r="D3373" s="29" t="s">
        <v>3683</v>
      </c>
      <c r="E3373" s="29"/>
      <c r="F3373" s="29" t="s">
        <v>3686</v>
      </c>
      <c r="G3373" s="29"/>
      <c r="H3373" s="29" t="s">
        <v>3687</v>
      </c>
      <c r="I3373" s="29"/>
      <c r="J3373" s="29"/>
      <c r="K3373" s="29"/>
      <c r="L3373" s="29"/>
      <c r="M3373" s="29"/>
      <c r="N3373" s="29" t="s">
        <v>3560</v>
      </c>
      <c r="O3373" s="29"/>
      <c r="P3373" s="29" t="s">
        <v>10618</v>
      </c>
      <c r="Q3373" t="s">
        <v>2038</v>
      </c>
      <c r="R3373" t="s">
        <v>2633</v>
      </c>
      <c r="S3373">
        <v>37</v>
      </c>
      <c r="T3373" s="43" t="str">
        <f>HYPERLINK("https://ictv.global/ictv/proposals/2021.010B.R.Binomial_names.zip","2021.010B.R.Binomial_names.zip")</f>
        <v>2021.010B.R.Binomial_names.zip</v>
      </c>
      <c r="U3373" s="43" t="str">
        <f>HYPERLINK("https://ictv.global/taxonomy/taxondetails?taxnode_id=202206846","ictv.global=202206846")</f>
        <v>ictv.global=202206846</v>
      </c>
    </row>
    <row r="3374" spans="1:21">
      <c r="A3374">
        <v>3373</v>
      </c>
      <c r="B3374" s="29" t="s">
        <v>3682</v>
      </c>
      <c r="C3374" s="29"/>
      <c r="D3374" s="29" t="s">
        <v>3683</v>
      </c>
      <c r="E3374" s="29"/>
      <c r="F3374" s="29" t="s">
        <v>3686</v>
      </c>
      <c r="G3374" s="29"/>
      <c r="H3374" s="29" t="s">
        <v>3687</v>
      </c>
      <c r="I3374" s="29"/>
      <c r="J3374" s="29"/>
      <c r="K3374" s="29"/>
      <c r="L3374" s="29"/>
      <c r="M3374" s="29"/>
      <c r="N3374" s="29" t="s">
        <v>4746</v>
      </c>
      <c r="O3374" s="29"/>
      <c r="P3374" s="29" t="s">
        <v>10619</v>
      </c>
      <c r="Q3374" t="s">
        <v>2038</v>
      </c>
      <c r="R3374" t="s">
        <v>2633</v>
      </c>
      <c r="S3374">
        <v>37</v>
      </c>
      <c r="T3374" s="43" t="str">
        <f>HYPERLINK("https://ictv.global/ictv/proposals/2021.010B.R.Binomial_names.zip","2021.010B.R.Binomial_names.zip")</f>
        <v>2021.010B.R.Binomial_names.zip</v>
      </c>
      <c r="U3374" s="43" t="str">
        <f>HYPERLINK("https://ictv.global/taxonomy/taxondetails?taxnode_id=202210155","ictv.global=202210155")</f>
        <v>ictv.global=202210155</v>
      </c>
    </row>
    <row r="3375" spans="1:21">
      <c r="A3375">
        <v>3374</v>
      </c>
      <c r="B3375" s="29" t="s">
        <v>3682</v>
      </c>
      <c r="C3375" s="29"/>
      <c r="D3375" s="29" t="s">
        <v>3683</v>
      </c>
      <c r="E3375" s="29"/>
      <c r="F3375" s="29" t="s">
        <v>3686</v>
      </c>
      <c r="G3375" s="29"/>
      <c r="H3375" s="29" t="s">
        <v>3687</v>
      </c>
      <c r="I3375" s="29"/>
      <c r="J3375" s="29"/>
      <c r="K3375" s="29"/>
      <c r="L3375" s="29"/>
      <c r="M3375" s="29"/>
      <c r="N3375" s="29" t="s">
        <v>10620</v>
      </c>
      <c r="O3375" s="29"/>
      <c r="P3375" s="29" t="s">
        <v>10621</v>
      </c>
      <c r="Q3375" t="s">
        <v>2038</v>
      </c>
      <c r="R3375" t="s">
        <v>2632</v>
      </c>
      <c r="S3375">
        <v>38</v>
      </c>
      <c r="T3375" s="43" t="str">
        <f>HYPERLINK("https://ictv.global/ictv/proposals/2022.090B.Caudoviricetes_3ng_arthrobacter.zip","2022.090B.Caudoviricetes_3ng_arthrobacter.zip")</f>
        <v>2022.090B.Caudoviricetes_3ng_arthrobacter.zip</v>
      </c>
      <c r="U3375" s="43" t="str">
        <f>HYPERLINK("https://ictv.global/taxonomy/taxondetails?taxnode_id=202214956","ictv.global=202214956")</f>
        <v>ictv.global=202214956</v>
      </c>
    </row>
    <row r="3376" spans="1:21">
      <c r="A3376">
        <v>3375</v>
      </c>
      <c r="B3376" s="29" t="s">
        <v>3682</v>
      </c>
      <c r="C3376" s="29"/>
      <c r="D3376" s="29" t="s">
        <v>3683</v>
      </c>
      <c r="E3376" s="29"/>
      <c r="F3376" s="29" t="s">
        <v>3686</v>
      </c>
      <c r="G3376" s="29"/>
      <c r="H3376" s="29" t="s">
        <v>3687</v>
      </c>
      <c r="I3376" s="29"/>
      <c r="J3376" s="29"/>
      <c r="K3376" s="29"/>
      <c r="L3376" s="29"/>
      <c r="M3376" s="29"/>
      <c r="N3376" s="29" t="s">
        <v>10620</v>
      </c>
      <c r="O3376" s="29"/>
      <c r="P3376" s="29" t="s">
        <v>10622</v>
      </c>
      <c r="Q3376" t="s">
        <v>2038</v>
      </c>
      <c r="R3376" t="s">
        <v>2632</v>
      </c>
      <c r="S3376">
        <v>38</v>
      </c>
      <c r="T3376" s="43" t="str">
        <f>HYPERLINK("https://ictv.global/ictv/proposals/2022.090B.Caudoviricetes_3ng_arthrobacter.zip","2022.090B.Caudoviricetes_3ng_arthrobacter.zip")</f>
        <v>2022.090B.Caudoviricetes_3ng_arthrobacter.zip</v>
      </c>
      <c r="U3376" s="43" t="str">
        <f>HYPERLINK("https://ictv.global/taxonomy/taxondetails?taxnode_id=202214957","ictv.global=202214957")</f>
        <v>ictv.global=202214957</v>
      </c>
    </row>
    <row r="3377" spans="1:21">
      <c r="A3377">
        <v>3376</v>
      </c>
      <c r="B3377" s="29" t="s">
        <v>3682</v>
      </c>
      <c r="C3377" s="29"/>
      <c r="D3377" s="29" t="s">
        <v>3683</v>
      </c>
      <c r="E3377" s="29"/>
      <c r="F3377" s="29" t="s">
        <v>3686</v>
      </c>
      <c r="G3377" s="29"/>
      <c r="H3377" s="29" t="s">
        <v>3687</v>
      </c>
      <c r="I3377" s="29"/>
      <c r="J3377" s="29"/>
      <c r="K3377" s="29"/>
      <c r="L3377" s="29"/>
      <c r="M3377" s="29"/>
      <c r="N3377" s="29" t="s">
        <v>4563</v>
      </c>
      <c r="O3377" s="29"/>
      <c r="P3377" s="29" t="s">
        <v>10623</v>
      </c>
      <c r="Q3377" t="s">
        <v>2038</v>
      </c>
      <c r="R3377" t="s">
        <v>2633</v>
      </c>
      <c r="S3377">
        <v>37</v>
      </c>
      <c r="T3377" s="43" t="str">
        <f>HYPERLINK("https://ictv.global/ictv/proposals/2021.010B.R.Binomial_names.zip","2021.010B.R.Binomial_names.zip")</f>
        <v>2021.010B.R.Binomial_names.zip</v>
      </c>
      <c r="U3377" s="43" t="str">
        <f>HYPERLINK("https://ictv.global/taxonomy/taxondetails?taxnode_id=202210157","ictv.global=202210157")</f>
        <v>ictv.global=202210157</v>
      </c>
    </row>
    <row r="3378" spans="1:21">
      <c r="A3378">
        <v>3377</v>
      </c>
      <c r="B3378" s="29" t="s">
        <v>3682</v>
      </c>
      <c r="C3378" s="29"/>
      <c r="D3378" s="29" t="s">
        <v>3683</v>
      </c>
      <c r="E3378" s="29"/>
      <c r="F3378" s="29" t="s">
        <v>3686</v>
      </c>
      <c r="G3378" s="29"/>
      <c r="H3378" s="29" t="s">
        <v>3687</v>
      </c>
      <c r="I3378" s="29"/>
      <c r="J3378" s="29"/>
      <c r="K3378" s="29"/>
      <c r="L3378" s="29"/>
      <c r="M3378" s="29"/>
      <c r="N3378" s="29" t="s">
        <v>10624</v>
      </c>
      <c r="O3378" s="29"/>
      <c r="P3378" s="29" t="s">
        <v>10625</v>
      </c>
      <c r="Q3378" t="s">
        <v>2038</v>
      </c>
      <c r="R3378" t="s">
        <v>2632</v>
      </c>
      <c r="S3378">
        <v>37</v>
      </c>
      <c r="T3378" s="43" t="str">
        <f>HYPERLINK("https://ictv.global/ictv/proposals/2021.046B.R.Kunmingvirus.zip","2021.046B.R.Kunmingvirus.zip")</f>
        <v>2021.046B.R.Kunmingvirus.zip</v>
      </c>
      <c r="U3378" s="43" t="str">
        <f>HYPERLINK("https://ictv.global/taxonomy/taxondetails?taxnode_id=202212392","ictv.global=202212392")</f>
        <v>ictv.global=202212392</v>
      </c>
    </row>
    <row r="3379" spans="1:21">
      <c r="A3379">
        <v>3378</v>
      </c>
      <c r="B3379" s="29" t="s">
        <v>3682</v>
      </c>
      <c r="C3379" s="29"/>
      <c r="D3379" s="29" t="s">
        <v>3683</v>
      </c>
      <c r="E3379" s="29"/>
      <c r="F3379" s="29" t="s">
        <v>3686</v>
      </c>
      <c r="G3379" s="29"/>
      <c r="H3379" s="29" t="s">
        <v>3687</v>
      </c>
      <c r="I3379" s="29"/>
      <c r="J3379" s="29"/>
      <c r="K3379" s="29"/>
      <c r="L3379" s="29"/>
      <c r="M3379" s="29"/>
      <c r="N3379" s="29" t="s">
        <v>10624</v>
      </c>
      <c r="O3379" s="29"/>
      <c r="P3379" s="29" t="s">
        <v>10626</v>
      </c>
      <c r="Q3379" t="s">
        <v>2038</v>
      </c>
      <c r="R3379" t="s">
        <v>2632</v>
      </c>
      <c r="S3379">
        <v>37</v>
      </c>
      <c r="T3379" s="43" t="str">
        <f>HYPERLINK("https://ictv.global/ictv/proposals/2021.046B.R.Kunmingvirus.zip","2021.046B.R.Kunmingvirus.zip")</f>
        <v>2021.046B.R.Kunmingvirus.zip</v>
      </c>
      <c r="U3379" s="43" t="str">
        <f>HYPERLINK("https://ictv.global/taxonomy/taxondetails?taxnode_id=202212393","ictv.global=202212393")</f>
        <v>ictv.global=202212393</v>
      </c>
    </row>
    <row r="3380" spans="1:21">
      <c r="A3380">
        <v>3379</v>
      </c>
      <c r="B3380" s="29" t="s">
        <v>3682</v>
      </c>
      <c r="C3380" s="29"/>
      <c r="D3380" s="29" t="s">
        <v>3683</v>
      </c>
      <c r="E3380" s="29"/>
      <c r="F3380" s="29" t="s">
        <v>3686</v>
      </c>
      <c r="G3380" s="29"/>
      <c r="H3380" s="29" t="s">
        <v>3687</v>
      </c>
      <c r="I3380" s="29"/>
      <c r="J3380" s="29"/>
      <c r="K3380" s="29"/>
      <c r="L3380" s="29"/>
      <c r="M3380" s="29"/>
      <c r="N3380" s="29" t="s">
        <v>4564</v>
      </c>
      <c r="O3380" s="29"/>
      <c r="P3380" s="29" t="s">
        <v>10627</v>
      </c>
      <c r="Q3380" t="s">
        <v>2038</v>
      </c>
      <c r="R3380" t="s">
        <v>2633</v>
      </c>
      <c r="S3380">
        <v>37</v>
      </c>
      <c r="T3380" s="43" t="str">
        <f t="shared" ref="T3380:T3388" si="156">HYPERLINK("https://ictv.global/ictv/proposals/2021.010B.R.Binomial_names.zip","2021.010B.R.Binomial_names.zip")</f>
        <v>2021.010B.R.Binomial_names.zip</v>
      </c>
      <c r="U3380" s="43" t="str">
        <f>HYPERLINK("https://ictv.global/taxonomy/taxondetails?taxnode_id=202210159","ictv.global=202210159")</f>
        <v>ictv.global=202210159</v>
      </c>
    </row>
    <row r="3381" spans="1:21">
      <c r="A3381">
        <v>3380</v>
      </c>
      <c r="B3381" s="29" t="s">
        <v>3682</v>
      </c>
      <c r="C3381" s="29"/>
      <c r="D3381" s="29" t="s">
        <v>3683</v>
      </c>
      <c r="E3381" s="29"/>
      <c r="F3381" s="29" t="s">
        <v>3686</v>
      </c>
      <c r="G3381" s="29"/>
      <c r="H3381" s="29" t="s">
        <v>3687</v>
      </c>
      <c r="I3381" s="29"/>
      <c r="J3381" s="29"/>
      <c r="K3381" s="29"/>
      <c r="L3381" s="29"/>
      <c r="M3381" s="29"/>
      <c r="N3381" s="29" t="s">
        <v>4748</v>
      </c>
      <c r="O3381" s="29"/>
      <c r="P3381" s="29" t="s">
        <v>10628</v>
      </c>
      <c r="Q3381" t="s">
        <v>2038</v>
      </c>
      <c r="R3381" t="s">
        <v>2633</v>
      </c>
      <c r="S3381">
        <v>37</v>
      </c>
      <c r="T3381" s="43" t="str">
        <f t="shared" si="156"/>
        <v>2021.010B.R.Binomial_names.zip</v>
      </c>
      <c r="U3381" s="43" t="str">
        <f>HYPERLINK("https://ictv.global/taxonomy/taxondetails?taxnode_id=202210172","ictv.global=202210172")</f>
        <v>ictv.global=202210172</v>
      </c>
    </row>
    <row r="3382" spans="1:21">
      <c r="A3382">
        <v>3381</v>
      </c>
      <c r="B3382" s="29" t="s">
        <v>3682</v>
      </c>
      <c r="C3382" s="29"/>
      <c r="D3382" s="29" t="s">
        <v>3683</v>
      </c>
      <c r="E3382" s="29"/>
      <c r="F3382" s="29" t="s">
        <v>3686</v>
      </c>
      <c r="G3382" s="29"/>
      <c r="H3382" s="29" t="s">
        <v>3687</v>
      </c>
      <c r="I3382" s="29"/>
      <c r="J3382" s="29"/>
      <c r="K3382" s="29"/>
      <c r="L3382" s="29"/>
      <c r="M3382" s="29"/>
      <c r="N3382" s="29" t="s">
        <v>3561</v>
      </c>
      <c r="O3382" s="29"/>
      <c r="P3382" s="29" t="s">
        <v>10629</v>
      </c>
      <c r="Q3382" t="s">
        <v>2038</v>
      </c>
      <c r="R3382" t="s">
        <v>2633</v>
      </c>
      <c r="S3382">
        <v>37</v>
      </c>
      <c r="T3382" s="43" t="str">
        <f t="shared" si="156"/>
        <v>2021.010B.R.Binomial_names.zip</v>
      </c>
      <c r="U3382" s="43" t="str">
        <f>HYPERLINK("https://ictv.global/taxonomy/taxondetails?taxnode_id=202206848","ictv.global=202206848")</f>
        <v>ictv.global=202206848</v>
      </c>
    </row>
    <row r="3383" spans="1:21">
      <c r="A3383">
        <v>3382</v>
      </c>
      <c r="B3383" s="29" t="s">
        <v>3682</v>
      </c>
      <c r="C3383" s="29"/>
      <c r="D3383" s="29" t="s">
        <v>3683</v>
      </c>
      <c r="E3383" s="29"/>
      <c r="F3383" s="29" t="s">
        <v>3686</v>
      </c>
      <c r="G3383" s="29"/>
      <c r="H3383" s="29" t="s">
        <v>3687</v>
      </c>
      <c r="I3383" s="29"/>
      <c r="J3383" s="29"/>
      <c r="K3383" s="29"/>
      <c r="L3383" s="29"/>
      <c r="M3383" s="29"/>
      <c r="N3383" s="29" t="s">
        <v>4749</v>
      </c>
      <c r="O3383" s="29"/>
      <c r="P3383" s="29" t="s">
        <v>10630</v>
      </c>
      <c r="Q3383" t="s">
        <v>2038</v>
      </c>
      <c r="R3383" t="s">
        <v>2633</v>
      </c>
      <c r="S3383">
        <v>37</v>
      </c>
      <c r="T3383" s="43" t="str">
        <f t="shared" si="156"/>
        <v>2021.010B.R.Binomial_names.zip</v>
      </c>
      <c r="U3383" s="43" t="str">
        <f>HYPERLINK("https://ictv.global/taxonomy/taxondetails?taxnode_id=202210178","ictv.global=202210178")</f>
        <v>ictv.global=202210178</v>
      </c>
    </row>
    <row r="3384" spans="1:21">
      <c r="A3384">
        <v>3383</v>
      </c>
      <c r="B3384" s="29" t="s">
        <v>3682</v>
      </c>
      <c r="C3384" s="29"/>
      <c r="D3384" s="29" t="s">
        <v>3683</v>
      </c>
      <c r="E3384" s="29"/>
      <c r="F3384" s="29" t="s">
        <v>3686</v>
      </c>
      <c r="G3384" s="29"/>
      <c r="H3384" s="29" t="s">
        <v>3687</v>
      </c>
      <c r="I3384" s="29"/>
      <c r="J3384" s="29"/>
      <c r="K3384" s="29"/>
      <c r="L3384" s="29"/>
      <c r="M3384" s="29"/>
      <c r="N3384" s="29" t="s">
        <v>3917</v>
      </c>
      <c r="O3384" s="29"/>
      <c r="P3384" s="29" t="s">
        <v>10631</v>
      </c>
      <c r="Q3384" t="s">
        <v>2038</v>
      </c>
      <c r="R3384" t="s">
        <v>2633</v>
      </c>
      <c r="S3384">
        <v>37</v>
      </c>
      <c r="T3384" s="43" t="str">
        <f t="shared" si="156"/>
        <v>2021.010B.R.Binomial_names.zip</v>
      </c>
      <c r="U3384" s="43" t="str">
        <f>HYPERLINK("https://ictv.global/taxonomy/taxondetails?taxnode_id=202208044","ictv.global=202208044")</f>
        <v>ictv.global=202208044</v>
      </c>
    </row>
    <row r="3385" spans="1:21">
      <c r="A3385">
        <v>3384</v>
      </c>
      <c r="B3385" s="29" t="s">
        <v>3682</v>
      </c>
      <c r="C3385" s="29"/>
      <c r="D3385" s="29" t="s">
        <v>3683</v>
      </c>
      <c r="E3385" s="29"/>
      <c r="F3385" s="29" t="s">
        <v>3686</v>
      </c>
      <c r="G3385" s="29"/>
      <c r="H3385" s="29" t="s">
        <v>3687</v>
      </c>
      <c r="I3385" s="29"/>
      <c r="J3385" s="29"/>
      <c r="K3385" s="29"/>
      <c r="L3385" s="29"/>
      <c r="M3385" s="29"/>
      <c r="N3385" s="29" t="s">
        <v>4606</v>
      </c>
      <c r="O3385" s="29"/>
      <c r="P3385" s="29" t="s">
        <v>10632</v>
      </c>
      <c r="Q3385" t="s">
        <v>2038</v>
      </c>
      <c r="R3385" t="s">
        <v>2633</v>
      </c>
      <c r="S3385">
        <v>37</v>
      </c>
      <c r="T3385" s="43" t="str">
        <f t="shared" si="156"/>
        <v>2021.010B.R.Binomial_names.zip</v>
      </c>
      <c r="U3385" s="43" t="str">
        <f>HYPERLINK("https://ictv.global/taxonomy/taxondetails?taxnode_id=202210161","ictv.global=202210161")</f>
        <v>ictv.global=202210161</v>
      </c>
    </row>
    <row r="3386" spans="1:21">
      <c r="A3386">
        <v>3385</v>
      </c>
      <c r="B3386" s="29" t="s">
        <v>3682</v>
      </c>
      <c r="C3386" s="29"/>
      <c r="D3386" s="29" t="s">
        <v>3683</v>
      </c>
      <c r="E3386" s="29"/>
      <c r="F3386" s="29" t="s">
        <v>3686</v>
      </c>
      <c r="G3386" s="29"/>
      <c r="H3386" s="29" t="s">
        <v>3687</v>
      </c>
      <c r="I3386" s="29"/>
      <c r="J3386" s="29"/>
      <c r="K3386" s="29"/>
      <c r="L3386" s="29"/>
      <c r="M3386" s="29"/>
      <c r="N3386" s="29" t="s">
        <v>4606</v>
      </c>
      <c r="O3386" s="29"/>
      <c r="P3386" s="29" t="s">
        <v>10633</v>
      </c>
      <c r="Q3386" t="s">
        <v>2038</v>
      </c>
      <c r="R3386" t="s">
        <v>2633</v>
      </c>
      <c r="S3386">
        <v>37</v>
      </c>
      <c r="T3386" s="43" t="str">
        <f t="shared" si="156"/>
        <v>2021.010B.R.Binomial_names.zip</v>
      </c>
      <c r="U3386" s="43" t="str">
        <f>HYPERLINK("https://ictv.global/taxonomy/taxondetails?taxnode_id=202210163","ictv.global=202210163")</f>
        <v>ictv.global=202210163</v>
      </c>
    </row>
    <row r="3387" spans="1:21">
      <c r="A3387">
        <v>3386</v>
      </c>
      <c r="B3387" s="29" t="s">
        <v>3682</v>
      </c>
      <c r="C3387" s="29"/>
      <c r="D3387" s="29" t="s">
        <v>3683</v>
      </c>
      <c r="E3387" s="29"/>
      <c r="F3387" s="29" t="s">
        <v>3686</v>
      </c>
      <c r="G3387" s="29"/>
      <c r="H3387" s="29" t="s">
        <v>3687</v>
      </c>
      <c r="I3387" s="29"/>
      <c r="J3387" s="29"/>
      <c r="K3387" s="29"/>
      <c r="L3387" s="29"/>
      <c r="M3387" s="29"/>
      <c r="N3387" s="29" t="s">
        <v>4606</v>
      </c>
      <c r="O3387" s="29"/>
      <c r="P3387" s="29" t="s">
        <v>10634</v>
      </c>
      <c r="Q3387" t="s">
        <v>2038</v>
      </c>
      <c r="R3387" t="s">
        <v>2633</v>
      </c>
      <c r="S3387">
        <v>37</v>
      </c>
      <c r="T3387" s="43" t="str">
        <f t="shared" si="156"/>
        <v>2021.010B.R.Binomial_names.zip</v>
      </c>
      <c r="U3387" s="43" t="str">
        <f>HYPERLINK("https://ictv.global/taxonomy/taxondetails?taxnode_id=202210164","ictv.global=202210164")</f>
        <v>ictv.global=202210164</v>
      </c>
    </row>
    <row r="3388" spans="1:21">
      <c r="A3388">
        <v>3387</v>
      </c>
      <c r="B3388" s="29" t="s">
        <v>3682</v>
      </c>
      <c r="C3388" s="29"/>
      <c r="D3388" s="29" t="s">
        <v>3683</v>
      </c>
      <c r="E3388" s="29"/>
      <c r="F3388" s="29" t="s">
        <v>3686</v>
      </c>
      <c r="G3388" s="29"/>
      <c r="H3388" s="29" t="s">
        <v>3687</v>
      </c>
      <c r="I3388" s="29"/>
      <c r="J3388" s="29"/>
      <c r="K3388" s="29"/>
      <c r="L3388" s="29"/>
      <c r="M3388" s="29"/>
      <c r="N3388" s="29" t="s">
        <v>4606</v>
      </c>
      <c r="O3388" s="29"/>
      <c r="P3388" s="29" t="s">
        <v>10635</v>
      </c>
      <c r="Q3388" t="s">
        <v>2038</v>
      </c>
      <c r="R3388" t="s">
        <v>2633</v>
      </c>
      <c r="S3388">
        <v>37</v>
      </c>
      <c r="T3388" s="43" t="str">
        <f t="shared" si="156"/>
        <v>2021.010B.R.Binomial_names.zip</v>
      </c>
      <c r="U3388" s="43" t="str">
        <f>HYPERLINK("https://ictv.global/taxonomy/taxondetails?taxnode_id=202210162","ictv.global=202210162")</f>
        <v>ictv.global=202210162</v>
      </c>
    </row>
    <row r="3389" spans="1:21">
      <c r="A3389">
        <v>3388</v>
      </c>
      <c r="B3389" s="29" t="s">
        <v>3682</v>
      </c>
      <c r="C3389" s="29"/>
      <c r="D3389" s="29" t="s">
        <v>3683</v>
      </c>
      <c r="E3389" s="29"/>
      <c r="F3389" s="29" t="s">
        <v>3686</v>
      </c>
      <c r="G3389" s="29"/>
      <c r="H3389" s="29" t="s">
        <v>3687</v>
      </c>
      <c r="I3389" s="29"/>
      <c r="J3389" s="29"/>
      <c r="K3389" s="29"/>
      <c r="L3389" s="29"/>
      <c r="M3389" s="29"/>
      <c r="N3389" s="29" t="s">
        <v>2110</v>
      </c>
      <c r="O3389" s="29"/>
      <c r="P3389" s="29" t="s">
        <v>2655</v>
      </c>
      <c r="Q3389" t="s">
        <v>2038</v>
      </c>
      <c r="R3389" t="s">
        <v>2634</v>
      </c>
      <c r="S3389">
        <v>37</v>
      </c>
      <c r="T3389" s="43" t="str">
        <f>HYPERLINK("https://ictv.global/ictv/proposals/2021.001B.R.abolish_Caudovirales.zip","2021.001B.R.abolish_Caudovirales.zip")</f>
        <v>2021.001B.R.abolish_Caudovirales.zip</v>
      </c>
      <c r="U3389" s="43" t="str">
        <f>HYPERLINK("https://ictv.global/taxonomy/taxondetails?taxnode_id=202205558","ictv.global=202205558")</f>
        <v>ictv.global=202205558</v>
      </c>
    </row>
    <row r="3390" spans="1:21">
      <c r="A3390">
        <v>3389</v>
      </c>
      <c r="B3390" s="29" t="s">
        <v>3682</v>
      </c>
      <c r="C3390" s="29"/>
      <c r="D3390" s="29" t="s">
        <v>3683</v>
      </c>
      <c r="E3390" s="29"/>
      <c r="F3390" s="29" t="s">
        <v>3686</v>
      </c>
      <c r="G3390" s="29"/>
      <c r="H3390" s="29" t="s">
        <v>3687</v>
      </c>
      <c r="I3390" s="29"/>
      <c r="J3390" s="29"/>
      <c r="K3390" s="29"/>
      <c r="L3390" s="29"/>
      <c r="M3390" s="29"/>
      <c r="N3390" s="29" t="s">
        <v>2110</v>
      </c>
      <c r="O3390" s="29"/>
      <c r="P3390" s="29" t="s">
        <v>10636</v>
      </c>
      <c r="Q3390" t="s">
        <v>2038</v>
      </c>
      <c r="R3390" t="s">
        <v>2633</v>
      </c>
      <c r="S3390">
        <v>37</v>
      </c>
      <c r="T3390" s="43" t="str">
        <f t="shared" ref="T3390:T3417" si="157">HYPERLINK("https://ictv.global/ictv/proposals/2021.010B.R.Binomial_names.zip","2021.010B.R.Binomial_names.zip")</f>
        <v>2021.010B.R.Binomial_names.zip</v>
      </c>
      <c r="U3390" s="43" t="str">
        <f>HYPERLINK("https://ictv.global/taxonomy/taxondetails?taxnode_id=202205559","ictv.global=202205559")</f>
        <v>ictv.global=202205559</v>
      </c>
    </row>
    <row r="3391" spans="1:21">
      <c r="A3391">
        <v>3390</v>
      </c>
      <c r="B3391" s="29" t="s">
        <v>3682</v>
      </c>
      <c r="C3391" s="29"/>
      <c r="D3391" s="29" t="s">
        <v>3683</v>
      </c>
      <c r="E3391" s="29"/>
      <c r="F3391" s="29" t="s">
        <v>3686</v>
      </c>
      <c r="G3391" s="29"/>
      <c r="H3391" s="29" t="s">
        <v>3687</v>
      </c>
      <c r="I3391" s="29"/>
      <c r="J3391" s="29"/>
      <c r="K3391" s="29"/>
      <c r="L3391" s="29"/>
      <c r="M3391" s="29"/>
      <c r="N3391" s="29" t="s">
        <v>2110</v>
      </c>
      <c r="O3391" s="29"/>
      <c r="P3391" s="29" t="s">
        <v>10637</v>
      </c>
      <c r="Q3391" t="s">
        <v>2038</v>
      </c>
      <c r="R3391" t="s">
        <v>2633</v>
      </c>
      <c r="S3391">
        <v>37</v>
      </c>
      <c r="T3391" s="43" t="str">
        <f t="shared" si="157"/>
        <v>2021.010B.R.Binomial_names.zip</v>
      </c>
      <c r="U3391" s="43" t="str">
        <f>HYPERLINK("https://ictv.global/taxonomy/taxondetails?taxnode_id=202205560","ictv.global=202205560")</f>
        <v>ictv.global=202205560</v>
      </c>
    </row>
    <row r="3392" spans="1:21">
      <c r="A3392">
        <v>3391</v>
      </c>
      <c r="B3392" s="29" t="s">
        <v>3682</v>
      </c>
      <c r="C3392" s="29"/>
      <c r="D3392" s="29" t="s">
        <v>3683</v>
      </c>
      <c r="E3392" s="29"/>
      <c r="F3392" s="29" t="s">
        <v>3686</v>
      </c>
      <c r="G3392" s="29"/>
      <c r="H3392" s="29" t="s">
        <v>3687</v>
      </c>
      <c r="I3392" s="29"/>
      <c r="J3392" s="29"/>
      <c r="K3392" s="29"/>
      <c r="L3392" s="29"/>
      <c r="M3392" s="29"/>
      <c r="N3392" s="29" t="s">
        <v>2110</v>
      </c>
      <c r="O3392" s="29"/>
      <c r="P3392" s="29" t="s">
        <v>10638</v>
      </c>
      <c r="Q3392" t="s">
        <v>2038</v>
      </c>
      <c r="R3392" t="s">
        <v>2633</v>
      </c>
      <c r="S3392">
        <v>37</v>
      </c>
      <c r="T3392" s="43" t="str">
        <f t="shared" si="157"/>
        <v>2021.010B.R.Binomial_names.zip</v>
      </c>
      <c r="U3392" s="43" t="str">
        <f>HYPERLINK("https://ictv.global/taxonomy/taxondetails?taxnode_id=202201072","ictv.global=202201072")</f>
        <v>ictv.global=202201072</v>
      </c>
    </row>
    <row r="3393" spans="1:21">
      <c r="A3393">
        <v>3392</v>
      </c>
      <c r="B3393" s="29" t="s">
        <v>3682</v>
      </c>
      <c r="C3393" s="29"/>
      <c r="D3393" s="29" t="s">
        <v>3683</v>
      </c>
      <c r="E3393" s="29"/>
      <c r="F3393" s="29" t="s">
        <v>3686</v>
      </c>
      <c r="G3393" s="29"/>
      <c r="H3393" s="29" t="s">
        <v>3687</v>
      </c>
      <c r="I3393" s="29"/>
      <c r="J3393" s="29"/>
      <c r="K3393" s="29"/>
      <c r="L3393" s="29"/>
      <c r="M3393" s="29"/>
      <c r="N3393" s="29" t="s">
        <v>2110</v>
      </c>
      <c r="O3393" s="29"/>
      <c r="P3393" s="29" t="s">
        <v>10639</v>
      </c>
      <c r="Q3393" t="s">
        <v>2038</v>
      </c>
      <c r="R3393" t="s">
        <v>2633</v>
      </c>
      <c r="S3393">
        <v>37</v>
      </c>
      <c r="T3393" s="43" t="str">
        <f t="shared" si="157"/>
        <v>2021.010B.R.Binomial_names.zip</v>
      </c>
      <c r="U3393" s="43" t="str">
        <f>HYPERLINK("https://ictv.global/taxonomy/taxondetails?taxnode_id=202209351","ictv.global=202209351")</f>
        <v>ictv.global=202209351</v>
      </c>
    </row>
    <row r="3394" spans="1:21">
      <c r="A3394">
        <v>3393</v>
      </c>
      <c r="B3394" s="29" t="s">
        <v>3682</v>
      </c>
      <c r="C3394" s="29"/>
      <c r="D3394" s="29" t="s">
        <v>3683</v>
      </c>
      <c r="E3394" s="29"/>
      <c r="F3394" s="29" t="s">
        <v>3686</v>
      </c>
      <c r="G3394" s="29"/>
      <c r="H3394" s="29" t="s">
        <v>3687</v>
      </c>
      <c r="I3394" s="29"/>
      <c r="J3394" s="29"/>
      <c r="K3394" s="29"/>
      <c r="L3394" s="29"/>
      <c r="M3394" s="29"/>
      <c r="N3394" s="29" t="s">
        <v>4750</v>
      </c>
      <c r="O3394" s="29"/>
      <c r="P3394" s="29" t="s">
        <v>10640</v>
      </c>
      <c r="Q3394" t="s">
        <v>2038</v>
      </c>
      <c r="R3394" t="s">
        <v>2633</v>
      </c>
      <c r="S3394">
        <v>37</v>
      </c>
      <c r="T3394" s="43" t="str">
        <f t="shared" si="157"/>
        <v>2021.010B.R.Binomial_names.zip</v>
      </c>
      <c r="U3394" s="43" t="str">
        <f>HYPERLINK("https://ictv.global/taxonomy/taxondetails?taxnode_id=202210170","ictv.global=202210170")</f>
        <v>ictv.global=202210170</v>
      </c>
    </row>
    <row r="3395" spans="1:21">
      <c r="A3395">
        <v>3394</v>
      </c>
      <c r="B3395" s="29" t="s">
        <v>3682</v>
      </c>
      <c r="C3395" s="29"/>
      <c r="D3395" s="29" t="s">
        <v>3683</v>
      </c>
      <c r="E3395" s="29"/>
      <c r="F3395" s="29" t="s">
        <v>3686</v>
      </c>
      <c r="G3395" s="29"/>
      <c r="H3395" s="29" t="s">
        <v>3687</v>
      </c>
      <c r="I3395" s="29"/>
      <c r="J3395" s="29"/>
      <c r="K3395" s="29"/>
      <c r="L3395" s="29"/>
      <c r="M3395" s="29"/>
      <c r="N3395" s="29" t="s">
        <v>4750</v>
      </c>
      <c r="O3395" s="29"/>
      <c r="P3395" s="29" t="s">
        <v>10641</v>
      </c>
      <c r="Q3395" t="s">
        <v>2038</v>
      </c>
      <c r="R3395" t="s">
        <v>2633</v>
      </c>
      <c r="S3395">
        <v>37</v>
      </c>
      <c r="T3395" s="43" t="str">
        <f t="shared" si="157"/>
        <v>2021.010B.R.Binomial_names.zip</v>
      </c>
      <c r="U3395" s="43" t="str">
        <f>HYPERLINK("https://ictv.global/taxonomy/taxondetails?taxnode_id=202210166","ictv.global=202210166")</f>
        <v>ictv.global=202210166</v>
      </c>
    </row>
    <row r="3396" spans="1:21">
      <c r="A3396">
        <v>3395</v>
      </c>
      <c r="B3396" s="29" t="s">
        <v>3682</v>
      </c>
      <c r="C3396" s="29"/>
      <c r="D3396" s="29" t="s">
        <v>3683</v>
      </c>
      <c r="E3396" s="29"/>
      <c r="F3396" s="29" t="s">
        <v>3686</v>
      </c>
      <c r="G3396" s="29"/>
      <c r="H3396" s="29" t="s">
        <v>3687</v>
      </c>
      <c r="I3396" s="29"/>
      <c r="J3396" s="29"/>
      <c r="K3396" s="29"/>
      <c r="L3396" s="29"/>
      <c r="M3396" s="29"/>
      <c r="N3396" s="29" t="s">
        <v>4750</v>
      </c>
      <c r="O3396" s="29"/>
      <c r="P3396" s="29" t="s">
        <v>10642</v>
      </c>
      <c r="Q3396" t="s">
        <v>2038</v>
      </c>
      <c r="R3396" t="s">
        <v>2633</v>
      </c>
      <c r="S3396">
        <v>37</v>
      </c>
      <c r="T3396" s="43" t="str">
        <f t="shared" si="157"/>
        <v>2021.010B.R.Binomial_names.zip</v>
      </c>
      <c r="U3396" s="43" t="str">
        <f>HYPERLINK("https://ictv.global/taxonomy/taxondetails?taxnode_id=202210167","ictv.global=202210167")</f>
        <v>ictv.global=202210167</v>
      </c>
    </row>
    <row r="3397" spans="1:21">
      <c r="A3397">
        <v>3396</v>
      </c>
      <c r="B3397" s="29" t="s">
        <v>3682</v>
      </c>
      <c r="C3397" s="29"/>
      <c r="D3397" s="29" t="s">
        <v>3683</v>
      </c>
      <c r="E3397" s="29"/>
      <c r="F3397" s="29" t="s">
        <v>3686</v>
      </c>
      <c r="G3397" s="29"/>
      <c r="H3397" s="29" t="s">
        <v>3687</v>
      </c>
      <c r="I3397" s="29"/>
      <c r="J3397" s="29"/>
      <c r="K3397" s="29"/>
      <c r="L3397" s="29"/>
      <c r="M3397" s="29"/>
      <c r="N3397" s="29" t="s">
        <v>4750</v>
      </c>
      <c r="O3397" s="29"/>
      <c r="P3397" s="29" t="s">
        <v>10643</v>
      </c>
      <c r="Q3397" t="s">
        <v>2038</v>
      </c>
      <c r="R3397" t="s">
        <v>2633</v>
      </c>
      <c r="S3397">
        <v>37</v>
      </c>
      <c r="T3397" s="43" t="str">
        <f t="shared" si="157"/>
        <v>2021.010B.R.Binomial_names.zip</v>
      </c>
      <c r="U3397" s="43" t="str">
        <f>HYPERLINK("https://ictv.global/taxonomy/taxondetails?taxnode_id=202210168","ictv.global=202210168")</f>
        <v>ictv.global=202210168</v>
      </c>
    </row>
    <row r="3398" spans="1:21">
      <c r="A3398">
        <v>3397</v>
      </c>
      <c r="B3398" s="29" t="s">
        <v>3682</v>
      </c>
      <c r="C3398" s="29"/>
      <c r="D3398" s="29" t="s">
        <v>3683</v>
      </c>
      <c r="E3398" s="29"/>
      <c r="F3398" s="29" t="s">
        <v>3686</v>
      </c>
      <c r="G3398" s="29"/>
      <c r="H3398" s="29" t="s">
        <v>3687</v>
      </c>
      <c r="I3398" s="29"/>
      <c r="J3398" s="29"/>
      <c r="K3398" s="29"/>
      <c r="L3398" s="29"/>
      <c r="M3398" s="29"/>
      <c r="N3398" s="29" t="s">
        <v>4750</v>
      </c>
      <c r="O3398" s="29"/>
      <c r="P3398" s="29" t="s">
        <v>10644</v>
      </c>
      <c r="Q3398" t="s">
        <v>2038</v>
      </c>
      <c r="R3398" t="s">
        <v>2633</v>
      </c>
      <c r="S3398">
        <v>37</v>
      </c>
      <c r="T3398" s="43" t="str">
        <f t="shared" si="157"/>
        <v>2021.010B.R.Binomial_names.zip</v>
      </c>
      <c r="U3398" s="43" t="str">
        <f>HYPERLINK("https://ictv.global/taxonomy/taxondetails?taxnode_id=202210169","ictv.global=202210169")</f>
        <v>ictv.global=202210169</v>
      </c>
    </row>
    <row r="3399" spans="1:21">
      <c r="A3399">
        <v>3398</v>
      </c>
      <c r="B3399" s="29" t="s">
        <v>3682</v>
      </c>
      <c r="C3399" s="29"/>
      <c r="D3399" s="29" t="s">
        <v>3683</v>
      </c>
      <c r="E3399" s="29"/>
      <c r="F3399" s="29" t="s">
        <v>3686</v>
      </c>
      <c r="G3399" s="29"/>
      <c r="H3399" s="29" t="s">
        <v>3687</v>
      </c>
      <c r="I3399" s="29"/>
      <c r="J3399" s="29"/>
      <c r="K3399" s="29"/>
      <c r="L3399" s="29"/>
      <c r="M3399" s="29"/>
      <c r="N3399" s="29" t="s">
        <v>4009</v>
      </c>
      <c r="O3399" s="29"/>
      <c r="P3399" s="29" t="s">
        <v>10645</v>
      </c>
      <c r="Q3399" t="s">
        <v>2038</v>
      </c>
      <c r="R3399" t="s">
        <v>2633</v>
      </c>
      <c r="S3399">
        <v>37</v>
      </c>
      <c r="T3399" s="43" t="str">
        <f t="shared" si="157"/>
        <v>2021.010B.R.Binomial_names.zip</v>
      </c>
      <c r="U3399" s="43" t="str">
        <f>HYPERLINK("https://ictv.global/taxonomy/taxondetails?taxnode_id=202207878","ictv.global=202207878")</f>
        <v>ictv.global=202207878</v>
      </c>
    </row>
    <row r="3400" spans="1:21">
      <c r="A3400">
        <v>3399</v>
      </c>
      <c r="B3400" s="29" t="s">
        <v>3682</v>
      </c>
      <c r="C3400" s="29"/>
      <c r="D3400" s="29" t="s">
        <v>3683</v>
      </c>
      <c r="E3400" s="29"/>
      <c r="F3400" s="29" t="s">
        <v>3686</v>
      </c>
      <c r="G3400" s="29"/>
      <c r="H3400" s="29" t="s">
        <v>3687</v>
      </c>
      <c r="I3400" s="29"/>
      <c r="J3400" s="29"/>
      <c r="K3400" s="29"/>
      <c r="L3400" s="29"/>
      <c r="M3400" s="29"/>
      <c r="N3400" s="29" t="s">
        <v>4751</v>
      </c>
      <c r="O3400" s="29"/>
      <c r="P3400" s="29" t="s">
        <v>10646</v>
      </c>
      <c r="Q3400" t="s">
        <v>2038</v>
      </c>
      <c r="R3400" t="s">
        <v>2633</v>
      </c>
      <c r="S3400">
        <v>37</v>
      </c>
      <c r="T3400" s="43" t="str">
        <f t="shared" si="157"/>
        <v>2021.010B.R.Binomial_names.zip</v>
      </c>
      <c r="U3400" s="43" t="str">
        <f>HYPERLINK("https://ictv.global/taxonomy/taxondetails?taxnode_id=202210195","ictv.global=202210195")</f>
        <v>ictv.global=202210195</v>
      </c>
    </row>
    <row r="3401" spans="1:21">
      <c r="A3401">
        <v>3400</v>
      </c>
      <c r="B3401" s="29" t="s">
        <v>3682</v>
      </c>
      <c r="C3401" s="29"/>
      <c r="D3401" s="29" t="s">
        <v>3683</v>
      </c>
      <c r="E3401" s="29"/>
      <c r="F3401" s="29" t="s">
        <v>3686</v>
      </c>
      <c r="G3401" s="29"/>
      <c r="H3401" s="29" t="s">
        <v>3687</v>
      </c>
      <c r="I3401" s="29"/>
      <c r="J3401" s="29"/>
      <c r="K3401" s="29"/>
      <c r="L3401" s="29"/>
      <c r="M3401" s="29"/>
      <c r="N3401" s="29" t="s">
        <v>2439</v>
      </c>
      <c r="O3401" s="29"/>
      <c r="P3401" s="29" t="s">
        <v>10647</v>
      </c>
      <c r="Q3401" t="s">
        <v>2038</v>
      </c>
      <c r="R3401" t="s">
        <v>2633</v>
      </c>
      <c r="S3401">
        <v>37</v>
      </c>
      <c r="T3401" s="43" t="str">
        <f t="shared" si="157"/>
        <v>2021.010B.R.Binomial_names.zip</v>
      </c>
      <c r="U3401" s="43" t="str">
        <f>HYPERLINK("https://ictv.global/taxonomy/taxondetails?taxnode_id=202201074","ictv.global=202201074")</f>
        <v>ictv.global=202201074</v>
      </c>
    </row>
    <row r="3402" spans="1:21">
      <c r="A3402">
        <v>3401</v>
      </c>
      <c r="B3402" s="29" t="s">
        <v>3682</v>
      </c>
      <c r="C3402" s="29"/>
      <c r="D3402" s="29" t="s">
        <v>3683</v>
      </c>
      <c r="E3402" s="29"/>
      <c r="F3402" s="29" t="s">
        <v>3686</v>
      </c>
      <c r="G3402" s="29"/>
      <c r="H3402" s="29" t="s">
        <v>3687</v>
      </c>
      <c r="I3402" s="29"/>
      <c r="J3402" s="29"/>
      <c r="K3402" s="29"/>
      <c r="L3402" s="29"/>
      <c r="M3402" s="29"/>
      <c r="N3402" s="29" t="s">
        <v>2439</v>
      </c>
      <c r="O3402" s="29"/>
      <c r="P3402" s="29" t="s">
        <v>10648</v>
      </c>
      <c r="Q3402" t="s">
        <v>2038</v>
      </c>
      <c r="R3402" t="s">
        <v>2633</v>
      </c>
      <c r="S3402">
        <v>37</v>
      </c>
      <c r="T3402" s="43" t="str">
        <f t="shared" si="157"/>
        <v>2021.010B.R.Binomial_names.zip</v>
      </c>
      <c r="U3402" s="43" t="str">
        <f>HYPERLINK("https://ictv.global/taxonomy/taxondetails?taxnode_id=202210201","ictv.global=202210201")</f>
        <v>ictv.global=202210201</v>
      </c>
    </row>
    <row r="3403" spans="1:21">
      <c r="A3403">
        <v>3402</v>
      </c>
      <c r="B3403" s="29" t="s">
        <v>3682</v>
      </c>
      <c r="C3403" s="29"/>
      <c r="D3403" s="29" t="s">
        <v>3683</v>
      </c>
      <c r="E3403" s="29"/>
      <c r="F3403" s="29" t="s">
        <v>3686</v>
      </c>
      <c r="G3403" s="29"/>
      <c r="H3403" s="29" t="s">
        <v>3687</v>
      </c>
      <c r="I3403" s="29"/>
      <c r="J3403" s="29"/>
      <c r="K3403" s="29"/>
      <c r="L3403" s="29"/>
      <c r="M3403" s="29"/>
      <c r="N3403" s="29" t="s">
        <v>2439</v>
      </c>
      <c r="O3403" s="29"/>
      <c r="P3403" s="29" t="s">
        <v>10649</v>
      </c>
      <c r="Q3403" t="s">
        <v>2038</v>
      </c>
      <c r="R3403" t="s">
        <v>2633</v>
      </c>
      <c r="S3403">
        <v>37</v>
      </c>
      <c r="T3403" s="43" t="str">
        <f t="shared" si="157"/>
        <v>2021.010B.R.Binomial_names.zip</v>
      </c>
      <c r="U3403" s="43" t="str">
        <f>HYPERLINK("https://ictv.global/taxonomy/taxondetails?taxnode_id=202210202","ictv.global=202210202")</f>
        <v>ictv.global=202210202</v>
      </c>
    </row>
    <row r="3404" spans="1:21">
      <c r="A3404">
        <v>3403</v>
      </c>
      <c r="B3404" s="29" t="s">
        <v>3682</v>
      </c>
      <c r="C3404" s="29"/>
      <c r="D3404" s="29" t="s">
        <v>3683</v>
      </c>
      <c r="E3404" s="29"/>
      <c r="F3404" s="29" t="s">
        <v>3686</v>
      </c>
      <c r="G3404" s="29"/>
      <c r="H3404" s="29" t="s">
        <v>3687</v>
      </c>
      <c r="I3404" s="29"/>
      <c r="J3404" s="29"/>
      <c r="K3404" s="29"/>
      <c r="L3404" s="29"/>
      <c r="M3404" s="29"/>
      <c r="N3404" s="29" t="s">
        <v>2439</v>
      </c>
      <c r="O3404" s="29"/>
      <c r="P3404" s="29" t="s">
        <v>10650</v>
      </c>
      <c r="Q3404" t="s">
        <v>2038</v>
      </c>
      <c r="R3404" t="s">
        <v>2633</v>
      </c>
      <c r="S3404">
        <v>37</v>
      </c>
      <c r="T3404" s="43" t="str">
        <f t="shared" si="157"/>
        <v>2021.010B.R.Binomial_names.zip</v>
      </c>
      <c r="U3404" s="43" t="str">
        <f>HYPERLINK("https://ictv.global/taxonomy/taxondetails?taxnode_id=202210200","ictv.global=202210200")</f>
        <v>ictv.global=202210200</v>
      </c>
    </row>
    <row r="3405" spans="1:21">
      <c r="A3405">
        <v>3404</v>
      </c>
      <c r="B3405" s="29" t="s">
        <v>3682</v>
      </c>
      <c r="C3405" s="29"/>
      <c r="D3405" s="29" t="s">
        <v>3683</v>
      </c>
      <c r="E3405" s="29"/>
      <c r="F3405" s="29" t="s">
        <v>3686</v>
      </c>
      <c r="G3405" s="29"/>
      <c r="H3405" s="29" t="s">
        <v>3687</v>
      </c>
      <c r="I3405" s="29"/>
      <c r="J3405" s="29"/>
      <c r="K3405" s="29"/>
      <c r="L3405" s="29"/>
      <c r="M3405" s="29"/>
      <c r="N3405" s="29" t="s">
        <v>4607</v>
      </c>
      <c r="O3405" s="29"/>
      <c r="P3405" s="29" t="s">
        <v>10651</v>
      </c>
      <c r="Q3405" t="s">
        <v>2038</v>
      </c>
      <c r="R3405" t="s">
        <v>2633</v>
      </c>
      <c r="S3405">
        <v>37</v>
      </c>
      <c r="T3405" s="43" t="str">
        <f t="shared" si="157"/>
        <v>2021.010B.R.Binomial_names.zip</v>
      </c>
      <c r="U3405" s="43" t="str">
        <f>HYPERLINK("https://ictv.global/taxonomy/taxondetails?taxnode_id=202210204","ictv.global=202210204")</f>
        <v>ictv.global=202210204</v>
      </c>
    </row>
    <row r="3406" spans="1:21">
      <c r="A3406">
        <v>3405</v>
      </c>
      <c r="B3406" s="29" t="s">
        <v>3682</v>
      </c>
      <c r="C3406" s="29"/>
      <c r="D3406" s="29" t="s">
        <v>3683</v>
      </c>
      <c r="E3406" s="29"/>
      <c r="F3406" s="29" t="s">
        <v>3686</v>
      </c>
      <c r="G3406" s="29"/>
      <c r="H3406" s="29" t="s">
        <v>3687</v>
      </c>
      <c r="I3406" s="29"/>
      <c r="J3406" s="29"/>
      <c r="K3406" s="29"/>
      <c r="L3406" s="29"/>
      <c r="M3406" s="29"/>
      <c r="N3406" s="29" t="s">
        <v>4607</v>
      </c>
      <c r="O3406" s="29"/>
      <c r="P3406" s="29" t="s">
        <v>10652</v>
      </c>
      <c r="Q3406" t="s">
        <v>2038</v>
      </c>
      <c r="R3406" t="s">
        <v>2633</v>
      </c>
      <c r="S3406">
        <v>37</v>
      </c>
      <c r="T3406" s="43" t="str">
        <f t="shared" si="157"/>
        <v>2021.010B.R.Binomial_names.zip</v>
      </c>
      <c r="U3406" s="43" t="str">
        <f>HYPERLINK("https://ictv.global/taxonomy/taxondetails?taxnode_id=202210205","ictv.global=202210205")</f>
        <v>ictv.global=202210205</v>
      </c>
    </row>
    <row r="3407" spans="1:21">
      <c r="A3407">
        <v>3406</v>
      </c>
      <c r="B3407" s="29" t="s">
        <v>3682</v>
      </c>
      <c r="C3407" s="29"/>
      <c r="D3407" s="29" t="s">
        <v>3683</v>
      </c>
      <c r="E3407" s="29"/>
      <c r="F3407" s="29" t="s">
        <v>3686</v>
      </c>
      <c r="G3407" s="29"/>
      <c r="H3407" s="29" t="s">
        <v>3687</v>
      </c>
      <c r="I3407" s="29"/>
      <c r="J3407" s="29"/>
      <c r="K3407" s="29"/>
      <c r="L3407" s="29"/>
      <c r="M3407" s="29"/>
      <c r="N3407" s="29" t="s">
        <v>4752</v>
      </c>
      <c r="O3407" s="29"/>
      <c r="P3407" s="29" t="s">
        <v>10653</v>
      </c>
      <c r="Q3407" t="s">
        <v>2038</v>
      </c>
      <c r="R3407" t="s">
        <v>2633</v>
      </c>
      <c r="S3407">
        <v>37</v>
      </c>
      <c r="T3407" s="43" t="str">
        <f t="shared" si="157"/>
        <v>2021.010B.R.Binomial_names.zip</v>
      </c>
      <c r="U3407" s="43" t="str">
        <f>HYPERLINK("https://ictv.global/taxonomy/taxondetails?taxnode_id=202210207","ictv.global=202210207")</f>
        <v>ictv.global=202210207</v>
      </c>
    </row>
    <row r="3408" spans="1:21">
      <c r="A3408">
        <v>3407</v>
      </c>
      <c r="B3408" s="29" t="s">
        <v>3682</v>
      </c>
      <c r="C3408" s="29"/>
      <c r="D3408" s="29" t="s">
        <v>3683</v>
      </c>
      <c r="E3408" s="29"/>
      <c r="F3408" s="29" t="s">
        <v>3686</v>
      </c>
      <c r="G3408" s="29"/>
      <c r="H3408" s="29" t="s">
        <v>3687</v>
      </c>
      <c r="I3408" s="29"/>
      <c r="J3408" s="29"/>
      <c r="K3408" s="29"/>
      <c r="L3408" s="29"/>
      <c r="M3408" s="29"/>
      <c r="N3408" s="29" t="s">
        <v>3477</v>
      </c>
      <c r="O3408" s="29"/>
      <c r="P3408" s="29" t="s">
        <v>10654</v>
      </c>
      <c r="Q3408" t="s">
        <v>2038</v>
      </c>
      <c r="R3408" t="s">
        <v>2633</v>
      </c>
      <c r="S3408">
        <v>37</v>
      </c>
      <c r="T3408" s="43" t="str">
        <f t="shared" si="157"/>
        <v>2021.010B.R.Binomial_names.zip</v>
      </c>
      <c r="U3408" s="43" t="str">
        <f>HYPERLINK("https://ictv.global/taxonomy/taxondetails?taxnode_id=202205493","ictv.global=202205493")</f>
        <v>ictv.global=202205493</v>
      </c>
    </row>
    <row r="3409" spans="1:21">
      <c r="A3409">
        <v>3408</v>
      </c>
      <c r="B3409" s="29" t="s">
        <v>3682</v>
      </c>
      <c r="C3409" s="29"/>
      <c r="D3409" s="29" t="s">
        <v>3683</v>
      </c>
      <c r="E3409" s="29"/>
      <c r="F3409" s="29" t="s">
        <v>3686</v>
      </c>
      <c r="G3409" s="29"/>
      <c r="H3409" s="29" t="s">
        <v>3687</v>
      </c>
      <c r="I3409" s="29"/>
      <c r="J3409" s="29"/>
      <c r="K3409" s="29"/>
      <c r="L3409" s="29"/>
      <c r="M3409" s="29"/>
      <c r="N3409" s="29" t="s">
        <v>3477</v>
      </c>
      <c r="O3409" s="29"/>
      <c r="P3409" s="29" t="s">
        <v>10655</v>
      </c>
      <c r="Q3409" t="s">
        <v>2038</v>
      </c>
      <c r="R3409" t="s">
        <v>2633</v>
      </c>
      <c r="S3409">
        <v>37</v>
      </c>
      <c r="T3409" s="43" t="str">
        <f t="shared" si="157"/>
        <v>2021.010B.R.Binomial_names.zip</v>
      </c>
      <c r="U3409" s="43" t="str">
        <f>HYPERLINK("https://ictv.global/taxonomy/taxondetails?taxnode_id=202200677","ictv.global=202200677")</f>
        <v>ictv.global=202200677</v>
      </c>
    </row>
    <row r="3410" spans="1:21">
      <c r="A3410">
        <v>3409</v>
      </c>
      <c r="B3410" s="29" t="s">
        <v>3682</v>
      </c>
      <c r="C3410" s="29"/>
      <c r="D3410" s="29" t="s">
        <v>3683</v>
      </c>
      <c r="E3410" s="29"/>
      <c r="F3410" s="29" t="s">
        <v>3686</v>
      </c>
      <c r="G3410" s="29"/>
      <c r="H3410" s="29" t="s">
        <v>3687</v>
      </c>
      <c r="I3410" s="29"/>
      <c r="J3410" s="29"/>
      <c r="K3410" s="29"/>
      <c r="L3410" s="29"/>
      <c r="M3410" s="29"/>
      <c r="N3410" s="29" t="s">
        <v>3477</v>
      </c>
      <c r="O3410" s="29"/>
      <c r="P3410" s="29" t="s">
        <v>10656</v>
      </c>
      <c r="Q3410" t="s">
        <v>2038</v>
      </c>
      <c r="R3410" t="s">
        <v>2633</v>
      </c>
      <c r="S3410">
        <v>37</v>
      </c>
      <c r="T3410" s="43" t="str">
        <f t="shared" si="157"/>
        <v>2021.010B.R.Binomial_names.zip</v>
      </c>
      <c r="U3410" s="43" t="str">
        <f>HYPERLINK("https://ictv.global/taxonomy/taxondetails?taxnode_id=202200678","ictv.global=202200678")</f>
        <v>ictv.global=202200678</v>
      </c>
    </row>
    <row r="3411" spans="1:21">
      <c r="A3411">
        <v>3410</v>
      </c>
      <c r="B3411" s="29" t="s">
        <v>3682</v>
      </c>
      <c r="C3411" s="29"/>
      <c r="D3411" s="29" t="s">
        <v>3683</v>
      </c>
      <c r="E3411" s="29"/>
      <c r="F3411" s="29" t="s">
        <v>3686</v>
      </c>
      <c r="G3411" s="29"/>
      <c r="H3411" s="29" t="s">
        <v>3687</v>
      </c>
      <c r="I3411" s="29"/>
      <c r="J3411" s="29"/>
      <c r="K3411" s="29"/>
      <c r="L3411" s="29"/>
      <c r="M3411" s="29"/>
      <c r="N3411" s="29" t="s">
        <v>3477</v>
      </c>
      <c r="O3411" s="29"/>
      <c r="P3411" s="29" t="s">
        <v>10657</v>
      </c>
      <c r="Q3411" t="s">
        <v>2038</v>
      </c>
      <c r="R3411" t="s">
        <v>2633</v>
      </c>
      <c r="S3411">
        <v>37</v>
      </c>
      <c r="T3411" s="43" t="str">
        <f t="shared" si="157"/>
        <v>2021.010B.R.Binomial_names.zip</v>
      </c>
      <c r="U3411" s="43" t="str">
        <f>HYPERLINK("https://ictv.global/taxonomy/taxondetails?taxnode_id=202207078","ictv.global=202207078")</f>
        <v>ictv.global=202207078</v>
      </c>
    </row>
    <row r="3412" spans="1:21">
      <c r="A3412">
        <v>3411</v>
      </c>
      <c r="B3412" s="29" t="s">
        <v>3682</v>
      </c>
      <c r="C3412" s="29"/>
      <c r="D3412" s="29" t="s">
        <v>3683</v>
      </c>
      <c r="E3412" s="29"/>
      <c r="F3412" s="29" t="s">
        <v>3686</v>
      </c>
      <c r="G3412" s="29"/>
      <c r="H3412" s="29" t="s">
        <v>3687</v>
      </c>
      <c r="I3412" s="29"/>
      <c r="J3412" s="29"/>
      <c r="K3412" s="29"/>
      <c r="L3412" s="29"/>
      <c r="M3412" s="29"/>
      <c r="N3412" s="29" t="s">
        <v>3477</v>
      </c>
      <c r="O3412" s="29"/>
      <c r="P3412" s="29" t="s">
        <v>10658</v>
      </c>
      <c r="Q3412" t="s">
        <v>2038</v>
      </c>
      <c r="R3412" t="s">
        <v>2633</v>
      </c>
      <c r="S3412">
        <v>37</v>
      </c>
      <c r="T3412" s="43" t="str">
        <f t="shared" si="157"/>
        <v>2021.010B.R.Binomial_names.zip</v>
      </c>
      <c r="U3412" s="43" t="str">
        <f>HYPERLINK("https://ictv.global/taxonomy/taxondetails?taxnode_id=202200680","ictv.global=202200680")</f>
        <v>ictv.global=202200680</v>
      </c>
    </row>
    <row r="3413" spans="1:21">
      <c r="A3413">
        <v>3412</v>
      </c>
      <c r="B3413" s="29" t="s">
        <v>3682</v>
      </c>
      <c r="C3413" s="29"/>
      <c r="D3413" s="29" t="s">
        <v>3683</v>
      </c>
      <c r="E3413" s="29"/>
      <c r="F3413" s="29" t="s">
        <v>3686</v>
      </c>
      <c r="G3413" s="29"/>
      <c r="H3413" s="29" t="s">
        <v>3687</v>
      </c>
      <c r="I3413" s="29"/>
      <c r="J3413" s="29"/>
      <c r="K3413" s="29"/>
      <c r="L3413" s="29"/>
      <c r="M3413" s="29"/>
      <c r="N3413" s="29" t="s">
        <v>3477</v>
      </c>
      <c r="O3413" s="29"/>
      <c r="P3413" s="29" t="s">
        <v>10659</v>
      </c>
      <c r="Q3413" t="s">
        <v>2038</v>
      </c>
      <c r="R3413" t="s">
        <v>2633</v>
      </c>
      <c r="S3413">
        <v>37</v>
      </c>
      <c r="T3413" s="43" t="str">
        <f t="shared" si="157"/>
        <v>2021.010B.R.Binomial_names.zip</v>
      </c>
      <c r="U3413" s="43" t="str">
        <f>HYPERLINK("https://ictv.global/taxonomy/taxondetails?taxnode_id=202200679","ictv.global=202200679")</f>
        <v>ictv.global=202200679</v>
      </c>
    </row>
    <row r="3414" spans="1:21">
      <c r="A3414">
        <v>3413</v>
      </c>
      <c r="B3414" s="29" t="s">
        <v>3682</v>
      </c>
      <c r="C3414" s="29"/>
      <c r="D3414" s="29" t="s">
        <v>3683</v>
      </c>
      <c r="E3414" s="29"/>
      <c r="F3414" s="29" t="s">
        <v>3686</v>
      </c>
      <c r="G3414" s="29"/>
      <c r="H3414" s="29" t="s">
        <v>3687</v>
      </c>
      <c r="I3414" s="29"/>
      <c r="J3414" s="29"/>
      <c r="K3414" s="29"/>
      <c r="L3414" s="29"/>
      <c r="M3414" s="29"/>
      <c r="N3414" s="29" t="s">
        <v>4753</v>
      </c>
      <c r="O3414" s="29"/>
      <c r="P3414" s="29" t="s">
        <v>10660</v>
      </c>
      <c r="Q3414" t="s">
        <v>2038</v>
      </c>
      <c r="R3414" t="s">
        <v>2633</v>
      </c>
      <c r="S3414">
        <v>37</v>
      </c>
      <c r="T3414" s="43" t="str">
        <f t="shared" si="157"/>
        <v>2021.010B.R.Binomial_names.zip</v>
      </c>
      <c r="U3414" s="43" t="str">
        <f>HYPERLINK("https://ictv.global/taxonomy/taxondetails?taxnode_id=202210210","ictv.global=202210210")</f>
        <v>ictv.global=202210210</v>
      </c>
    </row>
    <row r="3415" spans="1:21">
      <c r="A3415">
        <v>3414</v>
      </c>
      <c r="B3415" s="29" t="s">
        <v>3682</v>
      </c>
      <c r="C3415" s="29"/>
      <c r="D3415" s="29" t="s">
        <v>3683</v>
      </c>
      <c r="E3415" s="29"/>
      <c r="F3415" s="29" t="s">
        <v>3686</v>
      </c>
      <c r="G3415" s="29"/>
      <c r="H3415" s="29" t="s">
        <v>3687</v>
      </c>
      <c r="I3415" s="29"/>
      <c r="J3415" s="29"/>
      <c r="K3415" s="29"/>
      <c r="L3415" s="29"/>
      <c r="M3415" s="29"/>
      <c r="N3415" s="29" t="s">
        <v>4753</v>
      </c>
      <c r="O3415" s="29"/>
      <c r="P3415" s="29" t="s">
        <v>10661</v>
      </c>
      <c r="Q3415" t="s">
        <v>2038</v>
      </c>
      <c r="R3415" t="s">
        <v>2633</v>
      </c>
      <c r="S3415">
        <v>37</v>
      </c>
      <c r="T3415" s="43" t="str">
        <f t="shared" si="157"/>
        <v>2021.010B.R.Binomial_names.zip</v>
      </c>
      <c r="U3415" s="43" t="str">
        <f>HYPERLINK("https://ictv.global/taxonomy/taxondetails?taxnode_id=202210211","ictv.global=202210211")</f>
        <v>ictv.global=202210211</v>
      </c>
    </row>
    <row r="3416" spans="1:21">
      <c r="A3416">
        <v>3415</v>
      </c>
      <c r="B3416" s="29" t="s">
        <v>3682</v>
      </c>
      <c r="C3416" s="29"/>
      <c r="D3416" s="29" t="s">
        <v>3683</v>
      </c>
      <c r="E3416" s="29"/>
      <c r="F3416" s="29" t="s">
        <v>3686</v>
      </c>
      <c r="G3416" s="29"/>
      <c r="H3416" s="29" t="s">
        <v>3687</v>
      </c>
      <c r="I3416" s="29"/>
      <c r="J3416" s="29"/>
      <c r="K3416" s="29"/>
      <c r="L3416" s="29"/>
      <c r="M3416" s="29"/>
      <c r="N3416" s="29" t="s">
        <v>4753</v>
      </c>
      <c r="O3416" s="29"/>
      <c r="P3416" s="29" t="s">
        <v>10662</v>
      </c>
      <c r="Q3416" t="s">
        <v>2038</v>
      </c>
      <c r="R3416" t="s">
        <v>2633</v>
      </c>
      <c r="S3416">
        <v>37</v>
      </c>
      <c r="T3416" s="43" t="str">
        <f t="shared" si="157"/>
        <v>2021.010B.R.Binomial_names.zip</v>
      </c>
      <c r="U3416" s="43" t="str">
        <f>HYPERLINK("https://ictv.global/taxonomy/taxondetails?taxnode_id=202210209","ictv.global=202210209")</f>
        <v>ictv.global=202210209</v>
      </c>
    </row>
    <row r="3417" spans="1:21">
      <c r="A3417">
        <v>3416</v>
      </c>
      <c r="B3417" s="29" t="s">
        <v>3682</v>
      </c>
      <c r="C3417" s="29"/>
      <c r="D3417" s="29" t="s">
        <v>3683</v>
      </c>
      <c r="E3417" s="29"/>
      <c r="F3417" s="29" t="s">
        <v>3686</v>
      </c>
      <c r="G3417" s="29"/>
      <c r="H3417" s="29" t="s">
        <v>3687</v>
      </c>
      <c r="I3417" s="29"/>
      <c r="J3417" s="29"/>
      <c r="K3417" s="29"/>
      <c r="L3417" s="29"/>
      <c r="M3417" s="29"/>
      <c r="N3417" s="29" t="s">
        <v>4010</v>
      </c>
      <c r="O3417" s="29"/>
      <c r="P3417" s="29" t="s">
        <v>10663</v>
      </c>
      <c r="Q3417" t="s">
        <v>2038</v>
      </c>
      <c r="R3417" t="s">
        <v>2633</v>
      </c>
      <c r="S3417">
        <v>37</v>
      </c>
      <c r="T3417" s="43" t="str">
        <f t="shared" si="157"/>
        <v>2021.010B.R.Binomial_names.zip</v>
      </c>
      <c r="U3417" s="43" t="str">
        <f>HYPERLINK("https://ictv.global/taxonomy/taxondetails?taxnode_id=202207890","ictv.global=202207890")</f>
        <v>ictv.global=202207890</v>
      </c>
    </row>
    <row r="3418" spans="1:21">
      <c r="A3418">
        <v>3417</v>
      </c>
      <c r="B3418" s="29" t="s">
        <v>3682</v>
      </c>
      <c r="C3418" s="29"/>
      <c r="D3418" s="29" t="s">
        <v>3683</v>
      </c>
      <c r="E3418" s="29"/>
      <c r="F3418" s="29" t="s">
        <v>3686</v>
      </c>
      <c r="G3418" s="29"/>
      <c r="H3418" s="29" t="s">
        <v>3687</v>
      </c>
      <c r="I3418" s="29"/>
      <c r="J3418" s="29"/>
      <c r="K3418" s="29"/>
      <c r="L3418" s="29"/>
      <c r="M3418" s="29"/>
      <c r="N3418" s="29" t="s">
        <v>10664</v>
      </c>
      <c r="O3418" s="29"/>
      <c r="P3418" s="29" t="s">
        <v>10665</v>
      </c>
      <c r="Q3418" t="s">
        <v>2038</v>
      </c>
      <c r="R3418" t="s">
        <v>2632</v>
      </c>
      <c r="S3418">
        <v>37</v>
      </c>
      <c r="T3418" s="43" t="str">
        <f>HYPERLINK("https://ictv.global/ictv/proposals/2021.047B.R.Leonardvirus.zip","2021.047B.R.Leonardvirus.zip")</f>
        <v>2021.047B.R.Leonardvirus.zip</v>
      </c>
      <c r="U3418" s="43" t="str">
        <f>HYPERLINK("https://ictv.global/taxonomy/taxondetails?taxnode_id=202212398","ictv.global=202212398")</f>
        <v>ictv.global=202212398</v>
      </c>
    </row>
    <row r="3419" spans="1:21">
      <c r="A3419">
        <v>3418</v>
      </c>
      <c r="B3419" s="29" t="s">
        <v>3682</v>
      </c>
      <c r="C3419" s="29"/>
      <c r="D3419" s="29" t="s">
        <v>3683</v>
      </c>
      <c r="E3419" s="29"/>
      <c r="F3419" s="29" t="s">
        <v>3686</v>
      </c>
      <c r="G3419" s="29"/>
      <c r="H3419" s="29" t="s">
        <v>3687</v>
      </c>
      <c r="I3419" s="29"/>
      <c r="J3419" s="29"/>
      <c r="K3419" s="29"/>
      <c r="L3419" s="29"/>
      <c r="M3419" s="29"/>
      <c r="N3419" s="29" t="s">
        <v>10664</v>
      </c>
      <c r="O3419" s="29"/>
      <c r="P3419" s="29" t="s">
        <v>10666</v>
      </c>
      <c r="Q3419" t="s">
        <v>2038</v>
      </c>
      <c r="R3419" t="s">
        <v>2632</v>
      </c>
      <c r="S3419">
        <v>37</v>
      </c>
      <c r="T3419" s="43" t="str">
        <f>HYPERLINK("https://ictv.global/ictv/proposals/2021.047B.R.Leonardvirus.zip","2021.047B.R.Leonardvirus.zip")</f>
        <v>2021.047B.R.Leonardvirus.zip</v>
      </c>
      <c r="U3419" s="43" t="str">
        <f>HYPERLINK("https://ictv.global/taxonomy/taxondetails?taxnode_id=202212396","ictv.global=202212396")</f>
        <v>ictv.global=202212396</v>
      </c>
    </row>
    <row r="3420" spans="1:21">
      <c r="A3420">
        <v>3419</v>
      </c>
      <c r="B3420" s="29" t="s">
        <v>3682</v>
      </c>
      <c r="C3420" s="29"/>
      <c r="D3420" s="29" t="s">
        <v>3683</v>
      </c>
      <c r="E3420" s="29"/>
      <c r="F3420" s="29" t="s">
        <v>3686</v>
      </c>
      <c r="G3420" s="29"/>
      <c r="H3420" s="29" t="s">
        <v>3687</v>
      </c>
      <c r="I3420" s="29"/>
      <c r="J3420" s="29"/>
      <c r="K3420" s="29"/>
      <c r="L3420" s="29"/>
      <c r="M3420" s="29"/>
      <c r="N3420" s="29" t="s">
        <v>10664</v>
      </c>
      <c r="O3420" s="29"/>
      <c r="P3420" s="29" t="s">
        <v>10667</v>
      </c>
      <c r="Q3420" t="s">
        <v>2038</v>
      </c>
      <c r="R3420" t="s">
        <v>2632</v>
      </c>
      <c r="S3420">
        <v>37</v>
      </c>
      <c r="T3420" s="43" t="str">
        <f>HYPERLINK("https://ictv.global/ictv/proposals/2021.047B.R.Leonardvirus.zip","2021.047B.R.Leonardvirus.zip")</f>
        <v>2021.047B.R.Leonardvirus.zip</v>
      </c>
      <c r="U3420" s="43" t="str">
        <f>HYPERLINK("https://ictv.global/taxonomy/taxondetails?taxnode_id=202212395","ictv.global=202212395")</f>
        <v>ictv.global=202212395</v>
      </c>
    </row>
    <row r="3421" spans="1:21">
      <c r="A3421">
        <v>3420</v>
      </c>
      <c r="B3421" s="29" t="s">
        <v>3682</v>
      </c>
      <c r="C3421" s="29"/>
      <c r="D3421" s="29" t="s">
        <v>3683</v>
      </c>
      <c r="E3421" s="29"/>
      <c r="F3421" s="29" t="s">
        <v>3686</v>
      </c>
      <c r="G3421" s="29"/>
      <c r="H3421" s="29" t="s">
        <v>3687</v>
      </c>
      <c r="I3421" s="29"/>
      <c r="J3421" s="29"/>
      <c r="K3421" s="29"/>
      <c r="L3421" s="29"/>
      <c r="M3421" s="29"/>
      <c r="N3421" s="29" t="s">
        <v>10664</v>
      </c>
      <c r="O3421" s="29"/>
      <c r="P3421" s="29" t="s">
        <v>10668</v>
      </c>
      <c r="Q3421" t="s">
        <v>2038</v>
      </c>
      <c r="R3421" t="s">
        <v>2632</v>
      </c>
      <c r="S3421">
        <v>37</v>
      </c>
      <c r="T3421" s="43" t="str">
        <f>HYPERLINK("https://ictv.global/ictv/proposals/2021.047B.R.Leonardvirus.zip","2021.047B.R.Leonardvirus.zip")</f>
        <v>2021.047B.R.Leonardvirus.zip</v>
      </c>
      <c r="U3421" s="43" t="str">
        <f>HYPERLINK("https://ictv.global/taxonomy/taxondetails?taxnode_id=202212397","ictv.global=202212397")</f>
        <v>ictv.global=202212397</v>
      </c>
    </row>
    <row r="3422" spans="1:21">
      <c r="A3422">
        <v>3421</v>
      </c>
      <c r="B3422" s="29" t="s">
        <v>3682</v>
      </c>
      <c r="C3422" s="29"/>
      <c r="D3422" s="29" t="s">
        <v>3683</v>
      </c>
      <c r="E3422" s="29"/>
      <c r="F3422" s="29" t="s">
        <v>3686</v>
      </c>
      <c r="G3422" s="29"/>
      <c r="H3422" s="29" t="s">
        <v>3687</v>
      </c>
      <c r="I3422" s="29"/>
      <c r="J3422" s="29"/>
      <c r="K3422" s="29"/>
      <c r="L3422" s="29"/>
      <c r="M3422" s="29"/>
      <c r="N3422" s="29" t="s">
        <v>3478</v>
      </c>
      <c r="O3422" s="29"/>
      <c r="P3422" s="29" t="s">
        <v>10669</v>
      </c>
      <c r="Q3422" t="s">
        <v>2038</v>
      </c>
      <c r="R3422" t="s">
        <v>2633</v>
      </c>
      <c r="S3422">
        <v>37</v>
      </c>
      <c r="T3422" s="43" t="str">
        <f t="shared" ref="T3422:T3428" si="158">HYPERLINK("https://ictv.global/ictv/proposals/2021.010B.R.Binomial_names.zip","2021.010B.R.Binomial_names.zip")</f>
        <v>2021.010B.R.Binomial_names.zip</v>
      </c>
      <c r="U3422" s="43" t="str">
        <f>HYPERLINK("https://ictv.global/taxonomy/taxondetails?taxnode_id=202200622","ictv.global=202200622")</f>
        <v>ictv.global=202200622</v>
      </c>
    </row>
    <row r="3423" spans="1:21">
      <c r="A3423">
        <v>3422</v>
      </c>
      <c r="B3423" s="29" t="s">
        <v>3682</v>
      </c>
      <c r="C3423" s="29"/>
      <c r="D3423" s="29" t="s">
        <v>3683</v>
      </c>
      <c r="E3423" s="29"/>
      <c r="F3423" s="29" t="s">
        <v>3686</v>
      </c>
      <c r="G3423" s="29"/>
      <c r="H3423" s="29" t="s">
        <v>3687</v>
      </c>
      <c r="I3423" s="29"/>
      <c r="J3423" s="29"/>
      <c r="K3423" s="29"/>
      <c r="L3423" s="29"/>
      <c r="M3423" s="29"/>
      <c r="N3423" s="29" t="s">
        <v>3478</v>
      </c>
      <c r="O3423" s="29"/>
      <c r="P3423" s="29" t="s">
        <v>10670</v>
      </c>
      <c r="Q3423" t="s">
        <v>2038</v>
      </c>
      <c r="R3423" t="s">
        <v>2633</v>
      </c>
      <c r="S3423">
        <v>37</v>
      </c>
      <c r="T3423" s="43" t="str">
        <f t="shared" si="158"/>
        <v>2021.010B.R.Binomial_names.zip</v>
      </c>
      <c r="U3423" s="43" t="str">
        <f>HYPERLINK("https://ictv.global/taxonomy/taxondetails?taxnode_id=202200623","ictv.global=202200623")</f>
        <v>ictv.global=202200623</v>
      </c>
    </row>
    <row r="3424" spans="1:21">
      <c r="A3424">
        <v>3423</v>
      </c>
      <c r="B3424" s="29" t="s">
        <v>3682</v>
      </c>
      <c r="C3424" s="29"/>
      <c r="D3424" s="29" t="s">
        <v>3683</v>
      </c>
      <c r="E3424" s="29"/>
      <c r="F3424" s="29" t="s">
        <v>3686</v>
      </c>
      <c r="G3424" s="29"/>
      <c r="H3424" s="29" t="s">
        <v>3687</v>
      </c>
      <c r="I3424" s="29"/>
      <c r="J3424" s="29"/>
      <c r="K3424" s="29"/>
      <c r="L3424" s="29"/>
      <c r="M3424" s="29"/>
      <c r="N3424" s="29" t="s">
        <v>3478</v>
      </c>
      <c r="O3424" s="29"/>
      <c r="P3424" s="29" t="s">
        <v>10671</v>
      </c>
      <c r="Q3424" t="s">
        <v>2038</v>
      </c>
      <c r="R3424" t="s">
        <v>2633</v>
      </c>
      <c r="S3424">
        <v>37</v>
      </c>
      <c r="T3424" s="43" t="str">
        <f t="shared" si="158"/>
        <v>2021.010B.R.Binomial_names.zip</v>
      </c>
      <c r="U3424" s="43" t="str">
        <f>HYPERLINK("https://ictv.global/taxonomy/taxondetails?taxnode_id=202200624","ictv.global=202200624")</f>
        <v>ictv.global=202200624</v>
      </c>
    </row>
    <row r="3425" spans="1:21">
      <c r="A3425">
        <v>3424</v>
      </c>
      <c r="B3425" s="29" t="s">
        <v>3682</v>
      </c>
      <c r="C3425" s="29"/>
      <c r="D3425" s="29" t="s">
        <v>3683</v>
      </c>
      <c r="E3425" s="29"/>
      <c r="F3425" s="29" t="s">
        <v>3686</v>
      </c>
      <c r="G3425" s="29"/>
      <c r="H3425" s="29" t="s">
        <v>3687</v>
      </c>
      <c r="I3425" s="29"/>
      <c r="J3425" s="29"/>
      <c r="K3425" s="29"/>
      <c r="L3425" s="29"/>
      <c r="M3425" s="29"/>
      <c r="N3425" s="29" t="s">
        <v>3478</v>
      </c>
      <c r="O3425" s="29"/>
      <c r="P3425" s="29" t="s">
        <v>10672</v>
      </c>
      <c r="Q3425" t="s">
        <v>2038</v>
      </c>
      <c r="R3425" t="s">
        <v>2633</v>
      </c>
      <c r="S3425">
        <v>37</v>
      </c>
      <c r="T3425" s="43" t="str">
        <f t="shared" si="158"/>
        <v>2021.010B.R.Binomial_names.zip</v>
      </c>
      <c r="U3425" s="43" t="str">
        <f>HYPERLINK("https://ictv.global/taxonomy/taxondetails?taxnode_id=202200625","ictv.global=202200625")</f>
        <v>ictv.global=202200625</v>
      </c>
    </row>
    <row r="3426" spans="1:21">
      <c r="A3426">
        <v>3425</v>
      </c>
      <c r="B3426" s="29" t="s">
        <v>3682</v>
      </c>
      <c r="C3426" s="29"/>
      <c r="D3426" s="29" t="s">
        <v>3683</v>
      </c>
      <c r="E3426" s="29"/>
      <c r="F3426" s="29" t="s">
        <v>3686</v>
      </c>
      <c r="G3426" s="29"/>
      <c r="H3426" s="29" t="s">
        <v>3687</v>
      </c>
      <c r="I3426" s="29"/>
      <c r="J3426" s="29"/>
      <c r="K3426" s="29"/>
      <c r="L3426" s="29"/>
      <c r="M3426" s="29"/>
      <c r="N3426" s="29" t="s">
        <v>4565</v>
      </c>
      <c r="O3426" s="29"/>
      <c r="P3426" s="29" t="s">
        <v>10673</v>
      </c>
      <c r="Q3426" t="s">
        <v>2038</v>
      </c>
      <c r="R3426" t="s">
        <v>2633</v>
      </c>
      <c r="S3426">
        <v>37</v>
      </c>
      <c r="T3426" s="43" t="str">
        <f t="shared" si="158"/>
        <v>2021.010B.R.Binomial_names.zip</v>
      </c>
      <c r="U3426" s="43" t="str">
        <f>HYPERLINK("https://ictv.global/taxonomy/taxondetails?taxnode_id=202211528","ictv.global=202211528")</f>
        <v>ictv.global=202211528</v>
      </c>
    </row>
    <row r="3427" spans="1:21">
      <c r="A3427">
        <v>3426</v>
      </c>
      <c r="B3427" s="29" t="s">
        <v>3682</v>
      </c>
      <c r="C3427" s="29"/>
      <c r="D3427" s="29" t="s">
        <v>3683</v>
      </c>
      <c r="E3427" s="29"/>
      <c r="F3427" s="29" t="s">
        <v>3686</v>
      </c>
      <c r="G3427" s="29"/>
      <c r="H3427" s="29" t="s">
        <v>3687</v>
      </c>
      <c r="I3427" s="29"/>
      <c r="J3427" s="29"/>
      <c r="K3427" s="29"/>
      <c r="L3427" s="29"/>
      <c r="M3427" s="29"/>
      <c r="N3427" s="29" t="s">
        <v>3479</v>
      </c>
      <c r="O3427" s="29"/>
      <c r="P3427" s="29" t="s">
        <v>10674</v>
      </c>
      <c r="Q3427" t="s">
        <v>2038</v>
      </c>
      <c r="R3427" t="s">
        <v>2633</v>
      </c>
      <c r="S3427">
        <v>37</v>
      </c>
      <c r="T3427" s="43" t="str">
        <f t="shared" si="158"/>
        <v>2021.010B.R.Binomial_names.zip</v>
      </c>
      <c r="U3427" s="43" t="str">
        <f>HYPERLINK("https://ictv.global/taxonomy/taxondetails?taxnode_id=202200630","ictv.global=202200630")</f>
        <v>ictv.global=202200630</v>
      </c>
    </row>
    <row r="3428" spans="1:21">
      <c r="A3428">
        <v>3427</v>
      </c>
      <c r="B3428" s="29" t="s">
        <v>3682</v>
      </c>
      <c r="C3428" s="29"/>
      <c r="D3428" s="29" t="s">
        <v>3683</v>
      </c>
      <c r="E3428" s="29"/>
      <c r="F3428" s="29" t="s">
        <v>3686</v>
      </c>
      <c r="G3428" s="29"/>
      <c r="H3428" s="29" t="s">
        <v>3687</v>
      </c>
      <c r="I3428" s="29"/>
      <c r="J3428" s="29"/>
      <c r="K3428" s="29"/>
      <c r="L3428" s="29"/>
      <c r="M3428" s="29"/>
      <c r="N3428" s="29" t="s">
        <v>3479</v>
      </c>
      <c r="O3428" s="29"/>
      <c r="P3428" s="29" t="s">
        <v>10675</v>
      </c>
      <c r="Q3428" t="s">
        <v>2038</v>
      </c>
      <c r="R3428" t="s">
        <v>2633</v>
      </c>
      <c r="S3428">
        <v>37</v>
      </c>
      <c r="T3428" s="43" t="str">
        <f t="shared" si="158"/>
        <v>2021.010B.R.Binomial_names.zip</v>
      </c>
      <c r="U3428" s="43" t="str">
        <f>HYPERLINK("https://ictv.global/taxonomy/taxondetails?taxnode_id=202200631","ictv.global=202200631")</f>
        <v>ictv.global=202200631</v>
      </c>
    </row>
    <row r="3429" spans="1:21">
      <c r="A3429">
        <v>3428</v>
      </c>
      <c r="B3429" s="29" t="s">
        <v>3682</v>
      </c>
      <c r="C3429" s="29"/>
      <c r="D3429" s="29" t="s">
        <v>3683</v>
      </c>
      <c r="E3429" s="29"/>
      <c r="F3429" s="29" t="s">
        <v>3686</v>
      </c>
      <c r="G3429" s="29"/>
      <c r="H3429" s="29" t="s">
        <v>3687</v>
      </c>
      <c r="I3429" s="29"/>
      <c r="J3429" s="29"/>
      <c r="K3429" s="29"/>
      <c r="L3429" s="29"/>
      <c r="M3429" s="29"/>
      <c r="N3429" s="29" t="s">
        <v>10676</v>
      </c>
      <c r="O3429" s="29"/>
      <c r="P3429" s="29" t="s">
        <v>10677</v>
      </c>
      <c r="Q3429" t="s">
        <v>2038</v>
      </c>
      <c r="R3429" t="s">
        <v>2632</v>
      </c>
      <c r="S3429">
        <v>37</v>
      </c>
      <c r="T3429" s="43" t="str">
        <f>HYPERLINK("https://ictv.global/ictv/proposals/2021.048B.R.Lilbeanievirus.zip","2021.048B.R.Lilbeanievirus.zip")</f>
        <v>2021.048B.R.Lilbeanievirus.zip</v>
      </c>
      <c r="U3429" s="43" t="str">
        <f>HYPERLINK("https://ictv.global/taxonomy/taxondetails?taxnode_id=202212400","ictv.global=202212400")</f>
        <v>ictv.global=202212400</v>
      </c>
    </row>
    <row r="3430" spans="1:21">
      <c r="A3430">
        <v>3429</v>
      </c>
      <c r="B3430" s="29" t="s">
        <v>3682</v>
      </c>
      <c r="C3430" s="29"/>
      <c r="D3430" s="29" t="s">
        <v>3683</v>
      </c>
      <c r="E3430" s="29"/>
      <c r="F3430" s="29" t="s">
        <v>3686</v>
      </c>
      <c r="G3430" s="29"/>
      <c r="H3430" s="29" t="s">
        <v>3687</v>
      </c>
      <c r="I3430" s="29"/>
      <c r="J3430" s="29"/>
      <c r="K3430" s="29"/>
      <c r="L3430" s="29"/>
      <c r="M3430" s="29"/>
      <c r="N3430" s="29" t="s">
        <v>4755</v>
      </c>
      <c r="O3430" s="29"/>
      <c r="P3430" s="29" t="s">
        <v>10678</v>
      </c>
      <c r="Q3430" t="s">
        <v>2038</v>
      </c>
      <c r="R3430" t="s">
        <v>2633</v>
      </c>
      <c r="S3430">
        <v>37</v>
      </c>
      <c r="T3430" s="43" t="str">
        <f t="shared" ref="T3430:T3444" si="159">HYPERLINK("https://ictv.global/ictv/proposals/2021.010B.R.Binomial_names.zip","2021.010B.R.Binomial_names.zip")</f>
        <v>2021.010B.R.Binomial_names.zip</v>
      </c>
      <c r="U3430" s="43" t="str">
        <f>HYPERLINK("https://ictv.global/taxonomy/taxondetails?taxnode_id=202210029","ictv.global=202210029")</f>
        <v>ictv.global=202210029</v>
      </c>
    </row>
    <row r="3431" spans="1:21">
      <c r="A3431">
        <v>3430</v>
      </c>
      <c r="B3431" s="29" t="s">
        <v>3682</v>
      </c>
      <c r="C3431" s="29"/>
      <c r="D3431" s="29" t="s">
        <v>3683</v>
      </c>
      <c r="E3431" s="29"/>
      <c r="F3431" s="29" t="s">
        <v>3686</v>
      </c>
      <c r="G3431" s="29"/>
      <c r="H3431" s="29" t="s">
        <v>3687</v>
      </c>
      <c r="I3431" s="29"/>
      <c r="J3431" s="29"/>
      <c r="K3431" s="29"/>
      <c r="L3431" s="29"/>
      <c r="M3431" s="29"/>
      <c r="N3431" s="29" t="s">
        <v>4755</v>
      </c>
      <c r="O3431" s="29"/>
      <c r="P3431" s="29" t="s">
        <v>10679</v>
      </c>
      <c r="Q3431" t="s">
        <v>2038</v>
      </c>
      <c r="R3431" t="s">
        <v>2633</v>
      </c>
      <c r="S3431">
        <v>37</v>
      </c>
      <c r="T3431" s="43" t="str">
        <f t="shared" si="159"/>
        <v>2021.010B.R.Binomial_names.zip</v>
      </c>
      <c r="U3431" s="43" t="str">
        <f>HYPERLINK("https://ictv.global/taxonomy/taxondetails?taxnode_id=202210027","ictv.global=202210027")</f>
        <v>ictv.global=202210027</v>
      </c>
    </row>
    <row r="3432" spans="1:21">
      <c r="A3432">
        <v>3431</v>
      </c>
      <c r="B3432" s="29" t="s">
        <v>3682</v>
      </c>
      <c r="C3432" s="29"/>
      <c r="D3432" s="29" t="s">
        <v>3683</v>
      </c>
      <c r="E3432" s="29"/>
      <c r="F3432" s="29" t="s">
        <v>3686</v>
      </c>
      <c r="G3432" s="29"/>
      <c r="H3432" s="29" t="s">
        <v>3687</v>
      </c>
      <c r="I3432" s="29"/>
      <c r="J3432" s="29"/>
      <c r="K3432" s="29"/>
      <c r="L3432" s="29"/>
      <c r="M3432" s="29"/>
      <c r="N3432" s="29" t="s">
        <v>4755</v>
      </c>
      <c r="O3432" s="29"/>
      <c r="P3432" s="29" t="s">
        <v>10680</v>
      </c>
      <c r="Q3432" t="s">
        <v>2038</v>
      </c>
      <c r="R3432" t="s">
        <v>2633</v>
      </c>
      <c r="S3432">
        <v>37</v>
      </c>
      <c r="T3432" s="43" t="str">
        <f t="shared" si="159"/>
        <v>2021.010B.R.Binomial_names.zip</v>
      </c>
      <c r="U3432" s="43" t="str">
        <f>HYPERLINK("https://ictv.global/taxonomy/taxondetails?taxnode_id=202210028","ictv.global=202210028")</f>
        <v>ictv.global=202210028</v>
      </c>
    </row>
    <row r="3433" spans="1:21">
      <c r="A3433">
        <v>3432</v>
      </c>
      <c r="B3433" s="29" t="s">
        <v>3682</v>
      </c>
      <c r="C3433" s="29"/>
      <c r="D3433" s="29" t="s">
        <v>3683</v>
      </c>
      <c r="E3433" s="29"/>
      <c r="F3433" s="29" t="s">
        <v>3686</v>
      </c>
      <c r="G3433" s="29"/>
      <c r="H3433" s="29" t="s">
        <v>3687</v>
      </c>
      <c r="I3433" s="29"/>
      <c r="J3433" s="29"/>
      <c r="K3433" s="29"/>
      <c r="L3433" s="29"/>
      <c r="M3433" s="29"/>
      <c r="N3433" s="29" t="s">
        <v>4755</v>
      </c>
      <c r="O3433" s="29"/>
      <c r="P3433" s="29" t="s">
        <v>10681</v>
      </c>
      <c r="Q3433" t="s">
        <v>2038</v>
      </c>
      <c r="R3433" t="s">
        <v>2633</v>
      </c>
      <c r="S3433">
        <v>37</v>
      </c>
      <c r="T3433" s="43" t="str">
        <f t="shared" si="159"/>
        <v>2021.010B.R.Binomial_names.zip</v>
      </c>
      <c r="U3433" s="43" t="str">
        <f>HYPERLINK("https://ictv.global/taxonomy/taxondetails?taxnode_id=202210031","ictv.global=202210031")</f>
        <v>ictv.global=202210031</v>
      </c>
    </row>
    <row r="3434" spans="1:21">
      <c r="A3434">
        <v>3433</v>
      </c>
      <c r="B3434" s="29" t="s">
        <v>3682</v>
      </c>
      <c r="C3434" s="29"/>
      <c r="D3434" s="29" t="s">
        <v>3683</v>
      </c>
      <c r="E3434" s="29"/>
      <c r="F3434" s="29" t="s">
        <v>3686</v>
      </c>
      <c r="G3434" s="29"/>
      <c r="H3434" s="29" t="s">
        <v>3687</v>
      </c>
      <c r="I3434" s="29"/>
      <c r="J3434" s="29"/>
      <c r="K3434" s="29"/>
      <c r="L3434" s="29"/>
      <c r="M3434" s="29"/>
      <c r="N3434" s="29" t="s">
        <v>4755</v>
      </c>
      <c r="O3434" s="29"/>
      <c r="P3434" s="29" t="s">
        <v>10682</v>
      </c>
      <c r="Q3434" t="s">
        <v>2038</v>
      </c>
      <c r="R3434" t="s">
        <v>2633</v>
      </c>
      <c r="S3434">
        <v>37</v>
      </c>
      <c r="T3434" s="43" t="str">
        <f t="shared" si="159"/>
        <v>2021.010B.R.Binomial_names.zip</v>
      </c>
      <c r="U3434" s="43" t="str">
        <f>HYPERLINK("https://ictv.global/taxonomy/taxondetails?taxnode_id=202210032","ictv.global=202210032")</f>
        <v>ictv.global=202210032</v>
      </c>
    </row>
    <row r="3435" spans="1:21">
      <c r="A3435">
        <v>3434</v>
      </c>
      <c r="B3435" s="29" t="s">
        <v>3682</v>
      </c>
      <c r="C3435" s="29"/>
      <c r="D3435" s="29" t="s">
        <v>3683</v>
      </c>
      <c r="E3435" s="29"/>
      <c r="F3435" s="29" t="s">
        <v>3686</v>
      </c>
      <c r="G3435" s="29"/>
      <c r="H3435" s="29" t="s">
        <v>3687</v>
      </c>
      <c r="I3435" s="29"/>
      <c r="J3435" s="29"/>
      <c r="K3435" s="29"/>
      <c r="L3435" s="29"/>
      <c r="M3435" s="29"/>
      <c r="N3435" s="29" t="s">
        <v>4755</v>
      </c>
      <c r="O3435" s="29"/>
      <c r="P3435" s="29" t="s">
        <v>10683</v>
      </c>
      <c r="Q3435" t="s">
        <v>2038</v>
      </c>
      <c r="R3435" t="s">
        <v>2633</v>
      </c>
      <c r="S3435">
        <v>37</v>
      </c>
      <c r="T3435" s="43" t="str">
        <f t="shared" si="159"/>
        <v>2021.010B.R.Binomial_names.zip</v>
      </c>
      <c r="U3435" s="43" t="str">
        <f>HYPERLINK("https://ictv.global/taxonomy/taxondetails?taxnode_id=202210030","ictv.global=202210030")</f>
        <v>ictv.global=202210030</v>
      </c>
    </row>
    <row r="3436" spans="1:21">
      <c r="A3436">
        <v>3435</v>
      </c>
      <c r="B3436" s="29" t="s">
        <v>3682</v>
      </c>
      <c r="C3436" s="29"/>
      <c r="D3436" s="29" t="s">
        <v>3683</v>
      </c>
      <c r="E3436" s="29"/>
      <c r="F3436" s="29" t="s">
        <v>3686</v>
      </c>
      <c r="G3436" s="29"/>
      <c r="H3436" s="29" t="s">
        <v>3687</v>
      </c>
      <c r="I3436" s="29"/>
      <c r="J3436" s="29"/>
      <c r="K3436" s="29"/>
      <c r="L3436" s="29"/>
      <c r="M3436" s="29"/>
      <c r="N3436" s="29" t="s">
        <v>3562</v>
      </c>
      <c r="O3436" s="29"/>
      <c r="P3436" s="29" t="s">
        <v>10684</v>
      </c>
      <c r="Q3436" t="s">
        <v>2038</v>
      </c>
      <c r="R3436" t="s">
        <v>2633</v>
      </c>
      <c r="S3436">
        <v>37</v>
      </c>
      <c r="T3436" s="43" t="str">
        <f t="shared" si="159"/>
        <v>2021.010B.R.Binomial_names.zip</v>
      </c>
      <c r="U3436" s="43" t="str">
        <f>HYPERLINK("https://ictv.global/taxonomy/taxondetails?taxnode_id=202206774","ictv.global=202206774")</f>
        <v>ictv.global=202206774</v>
      </c>
    </row>
    <row r="3437" spans="1:21">
      <c r="A3437">
        <v>3436</v>
      </c>
      <c r="B3437" s="29" t="s">
        <v>3682</v>
      </c>
      <c r="C3437" s="29"/>
      <c r="D3437" s="29" t="s">
        <v>3683</v>
      </c>
      <c r="E3437" s="29"/>
      <c r="F3437" s="29" t="s">
        <v>3686</v>
      </c>
      <c r="G3437" s="29"/>
      <c r="H3437" s="29" t="s">
        <v>3687</v>
      </c>
      <c r="I3437" s="29"/>
      <c r="J3437" s="29"/>
      <c r="K3437" s="29"/>
      <c r="L3437" s="29"/>
      <c r="M3437" s="29"/>
      <c r="N3437" s="29" t="s">
        <v>3920</v>
      </c>
      <c r="O3437" s="29"/>
      <c r="P3437" s="29" t="s">
        <v>10685</v>
      </c>
      <c r="Q3437" t="s">
        <v>2038</v>
      </c>
      <c r="R3437" t="s">
        <v>2633</v>
      </c>
      <c r="S3437">
        <v>37</v>
      </c>
      <c r="T3437" s="43" t="str">
        <f t="shared" si="159"/>
        <v>2021.010B.R.Binomial_names.zip</v>
      </c>
      <c r="U3437" s="43" t="str">
        <f>HYPERLINK("https://ictv.global/taxonomy/taxondetails?taxnode_id=202207758","ictv.global=202207758")</f>
        <v>ictv.global=202207758</v>
      </c>
    </row>
    <row r="3438" spans="1:21">
      <c r="A3438">
        <v>3437</v>
      </c>
      <c r="B3438" s="29" t="s">
        <v>3682</v>
      </c>
      <c r="C3438" s="29"/>
      <c r="D3438" s="29" t="s">
        <v>3683</v>
      </c>
      <c r="E3438" s="29"/>
      <c r="F3438" s="29" t="s">
        <v>3686</v>
      </c>
      <c r="G3438" s="29"/>
      <c r="H3438" s="29" t="s">
        <v>3687</v>
      </c>
      <c r="I3438" s="29"/>
      <c r="J3438" s="29"/>
      <c r="K3438" s="29"/>
      <c r="L3438" s="29"/>
      <c r="M3438" s="29"/>
      <c r="N3438" s="29" t="s">
        <v>3563</v>
      </c>
      <c r="O3438" s="29"/>
      <c r="P3438" s="29" t="s">
        <v>10686</v>
      </c>
      <c r="Q3438" t="s">
        <v>2038</v>
      </c>
      <c r="R3438" t="s">
        <v>2633</v>
      </c>
      <c r="S3438">
        <v>37</v>
      </c>
      <c r="T3438" s="43" t="str">
        <f t="shared" si="159"/>
        <v>2021.010B.R.Binomial_names.zip</v>
      </c>
      <c r="U3438" s="43" t="str">
        <f>HYPERLINK("https://ictv.global/taxonomy/taxondetails?taxnode_id=202206916","ictv.global=202206916")</f>
        <v>ictv.global=202206916</v>
      </c>
    </row>
    <row r="3439" spans="1:21">
      <c r="A3439">
        <v>3438</v>
      </c>
      <c r="B3439" s="29" t="s">
        <v>3682</v>
      </c>
      <c r="C3439" s="29"/>
      <c r="D3439" s="29" t="s">
        <v>3683</v>
      </c>
      <c r="E3439" s="29"/>
      <c r="F3439" s="29" t="s">
        <v>3686</v>
      </c>
      <c r="G3439" s="29"/>
      <c r="H3439" s="29" t="s">
        <v>3687</v>
      </c>
      <c r="I3439" s="29"/>
      <c r="J3439" s="29"/>
      <c r="K3439" s="29"/>
      <c r="L3439" s="29"/>
      <c r="M3439" s="29"/>
      <c r="N3439" s="29" t="s">
        <v>3563</v>
      </c>
      <c r="O3439" s="29"/>
      <c r="P3439" s="29" t="s">
        <v>10687</v>
      </c>
      <c r="Q3439" t="s">
        <v>2038</v>
      </c>
      <c r="R3439" t="s">
        <v>2633</v>
      </c>
      <c r="S3439">
        <v>37</v>
      </c>
      <c r="T3439" s="43" t="str">
        <f t="shared" si="159"/>
        <v>2021.010B.R.Binomial_names.zip</v>
      </c>
      <c r="U3439" s="43" t="str">
        <f>HYPERLINK("https://ictv.global/taxonomy/taxondetails?taxnode_id=202206915","ictv.global=202206915")</f>
        <v>ictv.global=202206915</v>
      </c>
    </row>
    <row r="3440" spans="1:21">
      <c r="A3440">
        <v>3439</v>
      </c>
      <c r="B3440" s="29" t="s">
        <v>3682</v>
      </c>
      <c r="C3440" s="29"/>
      <c r="D3440" s="29" t="s">
        <v>3683</v>
      </c>
      <c r="E3440" s="29"/>
      <c r="F3440" s="29" t="s">
        <v>3686</v>
      </c>
      <c r="G3440" s="29"/>
      <c r="H3440" s="29" t="s">
        <v>3687</v>
      </c>
      <c r="I3440" s="29"/>
      <c r="J3440" s="29"/>
      <c r="K3440" s="29"/>
      <c r="L3440" s="29"/>
      <c r="M3440" s="29"/>
      <c r="N3440" s="29" t="s">
        <v>3564</v>
      </c>
      <c r="O3440" s="29"/>
      <c r="P3440" s="29" t="s">
        <v>10688</v>
      </c>
      <c r="Q3440" t="s">
        <v>2038</v>
      </c>
      <c r="R3440" t="s">
        <v>2633</v>
      </c>
      <c r="S3440">
        <v>37</v>
      </c>
      <c r="T3440" s="43" t="str">
        <f t="shared" si="159"/>
        <v>2021.010B.R.Binomial_names.zip</v>
      </c>
      <c r="U3440" s="43" t="str">
        <f>HYPERLINK("https://ictv.global/taxonomy/taxondetails?taxnode_id=202201185","ictv.global=202201185")</f>
        <v>ictv.global=202201185</v>
      </c>
    </row>
    <row r="3441" spans="1:21">
      <c r="A3441">
        <v>3440</v>
      </c>
      <c r="B3441" s="29" t="s">
        <v>3682</v>
      </c>
      <c r="C3441" s="29"/>
      <c r="D3441" s="29" t="s">
        <v>3683</v>
      </c>
      <c r="E3441" s="29"/>
      <c r="F3441" s="29" t="s">
        <v>3686</v>
      </c>
      <c r="G3441" s="29"/>
      <c r="H3441" s="29" t="s">
        <v>3687</v>
      </c>
      <c r="I3441" s="29"/>
      <c r="J3441" s="29"/>
      <c r="K3441" s="29"/>
      <c r="L3441" s="29"/>
      <c r="M3441" s="29"/>
      <c r="N3441" s="29" t="s">
        <v>3564</v>
      </c>
      <c r="O3441" s="29"/>
      <c r="P3441" s="29" t="s">
        <v>10689</v>
      </c>
      <c r="Q3441" t="s">
        <v>2038</v>
      </c>
      <c r="R3441" t="s">
        <v>2633</v>
      </c>
      <c r="S3441">
        <v>37</v>
      </c>
      <c r="T3441" s="43" t="str">
        <f t="shared" si="159"/>
        <v>2021.010B.R.Binomial_names.zip</v>
      </c>
      <c r="U3441" s="43" t="str">
        <f>HYPERLINK("https://ictv.global/taxonomy/taxondetails?taxnode_id=202201186","ictv.global=202201186")</f>
        <v>ictv.global=202201186</v>
      </c>
    </row>
    <row r="3442" spans="1:21">
      <c r="A3442">
        <v>3441</v>
      </c>
      <c r="B3442" s="29" t="s">
        <v>3682</v>
      </c>
      <c r="C3442" s="29"/>
      <c r="D3442" s="29" t="s">
        <v>3683</v>
      </c>
      <c r="E3442" s="29"/>
      <c r="F3442" s="29" t="s">
        <v>3686</v>
      </c>
      <c r="G3442" s="29"/>
      <c r="H3442" s="29" t="s">
        <v>3687</v>
      </c>
      <c r="I3442" s="29"/>
      <c r="J3442" s="29"/>
      <c r="K3442" s="29"/>
      <c r="L3442" s="29"/>
      <c r="M3442" s="29"/>
      <c r="N3442" s="29" t="s">
        <v>3921</v>
      </c>
      <c r="O3442" s="29"/>
      <c r="P3442" s="29" t="s">
        <v>10690</v>
      </c>
      <c r="Q3442" t="s">
        <v>2038</v>
      </c>
      <c r="R3442" t="s">
        <v>2633</v>
      </c>
      <c r="S3442">
        <v>37</v>
      </c>
      <c r="T3442" s="43" t="str">
        <f t="shared" si="159"/>
        <v>2021.010B.R.Binomial_names.zip</v>
      </c>
      <c r="U3442" s="43" t="str">
        <f>HYPERLINK("https://ictv.global/taxonomy/taxondetails?taxnode_id=202207914","ictv.global=202207914")</f>
        <v>ictv.global=202207914</v>
      </c>
    </row>
    <row r="3443" spans="1:21">
      <c r="A3443">
        <v>3442</v>
      </c>
      <c r="B3443" s="29" t="s">
        <v>3682</v>
      </c>
      <c r="C3443" s="29"/>
      <c r="D3443" s="29" t="s">
        <v>3683</v>
      </c>
      <c r="E3443" s="29"/>
      <c r="F3443" s="29" t="s">
        <v>3686</v>
      </c>
      <c r="G3443" s="29"/>
      <c r="H3443" s="29" t="s">
        <v>3687</v>
      </c>
      <c r="I3443" s="29"/>
      <c r="J3443" s="29"/>
      <c r="K3443" s="29"/>
      <c r="L3443" s="29"/>
      <c r="M3443" s="29"/>
      <c r="N3443" s="29" t="s">
        <v>3415</v>
      </c>
      <c r="O3443" s="29"/>
      <c r="P3443" s="29" t="s">
        <v>10691</v>
      </c>
      <c r="Q3443" t="s">
        <v>2038</v>
      </c>
      <c r="R3443" t="s">
        <v>2633</v>
      </c>
      <c r="S3443">
        <v>37</v>
      </c>
      <c r="T3443" s="43" t="str">
        <f t="shared" si="159"/>
        <v>2021.010B.R.Binomial_names.zip</v>
      </c>
      <c r="U3443" s="43" t="str">
        <f>HYPERLINK("https://ictv.global/taxonomy/taxondetails?taxnode_id=202200423","ictv.global=202200423")</f>
        <v>ictv.global=202200423</v>
      </c>
    </row>
    <row r="3444" spans="1:21">
      <c r="A3444">
        <v>3443</v>
      </c>
      <c r="B3444" s="29" t="s">
        <v>3682</v>
      </c>
      <c r="C3444" s="29"/>
      <c r="D3444" s="29" t="s">
        <v>3683</v>
      </c>
      <c r="E3444" s="29"/>
      <c r="F3444" s="29" t="s">
        <v>3686</v>
      </c>
      <c r="G3444" s="29"/>
      <c r="H3444" s="29" t="s">
        <v>3687</v>
      </c>
      <c r="I3444" s="29"/>
      <c r="J3444" s="29"/>
      <c r="K3444" s="29"/>
      <c r="L3444" s="29"/>
      <c r="M3444" s="29"/>
      <c r="N3444" s="29" t="s">
        <v>3415</v>
      </c>
      <c r="O3444" s="29"/>
      <c r="P3444" s="29" t="s">
        <v>10692</v>
      </c>
      <c r="Q3444" t="s">
        <v>2038</v>
      </c>
      <c r="R3444" t="s">
        <v>2633</v>
      </c>
      <c r="S3444">
        <v>37</v>
      </c>
      <c r="T3444" s="43" t="str">
        <f t="shared" si="159"/>
        <v>2021.010B.R.Binomial_names.zip</v>
      </c>
      <c r="U3444" s="43" t="str">
        <f>HYPERLINK("https://ictv.global/taxonomy/taxondetails?taxnode_id=202209889","ictv.global=202209889")</f>
        <v>ictv.global=202209889</v>
      </c>
    </row>
    <row r="3445" spans="1:21">
      <c r="A3445">
        <v>3444</v>
      </c>
      <c r="B3445" s="29" t="s">
        <v>3682</v>
      </c>
      <c r="C3445" s="29"/>
      <c r="D3445" s="29" t="s">
        <v>3683</v>
      </c>
      <c r="E3445" s="29"/>
      <c r="F3445" s="29" t="s">
        <v>3686</v>
      </c>
      <c r="G3445" s="29"/>
      <c r="H3445" s="29" t="s">
        <v>3687</v>
      </c>
      <c r="I3445" s="29"/>
      <c r="J3445" s="29"/>
      <c r="K3445" s="29"/>
      <c r="L3445" s="29"/>
      <c r="M3445" s="29"/>
      <c r="N3445" s="29" t="s">
        <v>10693</v>
      </c>
      <c r="O3445" s="29"/>
      <c r="P3445" s="29" t="s">
        <v>10694</v>
      </c>
      <c r="Q3445" t="s">
        <v>2038</v>
      </c>
      <c r="R3445" t="s">
        <v>2632</v>
      </c>
      <c r="S3445">
        <v>37</v>
      </c>
      <c r="T3445" s="43" t="str">
        <f>HYPERLINK("https://ictv.global/ictv/proposals/2021.049B.R.Luchadorvirus.zip","2021.049B.R.Luchadorvirus.zip")</f>
        <v>2021.049B.R.Luchadorvirus.zip</v>
      </c>
      <c r="U3445" s="43" t="str">
        <f>HYPERLINK("https://ictv.global/taxonomy/taxondetails?taxnode_id=202212404","ictv.global=202212404")</f>
        <v>ictv.global=202212404</v>
      </c>
    </row>
    <row r="3446" spans="1:21">
      <c r="A3446">
        <v>3445</v>
      </c>
      <c r="B3446" s="29" t="s">
        <v>3682</v>
      </c>
      <c r="C3446" s="29"/>
      <c r="D3446" s="29" t="s">
        <v>3683</v>
      </c>
      <c r="E3446" s="29"/>
      <c r="F3446" s="29" t="s">
        <v>3686</v>
      </c>
      <c r="G3446" s="29"/>
      <c r="H3446" s="29" t="s">
        <v>3687</v>
      </c>
      <c r="I3446" s="29"/>
      <c r="J3446" s="29"/>
      <c r="K3446" s="29"/>
      <c r="L3446" s="29"/>
      <c r="M3446" s="29"/>
      <c r="N3446" s="29" t="s">
        <v>10693</v>
      </c>
      <c r="O3446" s="29"/>
      <c r="P3446" s="29" t="s">
        <v>10695</v>
      </c>
      <c r="Q3446" t="s">
        <v>2038</v>
      </c>
      <c r="R3446" t="s">
        <v>2632</v>
      </c>
      <c r="S3446">
        <v>37</v>
      </c>
      <c r="T3446" s="43" t="str">
        <f>HYPERLINK("https://ictv.global/ictv/proposals/2021.049B.R.Luchadorvirus.zip","2021.049B.R.Luchadorvirus.zip")</f>
        <v>2021.049B.R.Luchadorvirus.zip</v>
      </c>
      <c r="U3446" s="43" t="str">
        <f>HYPERLINK("https://ictv.global/taxonomy/taxondetails?taxnode_id=202212403","ictv.global=202212403")</f>
        <v>ictv.global=202212403</v>
      </c>
    </row>
    <row r="3447" spans="1:21">
      <c r="A3447">
        <v>3446</v>
      </c>
      <c r="B3447" s="29" t="s">
        <v>3682</v>
      </c>
      <c r="C3447" s="29"/>
      <c r="D3447" s="29" t="s">
        <v>3683</v>
      </c>
      <c r="E3447" s="29"/>
      <c r="F3447" s="29" t="s">
        <v>3686</v>
      </c>
      <c r="G3447" s="29"/>
      <c r="H3447" s="29" t="s">
        <v>3687</v>
      </c>
      <c r="I3447" s="29"/>
      <c r="J3447" s="29"/>
      <c r="K3447" s="29"/>
      <c r="L3447" s="29"/>
      <c r="M3447" s="29"/>
      <c r="N3447" s="29" t="s">
        <v>10693</v>
      </c>
      <c r="O3447" s="29"/>
      <c r="P3447" s="29" t="s">
        <v>10696</v>
      </c>
      <c r="Q3447" t="s">
        <v>2038</v>
      </c>
      <c r="R3447" t="s">
        <v>2632</v>
      </c>
      <c r="S3447">
        <v>37</v>
      </c>
      <c r="T3447" s="43" t="str">
        <f>HYPERLINK("https://ictv.global/ictv/proposals/2021.049B.R.Luchadorvirus.zip","2021.049B.R.Luchadorvirus.zip")</f>
        <v>2021.049B.R.Luchadorvirus.zip</v>
      </c>
      <c r="U3447" s="43" t="str">
        <f>HYPERLINK("https://ictv.global/taxonomy/taxondetails?taxnode_id=202212402","ictv.global=202212402")</f>
        <v>ictv.global=202212402</v>
      </c>
    </row>
    <row r="3448" spans="1:21">
      <c r="A3448">
        <v>3447</v>
      </c>
      <c r="B3448" s="29" t="s">
        <v>3682</v>
      </c>
      <c r="C3448" s="29"/>
      <c r="D3448" s="29" t="s">
        <v>3683</v>
      </c>
      <c r="E3448" s="29"/>
      <c r="F3448" s="29" t="s">
        <v>3686</v>
      </c>
      <c r="G3448" s="29"/>
      <c r="H3448" s="29" t="s">
        <v>3687</v>
      </c>
      <c r="I3448" s="29"/>
      <c r="J3448" s="29"/>
      <c r="K3448" s="29"/>
      <c r="L3448" s="29"/>
      <c r="M3448" s="29"/>
      <c r="N3448" s="29" t="s">
        <v>4012</v>
      </c>
      <c r="O3448" s="29"/>
      <c r="P3448" s="29" t="s">
        <v>10697</v>
      </c>
      <c r="Q3448" t="s">
        <v>2038</v>
      </c>
      <c r="R3448" t="s">
        <v>2633</v>
      </c>
      <c r="S3448">
        <v>37</v>
      </c>
      <c r="T3448" s="43" t="str">
        <f>HYPERLINK("https://ictv.global/ictv/proposals/2021.010B.R.Binomial_names.zip","2021.010B.R.Binomial_names.zip")</f>
        <v>2021.010B.R.Binomial_names.zip</v>
      </c>
      <c r="U3448" s="43" t="str">
        <f>HYPERLINK("https://ictv.global/taxonomy/taxondetails?taxnode_id=202207441","ictv.global=202207441")</f>
        <v>ictv.global=202207441</v>
      </c>
    </row>
    <row r="3449" spans="1:21">
      <c r="A3449">
        <v>3448</v>
      </c>
      <c r="B3449" s="29" t="s">
        <v>3682</v>
      </c>
      <c r="C3449" s="29"/>
      <c r="D3449" s="29" t="s">
        <v>3683</v>
      </c>
      <c r="E3449" s="29"/>
      <c r="F3449" s="29" t="s">
        <v>3686</v>
      </c>
      <c r="G3449" s="29"/>
      <c r="H3449" s="29" t="s">
        <v>3687</v>
      </c>
      <c r="I3449" s="29"/>
      <c r="J3449" s="29"/>
      <c r="K3449" s="29"/>
      <c r="L3449" s="29"/>
      <c r="M3449" s="29"/>
      <c r="N3449" s="29" t="s">
        <v>4013</v>
      </c>
      <c r="O3449" s="29"/>
      <c r="P3449" s="29" t="s">
        <v>10698</v>
      </c>
      <c r="Q3449" t="s">
        <v>2038</v>
      </c>
      <c r="R3449" t="s">
        <v>2633</v>
      </c>
      <c r="S3449">
        <v>37</v>
      </c>
      <c r="T3449" s="43" t="str">
        <f>HYPERLINK("https://ictv.global/ictv/proposals/2021.010B.R.Binomial_names.zip","2021.010B.R.Binomial_names.zip")</f>
        <v>2021.010B.R.Binomial_names.zip</v>
      </c>
      <c r="U3449" s="43" t="str">
        <f>HYPERLINK("https://ictv.global/taxonomy/taxondetails?taxnode_id=202207448","ictv.global=202207448")</f>
        <v>ictv.global=202207448</v>
      </c>
    </row>
    <row r="3450" spans="1:21">
      <c r="A3450">
        <v>3449</v>
      </c>
      <c r="B3450" s="29" t="s">
        <v>3682</v>
      </c>
      <c r="C3450" s="29"/>
      <c r="D3450" s="29" t="s">
        <v>3683</v>
      </c>
      <c r="E3450" s="29"/>
      <c r="F3450" s="29" t="s">
        <v>3686</v>
      </c>
      <c r="G3450" s="29"/>
      <c r="H3450" s="29" t="s">
        <v>3687</v>
      </c>
      <c r="I3450" s="29"/>
      <c r="J3450" s="29"/>
      <c r="K3450" s="29"/>
      <c r="L3450" s="29"/>
      <c r="M3450" s="29"/>
      <c r="N3450" s="29" t="s">
        <v>10699</v>
      </c>
      <c r="O3450" s="29"/>
      <c r="P3450" s="29" t="s">
        <v>10700</v>
      </c>
      <c r="Q3450" t="s">
        <v>2038</v>
      </c>
      <c r="R3450" t="s">
        <v>2632</v>
      </c>
      <c r="S3450">
        <v>38</v>
      </c>
      <c r="T3450" s="43" t="str">
        <f>HYPERLINK("https://ictv.global/ictv/proposals/2022.044B.Ludhianavirus_ng.zip","2022.044B.Ludhianavirus_ng.zip")</f>
        <v>2022.044B.Ludhianavirus_ng.zip</v>
      </c>
      <c r="U3450" s="43" t="str">
        <f>HYPERLINK("https://ictv.global/taxonomy/taxondetails?taxnode_id=202214660","ictv.global=202214660")</f>
        <v>ictv.global=202214660</v>
      </c>
    </row>
    <row r="3451" spans="1:21">
      <c r="A3451">
        <v>3450</v>
      </c>
      <c r="B3451" s="29" t="s">
        <v>3682</v>
      </c>
      <c r="C3451" s="29"/>
      <c r="D3451" s="29" t="s">
        <v>3683</v>
      </c>
      <c r="E3451" s="29"/>
      <c r="F3451" s="29" t="s">
        <v>3686</v>
      </c>
      <c r="G3451" s="29"/>
      <c r="H3451" s="29" t="s">
        <v>3687</v>
      </c>
      <c r="I3451" s="29"/>
      <c r="J3451" s="29"/>
      <c r="K3451" s="29"/>
      <c r="L3451" s="29"/>
      <c r="M3451" s="29"/>
      <c r="N3451" s="29" t="s">
        <v>10699</v>
      </c>
      <c r="O3451" s="29"/>
      <c r="P3451" s="29" t="s">
        <v>10701</v>
      </c>
      <c r="Q3451" t="s">
        <v>2038</v>
      </c>
      <c r="R3451" t="s">
        <v>2632</v>
      </c>
      <c r="S3451">
        <v>38</v>
      </c>
      <c r="T3451" s="43" t="str">
        <f>HYPERLINK("https://ictv.global/ictv/proposals/2022.044B.Ludhianavirus_ng.zip","2022.044B.Ludhianavirus_ng.zip")</f>
        <v>2022.044B.Ludhianavirus_ng.zip</v>
      </c>
      <c r="U3451" s="43" t="str">
        <f>HYPERLINK("https://ictv.global/taxonomy/taxondetails?taxnode_id=202214661","ictv.global=202214661")</f>
        <v>ictv.global=202214661</v>
      </c>
    </row>
    <row r="3452" spans="1:21">
      <c r="A3452">
        <v>3451</v>
      </c>
      <c r="B3452" s="29" t="s">
        <v>3682</v>
      </c>
      <c r="C3452" s="29"/>
      <c r="D3452" s="29" t="s">
        <v>3683</v>
      </c>
      <c r="E3452" s="29"/>
      <c r="F3452" s="29" t="s">
        <v>3686</v>
      </c>
      <c r="G3452" s="29"/>
      <c r="H3452" s="29" t="s">
        <v>3687</v>
      </c>
      <c r="I3452" s="29"/>
      <c r="J3452" s="29"/>
      <c r="K3452" s="29"/>
      <c r="L3452" s="29"/>
      <c r="M3452" s="29"/>
      <c r="N3452" s="29" t="s">
        <v>10699</v>
      </c>
      <c r="O3452" s="29"/>
      <c r="P3452" s="29" t="s">
        <v>10702</v>
      </c>
      <c r="Q3452" t="s">
        <v>2038</v>
      </c>
      <c r="R3452" t="s">
        <v>2632</v>
      </c>
      <c r="S3452">
        <v>38</v>
      </c>
      <c r="T3452" s="43" t="str">
        <f>HYPERLINK("https://ictv.global/ictv/proposals/2022.044B.Ludhianavirus_ng.zip","2022.044B.Ludhianavirus_ng.zip")</f>
        <v>2022.044B.Ludhianavirus_ng.zip</v>
      </c>
      <c r="U3452" s="43" t="str">
        <f>HYPERLINK("https://ictv.global/taxonomy/taxondetails?taxnode_id=202214659","ictv.global=202214659")</f>
        <v>ictv.global=202214659</v>
      </c>
    </row>
    <row r="3453" spans="1:21">
      <c r="A3453">
        <v>3452</v>
      </c>
      <c r="B3453" s="29" t="s">
        <v>3682</v>
      </c>
      <c r="C3453" s="29"/>
      <c r="D3453" s="29" t="s">
        <v>3683</v>
      </c>
      <c r="E3453" s="29"/>
      <c r="F3453" s="29" t="s">
        <v>3686</v>
      </c>
      <c r="G3453" s="29"/>
      <c r="H3453" s="29" t="s">
        <v>3687</v>
      </c>
      <c r="I3453" s="29"/>
      <c r="J3453" s="29"/>
      <c r="K3453" s="29"/>
      <c r="L3453" s="29"/>
      <c r="M3453" s="29"/>
      <c r="N3453" s="29" t="s">
        <v>4014</v>
      </c>
      <c r="O3453" s="29"/>
      <c r="P3453" s="29" t="s">
        <v>10703</v>
      </c>
      <c r="Q3453" t="s">
        <v>2038</v>
      </c>
      <c r="R3453" t="s">
        <v>2633</v>
      </c>
      <c r="S3453">
        <v>37</v>
      </c>
      <c r="T3453" s="43" t="str">
        <f>HYPERLINK("https://ictv.global/ictv/proposals/2021.010B.R.Binomial_names.zip","2021.010B.R.Binomial_names.zip")</f>
        <v>2021.010B.R.Binomial_names.zip</v>
      </c>
      <c r="U3453" s="43" t="str">
        <f>HYPERLINK("https://ictv.global/taxonomy/taxondetails?taxnode_id=202208054","ictv.global=202208054")</f>
        <v>ictv.global=202208054</v>
      </c>
    </row>
    <row r="3454" spans="1:21">
      <c r="A3454">
        <v>3453</v>
      </c>
      <c r="B3454" s="29" t="s">
        <v>3682</v>
      </c>
      <c r="C3454" s="29"/>
      <c r="D3454" s="29" t="s">
        <v>3683</v>
      </c>
      <c r="E3454" s="29"/>
      <c r="F3454" s="29" t="s">
        <v>3686</v>
      </c>
      <c r="G3454" s="29"/>
      <c r="H3454" s="29" t="s">
        <v>3687</v>
      </c>
      <c r="I3454" s="29"/>
      <c r="J3454" s="29"/>
      <c r="K3454" s="29"/>
      <c r="L3454" s="29"/>
      <c r="M3454" s="29"/>
      <c r="N3454" s="29" t="s">
        <v>3565</v>
      </c>
      <c r="O3454" s="29"/>
      <c r="P3454" s="29" t="s">
        <v>10704</v>
      </c>
      <c r="Q3454" t="s">
        <v>2038</v>
      </c>
      <c r="R3454" t="s">
        <v>2633</v>
      </c>
      <c r="S3454">
        <v>37</v>
      </c>
      <c r="T3454" s="43" t="str">
        <f>HYPERLINK("https://ictv.global/ictv/proposals/2021.010B.R.Binomial_names.zip","2021.010B.R.Binomial_names.zip")</f>
        <v>2021.010B.R.Binomial_names.zip</v>
      </c>
      <c r="U3454" s="43" t="str">
        <f>HYPERLINK("https://ictv.global/taxonomy/taxondetails?taxnode_id=202201353","ictv.global=202201353")</f>
        <v>ictv.global=202201353</v>
      </c>
    </row>
    <row r="3455" spans="1:21">
      <c r="A3455">
        <v>3454</v>
      </c>
      <c r="B3455" s="29" t="s">
        <v>3682</v>
      </c>
      <c r="C3455" s="29"/>
      <c r="D3455" s="29" t="s">
        <v>3683</v>
      </c>
      <c r="E3455" s="29"/>
      <c r="F3455" s="29" t="s">
        <v>3686</v>
      </c>
      <c r="G3455" s="29"/>
      <c r="H3455" s="29" t="s">
        <v>3687</v>
      </c>
      <c r="I3455" s="29"/>
      <c r="J3455" s="29"/>
      <c r="K3455" s="29"/>
      <c r="L3455" s="29"/>
      <c r="M3455" s="29"/>
      <c r="N3455" s="29" t="s">
        <v>3565</v>
      </c>
      <c r="O3455" s="29"/>
      <c r="P3455" s="29" t="s">
        <v>10705</v>
      </c>
      <c r="Q3455" t="s">
        <v>2038</v>
      </c>
      <c r="R3455" t="s">
        <v>2633</v>
      </c>
      <c r="S3455">
        <v>37</v>
      </c>
      <c r="T3455" s="43" t="str">
        <f>HYPERLINK("https://ictv.global/ictv/proposals/2021.010B.R.Binomial_names.zip","2021.010B.R.Binomial_names.zip")</f>
        <v>2021.010B.R.Binomial_names.zip</v>
      </c>
      <c r="U3455" s="43" t="str">
        <f>HYPERLINK("https://ictv.global/taxonomy/taxondetails?taxnode_id=202201354","ictv.global=202201354")</f>
        <v>ictv.global=202201354</v>
      </c>
    </row>
    <row r="3456" spans="1:21">
      <c r="A3456">
        <v>3455</v>
      </c>
      <c r="B3456" s="29" t="s">
        <v>3682</v>
      </c>
      <c r="C3456" s="29"/>
      <c r="D3456" s="29" t="s">
        <v>3683</v>
      </c>
      <c r="E3456" s="29"/>
      <c r="F3456" s="29" t="s">
        <v>3686</v>
      </c>
      <c r="G3456" s="29"/>
      <c r="H3456" s="29" t="s">
        <v>3687</v>
      </c>
      <c r="I3456" s="29"/>
      <c r="J3456" s="29"/>
      <c r="K3456" s="29"/>
      <c r="L3456" s="29"/>
      <c r="M3456" s="29"/>
      <c r="N3456" s="29" t="s">
        <v>10706</v>
      </c>
      <c r="O3456" s="29"/>
      <c r="P3456" s="29" t="s">
        <v>10707</v>
      </c>
      <c r="Q3456" t="s">
        <v>2038</v>
      </c>
      <c r="R3456" t="s">
        <v>2632</v>
      </c>
      <c r="S3456">
        <v>38</v>
      </c>
      <c r="T3456" s="43" t="str">
        <f>HYPERLINK("https://ictv.global/ictv/proposals/2022.045B.Maaswegvirus_ng.zip","2022.045B.Maaswegvirus_ng.zip")</f>
        <v>2022.045B.Maaswegvirus_ng.zip</v>
      </c>
      <c r="U3456" s="43" t="str">
        <f>HYPERLINK("https://ictv.global/taxonomy/taxondetails?taxnode_id=202214663","ictv.global=202214663")</f>
        <v>ictv.global=202214663</v>
      </c>
    </row>
    <row r="3457" spans="1:21">
      <c r="A3457">
        <v>3456</v>
      </c>
      <c r="B3457" s="29" t="s">
        <v>3682</v>
      </c>
      <c r="C3457" s="29"/>
      <c r="D3457" s="29" t="s">
        <v>3683</v>
      </c>
      <c r="E3457" s="29"/>
      <c r="F3457" s="29" t="s">
        <v>3686</v>
      </c>
      <c r="G3457" s="29"/>
      <c r="H3457" s="29" t="s">
        <v>3687</v>
      </c>
      <c r="I3457" s="29"/>
      <c r="J3457" s="29"/>
      <c r="K3457" s="29"/>
      <c r="L3457" s="29"/>
      <c r="M3457" s="29"/>
      <c r="N3457" s="29" t="s">
        <v>10708</v>
      </c>
      <c r="O3457" s="29"/>
      <c r="P3457" s="29" t="s">
        <v>10709</v>
      </c>
      <c r="Q3457" t="s">
        <v>2038</v>
      </c>
      <c r="R3457" t="s">
        <v>2632</v>
      </c>
      <c r="S3457">
        <v>37</v>
      </c>
      <c r="T3457" s="43" t="str">
        <f>HYPERLINK("https://ictv.global/ictv/proposals/2021.078B.R.Siphoviridae_new_genera.zip","2021.078B.R.Siphoviridae_new_genera.zip")</f>
        <v>2021.078B.R.Siphoviridae_new_genera.zip</v>
      </c>
      <c r="U3457" s="43" t="str">
        <f>HYPERLINK("https://ictv.global/taxonomy/taxondetails?taxnode_id=202213620","ictv.global=202213620")</f>
        <v>ictv.global=202213620</v>
      </c>
    </row>
    <row r="3458" spans="1:21">
      <c r="A3458">
        <v>3457</v>
      </c>
      <c r="B3458" s="29" t="s">
        <v>3682</v>
      </c>
      <c r="C3458" s="29"/>
      <c r="D3458" s="29" t="s">
        <v>3683</v>
      </c>
      <c r="E3458" s="29"/>
      <c r="F3458" s="29" t="s">
        <v>3686</v>
      </c>
      <c r="G3458" s="29"/>
      <c r="H3458" s="29" t="s">
        <v>3687</v>
      </c>
      <c r="I3458" s="29"/>
      <c r="J3458" s="29"/>
      <c r="K3458" s="29"/>
      <c r="L3458" s="29"/>
      <c r="M3458" s="29"/>
      <c r="N3458" s="29" t="s">
        <v>10708</v>
      </c>
      <c r="O3458" s="29"/>
      <c r="P3458" s="29" t="s">
        <v>10710</v>
      </c>
      <c r="Q3458" t="s">
        <v>2038</v>
      </c>
      <c r="R3458" t="s">
        <v>2632</v>
      </c>
      <c r="S3458">
        <v>37</v>
      </c>
      <c r="T3458" s="43" t="str">
        <f>HYPERLINK("https://ictv.global/ictv/proposals/2021.078B.R.Siphoviridae_new_genera.zip","2021.078B.R.Siphoviridae_new_genera.zip")</f>
        <v>2021.078B.R.Siphoviridae_new_genera.zip</v>
      </c>
      <c r="U3458" s="43" t="str">
        <f>HYPERLINK("https://ictv.global/taxonomy/taxondetails?taxnode_id=202213621","ictv.global=202213621")</f>
        <v>ictv.global=202213621</v>
      </c>
    </row>
    <row r="3459" spans="1:21">
      <c r="A3459">
        <v>3458</v>
      </c>
      <c r="B3459" s="29" t="s">
        <v>3682</v>
      </c>
      <c r="C3459" s="29"/>
      <c r="D3459" s="29" t="s">
        <v>3683</v>
      </c>
      <c r="E3459" s="29"/>
      <c r="F3459" s="29" t="s">
        <v>3686</v>
      </c>
      <c r="G3459" s="29"/>
      <c r="H3459" s="29" t="s">
        <v>3687</v>
      </c>
      <c r="I3459" s="29"/>
      <c r="J3459" s="29"/>
      <c r="K3459" s="29"/>
      <c r="L3459" s="29"/>
      <c r="M3459" s="29"/>
      <c r="N3459" s="29" t="s">
        <v>2640</v>
      </c>
      <c r="O3459" s="29"/>
      <c r="P3459" s="29" t="s">
        <v>10711</v>
      </c>
      <c r="Q3459" t="s">
        <v>2038</v>
      </c>
      <c r="R3459" t="s">
        <v>2633</v>
      </c>
      <c r="S3459">
        <v>37</v>
      </c>
      <c r="T3459" s="43" t="str">
        <f>HYPERLINK("https://ictv.global/ictv/proposals/2021.010B.R.Binomial_names.zip","2021.010B.R.Binomial_names.zip")</f>
        <v>2021.010B.R.Binomial_names.zip</v>
      </c>
      <c r="U3459" s="43" t="str">
        <f>HYPERLINK("https://ictv.global/taxonomy/taxondetails?taxnode_id=202205483","ictv.global=202205483")</f>
        <v>ictv.global=202205483</v>
      </c>
    </row>
    <row r="3460" spans="1:21">
      <c r="A3460">
        <v>3459</v>
      </c>
      <c r="B3460" s="29" t="s">
        <v>3682</v>
      </c>
      <c r="C3460" s="29"/>
      <c r="D3460" s="29" t="s">
        <v>3683</v>
      </c>
      <c r="E3460" s="29"/>
      <c r="F3460" s="29" t="s">
        <v>3686</v>
      </c>
      <c r="G3460" s="29"/>
      <c r="H3460" s="29" t="s">
        <v>3687</v>
      </c>
      <c r="I3460" s="29"/>
      <c r="J3460" s="29"/>
      <c r="K3460" s="29"/>
      <c r="L3460" s="29"/>
      <c r="M3460" s="29"/>
      <c r="N3460" s="29" t="s">
        <v>3566</v>
      </c>
      <c r="O3460" s="29"/>
      <c r="P3460" s="29" t="s">
        <v>10712</v>
      </c>
      <c r="Q3460" t="s">
        <v>2038</v>
      </c>
      <c r="R3460" t="s">
        <v>2633</v>
      </c>
      <c r="S3460">
        <v>37</v>
      </c>
      <c r="T3460" s="43" t="str">
        <f>HYPERLINK("https://ictv.global/ictv/proposals/2021.010B.R.Binomial_names.zip","2021.010B.R.Binomial_names.zip")</f>
        <v>2021.010B.R.Binomial_names.zip</v>
      </c>
      <c r="U3460" s="43" t="str">
        <f>HYPERLINK("https://ictv.global/taxonomy/taxondetails?taxnode_id=202206987","ictv.global=202206987")</f>
        <v>ictv.global=202206987</v>
      </c>
    </row>
    <row r="3461" spans="1:21">
      <c r="A3461">
        <v>3460</v>
      </c>
      <c r="B3461" s="29" t="s">
        <v>3682</v>
      </c>
      <c r="C3461" s="29"/>
      <c r="D3461" s="29" t="s">
        <v>3683</v>
      </c>
      <c r="E3461" s="29"/>
      <c r="F3461" s="29" t="s">
        <v>3686</v>
      </c>
      <c r="G3461" s="29"/>
      <c r="H3461" s="29" t="s">
        <v>3687</v>
      </c>
      <c r="I3461" s="29"/>
      <c r="J3461" s="29"/>
      <c r="K3461" s="29"/>
      <c r="L3461" s="29"/>
      <c r="M3461" s="29"/>
      <c r="N3461" s="29" t="s">
        <v>10713</v>
      </c>
      <c r="O3461" s="29"/>
      <c r="P3461" s="29" t="s">
        <v>10714</v>
      </c>
      <c r="Q3461" t="s">
        <v>2038</v>
      </c>
      <c r="R3461" t="s">
        <v>2632</v>
      </c>
      <c r="S3461">
        <v>38</v>
      </c>
      <c r="T3461" s="43" t="str">
        <f>HYPERLINK("https://ictv.global/ictv/proposals/2022.046B.Caudoviricetes_2ng.zip","2022.046B.Caudoviricetes_2ng.zip")</f>
        <v>2022.046B.Caudoviricetes_2ng.zip</v>
      </c>
      <c r="U3461" s="43" t="str">
        <f>HYPERLINK("https://ictv.global/taxonomy/taxondetails?taxnode_id=202214666","ictv.global=202214666")</f>
        <v>ictv.global=202214666</v>
      </c>
    </row>
    <row r="3462" spans="1:21">
      <c r="A3462">
        <v>3461</v>
      </c>
      <c r="B3462" s="29" t="s">
        <v>3682</v>
      </c>
      <c r="C3462" s="29"/>
      <c r="D3462" s="29" t="s">
        <v>3683</v>
      </c>
      <c r="E3462" s="29"/>
      <c r="F3462" s="29" t="s">
        <v>3686</v>
      </c>
      <c r="G3462" s="29"/>
      <c r="H3462" s="29" t="s">
        <v>3687</v>
      </c>
      <c r="I3462" s="29"/>
      <c r="J3462" s="29"/>
      <c r="K3462" s="29"/>
      <c r="L3462" s="29"/>
      <c r="M3462" s="29"/>
      <c r="N3462" s="29" t="s">
        <v>4015</v>
      </c>
      <c r="O3462" s="29"/>
      <c r="P3462" s="29" t="s">
        <v>10715</v>
      </c>
      <c r="Q3462" t="s">
        <v>2038</v>
      </c>
      <c r="R3462" t="s">
        <v>2633</v>
      </c>
      <c r="S3462">
        <v>37</v>
      </c>
      <c r="T3462" s="43" t="str">
        <f>HYPERLINK("https://ictv.global/ictv/proposals/2021.010B.R.Binomial_names.zip","2021.010B.R.Binomial_names.zip")</f>
        <v>2021.010B.R.Binomial_names.zip</v>
      </c>
      <c r="U3462" s="43" t="str">
        <f>HYPERLINK("https://ictv.global/taxonomy/taxondetails?taxnode_id=202207892","ictv.global=202207892")</f>
        <v>ictv.global=202207892</v>
      </c>
    </row>
    <row r="3463" spans="1:21">
      <c r="A3463">
        <v>3462</v>
      </c>
      <c r="B3463" s="29" t="s">
        <v>3682</v>
      </c>
      <c r="C3463" s="29"/>
      <c r="D3463" s="29" t="s">
        <v>3683</v>
      </c>
      <c r="E3463" s="29"/>
      <c r="F3463" s="29" t="s">
        <v>3686</v>
      </c>
      <c r="G3463" s="29"/>
      <c r="H3463" s="29" t="s">
        <v>3687</v>
      </c>
      <c r="I3463" s="29"/>
      <c r="J3463" s="29"/>
      <c r="K3463" s="29"/>
      <c r="L3463" s="29"/>
      <c r="M3463" s="29"/>
      <c r="N3463" s="29" t="s">
        <v>10716</v>
      </c>
      <c r="O3463" s="29"/>
      <c r="P3463" s="29" t="s">
        <v>10717</v>
      </c>
      <c r="Q3463" t="s">
        <v>2038</v>
      </c>
      <c r="R3463" t="s">
        <v>2632</v>
      </c>
      <c r="S3463">
        <v>37</v>
      </c>
      <c r="T3463" s="43" t="str">
        <f>HYPERLINK("https://ictv.global/ictv/proposals/2021.050B.R.Manovirus.zip","2021.050B.R.Manovirus.zip")</f>
        <v>2021.050B.R.Manovirus.zip</v>
      </c>
      <c r="U3463" s="43" t="str">
        <f>HYPERLINK("https://ictv.global/taxonomy/taxondetails?taxnode_id=202212406","ictv.global=202212406")</f>
        <v>ictv.global=202212406</v>
      </c>
    </row>
    <row r="3464" spans="1:21">
      <c r="A3464">
        <v>3463</v>
      </c>
      <c r="B3464" s="29" t="s">
        <v>3682</v>
      </c>
      <c r="C3464" s="29"/>
      <c r="D3464" s="29" t="s">
        <v>3683</v>
      </c>
      <c r="E3464" s="29"/>
      <c r="F3464" s="29" t="s">
        <v>3686</v>
      </c>
      <c r="G3464" s="29"/>
      <c r="H3464" s="29" t="s">
        <v>3687</v>
      </c>
      <c r="I3464" s="29"/>
      <c r="J3464" s="29"/>
      <c r="K3464" s="29"/>
      <c r="L3464" s="29"/>
      <c r="M3464" s="29"/>
      <c r="N3464" s="29" t="s">
        <v>3567</v>
      </c>
      <c r="O3464" s="29"/>
      <c r="P3464" s="29" t="s">
        <v>10718</v>
      </c>
      <c r="Q3464" t="s">
        <v>2038</v>
      </c>
      <c r="R3464" t="s">
        <v>2633</v>
      </c>
      <c r="S3464">
        <v>37</v>
      </c>
      <c r="T3464" s="43" t="str">
        <f>HYPERLINK("https://ictv.global/ictv/proposals/2021.010B.R.Binomial_names.zip","2021.010B.R.Binomial_names.zip")</f>
        <v>2021.010B.R.Binomial_names.zip</v>
      </c>
      <c r="U3464" s="43" t="str">
        <f>HYPERLINK("https://ictv.global/taxonomy/taxondetails?taxnode_id=202200969","ictv.global=202200969")</f>
        <v>ictv.global=202200969</v>
      </c>
    </row>
    <row r="3465" spans="1:21">
      <c r="A3465">
        <v>3464</v>
      </c>
      <c r="B3465" s="29" t="s">
        <v>3682</v>
      </c>
      <c r="C3465" s="29"/>
      <c r="D3465" s="29" t="s">
        <v>3683</v>
      </c>
      <c r="E3465" s="29"/>
      <c r="F3465" s="29" t="s">
        <v>3686</v>
      </c>
      <c r="G3465" s="29"/>
      <c r="H3465" s="29" t="s">
        <v>3687</v>
      </c>
      <c r="I3465" s="29"/>
      <c r="J3465" s="29"/>
      <c r="K3465" s="29"/>
      <c r="L3465" s="29"/>
      <c r="M3465" s="29"/>
      <c r="N3465" s="29" t="s">
        <v>3567</v>
      </c>
      <c r="O3465" s="29"/>
      <c r="P3465" s="29" t="s">
        <v>10719</v>
      </c>
      <c r="Q3465" t="s">
        <v>2038</v>
      </c>
      <c r="R3465" t="s">
        <v>2633</v>
      </c>
      <c r="S3465">
        <v>37</v>
      </c>
      <c r="T3465" s="43" t="str">
        <f>HYPERLINK("https://ictv.global/ictv/proposals/2021.010B.R.Binomial_names.zip","2021.010B.R.Binomial_names.zip")</f>
        <v>2021.010B.R.Binomial_names.zip</v>
      </c>
      <c r="U3465" s="43" t="str">
        <f>HYPERLINK("https://ictv.global/taxonomy/taxondetails?taxnode_id=202200970","ictv.global=202200970")</f>
        <v>ictv.global=202200970</v>
      </c>
    </row>
    <row r="3466" spans="1:21">
      <c r="A3466">
        <v>3465</v>
      </c>
      <c r="B3466" s="29" t="s">
        <v>3682</v>
      </c>
      <c r="C3466" s="29"/>
      <c r="D3466" s="29" t="s">
        <v>3683</v>
      </c>
      <c r="E3466" s="29"/>
      <c r="F3466" s="29" t="s">
        <v>3686</v>
      </c>
      <c r="G3466" s="29"/>
      <c r="H3466" s="29" t="s">
        <v>3687</v>
      </c>
      <c r="I3466" s="29"/>
      <c r="J3466" s="29"/>
      <c r="K3466" s="29"/>
      <c r="L3466" s="29"/>
      <c r="M3466" s="29"/>
      <c r="N3466" s="29" t="s">
        <v>3568</v>
      </c>
      <c r="O3466" s="29"/>
      <c r="P3466" s="29" t="s">
        <v>10720</v>
      </c>
      <c r="Q3466" t="s">
        <v>2038</v>
      </c>
      <c r="R3466" t="s">
        <v>2633</v>
      </c>
      <c r="S3466">
        <v>37</v>
      </c>
      <c r="T3466" s="43" t="str">
        <f>HYPERLINK("https://ictv.global/ictv/proposals/2021.010B.R.Binomial_names.zip","2021.010B.R.Binomial_names.zip")</f>
        <v>2021.010B.R.Binomial_names.zip</v>
      </c>
      <c r="U3466" s="43" t="str">
        <f>HYPERLINK("https://ictv.global/taxonomy/taxondetails?taxnode_id=202201318","ictv.global=202201318")</f>
        <v>ictv.global=202201318</v>
      </c>
    </row>
    <row r="3467" spans="1:21">
      <c r="A3467">
        <v>3466</v>
      </c>
      <c r="B3467" s="29" t="s">
        <v>3682</v>
      </c>
      <c r="C3467" s="29"/>
      <c r="D3467" s="29" t="s">
        <v>3683</v>
      </c>
      <c r="E3467" s="29"/>
      <c r="F3467" s="29" t="s">
        <v>3686</v>
      </c>
      <c r="G3467" s="29"/>
      <c r="H3467" s="29" t="s">
        <v>3687</v>
      </c>
      <c r="I3467" s="29"/>
      <c r="J3467" s="29"/>
      <c r="K3467" s="29"/>
      <c r="L3467" s="29"/>
      <c r="M3467" s="29"/>
      <c r="N3467" s="29" t="s">
        <v>3568</v>
      </c>
      <c r="O3467" s="29"/>
      <c r="P3467" s="29" t="s">
        <v>10721</v>
      </c>
      <c r="Q3467" t="s">
        <v>2038</v>
      </c>
      <c r="R3467" t="s">
        <v>2633</v>
      </c>
      <c r="S3467">
        <v>37</v>
      </c>
      <c r="T3467" s="43" t="str">
        <f>HYPERLINK("https://ictv.global/ictv/proposals/2021.010B.R.Binomial_names.zip","2021.010B.R.Binomial_names.zip")</f>
        <v>2021.010B.R.Binomial_names.zip</v>
      </c>
      <c r="U3467" s="43" t="str">
        <f>HYPERLINK("https://ictv.global/taxonomy/taxondetails?taxnode_id=202201319","ictv.global=202201319")</f>
        <v>ictv.global=202201319</v>
      </c>
    </row>
    <row r="3468" spans="1:21">
      <c r="A3468">
        <v>3467</v>
      </c>
      <c r="B3468" s="29" t="s">
        <v>3682</v>
      </c>
      <c r="C3468" s="29"/>
      <c r="D3468" s="29" t="s">
        <v>3683</v>
      </c>
      <c r="E3468" s="29"/>
      <c r="F3468" s="29" t="s">
        <v>3686</v>
      </c>
      <c r="G3468" s="29"/>
      <c r="H3468" s="29" t="s">
        <v>3687</v>
      </c>
      <c r="I3468" s="29"/>
      <c r="J3468" s="29"/>
      <c r="K3468" s="29"/>
      <c r="L3468" s="29"/>
      <c r="M3468" s="29"/>
      <c r="N3468" s="29" t="s">
        <v>10722</v>
      </c>
      <c r="O3468" s="29"/>
      <c r="P3468" s="29" t="s">
        <v>10723</v>
      </c>
      <c r="Q3468" t="s">
        <v>2038</v>
      </c>
      <c r="R3468" t="s">
        <v>2632</v>
      </c>
      <c r="S3468">
        <v>38</v>
      </c>
      <c r="T3468" s="43" t="str">
        <f>HYPERLINK("https://ictv.global/ictv/proposals/2022.047B.Mareflavirus_ng.zip","2022.047B.Mareflavirus_ng.zip")</f>
        <v>2022.047B.Mareflavirus_ng.zip</v>
      </c>
      <c r="U3468" s="43" t="str">
        <f>HYPERLINK("https://ictv.global/taxonomy/taxondetails?taxnode_id=202214669","ictv.global=202214669")</f>
        <v>ictv.global=202214669</v>
      </c>
    </row>
    <row r="3469" spans="1:21">
      <c r="A3469">
        <v>3468</v>
      </c>
      <c r="B3469" s="29" t="s">
        <v>3682</v>
      </c>
      <c r="C3469" s="29"/>
      <c r="D3469" s="29" t="s">
        <v>3683</v>
      </c>
      <c r="E3469" s="29"/>
      <c r="F3469" s="29" t="s">
        <v>3686</v>
      </c>
      <c r="G3469" s="29"/>
      <c r="H3469" s="29" t="s">
        <v>3687</v>
      </c>
      <c r="I3469" s="29"/>
      <c r="J3469" s="29"/>
      <c r="K3469" s="29"/>
      <c r="L3469" s="29"/>
      <c r="M3469" s="29"/>
      <c r="N3469" s="29" t="s">
        <v>4566</v>
      </c>
      <c r="O3469" s="29"/>
      <c r="P3469" s="29" t="s">
        <v>10724</v>
      </c>
      <c r="Q3469" t="s">
        <v>2038</v>
      </c>
      <c r="R3469" t="s">
        <v>2633</v>
      </c>
      <c r="S3469">
        <v>37</v>
      </c>
      <c r="T3469" s="43" t="str">
        <f t="shared" ref="T3469:T3483" si="160">HYPERLINK("https://ictv.global/ictv/proposals/2021.010B.R.Binomial_names.zip","2021.010B.R.Binomial_names.zip")</f>
        <v>2021.010B.R.Binomial_names.zip</v>
      </c>
      <c r="U3469" s="43" t="str">
        <f>HYPERLINK("https://ictv.global/taxonomy/taxondetails?taxnode_id=202211531","ictv.global=202211531")</f>
        <v>ictv.global=202211531</v>
      </c>
    </row>
    <row r="3470" spans="1:21">
      <c r="A3470">
        <v>3469</v>
      </c>
      <c r="B3470" s="29" t="s">
        <v>3682</v>
      </c>
      <c r="C3470" s="29"/>
      <c r="D3470" s="29" t="s">
        <v>3683</v>
      </c>
      <c r="E3470" s="29"/>
      <c r="F3470" s="29" t="s">
        <v>3686</v>
      </c>
      <c r="G3470" s="29"/>
      <c r="H3470" s="29" t="s">
        <v>3687</v>
      </c>
      <c r="I3470" s="29"/>
      <c r="J3470" s="29"/>
      <c r="K3470" s="29"/>
      <c r="L3470" s="29"/>
      <c r="M3470" s="29"/>
      <c r="N3470" s="29" t="s">
        <v>4566</v>
      </c>
      <c r="O3470" s="29"/>
      <c r="P3470" s="29" t="s">
        <v>10725</v>
      </c>
      <c r="Q3470" t="s">
        <v>2038</v>
      </c>
      <c r="R3470" t="s">
        <v>2633</v>
      </c>
      <c r="S3470">
        <v>37</v>
      </c>
      <c r="T3470" s="43" t="str">
        <f t="shared" si="160"/>
        <v>2021.010B.R.Binomial_names.zip</v>
      </c>
      <c r="U3470" s="43" t="str">
        <f>HYPERLINK("https://ictv.global/taxonomy/taxondetails?taxnode_id=202211530","ictv.global=202211530")</f>
        <v>ictv.global=202211530</v>
      </c>
    </row>
    <row r="3471" spans="1:21">
      <c r="A3471">
        <v>3470</v>
      </c>
      <c r="B3471" s="29" t="s">
        <v>3682</v>
      </c>
      <c r="C3471" s="29"/>
      <c r="D3471" s="29" t="s">
        <v>3683</v>
      </c>
      <c r="E3471" s="29"/>
      <c r="F3471" s="29" t="s">
        <v>3686</v>
      </c>
      <c r="G3471" s="29"/>
      <c r="H3471" s="29" t="s">
        <v>3687</v>
      </c>
      <c r="I3471" s="29"/>
      <c r="J3471" s="29"/>
      <c r="K3471" s="29"/>
      <c r="L3471" s="29"/>
      <c r="M3471" s="29"/>
      <c r="N3471" s="29" t="s">
        <v>4756</v>
      </c>
      <c r="O3471" s="29"/>
      <c r="P3471" s="29" t="s">
        <v>10726</v>
      </c>
      <c r="Q3471" t="s">
        <v>2038</v>
      </c>
      <c r="R3471" t="s">
        <v>2633</v>
      </c>
      <c r="S3471">
        <v>37</v>
      </c>
      <c r="T3471" s="43" t="str">
        <f t="shared" si="160"/>
        <v>2021.010B.R.Binomial_names.zip</v>
      </c>
      <c r="U3471" s="43" t="str">
        <f>HYPERLINK("https://ictv.global/taxonomy/taxondetails?taxnode_id=202209335","ictv.global=202209335")</f>
        <v>ictv.global=202209335</v>
      </c>
    </row>
    <row r="3472" spans="1:21">
      <c r="A3472">
        <v>3471</v>
      </c>
      <c r="B3472" s="29" t="s">
        <v>3682</v>
      </c>
      <c r="C3472" s="29"/>
      <c r="D3472" s="29" t="s">
        <v>3683</v>
      </c>
      <c r="E3472" s="29"/>
      <c r="F3472" s="29" t="s">
        <v>3686</v>
      </c>
      <c r="G3472" s="29"/>
      <c r="H3472" s="29" t="s">
        <v>3687</v>
      </c>
      <c r="I3472" s="29"/>
      <c r="J3472" s="29"/>
      <c r="K3472" s="29"/>
      <c r="L3472" s="29"/>
      <c r="M3472" s="29"/>
      <c r="N3472" s="29" t="s">
        <v>4756</v>
      </c>
      <c r="O3472" s="29"/>
      <c r="P3472" s="29" t="s">
        <v>10727</v>
      </c>
      <c r="Q3472" t="s">
        <v>2038</v>
      </c>
      <c r="R3472" t="s">
        <v>2633</v>
      </c>
      <c r="S3472">
        <v>37</v>
      </c>
      <c r="T3472" s="43" t="str">
        <f t="shared" si="160"/>
        <v>2021.010B.R.Binomial_names.zip</v>
      </c>
      <c r="U3472" s="43" t="str">
        <f>HYPERLINK("https://ictv.global/taxonomy/taxondetails?taxnode_id=202209336","ictv.global=202209336")</f>
        <v>ictv.global=202209336</v>
      </c>
    </row>
    <row r="3473" spans="1:21">
      <c r="A3473">
        <v>3472</v>
      </c>
      <c r="B3473" s="29" t="s">
        <v>3682</v>
      </c>
      <c r="C3473" s="29"/>
      <c r="D3473" s="29" t="s">
        <v>3683</v>
      </c>
      <c r="E3473" s="29"/>
      <c r="F3473" s="29" t="s">
        <v>3686</v>
      </c>
      <c r="G3473" s="29"/>
      <c r="H3473" s="29" t="s">
        <v>3687</v>
      </c>
      <c r="I3473" s="29"/>
      <c r="J3473" s="29"/>
      <c r="K3473" s="29"/>
      <c r="L3473" s="29"/>
      <c r="M3473" s="29"/>
      <c r="N3473" s="29" t="s">
        <v>2416</v>
      </c>
      <c r="O3473" s="29"/>
      <c r="P3473" s="29" t="s">
        <v>10728</v>
      </c>
      <c r="Q3473" t="s">
        <v>2038</v>
      </c>
      <c r="R3473" t="s">
        <v>2633</v>
      </c>
      <c r="S3473">
        <v>37</v>
      </c>
      <c r="T3473" s="43" t="str">
        <f t="shared" si="160"/>
        <v>2021.010B.R.Binomial_names.zip</v>
      </c>
      <c r="U3473" s="43" t="str">
        <f>HYPERLINK("https://ictv.global/taxonomy/taxondetails?taxnode_id=202207002","ictv.global=202207002")</f>
        <v>ictv.global=202207002</v>
      </c>
    </row>
    <row r="3474" spans="1:21">
      <c r="A3474">
        <v>3473</v>
      </c>
      <c r="B3474" s="29" t="s">
        <v>3682</v>
      </c>
      <c r="C3474" s="29"/>
      <c r="D3474" s="29" t="s">
        <v>3683</v>
      </c>
      <c r="E3474" s="29"/>
      <c r="F3474" s="29" t="s">
        <v>3686</v>
      </c>
      <c r="G3474" s="29"/>
      <c r="H3474" s="29" t="s">
        <v>3687</v>
      </c>
      <c r="I3474" s="29"/>
      <c r="J3474" s="29"/>
      <c r="K3474" s="29"/>
      <c r="L3474" s="29"/>
      <c r="M3474" s="29"/>
      <c r="N3474" s="29" t="s">
        <v>2416</v>
      </c>
      <c r="O3474" s="29"/>
      <c r="P3474" s="29" t="s">
        <v>10729</v>
      </c>
      <c r="Q3474" t="s">
        <v>2038</v>
      </c>
      <c r="R3474" t="s">
        <v>2633</v>
      </c>
      <c r="S3474">
        <v>37</v>
      </c>
      <c r="T3474" s="43" t="str">
        <f t="shared" si="160"/>
        <v>2021.010B.R.Binomial_names.zip</v>
      </c>
      <c r="U3474" s="43" t="str">
        <f>HYPERLINK("https://ictv.global/taxonomy/taxondetails?taxnode_id=202207003","ictv.global=202207003")</f>
        <v>ictv.global=202207003</v>
      </c>
    </row>
    <row r="3475" spans="1:21">
      <c r="A3475">
        <v>3474</v>
      </c>
      <c r="B3475" s="29" t="s">
        <v>3682</v>
      </c>
      <c r="C3475" s="29"/>
      <c r="D3475" s="29" t="s">
        <v>3683</v>
      </c>
      <c r="E3475" s="29"/>
      <c r="F3475" s="29" t="s">
        <v>3686</v>
      </c>
      <c r="G3475" s="29"/>
      <c r="H3475" s="29" t="s">
        <v>3687</v>
      </c>
      <c r="I3475" s="29"/>
      <c r="J3475" s="29"/>
      <c r="K3475" s="29"/>
      <c r="L3475" s="29"/>
      <c r="M3475" s="29"/>
      <c r="N3475" s="29" t="s">
        <v>2416</v>
      </c>
      <c r="O3475" s="29"/>
      <c r="P3475" s="29" t="s">
        <v>10730</v>
      </c>
      <c r="Q3475" t="s">
        <v>2038</v>
      </c>
      <c r="R3475" t="s">
        <v>2633</v>
      </c>
      <c r="S3475">
        <v>37</v>
      </c>
      <c r="T3475" s="43" t="str">
        <f t="shared" si="160"/>
        <v>2021.010B.R.Binomial_names.zip</v>
      </c>
      <c r="U3475" s="43" t="str">
        <f>HYPERLINK("https://ictv.global/taxonomy/taxondetails?taxnode_id=202200448","ictv.global=202200448")</f>
        <v>ictv.global=202200448</v>
      </c>
    </row>
    <row r="3476" spans="1:21">
      <c r="A3476">
        <v>3475</v>
      </c>
      <c r="B3476" s="29" t="s">
        <v>3682</v>
      </c>
      <c r="C3476" s="29"/>
      <c r="D3476" s="29" t="s">
        <v>3683</v>
      </c>
      <c r="E3476" s="29"/>
      <c r="F3476" s="29" t="s">
        <v>3686</v>
      </c>
      <c r="G3476" s="29"/>
      <c r="H3476" s="29" t="s">
        <v>3687</v>
      </c>
      <c r="I3476" s="29"/>
      <c r="J3476" s="29"/>
      <c r="K3476" s="29"/>
      <c r="L3476" s="29"/>
      <c r="M3476" s="29"/>
      <c r="N3476" s="29" t="s">
        <v>2416</v>
      </c>
      <c r="O3476" s="29"/>
      <c r="P3476" s="29" t="s">
        <v>10731</v>
      </c>
      <c r="Q3476" t="s">
        <v>2038</v>
      </c>
      <c r="R3476" t="s">
        <v>2633</v>
      </c>
      <c r="S3476">
        <v>37</v>
      </c>
      <c r="T3476" s="43" t="str">
        <f t="shared" si="160"/>
        <v>2021.010B.R.Binomial_names.zip</v>
      </c>
      <c r="U3476" s="43" t="str">
        <f>HYPERLINK("https://ictv.global/taxonomy/taxondetails?taxnode_id=202200449","ictv.global=202200449")</f>
        <v>ictv.global=202200449</v>
      </c>
    </row>
    <row r="3477" spans="1:21">
      <c r="A3477">
        <v>3476</v>
      </c>
      <c r="B3477" s="29" t="s">
        <v>3682</v>
      </c>
      <c r="C3477" s="29"/>
      <c r="D3477" s="29" t="s">
        <v>3683</v>
      </c>
      <c r="E3477" s="29"/>
      <c r="F3477" s="29" t="s">
        <v>3686</v>
      </c>
      <c r="G3477" s="29"/>
      <c r="H3477" s="29" t="s">
        <v>3687</v>
      </c>
      <c r="I3477" s="29"/>
      <c r="J3477" s="29"/>
      <c r="K3477" s="29"/>
      <c r="L3477" s="29"/>
      <c r="M3477" s="29"/>
      <c r="N3477" s="29" t="s">
        <v>2416</v>
      </c>
      <c r="O3477" s="29"/>
      <c r="P3477" s="29" t="s">
        <v>10732</v>
      </c>
      <c r="Q3477" t="s">
        <v>2038</v>
      </c>
      <c r="R3477" t="s">
        <v>2633</v>
      </c>
      <c r="S3477">
        <v>37</v>
      </c>
      <c r="T3477" s="43" t="str">
        <f t="shared" si="160"/>
        <v>2021.010B.R.Binomial_names.zip</v>
      </c>
      <c r="U3477" s="43" t="str">
        <f>HYPERLINK("https://ictv.global/taxonomy/taxondetails?taxnode_id=202200450","ictv.global=202200450")</f>
        <v>ictv.global=202200450</v>
      </c>
    </row>
    <row r="3478" spans="1:21">
      <c r="A3478">
        <v>3477</v>
      </c>
      <c r="B3478" s="29" t="s">
        <v>3682</v>
      </c>
      <c r="C3478" s="29"/>
      <c r="D3478" s="29" t="s">
        <v>3683</v>
      </c>
      <c r="E3478" s="29"/>
      <c r="F3478" s="29" t="s">
        <v>3686</v>
      </c>
      <c r="G3478" s="29"/>
      <c r="H3478" s="29" t="s">
        <v>3687</v>
      </c>
      <c r="I3478" s="29"/>
      <c r="J3478" s="29"/>
      <c r="K3478" s="29"/>
      <c r="L3478" s="29"/>
      <c r="M3478" s="29"/>
      <c r="N3478" s="29" t="s">
        <v>2416</v>
      </c>
      <c r="O3478" s="29"/>
      <c r="P3478" s="29" t="s">
        <v>10733</v>
      </c>
      <c r="Q3478" t="s">
        <v>2038</v>
      </c>
      <c r="R3478" t="s">
        <v>2633</v>
      </c>
      <c r="S3478">
        <v>37</v>
      </c>
      <c r="T3478" s="43" t="str">
        <f t="shared" si="160"/>
        <v>2021.010B.R.Binomial_names.zip</v>
      </c>
      <c r="U3478" s="43" t="str">
        <f>HYPERLINK("https://ictv.global/taxonomy/taxondetails?taxnode_id=202207004","ictv.global=202207004")</f>
        <v>ictv.global=202207004</v>
      </c>
    </row>
    <row r="3479" spans="1:21">
      <c r="A3479">
        <v>3478</v>
      </c>
      <c r="B3479" s="29" t="s">
        <v>3682</v>
      </c>
      <c r="C3479" s="29"/>
      <c r="D3479" s="29" t="s">
        <v>3683</v>
      </c>
      <c r="E3479" s="29"/>
      <c r="F3479" s="29" t="s">
        <v>3686</v>
      </c>
      <c r="G3479" s="29"/>
      <c r="H3479" s="29" t="s">
        <v>3687</v>
      </c>
      <c r="I3479" s="29"/>
      <c r="J3479" s="29"/>
      <c r="K3479" s="29"/>
      <c r="L3479" s="29"/>
      <c r="M3479" s="29"/>
      <c r="N3479" s="29" t="s">
        <v>2416</v>
      </c>
      <c r="O3479" s="29"/>
      <c r="P3479" s="29" t="s">
        <v>10734</v>
      </c>
      <c r="Q3479" t="s">
        <v>2038</v>
      </c>
      <c r="R3479" t="s">
        <v>2633</v>
      </c>
      <c r="S3479">
        <v>37</v>
      </c>
      <c r="T3479" s="43" t="str">
        <f t="shared" si="160"/>
        <v>2021.010B.R.Binomial_names.zip</v>
      </c>
      <c r="U3479" s="43" t="str">
        <f>HYPERLINK("https://ictv.global/taxonomy/taxondetails?taxnode_id=202207005","ictv.global=202207005")</f>
        <v>ictv.global=202207005</v>
      </c>
    </row>
    <row r="3480" spans="1:21">
      <c r="A3480">
        <v>3479</v>
      </c>
      <c r="B3480" s="29" t="s">
        <v>3682</v>
      </c>
      <c r="C3480" s="29"/>
      <c r="D3480" s="29" t="s">
        <v>3683</v>
      </c>
      <c r="E3480" s="29"/>
      <c r="F3480" s="29" t="s">
        <v>3686</v>
      </c>
      <c r="G3480" s="29"/>
      <c r="H3480" s="29" t="s">
        <v>3687</v>
      </c>
      <c r="I3480" s="29"/>
      <c r="J3480" s="29"/>
      <c r="K3480" s="29"/>
      <c r="L3480" s="29"/>
      <c r="M3480" s="29"/>
      <c r="N3480" s="29" t="s">
        <v>2416</v>
      </c>
      <c r="O3480" s="29"/>
      <c r="P3480" s="29" t="s">
        <v>10735</v>
      </c>
      <c r="Q3480" t="s">
        <v>2038</v>
      </c>
      <c r="R3480" t="s">
        <v>2633</v>
      </c>
      <c r="S3480">
        <v>37</v>
      </c>
      <c r="T3480" s="43" t="str">
        <f t="shared" si="160"/>
        <v>2021.010B.R.Binomial_names.zip</v>
      </c>
      <c r="U3480" s="43" t="str">
        <f>HYPERLINK("https://ictv.global/taxonomy/taxondetails?taxnode_id=202211532","ictv.global=202211532")</f>
        <v>ictv.global=202211532</v>
      </c>
    </row>
    <row r="3481" spans="1:21">
      <c r="A3481">
        <v>3480</v>
      </c>
      <c r="B3481" s="29" t="s">
        <v>3682</v>
      </c>
      <c r="C3481" s="29"/>
      <c r="D3481" s="29" t="s">
        <v>3683</v>
      </c>
      <c r="E3481" s="29"/>
      <c r="F3481" s="29" t="s">
        <v>3686</v>
      </c>
      <c r="G3481" s="29"/>
      <c r="H3481" s="29" t="s">
        <v>3687</v>
      </c>
      <c r="I3481" s="29"/>
      <c r="J3481" s="29"/>
      <c r="K3481" s="29"/>
      <c r="L3481" s="29"/>
      <c r="M3481" s="29"/>
      <c r="N3481" s="29" t="s">
        <v>2440</v>
      </c>
      <c r="O3481" s="29"/>
      <c r="P3481" s="29" t="s">
        <v>10736</v>
      </c>
      <c r="Q3481" t="s">
        <v>2038</v>
      </c>
      <c r="R3481" t="s">
        <v>2633</v>
      </c>
      <c r="S3481">
        <v>37</v>
      </c>
      <c r="T3481" s="43" t="str">
        <f t="shared" si="160"/>
        <v>2021.010B.R.Binomial_names.zip</v>
      </c>
      <c r="U3481" s="43" t="str">
        <f>HYPERLINK("https://ictv.global/taxonomy/taxondetails?taxnode_id=202201079","ictv.global=202201079")</f>
        <v>ictv.global=202201079</v>
      </c>
    </row>
    <row r="3482" spans="1:21">
      <c r="A3482">
        <v>3481</v>
      </c>
      <c r="B3482" s="29" t="s">
        <v>3682</v>
      </c>
      <c r="C3482" s="29"/>
      <c r="D3482" s="29" t="s">
        <v>3683</v>
      </c>
      <c r="E3482" s="29"/>
      <c r="F3482" s="29" t="s">
        <v>3686</v>
      </c>
      <c r="G3482" s="29"/>
      <c r="H3482" s="29" t="s">
        <v>3687</v>
      </c>
      <c r="I3482" s="29"/>
      <c r="J3482" s="29"/>
      <c r="K3482" s="29"/>
      <c r="L3482" s="29"/>
      <c r="M3482" s="29"/>
      <c r="N3482" s="29" t="s">
        <v>2440</v>
      </c>
      <c r="O3482" s="29"/>
      <c r="P3482" s="29" t="s">
        <v>10737</v>
      </c>
      <c r="Q3482" t="s">
        <v>2038</v>
      </c>
      <c r="R3482" t="s">
        <v>2633</v>
      </c>
      <c r="S3482">
        <v>37</v>
      </c>
      <c r="T3482" s="43" t="str">
        <f t="shared" si="160"/>
        <v>2021.010B.R.Binomial_names.zip</v>
      </c>
      <c r="U3482" s="43" t="str">
        <f>HYPERLINK("https://ictv.global/taxonomy/taxondetails?taxnode_id=202201080","ictv.global=202201080")</f>
        <v>ictv.global=202201080</v>
      </c>
    </row>
    <row r="3483" spans="1:21">
      <c r="A3483">
        <v>3482</v>
      </c>
      <c r="B3483" s="29" t="s">
        <v>3682</v>
      </c>
      <c r="C3483" s="29"/>
      <c r="D3483" s="29" t="s">
        <v>3683</v>
      </c>
      <c r="E3483" s="29"/>
      <c r="F3483" s="29" t="s">
        <v>3686</v>
      </c>
      <c r="G3483" s="29"/>
      <c r="H3483" s="29" t="s">
        <v>3687</v>
      </c>
      <c r="I3483" s="29"/>
      <c r="J3483" s="29"/>
      <c r="K3483" s="29"/>
      <c r="L3483" s="29"/>
      <c r="M3483" s="29"/>
      <c r="N3483" s="29" t="s">
        <v>4017</v>
      </c>
      <c r="O3483" s="29"/>
      <c r="P3483" s="29" t="s">
        <v>10738</v>
      </c>
      <c r="Q3483" t="s">
        <v>2038</v>
      </c>
      <c r="R3483" t="s">
        <v>2633</v>
      </c>
      <c r="S3483">
        <v>37</v>
      </c>
      <c r="T3483" s="43" t="str">
        <f t="shared" si="160"/>
        <v>2021.010B.R.Binomial_names.zip</v>
      </c>
      <c r="U3483" s="43" t="str">
        <f>HYPERLINK("https://ictv.global/taxonomy/taxondetails?taxnode_id=202207894","ictv.global=202207894")</f>
        <v>ictv.global=202207894</v>
      </c>
    </row>
    <row r="3484" spans="1:21">
      <c r="A3484">
        <v>3483</v>
      </c>
      <c r="B3484" s="29" t="s">
        <v>3682</v>
      </c>
      <c r="C3484" s="29"/>
      <c r="D3484" s="29" t="s">
        <v>3683</v>
      </c>
      <c r="E3484" s="29"/>
      <c r="F3484" s="29" t="s">
        <v>3686</v>
      </c>
      <c r="G3484" s="29"/>
      <c r="H3484" s="29" t="s">
        <v>3687</v>
      </c>
      <c r="I3484" s="29"/>
      <c r="J3484" s="29"/>
      <c r="K3484" s="29"/>
      <c r="L3484" s="29"/>
      <c r="M3484" s="29"/>
      <c r="N3484" s="29" t="s">
        <v>10739</v>
      </c>
      <c r="O3484" s="29"/>
      <c r="P3484" s="29" t="s">
        <v>10740</v>
      </c>
      <c r="Q3484" t="s">
        <v>2038</v>
      </c>
      <c r="R3484" t="s">
        <v>2632</v>
      </c>
      <c r="S3484">
        <v>38</v>
      </c>
      <c r="T3484" s="43" t="str">
        <f>HYPERLINK("https://ictv.global/ictv/proposals/2022.032B.Caudoviricetes_5ng.zip","2022.032B.Caudoviricetes_5ng.zip")</f>
        <v>2022.032B.Caudoviricetes_5ng.zip</v>
      </c>
      <c r="U3484" s="43" t="str">
        <f>HYPERLINK("https://ictv.global/taxonomy/taxondetails?taxnode_id=202214594","ictv.global=202214594")</f>
        <v>ictv.global=202214594</v>
      </c>
    </row>
    <row r="3485" spans="1:21">
      <c r="A3485">
        <v>3484</v>
      </c>
      <c r="B3485" s="29" t="s">
        <v>3682</v>
      </c>
      <c r="C3485" s="29"/>
      <c r="D3485" s="29" t="s">
        <v>3683</v>
      </c>
      <c r="E3485" s="29"/>
      <c r="F3485" s="29" t="s">
        <v>3686</v>
      </c>
      <c r="G3485" s="29"/>
      <c r="H3485" s="29" t="s">
        <v>3687</v>
      </c>
      <c r="I3485" s="29"/>
      <c r="J3485" s="29"/>
      <c r="K3485" s="29"/>
      <c r="L3485" s="29"/>
      <c r="M3485" s="29"/>
      <c r="N3485" s="29" t="s">
        <v>10741</v>
      </c>
      <c r="O3485" s="29"/>
      <c r="P3485" s="29" t="s">
        <v>10742</v>
      </c>
      <c r="Q3485" t="s">
        <v>2038</v>
      </c>
      <c r="R3485" t="s">
        <v>2632</v>
      </c>
      <c r="S3485">
        <v>38</v>
      </c>
      <c r="T3485" s="43" t="str">
        <f>HYPERLINK("https://ictv.global/ictv/proposals/2022.048B.Meadowvirus_ng.zip","2022.048B.Meadowvirus_ng.zip")</f>
        <v>2022.048B.Meadowvirus_ng.zip</v>
      </c>
      <c r="U3485" s="43" t="str">
        <f>HYPERLINK("https://ictv.global/taxonomy/taxondetails?taxnode_id=202214671","ictv.global=202214671")</f>
        <v>ictv.global=202214671</v>
      </c>
    </row>
    <row r="3486" spans="1:21">
      <c r="A3486">
        <v>3485</v>
      </c>
      <c r="B3486" s="29" t="s">
        <v>3682</v>
      </c>
      <c r="C3486" s="29"/>
      <c r="D3486" s="29" t="s">
        <v>3683</v>
      </c>
      <c r="E3486" s="29"/>
      <c r="F3486" s="29" t="s">
        <v>3686</v>
      </c>
      <c r="G3486" s="29"/>
      <c r="H3486" s="29" t="s">
        <v>3687</v>
      </c>
      <c r="I3486" s="29"/>
      <c r="J3486" s="29"/>
      <c r="K3486" s="29"/>
      <c r="L3486" s="29"/>
      <c r="M3486" s="29"/>
      <c r="N3486" s="29" t="s">
        <v>4018</v>
      </c>
      <c r="O3486" s="29"/>
      <c r="P3486" s="29" t="s">
        <v>10743</v>
      </c>
      <c r="Q3486" t="s">
        <v>2038</v>
      </c>
      <c r="R3486" t="s">
        <v>2633</v>
      </c>
      <c r="S3486">
        <v>37</v>
      </c>
      <c r="T3486" s="43" t="str">
        <f>HYPERLINK("https://ictv.global/ictv/proposals/2021.010B.R.Binomial_names.zip","2021.010B.R.Binomial_names.zip")</f>
        <v>2021.010B.R.Binomial_names.zip</v>
      </c>
      <c r="U3486" s="43" t="str">
        <f>HYPERLINK("https://ictv.global/taxonomy/taxondetails?taxnode_id=202207453","ictv.global=202207453")</f>
        <v>ictv.global=202207453</v>
      </c>
    </row>
    <row r="3487" spans="1:21">
      <c r="A3487">
        <v>3486</v>
      </c>
      <c r="B3487" s="29" t="s">
        <v>3682</v>
      </c>
      <c r="C3487" s="29"/>
      <c r="D3487" s="29" t="s">
        <v>3683</v>
      </c>
      <c r="E3487" s="29"/>
      <c r="F3487" s="29" t="s">
        <v>3686</v>
      </c>
      <c r="G3487" s="29"/>
      <c r="H3487" s="29" t="s">
        <v>3687</v>
      </c>
      <c r="I3487" s="29"/>
      <c r="J3487" s="29"/>
      <c r="K3487" s="29"/>
      <c r="L3487" s="29"/>
      <c r="M3487" s="29"/>
      <c r="N3487" s="29" t="s">
        <v>4568</v>
      </c>
      <c r="O3487" s="29"/>
      <c r="P3487" s="29" t="s">
        <v>10744</v>
      </c>
      <c r="Q3487" t="s">
        <v>2038</v>
      </c>
      <c r="R3487" t="s">
        <v>2633</v>
      </c>
      <c r="S3487">
        <v>37</v>
      </c>
      <c r="T3487" s="43" t="str">
        <f>HYPERLINK("https://ictv.global/ictv/proposals/2021.010B.R.Binomial_names.zip","2021.010B.R.Binomial_names.zip")</f>
        <v>2021.010B.R.Binomial_names.zip</v>
      </c>
      <c r="U3487" s="43" t="str">
        <f>HYPERLINK("https://ictv.global/taxonomy/taxondetails?taxnode_id=202211537","ictv.global=202211537")</f>
        <v>ictv.global=202211537</v>
      </c>
    </row>
    <row r="3488" spans="1:21">
      <c r="A3488">
        <v>3487</v>
      </c>
      <c r="B3488" s="29" t="s">
        <v>3682</v>
      </c>
      <c r="C3488" s="29"/>
      <c r="D3488" s="29" t="s">
        <v>3683</v>
      </c>
      <c r="E3488" s="29"/>
      <c r="F3488" s="29" t="s">
        <v>3686</v>
      </c>
      <c r="G3488" s="29"/>
      <c r="H3488" s="29" t="s">
        <v>3687</v>
      </c>
      <c r="I3488" s="29"/>
      <c r="J3488" s="29"/>
      <c r="K3488" s="29"/>
      <c r="L3488" s="29"/>
      <c r="M3488" s="29"/>
      <c r="N3488" s="29" t="s">
        <v>4568</v>
      </c>
      <c r="O3488" s="29"/>
      <c r="P3488" s="29" t="s">
        <v>10745</v>
      </c>
      <c r="Q3488" t="s">
        <v>2038</v>
      </c>
      <c r="R3488" t="s">
        <v>2633</v>
      </c>
      <c r="S3488">
        <v>37</v>
      </c>
      <c r="T3488" s="43" t="str">
        <f>HYPERLINK("https://ictv.global/ictv/proposals/2021.010B.R.Binomial_names.zip","2021.010B.R.Binomial_names.zip")</f>
        <v>2021.010B.R.Binomial_names.zip</v>
      </c>
      <c r="U3488" s="43" t="str">
        <f>HYPERLINK("https://ictv.global/taxonomy/taxondetails?taxnode_id=202211535","ictv.global=202211535")</f>
        <v>ictv.global=202211535</v>
      </c>
    </row>
    <row r="3489" spans="1:21">
      <c r="A3489">
        <v>3488</v>
      </c>
      <c r="B3489" s="29" t="s">
        <v>3682</v>
      </c>
      <c r="C3489" s="29"/>
      <c r="D3489" s="29" t="s">
        <v>3683</v>
      </c>
      <c r="E3489" s="29"/>
      <c r="F3489" s="29" t="s">
        <v>3686</v>
      </c>
      <c r="G3489" s="29"/>
      <c r="H3489" s="29" t="s">
        <v>3687</v>
      </c>
      <c r="I3489" s="29"/>
      <c r="J3489" s="29"/>
      <c r="K3489" s="29"/>
      <c r="L3489" s="29"/>
      <c r="M3489" s="29"/>
      <c r="N3489" s="29" t="s">
        <v>4568</v>
      </c>
      <c r="O3489" s="29"/>
      <c r="P3489" s="29" t="s">
        <v>10746</v>
      </c>
      <c r="Q3489" t="s">
        <v>2038</v>
      </c>
      <c r="R3489" t="s">
        <v>2633</v>
      </c>
      <c r="S3489">
        <v>37</v>
      </c>
      <c r="T3489" s="43" t="str">
        <f>HYPERLINK("https://ictv.global/ictv/proposals/2021.010B.R.Binomial_names.zip","2021.010B.R.Binomial_names.zip")</f>
        <v>2021.010B.R.Binomial_names.zip</v>
      </c>
      <c r="U3489" s="43" t="str">
        <f>HYPERLINK("https://ictv.global/taxonomy/taxondetails?taxnode_id=202211536","ictv.global=202211536")</f>
        <v>ictv.global=202211536</v>
      </c>
    </row>
    <row r="3490" spans="1:21">
      <c r="A3490">
        <v>3489</v>
      </c>
      <c r="B3490" s="29" t="s">
        <v>3682</v>
      </c>
      <c r="C3490" s="29"/>
      <c r="D3490" s="29" t="s">
        <v>3683</v>
      </c>
      <c r="E3490" s="29"/>
      <c r="F3490" s="29" t="s">
        <v>3686</v>
      </c>
      <c r="G3490" s="29"/>
      <c r="H3490" s="29" t="s">
        <v>3687</v>
      </c>
      <c r="I3490" s="29"/>
      <c r="J3490" s="29"/>
      <c r="K3490" s="29"/>
      <c r="L3490" s="29"/>
      <c r="M3490" s="29"/>
      <c r="N3490" s="29" t="s">
        <v>4568</v>
      </c>
      <c r="O3490" s="29"/>
      <c r="P3490" s="29" t="s">
        <v>10747</v>
      </c>
      <c r="Q3490" t="s">
        <v>2038</v>
      </c>
      <c r="R3490" t="s">
        <v>2632</v>
      </c>
      <c r="S3490">
        <v>38</v>
      </c>
      <c r="T3490" s="43" t="str">
        <f>HYPERLINK("https://ictv.global/ictv/proposals/2022.049B.Menderavirus_1nsp.zip","2022.049B.Menderavirus_1nsp.zip")</f>
        <v>2022.049B.Menderavirus_1nsp.zip</v>
      </c>
      <c r="U3490" s="43" t="str">
        <f>HYPERLINK("https://ictv.global/taxonomy/taxondetails?taxnode_id=202214672","ictv.global=202214672")</f>
        <v>ictv.global=202214672</v>
      </c>
    </row>
    <row r="3491" spans="1:21">
      <c r="A3491">
        <v>3490</v>
      </c>
      <c r="B3491" s="29" t="s">
        <v>3682</v>
      </c>
      <c r="C3491" s="29"/>
      <c r="D3491" s="29" t="s">
        <v>3683</v>
      </c>
      <c r="E3491" s="29"/>
      <c r="F3491" s="29" t="s">
        <v>3686</v>
      </c>
      <c r="G3491" s="29"/>
      <c r="H3491" s="29" t="s">
        <v>3687</v>
      </c>
      <c r="I3491" s="29"/>
      <c r="J3491" s="29"/>
      <c r="K3491" s="29"/>
      <c r="L3491" s="29"/>
      <c r="M3491" s="29"/>
      <c r="N3491" s="29" t="s">
        <v>4019</v>
      </c>
      <c r="O3491" s="29"/>
      <c r="P3491" s="29" t="s">
        <v>10748</v>
      </c>
      <c r="Q3491" t="s">
        <v>2038</v>
      </c>
      <c r="R3491" t="s">
        <v>2633</v>
      </c>
      <c r="S3491">
        <v>37</v>
      </c>
      <c r="T3491" s="43" t="str">
        <f>HYPERLINK("https://ictv.global/ictv/proposals/2021.010B.R.Binomial_names.zip","2021.010B.R.Binomial_names.zip")</f>
        <v>2021.010B.R.Binomial_names.zip</v>
      </c>
      <c r="U3491" s="43" t="str">
        <f>HYPERLINK("https://ictv.global/taxonomy/taxondetails?taxnode_id=202207898","ictv.global=202207898")</f>
        <v>ictv.global=202207898</v>
      </c>
    </row>
    <row r="3492" spans="1:21">
      <c r="A3492">
        <v>3491</v>
      </c>
      <c r="B3492" s="29" t="s">
        <v>3682</v>
      </c>
      <c r="C3492" s="29"/>
      <c r="D3492" s="29" t="s">
        <v>3683</v>
      </c>
      <c r="E3492" s="29"/>
      <c r="F3492" s="29" t="s">
        <v>3686</v>
      </c>
      <c r="G3492" s="29"/>
      <c r="H3492" s="29" t="s">
        <v>3687</v>
      </c>
      <c r="I3492" s="29"/>
      <c r="J3492" s="29"/>
      <c r="K3492" s="29"/>
      <c r="L3492" s="29"/>
      <c r="M3492" s="29"/>
      <c r="N3492" s="29" t="s">
        <v>4019</v>
      </c>
      <c r="O3492" s="29"/>
      <c r="P3492" s="29" t="s">
        <v>10749</v>
      </c>
      <c r="Q3492" t="s">
        <v>2038</v>
      </c>
      <c r="R3492" t="s">
        <v>2633</v>
      </c>
      <c r="S3492">
        <v>37</v>
      </c>
      <c r="T3492" s="43" t="str">
        <f>HYPERLINK("https://ictv.global/ictv/proposals/2021.010B.R.Binomial_names.zip","2021.010B.R.Binomial_names.zip")</f>
        <v>2021.010B.R.Binomial_names.zip</v>
      </c>
      <c r="U3492" s="43" t="str">
        <f>HYPERLINK("https://ictv.global/taxonomy/taxondetails?taxnode_id=202207896","ictv.global=202207896")</f>
        <v>ictv.global=202207896</v>
      </c>
    </row>
    <row r="3493" spans="1:21">
      <c r="A3493">
        <v>3492</v>
      </c>
      <c r="B3493" s="29" t="s">
        <v>3682</v>
      </c>
      <c r="C3493" s="29"/>
      <c r="D3493" s="29" t="s">
        <v>3683</v>
      </c>
      <c r="E3493" s="29"/>
      <c r="F3493" s="29" t="s">
        <v>3686</v>
      </c>
      <c r="G3493" s="29"/>
      <c r="H3493" s="29" t="s">
        <v>3687</v>
      </c>
      <c r="I3493" s="29"/>
      <c r="J3493" s="29"/>
      <c r="K3493" s="29"/>
      <c r="L3493" s="29"/>
      <c r="M3493" s="29"/>
      <c r="N3493" s="29" t="s">
        <v>4019</v>
      </c>
      <c r="O3493" s="29"/>
      <c r="P3493" s="29" t="s">
        <v>10750</v>
      </c>
      <c r="Q3493" t="s">
        <v>2038</v>
      </c>
      <c r="R3493" t="s">
        <v>2633</v>
      </c>
      <c r="S3493">
        <v>37</v>
      </c>
      <c r="T3493" s="43" t="str">
        <f>HYPERLINK("https://ictv.global/ictv/proposals/2021.010B.R.Binomial_names.zip","2021.010B.R.Binomial_names.zip")</f>
        <v>2021.010B.R.Binomial_names.zip</v>
      </c>
      <c r="U3493" s="43" t="str">
        <f>HYPERLINK("https://ictv.global/taxonomy/taxondetails?taxnode_id=202207897","ictv.global=202207897")</f>
        <v>ictv.global=202207897</v>
      </c>
    </row>
    <row r="3494" spans="1:21">
      <c r="A3494">
        <v>3493</v>
      </c>
      <c r="B3494" s="29" t="s">
        <v>3682</v>
      </c>
      <c r="C3494" s="29"/>
      <c r="D3494" s="29" t="s">
        <v>3683</v>
      </c>
      <c r="E3494" s="29"/>
      <c r="F3494" s="29" t="s">
        <v>3686</v>
      </c>
      <c r="G3494" s="29"/>
      <c r="H3494" s="29" t="s">
        <v>3687</v>
      </c>
      <c r="I3494" s="29"/>
      <c r="J3494" s="29"/>
      <c r="K3494" s="29"/>
      <c r="L3494" s="29"/>
      <c r="M3494" s="29"/>
      <c r="N3494" s="29" t="s">
        <v>3416</v>
      </c>
      <c r="O3494" s="29"/>
      <c r="P3494" s="29" t="s">
        <v>10751</v>
      </c>
      <c r="Q3494" t="s">
        <v>2038</v>
      </c>
      <c r="R3494" t="s">
        <v>2633</v>
      </c>
      <c r="S3494">
        <v>37</v>
      </c>
      <c r="T3494" s="43" t="str">
        <f>HYPERLINK("https://ictv.global/ictv/proposals/2021.010B.R.Binomial_names.zip","2021.010B.R.Binomial_names.zip")</f>
        <v>2021.010B.R.Binomial_names.zip</v>
      </c>
      <c r="U3494" s="43" t="str">
        <f>HYPERLINK("https://ictv.global/taxonomy/taxondetails?taxnode_id=202206918","ictv.global=202206918")</f>
        <v>ictv.global=202206918</v>
      </c>
    </row>
    <row r="3495" spans="1:21">
      <c r="A3495">
        <v>3494</v>
      </c>
      <c r="B3495" s="29" t="s">
        <v>3682</v>
      </c>
      <c r="C3495" s="29"/>
      <c r="D3495" s="29" t="s">
        <v>3683</v>
      </c>
      <c r="E3495" s="29"/>
      <c r="F3495" s="29" t="s">
        <v>3686</v>
      </c>
      <c r="G3495" s="29"/>
      <c r="H3495" s="29" t="s">
        <v>3687</v>
      </c>
      <c r="I3495" s="29"/>
      <c r="J3495" s="29"/>
      <c r="K3495" s="29"/>
      <c r="L3495" s="29"/>
      <c r="M3495" s="29"/>
      <c r="N3495" s="29" t="s">
        <v>10752</v>
      </c>
      <c r="O3495" s="29"/>
      <c r="P3495" s="29" t="s">
        <v>10753</v>
      </c>
      <c r="Q3495" t="s">
        <v>2038</v>
      </c>
      <c r="R3495" t="s">
        <v>2632</v>
      </c>
      <c r="S3495">
        <v>38</v>
      </c>
      <c r="T3495" s="43" t="str">
        <f>HYPERLINK("https://ictv.global/ictv/proposals/2022.050B.Miamivirus_ng.zip","2022.050B.Miamivirus_ng.zip")</f>
        <v>2022.050B.Miamivirus_ng.zip</v>
      </c>
      <c r="U3495" s="43" t="str">
        <f>HYPERLINK("https://ictv.global/taxonomy/taxondetails?taxnode_id=202214674","ictv.global=202214674")</f>
        <v>ictv.global=202214674</v>
      </c>
    </row>
    <row r="3496" spans="1:21">
      <c r="A3496">
        <v>3495</v>
      </c>
      <c r="B3496" s="29" t="s">
        <v>3682</v>
      </c>
      <c r="C3496" s="29"/>
      <c r="D3496" s="29" t="s">
        <v>3683</v>
      </c>
      <c r="E3496" s="29"/>
      <c r="F3496" s="29" t="s">
        <v>3686</v>
      </c>
      <c r="G3496" s="29"/>
      <c r="H3496" s="29" t="s">
        <v>3687</v>
      </c>
      <c r="I3496" s="29"/>
      <c r="J3496" s="29"/>
      <c r="K3496" s="29"/>
      <c r="L3496" s="29"/>
      <c r="M3496" s="29"/>
      <c r="N3496" s="29" t="s">
        <v>10754</v>
      </c>
      <c r="O3496" s="29"/>
      <c r="P3496" s="29" t="s">
        <v>10755</v>
      </c>
      <c r="Q3496" t="s">
        <v>2038</v>
      </c>
      <c r="R3496" t="s">
        <v>2632</v>
      </c>
      <c r="S3496">
        <v>37</v>
      </c>
      <c r="T3496" s="43" t="str">
        <f>HYPERLINK("https://ictv.global/ictv/proposals/2021.052B.R.Micavirus.zip","2021.052B.R.Micavirus.zip")</f>
        <v>2021.052B.R.Micavirus.zip</v>
      </c>
      <c r="U3496" s="43" t="str">
        <f>HYPERLINK("https://ictv.global/taxonomy/taxondetails?taxnode_id=202212419","ictv.global=202212419")</f>
        <v>ictv.global=202212419</v>
      </c>
    </row>
    <row r="3497" spans="1:21">
      <c r="A3497">
        <v>3496</v>
      </c>
      <c r="B3497" s="29" t="s">
        <v>3682</v>
      </c>
      <c r="C3497" s="29"/>
      <c r="D3497" s="29" t="s">
        <v>3683</v>
      </c>
      <c r="E3497" s="29"/>
      <c r="F3497" s="29" t="s">
        <v>3686</v>
      </c>
      <c r="G3497" s="29"/>
      <c r="H3497" s="29" t="s">
        <v>3687</v>
      </c>
      <c r="I3497" s="29"/>
      <c r="J3497" s="29"/>
      <c r="K3497" s="29"/>
      <c r="L3497" s="29"/>
      <c r="M3497" s="29"/>
      <c r="N3497" s="29" t="s">
        <v>10756</v>
      </c>
      <c r="O3497" s="29"/>
      <c r="P3497" s="29" t="s">
        <v>10757</v>
      </c>
      <c r="Q3497" t="s">
        <v>2038</v>
      </c>
      <c r="R3497" t="s">
        <v>2633</v>
      </c>
      <c r="S3497">
        <v>37</v>
      </c>
      <c r="T3497" s="43" t="str">
        <f t="shared" ref="T3497:T3503" si="161">HYPERLINK("https://ictv.global/ictv/proposals/2021.053B.R.Microwolfvirus.zip","2021.053B.R.Microwolfvirus.zip")</f>
        <v>2021.053B.R.Microwolfvirus.zip</v>
      </c>
      <c r="U3497" s="43" t="str">
        <f>HYPERLINK("https://ictv.global/taxonomy/taxondetails?taxnode_id=202201019","ictv.global=202201019")</f>
        <v>ictv.global=202201019</v>
      </c>
    </row>
    <row r="3498" spans="1:21">
      <c r="A3498">
        <v>3497</v>
      </c>
      <c r="B3498" s="29" t="s">
        <v>3682</v>
      </c>
      <c r="C3498" s="29"/>
      <c r="D3498" s="29" t="s">
        <v>3683</v>
      </c>
      <c r="E3498" s="29"/>
      <c r="F3498" s="29" t="s">
        <v>3686</v>
      </c>
      <c r="G3498" s="29"/>
      <c r="H3498" s="29" t="s">
        <v>3687</v>
      </c>
      <c r="I3498" s="29"/>
      <c r="J3498" s="29"/>
      <c r="K3498" s="29"/>
      <c r="L3498" s="29"/>
      <c r="M3498" s="29"/>
      <c r="N3498" s="29" t="s">
        <v>10756</v>
      </c>
      <c r="O3498" s="29"/>
      <c r="P3498" s="29" t="s">
        <v>10758</v>
      </c>
      <c r="Q3498" t="s">
        <v>2038</v>
      </c>
      <c r="R3498" t="s">
        <v>2633</v>
      </c>
      <c r="S3498">
        <v>37</v>
      </c>
      <c r="T3498" s="43" t="str">
        <f t="shared" si="161"/>
        <v>2021.053B.R.Microwolfvirus.zip</v>
      </c>
      <c r="U3498" s="43" t="str">
        <f>HYPERLINK("https://ictv.global/taxonomy/taxondetails?taxnode_id=202201034","ictv.global=202201034")</f>
        <v>ictv.global=202201034</v>
      </c>
    </row>
    <row r="3499" spans="1:21">
      <c r="A3499">
        <v>3498</v>
      </c>
      <c r="B3499" s="29" t="s">
        <v>3682</v>
      </c>
      <c r="C3499" s="29"/>
      <c r="D3499" s="29" t="s">
        <v>3683</v>
      </c>
      <c r="E3499" s="29"/>
      <c r="F3499" s="29" t="s">
        <v>3686</v>
      </c>
      <c r="G3499" s="29"/>
      <c r="H3499" s="29" t="s">
        <v>3687</v>
      </c>
      <c r="I3499" s="29"/>
      <c r="J3499" s="29"/>
      <c r="K3499" s="29"/>
      <c r="L3499" s="29"/>
      <c r="M3499" s="29"/>
      <c r="N3499" s="29" t="s">
        <v>10756</v>
      </c>
      <c r="O3499" s="29"/>
      <c r="P3499" s="29" t="s">
        <v>10759</v>
      </c>
      <c r="Q3499" t="s">
        <v>2038</v>
      </c>
      <c r="R3499" t="s">
        <v>2633</v>
      </c>
      <c r="S3499">
        <v>37</v>
      </c>
      <c r="T3499" s="43" t="str">
        <f t="shared" si="161"/>
        <v>2021.053B.R.Microwolfvirus.zip</v>
      </c>
      <c r="U3499" s="43" t="str">
        <f>HYPERLINK("https://ictv.global/taxonomy/taxondetails?taxnode_id=202201043","ictv.global=202201043")</f>
        <v>ictv.global=202201043</v>
      </c>
    </row>
    <row r="3500" spans="1:21">
      <c r="A3500">
        <v>3499</v>
      </c>
      <c r="B3500" s="29" t="s">
        <v>3682</v>
      </c>
      <c r="C3500" s="29"/>
      <c r="D3500" s="29" t="s">
        <v>3683</v>
      </c>
      <c r="E3500" s="29"/>
      <c r="F3500" s="29" t="s">
        <v>3686</v>
      </c>
      <c r="G3500" s="29"/>
      <c r="H3500" s="29" t="s">
        <v>3687</v>
      </c>
      <c r="I3500" s="29"/>
      <c r="J3500" s="29"/>
      <c r="K3500" s="29"/>
      <c r="L3500" s="29"/>
      <c r="M3500" s="29"/>
      <c r="N3500" s="29" t="s">
        <v>10756</v>
      </c>
      <c r="O3500" s="29"/>
      <c r="P3500" s="29" t="s">
        <v>10760</v>
      </c>
      <c r="Q3500" t="s">
        <v>2038</v>
      </c>
      <c r="R3500" t="s">
        <v>2632</v>
      </c>
      <c r="S3500">
        <v>37</v>
      </c>
      <c r="T3500" s="43" t="str">
        <f t="shared" si="161"/>
        <v>2021.053B.R.Microwolfvirus.zip</v>
      </c>
      <c r="U3500" s="43" t="str">
        <f>HYPERLINK("https://ictv.global/taxonomy/taxondetails?taxnode_id=202212421","ictv.global=202212421")</f>
        <v>ictv.global=202212421</v>
      </c>
    </row>
    <row r="3501" spans="1:21">
      <c r="A3501">
        <v>3500</v>
      </c>
      <c r="B3501" s="29" t="s">
        <v>3682</v>
      </c>
      <c r="C3501" s="29"/>
      <c r="D3501" s="29" t="s">
        <v>3683</v>
      </c>
      <c r="E3501" s="29"/>
      <c r="F3501" s="29" t="s">
        <v>3686</v>
      </c>
      <c r="G3501" s="29"/>
      <c r="H3501" s="29" t="s">
        <v>3687</v>
      </c>
      <c r="I3501" s="29"/>
      <c r="J3501" s="29"/>
      <c r="K3501" s="29"/>
      <c r="L3501" s="29"/>
      <c r="M3501" s="29"/>
      <c r="N3501" s="29" t="s">
        <v>10756</v>
      </c>
      <c r="O3501" s="29"/>
      <c r="P3501" s="29" t="s">
        <v>10761</v>
      </c>
      <c r="Q3501" t="s">
        <v>2038</v>
      </c>
      <c r="R3501" t="s">
        <v>2632</v>
      </c>
      <c r="S3501">
        <v>37</v>
      </c>
      <c r="T3501" s="43" t="str">
        <f t="shared" si="161"/>
        <v>2021.053B.R.Microwolfvirus.zip</v>
      </c>
      <c r="U3501" s="43" t="str">
        <f>HYPERLINK("https://ictv.global/taxonomy/taxondetails?taxnode_id=202212422","ictv.global=202212422")</f>
        <v>ictv.global=202212422</v>
      </c>
    </row>
    <row r="3502" spans="1:21">
      <c r="A3502">
        <v>3501</v>
      </c>
      <c r="B3502" s="29" t="s">
        <v>3682</v>
      </c>
      <c r="C3502" s="29"/>
      <c r="D3502" s="29" t="s">
        <v>3683</v>
      </c>
      <c r="E3502" s="29"/>
      <c r="F3502" s="29" t="s">
        <v>3686</v>
      </c>
      <c r="G3502" s="29"/>
      <c r="H3502" s="29" t="s">
        <v>3687</v>
      </c>
      <c r="I3502" s="29"/>
      <c r="J3502" s="29"/>
      <c r="K3502" s="29"/>
      <c r="L3502" s="29"/>
      <c r="M3502" s="29"/>
      <c r="N3502" s="29" t="s">
        <v>10756</v>
      </c>
      <c r="O3502" s="29"/>
      <c r="P3502" s="29" t="s">
        <v>10762</v>
      </c>
      <c r="Q3502" t="s">
        <v>2038</v>
      </c>
      <c r="R3502" t="s">
        <v>2633</v>
      </c>
      <c r="S3502">
        <v>37</v>
      </c>
      <c r="T3502" s="43" t="str">
        <f t="shared" si="161"/>
        <v>2021.053B.R.Microwolfvirus.zip</v>
      </c>
      <c r="U3502" s="43" t="str">
        <f>HYPERLINK("https://ictv.global/taxonomy/taxondetails?taxnode_id=202201068","ictv.global=202201068")</f>
        <v>ictv.global=202201068</v>
      </c>
    </row>
    <row r="3503" spans="1:21">
      <c r="A3503">
        <v>3502</v>
      </c>
      <c r="B3503" s="29" t="s">
        <v>3682</v>
      </c>
      <c r="C3503" s="29"/>
      <c r="D3503" s="29" t="s">
        <v>3683</v>
      </c>
      <c r="E3503" s="29"/>
      <c r="F3503" s="29" t="s">
        <v>3686</v>
      </c>
      <c r="G3503" s="29"/>
      <c r="H3503" s="29" t="s">
        <v>3687</v>
      </c>
      <c r="I3503" s="29"/>
      <c r="J3503" s="29"/>
      <c r="K3503" s="29"/>
      <c r="L3503" s="29"/>
      <c r="M3503" s="29"/>
      <c r="N3503" s="29" t="s">
        <v>10756</v>
      </c>
      <c r="O3503" s="29"/>
      <c r="P3503" s="29" t="s">
        <v>10763</v>
      </c>
      <c r="Q3503" t="s">
        <v>2038</v>
      </c>
      <c r="R3503" t="s">
        <v>2632</v>
      </c>
      <c r="S3503">
        <v>37</v>
      </c>
      <c r="T3503" s="43" t="str">
        <f t="shared" si="161"/>
        <v>2021.053B.R.Microwolfvirus.zip</v>
      </c>
      <c r="U3503" s="43" t="str">
        <f>HYPERLINK("https://ictv.global/taxonomy/taxondetails?taxnode_id=202212423","ictv.global=202212423")</f>
        <v>ictv.global=202212423</v>
      </c>
    </row>
    <row r="3504" spans="1:21">
      <c r="A3504">
        <v>3503</v>
      </c>
      <c r="B3504" s="29" t="s">
        <v>3682</v>
      </c>
      <c r="C3504" s="29"/>
      <c r="D3504" s="29" t="s">
        <v>3683</v>
      </c>
      <c r="E3504" s="29"/>
      <c r="F3504" s="29" t="s">
        <v>3686</v>
      </c>
      <c r="G3504" s="29"/>
      <c r="H3504" s="29" t="s">
        <v>3687</v>
      </c>
      <c r="I3504" s="29"/>
      <c r="J3504" s="29"/>
      <c r="K3504" s="29"/>
      <c r="L3504" s="29"/>
      <c r="M3504" s="29"/>
      <c r="N3504" s="29" t="s">
        <v>10764</v>
      </c>
      <c r="O3504" s="29"/>
      <c r="P3504" s="29" t="s">
        <v>10765</v>
      </c>
      <c r="Q3504" t="s">
        <v>2038</v>
      </c>
      <c r="R3504" t="s">
        <v>2632</v>
      </c>
      <c r="S3504">
        <v>38</v>
      </c>
      <c r="T3504" s="43" t="str">
        <f>HYPERLINK("https://ictv.global/ictv/proposals/2022.051B.Midgardsormrvirus_ng.zip","2022.051B.Midgardsormrvirus_ng.zip")</f>
        <v>2022.051B.Midgardsormrvirus_ng.zip</v>
      </c>
      <c r="U3504" s="43" t="str">
        <f>HYPERLINK("https://ictv.global/taxonomy/taxondetails?taxnode_id=202214676","ictv.global=202214676")</f>
        <v>ictv.global=202214676</v>
      </c>
    </row>
    <row r="3505" spans="1:21">
      <c r="A3505">
        <v>3504</v>
      </c>
      <c r="B3505" s="29" t="s">
        <v>3682</v>
      </c>
      <c r="C3505" s="29"/>
      <c r="D3505" s="29" t="s">
        <v>3683</v>
      </c>
      <c r="E3505" s="29"/>
      <c r="F3505" s="29" t="s">
        <v>3686</v>
      </c>
      <c r="G3505" s="29"/>
      <c r="H3505" s="29" t="s">
        <v>3687</v>
      </c>
      <c r="I3505" s="29"/>
      <c r="J3505" s="29"/>
      <c r="K3505" s="29"/>
      <c r="L3505" s="29"/>
      <c r="M3505" s="29"/>
      <c r="N3505" s="29" t="s">
        <v>3417</v>
      </c>
      <c r="O3505" s="29"/>
      <c r="P3505" s="29" t="s">
        <v>10766</v>
      </c>
      <c r="Q3505" t="s">
        <v>2038</v>
      </c>
      <c r="R3505" t="s">
        <v>2633</v>
      </c>
      <c r="S3505">
        <v>37</v>
      </c>
      <c r="T3505" s="43" t="str">
        <f>HYPERLINK("https://ictv.global/ictv/proposals/2021.010B.R.Binomial_names.zip","2021.010B.R.Binomial_names.zip")</f>
        <v>2021.010B.R.Binomial_names.zip</v>
      </c>
      <c r="U3505" s="43" t="str">
        <f>HYPERLINK("https://ictv.global/taxonomy/taxondetails?taxnode_id=202200496","ictv.global=202200496")</f>
        <v>ictv.global=202200496</v>
      </c>
    </row>
    <row r="3506" spans="1:21">
      <c r="A3506">
        <v>3505</v>
      </c>
      <c r="B3506" s="29" t="s">
        <v>3682</v>
      </c>
      <c r="C3506" s="29"/>
      <c r="D3506" s="29" t="s">
        <v>3683</v>
      </c>
      <c r="E3506" s="29"/>
      <c r="F3506" s="29" t="s">
        <v>3686</v>
      </c>
      <c r="G3506" s="29"/>
      <c r="H3506" s="29" t="s">
        <v>3687</v>
      </c>
      <c r="I3506" s="29"/>
      <c r="J3506" s="29"/>
      <c r="K3506" s="29"/>
      <c r="L3506" s="29"/>
      <c r="M3506" s="29"/>
      <c r="N3506" s="29" t="s">
        <v>10767</v>
      </c>
      <c r="O3506" s="29"/>
      <c r="P3506" s="29" t="s">
        <v>10768</v>
      </c>
      <c r="Q3506" t="s">
        <v>2038</v>
      </c>
      <c r="R3506" t="s">
        <v>2632</v>
      </c>
      <c r="S3506">
        <v>38</v>
      </c>
      <c r="T3506" s="43" t="str">
        <f>HYPERLINK("https://ictv.global/ictv/proposals/2022.066B.Caudoviricetes_6ng.zip","2022.066B.Caudoviricetes_6ng.zip")</f>
        <v>2022.066B.Caudoviricetes_6ng.zip</v>
      </c>
      <c r="U3506" s="43" t="str">
        <f>HYPERLINK("https://ictv.global/taxonomy/taxondetails?taxnode_id=202214785","ictv.global=202214785")</f>
        <v>ictv.global=202214785</v>
      </c>
    </row>
    <row r="3507" spans="1:21">
      <c r="A3507">
        <v>3506</v>
      </c>
      <c r="B3507" s="29" t="s">
        <v>3682</v>
      </c>
      <c r="C3507" s="29"/>
      <c r="D3507" s="29" t="s">
        <v>3683</v>
      </c>
      <c r="E3507" s="29"/>
      <c r="F3507" s="29" t="s">
        <v>3686</v>
      </c>
      <c r="G3507" s="29"/>
      <c r="H3507" s="29" t="s">
        <v>3687</v>
      </c>
      <c r="I3507" s="29"/>
      <c r="J3507" s="29"/>
      <c r="K3507" s="29"/>
      <c r="L3507" s="29"/>
      <c r="M3507" s="29"/>
      <c r="N3507" s="29" t="s">
        <v>3418</v>
      </c>
      <c r="O3507" s="29"/>
      <c r="P3507" s="29" t="s">
        <v>10769</v>
      </c>
      <c r="Q3507" t="s">
        <v>2038</v>
      </c>
      <c r="R3507" t="s">
        <v>2633</v>
      </c>
      <c r="S3507">
        <v>37</v>
      </c>
      <c r="T3507" s="43" t="str">
        <f>HYPERLINK("https://ictv.global/ictv/proposals/2021.010B.R.Binomial_names.zip","2021.010B.R.Binomial_names.zip")</f>
        <v>2021.010B.R.Binomial_names.zip</v>
      </c>
      <c r="U3507" s="43" t="str">
        <f>HYPERLINK("https://ictv.global/taxonomy/taxondetails?taxnode_id=202206680","ictv.global=202206680")</f>
        <v>ictv.global=202206680</v>
      </c>
    </row>
    <row r="3508" spans="1:21">
      <c r="A3508">
        <v>3507</v>
      </c>
      <c r="B3508" s="29" t="s">
        <v>3682</v>
      </c>
      <c r="C3508" s="29"/>
      <c r="D3508" s="29" t="s">
        <v>3683</v>
      </c>
      <c r="E3508" s="29"/>
      <c r="F3508" s="29" t="s">
        <v>3686</v>
      </c>
      <c r="G3508" s="29"/>
      <c r="H3508" s="29" t="s">
        <v>3687</v>
      </c>
      <c r="I3508" s="29"/>
      <c r="J3508" s="29"/>
      <c r="K3508" s="29"/>
      <c r="L3508" s="29"/>
      <c r="M3508" s="29"/>
      <c r="N3508" s="29" t="s">
        <v>3418</v>
      </c>
      <c r="O3508" s="29"/>
      <c r="P3508" s="29" t="s">
        <v>10770</v>
      </c>
      <c r="Q3508" t="s">
        <v>2038</v>
      </c>
      <c r="R3508" t="s">
        <v>2633</v>
      </c>
      <c r="S3508">
        <v>37</v>
      </c>
      <c r="T3508" s="43" t="str">
        <f>HYPERLINK("https://ictv.global/ictv/proposals/2021.010B.R.Binomial_names.zip","2021.010B.R.Binomial_names.zip")</f>
        <v>2021.010B.R.Binomial_names.zip</v>
      </c>
      <c r="U3508" s="43" t="str">
        <f>HYPERLINK("https://ictv.global/taxonomy/taxondetails?taxnode_id=202206679","ictv.global=202206679")</f>
        <v>ictv.global=202206679</v>
      </c>
    </row>
    <row r="3509" spans="1:21">
      <c r="A3509">
        <v>3508</v>
      </c>
      <c r="B3509" s="29" t="s">
        <v>3682</v>
      </c>
      <c r="C3509" s="29"/>
      <c r="D3509" s="29" t="s">
        <v>3683</v>
      </c>
      <c r="E3509" s="29"/>
      <c r="F3509" s="29" t="s">
        <v>3686</v>
      </c>
      <c r="G3509" s="29"/>
      <c r="H3509" s="29" t="s">
        <v>3687</v>
      </c>
      <c r="I3509" s="29"/>
      <c r="J3509" s="29"/>
      <c r="K3509" s="29"/>
      <c r="L3509" s="29"/>
      <c r="M3509" s="29"/>
      <c r="N3509" s="29" t="s">
        <v>3569</v>
      </c>
      <c r="O3509" s="29"/>
      <c r="P3509" s="29" t="s">
        <v>10771</v>
      </c>
      <c r="Q3509" t="s">
        <v>2038</v>
      </c>
      <c r="R3509" t="s">
        <v>2633</v>
      </c>
      <c r="S3509">
        <v>37</v>
      </c>
      <c r="T3509" s="43" t="str">
        <f>HYPERLINK("https://ictv.global/ictv/proposals/2021.010B.R.Binomial_names.zip","2021.010B.R.Binomial_names.zip")</f>
        <v>2021.010B.R.Binomial_names.zip</v>
      </c>
      <c r="U3509" s="43" t="str">
        <f>HYPERLINK("https://ictv.global/taxonomy/taxondetails?taxnode_id=202206747","ictv.global=202206747")</f>
        <v>ictv.global=202206747</v>
      </c>
    </row>
    <row r="3510" spans="1:21">
      <c r="A3510">
        <v>3509</v>
      </c>
      <c r="B3510" s="29" t="s">
        <v>3682</v>
      </c>
      <c r="C3510" s="29"/>
      <c r="D3510" s="29" t="s">
        <v>3683</v>
      </c>
      <c r="E3510" s="29"/>
      <c r="F3510" s="29" t="s">
        <v>3686</v>
      </c>
      <c r="G3510" s="29"/>
      <c r="H3510" s="29" t="s">
        <v>3687</v>
      </c>
      <c r="I3510" s="29"/>
      <c r="J3510" s="29"/>
      <c r="K3510" s="29"/>
      <c r="L3510" s="29"/>
      <c r="M3510" s="29"/>
      <c r="N3510" s="29" t="s">
        <v>4569</v>
      </c>
      <c r="O3510" s="29"/>
      <c r="P3510" s="29" t="s">
        <v>10772</v>
      </c>
      <c r="Q3510" t="s">
        <v>2038</v>
      </c>
      <c r="R3510" t="s">
        <v>2633</v>
      </c>
      <c r="S3510">
        <v>37</v>
      </c>
      <c r="T3510" s="43" t="str">
        <f>HYPERLINK("https://ictv.global/ictv/proposals/2021.010B.R.Binomial_names.zip","2021.010B.R.Binomial_names.zip")</f>
        <v>2021.010B.R.Binomial_names.zip</v>
      </c>
      <c r="U3510" s="43" t="str">
        <f>HYPERLINK("https://ictv.global/taxonomy/taxondetails?taxnode_id=202211539","ictv.global=202211539")</f>
        <v>ictv.global=202211539</v>
      </c>
    </row>
    <row r="3511" spans="1:21">
      <c r="A3511">
        <v>3510</v>
      </c>
      <c r="B3511" s="29" t="s">
        <v>3682</v>
      </c>
      <c r="C3511" s="29"/>
      <c r="D3511" s="29" t="s">
        <v>3683</v>
      </c>
      <c r="E3511" s="29"/>
      <c r="F3511" s="29" t="s">
        <v>3686</v>
      </c>
      <c r="G3511" s="29"/>
      <c r="H3511" s="29" t="s">
        <v>3687</v>
      </c>
      <c r="I3511" s="29"/>
      <c r="J3511" s="29"/>
      <c r="K3511" s="29"/>
      <c r="L3511" s="29"/>
      <c r="M3511" s="29"/>
      <c r="N3511" s="29" t="s">
        <v>4569</v>
      </c>
      <c r="O3511" s="29"/>
      <c r="P3511" s="29" t="s">
        <v>10773</v>
      </c>
      <c r="Q3511" t="s">
        <v>2038</v>
      </c>
      <c r="R3511" t="s">
        <v>2633</v>
      </c>
      <c r="S3511">
        <v>37</v>
      </c>
      <c r="T3511" s="43" t="str">
        <f>HYPERLINK("https://ictv.global/ictv/proposals/2021.010B.R.Binomial_names.zip","2021.010B.R.Binomial_names.zip")</f>
        <v>2021.010B.R.Binomial_names.zip</v>
      </c>
      <c r="U3511" s="43" t="str">
        <f>HYPERLINK("https://ictv.global/taxonomy/taxondetails?taxnode_id=202211540","ictv.global=202211540")</f>
        <v>ictv.global=202211540</v>
      </c>
    </row>
    <row r="3512" spans="1:21">
      <c r="A3512">
        <v>3511</v>
      </c>
      <c r="B3512" s="29" t="s">
        <v>3682</v>
      </c>
      <c r="C3512" s="29"/>
      <c r="D3512" s="29" t="s">
        <v>3683</v>
      </c>
      <c r="E3512" s="29"/>
      <c r="F3512" s="29" t="s">
        <v>3686</v>
      </c>
      <c r="G3512" s="29"/>
      <c r="H3512" s="29" t="s">
        <v>3687</v>
      </c>
      <c r="I3512" s="29"/>
      <c r="J3512" s="29"/>
      <c r="K3512" s="29"/>
      <c r="L3512" s="29"/>
      <c r="M3512" s="29"/>
      <c r="N3512" s="29" t="s">
        <v>10774</v>
      </c>
      <c r="O3512" s="29"/>
      <c r="P3512" s="29" t="s">
        <v>10775</v>
      </c>
      <c r="Q3512" t="s">
        <v>2038</v>
      </c>
      <c r="R3512" t="s">
        <v>2632</v>
      </c>
      <c r="S3512">
        <v>38</v>
      </c>
      <c r="T3512" s="43" t="str">
        <f>HYPERLINK("https://ictv.global/ictv/proposals/2022.052B.Mohonavirus_ng.zip","2022.052B.Mohonavirus_ng.zip")</f>
        <v>2022.052B.Mohonavirus_ng.zip</v>
      </c>
      <c r="U3512" s="43" t="str">
        <f>HYPERLINK("https://ictv.global/taxonomy/taxondetails?taxnode_id=202214678","ictv.global=202214678")</f>
        <v>ictv.global=202214678</v>
      </c>
    </row>
    <row r="3513" spans="1:21">
      <c r="A3513">
        <v>3512</v>
      </c>
      <c r="B3513" s="29" t="s">
        <v>3682</v>
      </c>
      <c r="C3513" s="29"/>
      <c r="D3513" s="29" t="s">
        <v>3683</v>
      </c>
      <c r="E3513" s="29"/>
      <c r="F3513" s="29" t="s">
        <v>3686</v>
      </c>
      <c r="G3513" s="29"/>
      <c r="H3513" s="29" t="s">
        <v>3687</v>
      </c>
      <c r="I3513" s="29"/>
      <c r="J3513" s="29"/>
      <c r="K3513" s="29"/>
      <c r="L3513" s="29"/>
      <c r="M3513" s="29"/>
      <c r="N3513" s="29" t="s">
        <v>10776</v>
      </c>
      <c r="O3513" s="29"/>
      <c r="P3513" s="29" t="s">
        <v>10777</v>
      </c>
      <c r="Q3513" t="s">
        <v>2038</v>
      </c>
      <c r="R3513" t="s">
        <v>2632</v>
      </c>
      <c r="S3513">
        <v>38</v>
      </c>
      <c r="T3513" s="43" t="str">
        <f>HYPERLINK("https://ictv.global/ictv/proposals/2022.053B.Mollymurvirus_ng.zip","2022.053B.Mollymurvirus_ng.zip")</f>
        <v>2022.053B.Mollymurvirus_ng.zip</v>
      </c>
      <c r="U3513" s="43" t="str">
        <f>HYPERLINK("https://ictv.global/taxonomy/taxondetails?taxnode_id=202214680","ictv.global=202214680")</f>
        <v>ictv.global=202214680</v>
      </c>
    </row>
    <row r="3514" spans="1:21">
      <c r="A3514">
        <v>3513</v>
      </c>
      <c r="B3514" s="29" t="s">
        <v>3682</v>
      </c>
      <c r="C3514" s="29"/>
      <c r="D3514" s="29" t="s">
        <v>3683</v>
      </c>
      <c r="E3514" s="29"/>
      <c r="F3514" s="29" t="s">
        <v>3686</v>
      </c>
      <c r="G3514" s="29"/>
      <c r="H3514" s="29" t="s">
        <v>3687</v>
      </c>
      <c r="I3514" s="29"/>
      <c r="J3514" s="29"/>
      <c r="K3514" s="29"/>
      <c r="L3514" s="29"/>
      <c r="M3514" s="29"/>
      <c r="N3514" s="29" t="s">
        <v>4020</v>
      </c>
      <c r="O3514" s="29"/>
      <c r="P3514" s="29" t="s">
        <v>10778</v>
      </c>
      <c r="Q3514" t="s">
        <v>2038</v>
      </c>
      <c r="R3514" t="s">
        <v>2633</v>
      </c>
      <c r="S3514">
        <v>37</v>
      </c>
      <c r="T3514" s="43" t="str">
        <f t="shared" ref="T3514:T3524" si="162">HYPERLINK("https://ictv.global/ictv/proposals/2021.010B.R.Binomial_names.zip","2021.010B.R.Binomial_names.zip")</f>
        <v>2021.010B.R.Binomial_names.zip</v>
      </c>
      <c r="U3514" s="43" t="str">
        <f>HYPERLINK("https://ictv.global/taxonomy/taxondetails?taxnode_id=202209112","ictv.global=202209112")</f>
        <v>ictv.global=202209112</v>
      </c>
    </row>
    <row r="3515" spans="1:21">
      <c r="A3515">
        <v>3514</v>
      </c>
      <c r="B3515" s="29" t="s">
        <v>3682</v>
      </c>
      <c r="C3515" s="29"/>
      <c r="D3515" s="29" t="s">
        <v>3683</v>
      </c>
      <c r="E3515" s="29"/>
      <c r="F3515" s="29" t="s">
        <v>3686</v>
      </c>
      <c r="G3515" s="29"/>
      <c r="H3515" s="29" t="s">
        <v>3687</v>
      </c>
      <c r="I3515" s="29"/>
      <c r="J3515" s="29"/>
      <c r="K3515" s="29"/>
      <c r="L3515" s="29"/>
      <c r="M3515" s="29"/>
      <c r="N3515" s="29" t="s">
        <v>4020</v>
      </c>
      <c r="O3515" s="29"/>
      <c r="P3515" s="29" t="s">
        <v>10779</v>
      </c>
      <c r="Q3515" t="s">
        <v>2038</v>
      </c>
      <c r="R3515" t="s">
        <v>2633</v>
      </c>
      <c r="S3515">
        <v>37</v>
      </c>
      <c r="T3515" s="43" t="str">
        <f t="shared" si="162"/>
        <v>2021.010B.R.Binomial_names.zip</v>
      </c>
      <c r="U3515" s="43" t="str">
        <f>HYPERLINK("https://ictv.global/taxonomy/taxondetails?taxnode_id=202209110","ictv.global=202209110")</f>
        <v>ictv.global=202209110</v>
      </c>
    </row>
    <row r="3516" spans="1:21">
      <c r="A3516">
        <v>3515</v>
      </c>
      <c r="B3516" s="29" t="s">
        <v>3682</v>
      </c>
      <c r="C3516" s="29"/>
      <c r="D3516" s="29" t="s">
        <v>3683</v>
      </c>
      <c r="E3516" s="29"/>
      <c r="F3516" s="29" t="s">
        <v>3686</v>
      </c>
      <c r="G3516" s="29"/>
      <c r="H3516" s="29" t="s">
        <v>3687</v>
      </c>
      <c r="I3516" s="29"/>
      <c r="J3516" s="29"/>
      <c r="K3516" s="29"/>
      <c r="L3516" s="29"/>
      <c r="M3516" s="29"/>
      <c r="N3516" s="29" t="s">
        <v>4020</v>
      </c>
      <c r="O3516" s="29"/>
      <c r="P3516" s="29" t="s">
        <v>10780</v>
      </c>
      <c r="Q3516" t="s">
        <v>2038</v>
      </c>
      <c r="R3516" t="s">
        <v>2633</v>
      </c>
      <c r="S3516">
        <v>37</v>
      </c>
      <c r="T3516" s="43" t="str">
        <f t="shared" si="162"/>
        <v>2021.010B.R.Binomial_names.zip</v>
      </c>
      <c r="U3516" s="43" t="str">
        <f>HYPERLINK("https://ictv.global/taxonomy/taxondetails?taxnode_id=202208659","ictv.global=202208659")</f>
        <v>ictv.global=202208659</v>
      </c>
    </row>
    <row r="3517" spans="1:21">
      <c r="A3517">
        <v>3516</v>
      </c>
      <c r="B3517" s="29" t="s">
        <v>3682</v>
      </c>
      <c r="C3517" s="29"/>
      <c r="D3517" s="29" t="s">
        <v>3683</v>
      </c>
      <c r="E3517" s="29"/>
      <c r="F3517" s="29" t="s">
        <v>3686</v>
      </c>
      <c r="G3517" s="29"/>
      <c r="H3517" s="29" t="s">
        <v>3687</v>
      </c>
      <c r="I3517" s="29"/>
      <c r="J3517" s="29"/>
      <c r="K3517" s="29"/>
      <c r="L3517" s="29"/>
      <c r="M3517" s="29"/>
      <c r="N3517" s="29" t="s">
        <v>4020</v>
      </c>
      <c r="O3517" s="29"/>
      <c r="P3517" s="29" t="s">
        <v>10781</v>
      </c>
      <c r="Q3517" t="s">
        <v>2038</v>
      </c>
      <c r="R3517" t="s">
        <v>2633</v>
      </c>
      <c r="S3517">
        <v>37</v>
      </c>
      <c r="T3517" s="43" t="str">
        <f t="shared" si="162"/>
        <v>2021.010B.R.Binomial_names.zip</v>
      </c>
      <c r="U3517" s="43" t="str">
        <f>HYPERLINK("https://ictv.global/taxonomy/taxondetails?taxnode_id=202209114","ictv.global=202209114")</f>
        <v>ictv.global=202209114</v>
      </c>
    </row>
    <row r="3518" spans="1:21">
      <c r="A3518">
        <v>3517</v>
      </c>
      <c r="B3518" s="29" t="s">
        <v>3682</v>
      </c>
      <c r="C3518" s="29"/>
      <c r="D3518" s="29" t="s">
        <v>3683</v>
      </c>
      <c r="E3518" s="29"/>
      <c r="F3518" s="29" t="s">
        <v>3686</v>
      </c>
      <c r="G3518" s="29"/>
      <c r="H3518" s="29" t="s">
        <v>3687</v>
      </c>
      <c r="I3518" s="29"/>
      <c r="J3518" s="29"/>
      <c r="K3518" s="29"/>
      <c r="L3518" s="29"/>
      <c r="M3518" s="29"/>
      <c r="N3518" s="29" t="s">
        <v>4020</v>
      </c>
      <c r="O3518" s="29"/>
      <c r="P3518" s="29" t="s">
        <v>10782</v>
      </c>
      <c r="Q3518" t="s">
        <v>2038</v>
      </c>
      <c r="R3518" t="s">
        <v>2633</v>
      </c>
      <c r="S3518">
        <v>37</v>
      </c>
      <c r="T3518" s="43" t="str">
        <f t="shared" si="162"/>
        <v>2021.010B.R.Binomial_names.zip</v>
      </c>
      <c r="U3518" s="43" t="str">
        <f>HYPERLINK("https://ictv.global/taxonomy/taxondetails?taxnode_id=202208658","ictv.global=202208658")</f>
        <v>ictv.global=202208658</v>
      </c>
    </row>
    <row r="3519" spans="1:21">
      <c r="A3519">
        <v>3518</v>
      </c>
      <c r="B3519" s="29" t="s">
        <v>3682</v>
      </c>
      <c r="C3519" s="29"/>
      <c r="D3519" s="29" t="s">
        <v>3683</v>
      </c>
      <c r="E3519" s="29"/>
      <c r="F3519" s="29" t="s">
        <v>3686</v>
      </c>
      <c r="G3519" s="29"/>
      <c r="H3519" s="29" t="s">
        <v>3687</v>
      </c>
      <c r="I3519" s="29"/>
      <c r="J3519" s="29"/>
      <c r="K3519" s="29"/>
      <c r="L3519" s="29"/>
      <c r="M3519" s="29"/>
      <c r="N3519" s="29" t="s">
        <v>4020</v>
      </c>
      <c r="O3519" s="29"/>
      <c r="P3519" s="29" t="s">
        <v>10783</v>
      </c>
      <c r="Q3519" t="s">
        <v>2038</v>
      </c>
      <c r="R3519" t="s">
        <v>2633</v>
      </c>
      <c r="S3519">
        <v>37</v>
      </c>
      <c r="T3519" s="43" t="str">
        <f t="shared" si="162"/>
        <v>2021.010B.R.Binomial_names.zip</v>
      </c>
      <c r="U3519" s="43" t="str">
        <f>HYPERLINK("https://ictv.global/taxonomy/taxondetails?taxnode_id=202209109","ictv.global=202209109")</f>
        <v>ictv.global=202209109</v>
      </c>
    </row>
    <row r="3520" spans="1:21">
      <c r="A3520">
        <v>3519</v>
      </c>
      <c r="B3520" s="29" t="s">
        <v>3682</v>
      </c>
      <c r="C3520" s="29"/>
      <c r="D3520" s="29" t="s">
        <v>3683</v>
      </c>
      <c r="E3520" s="29"/>
      <c r="F3520" s="29" t="s">
        <v>3686</v>
      </c>
      <c r="G3520" s="29"/>
      <c r="H3520" s="29" t="s">
        <v>3687</v>
      </c>
      <c r="I3520" s="29"/>
      <c r="J3520" s="29"/>
      <c r="K3520" s="29"/>
      <c r="L3520" s="29"/>
      <c r="M3520" s="29"/>
      <c r="N3520" s="29" t="s">
        <v>4020</v>
      </c>
      <c r="O3520" s="29"/>
      <c r="P3520" s="29" t="s">
        <v>10784</v>
      </c>
      <c r="Q3520" t="s">
        <v>2038</v>
      </c>
      <c r="R3520" t="s">
        <v>2633</v>
      </c>
      <c r="S3520">
        <v>37</v>
      </c>
      <c r="T3520" s="43" t="str">
        <f t="shared" si="162"/>
        <v>2021.010B.R.Binomial_names.zip</v>
      </c>
      <c r="U3520" s="43" t="str">
        <f>HYPERLINK("https://ictv.global/taxonomy/taxondetails?taxnode_id=202209111","ictv.global=202209111")</f>
        <v>ictv.global=202209111</v>
      </c>
    </row>
    <row r="3521" spans="1:21">
      <c r="A3521">
        <v>3520</v>
      </c>
      <c r="B3521" s="29" t="s">
        <v>3682</v>
      </c>
      <c r="C3521" s="29"/>
      <c r="D3521" s="29" t="s">
        <v>3683</v>
      </c>
      <c r="E3521" s="29"/>
      <c r="F3521" s="29" t="s">
        <v>3686</v>
      </c>
      <c r="G3521" s="29"/>
      <c r="H3521" s="29" t="s">
        <v>3687</v>
      </c>
      <c r="I3521" s="29"/>
      <c r="J3521" s="29"/>
      <c r="K3521" s="29"/>
      <c r="L3521" s="29"/>
      <c r="M3521" s="29"/>
      <c r="N3521" s="29" t="s">
        <v>4020</v>
      </c>
      <c r="O3521" s="29"/>
      <c r="P3521" s="29" t="s">
        <v>10785</v>
      </c>
      <c r="Q3521" t="s">
        <v>2038</v>
      </c>
      <c r="R3521" t="s">
        <v>2633</v>
      </c>
      <c r="S3521">
        <v>37</v>
      </c>
      <c r="T3521" s="43" t="str">
        <f t="shared" si="162"/>
        <v>2021.010B.R.Binomial_names.zip</v>
      </c>
      <c r="U3521" s="43" t="str">
        <f>HYPERLINK("https://ictv.global/taxonomy/taxondetails?taxnode_id=202201374","ictv.global=202201374")</f>
        <v>ictv.global=202201374</v>
      </c>
    </row>
    <row r="3522" spans="1:21">
      <c r="A3522">
        <v>3521</v>
      </c>
      <c r="B3522" s="29" t="s">
        <v>3682</v>
      </c>
      <c r="C3522" s="29"/>
      <c r="D3522" s="29" t="s">
        <v>3683</v>
      </c>
      <c r="E3522" s="29"/>
      <c r="F3522" s="29" t="s">
        <v>3686</v>
      </c>
      <c r="G3522" s="29"/>
      <c r="H3522" s="29" t="s">
        <v>3687</v>
      </c>
      <c r="I3522" s="29"/>
      <c r="J3522" s="29"/>
      <c r="K3522" s="29"/>
      <c r="L3522" s="29"/>
      <c r="M3522" s="29"/>
      <c r="N3522" s="29" t="s">
        <v>4020</v>
      </c>
      <c r="O3522" s="29"/>
      <c r="P3522" s="29" t="s">
        <v>10786</v>
      </c>
      <c r="Q3522" t="s">
        <v>2038</v>
      </c>
      <c r="R3522" t="s">
        <v>2633</v>
      </c>
      <c r="S3522">
        <v>37</v>
      </c>
      <c r="T3522" s="43" t="str">
        <f t="shared" si="162"/>
        <v>2021.010B.R.Binomial_names.zip</v>
      </c>
      <c r="U3522" s="43" t="str">
        <f>HYPERLINK("https://ictv.global/taxonomy/taxondetails?taxnode_id=202209113","ictv.global=202209113")</f>
        <v>ictv.global=202209113</v>
      </c>
    </row>
    <row r="3523" spans="1:21">
      <c r="A3523">
        <v>3522</v>
      </c>
      <c r="B3523" s="29" t="s">
        <v>3682</v>
      </c>
      <c r="C3523" s="29"/>
      <c r="D3523" s="29" t="s">
        <v>3683</v>
      </c>
      <c r="E3523" s="29"/>
      <c r="F3523" s="29" t="s">
        <v>3686</v>
      </c>
      <c r="G3523" s="29"/>
      <c r="H3523" s="29" t="s">
        <v>3687</v>
      </c>
      <c r="I3523" s="29"/>
      <c r="J3523" s="29"/>
      <c r="K3523" s="29"/>
      <c r="L3523" s="29"/>
      <c r="M3523" s="29"/>
      <c r="N3523" s="29" t="s">
        <v>4020</v>
      </c>
      <c r="O3523" s="29"/>
      <c r="P3523" s="29" t="s">
        <v>10787</v>
      </c>
      <c r="Q3523" t="s">
        <v>2038</v>
      </c>
      <c r="R3523" t="s">
        <v>2633</v>
      </c>
      <c r="S3523">
        <v>37</v>
      </c>
      <c r="T3523" s="43" t="str">
        <f t="shared" si="162"/>
        <v>2021.010B.R.Binomial_names.zip</v>
      </c>
      <c r="U3523" s="43" t="str">
        <f>HYPERLINK("https://ictv.global/taxonomy/taxondetails?taxnode_id=202208660","ictv.global=202208660")</f>
        <v>ictv.global=202208660</v>
      </c>
    </row>
    <row r="3524" spans="1:21">
      <c r="A3524">
        <v>3523</v>
      </c>
      <c r="B3524" s="29" t="s">
        <v>3682</v>
      </c>
      <c r="C3524" s="29"/>
      <c r="D3524" s="29" t="s">
        <v>3683</v>
      </c>
      <c r="E3524" s="29"/>
      <c r="F3524" s="29" t="s">
        <v>3686</v>
      </c>
      <c r="G3524" s="29"/>
      <c r="H3524" s="29" t="s">
        <v>3687</v>
      </c>
      <c r="I3524" s="29"/>
      <c r="J3524" s="29"/>
      <c r="K3524" s="29"/>
      <c r="L3524" s="29"/>
      <c r="M3524" s="29"/>
      <c r="N3524" s="29" t="s">
        <v>4570</v>
      </c>
      <c r="O3524" s="29"/>
      <c r="P3524" s="29" t="s">
        <v>10788</v>
      </c>
      <c r="Q3524" t="s">
        <v>2038</v>
      </c>
      <c r="R3524" t="s">
        <v>2633</v>
      </c>
      <c r="S3524">
        <v>37</v>
      </c>
      <c r="T3524" s="43" t="str">
        <f t="shared" si="162"/>
        <v>2021.010B.R.Binomial_names.zip</v>
      </c>
      <c r="U3524" s="43" t="str">
        <f>HYPERLINK("https://ictv.global/taxonomy/taxondetails?taxnode_id=202211542","ictv.global=202211542")</f>
        <v>ictv.global=202211542</v>
      </c>
    </row>
    <row r="3525" spans="1:21">
      <c r="A3525">
        <v>3524</v>
      </c>
      <c r="B3525" s="29" t="s">
        <v>3682</v>
      </c>
      <c r="C3525" s="29"/>
      <c r="D3525" s="29" t="s">
        <v>3683</v>
      </c>
      <c r="E3525" s="29"/>
      <c r="F3525" s="29" t="s">
        <v>3686</v>
      </c>
      <c r="G3525" s="29"/>
      <c r="H3525" s="29" t="s">
        <v>3687</v>
      </c>
      <c r="I3525" s="29"/>
      <c r="J3525" s="29"/>
      <c r="K3525" s="29"/>
      <c r="L3525" s="29"/>
      <c r="M3525" s="29"/>
      <c r="N3525" s="29" t="s">
        <v>2441</v>
      </c>
      <c r="O3525" s="29"/>
      <c r="P3525" s="29" t="s">
        <v>10789</v>
      </c>
      <c r="Q3525" t="s">
        <v>2038</v>
      </c>
      <c r="R3525" t="s">
        <v>2632</v>
      </c>
      <c r="S3525">
        <v>38</v>
      </c>
      <c r="T3525" s="43" t="str">
        <f>HYPERLINK("https://ictv.global/ictv/proposals/2022.054B.Mudcatvirus_10nsp.zip","2022.054B.Mudcatvirus_10nsp.zip")</f>
        <v>2022.054B.Mudcatvirus_10nsp.zip</v>
      </c>
      <c r="U3525" s="43" t="str">
        <f>HYPERLINK("https://ictv.global/taxonomy/taxondetails?taxnode_id=202214681","ictv.global=202214681")</f>
        <v>ictv.global=202214681</v>
      </c>
    </row>
    <row r="3526" spans="1:21">
      <c r="A3526">
        <v>3525</v>
      </c>
      <c r="B3526" s="29" t="s">
        <v>3682</v>
      </c>
      <c r="C3526" s="29"/>
      <c r="D3526" s="29" t="s">
        <v>3683</v>
      </c>
      <c r="E3526" s="29"/>
      <c r="F3526" s="29" t="s">
        <v>3686</v>
      </c>
      <c r="G3526" s="29"/>
      <c r="H3526" s="29" t="s">
        <v>3687</v>
      </c>
      <c r="I3526" s="29"/>
      <c r="J3526" s="29"/>
      <c r="K3526" s="29"/>
      <c r="L3526" s="29"/>
      <c r="M3526" s="29"/>
      <c r="N3526" s="29" t="s">
        <v>2441</v>
      </c>
      <c r="O3526" s="29"/>
      <c r="P3526" s="29" t="s">
        <v>10790</v>
      </c>
      <c r="Q3526" t="s">
        <v>2038</v>
      </c>
      <c r="R3526" t="s">
        <v>2632</v>
      </c>
      <c r="S3526">
        <v>38</v>
      </c>
      <c r="T3526" s="43" t="str">
        <f>HYPERLINK("https://ictv.global/ictv/proposals/2022.054B.Mudcatvirus_10nsp.zip","2022.054B.Mudcatvirus_10nsp.zip")</f>
        <v>2022.054B.Mudcatvirus_10nsp.zip</v>
      </c>
      <c r="U3526" s="43" t="str">
        <f>HYPERLINK("https://ictv.global/taxonomy/taxondetails?taxnode_id=202214683","ictv.global=202214683")</f>
        <v>ictv.global=202214683</v>
      </c>
    </row>
    <row r="3527" spans="1:21">
      <c r="A3527">
        <v>3526</v>
      </c>
      <c r="B3527" s="29" t="s">
        <v>3682</v>
      </c>
      <c r="C3527" s="29"/>
      <c r="D3527" s="29" t="s">
        <v>3683</v>
      </c>
      <c r="E3527" s="29"/>
      <c r="F3527" s="29" t="s">
        <v>3686</v>
      </c>
      <c r="G3527" s="29"/>
      <c r="H3527" s="29" t="s">
        <v>3687</v>
      </c>
      <c r="I3527" s="29"/>
      <c r="J3527" s="29"/>
      <c r="K3527" s="29"/>
      <c r="L3527" s="29"/>
      <c r="M3527" s="29"/>
      <c r="N3527" s="29" t="s">
        <v>2441</v>
      </c>
      <c r="O3527" s="29"/>
      <c r="P3527" s="29" t="s">
        <v>10791</v>
      </c>
      <c r="Q3527" t="s">
        <v>2038</v>
      </c>
      <c r="R3527" t="s">
        <v>2633</v>
      </c>
      <c r="S3527">
        <v>37</v>
      </c>
      <c r="T3527" s="43" t="str">
        <f>HYPERLINK("https://ictv.global/ictv/proposals/2021.010B.R.Binomial_names.zip","2021.010B.R.Binomial_names.zip")</f>
        <v>2021.010B.R.Binomial_names.zip</v>
      </c>
      <c r="U3527" s="43" t="str">
        <f>HYPERLINK("https://ictv.global/taxonomy/taxondetails?taxnode_id=202201082","ictv.global=202201082")</f>
        <v>ictv.global=202201082</v>
      </c>
    </row>
    <row r="3528" spans="1:21">
      <c r="A3528">
        <v>3527</v>
      </c>
      <c r="B3528" s="29" t="s">
        <v>3682</v>
      </c>
      <c r="C3528" s="29"/>
      <c r="D3528" s="29" t="s">
        <v>3683</v>
      </c>
      <c r="E3528" s="29"/>
      <c r="F3528" s="29" t="s">
        <v>3686</v>
      </c>
      <c r="G3528" s="29"/>
      <c r="H3528" s="29" t="s">
        <v>3687</v>
      </c>
      <c r="I3528" s="29"/>
      <c r="J3528" s="29"/>
      <c r="K3528" s="29"/>
      <c r="L3528" s="29"/>
      <c r="M3528" s="29"/>
      <c r="N3528" s="29" t="s">
        <v>2441</v>
      </c>
      <c r="O3528" s="29"/>
      <c r="P3528" s="29" t="s">
        <v>10792</v>
      </c>
      <c r="Q3528" t="s">
        <v>2038</v>
      </c>
      <c r="R3528" t="s">
        <v>2632</v>
      </c>
      <c r="S3528">
        <v>38</v>
      </c>
      <c r="T3528" s="43" t="str">
        <f t="shared" ref="T3528:T3533" si="163">HYPERLINK("https://ictv.global/ictv/proposals/2022.054B.Mudcatvirus_10nsp.zip","2022.054B.Mudcatvirus_10nsp.zip")</f>
        <v>2022.054B.Mudcatvirus_10nsp.zip</v>
      </c>
      <c r="U3528" s="43" t="str">
        <f>HYPERLINK("https://ictv.global/taxonomy/taxondetails?taxnode_id=202214684","ictv.global=202214684")</f>
        <v>ictv.global=202214684</v>
      </c>
    </row>
    <row r="3529" spans="1:21">
      <c r="A3529">
        <v>3528</v>
      </c>
      <c r="B3529" s="29" t="s">
        <v>3682</v>
      </c>
      <c r="C3529" s="29"/>
      <c r="D3529" s="29" t="s">
        <v>3683</v>
      </c>
      <c r="E3529" s="29"/>
      <c r="F3529" s="29" t="s">
        <v>3686</v>
      </c>
      <c r="G3529" s="29"/>
      <c r="H3529" s="29" t="s">
        <v>3687</v>
      </c>
      <c r="I3529" s="29"/>
      <c r="J3529" s="29"/>
      <c r="K3529" s="29"/>
      <c r="L3529" s="29"/>
      <c r="M3529" s="29"/>
      <c r="N3529" s="29" t="s">
        <v>2441</v>
      </c>
      <c r="O3529" s="29"/>
      <c r="P3529" s="29" t="s">
        <v>10793</v>
      </c>
      <c r="Q3529" t="s">
        <v>2038</v>
      </c>
      <c r="R3529" t="s">
        <v>2632</v>
      </c>
      <c r="S3529">
        <v>38</v>
      </c>
      <c r="T3529" s="43" t="str">
        <f t="shared" si="163"/>
        <v>2022.054B.Mudcatvirus_10nsp.zip</v>
      </c>
      <c r="U3529" s="43" t="str">
        <f>HYPERLINK("https://ictv.global/taxonomy/taxondetails?taxnode_id=202214689","ictv.global=202214689")</f>
        <v>ictv.global=202214689</v>
      </c>
    </row>
    <row r="3530" spans="1:21">
      <c r="A3530">
        <v>3529</v>
      </c>
      <c r="B3530" s="29" t="s">
        <v>3682</v>
      </c>
      <c r="C3530" s="29"/>
      <c r="D3530" s="29" t="s">
        <v>3683</v>
      </c>
      <c r="E3530" s="29"/>
      <c r="F3530" s="29" t="s">
        <v>3686</v>
      </c>
      <c r="G3530" s="29"/>
      <c r="H3530" s="29" t="s">
        <v>3687</v>
      </c>
      <c r="I3530" s="29"/>
      <c r="J3530" s="29"/>
      <c r="K3530" s="29"/>
      <c r="L3530" s="29"/>
      <c r="M3530" s="29"/>
      <c r="N3530" s="29" t="s">
        <v>2441</v>
      </c>
      <c r="O3530" s="29"/>
      <c r="P3530" s="29" t="s">
        <v>10794</v>
      </c>
      <c r="Q3530" t="s">
        <v>2038</v>
      </c>
      <c r="R3530" t="s">
        <v>2632</v>
      </c>
      <c r="S3530">
        <v>38</v>
      </c>
      <c r="T3530" s="43" t="str">
        <f t="shared" si="163"/>
        <v>2022.054B.Mudcatvirus_10nsp.zip</v>
      </c>
      <c r="U3530" s="43" t="str">
        <f>HYPERLINK("https://ictv.global/taxonomy/taxondetails?taxnode_id=202214686","ictv.global=202214686")</f>
        <v>ictv.global=202214686</v>
      </c>
    </row>
    <row r="3531" spans="1:21">
      <c r="A3531">
        <v>3530</v>
      </c>
      <c r="B3531" s="29" t="s">
        <v>3682</v>
      </c>
      <c r="C3531" s="29"/>
      <c r="D3531" s="29" t="s">
        <v>3683</v>
      </c>
      <c r="E3531" s="29"/>
      <c r="F3531" s="29" t="s">
        <v>3686</v>
      </c>
      <c r="G3531" s="29"/>
      <c r="H3531" s="29" t="s">
        <v>3687</v>
      </c>
      <c r="I3531" s="29"/>
      <c r="J3531" s="29"/>
      <c r="K3531" s="29"/>
      <c r="L3531" s="29"/>
      <c r="M3531" s="29"/>
      <c r="N3531" s="29" t="s">
        <v>2441</v>
      </c>
      <c r="O3531" s="29"/>
      <c r="P3531" s="29" t="s">
        <v>10795</v>
      </c>
      <c r="Q3531" t="s">
        <v>2038</v>
      </c>
      <c r="R3531" t="s">
        <v>2632</v>
      </c>
      <c r="S3531">
        <v>38</v>
      </c>
      <c r="T3531" s="43" t="str">
        <f t="shared" si="163"/>
        <v>2022.054B.Mudcatvirus_10nsp.zip</v>
      </c>
      <c r="U3531" s="43" t="str">
        <f>HYPERLINK("https://ictv.global/taxonomy/taxondetails?taxnode_id=202214687","ictv.global=202214687")</f>
        <v>ictv.global=202214687</v>
      </c>
    </row>
    <row r="3532" spans="1:21">
      <c r="A3532">
        <v>3531</v>
      </c>
      <c r="B3532" s="29" t="s">
        <v>3682</v>
      </c>
      <c r="C3532" s="29"/>
      <c r="D3532" s="29" t="s">
        <v>3683</v>
      </c>
      <c r="E3532" s="29"/>
      <c r="F3532" s="29" t="s">
        <v>3686</v>
      </c>
      <c r="G3532" s="29"/>
      <c r="H3532" s="29" t="s">
        <v>3687</v>
      </c>
      <c r="I3532" s="29"/>
      <c r="J3532" s="29"/>
      <c r="K3532" s="29"/>
      <c r="L3532" s="29"/>
      <c r="M3532" s="29"/>
      <c r="N3532" s="29" t="s">
        <v>2441</v>
      </c>
      <c r="O3532" s="29"/>
      <c r="P3532" s="29" t="s">
        <v>10796</v>
      </c>
      <c r="Q3532" t="s">
        <v>2038</v>
      </c>
      <c r="R3532" t="s">
        <v>2632</v>
      </c>
      <c r="S3532">
        <v>38</v>
      </c>
      <c r="T3532" s="43" t="str">
        <f t="shared" si="163"/>
        <v>2022.054B.Mudcatvirus_10nsp.zip</v>
      </c>
      <c r="U3532" s="43" t="str">
        <f>HYPERLINK("https://ictv.global/taxonomy/taxondetails?taxnode_id=202214688","ictv.global=202214688")</f>
        <v>ictv.global=202214688</v>
      </c>
    </row>
    <row r="3533" spans="1:21">
      <c r="A3533">
        <v>3532</v>
      </c>
      <c r="B3533" s="29" t="s">
        <v>3682</v>
      </c>
      <c r="C3533" s="29"/>
      <c r="D3533" s="29" t="s">
        <v>3683</v>
      </c>
      <c r="E3533" s="29"/>
      <c r="F3533" s="29" t="s">
        <v>3686</v>
      </c>
      <c r="G3533" s="29"/>
      <c r="H3533" s="29" t="s">
        <v>3687</v>
      </c>
      <c r="I3533" s="29"/>
      <c r="J3533" s="29"/>
      <c r="K3533" s="29"/>
      <c r="L3533" s="29"/>
      <c r="M3533" s="29"/>
      <c r="N3533" s="29" t="s">
        <v>2441</v>
      </c>
      <c r="O3533" s="29"/>
      <c r="P3533" s="29" t="s">
        <v>10797</v>
      </c>
      <c r="Q3533" t="s">
        <v>2038</v>
      </c>
      <c r="R3533" t="s">
        <v>2632</v>
      </c>
      <c r="S3533">
        <v>38</v>
      </c>
      <c r="T3533" s="43" t="str">
        <f t="shared" si="163"/>
        <v>2022.054B.Mudcatvirus_10nsp.zip</v>
      </c>
      <c r="U3533" s="43" t="str">
        <f>HYPERLINK("https://ictv.global/taxonomy/taxondetails?taxnode_id=202214690","ictv.global=202214690")</f>
        <v>ictv.global=202214690</v>
      </c>
    </row>
    <row r="3534" spans="1:21">
      <c r="A3534">
        <v>3533</v>
      </c>
      <c r="B3534" s="29" t="s">
        <v>3682</v>
      </c>
      <c r="C3534" s="29"/>
      <c r="D3534" s="29" t="s">
        <v>3683</v>
      </c>
      <c r="E3534" s="29"/>
      <c r="F3534" s="29" t="s">
        <v>3686</v>
      </c>
      <c r="G3534" s="29"/>
      <c r="H3534" s="29" t="s">
        <v>3687</v>
      </c>
      <c r="I3534" s="29"/>
      <c r="J3534" s="29"/>
      <c r="K3534" s="29"/>
      <c r="L3534" s="29"/>
      <c r="M3534" s="29"/>
      <c r="N3534" s="29" t="s">
        <v>2441</v>
      </c>
      <c r="O3534" s="29"/>
      <c r="P3534" s="29" t="s">
        <v>10798</v>
      </c>
      <c r="Q3534" t="s">
        <v>2038</v>
      </c>
      <c r="R3534" t="s">
        <v>2633</v>
      </c>
      <c r="S3534">
        <v>37</v>
      </c>
      <c r="T3534" s="43" t="str">
        <f>HYPERLINK("https://ictv.global/ictv/proposals/2021.010B.R.Binomial_names.zip","2021.010B.R.Binomial_names.zip")</f>
        <v>2021.010B.R.Binomial_names.zip</v>
      </c>
      <c r="U3534" s="43" t="str">
        <f>HYPERLINK("https://ictv.global/taxonomy/taxondetails?taxnode_id=202201083","ictv.global=202201083")</f>
        <v>ictv.global=202201083</v>
      </c>
    </row>
    <row r="3535" spans="1:21">
      <c r="A3535">
        <v>3534</v>
      </c>
      <c r="B3535" s="29" t="s">
        <v>3682</v>
      </c>
      <c r="C3535" s="29"/>
      <c r="D3535" s="29" t="s">
        <v>3683</v>
      </c>
      <c r="E3535" s="29"/>
      <c r="F3535" s="29" t="s">
        <v>3686</v>
      </c>
      <c r="G3535" s="29"/>
      <c r="H3535" s="29" t="s">
        <v>3687</v>
      </c>
      <c r="I3535" s="29"/>
      <c r="J3535" s="29"/>
      <c r="K3535" s="29"/>
      <c r="L3535" s="29"/>
      <c r="M3535" s="29"/>
      <c r="N3535" s="29" t="s">
        <v>2441</v>
      </c>
      <c r="O3535" s="29"/>
      <c r="P3535" s="29" t="s">
        <v>10799</v>
      </c>
      <c r="Q3535" t="s">
        <v>2038</v>
      </c>
      <c r="R3535" t="s">
        <v>2632</v>
      </c>
      <c r="S3535">
        <v>38</v>
      </c>
      <c r="T3535" s="43" t="str">
        <f>HYPERLINK("https://ictv.global/ictv/proposals/2022.054B.Mudcatvirus_10nsp.zip","2022.054B.Mudcatvirus_10nsp.zip")</f>
        <v>2022.054B.Mudcatvirus_10nsp.zip</v>
      </c>
      <c r="U3535" s="43" t="str">
        <f>HYPERLINK("https://ictv.global/taxonomy/taxondetails?taxnode_id=202214682","ictv.global=202214682")</f>
        <v>ictv.global=202214682</v>
      </c>
    </row>
    <row r="3536" spans="1:21">
      <c r="A3536">
        <v>3535</v>
      </c>
      <c r="B3536" s="29" t="s">
        <v>3682</v>
      </c>
      <c r="C3536" s="29"/>
      <c r="D3536" s="29" t="s">
        <v>3683</v>
      </c>
      <c r="E3536" s="29"/>
      <c r="F3536" s="29" t="s">
        <v>3686</v>
      </c>
      <c r="G3536" s="29"/>
      <c r="H3536" s="29" t="s">
        <v>3687</v>
      </c>
      <c r="I3536" s="29"/>
      <c r="J3536" s="29"/>
      <c r="K3536" s="29"/>
      <c r="L3536" s="29"/>
      <c r="M3536" s="29"/>
      <c r="N3536" s="29" t="s">
        <v>2441</v>
      </c>
      <c r="O3536" s="29"/>
      <c r="P3536" s="29" t="s">
        <v>10800</v>
      </c>
      <c r="Q3536" t="s">
        <v>2038</v>
      </c>
      <c r="R3536" t="s">
        <v>2632</v>
      </c>
      <c r="S3536">
        <v>38</v>
      </c>
      <c r="T3536" s="43" t="str">
        <f>HYPERLINK("https://ictv.global/ictv/proposals/2022.054B.Mudcatvirus_10nsp.zip","2022.054B.Mudcatvirus_10nsp.zip")</f>
        <v>2022.054B.Mudcatvirus_10nsp.zip</v>
      </c>
      <c r="U3536" s="43" t="str">
        <f>HYPERLINK("https://ictv.global/taxonomy/taxondetails?taxnode_id=202214685","ictv.global=202214685")</f>
        <v>ictv.global=202214685</v>
      </c>
    </row>
    <row r="3537" spans="1:21">
      <c r="A3537">
        <v>3536</v>
      </c>
      <c r="B3537" s="29" t="s">
        <v>3682</v>
      </c>
      <c r="C3537" s="29"/>
      <c r="D3537" s="29" t="s">
        <v>3683</v>
      </c>
      <c r="E3537" s="29"/>
      <c r="F3537" s="29" t="s">
        <v>3686</v>
      </c>
      <c r="G3537" s="29"/>
      <c r="H3537" s="29" t="s">
        <v>3687</v>
      </c>
      <c r="I3537" s="29"/>
      <c r="J3537" s="29"/>
      <c r="K3537" s="29"/>
      <c r="L3537" s="29"/>
      <c r="M3537" s="29"/>
      <c r="N3537" s="29" t="s">
        <v>4757</v>
      </c>
      <c r="O3537" s="29"/>
      <c r="P3537" s="29" t="s">
        <v>10801</v>
      </c>
      <c r="Q3537" t="s">
        <v>2038</v>
      </c>
      <c r="R3537" t="s">
        <v>2633</v>
      </c>
      <c r="S3537">
        <v>37</v>
      </c>
      <c r="T3537" s="43" t="str">
        <f t="shared" ref="T3537:T3549" si="164">HYPERLINK("https://ictv.global/ictv/proposals/2021.010B.R.Binomial_names.zip","2021.010B.R.Binomial_names.zip")</f>
        <v>2021.010B.R.Binomial_names.zip</v>
      </c>
      <c r="U3537" s="43" t="str">
        <f>HYPERLINK("https://ictv.global/taxonomy/taxondetails?taxnode_id=202211544","ictv.global=202211544")</f>
        <v>ictv.global=202211544</v>
      </c>
    </row>
    <row r="3538" spans="1:21">
      <c r="A3538">
        <v>3537</v>
      </c>
      <c r="B3538" s="29" t="s">
        <v>3682</v>
      </c>
      <c r="C3538" s="29"/>
      <c r="D3538" s="29" t="s">
        <v>3683</v>
      </c>
      <c r="E3538" s="29"/>
      <c r="F3538" s="29" t="s">
        <v>3686</v>
      </c>
      <c r="G3538" s="29"/>
      <c r="H3538" s="29" t="s">
        <v>3687</v>
      </c>
      <c r="I3538" s="29"/>
      <c r="J3538" s="29"/>
      <c r="K3538" s="29"/>
      <c r="L3538" s="29"/>
      <c r="M3538" s="29"/>
      <c r="N3538" s="29" t="s">
        <v>4571</v>
      </c>
      <c r="O3538" s="29"/>
      <c r="P3538" s="29" t="s">
        <v>10802</v>
      </c>
      <c r="Q3538" t="s">
        <v>2038</v>
      </c>
      <c r="R3538" t="s">
        <v>2633</v>
      </c>
      <c r="S3538">
        <v>37</v>
      </c>
      <c r="T3538" s="43" t="str">
        <f t="shared" si="164"/>
        <v>2021.010B.R.Binomial_names.zip</v>
      </c>
      <c r="U3538" s="43" t="str">
        <f>HYPERLINK("https://ictv.global/taxonomy/taxondetails?taxnode_id=202211546","ictv.global=202211546")</f>
        <v>ictv.global=202211546</v>
      </c>
    </row>
    <row r="3539" spans="1:21">
      <c r="A3539">
        <v>3538</v>
      </c>
      <c r="B3539" s="29" t="s">
        <v>3682</v>
      </c>
      <c r="C3539" s="29"/>
      <c r="D3539" s="29" t="s">
        <v>3683</v>
      </c>
      <c r="E3539" s="29"/>
      <c r="F3539" s="29" t="s">
        <v>3686</v>
      </c>
      <c r="G3539" s="29"/>
      <c r="H3539" s="29" t="s">
        <v>3687</v>
      </c>
      <c r="I3539" s="29"/>
      <c r="J3539" s="29"/>
      <c r="K3539" s="29"/>
      <c r="L3539" s="29"/>
      <c r="M3539" s="29"/>
      <c r="N3539" s="29" t="s">
        <v>4571</v>
      </c>
      <c r="O3539" s="29"/>
      <c r="P3539" s="29" t="s">
        <v>10803</v>
      </c>
      <c r="Q3539" t="s">
        <v>2038</v>
      </c>
      <c r="R3539" t="s">
        <v>2633</v>
      </c>
      <c r="S3539">
        <v>37</v>
      </c>
      <c r="T3539" s="43" t="str">
        <f t="shared" si="164"/>
        <v>2021.010B.R.Binomial_names.zip</v>
      </c>
      <c r="U3539" s="43" t="str">
        <f>HYPERLINK("https://ictv.global/taxonomy/taxondetails?taxnode_id=202211547","ictv.global=202211547")</f>
        <v>ictv.global=202211547</v>
      </c>
    </row>
    <row r="3540" spans="1:21">
      <c r="A3540">
        <v>3539</v>
      </c>
      <c r="B3540" s="29" t="s">
        <v>3682</v>
      </c>
      <c r="C3540" s="29"/>
      <c r="D3540" s="29" t="s">
        <v>3683</v>
      </c>
      <c r="E3540" s="29"/>
      <c r="F3540" s="29" t="s">
        <v>3686</v>
      </c>
      <c r="G3540" s="29"/>
      <c r="H3540" s="29" t="s">
        <v>3687</v>
      </c>
      <c r="I3540" s="29"/>
      <c r="J3540" s="29"/>
      <c r="K3540" s="29"/>
      <c r="L3540" s="29"/>
      <c r="M3540" s="29"/>
      <c r="N3540" s="29" t="s">
        <v>4758</v>
      </c>
      <c r="O3540" s="29"/>
      <c r="P3540" s="29" t="s">
        <v>10804</v>
      </c>
      <c r="Q3540" t="s">
        <v>2038</v>
      </c>
      <c r="R3540" t="s">
        <v>2633</v>
      </c>
      <c r="S3540">
        <v>37</v>
      </c>
      <c r="T3540" s="43" t="str">
        <f t="shared" si="164"/>
        <v>2021.010B.R.Binomial_names.zip</v>
      </c>
      <c r="U3540" s="43" t="str">
        <f>HYPERLINK("https://ictv.global/taxonomy/taxondetails?taxnode_id=202210022","ictv.global=202210022")</f>
        <v>ictv.global=202210022</v>
      </c>
    </row>
    <row r="3541" spans="1:21">
      <c r="A3541">
        <v>3540</v>
      </c>
      <c r="B3541" s="29" t="s">
        <v>3682</v>
      </c>
      <c r="C3541" s="29"/>
      <c r="D3541" s="29" t="s">
        <v>3683</v>
      </c>
      <c r="E3541" s="29"/>
      <c r="F3541" s="29" t="s">
        <v>3686</v>
      </c>
      <c r="G3541" s="29"/>
      <c r="H3541" s="29" t="s">
        <v>3687</v>
      </c>
      <c r="I3541" s="29"/>
      <c r="J3541" s="29"/>
      <c r="K3541" s="29"/>
      <c r="L3541" s="29"/>
      <c r="M3541" s="29"/>
      <c r="N3541" s="29" t="s">
        <v>4758</v>
      </c>
      <c r="O3541" s="29"/>
      <c r="P3541" s="29" t="s">
        <v>10805</v>
      </c>
      <c r="Q3541" t="s">
        <v>2038</v>
      </c>
      <c r="R3541" t="s">
        <v>2633</v>
      </c>
      <c r="S3541">
        <v>37</v>
      </c>
      <c r="T3541" s="43" t="str">
        <f t="shared" si="164"/>
        <v>2021.010B.R.Binomial_names.zip</v>
      </c>
      <c r="U3541" s="43" t="str">
        <f>HYPERLINK("https://ictv.global/taxonomy/taxondetails?taxnode_id=202210019","ictv.global=202210019")</f>
        <v>ictv.global=202210019</v>
      </c>
    </row>
    <row r="3542" spans="1:21">
      <c r="A3542">
        <v>3541</v>
      </c>
      <c r="B3542" s="29" t="s">
        <v>3682</v>
      </c>
      <c r="C3542" s="29"/>
      <c r="D3542" s="29" t="s">
        <v>3683</v>
      </c>
      <c r="E3542" s="29"/>
      <c r="F3542" s="29" t="s">
        <v>3686</v>
      </c>
      <c r="G3542" s="29"/>
      <c r="H3542" s="29" t="s">
        <v>3687</v>
      </c>
      <c r="I3542" s="29"/>
      <c r="J3542" s="29"/>
      <c r="K3542" s="29"/>
      <c r="L3542" s="29"/>
      <c r="M3542" s="29"/>
      <c r="N3542" s="29" t="s">
        <v>4758</v>
      </c>
      <c r="O3542" s="29"/>
      <c r="P3542" s="29" t="s">
        <v>10806</v>
      </c>
      <c r="Q3542" t="s">
        <v>2038</v>
      </c>
      <c r="R3542" t="s">
        <v>2633</v>
      </c>
      <c r="S3542">
        <v>37</v>
      </c>
      <c r="T3542" s="43" t="str">
        <f t="shared" si="164"/>
        <v>2021.010B.R.Binomial_names.zip</v>
      </c>
      <c r="U3542" s="43" t="str">
        <f>HYPERLINK("https://ictv.global/taxonomy/taxondetails?taxnode_id=202210020","ictv.global=202210020")</f>
        <v>ictv.global=202210020</v>
      </c>
    </row>
    <row r="3543" spans="1:21">
      <c r="A3543">
        <v>3542</v>
      </c>
      <c r="B3543" s="29" t="s">
        <v>3682</v>
      </c>
      <c r="C3543" s="29"/>
      <c r="D3543" s="29" t="s">
        <v>3683</v>
      </c>
      <c r="E3543" s="29"/>
      <c r="F3543" s="29" t="s">
        <v>3686</v>
      </c>
      <c r="G3543" s="29"/>
      <c r="H3543" s="29" t="s">
        <v>3687</v>
      </c>
      <c r="I3543" s="29"/>
      <c r="J3543" s="29"/>
      <c r="K3543" s="29"/>
      <c r="L3543" s="29"/>
      <c r="M3543" s="29"/>
      <c r="N3543" s="29" t="s">
        <v>4758</v>
      </c>
      <c r="O3543" s="29"/>
      <c r="P3543" s="29" t="s">
        <v>10807</v>
      </c>
      <c r="Q3543" t="s">
        <v>2038</v>
      </c>
      <c r="R3543" t="s">
        <v>2633</v>
      </c>
      <c r="S3543">
        <v>37</v>
      </c>
      <c r="T3543" s="43" t="str">
        <f t="shared" si="164"/>
        <v>2021.010B.R.Binomial_names.zip</v>
      </c>
      <c r="U3543" s="43" t="str">
        <f>HYPERLINK("https://ictv.global/taxonomy/taxondetails?taxnode_id=202210023","ictv.global=202210023")</f>
        <v>ictv.global=202210023</v>
      </c>
    </row>
    <row r="3544" spans="1:21">
      <c r="A3544">
        <v>3543</v>
      </c>
      <c r="B3544" s="29" t="s">
        <v>3682</v>
      </c>
      <c r="C3544" s="29"/>
      <c r="D3544" s="29" t="s">
        <v>3683</v>
      </c>
      <c r="E3544" s="29"/>
      <c r="F3544" s="29" t="s">
        <v>3686</v>
      </c>
      <c r="G3544" s="29"/>
      <c r="H3544" s="29" t="s">
        <v>3687</v>
      </c>
      <c r="I3544" s="29"/>
      <c r="J3544" s="29"/>
      <c r="K3544" s="29"/>
      <c r="L3544" s="29"/>
      <c r="M3544" s="29"/>
      <c r="N3544" s="29" t="s">
        <v>4758</v>
      </c>
      <c r="O3544" s="29"/>
      <c r="P3544" s="29" t="s">
        <v>10808</v>
      </c>
      <c r="Q3544" t="s">
        <v>2038</v>
      </c>
      <c r="R3544" t="s">
        <v>2633</v>
      </c>
      <c r="S3544">
        <v>37</v>
      </c>
      <c r="T3544" s="43" t="str">
        <f t="shared" si="164"/>
        <v>2021.010B.R.Binomial_names.zip</v>
      </c>
      <c r="U3544" s="43" t="str">
        <f>HYPERLINK("https://ictv.global/taxonomy/taxondetails?taxnode_id=202210021","ictv.global=202210021")</f>
        <v>ictv.global=202210021</v>
      </c>
    </row>
    <row r="3545" spans="1:21">
      <c r="A3545">
        <v>3544</v>
      </c>
      <c r="B3545" s="29" t="s">
        <v>3682</v>
      </c>
      <c r="C3545" s="29"/>
      <c r="D3545" s="29" t="s">
        <v>3683</v>
      </c>
      <c r="E3545" s="29"/>
      <c r="F3545" s="29" t="s">
        <v>3686</v>
      </c>
      <c r="G3545" s="29"/>
      <c r="H3545" s="29" t="s">
        <v>3687</v>
      </c>
      <c r="I3545" s="29"/>
      <c r="J3545" s="29"/>
      <c r="K3545" s="29"/>
      <c r="L3545" s="29"/>
      <c r="M3545" s="29"/>
      <c r="N3545" s="29" t="s">
        <v>4021</v>
      </c>
      <c r="O3545" s="29"/>
      <c r="P3545" s="29" t="s">
        <v>10809</v>
      </c>
      <c r="Q3545" t="s">
        <v>2038</v>
      </c>
      <c r="R3545" t="s">
        <v>2633</v>
      </c>
      <c r="S3545">
        <v>37</v>
      </c>
      <c r="T3545" s="43" t="str">
        <f t="shared" si="164"/>
        <v>2021.010B.R.Binomial_names.zip</v>
      </c>
      <c r="U3545" s="43" t="str">
        <f>HYPERLINK("https://ictv.global/taxonomy/taxondetails?taxnode_id=202207905","ictv.global=202207905")</f>
        <v>ictv.global=202207905</v>
      </c>
    </row>
    <row r="3546" spans="1:21">
      <c r="A3546">
        <v>3545</v>
      </c>
      <c r="B3546" s="29" t="s">
        <v>3682</v>
      </c>
      <c r="C3546" s="29"/>
      <c r="D3546" s="29" t="s">
        <v>3683</v>
      </c>
      <c r="E3546" s="29"/>
      <c r="F3546" s="29" t="s">
        <v>3686</v>
      </c>
      <c r="G3546" s="29"/>
      <c r="H3546" s="29" t="s">
        <v>3687</v>
      </c>
      <c r="I3546" s="29"/>
      <c r="J3546" s="29"/>
      <c r="K3546" s="29"/>
      <c r="L3546" s="29"/>
      <c r="M3546" s="29"/>
      <c r="N3546" s="29" t="s">
        <v>4021</v>
      </c>
      <c r="O3546" s="29"/>
      <c r="P3546" s="29" t="s">
        <v>10810</v>
      </c>
      <c r="Q3546" t="s">
        <v>2038</v>
      </c>
      <c r="R3546" t="s">
        <v>2633</v>
      </c>
      <c r="S3546">
        <v>37</v>
      </c>
      <c r="T3546" s="43" t="str">
        <f t="shared" si="164"/>
        <v>2021.010B.R.Binomial_names.zip</v>
      </c>
      <c r="U3546" s="43" t="str">
        <f>HYPERLINK("https://ictv.global/taxonomy/taxondetails?taxnode_id=202207906","ictv.global=202207906")</f>
        <v>ictv.global=202207906</v>
      </c>
    </row>
    <row r="3547" spans="1:21">
      <c r="A3547">
        <v>3546</v>
      </c>
      <c r="B3547" s="29" t="s">
        <v>3682</v>
      </c>
      <c r="C3547" s="29"/>
      <c r="D3547" s="29" t="s">
        <v>3683</v>
      </c>
      <c r="E3547" s="29"/>
      <c r="F3547" s="29" t="s">
        <v>3686</v>
      </c>
      <c r="G3547" s="29"/>
      <c r="H3547" s="29" t="s">
        <v>3687</v>
      </c>
      <c r="I3547" s="29"/>
      <c r="J3547" s="29"/>
      <c r="K3547" s="29"/>
      <c r="L3547" s="29"/>
      <c r="M3547" s="29"/>
      <c r="N3547" s="29" t="s">
        <v>3923</v>
      </c>
      <c r="O3547" s="29"/>
      <c r="P3547" s="29" t="s">
        <v>10811</v>
      </c>
      <c r="Q3547" t="s">
        <v>2038</v>
      </c>
      <c r="R3547" t="s">
        <v>2633</v>
      </c>
      <c r="S3547">
        <v>37</v>
      </c>
      <c r="T3547" s="43" t="str">
        <f t="shared" si="164"/>
        <v>2021.010B.R.Binomial_names.zip</v>
      </c>
      <c r="U3547" s="43" t="str">
        <f>HYPERLINK("https://ictv.global/taxonomy/taxondetails?taxnode_id=202208042","ictv.global=202208042")</f>
        <v>ictv.global=202208042</v>
      </c>
    </row>
    <row r="3548" spans="1:21">
      <c r="A3548">
        <v>3547</v>
      </c>
      <c r="B3548" s="29" t="s">
        <v>3682</v>
      </c>
      <c r="C3548" s="29"/>
      <c r="D3548" s="29" t="s">
        <v>3683</v>
      </c>
      <c r="E3548" s="29"/>
      <c r="F3548" s="29" t="s">
        <v>3686</v>
      </c>
      <c r="G3548" s="29"/>
      <c r="H3548" s="29" t="s">
        <v>3687</v>
      </c>
      <c r="I3548" s="29"/>
      <c r="J3548" s="29"/>
      <c r="K3548" s="29"/>
      <c r="L3548" s="29"/>
      <c r="M3548" s="29"/>
      <c r="N3548" s="29" t="s">
        <v>2060</v>
      </c>
      <c r="O3548" s="29"/>
      <c r="P3548" s="29" t="s">
        <v>10812</v>
      </c>
      <c r="Q3548" t="s">
        <v>2038</v>
      </c>
      <c r="R3548" t="s">
        <v>2633</v>
      </c>
      <c r="S3548">
        <v>37</v>
      </c>
      <c r="T3548" s="43" t="str">
        <f t="shared" si="164"/>
        <v>2021.010B.R.Binomial_names.zip</v>
      </c>
      <c r="U3548" s="43" t="str">
        <f>HYPERLINK("https://ictv.global/taxonomy/taxondetails?taxnode_id=202200456","ictv.global=202200456")</f>
        <v>ictv.global=202200456</v>
      </c>
    </row>
    <row r="3549" spans="1:21">
      <c r="A3549">
        <v>3548</v>
      </c>
      <c r="B3549" s="29" t="s">
        <v>3682</v>
      </c>
      <c r="C3549" s="29"/>
      <c r="D3549" s="29" t="s">
        <v>3683</v>
      </c>
      <c r="E3549" s="29"/>
      <c r="F3549" s="29" t="s">
        <v>3686</v>
      </c>
      <c r="G3549" s="29"/>
      <c r="H3549" s="29" t="s">
        <v>3687</v>
      </c>
      <c r="I3549" s="29"/>
      <c r="J3549" s="29"/>
      <c r="K3549" s="29"/>
      <c r="L3549" s="29"/>
      <c r="M3549" s="29"/>
      <c r="N3549" s="29" t="s">
        <v>2060</v>
      </c>
      <c r="O3549" s="29"/>
      <c r="P3549" s="29" t="s">
        <v>10813</v>
      </c>
      <c r="Q3549" t="s">
        <v>2038</v>
      </c>
      <c r="R3549" t="s">
        <v>2633</v>
      </c>
      <c r="S3549">
        <v>37</v>
      </c>
      <c r="T3549" s="43" t="str">
        <f t="shared" si="164"/>
        <v>2021.010B.R.Binomial_names.zip</v>
      </c>
      <c r="U3549" s="43" t="str">
        <f>HYPERLINK("https://ictv.global/taxonomy/taxondetails?taxnode_id=202200457","ictv.global=202200457")</f>
        <v>ictv.global=202200457</v>
      </c>
    </row>
    <row r="3550" spans="1:21">
      <c r="A3550">
        <v>3549</v>
      </c>
      <c r="B3550" s="29" t="s">
        <v>3682</v>
      </c>
      <c r="C3550" s="29"/>
      <c r="D3550" s="29" t="s">
        <v>3683</v>
      </c>
      <c r="E3550" s="29"/>
      <c r="F3550" s="29" t="s">
        <v>3686</v>
      </c>
      <c r="G3550" s="29"/>
      <c r="H3550" s="29" t="s">
        <v>3687</v>
      </c>
      <c r="I3550" s="29"/>
      <c r="J3550" s="29"/>
      <c r="K3550" s="29"/>
      <c r="L3550" s="29"/>
      <c r="M3550" s="29"/>
      <c r="N3550" s="29" t="s">
        <v>10814</v>
      </c>
      <c r="O3550" s="29"/>
      <c r="P3550" s="29" t="s">
        <v>10815</v>
      </c>
      <c r="Q3550" t="s">
        <v>2038</v>
      </c>
      <c r="R3550" t="s">
        <v>2632</v>
      </c>
      <c r="S3550">
        <v>37</v>
      </c>
      <c r="T3550" s="43" t="str">
        <f>HYPERLINK("https://ictv.global/ictv/proposals/2021.054B.R.Mycoabscvirus.zip","2021.054B.R.Mycoabscvirus.zip")</f>
        <v>2021.054B.R.Mycoabscvirus.zip</v>
      </c>
      <c r="U3550" s="43" t="str">
        <f>HYPERLINK("https://ictv.global/taxonomy/taxondetails?taxnode_id=202212425","ictv.global=202212425")</f>
        <v>ictv.global=202212425</v>
      </c>
    </row>
    <row r="3551" spans="1:21">
      <c r="A3551">
        <v>3550</v>
      </c>
      <c r="B3551" s="29" t="s">
        <v>3682</v>
      </c>
      <c r="C3551" s="29"/>
      <c r="D3551" s="29" t="s">
        <v>3683</v>
      </c>
      <c r="E3551" s="29"/>
      <c r="F3551" s="29" t="s">
        <v>3686</v>
      </c>
      <c r="G3551" s="29"/>
      <c r="H3551" s="29" t="s">
        <v>3687</v>
      </c>
      <c r="I3551" s="29"/>
      <c r="J3551" s="29"/>
      <c r="K3551" s="29"/>
      <c r="L3551" s="29"/>
      <c r="M3551" s="29"/>
      <c r="N3551" s="29" t="s">
        <v>4572</v>
      </c>
      <c r="O3551" s="29"/>
      <c r="P3551" s="29" t="s">
        <v>10816</v>
      </c>
      <c r="Q3551" t="s">
        <v>2038</v>
      </c>
      <c r="R3551" t="s">
        <v>2633</v>
      </c>
      <c r="S3551">
        <v>37</v>
      </c>
      <c r="T3551" s="43" t="str">
        <f>HYPERLINK("https://ictv.global/ictv/proposals/2021.010B.R.Binomial_names.zip","2021.010B.R.Binomial_names.zip")</f>
        <v>2021.010B.R.Binomial_names.zip</v>
      </c>
      <c r="U3551" s="43" t="str">
        <f>HYPERLINK("https://ictv.global/taxonomy/taxondetails?taxnode_id=202211556","ictv.global=202211556")</f>
        <v>ictv.global=202211556</v>
      </c>
    </row>
    <row r="3552" spans="1:21">
      <c r="A3552">
        <v>3551</v>
      </c>
      <c r="B3552" s="29" t="s">
        <v>3682</v>
      </c>
      <c r="C3552" s="29"/>
      <c r="D3552" s="29" t="s">
        <v>3683</v>
      </c>
      <c r="E3552" s="29"/>
      <c r="F3552" s="29" t="s">
        <v>3686</v>
      </c>
      <c r="G3552" s="29"/>
      <c r="H3552" s="29" t="s">
        <v>3687</v>
      </c>
      <c r="I3552" s="29"/>
      <c r="J3552" s="29"/>
      <c r="K3552" s="29"/>
      <c r="L3552" s="29"/>
      <c r="M3552" s="29"/>
      <c r="N3552" s="29" t="s">
        <v>4573</v>
      </c>
      <c r="O3552" s="29"/>
      <c r="P3552" s="29" t="s">
        <v>10817</v>
      </c>
      <c r="Q3552" t="s">
        <v>2038</v>
      </c>
      <c r="R3552" t="s">
        <v>2633</v>
      </c>
      <c r="S3552">
        <v>37</v>
      </c>
      <c r="T3552" s="43" t="str">
        <f>HYPERLINK("https://ictv.global/ictv/proposals/2021.010B.R.Binomial_names.zip","2021.010B.R.Binomial_names.zip")</f>
        <v>2021.010B.R.Binomial_names.zip</v>
      </c>
      <c r="U3552" s="43" t="str">
        <f>HYPERLINK("https://ictv.global/taxonomy/taxondetails?taxnode_id=202211559","ictv.global=202211559")</f>
        <v>ictv.global=202211559</v>
      </c>
    </row>
    <row r="3553" spans="1:21">
      <c r="A3553">
        <v>3552</v>
      </c>
      <c r="B3553" s="29" t="s">
        <v>3682</v>
      </c>
      <c r="C3553" s="29"/>
      <c r="D3553" s="29" t="s">
        <v>3683</v>
      </c>
      <c r="E3553" s="29"/>
      <c r="F3553" s="29" t="s">
        <v>3686</v>
      </c>
      <c r="G3553" s="29"/>
      <c r="H3553" s="29" t="s">
        <v>3687</v>
      </c>
      <c r="I3553" s="29"/>
      <c r="J3553" s="29"/>
      <c r="K3553" s="29"/>
      <c r="L3553" s="29"/>
      <c r="M3553" s="29"/>
      <c r="N3553" s="29" t="s">
        <v>4573</v>
      </c>
      <c r="O3553" s="29"/>
      <c r="P3553" s="29" t="s">
        <v>10818</v>
      </c>
      <c r="Q3553" t="s">
        <v>2038</v>
      </c>
      <c r="R3553" t="s">
        <v>2633</v>
      </c>
      <c r="S3553">
        <v>37</v>
      </c>
      <c r="T3553" s="43" t="str">
        <f>HYPERLINK("https://ictv.global/ictv/proposals/2021.010B.R.Binomial_names.zip","2021.010B.R.Binomial_names.zip")</f>
        <v>2021.010B.R.Binomial_names.zip</v>
      </c>
      <c r="U3553" s="43" t="str">
        <f>HYPERLINK("https://ictv.global/taxonomy/taxondetails?taxnode_id=202211558","ictv.global=202211558")</f>
        <v>ictv.global=202211558</v>
      </c>
    </row>
    <row r="3554" spans="1:21">
      <c r="A3554">
        <v>3553</v>
      </c>
      <c r="B3554" s="29" t="s">
        <v>3682</v>
      </c>
      <c r="C3554" s="29"/>
      <c r="D3554" s="29" t="s">
        <v>3683</v>
      </c>
      <c r="E3554" s="29"/>
      <c r="F3554" s="29" t="s">
        <v>3686</v>
      </c>
      <c r="G3554" s="29"/>
      <c r="H3554" s="29" t="s">
        <v>3687</v>
      </c>
      <c r="I3554" s="29"/>
      <c r="J3554" s="29"/>
      <c r="K3554" s="29"/>
      <c r="L3554" s="29"/>
      <c r="M3554" s="29"/>
      <c r="N3554" s="29" t="s">
        <v>10819</v>
      </c>
      <c r="O3554" s="29"/>
      <c r="P3554" s="29" t="s">
        <v>10820</v>
      </c>
      <c r="Q3554" t="s">
        <v>2038</v>
      </c>
      <c r="R3554" t="s">
        <v>2632</v>
      </c>
      <c r="S3554">
        <v>37</v>
      </c>
      <c r="T3554" s="43" t="str">
        <f>HYPERLINK("https://ictv.global/ictv/proposals/2021.055B.R.Myradeevirus.zip","2021.055B.R.Myradeevirus.zip")</f>
        <v>2021.055B.R.Myradeevirus.zip</v>
      </c>
      <c r="U3554" s="43" t="str">
        <f>HYPERLINK("https://ictv.global/taxonomy/taxondetails?taxnode_id=202212770","ictv.global=202212770")</f>
        <v>ictv.global=202212770</v>
      </c>
    </row>
    <row r="3555" spans="1:21">
      <c r="A3555">
        <v>3554</v>
      </c>
      <c r="B3555" s="29" t="s">
        <v>3682</v>
      </c>
      <c r="C3555" s="29"/>
      <c r="D3555" s="29" t="s">
        <v>3683</v>
      </c>
      <c r="E3555" s="29"/>
      <c r="F3555" s="29" t="s">
        <v>3686</v>
      </c>
      <c r="G3555" s="29"/>
      <c r="H3555" s="29" t="s">
        <v>3687</v>
      </c>
      <c r="I3555" s="29"/>
      <c r="J3555" s="29"/>
      <c r="K3555" s="29"/>
      <c r="L3555" s="29"/>
      <c r="M3555" s="29"/>
      <c r="N3555" s="29" t="s">
        <v>3482</v>
      </c>
      <c r="O3555" s="29"/>
      <c r="P3555" s="29" t="s">
        <v>10821</v>
      </c>
      <c r="Q3555" t="s">
        <v>2038</v>
      </c>
      <c r="R3555" t="s">
        <v>2633</v>
      </c>
      <c r="S3555">
        <v>37</v>
      </c>
      <c r="T3555" s="43" t="str">
        <f>HYPERLINK("https://ictv.global/ictv/proposals/2021.010B.R.Binomial_names.zip","2021.010B.R.Binomial_names.zip")</f>
        <v>2021.010B.R.Binomial_names.zip</v>
      </c>
      <c r="U3555" s="43" t="str">
        <f>HYPERLINK("https://ictv.global/taxonomy/taxondetails?taxnode_id=202206850","ictv.global=202206850")</f>
        <v>ictv.global=202206850</v>
      </c>
    </row>
    <row r="3556" spans="1:21">
      <c r="A3556">
        <v>3555</v>
      </c>
      <c r="B3556" s="29" t="s">
        <v>3682</v>
      </c>
      <c r="C3556" s="29"/>
      <c r="D3556" s="29" t="s">
        <v>3683</v>
      </c>
      <c r="E3556" s="29"/>
      <c r="F3556" s="29" t="s">
        <v>3686</v>
      </c>
      <c r="G3556" s="29"/>
      <c r="H3556" s="29" t="s">
        <v>3687</v>
      </c>
      <c r="I3556" s="29"/>
      <c r="J3556" s="29"/>
      <c r="K3556" s="29"/>
      <c r="L3556" s="29"/>
      <c r="M3556" s="29"/>
      <c r="N3556" s="29" t="s">
        <v>3924</v>
      </c>
      <c r="O3556" s="29"/>
      <c r="P3556" s="29" t="s">
        <v>10822</v>
      </c>
      <c r="Q3556" t="s">
        <v>2038</v>
      </c>
      <c r="R3556" t="s">
        <v>2633</v>
      </c>
      <c r="S3556">
        <v>37</v>
      </c>
      <c r="T3556" s="43" t="str">
        <f>HYPERLINK("https://ictv.global/ictv/proposals/2021.010B.R.Binomial_names.zip","2021.010B.R.Binomial_names.zip")</f>
        <v>2021.010B.R.Binomial_names.zip</v>
      </c>
      <c r="U3556" s="43" t="str">
        <f>HYPERLINK("https://ictv.global/taxonomy/taxondetails?taxnode_id=202200402","ictv.global=202200402")</f>
        <v>ictv.global=202200402</v>
      </c>
    </row>
    <row r="3557" spans="1:21">
      <c r="A3557">
        <v>3556</v>
      </c>
      <c r="B3557" s="29" t="s">
        <v>3682</v>
      </c>
      <c r="C3557" s="29"/>
      <c r="D3557" s="29" t="s">
        <v>3683</v>
      </c>
      <c r="E3557" s="29"/>
      <c r="F3557" s="29" t="s">
        <v>3686</v>
      </c>
      <c r="G3557" s="29"/>
      <c r="H3557" s="29" t="s">
        <v>3687</v>
      </c>
      <c r="I3557" s="29"/>
      <c r="J3557" s="29"/>
      <c r="K3557" s="29"/>
      <c r="L3557" s="29"/>
      <c r="M3557" s="29"/>
      <c r="N3557" s="29" t="s">
        <v>3924</v>
      </c>
      <c r="O3557" s="29"/>
      <c r="P3557" s="29" t="s">
        <v>10823</v>
      </c>
      <c r="Q3557" t="s">
        <v>2038</v>
      </c>
      <c r="R3557" t="s">
        <v>2633</v>
      </c>
      <c r="S3557">
        <v>37</v>
      </c>
      <c r="T3557" s="43" t="str">
        <f>HYPERLINK("https://ictv.global/ictv/proposals/2021.010B.R.Binomial_names.zip","2021.010B.R.Binomial_names.zip")</f>
        <v>2021.010B.R.Binomial_names.zip</v>
      </c>
      <c r="U3557" s="43" t="str">
        <f>HYPERLINK("https://ictv.global/taxonomy/taxondetails?taxnode_id=202200403","ictv.global=202200403")</f>
        <v>ictv.global=202200403</v>
      </c>
    </row>
    <row r="3558" spans="1:21">
      <c r="A3558">
        <v>3557</v>
      </c>
      <c r="B3558" s="29" t="s">
        <v>3682</v>
      </c>
      <c r="C3558" s="29"/>
      <c r="D3558" s="29" t="s">
        <v>3683</v>
      </c>
      <c r="E3558" s="29"/>
      <c r="F3558" s="29" t="s">
        <v>3686</v>
      </c>
      <c r="G3558" s="29"/>
      <c r="H3558" s="29" t="s">
        <v>3687</v>
      </c>
      <c r="I3558" s="29"/>
      <c r="J3558" s="29"/>
      <c r="K3558" s="29"/>
      <c r="L3558" s="29"/>
      <c r="M3558" s="29"/>
      <c r="N3558" s="29" t="s">
        <v>3924</v>
      </c>
      <c r="O3558" s="29"/>
      <c r="P3558" s="29" t="s">
        <v>10824</v>
      </c>
      <c r="Q3558" t="s">
        <v>2038</v>
      </c>
      <c r="R3558" t="s">
        <v>2633</v>
      </c>
      <c r="S3558">
        <v>37</v>
      </c>
      <c r="T3558" s="43" t="str">
        <f>HYPERLINK("https://ictv.global/ictv/proposals/2021.010B.R.Binomial_names.zip","2021.010B.R.Binomial_names.zip")</f>
        <v>2021.010B.R.Binomial_names.zip</v>
      </c>
      <c r="U3558" s="43" t="str">
        <f>HYPERLINK("https://ictv.global/taxonomy/taxondetails?taxnode_id=202200404","ictv.global=202200404")</f>
        <v>ictv.global=202200404</v>
      </c>
    </row>
    <row r="3559" spans="1:21">
      <c r="A3559">
        <v>3558</v>
      </c>
      <c r="B3559" s="29" t="s">
        <v>3682</v>
      </c>
      <c r="C3559" s="29"/>
      <c r="D3559" s="29" t="s">
        <v>3683</v>
      </c>
      <c r="E3559" s="29"/>
      <c r="F3559" s="29" t="s">
        <v>3686</v>
      </c>
      <c r="G3559" s="29"/>
      <c r="H3559" s="29" t="s">
        <v>3687</v>
      </c>
      <c r="I3559" s="29"/>
      <c r="J3559" s="29"/>
      <c r="K3559" s="29"/>
      <c r="L3559" s="29"/>
      <c r="M3559" s="29"/>
      <c r="N3559" s="29" t="s">
        <v>3924</v>
      </c>
      <c r="O3559" s="29"/>
      <c r="P3559" s="29" t="s">
        <v>10825</v>
      </c>
      <c r="Q3559" t="s">
        <v>2038</v>
      </c>
      <c r="R3559" t="s">
        <v>2633</v>
      </c>
      <c r="S3559">
        <v>37</v>
      </c>
      <c r="T3559" s="43" t="str">
        <f>HYPERLINK("https://ictv.global/ictv/proposals/2021.010B.R.Binomial_names.zip","2021.010B.R.Binomial_names.zip")</f>
        <v>2021.010B.R.Binomial_names.zip</v>
      </c>
      <c r="U3559" s="43" t="str">
        <f>HYPERLINK("https://ictv.global/taxonomy/taxondetails?taxnode_id=202200405","ictv.global=202200405")</f>
        <v>ictv.global=202200405</v>
      </c>
    </row>
    <row r="3560" spans="1:21">
      <c r="A3560">
        <v>3559</v>
      </c>
      <c r="B3560" s="29" t="s">
        <v>3682</v>
      </c>
      <c r="C3560" s="29"/>
      <c r="D3560" s="29" t="s">
        <v>3683</v>
      </c>
      <c r="E3560" s="29"/>
      <c r="F3560" s="29" t="s">
        <v>3686</v>
      </c>
      <c r="G3560" s="29"/>
      <c r="H3560" s="29" t="s">
        <v>3687</v>
      </c>
      <c r="I3560" s="29"/>
      <c r="J3560" s="29"/>
      <c r="K3560" s="29"/>
      <c r="L3560" s="29"/>
      <c r="M3560" s="29"/>
      <c r="N3560" s="29" t="s">
        <v>10826</v>
      </c>
      <c r="O3560" s="29"/>
      <c r="P3560" s="29" t="s">
        <v>10827</v>
      </c>
      <c r="Q3560" t="s">
        <v>2038</v>
      </c>
      <c r="R3560" t="s">
        <v>2632</v>
      </c>
      <c r="S3560">
        <v>38</v>
      </c>
      <c r="T3560" s="43" t="str">
        <f>HYPERLINK("https://ictv.global/ictv/proposals/2022.058B.Caudoviricetes_3ng.zip","2022.058B.Caudoviricetes_3ng.zip")</f>
        <v>2022.058B.Caudoviricetes_3ng.zip</v>
      </c>
      <c r="U3560" s="43" t="str">
        <f>HYPERLINK("https://ictv.global/taxonomy/taxondetails?taxnode_id=202214702","ictv.global=202214702")</f>
        <v>ictv.global=202214702</v>
      </c>
    </row>
    <row r="3561" spans="1:21">
      <c r="A3561">
        <v>3560</v>
      </c>
      <c r="B3561" s="29" t="s">
        <v>3682</v>
      </c>
      <c r="C3561" s="29"/>
      <c r="D3561" s="29" t="s">
        <v>3683</v>
      </c>
      <c r="E3561" s="29"/>
      <c r="F3561" s="29" t="s">
        <v>3686</v>
      </c>
      <c r="G3561" s="29"/>
      <c r="H3561" s="29" t="s">
        <v>3687</v>
      </c>
      <c r="I3561" s="29"/>
      <c r="J3561" s="29"/>
      <c r="K3561" s="29"/>
      <c r="L3561" s="29"/>
      <c r="M3561" s="29"/>
      <c r="N3561" s="29" t="s">
        <v>3572</v>
      </c>
      <c r="O3561" s="29"/>
      <c r="P3561" s="29" t="s">
        <v>10828</v>
      </c>
      <c r="Q3561" t="s">
        <v>2038</v>
      </c>
      <c r="R3561" t="s">
        <v>2633</v>
      </c>
      <c r="S3561">
        <v>37</v>
      </c>
      <c r="T3561" s="43" t="str">
        <f t="shared" ref="T3561:T3574" si="165">HYPERLINK("https://ictv.global/ictv/proposals/2021.010B.R.Binomial_names.zip","2021.010B.R.Binomial_names.zip")</f>
        <v>2021.010B.R.Binomial_names.zip</v>
      </c>
      <c r="U3561" s="43" t="str">
        <f>HYPERLINK("https://ictv.global/taxonomy/taxondetails?taxnode_id=202206879","ictv.global=202206879")</f>
        <v>ictv.global=202206879</v>
      </c>
    </row>
    <row r="3562" spans="1:21">
      <c r="A3562">
        <v>3561</v>
      </c>
      <c r="B3562" s="29" t="s">
        <v>3682</v>
      </c>
      <c r="C3562" s="29"/>
      <c r="D3562" s="29" t="s">
        <v>3683</v>
      </c>
      <c r="E3562" s="29"/>
      <c r="F3562" s="29" t="s">
        <v>3686</v>
      </c>
      <c r="G3562" s="29"/>
      <c r="H3562" s="29" t="s">
        <v>3687</v>
      </c>
      <c r="I3562" s="29"/>
      <c r="J3562" s="29"/>
      <c r="K3562" s="29"/>
      <c r="L3562" s="29"/>
      <c r="M3562" s="29"/>
      <c r="N3562" s="29" t="s">
        <v>3419</v>
      </c>
      <c r="O3562" s="29"/>
      <c r="P3562" s="29" t="s">
        <v>10829</v>
      </c>
      <c r="Q3562" t="s">
        <v>2038</v>
      </c>
      <c r="R3562" t="s">
        <v>2633</v>
      </c>
      <c r="S3562">
        <v>37</v>
      </c>
      <c r="T3562" s="43" t="str">
        <f t="shared" si="165"/>
        <v>2021.010B.R.Binomial_names.zip</v>
      </c>
      <c r="U3562" s="43" t="str">
        <f>HYPERLINK("https://ictv.global/taxonomy/taxondetails?taxnode_id=202200440","ictv.global=202200440")</f>
        <v>ictv.global=202200440</v>
      </c>
    </row>
    <row r="3563" spans="1:21">
      <c r="A3563">
        <v>3562</v>
      </c>
      <c r="B3563" s="29" t="s">
        <v>3682</v>
      </c>
      <c r="C3563" s="29"/>
      <c r="D3563" s="29" t="s">
        <v>3683</v>
      </c>
      <c r="E3563" s="29"/>
      <c r="F3563" s="29" t="s">
        <v>3686</v>
      </c>
      <c r="G3563" s="29"/>
      <c r="H3563" s="29" t="s">
        <v>3687</v>
      </c>
      <c r="I3563" s="29"/>
      <c r="J3563" s="29"/>
      <c r="K3563" s="29"/>
      <c r="L3563" s="29"/>
      <c r="M3563" s="29"/>
      <c r="N3563" s="29" t="s">
        <v>3419</v>
      </c>
      <c r="O3563" s="29"/>
      <c r="P3563" s="29" t="s">
        <v>10830</v>
      </c>
      <c r="Q3563" t="s">
        <v>2038</v>
      </c>
      <c r="R3563" t="s">
        <v>2633</v>
      </c>
      <c r="S3563">
        <v>37</v>
      </c>
      <c r="T3563" s="43" t="str">
        <f t="shared" si="165"/>
        <v>2021.010B.R.Binomial_names.zip</v>
      </c>
      <c r="U3563" s="43" t="str">
        <f>HYPERLINK("https://ictv.global/taxonomy/taxondetails?taxnode_id=202207000","ictv.global=202207000")</f>
        <v>ictv.global=202207000</v>
      </c>
    </row>
    <row r="3564" spans="1:21">
      <c r="A3564">
        <v>3563</v>
      </c>
      <c r="B3564" s="29" t="s">
        <v>3682</v>
      </c>
      <c r="C3564" s="29"/>
      <c r="D3564" s="29" t="s">
        <v>3683</v>
      </c>
      <c r="E3564" s="29"/>
      <c r="F3564" s="29" t="s">
        <v>3686</v>
      </c>
      <c r="G3564" s="29"/>
      <c r="H3564" s="29" t="s">
        <v>3687</v>
      </c>
      <c r="I3564" s="29"/>
      <c r="J3564" s="29"/>
      <c r="K3564" s="29"/>
      <c r="L3564" s="29"/>
      <c r="M3564" s="29"/>
      <c r="N3564" s="29" t="s">
        <v>3419</v>
      </c>
      <c r="O3564" s="29"/>
      <c r="P3564" s="29" t="s">
        <v>10831</v>
      </c>
      <c r="Q3564" t="s">
        <v>2038</v>
      </c>
      <c r="R3564" t="s">
        <v>2633</v>
      </c>
      <c r="S3564">
        <v>37</v>
      </c>
      <c r="T3564" s="43" t="str">
        <f t="shared" si="165"/>
        <v>2021.010B.R.Binomial_names.zip</v>
      </c>
      <c r="U3564" s="43" t="str">
        <f>HYPERLINK("https://ictv.global/taxonomy/taxondetails?taxnode_id=202200441","ictv.global=202200441")</f>
        <v>ictv.global=202200441</v>
      </c>
    </row>
    <row r="3565" spans="1:21">
      <c r="A3565">
        <v>3564</v>
      </c>
      <c r="B3565" s="29" t="s">
        <v>3682</v>
      </c>
      <c r="C3565" s="29"/>
      <c r="D3565" s="29" t="s">
        <v>3683</v>
      </c>
      <c r="E3565" s="29"/>
      <c r="F3565" s="29" t="s">
        <v>3686</v>
      </c>
      <c r="G3565" s="29"/>
      <c r="H3565" s="29" t="s">
        <v>3687</v>
      </c>
      <c r="I3565" s="29"/>
      <c r="J3565" s="29"/>
      <c r="K3565" s="29"/>
      <c r="L3565" s="29"/>
      <c r="M3565" s="29"/>
      <c r="N3565" s="29" t="s">
        <v>3419</v>
      </c>
      <c r="O3565" s="29"/>
      <c r="P3565" s="29" t="s">
        <v>10832</v>
      </c>
      <c r="Q3565" t="s">
        <v>2038</v>
      </c>
      <c r="R3565" t="s">
        <v>2633</v>
      </c>
      <c r="S3565">
        <v>37</v>
      </c>
      <c r="T3565" s="43" t="str">
        <f t="shared" si="165"/>
        <v>2021.010B.R.Binomial_names.zip</v>
      </c>
      <c r="U3565" s="43" t="str">
        <f>HYPERLINK("https://ictv.global/taxonomy/taxondetails?taxnode_id=202200442","ictv.global=202200442")</f>
        <v>ictv.global=202200442</v>
      </c>
    </row>
    <row r="3566" spans="1:21">
      <c r="A3566">
        <v>3565</v>
      </c>
      <c r="B3566" s="29" t="s">
        <v>3682</v>
      </c>
      <c r="C3566" s="29"/>
      <c r="D3566" s="29" t="s">
        <v>3683</v>
      </c>
      <c r="E3566" s="29"/>
      <c r="F3566" s="29" t="s">
        <v>3686</v>
      </c>
      <c r="G3566" s="29"/>
      <c r="H3566" s="29" t="s">
        <v>3687</v>
      </c>
      <c r="I3566" s="29"/>
      <c r="J3566" s="29"/>
      <c r="K3566" s="29"/>
      <c r="L3566" s="29"/>
      <c r="M3566" s="29"/>
      <c r="N3566" s="29" t="s">
        <v>3419</v>
      </c>
      <c r="O3566" s="29"/>
      <c r="P3566" s="29" t="s">
        <v>10833</v>
      </c>
      <c r="Q3566" t="s">
        <v>2038</v>
      </c>
      <c r="R3566" t="s">
        <v>2633</v>
      </c>
      <c r="S3566">
        <v>37</v>
      </c>
      <c r="T3566" s="43" t="str">
        <f t="shared" si="165"/>
        <v>2021.010B.R.Binomial_names.zip</v>
      </c>
      <c r="U3566" s="43" t="str">
        <f>HYPERLINK("https://ictv.global/taxonomy/taxondetails?taxnode_id=202207001","ictv.global=202207001")</f>
        <v>ictv.global=202207001</v>
      </c>
    </row>
    <row r="3567" spans="1:21">
      <c r="A3567">
        <v>3566</v>
      </c>
      <c r="B3567" s="29" t="s">
        <v>3682</v>
      </c>
      <c r="C3567" s="29"/>
      <c r="D3567" s="29" t="s">
        <v>3683</v>
      </c>
      <c r="E3567" s="29"/>
      <c r="F3567" s="29" t="s">
        <v>3686</v>
      </c>
      <c r="G3567" s="29"/>
      <c r="H3567" s="29" t="s">
        <v>3687</v>
      </c>
      <c r="I3567" s="29"/>
      <c r="J3567" s="29"/>
      <c r="K3567" s="29"/>
      <c r="L3567" s="29"/>
      <c r="M3567" s="29"/>
      <c r="N3567" s="29" t="s">
        <v>4022</v>
      </c>
      <c r="O3567" s="29"/>
      <c r="P3567" s="29" t="s">
        <v>10834</v>
      </c>
      <c r="Q3567" t="s">
        <v>2038</v>
      </c>
      <c r="R3567" t="s">
        <v>2633</v>
      </c>
      <c r="S3567">
        <v>37</v>
      </c>
      <c r="T3567" s="43" t="str">
        <f t="shared" si="165"/>
        <v>2021.010B.R.Binomial_names.zip</v>
      </c>
      <c r="U3567" s="43" t="str">
        <f>HYPERLINK("https://ictv.global/taxonomy/taxondetails?taxnode_id=202207931","ictv.global=202207931")</f>
        <v>ictv.global=202207931</v>
      </c>
    </row>
    <row r="3568" spans="1:21">
      <c r="A3568">
        <v>3567</v>
      </c>
      <c r="B3568" s="29" t="s">
        <v>3682</v>
      </c>
      <c r="C3568" s="29"/>
      <c r="D3568" s="29" t="s">
        <v>3683</v>
      </c>
      <c r="E3568" s="29"/>
      <c r="F3568" s="29" t="s">
        <v>3686</v>
      </c>
      <c r="G3568" s="29"/>
      <c r="H3568" s="29" t="s">
        <v>3687</v>
      </c>
      <c r="I3568" s="29"/>
      <c r="J3568" s="29"/>
      <c r="K3568" s="29"/>
      <c r="L3568" s="29"/>
      <c r="M3568" s="29"/>
      <c r="N3568" s="29" t="s">
        <v>4759</v>
      </c>
      <c r="O3568" s="29"/>
      <c r="P3568" s="29" t="s">
        <v>10835</v>
      </c>
      <c r="Q3568" t="s">
        <v>2038</v>
      </c>
      <c r="R3568" t="s">
        <v>2633</v>
      </c>
      <c r="S3568">
        <v>37</v>
      </c>
      <c r="T3568" s="43" t="str">
        <f t="shared" si="165"/>
        <v>2021.010B.R.Binomial_names.zip</v>
      </c>
      <c r="U3568" s="43" t="str">
        <f>HYPERLINK("https://ictv.global/taxonomy/taxondetails?taxnode_id=202209358","ictv.global=202209358")</f>
        <v>ictv.global=202209358</v>
      </c>
    </row>
    <row r="3569" spans="1:21">
      <c r="A3569">
        <v>3568</v>
      </c>
      <c r="B3569" s="29" t="s">
        <v>3682</v>
      </c>
      <c r="C3569" s="29"/>
      <c r="D3569" s="29" t="s">
        <v>3683</v>
      </c>
      <c r="E3569" s="29"/>
      <c r="F3569" s="29" t="s">
        <v>3686</v>
      </c>
      <c r="G3569" s="29"/>
      <c r="H3569" s="29" t="s">
        <v>3687</v>
      </c>
      <c r="I3569" s="29"/>
      <c r="J3569" s="29"/>
      <c r="K3569" s="29"/>
      <c r="L3569" s="29"/>
      <c r="M3569" s="29"/>
      <c r="N3569" s="29" t="s">
        <v>4759</v>
      </c>
      <c r="O3569" s="29"/>
      <c r="P3569" s="29" t="s">
        <v>10836</v>
      </c>
      <c r="Q3569" t="s">
        <v>2038</v>
      </c>
      <c r="R3569" t="s">
        <v>2633</v>
      </c>
      <c r="S3569">
        <v>37</v>
      </c>
      <c r="T3569" s="43" t="str">
        <f t="shared" si="165"/>
        <v>2021.010B.R.Binomial_names.zip</v>
      </c>
      <c r="U3569" s="43" t="str">
        <f>HYPERLINK("https://ictv.global/taxonomy/taxondetails?taxnode_id=202209357","ictv.global=202209357")</f>
        <v>ictv.global=202209357</v>
      </c>
    </row>
    <row r="3570" spans="1:21">
      <c r="A3570">
        <v>3569</v>
      </c>
      <c r="B3570" s="29" t="s">
        <v>3682</v>
      </c>
      <c r="C3570" s="29"/>
      <c r="D3570" s="29" t="s">
        <v>3683</v>
      </c>
      <c r="E3570" s="29"/>
      <c r="F3570" s="29" t="s">
        <v>3686</v>
      </c>
      <c r="G3570" s="29"/>
      <c r="H3570" s="29" t="s">
        <v>3687</v>
      </c>
      <c r="I3570" s="29"/>
      <c r="J3570" s="29"/>
      <c r="K3570" s="29"/>
      <c r="L3570" s="29"/>
      <c r="M3570" s="29"/>
      <c r="N3570" s="29" t="s">
        <v>4760</v>
      </c>
      <c r="O3570" s="29"/>
      <c r="P3570" s="29" t="s">
        <v>10837</v>
      </c>
      <c r="Q3570" t="s">
        <v>2038</v>
      </c>
      <c r="R3570" t="s">
        <v>2633</v>
      </c>
      <c r="S3570">
        <v>37</v>
      </c>
      <c r="T3570" s="43" t="str">
        <f t="shared" si="165"/>
        <v>2021.010B.R.Binomial_names.zip</v>
      </c>
      <c r="U3570" s="43" t="str">
        <f>HYPERLINK("https://ictv.global/taxonomy/taxondetails?taxnode_id=202211561","ictv.global=202211561")</f>
        <v>ictv.global=202211561</v>
      </c>
    </row>
    <row r="3571" spans="1:21">
      <c r="A3571">
        <v>3570</v>
      </c>
      <c r="B3571" s="29" t="s">
        <v>3682</v>
      </c>
      <c r="C3571" s="29"/>
      <c r="D3571" s="29" t="s">
        <v>3683</v>
      </c>
      <c r="E3571" s="29"/>
      <c r="F3571" s="29" t="s">
        <v>3686</v>
      </c>
      <c r="G3571" s="29"/>
      <c r="H3571" s="29" t="s">
        <v>3687</v>
      </c>
      <c r="I3571" s="29"/>
      <c r="J3571" s="29"/>
      <c r="K3571" s="29"/>
      <c r="L3571" s="29"/>
      <c r="M3571" s="29"/>
      <c r="N3571" s="29" t="s">
        <v>4760</v>
      </c>
      <c r="O3571" s="29"/>
      <c r="P3571" s="29" t="s">
        <v>10838</v>
      </c>
      <c r="Q3571" t="s">
        <v>2038</v>
      </c>
      <c r="R3571" t="s">
        <v>2633</v>
      </c>
      <c r="S3571">
        <v>37</v>
      </c>
      <c r="T3571" s="43" t="str">
        <f t="shared" si="165"/>
        <v>2021.010B.R.Binomial_names.zip</v>
      </c>
      <c r="U3571" s="43" t="str">
        <f>HYPERLINK("https://ictv.global/taxonomy/taxondetails?taxnode_id=202211563","ictv.global=202211563")</f>
        <v>ictv.global=202211563</v>
      </c>
    </row>
    <row r="3572" spans="1:21">
      <c r="A3572">
        <v>3571</v>
      </c>
      <c r="B3572" s="29" t="s">
        <v>3682</v>
      </c>
      <c r="C3572" s="29"/>
      <c r="D3572" s="29" t="s">
        <v>3683</v>
      </c>
      <c r="E3572" s="29"/>
      <c r="F3572" s="29" t="s">
        <v>3686</v>
      </c>
      <c r="G3572" s="29"/>
      <c r="H3572" s="29" t="s">
        <v>3687</v>
      </c>
      <c r="I3572" s="29"/>
      <c r="J3572" s="29"/>
      <c r="K3572" s="29"/>
      <c r="L3572" s="29"/>
      <c r="M3572" s="29"/>
      <c r="N3572" s="29" t="s">
        <v>4760</v>
      </c>
      <c r="O3572" s="29"/>
      <c r="P3572" s="29" t="s">
        <v>10839</v>
      </c>
      <c r="Q3572" t="s">
        <v>2038</v>
      </c>
      <c r="R3572" t="s">
        <v>2633</v>
      </c>
      <c r="S3572">
        <v>37</v>
      </c>
      <c r="T3572" s="43" t="str">
        <f t="shared" si="165"/>
        <v>2021.010B.R.Binomial_names.zip</v>
      </c>
      <c r="U3572" s="43" t="str">
        <f>HYPERLINK("https://ictv.global/taxonomy/taxondetails?taxnode_id=202211564","ictv.global=202211564")</f>
        <v>ictv.global=202211564</v>
      </c>
    </row>
    <row r="3573" spans="1:21">
      <c r="A3573">
        <v>3572</v>
      </c>
      <c r="B3573" s="29" t="s">
        <v>3682</v>
      </c>
      <c r="C3573" s="29"/>
      <c r="D3573" s="29" t="s">
        <v>3683</v>
      </c>
      <c r="E3573" s="29"/>
      <c r="F3573" s="29" t="s">
        <v>3686</v>
      </c>
      <c r="G3573" s="29"/>
      <c r="H3573" s="29" t="s">
        <v>3687</v>
      </c>
      <c r="I3573" s="29"/>
      <c r="J3573" s="29"/>
      <c r="K3573" s="29"/>
      <c r="L3573" s="29"/>
      <c r="M3573" s="29"/>
      <c r="N3573" s="29" t="s">
        <v>4760</v>
      </c>
      <c r="O3573" s="29"/>
      <c r="P3573" s="29" t="s">
        <v>10840</v>
      </c>
      <c r="Q3573" t="s">
        <v>2038</v>
      </c>
      <c r="R3573" t="s">
        <v>2633</v>
      </c>
      <c r="S3573">
        <v>37</v>
      </c>
      <c r="T3573" s="43" t="str">
        <f t="shared" si="165"/>
        <v>2021.010B.R.Binomial_names.zip</v>
      </c>
      <c r="U3573" s="43" t="str">
        <f>HYPERLINK("https://ictv.global/taxonomy/taxondetails?taxnode_id=202211562","ictv.global=202211562")</f>
        <v>ictv.global=202211562</v>
      </c>
    </row>
    <row r="3574" spans="1:21">
      <c r="A3574">
        <v>3573</v>
      </c>
      <c r="B3574" s="29" t="s">
        <v>3682</v>
      </c>
      <c r="C3574" s="29"/>
      <c r="D3574" s="29" t="s">
        <v>3683</v>
      </c>
      <c r="E3574" s="29"/>
      <c r="F3574" s="29" t="s">
        <v>3686</v>
      </c>
      <c r="G3574" s="29"/>
      <c r="H3574" s="29" t="s">
        <v>3687</v>
      </c>
      <c r="I3574" s="29"/>
      <c r="J3574" s="29"/>
      <c r="K3574" s="29"/>
      <c r="L3574" s="29"/>
      <c r="M3574" s="29"/>
      <c r="N3574" s="29" t="s">
        <v>3573</v>
      </c>
      <c r="O3574" s="29"/>
      <c r="P3574" s="29" t="s">
        <v>10841</v>
      </c>
      <c r="Q3574" t="s">
        <v>2038</v>
      </c>
      <c r="R3574" t="s">
        <v>2633</v>
      </c>
      <c r="S3574">
        <v>37</v>
      </c>
      <c r="T3574" s="43" t="str">
        <f t="shared" si="165"/>
        <v>2021.010B.R.Binomial_names.zip</v>
      </c>
      <c r="U3574" s="43" t="str">
        <f>HYPERLINK("https://ictv.global/taxonomy/taxondetails?taxnode_id=202206852","ictv.global=202206852")</f>
        <v>ictv.global=202206852</v>
      </c>
    </row>
    <row r="3575" spans="1:21">
      <c r="A3575">
        <v>3574</v>
      </c>
      <c r="B3575" s="29" t="s">
        <v>3682</v>
      </c>
      <c r="C3575" s="29"/>
      <c r="D3575" s="29" t="s">
        <v>3683</v>
      </c>
      <c r="E3575" s="29"/>
      <c r="F3575" s="29" t="s">
        <v>3686</v>
      </c>
      <c r="G3575" s="29"/>
      <c r="H3575" s="29" t="s">
        <v>3687</v>
      </c>
      <c r="I3575" s="29"/>
      <c r="J3575" s="29"/>
      <c r="K3575" s="29"/>
      <c r="L3575" s="29"/>
      <c r="M3575" s="29"/>
      <c r="N3575" s="29" t="s">
        <v>10842</v>
      </c>
      <c r="O3575" s="29"/>
      <c r="P3575" s="29" t="s">
        <v>10843</v>
      </c>
      <c r="Q3575" t="s">
        <v>2038</v>
      </c>
      <c r="R3575" t="s">
        <v>2632</v>
      </c>
      <c r="S3575">
        <v>38</v>
      </c>
      <c r="T3575" s="43" t="str">
        <f>HYPERLINK("https://ictv.global/ictv/proposals/2022.056B.Nimduovirus_ng.zip","2022.056B.Nimduovirus_ng.zip")</f>
        <v>2022.056B.Nimduovirus_ng.zip</v>
      </c>
      <c r="U3575" s="43" t="str">
        <f>HYPERLINK("https://ictv.global/taxonomy/taxondetails?taxnode_id=202214694","ictv.global=202214694")</f>
        <v>ictv.global=202214694</v>
      </c>
    </row>
    <row r="3576" spans="1:21">
      <c r="A3576">
        <v>3575</v>
      </c>
      <c r="B3576" s="29" t="s">
        <v>3682</v>
      </c>
      <c r="C3576" s="29"/>
      <c r="D3576" s="29" t="s">
        <v>3683</v>
      </c>
      <c r="E3576" s="29"/>
      <c r="F3576" s="29" t="s">
        <v>3686</v>
      </c>
      <c r="G3576" s="29"/>
      <c r="H3576" s="29" t="s">
        <v>3687</v>
      </c>
      <c r="I3576" s="29"/>
      <c r="J3576" s="29"/>
      <c r="K3576" s="29"/>
      <c r="L3576" s="29"/>
      <c r="M3576" s="29"/>
      <c r="N3576" s="29" t="s">
        <v>2071</v>
      </c>
      <c r="O3576" s="29"/>
      <c r="P3576" s="29" t="s">
        <v>10844</v>
      </c>
      <c r="Q3576" t="s">
        <v>2038</v>
      </c>
      <c r="R3576" t="s">
        <v>2633</v>
      </c>
      <c r="S3576">
        <v>37</v>
      </c>
      <c r="T3576" s="43" t="str">
        <f>HYPERLINK("https://ictv.global/ictv/proposals/2021.010B.R.Binomial_names.zip","2021.010B.R.Binomial_names.zip")</f>
        <v>2021.010B.R.Binomial_names.zip</v>
      </c>
      <c r="U3576" s="43" t="str">
        <f>HYPERLINK("https://ictv.global/taxonomy/taxondetails?taxnode_id=202200674","ictv.global=202200674")</f>
        <v>ictv.global=202200674</v>
      </c>
    </row>
    <row r="3577" spans="1:21">
      <c r="A3577">
        <v>3576</v>
      </c>
      <c r="B3577" s="29" t="s">
        <v>3682</v>
      </c>
      <c r="C3577" s="29"/>
      <c r="D3577" s="29" t="s">
        <v>3683</v>
      </c>
      <c r="E3577" s="29"/>
      <c r="F3577" s="29" t="s">
        <v>3686</v>
      </c>
      <c r="G3577" s="29"/>
      <c r="H3577" s="29" t="s">
        <v>3687</v>
      </c>
      <c r="I3577" s="29"/>
      <c r="J3577" s="29"/>
      <c r="K3577" s="29"/>
      <c r="L3577" s="29"/>
      <c r="M3577" s="29"/>
      <c r="N3577" s="29" t="s">
        <v>2071</v>
      </c>
      <c r="O3577" s="29"/>
      <c r="P3577" s="29" t="s">
        <v>10845</v>
      </c>
      <c r="Q3577" t="s">
        <v>2038</v>
      </c>
      <c r="R3577" t="s">
        <v>2633</v>
      </c>
      <c r="S3577">
        <v>37</v>
      </c>
      <c r="T3577" s="43" t="str">
        <f>HYPERLINK("https://ictv.global/ictv/proposals/2021.010B.R.Binomial_names.zip","2021.010B.R.Binomial_names.zip")</f>
        <v>2021.010B.R.Binomial_names.zip</v>
      </c>
      <c r="U3577" s="43" t="str">
        <f>HYPERLINK("https://ictv.global/taxonomy/taxondetails?taxnode_id=202200675","ictv.global=202200675")</f>
        <v>ictv.global=202200675</v>
      </c>
    </row>
    <row r="3578" spans="1:21">
      <c r="A3578">
        <v>3577</v>
      </c>
      <c r="B3578" s="29" t="s">
        <v>3682</v>
      </c>
      <c r="C3578" s="29"/>
      <c r="D3578" s="29" t="s">
        <v>3683</v>
      </c>
      <c r="E3578" s="29"/>
      <c r="F3578" s="29" t="s">
        <v>3686</v>
      </c>
      <c r="G3578" s="29"/>
      <c r="H3578" s="29" t="s">
        <v>3687</v>
      </c>
      <c r="I3578" s="29"/>
      <c r="J3578" s="29"/>
      <c r="K3578" s="29"/>
      <c r="L3578" s="29"/>
      <c r="M3578" s="29"/>
      <c r="N3578" s="29" t="s">
        <v>10846</v>
      </c>
      <c r="O3578" s="29"/>
      <c r="P3578" s="29" t="s">
        <v>10847</v>
      </c>
      <c r="Q3578" t="s">
        <v>2038</v>
      </c>
      <c r="R3578" t="s">
        <v>2632</v>
      </c>
      <c r="S3578">
        <v>38</v>
      </c>
      <c r="T3578" s="43" t="str">
        <f>HYPERLINK("https://ictv.global/ictv/proposals/2022.057B.Northamptonvirus_ng.zip","2022.057B.Northamptonvirus_ng.zip")</f>
        <v>2022.057B.Northamptonvirus_ng.zip</v>
      </c>
      <c r="U3578" s="43" t="str">
        <f>HYPERLINK("https://ictv.global/taxonomy/taxondetails?taxnode_id=202214696","ictv.global=202214696")</f>
        <v>ictv.global=202214696</v>
      </c>
    </row>
    <row r="3579" spans="1:21">
      <c r="A3579">
        <v>3578</v>
      </c>
      <c r="B3579" s="29" t="s">
        <v>3682</v>
      </c>
      <c r="C3579" s="29"/>
      <c r="D3579" s="29" t="s">
        <v>3683</v>
      </c>
      <c r="E3579" s="29"/>
      <c r="F3579" s="29" t="s">
        <v>3686</v>
      </c>
      <c r="G3579" s="29"/>
      <c r="H3579" s="29" t="s">
        <v>3687</v>
      </c>
      <c r="I3579" s="29"/>
      <c r="J3579" s="29"/>
      <c r="K3579" s="29"/>
      <c r="L3579" s="29"/>
      <c r="M3579" s="29"/>
      <c r="N3579" s="29" t="s">
        <v>10846</v>
      </c>
      <c r="O3579" s="29"/>
      <c r="P3579" s="29" t="s">
        <v>10848</v>
      </c>
      <c r="Q3579" t="s">
        <v>2038</v>
      </c>
      <c r="R3579" t="s">
        <v>2632</v>
      </c>
      <c r="S3579">
        <v>38</v>
      </c>
      <c r="T3579" s="43" t="str">
        <f>HYPERLINK("https://ictv.global/ictv/proposals/2022.057B.Northamptonvirus_ng.zip","2022.057B.Northamptonvirus_ng.zip")</f>
        <v>2022.057B.Northamptonvirus_ng.zip</v>
      </c>
      <c r="U3579" s="43" t="str">
        <f>HYPERLINK("https://ictv.global/taxonomy/taxondetails?taxnode_id=202214697","ictv.global=202214697")</f>
        <v>ictv.global=202214697</v>
      </c>
    </row>
    <row r="3580" spans="1:21">
      <c r="A3580">
        <v>3579</v>
      </c>
      <c r="B3580" s="29" t="s">
        <v>3682</v>
      </c>
      <c r="C3580" s="29"/>
      <c r="D3580" s="29" t="s">
        <v>3683</v>
      </c>
      <c r="E3580" s="29"/>
      <c r="F3580" s="29" t="s">
        <v>3686</v>
      </c>
      <c r="G3580" s="29"/>
      <c r="H3580" s="29" t="s">
        <v>3687</v>
      </c>
      <c r="I3580" s="29"/>
      <c r="J3580" s="29"/>
      <c r="K3580" s="29"/>
      <c r="L3580" s="29"/>
      <c r="M3580" s="29"/>
      <c r="N3580" s="29" t="s">
        <v>3423</v>
      </c>
      <c r="O3580" s="29"/>
      <c r="P3580" s="29" t="s">
        <v>10849</v>
      </c>
      <c r="Q3580" t="s">
        <v>2038</v>
      </c>
      <c r="R3580" t="s">
        <v>2633</v>
      </c>
      <c r="S3580">
        <v>37</v>
      </c>
      <c r="T3580" s="43" t="str">
        <f t="shared" ref="T3580:T3600" si="166">HYPERLINK("https://ictv.global/ictv/proposals/2021.010B.R.Binomial_names.zip","2021.010B.R.Binomial_names.zip")</f>
        <v>2021.010B.R.Binomial_names.zip</v>
      </c>
      <c r="U3580" s="43" t="str">
        <f>HYPERLINK("https://ictv.global/taxonomy/taxondetails?taxnode_id=202206327","ictv.global=202206327")</f>
        <v>ictv.global=202206327</v>
      </c>
    </row>
    <row r="3581" spans="1:21">
      <c r="A3581">
        <v>3580</v>
      </c>
      <c r="B3581" s="29" t="s">
        <v>3682</v>
      </c>
      <c r="C3581" s="29"/>
      <c r="D3581" s="29" t="s">
        <v>3683</v>
      </c>
      <c r="E3581" s="29"/>
      <c r="F3581" s="29" t="s">
        <v>3686</v>
      </c>
      <c r="G3581" s="29"/>
      <c r="H3581" s="29" t="s">
        <v>3687</v>
      </c>
      <c r="I3581" s="29"/>
      <c r="J3581" s="29"/>
      <c r="K3581" s="29"/>
      <c r="L3581" s="29"/>
      <c r="M3581" s="29"/>
      <c r="N3581" s="29" t="s">
        <v>3576</v>
      </c>
      <c r="O3581" s="29"/>
      <c r="P3581" s="29" t="s">
        <v>10850</v>
      </c>
      <c r="Q3581" t="s">
        <v>2038</v>
      </c>
      <c r="R3581" t="s">
        <v>2633</v>
      </c>
      <c r="S3581">
        <v>37</v>
      </c>
      <c r="T3581" s="43" t="str">
        <f t="shared" si="166"/>
        <v>2021.010B.R.Binomial_names.zip</v>
      </c>
      <c r="U3581" s="43" t="str">
        <f>HYPERLINK("https://ictv.global/taxonomy/taxondetails?taxnode_id=202206692","ictv.global=202206692")</f>
        <v>ictv.global=202206692</v>
      </c>
    </row>
    <row r="3582" spans="1:21">
      <c r="A3582">
        <v>3581</v>
      </c>
      <c r="B3582" s="29" t="s">
        <v>3682</v>
      </c>
      <c r="C3582" s="29"/>
      <c r="D3582" s="29" t="s">
        <v>3683</v>
      </c>
      <c r="E3582" s="29"/>
      <c r="F3582" s="29" t="s">
        <v>3686</v>
      </c>
      <c r="G3582" s="29"/>
      <c r="H3582" s="29" t="s">
        <v>3687</v>
      </c>
      <c r="I3582" s="29"/>
      <c r="J3582" s="29"/>
      <c r="K3582" s="29"/>
      <c r="L3582" s="29"/>
      <c r="M3582" s="29"/>
      <c r="N3582" s="29" t="s">
        <v>4574</v>
      </c>
      <c r="O3582" s="29"/>
      <c r="P3582" s="29" t="s">
        <v>10851</v>
      </c>
      <c r="Q3582" t="s">
        <v>2038</v>
      </c>
      <c r="R3582" t="s">
        <v>2633</v>
      </c>
      <c r="S3582">
        <v>37</v>
      </c>
      <c r="T3582" s="43" t="str">
        <f t="shared" si="166"/>
        <v>2021.010B.R.Binomial_names.zip</v>
      </c>
      <c r="U3582" s="43" t="str">
        <f>HYPERLINK("https://ictv.global/taxonomy/taxondetails?taxnode_id=202211566","ictv.global=202211566")</f>
        <v>ictv.global=202211566</v>
      </c>
    </row>
    <row r="3583" spans="1:21">
      <c r="A3583">
        <v>3582</v>
      </c>
      <c r="B3583" s="29" t="s">
        <v>3682</v>
      </c>
      <c r="C3583" s="29"/>
      <c r="D3583" s="29" t="s">
        <v>3683</v>
      </c>
      <c r="E3583" s="29"/>
      <c r="F3583" s="29" t="s">
        <v>3686</v>
      </c>
      <c r="G3583" s="29"/>
      <c r="H3583" s="29" t="s">
        <v>3687</v>
      </c>
      <c r="I3583" s="29"/>
      <c r="J3583" s="29"/>
      <c r="K3583" s="29"/>
      <c r="L3583" s="29"/>
      <c r="M3583" s="29"/>
      <c r="N3583" s="29" t="s">
        <v>4574</v>
      </c>
      <c r="O3583" s="29"/>
      <c r="P3583" s="29" t="s">
        <v>10852</v>
      </c>
      <c r="Q3583" t="s">
        <v>2038</v>
      </c>
      <c r="R3583" t="s">
        <v>2633</v>
      </c>
      <c r="S3583">
        <v>37</v>
      </c>
      <c r="T3583" s="43" t="str">
        <f t="shared" si="166"/>
        <v>2021.010B.R.Binomial_names.zip</v>
      </c>
      <c r="U3583" s="43" t="str">
        <f>HYPERLINK("https://ictv.global/taxonomy/taxondetails?taxnode_id=202211567","ictv.global=202211567")</f>
        <v>ictv.global=202211567</v>
      </c>
    </row>
    <row r="3584" spans="1:21">
      <c r="A3584">
        <v>3583</v>
      </c>
      <c r="B3584" s="29" t="s">
        <v>3682</v>
      </c>
      <c r="C3584" s="29"/>
      <c r="D3584" s="29" t="s">
        <v>3683</v>
      </c>
      <c r="E3584" s="29"/>
      <c r="F3584" s="29" t="s">
        <v>3686</v>
      </c>
      <c r="G3584" s="29"/>
      <c r="H3584" s="29" t="s">
        <v>3687</v>
      </c>
      <c r="I3584" s="29"/>
      <c r="J3584" s="29"/>
      <c r="K3584" s="29"/>
      <c r="L3584" s="29"/>
      <c r="M3584" s="29"/>
      <c r="N3584" s="29" t="s">
        <v>3424</v>
      </c>
      <c r="O3584" s="29"/>
      <c r="P3584" s="29" t="s">
        <v>10853</v>
      </c>
      <c r="Q3584" t="s">
        <v>2038</v>
      </c>
      <c r="R3584" t="s">
        <v>2633</v>
      </c>
      <c r="S3584">
        <v>37</v>
      </c>
      <c r="T3584" s="43" t="str">
        <f t="shared" si="166"/>
        <v>2021.010B.R.Binomial_names.zip</v>
      </c>
      <c r="U3584" s="43" t="str">
        <f>HYPERLINK("https://ictv.global/taxonomy/taxondetails?taxnode_id=202200377","ictv.global=202200377")</f>
        <v>ictv.global=202200377</v>
      </c>
    </row>
    <row r="3585" spans="1:21">
      <c r="A3585">
        <v>3584</v>
      </c>
      <c r="B3585" s="29" t="s">
        <v>3682</v>
      </c>
      <c r="C3585" s="29"/>
      <c r="D3585" s="29" t="s">
        <v>3683</v>
      </c>
      <c r="E3585" s="29"/>
      <c r="F3585" s="29" t="s">
        <v>3686</v>
      </c>
      <c r="G3585" s="29"/>
      <c r="H3585" s="29" t="s">
        <v>3687</v>
      </c>
      <c r="I3585" s="29"/>
      <c r="J3585" s="29"/>
      <c r="K3585" s="29"/>
      <c r="L3585" s="29"/>
      <c r="M3585" s="29"/>
      <c r="N3585" s="29" t="s">
        <v>3424</v>
      </c>
      <c r="O3585" s="29"/>
      <c r="P3585" s="29" t="s">
        <v>10854</v>
      </c>
      <c r="Q3585" t="s">
        <v>2038</v>
      </c>
      <c r="R3585" t="s">
        <v>2633</v>
      </c>
      <c r="S3585">
        <v>37</v>
      </c>
      <c r="T3585" s="43" t="str">
        <f t="shared" si="166"/>
        <v>2021.010B.R.Binomial_names.zip</v>
      </c>
      <c r="U3585" s="43" t="str">
        <f>HYPERLINK("https://ictv.global/taxonomy/taxondetails?taxnode_id=202200378","ictv.global=202200378")</f>
        <v>ictv.global=202200378</v>
      </c>
    </row>
    <row r="3586" spans="1:21">
      <c r="A3586">
        <v>3585</v>
      </c>
      <c r="B3586" s="29" t="s">
        <v>3682</v>
      </c>
      <c r="C3586" s="29"/>
      <c r="D3586" s="29" t="s">
        <v>3683</v>
      </c>
      <c r="E3586" s="29"/>
      <c r="F3586" s="29" t="s">
        <v>3686</v>
      </c>
      <c r="G3586" s="29"/>
      <c r="H3586" s="29" t="s">
        <v>3687</v>
      </c>
      <c r="I3586" s="29"/>
      <c r="J3586" s="29"/>
      <c r="K3586" s="29"/>
      <c r="L3586" s="29"/>
      <c r="M3586" s="29"/>
      <c r="N3586" s="29" t="s">
        <v>3424</v>
      </c>
      <c r="O3586" s="29"/>
      <c r="P3586" s="29" t="s">
        <v>10855</v>
      </c>
      <c r="Q3586" t="s">
        <v>2038</v>
      </c>
      <c r="R3586" t="s">
        <v>2633</v>
      </c>
      <c r="S3586">
        <v>37</v>
      </c>
      <c r="T3586" s="43" t="str">
        <f t="shared" si="166"/>
        <v>2021.010B.R.Binomial_names.zip</v>
      </c>
      <c r="U3586" s="43" t="str">
        <f>HYPERLINK("https://ictv.global/taxonomy/taxondetails?taxnode_id=202200379","ictv.global=202200379")</f>
        <v>ictv.global=202200379</v>
      </c>
    </row>
    <row r="3587" spans="1:21">
      <c r="A3587">
        <v>3586</v>
      </c>
      <c r="B3587" s="29" t="s">
        <v>3682</v>
      </c>
      <c r="C3587" s="29"/>
      <c r="D3587" s="29" t="s">
        <v>3683</v>
      </c>
      <c r="E3587" s="29"/>
      <c r="F3587" s="29" t="s">
        <v>3686</v>
      </c>
      <c r="G3587" s="29"/>
      <c r="H3587" s="29" t="s">
        <v>3687</v>
      </c>
      <c r="I3587" s="29"/>
      <c r="J3587" s="29"/>
      <c r="K3587" s="29"/>
      <c r="L3587" s="29"/>
      <c r="M3587" s="29"/>
      <c r="N3587" s="29" t="s">
        <v>3424</v>
      </c>
      <c r="O3587" s="29"/>
      <c r="P3587" s="29" t="s">
        <v>10856</v>
      </c>
      <c r="Q3587" t="s">
        <v>2038</v>
      </c>
      <c r="R3587" t="s">
        <v>2633</v>
      </c>
      <c r="S3587">
        <v>37</v>
      </c>
      <c r="T3587" s="43" t="str">
        <f t="shared" si="166"/>
        <v>2021.010B.R.Binomial_names.zip</v>
      </c>
      <c r="U3587" s="43" t="str">
        <f>HYPERLINK("https://ictv.global/taxonomy/taxondetails?taxnode_id=202206922","ictv.global=202206922")</f>
        <v>ictv.global=202206922</v>
      </c>
    </row>
    <row r="3588" spans="1:21">
      <c r="A3588">
        <v>3587</v>
      </c>
      <c r="B3588" s="29" t="s">
        <v>3682</v>
      </c>
      <c r="C3588" s="29"/>
      <c r="D3588" s="29" t="s">
        <v>3683</v>
      </c>
      <c r="E3588" s="29"/>
      <c r="F3588" s="29" t="s">
        <v>3686</v>
      </c>
      <c r="G3588" s="29"/>
      <c r="H3588" s="29" t="s">
        <v>3687</v>
      </c>
      <c r="I3588" s="29"/>
      <c r="J3588" s="29"/>
      <c r="K3588" s="29"/>
      <c r="L3588" s="29"/>
      <c r="M3588" s="29"/>
      <c r="N3588" s="29" t="s">
        <v>3424</v>
      </c>
      <c r="O3588" s="29"/>
      <c r="P3588" s="29" t="s">
        <v>10857</v>
      </c>
      <c r="Q3588" t="s">
        <v>2038</v>
      </c>
      <c r="R3588" t="s">
        <v>2633</v>
      </c>
      <c r="S3588">
        <v>37</v>
      </c>
      <c r="T3588" s="43" t="str">
        <f t="shared" si="166"/>
        <v>2021.010B.R.Binomial_names.zip</v>
      </c>
      <c r="U3588" s="43" t="str">
        <f>HYPERLINK("https://ictv.global/taxonomy/taxondetails?taxnode_id=202200380","ictv.global=202200380")</f>
        <v>ictv.global=202200380</v>
      </c>
    </row>
    <row r="3589" spans="1:21">
      <c r="A3589">
        <v>3588</v>
      </c>
      <c r="B3589" s="29" t="s">
        <v>3682</v>
      </c>
      <c r="C3589" s="29"/>
      <c r="D3589" s="29" t="s">
        <v>3683</v>
      </c>
      <c r="E3589" s="29"/>
      <c r="F3589" s="29" t="s">
        <v>3686</v>
      </c>
      <c r="G3589" s="29"/>
      <c r="H3589" s="29" t="s">
        <v>3687</v>
      </c>
      <c r="I3589" s="29"/>
      <c r="J3589" s="29"/>
      <c r="K3589" s="29"/>
      <c r="L3589" s="29"/>
      <c r="M3589" s="29"/>
      <c r="N3589" s="29" t="s">
        <v>3424</v>
      </c>
      <c r="O3589" s="29"/>
      <c r="P3589" s="29" t="s">
        <v>10858</v>
      </c>
      <c r="Q3589" t="s">
        <v>2038</v>
      </c>
      <c r="R3589" t="s">
        <v>2633</v>
      </c>
      <c r="S3589">
        <v>37</v>
      </c>
      <c r="T3589" s="43" t="str">
        <f t="shared" si="166"/>
        <v>2021.010B.R.Binomial_names.zip</v>
      </c>
      <c r="U3589" s="43" t="str">
        <f>HYPERLINK("https://ictv.global/taxonomy/taxondetails?taxnode_id=202206921","ictv.global=202206921")</f>
        <v>ictv.global=202206921</v>
      </c>
    </row>
    <row r="3590" spans="1:21">
      <c r="A3590">
        <v>3589</v>
      </c>
      <c r="B3590" s="29" t="s">
        <v>3682</v>
      </c>
      <c r="C3590" s="29"/>
      <c r="D3590" s="29" t="s">
        <v>3683</v>
      </c>
      <c r="E3590" s="29"/>
      <c r="F3590" s="29" t="s">
        <v>3686</v>
      </c>
      <c r="G3590" s="29"/>
      <c r="H3590" s="29" t="s">
        <v>3687</v>
      </c>
      <c r="I3590" s="29"/>
      <c r="J3590" s="29"/>
      <c r="K3590" s="29"/>
      <c r="L3590" s="29"/>
      <c r="M3590" s="29"/>
      <c r="N3590" s="29" t="s">
        <v>3424</v>
      </c>
      <c r="O3590" s="29"/>
      <c r="P3590" s="29" t="s">
        <v>10859</v>
      </c>
      <c r="Q3590" t="s">
        <v>2038</v>
      </c>
      <c r="R3590" t="s">
        <v>2633</v>
      </c>
      <c r="S3590">
        <v>37</v>
      </c>
      <c r="T3590" s="43" t="str">
        <f t="shared" si="166"/>
        <v>2021.010B.R.Binomial_names.zip</v>
      </c>
      <c r="U3590" s="43" t="str">
        <f>HYPERLINK("https://ictv.global/taxonomy/taxondetails?taxnode_id=202206919","ictv.global=202206919")</f>
        <v>ictv.global=202206919</v>
      </c>
    </row>
    <row r="3591" spans="1:21">
      <c r="A3591">
        <v>3590</v>
      </c>
      <c r="B3591" s="29" t="s">
        <v>3682</v>
      </c>
      <c r="C3591" s="29"/>
      <c r="D3591" s="29" t="s">
        <v>3683</v>
      </c>
      <c r="E3591" s="29"/>
      <c r="F3591" s="29" t="s">
        <v>3686</v>
      </c>
      <c r="G3591" s="29"/>
      <c r="H3591" s="29" t="s">
        <v>3687</v>
      </c>
      <c r="I3591" s="29"/>
      <c r="J3591" s="29"/>
      <c r="K3591" s="29"/>
      <c r="L3591" s="29"/>
      <c r="M3591" s="29"/>
      <c r="N3591" s="29" t="s">
        <v>3424</v>
      </c>
      <c r="O3591" s="29"/>
      <c r="P3591" s="29" t="s">
        <v>10860</v>
      </c>
      <c r="Q3591" t="s">
        <v>2038</v>
      </c>
      <c r="R3591" t="s">
        <v>2633</v>
      </c>
      <c r="S3591">
        <v>37</v>
      </c>
      <c r="T3591" s="43" t="str">
        <f t="shared" si="166"/>
        <v>2021.010B.R.Binomial_names.zip</v>
      </c>
      <c r="U3591" s="43" t="str">
        <f>HYPERLINK("https://ictv.global/taxonomy/taxondetails?taxnode_id=202206920","ictv.global=202206920")</f>
        <v>ictv.global=202206920</v>
      </c>
    </row>
    <row r="3592" spans="1:21">
      <c r="A3592">
        <v>3591</v>
      </c>
      <c r="B3592" s="29" t="s">
        <v>3682</v>
      </c>
      <c r="C3592" s="29"/>
      <c r="D3592" s="29" t="s">
        <v>3683</v>
      </c>
      <c r="E3592" s="29"/>
      <c r="F3592" s="29" t="s">
        <v>3686</v>
      </c>
      <c r="G3592" s="29"/>
      <c r="H3592" s="29" t="s">
        <v>3687</v>
      </c>
      <c r="I3592" s="29"/>
      <c r="J3592" s="29"/>
      <c r="K3592" s="29"/>
      <c r="L3592" s="29"/>
      <c r="M3592" s="29"/>
      <c r="N3592" s="29" t="s">
        <v>4023</v>
      </c>
      <c r="O3592" s="29"/>
      <c r="P3592" s="29" t="s">
        <v>10861</v>
      </c>
      <c r="Q3592" t="s">
        <v>2038</v>
      </c>
      <c r="R3592" t="s">
        <v>2633</v>
      </c>
      <c r="S3592">
        <v>37</v>
      </c>
      <c r="T3592" s="43" t="str">
        <f t="shared" si="166"/>
        <v>2021.010B.R.Binomial_names.zip</v>
      </c>
      <c r="U3592" s="43" t="str">
        <f>HYPERLINK("https://ictv.global/taxonomy/taxondetails?taxnode_id=202208056","ictv.global=202208056")</f>
        <v>ictv.global=202208056</v>
      </c>
    </row>
    <row r="3593" spans="1:21">
      <c r="A3593">
        <v>3592</v>
      </c>
      <c r="B3593" s="29" t="s">
        <v>3682</v>
      </c>
      <c r="C3593" s="29"/>
      <c r="D3593" s="29" t="s">
        <v>3683</v>
      </c>
      <c r="E3593" s="29"/>
      <c r="F3593" s="29" t="s">
        <v>3686</v>
      </c>
      <c r="G3593" s="29"/>
      <c r="H3593" s="29" t="s">
        <v>3687</v>
      </c>
      <c r="I3593" s="29"/>
      <c r="J3593" s="29"/>
      <c r="K3593" s="29"/>
      <c r="L3593" s="29"/>
      <c r="M3593" s="29"/>
      <c r="N3593" s="29" t="s">
        <v>2115</v>
      </c>
      <c r="O3593" s="29"/>
      <c r="P3593" s="29" t="s">
        <v>10862</v>
      </c>
      <c r="Q3593" t="s">
        <v>2038</v>
      </c>
      <c r="R3593" t="s">
        <v>2633</v>
      </c>
      <c r="S3593">
        <v>37</v>
      </c>
      <c r="T3593" s="43" t="str">
        <f t="shared" si="166"/>
        <v>2021.010B.R.Binomial_names.zip</v>
      </c>
      <c r="U3593" s="43" t="str">
        <f>HYPERLINK("https://ictv.global/taxonomy/taxondetails?taxnode_id=202201095","ictv.global=202201095")</f>
        <v>ictv.global=202201095</v>
      </c>
    </row>
    <row r="3594" spans="1:21">
      <c r="A3594">
        <v>3593</v>
      </c>
      <c r="B3594" s="29" t="s">
        <v>3682</v>
      </c>
      <c r="C3594" s="29"/>
      <c r="D3594" s="29" t="s">
        <v>3683</v>
      </c>
      <c r="E3594" s="29"/>
      <c r="F3594" s="29" t="s">
        <v>3686</v>
      </c>
      <c r="G3594" s="29"/>
      <c r="H3594" s="29" t="s">
        <v>3687</v>
      </c>
      <c r="I3594" s="29"/>
      <c r="J3594" s="29"/>
      <c r="K3594" s="29"/>
      <c r="L3594" s="29"/>
      <c r="M3594" s="29"/>
      <c r="N3594" s="29" t="s">
        <v>2115</v>
      </c>
      <c r="O3594" s="29"/>
      <c r="P3594" s="29" t="s">
        <v>10863</v>
      </c>
      <c r="Q3594" t="s">
        <v>2038</v>
      </c>
      <c r="R3594" t="s">
        <v>2633</v>
      </c>
      <c r="S3594">
        <v>37</v>
      </c>
      <c r="T3594" s="43" t="str">
        <f t="shared" si="166"/>
        <v>2021.010B.R.Binomial_names.zip</v>
      </c>
      <c r="U3594" s="43" t="str">
        <f>HYPERLINK("https://ictv.global/taxonomy/taxondetails?taxnode_id=202201096","ictv.global=202201096")</f>
        <v>ictv.global=202201096</v>
      </c>
    </row>
    <row r="3595" spans="1:21">
      <c r="A3595">
        <v>3594</v>
      </c>
      <c r="B3595" s="29" t="s">
        <v>3682</v>
      </c>
      <c r="C3595" s="29"/>
      <c r="D3595" s="29" t="s">
        <v>3683</v>
      </c>
      <c r="E3595" s="29"/>
      <c r="F3595" s="29" t="s">
        <v>3686</v>
      </c>
      <c r="G3595" s="29"/>
      <c r="H3595" s="29" t="s">
        <v>3687</v>
      </c>
      <c r="I3595" s="29"/>
      <c r="J3595" s="29"/>
      <c r="K3595" s="29"/>
      <c r="L3595" s="29"/>
      <c r="M3595" s="29"/>
      <c r="N3595" s="29" t="s">
        <v>2115</v>
      </c>
      <c r="O3595" s="29"/>
      <c r="P3595" s="29" t="s">
        <v>10864</v>
      </c>
      <c r="Q3595" t="s">
        <v>2038</v>
      </c>
      <c r="R3595" t="s">
        <v>2633</v>
      </c>
      <c r="S3595">
        <v>37</v>
      </c>
      <c r="T3595" s="43" t="str">
        <f t="shared" si="166"/>
        <v>2021.010B.R.Binomial_names.zip</v>
      </c>
      <c r="U3595" s="43" t="str">
        <f>HYPERLINK("https://ictv.global/taxonomy/taxondetails?taxnode_id=202201097","ictv.global=202201097")</f>
        <v>ictv.global=202201097</v>
      </c>
    </row>
    <row r="3596" spans="1:21">
      <c r="A3596">
        <v>3595</v>
      </c>
      <c r="B3596" s="29" t="s">
        <v>3682</v>
      </c>
      <c r="C3596" s="29"/>
      <c r="D3596" s="29" t="s">
        <v>3683</v>
      </c>
      <c r="E3596" s="29"/>
      <c r="F3596" s="29" t="s">
        <v>3686</v>
      </c>
      <c r="G3596" s="29"/>
      <c r="H3596" s="29" t="s">
        <v>3687</v>
      </c>
      <c r="I3596" s="29"/>
      <c r="J3596" s="29"/>
      <c r="K3596" s="29"/>
      <c r="L3596" s="29"/>
      <c r="M3596" s="29"/>
      <c r="N3596" s="29" t="s">
        <v>2115</v>
      </c>
      <c r="O3596" s="29"/>
      <c r="P3596" s="29" t="s">
        <v>10865</v>
      </c>
      <c r="Q3596" t="s">
        <v>2038</v>
      </c>
      <c r="R3596" t="s">
        <v>2633</v>
      </c>
      <c r="S3596">
        <v>37</v>
      </c>
      <c r="T3596" s="43" t="str">
        <f t="shared" si="166"/>
        <v>2021.010B.R.Binomial_names.zip</v>
      </c>
      <c r="U3596" s="43" t="str">
        <f>HYPERLINK("https://ictv.global/taxonomy/taxondetails?taxnode_id=202201098","ictv.global=202201098")</f>
        <v>ictv.global=202201098</v>
      </c>
    </row>
    <row r="3597" spans="1:21">
      <c r="A3597">
        <v>3596</v>
      </c>
      <c r="B3597" s="29" t="s">
        <v>3682</v>
      </c>
      <c r="C3597" s="29"/>
      <c r="D3597" s="29" t="s">
        <v>3683</v>
      </c>
      <c r="E3597" s="29"/>
      <c r="F3597" s="29" t="s">
        <v>3686</v>
      </c>
      <c r="G3597" s="29"/>
      <c r="H3597" s="29" t="s">
        <v>3687</v>
      </c>
      <c r="I3597" s="29"/>
      <c r="J3597" s="29"/>
      <c r="K3597" s="29"/>
      <c r="L3597" s="29"/>
      <c r="M3597" s="29"/>
      <c r="N3597" s="29" t="s">
        <v>2115</v>
      </c>
      <c r="O3597" s="29"/>
      <c r="P3597" s="29" t="s">
        <v>10866</v>
      </c>
      <c r="Q3597" t="s">
        <v>2038</v>
      </c>
      <c r="R3597" t="s">
        <v>2633</v>
      </c>
      <c r="S3597">
        <v>37</v>
      </c>
      <c r="T3597" s="43" t="str">
        <f t="shared" si="166"/>
        <v>2021.010B.R.Binomial_names.zip</v>
      </c>
      <c r="U3597" s="43" t="str">
        <f>HYPERLINK("https://ictv.global/taxonomy/taxondetails?taxnode_id=202201099","ictv.global=202201099")</f>
        <v>ictv.global=202201099</v>
      </c>
    </row>
    <row r="3598" spans="1:21">
      <c r="A3598">
        <v>3597</v>
      </c>
      <c r="B3598" s="29" t="s">
        <v>3682</v>
      </c>
      <c r="C3598" s="29"/>
      <c r="D3598" s="29" t="s">
        <v>3683</v>
      </c>
      <c r="E3598" s="29"/>
      <c r="F3598" s="29" t="s">
        <v>3686</v>
      </c>
      <c r="G3598" s="29"/>
      <c r="H3598" s="29" t="s">
        <v>3687</v>
      </c>
      <c r="I3598" s="29"/>
      <c r="J3598" s="29"/>
      <c r="K3598" s="29"/>
      <c r="L3598" s="29"/>
      <c r="M3598" s="29"/>
      <c r="N3598" s="29" t="s">
        <v>2115</v>
      </c>
      <c r="O3598" s="29"/>
      <c r="P3598" s="29" t="s">
        <v>10867</v>
      </c>
      <c r="Q3598" t="s">
        <v>2038</v>
      </c>
      <c r="R3598" t="s">
        <v>2633</v>
      </c>
      <c r="S3598">
        <v>37</v>
      </c>
      <c r="T3598" s="43" t="str">
        <f t="shared" si="166"/>
        <v>2021.010B.R.Binomial_names.zip</v>
      </c>
      <c r="U3598" s="43" t="str">
        <f>HYPERLINK("https://ictv.global/taxonomy/taxondetails?taxnode_id=202201100","ictv.global=202201100")</f>
        <v>ictv.global=202201100</v>
      </c>
    </row>
    <row r="3599" spans="1:21">
      <c r="A3599">
        <v>3598</v>
      </c>
      <c r="B3599" s="29" t="s">
        <v>3682</v>
      </c>
      <c r="C3599" s="29"/>
      <c r="D3599" s="29" t="s">
        <v>3683</v>
      </c>
      <c r="E3599" s="29"/>
      <c r="F3599" s="29" t="s">
        <v>3686</v>
      </c>
      <c r="G3599" s="29"/>
      <c r="H3599" s="29" t="s">
        <v>3687</v>
      </c>
      <c r="I3599" s="29"/>
      <c r="J3599" s="29"/>
      <c r="K3599" s="29"/>
      <c r="L3599" s="29"/>
      <c r="M3599" s="29"/>
      <c r="N3599" s="29" t="s">
        <v>4024</v>
      </c>
      <c r="O3599" s="29"/>
      <c r="P3599" s="29" t="s">
        <v>10868</v>
      </c>
      <c r="Q3599" t="s">
        <v>2038</v>
      </c>
      <c r="R3599" t="s">
        <v>2633</v>
      </c>
      <c r="S3599">
        <v>37</v>
      </c>
      <c r="T3599" s="43" t="str">
        <f t="shared" si="166"/>
        <v>2021.010B.R.Binomial_names.zip</v>
      </c>
      <c r="U3599" s="43" t="str">
        <f>HYPERLINK("https://ictv.global/taxonomy/taxondetails?taxnode_id=202207460","ictv.global=202207460")</f>
        <v>ictv.global=202207460</v>
      </c>
    </row>
    <row r="3600" spans="1:21">
      <c r="A3600">
        <v>3599</v>
      </c>
      <c r="B3600" s="29" t="s">
        <v>3682</v>
      </c>
      <c r="C3600" s="29"/>
      <c r="D3600" s="29" t="s">
        <v>3683</v>
      </c>
      <c r="E3600" s="29"/>
      <c r="F3600" s="29" t="s">
        <v>3686</v>
      </c>
      <c r="G3600" s="29"/>
      <c r="H3600" s="29" t="s">
        <v>3687</v>
      </c>
      <c r="I3600" s="29"/>
      <c r="J3600" s="29"/>
      <c r="K3600" s="29"/>
      <c r="L3600" s="29"/>
      <c r="M3600" s="29"/>
      <c r="N3600" s="29" t="s">
        <v>4024</v>
      </c>
      <c r="O3600" s="29"/>
      <c r="P3600" s="29" t="s">
        <v>10869</v>
      </c>
      <c r="Q3600" t="s">
        <v>2038</v>
      </c>
      <c r="R3600" t="s">
        <v>2633</v>
      </c>
      <c r="S3600">
        <v>37</v>
      </c>
      <c r="T3600" s="43" t="str">
        <f t="shared" si="166"/>
        <v>2021.010B.R.Binomial_names.zip</v>
      </c>
      <c r="U3600" s="43" t="str">
        <f>HYPERLINK("https://ictv.global/taxonomy/taxondetails?taxnode_id=202201311","ictv.global=202201311")</f>
        <v>ictv.global=202201311</v>
      </c>
    </row>
    <row r="3601" spans="1:21">
      <c r="A3601">
        <v>3600</v>
      </c>
      <c r="B3601" s="29" t="s">
        <v>3682</v>
      </c>
      <c r="C3601" s="29"/>
      <c r="D3601" s="29" t="s">
        <v>3683</v>
      </c>
      <c r="E3601" s="29"/>
      <c r="F3601" s="29" t="s">
        <v>3686</v>
      </c>
      <c r="G3601" s="29"/>
      <c r="H3601" s="29" t="s">
        <v>3687</v>
      </c>
      <c r="I3601" s="29"/>
      <c r="J3601" s="29"/>
      <c r="K3601" s="29"/>
      <c r="L3601" s="29"/>
      <c r="M3601" s="29"/>
      <c r="N3601" s="29" t="s">
        <v>10870</v>
      </c>
      <c r="O3601" s="29"/>
      <c r="P3601" s="29" t="s">
        <v>10871</v>
      </c>
      <c r="Q3601" t="s">
        <v>2038</v>
      </c>
      <c r="R3601" t="s">
        <v>2632</v>
      </c>
      <c r="S3601">
        <v>38</v>
      </c>
      <c r="T3601" s="43" t="str">
        <f>HYPERLINK("https://ictv.global/ictv/proposals/2022.091B.Caudoviricetes_3ng_actinophages.zip","2022.091B.Caudoviricetes_3ng_actinophages.zip")</f>
        <v>2022.091B.Caudoviricetes_3ng_actinophages.zip</v>
      </c>
      <c r="U3601" s="43" t="str">
        <f>HYPERLINK("https://ictv.global/taxonomy/taxondetails?taxnode_id=202214963","ictv.global=202214963")</f>
        <v>ictv.global=202214963</v>
      </c>
    </row>
    <row r="3602" spans="1:21">
      <c r="A3602">
        <v>3601</v>
      </c>
      <c r="B3602" s="29" t="s">
        <v>3682</v>
      </c>
      <c r="C3602" s="29"/>
      <c r="D3602" s="29" t="s">
        <v>3683</v>
      </c>
      <c r="E3602" s="29"/>
      <c r="F3602" s="29" t="s">
        <v>3686</v>
      </c>
      <c r="G3602" s="29"/>
      <c r="H3602" s="29" t="s">
        <v>3687</v>
      </c>
      <c r="I3602" s="29"/>
      <c r="J3602" s="29"/>
      <c r="K3602" s="29"/>
      <c r="L3602" s="29"/>
      <c r="M3602" s="29"/>
      <c r="N3602" s="29" t="s">
        <v>3577</v>
      </c>
      <c r="O3602" s="29"/>
      <c r="P3602" s="29" t="s">
        <v>10872</v>
      </c>
      <c r="Q3602" t="s">
        <v>2038</v>
      </c>
      <c r="R3602" t="s">
        <v>2633</v>
      </c>
      <c r="S3602">
        <v>37</v>
      </c>
      <c r="T3602" s="43" t="str">
        <f>HYPERLINK("https://ictv.global/ictv/proposals/2021.010B.R.Binomial_names.zip","2021.010B.R.Binomial_names.zip")</f>
        <v>2021.010B.R.Binomial_names.zip</v>
      </c>
      <c r="U3602" s="43" t="str">
        <f>HYPERLINK("https://ictv.global/taxonomy/taxondetails?taxnode_id=202206587","ictv.global=202206587")</f>
        <v>ictv.global=202206587</v>
      </c>
    </row>
    <row r="3603" spans="1:21">
      <c r="A3603">
        <v>3602</v>
      </c>
      <c r="B3603" s="29" t="s">
        <v>3682</v>
      </c>
      <c r="C3603" s="29"/>
      <c r="D3603" s="29" t="s">
        <v>3683</v>
      </c>
      <c r="E3603" s="29"/>
      <c r="F3603" s="29" t="s">
        <v>3686</v>
      </c>
      <c r="G3603" s="29"/>
      <c r="H3603" s="29" t="s">
        <v>3687</v>
      </c>
      <c r="I3603" s="29"/>
      <c r="J3603" s="29"/>
      <c r="K3603" s="29"/>
      <c r="L3603" s="29"/>
      <c r="M3603" s="29"/>
      <c r="N3603" s="29" t="s">
        <v>3578</v>
      </c>
      <c r="O3603" s="29"/>
      <c r="P3603" s="29" t="s">
        <v>10873</v>
      </c>
      <c r="Q3603" t="s">
        <v>2038</v>
      </c>
      <c r="R3603" t="s">
        <v>2633</v>
      </c>
      <c r="S3603">
        <v>37</v>
      </c>
      <c r="T3603" s="43" t="str">
        <f>HYPERLINK("https://ictv.global/ictv/proposals/2021.010B.R.Binomial_names.zip","2021.010B.R.Binomial_names.zip")</f>
        <v>2021.010B.R.Binomial_names.zip</v>
      </c>
      <c r="U3603" s="43" t="str">
        <f>HYPERLINK("https://ictv.global/taxonomy/taxondetails?taxnode_id=202201108","ictv.global=202201108")</f>
        <v>ictv.global=202201108</v>
      </c>
    </row>
    <row r="3604" spans="1:21">
      <c r="A3604">
        <v>3603</v>
      </c>
      <c r="B3604" s="29" t="s">
        <v>3682</v>
      </c>
      <c r="C3604" s="29"/>
      <c r="D3604" s="29" t="s">
        <v>3683</v>
      </c>
      <c r="E3604" s="29"/>
      <c r="F3604" s="29" t="s">
        <v>3686</v>
      </c>
      <c r="G3604" s="29"/>
      <c r="H3604" s="29" t="s">
        <v>3687</v>
      </c>
      <c r="I3604" s="29"/>
      <c r="J3604" s="29"/>
      <c r="K3604" s="29"/>
      <c r="L3604" s="29"/>
      <c r="M3604" s="29"/>
      <c r="N3604" s="29" t="s">
        <v>3578</v>
      </c>
      <c r="O3604" s="29"/>
      <c r="P3604" s="29" t="s">
        <v>10874</v>
      </c>
      <c r="Q3604" t="s">
        <v>2038</v>
      </c>
      <c r="R3604" t="s">
        <v>2633</v>
      </c>
      <c r="S3604">
        <v>37</v>
      </c>
      <c r="T3604" s="43" t="str">
        <f>HYPERLINK("https://ictv.global/ictv/proposals/2021.010B.R.Binomial_names.zip","2021.010B.R.Binomial_names.zip")</f>
        <v>2021.010B.R.Binomial_names.zip</v>
      </c>
      <c r="U3604" s="43" t="str">
        <f>HYPERLINK("https://ictv.global/taxonomy/taxondetails?taxnode_id=202201109","ictv.global=202201109")</f>
        <v>ictv.global=202201109</v>
      </c>
    </row>
    <row r="3605" spans="1:21">
      <c r="A3605">
        <v>3604</v>
      </c>
      <c r="B3605" s="29" t="s">
        <v>3682</v>
      </c>
      <c r="C3605" s="29"/>
      <c r="D3605" s="29" t="s">
        <v>3683</v>
      </c>
      <c r="E3605" s="29"/>
      <c r="F3605" s="29" t="s">
        <v>3686</v>
      </c>
      <c r="G3605" s="29"/>
      <c r="H3605" s="29" t="s">
        <v>3687</v>
      </c>
      <c r="I3605" s="29"/>
      <c r="J3605" s="29"/>
      <c r="K3605" s="29"/>
      <c r="L3605" s="29"/>
      <c r="M3605" s="29"/>
      <c r="N3605" s="29" t="s">
        <v>3425</v>
      </c>
      <c r="O3605" s="29"/>
      <c r="P3605" s="29" t="s">
        <v>10875</v>
      </c>
      <c r="Q3605" t="s">
        <v>2038</v>
      </c>
      <c r="R3605" t="s">
        <v>2633</v>
      </c>
      <c r="S3605">
        <v>37</v>
      </c>
      <c r="T3605" s="43" t="str">
        <f>HYPERLINK("https://ictv.global/ictv/proposals/2021.010B.R.Binomial_names.zip","2021.010B.R.Binomial_names.zip")</f>
        <v>2021.010B.R.Binomial_names.zip</v>
      </c>
      <c r="U3605" s="43" t="str">
        <f>HYPERLINK("https://ictv.global/taxonomy/taxondetails?taxnode_id=202206854","ictv.global=202206854")</f>
        <v>ictv.global=202206854</v>
      </c>
    </row>
    <row r="3606" spans="1:21">
      <c r="A3606">
        <v>3605</v>
      </c>
      <c r="B3606" s="29" t="s">
        <v>3682</v>
      </c>
      <c r="C3606" s="29"/>
      <c r="D3606" s="29" t="s">
        <v>3683</v>
      </c>
      <c r="E3606" s="29"/>
      <c r="F3606" s="29" t="s">
        <v>3686</v>
      </c>
      <c r="G3606" s="29"/>
      <c r="H3606" s="29" t="s">
        <v>3687</v>
      </c>
      <c r="I3606" s="29"/>
      <c r="J3606" s="29"/>
      <c r="K3606" s="29"/>
      <c r="L3606" s="29"/>
      <c r="M3606" s="29"/>
      <c r="N3606" s="29" t="s">
        <v>3425</v>
      </c>
      <c r="O3606" s="29"/>
      <c r="P3606" s="29" t="s">
        <v>10876</v>
      </c>
      <c r="Q3606" t="s">
        <v>2038</v>
      </c>
      <c r="R3606" t="s">
        <v>2633</v>
      </c>
      <c r="S3606">
        <v>37</v>
      </c>
      <c r="T3606" s="43" t="str">
        <f>HYPERLINK("https://ictv.global/ictv/proposals/2021.010B.R.Binomial_names.zip","2021.010B.R.Binomial_names.zip")</f>
        <v>2021.010B.R.Binomial_names.zip</v>
      </c>
      <c r="U3606" s="43" t="str">
        <f>HYPERLINK("https://ictv.global/taxonomy/taxondetails?taxnode_id=202206855","ictv.global=202206855")</f>
        <v>ictv.global=202206855</v>
      </c>
    </row>
    <row r="3607" spans="1:21">
      <c r="A3607">
        <v>3606</v>
      </c>
      <c r="B3607" s="29" t="s">
        <v>3682</v>
      </c>
      <c r="C3607" s="29"/>
      <c r="D3607" s="29" t="s">
        <v>3683</v>
      </c>
      <c r="E3607" s="29"/>
      <c r="F3607" s="29" t="s">
        <v>3686</v>
      </c>
      <c r="G3607" s="29"/>
      <c r="H3607" s="29" t="s">
        <v>3687</v>
      </c>
      <c r="I3607" s="29"/>
      <c r="J3607" s="29"/>
      <c r="K3607" s="29"/>
      <c r="L3607" s="29"/>
      <c r="M3607" s="29"/>
      <c r="N3607" s="29" t="s">
        <v>10877</v>
      </c>
      <c r="O3607" s="29"/>
      <c r="P3607" s="29" t="s">
        <v>10878</v>
      </c>
      <c r="Q3607" t="s">
        <v>2038</v>
      </c>
      <c r="R3607" t="s">
        <v>2632</v>
      </c>
      <c r="S3607">
        <v>38</v>
      </c>
      <c r="T3607" s="43" t="str">
        <f t="shared" ref="T3607:T3618" si="167">HYPERLINK("https://ictv.global/ictv/proposals/2022.060B.Packlarkvirus_ng.zip","2022.060B.Packlarkvirus_ng.zip")</f>
        <v>2022.060B.Packlarkvirus_ng.zip</v>
      </c>
      <c r="U3607" s="43" t="str">
        <f>HYPERLINK("https://ictv.global/taxonomy/taxondetails?taxnode_id=202214714","ictv.global=202214714")</f>
        <v>ictv.global=202214714</v>
      </c>
    </row>
    <row r="3608" spans="1:21">
      <c r="A3608">
        <v>3607</v>
      </c>
      <c r="B3608" s="29" t="s">
        <v>3682</v>
      </c>
      <c r="C3608" s="29"/>
      <c r="D3608" s="29" t="s">
        <v>3683</v>
      </c>
      <c r="E3608" s="29"/>
      <c r="F3608" s="29" t="s">
        <v>3686</v>
      </c>
      <c r="G3608" s="29"/>
      <c r="H3608" s="29" t="s">
        <v>3687</v>
      </c>
      <c r="I3608" s="29"/>
      <c r="J3608" s="29"/>
      <c r="K3608" s="29"/>
      <c r="L3608" s="29"/>
      <c r="M3608" s="29"/>
      <c r="N3608" s="29" t="s">
        <v>10877</v>
      </c>
      <c r="O3608" s="29"/>
      <c r="P3608" s="29" t="s">
        <v>10879</v>
      </c>
      <c r="Q3608" t="s">
        <v>2038</v>
      </c>
      <c r="R3608" t="s">
        <v>2632</v>
      </c>
      <c r="S3608">
        <v>38</v>
      </c>
      <c r="T3608" s="43" t="str">
        <f t="shared" si="167"/>
        <v>2022.060B.Packlarkvirus_ng.zip</v>
      </c>
      <c r="U3608" s="43" t="str">
        <f>HYPERLINK("https://ictv.global/taxonomy/taxondetails?taxnode_id=202214711","ictv.global=202214711")</f>
        <v>ictv.global=202214711</v>
      </c>
    </row>
    <row r="3609" spans="1:21">
      <c r="A3609">
        <v>3608</v>
      </c>
      <c r="B3609" s="29" t="s">
        <v>3682</v>
      </c>
      <c r="C3609" s="29"/>
      <c r="D3609" s="29" t="s">
        <v>3683</v>
      </c>
      <c r="E3609" s="29"/>
      <c r="F3609" s="29" t="s">
        <v>3686</v>
      </c>
      <c r="G3609" s="29"/>
      <c r="H3609" s="29" t="s">
        <v>3687</v>
      </c>
      <c r="I3609" s="29"/>
      <c r="J3609" s="29"/>
      <c r="K3609" s="29"/>
      <c r="L3609" s="29"/>
      <c r="M3609" s="29"/>
      <c r="N3609" s="29" t="s">
        <v>10877</v>
      </c>
      <c r="O3609" s="29"/>
      <c r="P3609" s="29" t="s">
        <v>10880</v>
      </c>
      <c r="Q3609" t="s">
        <v>2038</v>
      </c>
      <c r="R3609" t="s">
        <v>2632</v>
      </c>
      <c r="S3609">
        <v>38</v>
      </c>
      <c r="T3609" s="43" t="str">
        <f t="shared" si="167"/>
        <v>2022.060B.Packlarkvirus_ng.zip</v>
      </c>
      <c r="U3609" s="43" t="str">
        <f>HYPERLINK("https://ictv.global/taxonomy/taxondetails?taxnode_id=202214709","ictv.global=202214709")</f>
        <v>ictv.global=202214709</v>
      </c>
    </row>
    <row r="3610" spans="1:21">
      <c r="A3610">
        <v>3609</v>
      </c>
      <c r="B3610" s="29" t="s">
        <v>3682</v>
      </c>
      <c r="C3610" s="29"/>
      <c r="D3610" s="29" t="s">
        <v>3683</v>
      </c>
      <c r="E3610" s="29"/>
      <c r="F3610" s="29" t="s">
        <v>3686</v>
      </c>
      <c r="G3610" s="29"/>
      <c r="H3610" s="29" t="s">
        <v>3687</v>
      </c>
      <c r="I3610" s="29"/>
      <c r="J3610" s="29"/>
      <c r="K3610" s="29"/>
      <c r="L3610" s="29"/>
      <c r="M3610" s="29"/>
      <c r="N3610" s="29" t="s">
        <v>10877</v>
      </c>
      <c r="O3610" s="29"/>
      <c r="P3610" s="29" t="s">
        <v>10881</v>
      </c>
      <c r="Q3610" t="s">
        <v>2038</v>
      </c>
      <c r="R3610" t="s">
        <v>2632</v>
      </c>
      <c r="S3610">
        <v>38</v>
      </c>
      <c r="T3610" s="43" t="str">
        <f t="shared" si="167"/>
        <v>2022.060B.Packlarkvirus_ng.zip</v>
      </c>
      <c r="U3610" s="43" t="str">
        <f>HYPERLINK("https://ictv.global/taxonomy/taxondetails?taxnode_id=202214710","ictv.global=202214710")</f>
        <v>ictv.global=202214710</v>
      </c>
    </row>
    <row r="3611" spans="1:21">
      <c r="A3611">
        <v>3610</v>
      </c>
      <c r="B3611" s="29" t="s">
        <v>3682</v>
      </c>
      <c r="C3611" s="29"/>
      <c r="D3611" s="29" t="s">
        <v>3683</v>
      </c>
      <c r="E3611" s="29"/>
      <c r="F3611" s="29" t="s">
        <v>3686</v>
      </c>
      <c r="G3611" s="29"/>
      <c r="H3611" s="29" t="s">
        <v>3687</v>
      </c>
      <c r="I3611" s="29"/>
      <c r="J3611" s="29"/>
      <c r="K3611" s="29"/>
      <c r="L3611" s="29"/>
      <c r="M3611" s="29"/>
      <c r="N3611" s="29" t="s">
        <v>10877</v>
      </c>
      <c r="O3611" s="29"/>
      <c r="P3611" s="29" t="s">
        <v>10882</v>
      </c>
      <c r="Q3611" t="s">
        <v>2038</v>
      </c>
      <c r="R3611" t="s">
        <v>2632</v>
      </c>
      <c r="S3611">
        <v>38</v>
      </c>
      <c r="T3611" s="43" t="str">
        <f t="shared" si="167"/>
        <v>2022.060B.Packlarkvirus_ng.zip</v>
      </c>
      <c r="U3611" s="43" t="str">
        <f>HYPERLINK("https://ictv.global/taxonomy/taxondetails?taxnode_id=202214713","ictv.global=202214713")</f>
        <v>ictv.global=202214713</v>
      </c>
    </row>
    <row r="3612" spans="1:21">
      <c r="A3612">
        <v>3611</v>
      </c>
      <c r="B3612" s="29" t="s">
        <v>3682</v>
      </c>
      <c r="C3612" s="29"/>
      <c r="D3612" s="29" t="s">
        <v>3683</v>
      </c>
      <c r="E3612" s="29"/>
      <c r="F3612" s="29" t="s">
        <v>3686</v>
      </c>
      <c r="G3612" s="29"/>
      <c r="H3612" s="29" t="s">
        <v>3687</v>
      </c>
      <c r="I3612" s="29"/>
      <c r="J3612" s="29"/>
      <c r="K3612" s="29"/>
      <c r="L3612" s="29"/>
      <c r="M3612" s="29"/>
      <c r="N3612" s="29" t="s">
        <v>10877</v>
      </c>
      <c r="O3612" s="29"/>
      <c r="P3612" s="29" t="s">
        <v>10883</v>
      </c>
      <c r="Q3612" t="s">
        <v>2038</v>
      </c>
      <c r="R3612" t="s">
        <v>2632</v>
      </c>
      <c r="S3612">
        <v>38</v>
      </c>
      <c r="T3612" s="43" t="str">
        <f t="shared" si="167"/>
        <v>2022.060B.Packlarkvirus_ng.zip</v>
      </c>
      <c r="U3612" s="43" t="str">
        <f>HYPERLINK("https://ictv.global/taxonomy/taxondetails?taxnode_id=202214715","ictv.global=202214715")</f>
        <v>ictv.global=202214715</v>
      </c>
    </row>
    <row r="3613" spans="1:21">
      <c r="A3613">
        <v>3612</v>
      </c>
      <c r="B3613" s="29" t="s">
        <v>3682</v>
      </c>
      <c r="C3613" s="29"/>
      <c r="D3613" s="29" t="s">
        <v>3683</v>
      </c>
      <c r="E3613" s="29"/>
      <c r="F3613" s="29" t="s">
        <v>3686</v>
      </c>
      <c r="G3613" s="29"/>
      <c r="H3613" s="29" t="s">
        <v>3687</v>
      </c>
      <c r="I3613" s="29"/>
      <c r="J3613" s="29"/>
      <c r="K3613" s="29"/>
      <c r="L3613" s="29"/>
      <c r="M3613" s="29"/>
      <c r="N3613" s="29" t="s">
        <v>10877</v>
      </c>
      <c r="O3613" s="29"/>
      <c r="P3613" s="29" t="s">
        <v>10884</v>
      </c>
      <c r="Q3613" t="s">
        <v>2038</v>
      </c>
      <c r="R3613" t="s">
        <v>2632</v>
      </c>
      <c r="S3613">
        <v>38</v>
      </c>
      <c r="T3613" s="43" t="str">
        <f t="shared" si="167"/>
        <v>2022.060B.Packlarkvirus_ng.zip</v>
      </c>
      <c r="U3613" s="43" t="str">
        <f>HYPERLINK("https://ictv.global/taxonomy/taxondetails?taxnode_id=202214707","ictv.global=202214707")</f>
        <v>ictv.global=202214707</v>
      </c>
    </row>
    <row r="3614" spans="1:21">
      <c r="A3614">
        <v>3613</v>
      </c>
      <c r="B3614" s="29" t="s">
        <v>3682</v>
      </c>
      <c r="C3614" s="29"/>
      <c r="D3614" s="29" t="s">
        <v>3683</v>
      </c>
      <c r="E3614" s="29"/>
      <c r="F3614" s="29" t="s">
        <v>3686</v>
      </c>
      <c r="G3614" s="29"/>
      <c r="H3614" s="29" t="s">
        <v>3687</v>
      </c>
      <c r="I3614" s="29"/>
      <c r="J3614" s="29"/>
      <c r="K3614" s="29"/>
      <c r="L3614" s="29"/>
      <c r="M3614" s="29"/>
      <c r="N3614" s="29" t="s">
        <v>10877</v>
      </c>
      <c r="O3614" s="29"/>
      <c r="P3614" s="29" t="s">
        <v>10885</v>
      </c>
      <c r="Q3614" t="s">
        <v>2038</v>
      </c>
      <c r="R3614" t="s">
        <v>2632</v>
      </c>
      <c r="S3614">
        <v>38</v>
      </c>
      <c r="T3614" s="43" t="str">
        <f t="shared" si="167"/>
        <v>2022.060B.Packlarkvirus_ng.zip</v>
      </c>
      <c r="U3614" s="43" t="str">
        <f>HYPERLINK("https://ictv.global/taxonomy/taxondetails?taxnode_id=202214708","ictv.global=202214708")</f>
        <v>ictv.global=202214708</v>
      </c>
    </row>
    <row r="3615" spans="1:21">
      <c r="A3615">
        <v>3614</v>
      </c>
      <c r="B3615" s="29" t="s">
        <v>3682</v>
      </c>
      <c r="C3615" s="29"/>
      <c r="D3615" s="29" t="s">
        <v>3683</v>
      </c>
      <c r="E3615" s="29"/>
      <c r="F3615" s="29" t="s">
        <v>3686</v>
      </c>
      <c r="G3615" s="29"/>
      <c r="H3615" s="29" t="s">
        <v>3687</v>
      </c>
      <c r="I3615" s="29"/>
      <c r="J3615" s="29"/>
      <c r="K3615" s="29"/>
      <c r="L3615" s="29"/>
      <c r="M3615" s="29"/>
      <c r="N3615" s="29" t="s">
        <v>10877</v>
      </c>
      <c r="O3615" s="29"/>
      <c r="P3615" s="29" t="s">
        <v>10886</v>
      </c>
      <c r="Q3615" t="s">
        <v>2038</v>
      </c>
      <c r="R3615" t="s">
        <v>2632</v>
      </c>
      <c r="S3615">
        <v>38</v>
      </c>
      <c r="T3615" s="43" t="str">
        <f t="shared" si="167"/>
        <v>2022.060B.Packlarkvirus_ng.zip</v>
      </c>
      <c r="U3615" s="43" t="str">
        <f>HYPERLINK("https://ictv.global/taxonomy/taxondetails?taxnode_id=202214706","ictv.global=202214706")</f>
        <v>ictv.global=202214706</v>
      </c>
    </row>
    <row r="3616" spans="1:21">
      <c r="A3616">
        <v>3615</v>
      </c>
      <c r="B3616" s="29" t="s">
        <v>3682</v>
      </c>
      <c r="C3616" s="29"/>
      <c r="D3616" s="29" t="s">
        <v>3683</v>
      </c>
      <c r="E3616" s="29"/>
      <c r="F3616" s="29" t="s">
        <v>3686</v>
      </c>
      <c r="G3616" s="29"/>
      <c r="H3616" s="29" t="s">
        <v>3687</v>
      </c>
      <c r="I3616" s="29"/>
      <c r="J3616" s="29"/>
      <c r="K3616" s="29"/>
      <c r="L3616" s="29"/>
      <c r="M3616" s="29"/>
      <c r="N3616" s="29" t="s">
        <v>10877</v>
      </c>
      <c r="O3616" s="29"/>
      <c r="P3616" s="29" t="s">
        <v>10887</v>
      </c>
      <c r="Q3616" t="s">
        <v>2038</v>
      </c>
      <c r="R3616" t="s">
        <v>2632</v>
      </c>
      <c r="S3616">
        <v>38</v>
      </c>
      <c r="T3616" s="43" t="str">
        <f t="shared" si="167"/>
        <v>2022.060B.Packlarkvirus_ng.zip</v>
      </c>
      <c r="U3616" s="43" t="str">
        <f>HYPERLINK("https://ictv.global/taxonomy/taxondetails?taxnode_id=202214716","ictv.global=202214716")</f>
        <v>ictv.global=202214716</v>
      </c>
    </row>
    <row r="3617" spans="1:21">
      <c r="A3617">
        <v>3616</v>
      </c>
      <c r="B3617" s="29" t="s">
        <v>3682</v>
      </c>
      <c r="C3617" s="29"/>
      <c r="D3617" s="29" t="s">
        <v>3683</v>
      </c>
      <c r="E3617" s="29"/>
      <c r="F3617" s="29" t="s">
        <v>3686</v>
      </c>
      <c r="G3617" s="29"/>
      <c r="H3617" s="29" t="s">
        <v>3687</v>
      </c>
      <c r="I3617" s="29"/>
      <c r="J3617" s="29"/>
      <c r="K3617" s="29"/>
      <c r="L3617" s="29"/>
      <c r="M3617" s="29"/>
      <c r="N3617" s="29" t="s">
        <v>10877</v>
      </c>
      <c r="O3617" s="29"/>
      <c r="P3617" s="29" t="s">
        <v>10888</v>
      </c>
      <c r="Q3617" t="s">
        <v>2038</v>
      </c>
      <c r="R3617" t="s">
        <v>2632</v>
      </c>
      <c r="S3617">
        <v>38</v>
      </c>
      <c r="T3617" s="43" t="str">
        <f t="shared" si="167"/>
        <v>2022.060B.Packlarkvirus_ng.zip</v>
      </c>
      <c r="U3617" s="43" t="str">
        <f>HYPERLINK("https://ictv.global/taxonomy/taxondetails?taxnode_id=202214705","ictv.global=202214705")</f>
        <v>ictv.global=202214705</v>
      </c>
    </row>
    <row r="3618" spans="1:21">
      <c r="A3618">
        <v>3617</v>
      </c>
      <c r="B3618" s="29" t="s">
        <v>3682</v>
      </c>
      <c r="C3618" s="29"/>
      <c r="D3618" s="29" t="s">
        <v>3683</v>
      </c>
      <c r="E3618" s="29"/>
      <c r="F3618" s="29" t="s">
        <v>3686</v>
      </c>
      <c r="G3618" s="29"/>
      <c r="H3618" s="29" t="s">
        <v>3687</v>
      </c>
      <c r="I3618" s="29"/>
      <c r="J3618" s="29"/>
      <c r="K3618" s="29"/>
      <c r="L3618" s="29"/>
      <c r="M3618" s="29"/>
      <c r="N3618" s="29" t="s">
        <v>10877</v>
      </c>
      <c r="O3618" s="29"/>
      <c r="P3618" s="29" t="s">
        <v>10889</v>
      </c>
      <c r="Q3618" t="s">
        <v>2038</v>
      </c>
      <c r="R3618" t="s">
        <v>2632</v>
      </c>
      <c r="S3618">
        <v>38</v>
      </c>
      <c r="T3618" s="43" t="str">
        <f t="shared" si="167"/>
        <v>2022.060B.Packlarkvirus_ng.zip</v>
      </c>
      <c r="U3618" s="43" t="str">
        <f>HYPERLINK("https://ictv.global/taxonomy/taxondetails?taxnode_id=202214712","ictv.global=202214712")</f>
        <v>ictv.global=202214712</v>
      </c>
    </row>
    <row r="3619" spans="1:21">
      <c r="A3619">
        <v>3618</v>
      </c>
      <c r="B3619" s="29" t="s">
        <v>3682</v>
      </c>
      <c r="C3619" s="29"/>
      <c r="D3619" s="29" t="s">
        <v>3683</v>
      </c>
      <c r="E3619" s="29"/>
      <c r="F3619" s="29" t="s">
        <v>3686</v>
      </c>
      <c r="G3619" s="29"/>
      <c r="H3619" s="29" t="s">
        <v>3687</v>
      </c>
      <c r="I3619" s="29"/>
      <c r="J3619" s="29"/>
      <c r="K3619" s="29"/>
      <c r="L3619" s="29"/>
      <c r="M3619" s="29"/>
      <c r="N3619" s="29" t="s">
        <v>2072</v>
      </c>
      <c r="O3619" s="29"/>
      <c r="P3619" s="29" t="s">
        <v>10890</v>
      </c>
      <c r="Q3619" t="s">
        <v>2038</v>
      </c>
      <c r="R3619" t="s">
        <v>2633</v>
      </c>
      <c r="S3619">
        <v>37</v>
      </c>
      <c r="T3619" s="43" t="str">
        <f t="shared" ref="T3619:T3650" si="168">HYPERLINK("https://ictv.global/ictv/proposals/2021.010B.R.Binomial_names.zip","2021.010B.R.Binomial_names.zip")</f>
        <v>2021.010B.R.Binomial_names.zip</v>
      </c>
      <c r="U3619" s="43" t="str">
        <f>HYPERLINK("https://ictv.global/taxonomy/taxondetails?taxnode_id=202200682","ictv.global=202200682")</f>
        <v>ictv.global=202200682</v>
      </c>
    </row>
    <row r="3620" spans="1:21">
      <c r="A3620">
        <v>3619</v>
      </c>
      <c r="B3620" s="29" t="s">
        <v>3682</v>
      </c>
      <c r="C3620" s="29"/>
      <c r="D3620" s="29" t="s">
        <v>3683</v>
      </c>
      <c r="E3620" s="29"/>
      <c r="F3620" s="29" t="s">
        <v>3686</v>
      </c>
      <c r="G3620" s="29"/>
      <c r="H3620" s="29" t="s">
        <v>3687</v>
      </c>
      <c r="I3620" s="29"/>
      <c r="J3620" s="29"/>
      <c r="K3620" s="29"/>
      <c r="L3620" s="29"/>
      <c r="M3620" s="29"/>
      <c r="N3620" s="29" t="s">
        <v>2072</v>
      </c>
      <c r="O3620" s="29"/>
      <c r="P3620" s="29" t="s">
        <v>10891</v>
      </c>
      <c r="Q3620" t="s">
        <v>2038</v>
      </c>
      <c r="R3620" t="s">
        <v>2633</v>
      </c>
      <c r="S3620">
        <v>37</v>
      </c>
      <c r="T3620" s="43" t="str">
        <f t="shared" si="168"/>
        <v>2021.010B.R.Binomial_names.zip</v>
      </c>
      <c r="U3620" s="43" t="str">
        <f>HYPERLINK("https://ictv.global/taxonomy/taxondetails?taxnode_id=202200683","ictv.global=202200683")</f>
        <v>ictv.global=202200683</v>
      </c>
    </row>
    <row r="3621" spans="1:21">
      <c r="A3621">
        <v>3620</v>
      </c>
      <c r="B3621" s="29" t="s">
        <v>3682</v>
      </c>
      <c r="C3621" s="29"/>
      <c r="D3621" s="29" t="s">
        <v>3683</v>
      </c>
      <c r="E3621" s="29"/>
      <c r="F3621" s="29" t="s">
        <v>3686</v>
      </c>
      <c r="G3621" s="29"/>
      <c r="H3621" s="29" t="s">
        <v>3687</v>
      </c>
      <c r="I3621" s="29"/>
      <c r="J3621" s="29"/>
      <c r="K3621" s="29"/>
      <c r="L3621" s="29"/>
      <c r="M3621" s="29"/>
      <c r="N3621" s="29" t="s">
        <v>2072</v>
      </c>
      <c r="O3621" s="29"/>
      <c r="P3621" s="29" t="s">
        <v>10892</v>
      </c>
      <c r="Q3621" t="s">
        <v>2038</v>
      </c>
      <c r="R3621" t="s">
        <v>2633</v>
      </c>
      <c r="S3621">
        <v>37</v>
      </c>
      <c r="T3621" s="43" t="str">
        <f t="shared" si="168"/>
        <v>2021.010B.R.Binomial_names.zip</v>
      </c>
      <c r="U3621" s="43" t="str">
        <f>HYPERLINK("https://ictv.global/taxonomy/taxondetails?taxnode_id=202200684","ictv.global=202200684")</f>
        <v>ictv.global=202200684</v>
      </c>
    </row>
    <row r="3622" spans="1:21">
      <c r="A3622">
        <v>3621</v>
      </c>
      <c r="B3622" s="29" t="s">
        <v>3682</v>
      </c>
      <c r="C3622" s="29"/>
      <c r="D3622" s="29" t="s">
        <v>3683</v>
      </c>
      <c r="E3622" s="29"/>
      <c r="F3622" s="29" t="s">
        <v>3686</v>
      </c>
      <c r="G3622" s="29"/>
      <c r="H3622" s="29" t="s">
        <v>3687</v>
      </c>
      <c r="I3622" s="29"/>
      <c r="J3622" s="29"/>
      <c r="K3622" s="29"/>
      <c r="L3622" s="29"/>
      <c r="M3622" s="29"/>
      <c r="N3622" s="29" t="s">
        <v>2072</v>
      </c>
      <c r="O3622" s="29"/>
      <c r="P3622" s="29" t="s">
        <v>10893</v>
      </c>
      <c r="Q3622" t="s">
        <v>2038</v>
      </c>
      <c r="R3622" t="s">
        <v>2633</v>
      </c>
      <c r="S3622">
        <v>37</v>
      </c>
      <c r="T3622" s="43" t="str">
        <f t="shared" si="168"/>
        <v>2021.010B.R.Binomial_names.zip</v>
      </c>
      <c r="U3622" s="43" t="str">
        <f>HYPERLINK("https://ictv.global/taxonomy/taxondetails?taxnode_id=202200685","ictv.global=202200685")</f>
        <v>ictv.global=202200685</v>
      </c>
    </row>
    <row r="3623" spans="1:21">
      <c r="A3623">
        <v>3622</v>
      </c>
      <c r="B3623" s="29" t="s">
        <v>3682</v>
      </c>
      <c r="C3623" s="29"/>
      <c r="D3623" s="29" t="s">
        <v>3683</v>
      </c>
      <c r="E3623" s="29"/>
      <c r="F3623" s="29" t="s">
        <v>3686</v>
      </c>
      <c r="G3623" s="29"/>
      <c r="H3623" s="29" t="s">
        <v>3687</v>
      </c>
      <c r="I3623" s="29"/>
      <c r="J3623" s="29"/>
      <c r="K3623" s="29"/>
      <c r="L3623" s="29"/>
      <c r="M3623" s="29"/>
      <c r="N3623" s="29" t="s">
        <v>2072</v>
      </c>
      <c r="O3623" s="29"/>
      <c r="P3623" s="29" t="s">
        <v>10894</v>
      </c>
      <c r="Q3623" t="s">
        <v>2038</v>
      </c>
      <c r="R3623" t="s">
        <v>2633</v>
      </c>
      <c r="S3623">
        <v>37</v>
      </c>
      <c r="T3623" s="43" t="str">
        <f t="shared" si="168"/>
        <v>2021.010B.R.Binomial_names.zip</v>
      </c>
      <c r="U3623" s="43" t="str">
        <f>HYPERLINK("https://ictv.global/taxonomy/taxondetails?taxnode_id=202200686","ictv.global=202200686")</f>
        <v>ictv.global=202200686</v>
      </c>
    </row>
    <row r="3624" spans="1:21">
      <c r="A3624">
        <v>3623</v>
      </c>
      <c r="B3624" s="29" t="s">
        <v>3682</v>
      </c>
      <c r="C3624" s="29"/>
      <c r="D3624" s="29" t="s">
        <v>3683</v>
      </c>
      <c r="E3624" s="29"/>
      <c r="F3624" s="29" t="s">
        <v>3686</v>
      </c>
      <c r="G3624" s="29"/>
      <c r="H3624" s="29" t="s">
        <v>3687</v>
      </c>
      <c r="I3624" s="29"/>
      <c r="J3624" s="29"/>
      <c r="K3624" s="29"/>
      <c r="L3624" s="29"/>
      <c r="M3624" s="29"/>
      <c r="N3624" s="29" t="s">
        <v>3579</v>
      </c>
      <c r="O3624" s="29"/>
      <c r="P3624" s="29" t="s">
        <v>10895</v>
      </c>
      <c r="Q3624" t="s">
        <v>2038</v>
      </c>
      <c r="R3624" t="s">
        <v>2633</v>
      </c>
      <c r="S3624">
        <v>37</v>
      </c>
      <c r="T3624" s="43" t="str">
        <f t="shared" si="168"/>
        <v>2021.010B.R.Binomial_names.zip</v>
      </c>
      <c r="U3624" s="43" t="str">
        <f>HYPERLINK("https://ictv.global/taxonomy/taxondetails?taxnode_id=202201117","ictv.global=202201117")</f>
        <v>ictv.global=202201117</v>
      </c>
    </row>
    <row r="3625" spans="1:21">
      <c r="A3625">
        <v>3624</v>
      </c>
      <c r="B3625" s="29" t="s">
        <v>3682</v>
      </c>
      <c r="C3625" s="29"/>
      <c r="D3625" s="29" t="s">
        <v>3683</v>
      </c>
      <c r="E3625" s="29"/>
      <c r="F3625" s="29" t="s">
        <v>3686</v>
      </c>
      <c r="G3625" s="29"/>
      <c r="H3625" s="29" t="s">
        <v>3687</v>
      </c>
      <c r="I3625" s="29"/>
      <c r="J3625" s="29"/>
      <c r="K3625" s="29"/>
      <c r="L3625" s="29"/>
      <c r="M3625" s="29"/>
      <c r="N3625" s="29" t="s">
        <v>3579</v>
      </c>
      <c r="O3625" s="29"/>
      <c r="P3625" s="29" t="s">
        <v>10896</v>
      </c>
      <c r="Q3625" t="s">
        <v>2038</v>
      </c>
      <c r="R3625" t="s">
        <v>2633</v>
      </c>
      <c r="S3625">
        <v>37</v>
      </c>
      <c r="T3625" s="43" t="str">
        <f t="shared" si="168"/>
        <v>2021.010B.R.Binomial_names.zip</v>
      </c>
      <c r="U3625" s="43" t="str">
        <f>HYPERLINK("https://ictv.global/taxonomy/taxondetails?taxnode_id=202201118","ictv.global=202201118")</f>
        <v>ictv.global=202201118</v>
      </c>
    </row>
    <row r="3626" spans="1:21">
      <c r="A3626">
        <v>3625</v>
      </c>
      <c r="B3626" s="29" t="s">
        <v>3682</v>
      </c>
      <c r="C3626" s="29"/>
      <c r="D3626" s="29" t="s">
        <v>3683</v>
      </c>
      <c r="E3626" s="29"/>
      <c r="F3626" s="29" t="s">
        <v>3686</v>
      </c>
      <c r="G3626" s="29"/>
      <c r="H3626" s="29" t="s">
        <v>3687</v>
      </c>
      <c r="I3626" s="29"/>
      <c r="J3626" s="29"/>
      <c r="K3626" s="29"/>
      <c r="L3626" s="29"/>
      <c r="M3626" s="29"/>
      <c r="N3626" s="29" t="s">
        <v>3579</v>
      </c>
      <c r="O3626" s="29"/>
      <c r="P3626" s="29" t="s">
        <v>10897</v>
      </c>
      <c r="Q3626" t="s">
        <v>2038</v>
      </c>
      <c r="R3626" t="s">
        <v>2633</v>
      </c>
      <c r="S3626">
        <v>37</v>
      </c>
      <c r="T3626" s="43" t="str">
        <f t="shared" si="168"/>
        <v>2021.010B.R.Binomial_names.zip</v>
      </c>
      <c r="U3626" s="43" t="str">
        <f>HYPERLINK("https://ictv.global/taxonomy/taxondetails?taxnode_id=202201119","ictv.global=202201119")</f>
        <v>ictv.global=202201119</v>
      </c>
    </row>
    <row r="3627" spans="1:21">
      <c r="A3627">
        <v>3626</v>
      </c>
      <c r="B3627" s="29" t="s">
        <v>3682</v>
      </c>
      <c r="C3627" s="29"/>
      <c r="D3627" s="29" t="s">
        <v>3683</v>
      </c>
      <c r="E3627" s="29"/>
      <c r="F3627" s="29" t="s">
        <v>3686</v>
      </c>
      <c r="G3627" s="29"/>
      <c r="H3627" s="29" t="s">
        <v>3687</v>
      </c>
      <c r="I3627" s="29"/>
      <c r="J3627" s="29"/>
      <c r="K3627" s="29"/>
      <c r="L3627" s="29"/>
      <c r="M3627" s="29"/>
      <c r="N3627" s="29" t="s">
        <v>3579</v>
      </c>
      <c r="O3627" s="29"/>
      <c r="P3627" s="29" t="s">
        <v>10898</v>
      </c>
      <c r="Q3627" t="s">
        <v>2038</v>
      </c>
      <c r="R3627" t="s">
        <v>2633</v>
      </c>
      <c r="S3627">
        <v>37</v>
      </c>
      <c r="T3627" s="43" t="str">
        <f t="shared" si="168"/>
        <v>2021.010B.R.Binomial_names.zip</v>
      </c>
      <c r="U3627" s="43" t="str">
        <f>HYPERLINK("https://ictv.global/taxonomy/taxondetails?taxnode_id=202201120","ictv.global=202201120")</f>
        <v>ictv.global=202201120</v>
      </c>
    </row>
    <row r="3628" spans="1:21">
      <c r="A3628">
        <v>3627</v>
      </c>
      <c r="B3628" s="29" t="s">
        <v>3682</v>
      </c>
      <c r="C3628" s="29"/>
      <c r="D3628" s="29" t="s">
        <v>3683</v>
      </c>
      <c r="E3628" s="29"/>
      <c r="F3628" s="29" t="s">
        <v>3686</v>
      </c>
      <c r="G3628" s="29"/>
      <c r="H3628" s="29" t="s">
        <v>3687</v>
      </c>
      <c r="I3628" s="29"/>
      <c r="J3628" s="29"/>
      <c r="K3628" s="29"/>
      <c r="L3628" s="29"/>
      <c r="M3628" s="29"/>
      <c r="N3628" s="29" t="s">
        <v>3579</v>
      </c>
      <c r="O3628" s="29"/>
      <c r="P3628" s="29" t="s">
        <v>10899</v>
      </c>
      <c r="Q3628" t="s">
        <v>2038</v>
      </c>
      <c r="R3628" t="s">
        <v>2633</v>
      </c>
      <c r="S3628">
        <v>37</v>
      </c>
      <c r="T3628" s="43" t="str">
        <f t="shared" si="168"/>
        <v>2021.010B.R.Binomial_names.zip</v>
      </c>
      <c r="U3628" s="43" t="str">
        <f>HYPERLINK("https://ictv.global/taxonomy/taxondetails?taxnode_id=202201121","ictv.global=202201121")</f>
        <v>ictv.global=202201121</v>
      </c>
    </row>
    <row r="3629" spans="1:21">
      <c r="A3629">
        <v>3628</v>
      </c>
      <c r="B3629" s="29" t="s">
        <v>3682</v>
      </c>
      <c r="C3629" s="29"/>
      <c r="D3629" s="29" t="s">
        <v>3683</v>
      </c>
      <c r="E3629" s="29"/>
      <c r="F3629" s="29" t="s">
        <v>3686</v>
      </c>
      <c r="G3629" s="29"/>
      <c r="H3629" s="29" t="s">
        <v>3687</v>
      </c>
      <c r="I3629" s="29"/>
      <c r="J3629" s="29"/>
      <c r="K3629" s="29"/>
      <c r="L3629" s="29"/>
      <c r="M3629" s="29"/>
      <c r="N3629" s="29" t="s">
        <v>3579</v>
      </c>
      <c r="O3629" s="29"/>
      <c r="P3629" s="29" t="s">
        <v>10900</v>
      </c>
      <c r="Q3629" t="s">
        <v>2038</v>
      </c>
      <c r="R3629" t="s">
        <v>2633</v>
      </c>
      <c r="S3629">
        <v>37</v>
      </c>
      <c r="T3629" s="43" t="str">
        <f t="shared" si="168"/>
        <v>2021.010B.R.Binomial_names.zip</v>
      </c>
      <c r="U3629" s="43" t="str">
        <f>HYPERLINK("https://ictv.global/taxonomy/taxondetails?taxnode_id=202201122","ictv.global=202201122")</f>
        <v>ictv.global=202201122</v>
      </c>
    </row>
    <row r="3630" spans="1:21">
      <c r="A3630">
        <v>3629</v>
      </c>
      <c r="B3630" s="29" t="s">
        <v>3682</v>
      </c>
      <c r="C3630" s="29"/>
      <c r="D3630" s="29" t="s">
        <v>3683</v>
      </c>
      <c r="E3630" s="29"/>
      <c r="F3630" s="29" t="s">
        <v>3686</v>
      </c>
      <c r="G3630" s="29"/>
      <c r="H3630" s="29" t="s">
        <v>3687</v>
      </c>
      <c r="I3630" s="29"/>
      <c r="J3630" s="29"/>
      <c r="K3630" s="29"/>
      <c r="L3630" s="29"/>
      <c r="M3630" s="29"/>
      <c r="N3630" s="29" t="s">
        <v>3579</v>
      </c>
      <c r="O3630" s="29"/>
      <c r="P3630" s="29" t="s">
        <v>10901</v>
      </c>
      <c r="Q3630" t="s">
        <v>2038</v>
      </c>
      <c r="R3630" t="s">
        <v>2633</v>
      </c>
      <c r="S3630">
        <v>37</v>
      </c>
      <c r="T3630" s="43" t="str">
        <f t="shared" si="168"/>
        <v>2021.010B.R.Binomial_names.zip</v>
      </c>
      <c r="U3630" s="43" t="str">
        <f>HYPERLINK("https://ictv.global/taxonomy/taxondetails?taxnode_id=202201123","ictv.global=202201123")</f>
        <v>ictv.global=202201123</v>
      </c>
    </row>
    <row r="3631" spans="1:21">
      <c r="A3631">
        <v>3630</v>
      </c>
      <c r="B3631" s="29" t="s">
        <v>3682</v>
      </c>
      <c r="C3631" s="29"/>
      <c r="D3631" s="29" t="s">
        <v>3683</v>
      </c>
      <c r="E3631" s="29"/>
      <c r="F3631" s="29" t="s">
        <v>3686</v>
      </c>
      <c r="G3631" s="29"/>
      <c r="H3631" s="29" t="s">
        <v>3687</v>
      </c>
      <c r="I3631" s="29"/>
      <c r="J3631" s="29"/>
      <c r="K3631" s="29"/>
      <c r="L3631" s="29"/>
      <c r="M3631" s="29"/>
      <c r="N3631" s="29" t="s">
        <v>3579</v>
      </c>
      <c r="O3631" s="29"/>
      <c r="P3631" s="29" t="s">
        <v>10902</v>
      </c>
      <c r="Q3631" t="s">
        <v>2038</v>
      </c>
      <c r="R3631" t="s">
        <v>2633</v>
      </c>
      <c r="S3631">
        <v>37</v>
      </c>
      <c r="T3631" s="43" t="str">
        <f t="shared" si="168"/>
        <v>2021.010B.R.Binomial_names.zip</v>
      </c>
      <c r="U3631" s="43" t="str">
        <f>HYPERLINK("https://ictv.global/taxonomy/taxondetails?taxnode_id=202201124","ictv.global=202201124")</f>
        <v>ictv.global=202201124</v>
      </c>
    </row>
    <row r="3632" spans="1:21">
      <c r="A3632">
        <v>3631</v>
      </c>
      <c r="B3632" s="29" t="s">
        <v>3682</v>
      </c>
      <c r="C3632" s="29"/>
      <c r="D3632" s="29" t="s">
        <v>3683</v>
      </c>
      <c r="E3632" s="29"/>
      <c r="F3632" s="29" t="s">
        <v>3686</v>
      </c>
      <c r="G3632" s="29"/>
      <c r="H3632" s="29" t="s">
        <v>3687</v>
      </c>
      <c r="I3632" s="29"/>
      <c r="J3632" s="29"/>
      <c r="K3632" s="29"/>
      <c r="L3632" s="29"/>
      <c r="M3632" s="29"/>
      <c r="N3632" s="29" t="s">
        <v>3579</v>
      </c>
      <c r="O3632" s="29"/>
      <c r="P3632" s="29" t="s">
        <v>10903</v>
      </c>
      <c r="Q3632" t="s">
        <v>2038</v>
      </c>
      <c r="R3632" t="s">
        <v>2633</v>
      </c>
      <c r="S3632">
        <v>37</v>
      </c>
      <c r="T3632" s="43" t="str">
        <f t="shared" si="168"/>
        <v>2021.010B.R.Binomial_names.zip</v>
      </c>
      <c r="U3632" s="43" t="str">
        <f>HYPERLINK("https://ictv.global/taxonomy/taxondetails?taxnode_id=202201129","ictv.global=202201129")</f>
        <v>ictv.global=202201129</v>
      </c>
    </row>
    <row r="3633" spans="1:21">
      <c r="A3633">
        <v>3632</v>
      </c>
      <c r="B3633" s="29" t="s">
        <v>3682</v>
      </c>
      <c r="C3633" s="29"/>
      <c r="D3633" s="29" t="s">
        <v>3683</v>
      </c>
      <c r="E3633" s="29"/>
      <c r="F3633" s="29" t="s">
        <v>3686</v>
      </c>
      <c r="G3633" s="29"/>
      <c r="H3633" s="29" t="s">
        <v>3687</v>
      </c>
      <c r="I3633" s="29"/>
      <c r="J3633" s="29"/>
      <c r="K3633" s="29"/>
      <c r="L3633" s="29"/>
      <c r="M3633" s="29"/>
      <c r="N3633" s="29" t="s">
        <v>3579</v>
      </c>
      <c r="O3633" s="29"/>
      <c r="P3633" s="29" t="s">
        <v>10904</v>
      </c>
      <c r="Q3633" t="s">
        <v>2038</v>
      </c>
      <c r="R3633" t="s">
        <v>2633</v>
      </c>
      <c r="S3633">
        <v>37</v>
      </c>
      <c r="T3633" s="43" t="str">
        <f t="shared" si="168"/>
        <v>2021.010B.R.Binomial_names.zip</v>
      </c>
      <c r="U3633" s="43" t="str">
        <f>HYPERLINK("https://ictv.global/taxonomy/taxondetails?taxnode_id=202201125","ictv.global=202201125")</f>
        <v>ictv.global=202201125</v>
      </c>
    </row>
    <row r="3634" spans="1:21">
      <c r="A3634">
        <v>3633</v>
      </c>
      <c r="B3634" s="29" t="s">
        <v>3682</v>
      </c>
      <c r="C3634" s="29"/>
      <c r="D3634" s="29" t="s">
        <v>3683</v>
      </c>
      <c r="E3634" s="29"/>
      <c r="F3634" s="29" t="s">
        <v>3686</v>
      </c>
      <c r="G3634" s="29"/>
      <c r="H3634" s="29" t="s">
        <v>3687</v>
      </c>
      <c r="I3634" s="29"/>
      <c r="J3634" s="29"/>
      <c r="K3634" s="29"/>
      <c r="L3634" s="29"/>
      <c r="M3634" s="29"/>
      <c r="N3634" s="29" t="s">
        <v>3579</v>
      </c>
      <c r="O3634" s="29"/>
      <c r="P3634" s="29" t="s">
        <v>10905</v>
      </c>
      <c r="Q3634" t="s">
        <v>2038</v>
      </c>
      <c r="R3634" t="s">
        <v>2633</v>
      </c>
      <c r="S3634">
        <v>37</v>
      </c>
      <c r="T3634" s="43" t="str">
        <f t="shared" si="168"/>
        <v>2021.010B.R.Binomial_names.zip</v>
      </c>
      <c r="U3634" s="43" t="str">
        <f>HYPERLINK("https://ictv.global/taxonomy/taxondetails?taxnode_id=202201126","ictv.global=202201126")</f>
        <v>ictv.global=202201126</v>
      </c>
    </row>
    <row r="3635" spans="1:21">
      <c r="A3635">
        <v>3634</v>
      </c>
      <c r="B3635" s="29" t="s">
        <v>3682</v>
      </c>
      <c r="C3635" s="29"/>
      <c r="D3635" s="29" t="s">
        <v>3683</v>
      </c>
      <c r="E3635" s="29"/>
      <c r="F3635" s="29" t="s">
        <v>3686</v>
      </c>
      <c r="G3635" s="29"/>
      <c r="H3635" s="29" t="s">
        <v>3687</v>
      </c>
      <c r="I3635" s="29"/>
      <c r="J3635" s="29"/>
      <c r="K3635" s="29"/>
      <c r="L3635" s="29"/>
      <c r="M3635" s="29"/>
      <c r="N3635" s="29" t="s">
        <v>3579</v>
      </c>
      <c r="O3635" s="29"/>
      <c r="P3635" s="29" t="s">
        <v>10906</v>
      </c>
      <c r="Q3635" t="s">
        <v>2038</v>
      </c>
      <c r="R3635" t="s">
        <v>2633</v>
      </c>
      <c r="S3635">
        <v>37</v>
      </c>
      <c r="T3635" s="43" t="str">
        <f t="shared" si="168"/>
        <v>2021.010B.R.Binomial_names.zip</v>
      </c>
      <c r="U3635" s="43" t="str">
        <f>HYPERLINK("https://ictv.global/taxonomy/taxondetails?taxnode_id=202201127","ictv.global=202201127")</f>
        <v>ictv.global=202201127</v>
      </c>
    </row>
    <row r="3636" spans="1:21">
      <c r="A3636">
        <v>3635</v>
      </c>
      <c r="B3636" s="29" t="s">
        <v>3682</v>
      </c>
      <c r="C3636" s="29"/>
      <c r="D3636" s="29" t="s">
        <v>3683</v>
      </c>
      <c r="E3636" s="29"/>
      <c r="F3636" s="29" t="s">
        <v>3686</v>
      </c>
      <c r="G3636" s="29"/>
      <c r="H3636" s="29" t="s">
        <v>3687</v>
      </c>
      <c r="I3636" s="29"/>
      <c r="J3636" s="29"/>
      <c r="K3636" s="29"/>
      <c r="L3636" s="29"/>
      <c r="M3636" s="29"/>
      <c r="N3636" s="29" t="s">
        <v>3579</v>
      </c>
      <c r="O3636" s="29"/>
      <c r="P3636" s="29" t="s">
        <v>10907</v>
      </c>
      <c r="Q3636" t="s">
        <v>2038</v>
      </c>
      <c r="R3636" t="s">
        <v>2633</v>
      </c>
      <c r="S3636">
        <v>37</v>
      </c>
      <c r="T3636" s="43" t="str">
        <f t="shared" si="168"/>
        <v>2021.010B.R.Binomial_names.zip</v>
      </c>
      <c r="U3636" s="43" t="str">
        <f>HYPERLINK("https://ictv.global/taxonomy/taxondetails?taxnode_id=202201128","ictv.global=202201128")</f>
        <v>ictv.global=202201128</v>
      </c>
    </row>
    <row r="3637" spans="1:21">
      <c r="A3637">
        <v>3636</v>
      </c>
      <c r="B3637" s="29" t="s">
        <v>3682</v>
      </c>
      <c r="C3637" s="29"/>
      <c r="D3637" s="29" t="s">
        <v>3683</v>
      </c>
      <c r="E3637" s="29"/>
      <c r="F3637" s="29" t="s">
        <v>3686</v>
      </c>
      <c r="G3637" s="29"/>
      <c r="H3637" s="29" t="s">
        <v>3687</v>
      </c>
      <c r="I3637" s="29"/>
      <c r="J3637" s="29"/>
      <c r="K3637" s="29"/>
      <c r="L3637" s="29"/>
      <c r="M3637" s="29"/>
      <c r="N3637" s="29" t="s">
        <v>3579</v>
      </c>
      <c r="O3637" s="29"/>
      <c r="P3637" s="29" t="s">
        <v>10908</v>
      </c>
      <c r="Q3637" t="s">
        <v>2038</v>
      </c>
      <c r="R3637" t="s">
        <v>2633</v>
      </c>
      <c r="S3637">
        <v>37</v>
      </c>
      <c r="T3637" s="43" t="str">
        <f t="shared" si="168"/>
        <v>2021.010B.R.Binomial_names.zip</v>
      </c>
      <c r="U3637" s="43" t="str">
        <f>HYPERLINK("https://ictv.global/taxonomy/taxondetails?taxnode_id=202201130","ictv.global=202201130")</f>
        <v>ictv.global=202201130</v>
      </c>
    </row>
    <row r="3638" spans="1:21">
      <c r="A3638">
        <v>3637</v>
      </c>
      <c r="B3638" s="29" t="s">
        <v>3682</v>
      </c>
      <c r="C3638" s="29"/>
      <c r="D3638" s="29" t="s">
        <v>3683</v>
      </c>
      <c r="E3638" s="29"/>
      <c r="F3638" s="29" t="s">
        <v>3686</v>
      </c>
      <c r="G3638" s="29"/>
      <c r="H3638" s="29" t="s">
        <v>3687</v>
      </c>
      <c r="I3638" s="29"/>
      <c r="J3638" s="29"/>
      <c r="K3638" s="29"/>
      <c r="L3638" s="29"/>
      <c r="M3638" s="29"/>
      <c r="N3638" s="29" t="s">
        <v>3579</v>
      </c>
      <c r="O3638" s="29"/>
      <c r="P3638" s="29" t="s">
        <v>10909</v>
      </c>
      <c r="Q3638" t="s">
        <v>2038</v>
      </c>
      <c r="R3638" t="s">
        <v>2633</v>
      </c>
      <c r="S3638">
        <v>37</v>
      </c>
      <c r="T3638" s="43" t="str">
        <f t="shared" si="168"/>
        <v>2021.010B.R.Binomial_names.zip</v>
      </c>
      <c r="U3638" s="43" t="str">
        <f>HYPERLINK("https://ictv.global/taxonomy/taxondetails?taxnode_id=202201131","ictv.global=202201131")</f>
        <v>ictv.global=202201131</v>
      </c>
    </row>
    <row r="3639" spans="1:21">
      <c r="A3639">
        <v>3638</v>
      </c>
      <c r="B3639" s="29" t="s">
        <v>3682</v>
      </c>
      <c r="C3639" s="29"/>
      <c r="D3639" s="29" t="s">
        <v>3683</v>
      </c>
      <c r="E3639" s="29"/>
      <c r="F3639" s="29" t="s">
        <v>3686</v>
      </c>
      <c r="G3639" s="29"/>
      <c r="H3639" s="29" t="s">
        <v>3687</v>
      </c>
      <c r="I3639" s="29"/>
      <c r="J3639" s="29"/>
      <c r="K3639" s="29"/>
      <c r="L3639" s="29"/>
      <c r="M3639" s="29"/>
      <c r="N3639" s="29" t="s">
        <v>3579</v>
      </c>
      <c r="O3639" s="29"/>
      <c r="P3639" s="29" t="s">
        <v>10910</v>
      </c>
      <c r="Q3639" t="s">
        <v>2038</v>
      </c>
      <c r="R3639" t="s">
        <v>2633</v>
      </c>
      <c r="S3639">
        <v>37</v>
      </c>
      <c r="T3639" s="43" t="str">
        <f t="shared" si="168"/>
        <v>2021.010B.R.Binomial_names.zip</v>
      </c>
      <c r="U3639" s="43" t="str">
        <f>HYPERLINK("https://ictv.global/taxonomy/taxondetails?taxnode_id=202201132","ictv.global=202201132")</f>
        <v>ictv.global=202201132</v>
      </c>
    </row>
    <row r="3640" spans="1:21">
      <c r="A3640">
        <v>3639</v>
      </c>
      <c r="B3640" s="29" t="s">
        <v>3682</v>
      </c>
      <c r="C3640" s="29"/>
      <c r="D3640" s="29" t="s">
        <v>3683</v>
      </c>
      <c r="E3640" s="29"/>
      <c r="F3640" s="29" t="s">
        <v>3686</v>
      </c>
      <c r="G3640" s="29"/>
      <c r="H3640" s="29" t="s">
        <v>3687</v>
      </c>
      <c r="I3640" s="29"/>
      <c r="J3640" s="29"/>
      <c r="K3640" s="29"/>
      <c r="L3640" s="29"/>
      <c r="M3640" s="29"/>
      <c r="N3640" s="29" t="s">
        <v>3579</v>
      </c>
      <c r="O3640" s="29"/>
      <c r="P3640" s="29" t="s">
        <v>10911</v>
      </c>
      <c r="Q3640" t="s">
        <v>2038</v>
      </c>
      <c r="R3640" t="s">
        <v>2633</v>
      </c>
      <c r="S3640">
        <v>37</v>
      </c>
      <c r="T3640" s="43" t="str">
        <f t="shared" si="168"/>
        <v>2021.010B.R.Binomial_names.zip</v>
      </c>
      <c r="U3640" s="43" t="str">
        <f>HYPERLINK("https://ictv.global/taxonomy/taxondetails?taxnode_id=202201133","ictv.global=202201133")</f>
        <v>ictv.global=202201133</v>
      </c>
    </row>
    <row r="3641" spans="1:21">
      <c r="A3641">
        <v>3640</v>
      </c>
      <c r="B3641" s="29" t="s">
        <v>3682</v>
      </c>
      <c r="C3641" s="29"/>
      <c r="D3641" s="29" t="s">
        <v>3683</v>
      </c>
      <c r="E3641" s="29"/>
      <c r="F3641" s="29" t="s">
        <v>3686</v>
      </c>
      <c r="G3641" s="29"/>
      <c r="H3641" s="29" t="s">
        <v>3687</v>
      </c>
      <c r="I3641" s="29"/>
      <c r="J3641" s="29"/>
      <c r="K3641" s="29"/>
      <c r="L3641" s="29"/>
      <c r="M3641" s="29"/>
      <c r="N3641" s="29" t="s">
        <v>3579</v>
      </c>
      <c r="O3641" s="29"/>
      <c r="P3641" s="29" t="s">
        <v>10912</v>
      </c>
      <c r="Q3641" t="s">
        <v>2038</v>
      </c>
      <c r="R3641" t="s">
        <v>2633</v>
      </c>
      <c r="S3641">
        <v>37</v>
      </c>
      <c r="T3641" s="43" t="str">
        <f t="shared" si="168"/>
        <v>2021.010B.R.Binomial_names.zip</v>
      </c>
      <c r="U3641" s="43" t="str">
        <f>HYPERLINK("https://ictv.global/taxonomy/taxondetails?taxnode_id=202201134","ictv.global=202201134")</f>
        <v>ictv.global=202201134</v>
      </c>
    </row>
    <row r="3642" spans="1:21">
      <c r="A3642">
        <v>3641</v>
      </c>
      <c r="B3642" s="29" t="s">
        <v>3682</v>
      </c>
      <c r="C3642" s="29"/>
      <c r="D3642" s="29" t="s">
        <v>3683</v>
      </c>
      <c r="E3642" s="29"/>
      <c r="F3642" s="29" t="s">
        <v>3686</v>
      </c>
      <c r="G3642" s="29"/>
      <c r="H3642" s="29" t="s">
        <v>3687</v>
      </c>
      <c r="I3642" s="29"/>
      <c r="J3642" s="29"/>
      <c r="K3642" s="29"/>
      <c r="L3642" s="29"/>
      <c r="M3642" s="29"/>
      <c r="N3642" s="29" t="s">
        <v>3579</v>
      </c>
      <c r="O3642" s="29"/>
      <c r="P3642" s="29" t="s">
        <v>10913</v>
      </c>
      <c r="Q3642" t="s">
        <v>2038</v>
      </c>
      <c r="R3642" t="s">
        <v>2633</v>
      </c>
      <c r="S3642">
        <v>37</v>
      </c>
      <c r="T3642" s="43" t="str">
        <f t="shared" si="168"/>
        <v>2021.010B.R.Binomial_names.zip</v>
      </c>
      <c r="U3642" s="43" t="str">
        <f>HYPERLINK("https://ictv.global/taxonomy/taxondetails?taxnode_id=202201135","ictv.global=202201135")</f>
        <v>ictv.global=202201135</v>
      </c>
    </row>
    <row r="3643" spans="1:21">
      <c r="A3643">
        <v>3642</v>
      </c>
      <c r="B3643" s="29" t="s">
        <v>3682</v>
      </c>
      <c r="C3643" s="29"/>
      <c r="D3643" s="29" t="s">
        <v>3683</v>
      </c>
      <c r="E3643" s="29"/>
      <c r="F3643" s="29" t="s">
        <v>3686</v>
      </c>
      <c r="G3643" s="29"/>
      <c r="H3643" s="29" t="s">
        <v>3687</v>
      </c>
      <c r="I3643" s="29"/>
      <c r="J3643" s="29"/>
      <c r="K3643" s="29"/>
      <c r="L3643" s="29"/>
      <c r="M3643" s="29"/>
      <c r="N3643" s="29" t="s">
        <v>3579</v>
      </c>
      <c r="O3643" s="29"/>
      <c r="P3643" s="29" t="s">
        <v>10914</v>
      </c>
      <c r="Q3643" t="s">
        <v>2038</v>
      </c>
      <c r="R3643" t="s">
        <v>2633</v>
      </c>
      <c r="S3643">
        <v>37</v>
      </c>
      <c r="T3643" s="43" t="str">
        <f t="shared" si="168"/>
        <v>2021.010B.R.Binomial_names.zip</v>
      </c>
      <c r="U3643" s="43" t="str">
        <f>HYPERLINK("https://ictv.global/taxonomy/taxondetails?taxnode_id=202201136","ictv.global=202201136")</f>
        <v>ictv.global=202201136</v>
      </c>
    </row>
    <row r="3644" spans="1:21">
      <c r="A3644">
        <v>3643</v>
      </c>
      <c r="B3644" s="29" t="s">
        <v>3682</v>
      </c>
      <c r="C3644" s="29"/>
      <c r="D3644" s="29" t="s">
        <v>3683</v>
      </c>
      <c r="E3644" s="29"/>
      <c r="F3644" s="29" t="s">
        <v>3686</v>
      </c>
      <c r="G3644" s="29"/>
      <c r="H3644" s="29" t="s">
        <v>3687</v>
      </c>
      <c r="I3644" s="29"/>
      <c r="J3644" s="29"/>
      <c r="K3644" s="29"/>
      <c r="L3644" s="29"/>
      <c r="M3644" s="29"/>
      <c r="N3644" s="29" t="s">
        <v>3579</v>
      </c>
      <c r="O3644" s="29"/>
      <c r="P3644" s="29" t="s">
        <v>10915</v>
      </c>
      <c r="Q3644" t="s">
        <v>2038</v>
      </c>
      <c r="R3644" t="s">
        <v>2633</v>
      </c>
      <c r="S3644">
        <v>37</v>
      </c>
      <c r="T3644" s="43" t="str">
        <f t="shared" si="168"/>
        <v>2021.010B.R.Binomial_names.zip</v>
      </c>
      <c r="U3644" s="43" t="str">
        <f>HYPERLINK("https://ictv.global/taxonomy/taxondetails?taxnode_id=202201137","ictv.global=202201137")</f>
        <v>ictv.global=202201137</v>
      </c>
    </row>
    <row r="3645" spans="1:21">
      <c r="A3645">
        <v>3644</v>
      </c>
      <c r="B3645" s="29" t="s">
        <v>3682</v>
      </c>
      <c r="C3645" s="29"/>
      <c r="D3645" s="29" t="s">
        <v>3683</v>
      </c>
      <c r="E3645" s="29"/>
      <c r="F3645" s="29" t="s">
        <v>3686</v>
      </c>
      <c r="G3645" s="29"/>
      <c r="H3645" s="29" t="s">
        <v>3687</v>
      </c>
      <c r="I3645" s="29"/>
      <c r="J3645" s="29"/>
      <c r="K3645" s="29"/>
      <c r="L3645" s="29"/>
      <c r="M3645" s="29"/>
      <c r="N3645" s="29" t="s">
        <v>3579</v>
      </c>
      <c r="O3645" s="29"/>
      <c r="P3645" s="29" t="s">
        <v>10916</v>
      </c>
      <c r="Q3645" t="s">
        <v>2038</v>
      </c>
      <c r="R3645" t="s">
        <v>2633</v>
      </c>
      <c r="S3645">
        <v>37</v>
      </c>
      <c r="T3645" s="43" t="str">
        <f t="shared" si="168"/>
        <v>2021.010B.R.Binomial_names.zip</v>
      </c>
      <c r="U3645" s="43" t="str">
        <f>HYPERLINK("https://ictv.global/taxonomy/taxondetails?taxnode_id=202201138","ictv.global=202201138")</f>
        <v>ictv.global=202201138</v>
      </c>
    </row>
    <row r="3646" spans="1:21">
      <c r="A3646">
        <v>3645</v>
      </c>
      <c r="B3646" s="29" t="s">
        <v>3682</v>
      </c>
      <c r="C3646" s="29"/>
      <c r="D3646" s="29" t="s">
        <v>3683</v>
      </c>
      <c r="E3646" s="29"/>
      <c r="F3646" s="29" t="s">
        <v>3686</v>
      </c>
      <c r="G3646" s="29"/>
      <c r="H3646" s="29" t="s">
        <v>3687</v>
      </c>
      <c r="I3646" s="29"/>
      <c r="J3646" s="29"/>
      <c r="K3646" s="29"/>
      <c r="L3646" s="29"/>
      <c r="M3646" s="29"/>
      <c r="N3646" s="29" t="s">
        <v>3579</v>
      </c>
      <c r="O3646" s="29"/>
      <c r="P3646" s="29" t="s">
        <v>10917</v>
      </c>
      <c r="Q3646" t="s">
        <v>2038</v>
      </c>
      <c r="R3646" t="s">
        <v>2633</v>
      </c>
      <c r="S3646">
        <v>37</v>
      </c>
      <c r="T3646" s="43" t="str">
        <f t="shared" si="168"/>
        <v>2021.010B.R.Binomial_names.zip</v>
      </c>
      <c r="U3646" s="43" t="str">
        <f>HYPERLINK("https://ictv.global/taxonomy/taxondetails?taxnode_id=202201139","ictv.global=202201139")</f>
        <v>ictv.global=202201139</v>
      </c>
    </row>
    <row r="3647" spans="1:21">
      <c r="A3647">
        <v>3646</v>
      </c>
      <c r="B3647" s="29" t="s">
        <v>3682</v>
      </c>
      <c r="C3647" s="29"/>
      <c r="D3647" s="29" t="s">
        <v>3683</v>
      </c>
      <c r="E3647" s="29"/>
      <c r="F3647" s="29" t="s">
        <v>3686</v>
      </c>
      <c r="G3647" s="29"/>
      <c r="H3647" s="29" t="s">
        <v>3687</v>
      </c>
      <c r="I3647" s="29"/>
      <c r="J3647" s="29"/>
      <c r="K3647" s="29"/>
      <c r="L3647" s="29"/>
      <c r="M3647" s="29"/>
      <c r="N3647" s="29" t="s">
        <v>3579</v>
      </c>
      <c r="O3647" s="29"/>
      <c r="P3647" s="29" t="s">
        <v>10918</v>
      </c>
      <c r="Q3647" t="s">
        <v>2038</v>
      </c>
      <c r="R3647" t="s">
        <v>2633</v>
      </c>
      <c r="S3647">
        <v>37</v>
      </c>
      <c r="T3647" s="43" t="str">
        <f t="shared" si="168"/>
        <v>2021.010B.R.Binomial_names.zip</v>
      </c>
      <c r="U3647" s="43" t="str">
        <f>HYPERLINK("https://ictv.global/taxonomy/taxondetails?taxnode_id=202201140","ictv.global=202201140")</f>
        <v>ictv.global=202201140</v>
      </c>
    </row>
    <row r="3648" spans="1:21">
      <c r="A3648">
        <v>3647</v>
      </c>
      <c r="B3648" s="29" t="s">
        <v>3682</v>
      </c>
      <c r="C3648" s="29"/>
      <c r="D3648" s="29" t="s">
        <v>3683</v>
      </c>
      <c r="E3648" s="29"/>
      <c r="F3648" s="29" t="s">
        <v>3686</v>
      </c>
      <c r="G3648" s="29"/>
      <c r="H3648" s="29" t="s">
        <v>3687</v>
      </c>
      <c r="I3648" s="29"/>
      <c r="J3648" s="29"/>
      <c r="K3648" s="29"/>
      <c r="L3648" s="29"/>
      <c r="M3648" s="29"/>
      <c r="N3648" s="29" t="s">
        <v>3579</v>
      </c>
      <c r="O3648" s="29"/>
      <c r="P3648" s="29" t="s">
        <v>10919</v>
      </c>
      <c r="Q3648" t="s">
        <v>2038</v>
      </c>
      <c r="R3648" t="s">
        <v>2633</v>
      </c>
      <c r="S3648">
        <v>37</v>
      </c>
      <c r="T3648" s="43" t="str">
        <f t="shared" si="168"/>
        <v>2021.010B.R.Binomial_names.zip</v>
      </c>
      <c r="U3648" s="43" t="str">
        <f>HYPERLINK("https://ictv.global/taxonomy/taxondetails?taxnode_id=202201141","ictv.global=202201141")</f>
        <v>ictv.global=202201141</v>
      </c>
    </row>
    <row r="3649" spans="1:21">
      <c r="A3649">
        <v>3648</v>
      </c>
      <c r="B3649" s="29" t="s">
        <v>3682</v>
      </c>
      <c r="C3649" s="29"/>
      <c r="D3649" s="29" t="s">
        <v>3683</v>
      </c>
      <c r="E3649" s="29"/>
      <c r="F3649" s="29" t="s">
        <v>3686</v>
      </c>
      <c r="G3649" s="29"/>
      <c r="H3649" s="29" t="s">
        <v>3687</v>
      </c>
      <c r="I3649" s="29"/>
      <c r="J3649" s="29"/>
      <c r="K3649" s="29"/>
      <c r="L3649" s="29"/>
      <c r="M3649" s="29"/>
      <c r="N3649" s="29" t="s">
        <v>3579</v>
      </c>
      <c r="O3649" s="29"/>
      <c r="P3649" s="29" t="s">
        <v>10920</v>
      </c>
      <c r="Q3649" t="s">
        <v>2038</v>
      </c>
      <c r="R3649" t="s">
        <v>2633</v>
      </c>
      <c r="S3649">
        <v>37</v>
      </c>
      <c r="T3649" s="43" t="str">
        <f t="shared" si="168"/>
        <v>2021.010B.R.Binomial_names.zip</v>
      </c>
      <c r="U3649" s="43" t="str">
        <f>HYPERLINK("https://ictv.global/taxonomy/taxondetails?taxnode_id=202201142","ictv.global=202201142")</f>
        <v>ictv.global=202201142</v>
      </c>
    </row>
    <row r="3650" spans="1:21">
      <c r="A3650">
        <v>3649</v>
      </c>
      <c r="B3650" s="29" t="s">
        <v>3682</v>
      </c>
      <c r="C3650" s="29"/>
      <c r="D3650" s="29" t="s">
        <v>3683</v>
      </c>
      <c r="E3650" s="29"/>
      <c r="F3650" s="29" t="s">
        <v>3686</v>
      </c>
      <c r="G3650" s="29"/>
      <c r="H3650" s="29" t="s">
        <v>3687</v>
      </c>
      <c r="I3650" s="29"/>
      <c r="J3650" s="29"/>
      <c r="K3650" s="29"/>
      <c r="L3650" s="29"/>
      <c r="M3650" s="29"/>
      <c r="N3650" s="29" t="s">
        <v>3579</v>
      </c>
      <c r="O3650" s="29"/>
      <c r="P3650" s="29" t="s">
        <v>10921</v>
      </c>
      <c r="Q3650" t="s">
        <v>2038</v>
      </c>
      <c r="R3650" t="s">
        <v>2633</v>
      </c>
      <c r="S3650">
        <v>37</v>
      </c>
      <c r="T3650" s="43" t="str">
        <f t="shared" si="168"/>
        <v>2021.010B.R.Binomial_names.zip</v>
      </c>
      <c r="U3650" s="43" t="str">
        <f>HYPERLINK("https://ictv.global/taxonomy/taxondetails?taxnode_id=202201143","ictv.global=202201143")</f>
        <v>ictv.global=202201143</v>
      </c>
    </row>
    <row r="3651" spans="1:21">
      <c r="A3651">
        <v>3650</v>
      </c>
      <c r="B3651" s="29" t="s">
        <v>3682</v>
      </c>
      <c r="C3651" s="29"/>
      <c r="D3651" s="29" t="s">
        <v>3683</v>
      </c>
      <c r="E3651" s="29"/>
      <c r="F3651" s="29" t="s">
        <v>3686</v>
      </c>
      <c r="G3651" s="29"/>
      <c r="H3651" s="29" t="s">
        <v>3687</v>
      </c>
      <c r="I3651" s="29"/>
      <c r="J3651" s="29"/>
      <c r="K3651" s="29"/>
      <c r="L3651" s="29"/>
      <c r="M3651" s="29"/>
      <c r="N3651" s="29" t="s">
        <v>3579</v>
      </c>
      <c r="O3651" s="29"/>
      <c r="P3651" s="29" t="s">
        <v>10922</v>
      </c>
      <c r="Q3651" t="s">
        <v>2038</v>
      </c>
      <c r="R3651" t="s">
        <v>2633</v>
      </c>
      <c r="S3651">
        <v>37</v>
      </c>
      <c r="T3651" s="43" t="str">
        <f t="shared" ref="T3651:T3682" si="169">HYPERLINK("https://ictv.global/ictv/proposals/2021.010B.R.Binomial_names.zip","2021.010B.R.Binomial_names.zip")</f>
        <v>2021.010B.R.Binomial_names.zip</v>
      </c>
      <c r="U3651" s="43" t="str">
        <f>HYPERLINK("https://ictv.global/taxonomy/taxondetails?taxnode_id=202201144","ictv.global=202201144")</f>
        <v>ictv.global=202201144</v>
      </c>
    </row>
    <row r="3652" spans="1:21">
      <c r="A3652">
        <v>3651</v>
      </c>
      <c r="B3652" s="29" t="s">
        <v>3682</v>
      </c>
      <c r="C3652" s="29"/>
      <c r="D3652" s="29" t="s">
        <v>3683</v>
      </c>
      <c r="E3652" s="29"/>
      <c r="F3652" s="29" t="s">
        <v>3686</v>
      </c>
      <c r="G3652" s="29"/>
      <c r="H3652" s="29" t="s">
        <v>3687</v>
      </c>
      <c r="I3652" s="29"/>
      <c r="J3652" s="29"/>
      <c r="K3652" s="29"/>
      <c r="L3652" s="29"/>
      <c r="M3652" s="29"/>
      <c r="N3652" s="29" t="s">
        <v>3579</v>
      </c>
      <c r="O3652" s="29"/>
      <c r="P3652" s="29" t="s">
        <v>10923</v>
      </c>
      <c r="Q3652" t="s">
        <v>2038</v>
      </c>
      <c r="R3652" t="s">
        <v>2633</v>
      </c>
      <c r="S3652">
        <v>37</v>
      </c>
      <c r="T3652" s="43" t="str">
        <f t="shared" si="169"/>
        <v>2021.010B.R.Binomial_names.zip</v>
      </c>
      <c r="U3652" s="43" t="str">
        <f>HYPERLINK("https://ictv.global/taxonomy/taxondetails?taxnode_id=202201145","ictv.global=202201145")</f>
        <v>ictv.global=202201145</v>
      </c>
    </row>
    <row r="3653" spans="1:21">
      <c r="A3653">
        <v>3652</v>
      </c>
      <c r="B3653" s="29" t="s">
        <v>3682</v>
      </c>
      <c r="C3653" s="29"/>
      <c r="D3653" s="29" t="s">
        <v>3683</v>
      </c>
      <c r="E3653" s="29"/>
      <c r="F3653" s="29" t="s">
        <v>3686</v>
      </c>
      <c r="G3653" s="29"/>
      <c r="H3653" s="29" t="s">
        <v>3687</v>
      </c>
      <c r="I3653" s="29"/>
      <c r="J3653" s="29"/>
      <c r="K3653" s="29"/>
      <c r="L3653" s="29"/>
      <c r="M3653" s="29"/>
      <c r="N3653" s="29" t="s">
        <v>3579</v>
      </c>
      <c r="O3653" s="29"/>
      <c r="P3653" s="29" t="s">
        <v>10924</v>
      </c>
      <c r="Q3653" t="s">
        <v>2038</v>
      </c>
      <c r="R3653" t="s">
        <v>2633</v>
      </c>
      <c r="S3653">
        <v>37</v>
      </c>
      <c r="T3653" s="43" t="str">
        <f t="shared" si="169"/>
        <v>2021.010B.R.Binomial_names.zip</v>
      </c>
      <c r="U3653" s="43" t="str">
        <f>HYPERLINK("https://ictv.global/taxonomy/taxondetails?taxnode_id=202201146","ictv.global=202201146")</f>
        <v>ictv.global=202201146</v>
      </c>
    </row>
    <row r="3654" spans="1:21">
      <c r="A3654">
        <v>3653</v>
      </c>
      <c r="B3654" s="29" t="s">
        <v>3682</v>
      </c>
      <c r="C3654" s="29"/>
      <c r="D3654" s="29" t="s">
        <v>3683</v>
      </c>
      <c r="E3654" s="29"/>
      <c r="F3654" s="29" t="s">
        <v>3686</v>
      </c>
      <c r="G3654" s="29"/>
      <c r="H3654" s="29" t="s">
        <v>3687</v>
      </c>
      <c r="I3654" s="29"/>
      <c r="J3654" s="29"/>
      <c r="K3654" s="29"/>
      <c r="L3654" s="29"/>
      <c r="M3654" s="29"/>
      <c r="N3654" s="29" t="s">
        <v>3579</v>
      </c>
      <c r="O3654" s="29"/>
      <c r="P3654" s="29" t="s">
        <v>10925</v>
      </c>
      <c r="Q3654" t="s">
        <v>2038</v>
      </c>
      <c r="R3654" t="s">
        <v>2633</v>
      </c>
      <c r="S3654">
        <v>37</v>
      </c>
      <c r="T3654" s="43" t="str">
        <f t="shared" si="169"/>
        <v>2021.010B.R.Binomial_names.zip</v>
      </c>
      <c r="U3654" s="43" t="str">
        <f>HYPERLINK("https://ictv.global/taxonomy/taxondetails?taxnode_id=202201147","ictv.global=202201147")</f>
        <v>ictv.global=202201147</v>
      </c>
    </row>
    <row r="3655" spans="1:21">
      <c r="A3655">
        <v>3654</v>
      </c>
      <c r="B3655" s="29" t="s">
        <v>3682</v>
      </c>
      <c r="C3655" s="29"/>
      <c r="D3655" s="29" t="s">
        <v>3683</v>
      </c>
      <c r="E3655" s="29"/>
      <c r="F3655" s="29" t="s">
        <v>3686</v>
      </c>
      <c r="G3655" s="29"/>
      <c r="H3655" s="29" t="s">
        <v>3687</v>
      </c>
      <c r="I3655" s="29"/>
      <c r="J3655" s="29"/>
      <c r="K3655" s="29"/>
      <c r="L3655" s="29"/>
      <c r="M3655" s="29"/>
      <c r="N3655" s="29" t="s">
        <v>3579</v>
      </c>
      <c r="O3655" s="29"/>
      <c r="P3655" s="29" t="s">
        <v>10926</v>
      </c>
      <c r="Q3655" t="s">
        <v>2038</v>
      </c>
      <c r="R3655" t="s">
        <v>2633</v>
      </c>
      <c r="S3655">
        <v>37</v>
      </c>
      <c r="T3655" s="43" t="str">
        <f t="shared" si="169"/>
        <v>2021.010B.R.Binomial_names.zip</v>
      </c>
      <c r="U3655" s="43" t="str">
        <f>HYPERLINK("https://ictv.global/taxonomy/taxondetails?taxnode_id=202201148","ictv.global=202201148")</f>
        <v>ictv.global=202201148</v>
      </c>
    </row>
    <row r="3656" spans="1:21">
      <c r="A3656">
        <v>3655</v>
      </c>
      <c r="B3656" s="29" t="s">
        <v>3682</v>
      </c>
      <c r="C3656" s="29"/>
      <c r="D3656" s="29" t="s">
        <v>3683</v>
      </c>
      <c r="E3656" s="29"/>
      <c r="F3656" s="29" t="s">
        <v>3686</v>
      </c>
      <c r="G3656" s="29"/>
      <c r="H3656" s="29" t="s">
        <v>3687</v>
      </c>
      <c r="I3656" s="29"/>
      <c r="J3656" s="29"/>
      <c r="K3656" s="29"/>
      <c r="L3656" s="29"/>
      <c r="M3656" s="29"/>
      <c r="N3656" s="29" t="s">
        <v>3579</v>
      </c>
      <c r="O3656" s="29"/>
      <c r="P3656" s="29" t="s">
        <v>10927</v>
      </c>
      <c r="Q3656" t="s">
        <v>2038</v>
      </c>
      <c r="R3656" t="s">
        <v>2633</v>
      </c>
      <c r="S3656">
        <v>37</v>
      </c>
      <c r="T3656" s="43" t="str">
        <f t="shared" si="169"/>
        <v>2021.010B.R.Binomial_names.zip</v>
      </c>
      <c r="U3656" s="43" t="str">
        <f>HYPERLINK("https://ictv.global/taxonomy/taxondetails?taxnode_id=202201149","ictv.global=202201149")</f>
        <v>ictv.global=202201149</v>
      </c>
    </row>
    <row r="3657" spans="1:21">
      <c r="A3657">
        <v>3656</v>
      </c>
      <c r="B3657" s="29" t="s">
        <v>3682</v>
      </c>
      <c r="C3657" s="29"/>
      <c r="D3657" s="29" t="s">
        <v>3683</v>
      </c>
      <c r="E3657" s="29"/>
      <c r="F3657" s="29" t="s">
        <v>3686</v>
      </c>
      <c r="G3657" s="29"/>
      <c r="H3657" s="29" t="s">
        <v>3687</v>
      </c>
      <c r="I3657" s="29"/>
      <c r="J3657" s="29"/>
      <c r="K3657" s="29"/>
      <c r="L3657" s="29"/>
      <c r="M3657" s="29"/>
      <c r="N3657" s="29" t="s">
        <v>3579</v>
      </c>
      <c r="O3657" s="29"/>
      <c r="P3657" s="29" t="s">
        <v>10928</v>
      </c>
      <c r="Q3657" t="s">
        <v>2038</v>
      </c>
      <c r="R3657" t="s">
        <v>2633</v>
      </c>
      <c r="S3657">
        <v>37</v>
      </c>
      <c r="T3657" s="43" t="str">
        <f t="shared" si="169"/>
        <v>2021.010B.R.Binomial_names.zip</v>
      </c>
      <c r="U3657" s="43" t="str">
        <f>HYPERLINK("https://ictv.global/taxonomy/taxondetails?taxnode_id=202201150","ictv.global=202201150")</f>
        <v>ictv.global=202201150</v>
      </c>
    </row>
    <row r="3658" spans="1:21">
      <c r="A3658">
        <v>3657</v>
      </c>
      <c r="B3658" s="29" t="s">
        <v>3682</v>
      </c>
      <c r="C3658" s="29"/>
      <c r="D3658" s="29" t="s">
        <v>3683</v>
      </c>
      <c r="E3658" s="29"/>
      <c r="F3658" s="29" t="s">
        <v>3686</v>
      </c>
      <c r="G3658" s="29"/>
      <c r="H3658" s="29" t="s">
        <v>3687</v>
      </c>
      <c r="I3658" s="29"/>
      <c r="J3658" s="29"/>
      <c r="K3658" s="29"/>
      <c r="L3658" s="29"/>
      <c r="M3658" s="29"/>
      <c r="N3658" s="29" t="s">
        <v>3579</v>
      </c>
      <c r="O3658" s="29"/>
      <c r="P3658" s="29" t="s">
        <v>10929</v>
      </c>
      <c r="Q3658" t="s">
        <v>2038</v>
      </c>
      <c r="R3658" t="s">
        <v>2633</v>
      </c>
      <c r="S3658">
        <v>37</v>
      </c>
      <c r="T3658" s="43" t="str">
        <f t="shared" si="169"/>
        <v>2021.010B.R.Binomial_names.zip</v>
      </c>
      <c r="U3658" s="43" t="str">
        <f>HYPERLINK("https://ictv.global/taxonomy/taxondetails?taxnode_id=202201151","ictv.global=202201151")</f>
        <v>ictv.global=202201151</v>
      </c>
    </row>
    <row r="3659" spans="1:21">
      <c r="A3659">
        <v>3658</v>
      </c>
      <c r="B3659" s="29" t="s">
        <v>3682</v>
      </c>
      <c r="C3659" s="29"/>
      <c r="D3659" s="29" t="s">
        <v>3683</v>
      </c>
      <c r="E3659" s="29"/>
      <c r="F3659" s="29" t="s">
        <v>3686</v>
      </c>
      <c r="G3659" s="29"/>
      <c r="H3659" s="29" t="s">
        <v>3687</v>
      </c>
      <c r="I3659" s="29"/>
      <c r="J3659" s="29"/>
      <c r="K3659" s="29"/>
      <c r="L3659" s="29"/>
      <c r="M3659" s="29"/>
      <c r="N3659" s="29" t="s">
        <v>3579</v>
      </c>
      <c r="O3659" s="29"/>
      <c r="P3659" s="29" t="s">
        <v>10930</v>
      </c>
      <c r="Q3659" t="s">
        <v>2038</v>
      </c>
      <c r="R3659" t="s">
        <v>2633</v>
      </c>
      <c r="S3659">
        <v>37</v>
      </c>
      <c r="T3659" s="43" t="str">
        <f t="shared" si="169"/>
        <v>2021.010B.R.Binomial_names.zip</v>
      </c>
      <c r="U3659" s="43" t="str">
        <f>HYPERLINK("https://ictv.global/taxonomy/taxondetails?taxnode_id=202201152","ictv.global=202201152")</f>
        <v>ictv.global=202201152</v>
      </c>
    </row>
    <row r="3660" spans="1:21">
      <c r="A3660">
        <v>3659</v>
      </c>
      <c r="B3660" s="29" t="s">
        <v>3682</v>
      </c>
      <c r="C3660" s="29"/>
      <c r="D3660" s="29" t="s">
        <v>3683</v>
      </c>
      <c r="E3660" s="29"/>
      <c r="F3660" s="29" t="s">
        <v>3686</v>
      </c>
      <c r="G3660" s="29"/>
      <c r="H3660" s="29" t="s">
        <v>3687</v>
      </c>
      <c r="I3660" s="29"/>
      <c r="J3660" s="29"/>
      <c r="K3660" s="29"/>
      <c r="L3660" s="29"/>
      <c r="M3660" s="29"/>
      <c r="N3660" s="29" t="s">
        <v>3579</v>
      </c>
      <c r="O3660" s="29"/>
      <c r="P3660" s="29" t="s">
        <v>10931</v>
      </c>
      <c r="Q3660" t="s">
        <v>2038</v>
      </c>
      <c r="R3660" t="s">
        <v>2633</v>
      </c>
      <c r="S3660">
        <v>37</v>
      </c>
      <c r="T3660" s="43" t="str">
        <f t="shared" si="169"/>
        <v>2021.010B.R.Binomial_names.zip</v>
      </c>
      <c r="U3660" s="43" t="str">
        <f>HYPERLINK("https://ictv.global/taxonomy/taxondetails?taxnode_id=202201153","ictv.global=202201153")</f>
        <v>ictv.global=202201153</v>
      </c>
    </row>
    <row r="3661" spans="1:21">
      <c r="A3661">
        <v>3660</v>
      </c>
      <c r="B3661" s="29" t="s">
        <v>3682</v>
      </c>
      <c r="C3661" s="29"/>
      <c r="D3661" s="29" t="s">
        <v>3683</v>
      </c>
      <c r="E3661" s="29"/>
      <c r="F3661" s="29" t="s">
        <v>3686</v>
      </c>
      <c r="G3661" s="29"/>
      <c r="H3661" s="29" t="s">
        <v>3687</v>
      </c>
      <c r="I3661" s="29"/>
      <c r="J3661" s="29"/>
      <c r="K3661" s="29"/>
      <c r="L3661" s="29"/>
      <c r="M3661" s="29"/>
      <c r="N3661" s="29" t="s">
        <v>3579</v>
      </c>
      <c r="O3661" s="29"/>
      <c r="P3661" s="29" t="s">
        <v>10932</v>
      </c>
      <c r="Q3661" t="s">
        <v>2038</v>
      </c>
      <c r="R3661" t="s">
        <v>2633</v>
      </c>
      <c r="S3661">
        <v>37</v>
      </c>
      <c r="T3661" s="43" t="str">
        <f t="shared" si="169"/>
        <v>2021.010B.R.Binomial_names.zip</v>
      </c>
      <c r="U3661" s="43" t="str">
        <f>HYPERLINK("https://ictv.global/taxonomy/taxondetails?taxnode_id=202201154","ictv.global=202201154")</f>
        <v>ictv.global=202201154</v>
      </c>
    </row>
    <row r="3662" spans="1:21">
      <c r="A3662">
        <v>3661</v>
      </c>
      <c r="B3662" s="29" t="s">
        <v>3682</v>
      </c>
      <c r="C3662" s="29"/>
      <c r="D3662" s="29" t="s">
        <v>3683</v>
      </c>
      <c r="E3662" s="29"/>
      <c r="F3662" s="29" t="s">
        <v>3686</v>
      </c>
      <c r="G3662" s="29"/>
      <c r="H3662" s="29" t="s">
        <v>3687</v>
      </c>
      <c r="I3662" s="29"/>
      <c r="J3662" s="29"/>
      <c r="K3662" s="29"/>
      <c r="L3662" s="29"/>
      <c r="M3662" s="29"/>
      <c r="N3662" s="29" t="s">
        <v>3579</v>
      </c>
      <c r="O3662" s="29"/>
      <c r="P3662" s="29" t="s">
        <v>10933</v>
      </c>
      <c r="Q3662" t="s">
        <v>2038</v>
      </c>
      <c r="R3662" t="s">
        <v>2633</v>
      </c>
      <c r="S3662">
        <v>37</v>
      </c>
      <c r="T3662" s="43" t="str">
        <f t="shared" si="169"/>
        <v>2021.010B.R.Binomial_names.zip</v>
      </c>
      <c r="U3662" s="43" t="str">
        <f>HYPERLINK("https://ictv.global/taxonomy/taxondetails?taxnode_id=202201155","ictv.global=202201155")</f>
        <v>ictv.global=202201155</v>
      </c>
    </row>
    <row r="3663" spans="1:21">
      <c r="A3663">
        <v>3662</v>
      </c>
      <c r="B3663" s="29" t="s">
        <v>3682</v>
      </c>
      <c r="C3663" s="29"/>
      <c r="D3663" s="29" t="s">
        <v>3683</v>
      </c>
      <c r="E3663" s="29"/>
      <c r="F3663" s="29" t="s">
        <v>3686</v>
      </c>
      <c r="G3663" s="29"/>
      <c r="H3663" s="29" t="s">
        <v>3687</v>
      </c>
      <c r="I3663" s="29"/>
      <c r="J3663" s="29"/>
      <c r="K3663" s="29"/>
      <c r="L3663" s="29"/>
      <c r="M3663" s="29"/>
      <c r="N3663" s="29" t="s">
        <v>3579</v>
      </c>
      <c r="O3663" s="29"/>
      <c r="P3663" s="29" t="s">
        <v>10934</v>
      </c>
      <c r="Q3663" t="s">
        <v>2038</v>
      </c>
      <c r="R3663" t="s">
        <v>2633</v>
      </c>
      <c r="S3663">
        <v>37</v>
      </c>
      <c r="T3663" s="43" t="str">
        <f t="shared" si="169"/>
        <v>2021.010B.R.Binomial_names.zip</v>
      </c>
      <c r="U3663" s="43" t="str">
        <f>HYPERLINK("https://ictv.global/taxonomy/taxondetails?taxnode_id=202201156","ictv.global=202201156")</f>
        <v>ictv.global=202201156</v>
      </c>
    </row>
    <row r="3664" spans="1:21">
      <c r="A3664">
        <v>3663</v>
      </c>
      <c r="B3664" s="29" t="s">
        <v>3682</v>
      </c>
      <c r="C3664" s="29"/>
      <c r="D3664" s="29" t="s">
        <v>3683</v>
      </c>
      <c r="E3664" s="29"/>
      <c r="F3664" s="29" t="s">
        <v>3686</v>
      </c>
      <c r="G3664" s="29"/>
      <c r="H3664" s="29" t="s">
        <v>3687</v>
      </c>
      <c r="I3664" s="29"/>
      <c r="J3664" s="29"/>
      <c r="K3664" s="29"/>
      <c r="L3664" s="29"/>
      <c r="M3664" s="29"/>
      <c r="N3664" s="29" t="s">
        <v>3579</v>
      </c>
      <c r="O3664" s="29"/>
      <c r="P3664" s="29" t="s">
        <v>10935</v>
      </c>
      <c r="Q3664" t="s">
        <v>2038</v>
      </c>
      <c r="R3664" t="s">
        <v>2633</v>
      </c>
      <c r="S3664">
        <v>37</v>
      </c>
      <c r="T3664" s="43" t="str">
        <f t="shared" si="169"/>
        <v>2021.010B.R.Binomial_names.zip</v>
      </c>
      <c r="U3664" s="43" t="str">
        <f>HYPERLINK("https://ictv.global/taxonomy/taxondetails?taxnode_id=202201157","ictv.global=202201157")</f>
        <v>ictv.global=202201157</v>
      </c>
    </row>
    <row r="3665" spans="1:21">
      <c r="A3665">
        <v>3664</v>
      </c>
      <c r="B3665" s="29" t="s">
        <v>3682</v>
      </c>
      <c r="C3665" s="29"/>
      <c r="D3665" s="29" t="s">
        <v>3683</v>
      </c>
      <c r="E3665" s="29"/>
      <c r="F3665" s="29" t="s">
        <v>3686</v>
      </c>
      <c r="G3665" s="29"/>
      <c r="H3665" s="29" t="s">
        <v>3687</v>
      </c>
      <c r="I3665" s="29"/>
      <c r="J3665" s="29"/>
      <c r="K3665" s="29"/>
      <c r="L3665" s="29"/>
      <c r="M3665" s="29"/>
      <c r="N3665" s="29" t="s">
        <v>3579</v>
      </c>
      <c r="O3665" s="29"/>
      <c r="P3665" s="29" t="s">
        <v>10936</v>
      </c>
      <c r="Q3665" t="s">
        <v>2038</v>
      </c>
      <c r="R3665" t="s">
        <v>2633</v>
      </c>
      <c r="S3665">
        <v>37</v>
      </c>
      <c r="T3665" s="43" t="str">
        <f t="shared" si="169"/>
        <v>2021.010B.R.Binomial_names.zip</v>
      </c>
      <c r="U3665" s="43" t="str">
        <f>HYPERLINK("https://ictv.global/taxonomy/taxondetails?taxnode_id=202201158","ictv.global=202201158")</f>
        <v>ictv.global=202201158</v>
      </c>
    </row>
    <row r="3666" spans="1:21">
      <c r="A3666">
        <v>3665</v>
      </c>
      <c r="B3666" s="29" t="s">
        <v>3682</v>
      </c>
      <c r="C3666" s="29"/>
      <c r="D3666" s="29" t="s">
        <v>3683</v>
      </c>
      <c r="E3666" s="29"/>
      <c r="F3666" s="29" t="s">
        <v>3686</v>
      </c>
      <c r="G3666" s="29"/>
      <c r="H3666" s="29" t="s">
        <v>3687</v>
      </c>
      <c r="I3666" s="29"/>
      <c r="J3666" s="29"/>
      <c r="K3666" s="29"/>
      <c r="L3666" s="29"/>
      <c r="M3666" s="29"/>
      <c r="N3666" s="29" t="s">
        <v>3579</v>
      </c>
      <c r="O3666" s="29"/>
      <c r="P3666" s="29" t="s">
        <v>10937</v>
      </c>
      <c r="Q3666" t="s">
        <v>2038</v>
      </c>
      <c r="R3666" t="s">
        <v>2633</v>
      </c>
      <c r="S3666">
        <v>37</v>
      </c>
      <c r="T3666" s="43" t="str">
        <f t="shared" si="169"/>
        <v>2021.010B.R.Binomial_names.zip</v>
      </c>
      <c r="U3666" s="43" t="str">
        <f>HYPERLINK("https://ictv.global/taxonomy/taxondetails?taxnode_id=202201159","ictv.global=202201159")</f>
        <v>ictv.global=202201159</v>
      </c>
    </row>
    <row r="3667" spans="1:21">
      <c r="A3667">
        <v>3666</v>
      </c>
      <c r="B3667" s="29" t="s">
        <v>3682</v>
      </c>
      <c r="C3667" s="29"/>
      <c r="D3667" s="29" t="s">
        <v>3683</v>
      </c>
      <c r="E3667" s="29"/>
      <c r="F3667" s="29" t="s">
        <v>3686</v>
      </c>
      <c r="G3667" s="29"/>
      <c r="H3667" s="29" t="s">
        <v>3687</v>
      </c>
      <c r="I3667" s="29"/>
      <c r="J3667" s="29"/>
      <c r="K3667" s="29"/>
      <c r="L3667" s="29"/>
      <c r="M3667" s="29"/>
      <c r="N3667" s="29" t="s">
        <v>3579</v>
      </c>
      <c r="O3667" s="29"/>
      <c r="P3667" s="29" t="s">
        <v>10938</v>
      </c>
      <c r="Q3667" t="s">
        <v>2038</v>
      </c>
      <c r="R3667" t="s">
        <v>2633</v>
      </c>
      <c r="S3667">
        <v>37</v>
      </c>
      <c r="T3667" s="43" t="str">
        <f t="shared" si="169"/>
        <v>2021.010B.R.Binomial_names.zip</v>
      </c>
      <c r="U3667" s="43" t="str">
        <f>HYPERLINK("https://ictv.global/taxonomy/taxondetails?taxnode_id=202201160","ictv.global=202201160")</f>
        <v>ictv.global=202201160</v>
      </c>
    </row>
    <row r="3668" spans="1:21">
      <c r="A3668">
        <v>3667</v>
      </c>
      <c r="B3668" s="29" t="s">
        <v>3682</v>
      </c>
      <c r="C3668" s="29"/>
      <c r="D3668" s="29" t="s">
        <v>3683</v>
      </c>
      <c r="E3668" s="29"/>
      <c r="F3668" s="29" t="s">
        <v>3686</v>
      </c>
      <c r="G3668" s="29"/>
      <c r="H3668" s="29" t="s">
        <v>3687</v>
      </c>
      <c r="I3668" s="29"/>
      <c r="J3668" s="29"/>
      <c r="K3668" s="29"/>
      <c r="L3668" s="29"/>
      <c r="M3668" s="29"/>
      <c r="N3668" s="29" t="s">
        <v>3579</v>
      </c>
      <c r="O3668" s="29"/>
      <c r="P3668" s="29" t="s">
        <v>10939</v>
      </c>
      <c r="Q3668" t="s">
        <v>2038</v>
      </c>
      <c r="R3668" t="s">
        <v>2633</v>
      </c>
      <c r="S3668">
        <v>37</v>
      </c>
      <c r="T3668" s="43" t="str">
        <f t="shared" si="169"/>
        <v>2021.010B.R.Binomial_names.zip</v>
      </c>
      <c r="U3668" s="43" t="str">
        <f>HYPERLINK("https://ictv.global/taxonomy/taxondetails?taxnode_id=202201161","ictv.global=202201161")</f>
        <v>ictv.global=202201161</v>
      </c>
    </row>
    <row r="3669" spans="1:21">
      <c r="A3669">
        <v>3668</v>
      </c>
      <c r="B3669" s="29" t="s">
        <v>3682</v>
      </c>
      <c r="C3669" s="29"/>
      <c r="D3669" s="29" t="s">
        <v>3683</v>
      </c>
      <c r="E3669" s="29"/>
      <c r="F3669" s="29" t="s">
        <v>3686</v>
      </c>
      <c r="G3669" s="29"/>
      <c r="H3669" s="29" t="s">
        <v>3687</v>
      </c>
      <c r="I3669" s="29"/>
      <c r="J3669" s="29"/>
      <c r="K3669" s="29"/>
      <c r="L3669" s="29"/>
      <c r="M3669" s="29"/>
      <c r="N3669" s="29" t="s">
        <v>3579</v>
      </c>
      <c r="O3669" s="29"/>
      <c r="P3669" s="29" t="s">
        <v>10940</v>
      </c>
      <c r="Q3669" t="s">
        <v>2038</v>
      </c>
      <c r="R3669" t="s">
        <v>2633</v>
      </c>
      <c r="S3669">
        <v>37</v>
      </c>
      <c r="T3669" s="43" t="str">
        <f t="shared" si="169"/>
        <v>2021.010B.R.Binomial_names.zip</v>
      </c>
      <c r="U3669" s="43" t="str">
        <f>HYPERLINK("https://ictv.global/taxonomy/taxondetails?taxnode_id=202201162","ictv.global=202201162")</f>
        <v>ictv.global=202201162</v>
      </c>
    </row>
    <row r="3670" spans="1:21">
      <c r="A3670">
        <v>3669</v>
      </c>
      <c r="B3670" s="29" t="s">
        <v>3682</v>
      </c>
      <c r="C3670" s="29"/>
      <c r="D3670" s="29" t="s">
        <v>3683</v>
      </c>
      <c r="E3670" s="29"/>
      <c r="F3670" s="29" t="s">
        <v>3686</v>
      </c>
      <c r="G3670" s="29"/>
      <c r="H3670" s="29" t="s">
        <v>3687</v>
      </c>
      <c r="I3670" s="29"/>
      <c r="J3670" s="29"/>
      <c r="K3670" s="29"/>
      <c r="L3670" s="29"/>
      <c r="M3670" s="29"/>
      <c r="N3670" s="29" t="s">
        <v>3579</v>
      </c>
      <c r="O3670" s="29"/>
      <c r="P3670" s="29" t="s">
        <v>10941</v>
      </c>
      <c r="Q3670" t="s">
        <v>2038</v>
      </c>
      <c r="R3670" t="s">
        <v>2633</v>
      </c>
      <c r="S3670">
        <v>37</v>
      </c>
      <c r="T3670" s="43" t="str">
        <f t="shared" si="169"/>
        <v>2021.010B.R.Binomial_names.zip</v>
      </c>
      <c r="U3670" s="43" t="str">
        <f>HYPERLINK("https://ictv.global/taxonomy/taxondetails?taxnode_id=202201163","ictv.global=202201163")</f>
        <v>ictv.global=202201163</v>
      </c>
    </row>
    <row r="3671" spans="1:21">
      <c r="A3671">
        <v>3670</v>
      </c>
      <c r="B3671" s="29" t="s">
        <v>3682</v>
      </c>
      <c r="C3671" s="29"/>
      <c r="D3671" s="29" t="s">
        <v>3683</v>
      </c>
      <c r="E3671" s="29"/>
      <c r="F3671" s="29" t="s">
        <v>3686</v>
      </c>
      <c r="G3671" s="29"/>
      <c r="H3671" s="29" t="s">
        <v>3687</v>
      </c>
      <c r="I3671" s="29"/>
      <c r="J3671" s="29"/>
      <c r="K3671" s="29"/>
      <c r="L3671" s="29"/>
      <c r="M3671" s="29"/>
      <c r="N3671" s="29" t="s">
        <v>3579</v>
      </c>
      <c r="O3671" s="29"/>
      <c r="P3671" s="29" t="s">
        <v>10942</v>
      </c>
      <c r="Q3671" t="s">
        <v>2038</v>
      </c>
      <c r="R3671" t="s">
        <v>2633</v>
      </c>
      <c r="S3671">
        <v>37</v>
      </c>
      <c r="T3671" s="43" t="str">
        <f t="shared" si="169"/>
        <v>2021.010B.R.Binomial_names.zip</v>
      </c>
      <c r="U3671" s="43" t="str">
        <f>HYPERLINK("https://ictv.global/taxonomy/taxondetails?taxnode_id=202201164","ictv.global=202201164")</f>
        <v>ictv.global=202201164</v>
      </c>
    </row>
    <row r="3672" spans="1:21">
      <c r="A3672">
        <v>3671</v>
      </c>
      <c r="B3672" s="29" t="s">
        <v>3682</v>
      </c>
      <c r="C3672" s="29"/>
      <c r="D3672" s="29" t="s">
        <v>3683</v>
      </c>
      <c r="E3672" s="29"/>
      <c r="F3672" s="29" t="s">
        <v>3686</v>
      </c>
      <c r="G3672" s="29"/>
      <c r="H3672" s="29" t="s">
        <v>3687</v>
      </c>
      <c r="I3672" s="29"/>
      <c r="J3672" s="29"/>
      <c r="K3672" s="29"/>
      <c r="L3672" s="29"/>
      <c r="M3672" s="29"/>
      <c r="N3672" s="29" t="s">
        <v>3579</v>
      </c>
      <c r="O3672" s="29"/>
      <c r="P3672" s="29" t="s">
        <v>10943</v>
      </c>
      <c r="Q3672" t="s">
        <v>2038</v>
      </c>
      <c r="R3672" t="s">
        <v>2633</v>
      </c>
      <c r="S3672">
        <v>37</v>
      </c>
      <c r="T3672" s="43" t="str">
        <f t="shared" si="169"/>
        <v>2021.010B.R.Binomial_names.zip</v>
      </c>
      <c r="U3672" s="43" t="str">
        <f>HYPERLINK("https://ictv.global/taxonomy/taxondetails?taxnode_id=202201165","ictv.global=202201165")</f>
        <v>ictv.global=202201165</v>
      </c>
    </row>
    <row r="3673" spans="1:21">
      <c r="A3673">
        <v>3672</v>
      </c>
      <c r="B3673" s="29" t="s">
        <v>3682</v>
      </c>
      <c r="C3673" s="29"/>
      <c r="D3673" s="29" t="s">
        <v>3683</v>
      </c>
      <c r="E3673" s="29"/>
      <c r="F3673" s="29" t="s">
        <v>3686</v>
      </c>
      <c r="G3673" s="29"/>
      <c r="H3673" s="29" t="s">
        <v>3687</v>
      </c>
      <c r="I3673" s="29"/>
      <c r="J3673" s="29"/>
      <c r="K3673" s="29"/>
      <c r="L3673" s="29"/>
      <c r="M3673" s="29"/>
      <c r="N3673" s="29" t="s">
        <v>3579</v>
      </c>
      <c r="O3673" s="29"/>
      <c r="P3673" s="29" t="s">
        <v>10944</v>
      </c>
      <c r="Q3673" t="s">
        <v>2038</v>
      </c>
      <c r="R3673" t="s">
        <v>2633</v>
      </c>
      <c r="S3673">
        <v>37</v>
      </c>
      <c r="T3673" s="43" t="str">
        <f t="shared" si="169"/>
        <v>2021.010B.R.Binomial_names.zip</v>
      </c>
      <c r="U3673" s="43" t="str">
        <f>HYPERLINK("https://ictv.global/taxonomy/taxondetails?taxnode_id=202201166","ictv.global=202201166")</f>
        <v>ictv.global=202201166</v>
      </c>
    </row>
    <row r="3674" spans="1:21">
      <c r="A3674">
        <v>3673</v>
      </c>
      <c r="B3674" s="29" t="s">
        <v>3682</v>
      </c>
      <c r="C3674" s="29"/>
      <c r="D3674" s="29" t="s">
        <v>3683</v>
      </c>
      <c r="E3674" s="29"/>
      <c r="F3674" s="29" t="s">
        <v>3686</v>
      </c>
      <c r="G3674" s="29"/>
      <c r="H3674" s="29" t="s">
        <v>3687</v>
      </c>
      <c r="I3674" s="29"/>
      <c r="J3674" s="29"/>
      <c r="K3674" s="29"/>
      <c r="L3674" s="29"/>
      <c r="M3674" s="29"/>
      <c r="N3674" s="29" t="s">
        <v>3579</v>
      </c>
      <c r="O3674" s="29"/>
      <c r="P3674" s="29" t="s">
        <v>10945</v>
      </c>
      <c r="Q3674" t="s">
        <v>2038</v>
      </c>
      <c r="R3674" t="s">
        <v>2633</v>
      </c>
      <c r="S3674">
        <v>37</v>
      </c>
      <c r="T3674" s="43" t="str">
        <f t="shared" si="169"/>
        <v>2021.010B.R.Binomial_names.zip</v>
      </c>
      <c r="U3674" s="43" t="str">
        <f>HYPERLINK("https://ictv.global/taxonomy/taxondetails?taxnode_id=202201167","ictv.global=202201167")</f>
        <v>ictv.global=202201167</v>
      </c>
    </row>
    <row r="3675" spans="1:21">
      <c r="A3675">
        <v>3674</v>
      </c>
      <c r="B3675" s="29" t="s">
        <v>3682</v>
      </c>
      <c r="C3675" s="29"/>
      <c r="D3675" s="29" t="s">
        <v>3683</v>
      </c>
      <c r="E3675" s="29"/>
      <c r="F3675" s="29" t="s">
        <v>3686</v>
      </c>
      <c r="G3675" s="29"/>
      <c r="H3675" s="29" t="s">
        <v>3687</v>
      </c>
      <c r="I3675" s="29"/>
      <c r="J3675" s="29"/>
      <c r="K3675" s="29"/>
      <c r="L3675" s="29"/>
      <c r="M3675" s="29"/>
      <c r="N3675" s="29" t="s">
        <v>3579</v>
      </c>
      <c r="O3675" s="29"/>
      <c r="P3675" s="29" t="s">
        <v>10946</v>
      </c>
      <c r="Q3675" t="s">
        <v>2038</v>
      </c>
      <c r="R3675" t="s">
        <v>2633</v>
      </c>
      <c r="S3675">
        <v>37</v>
      </c>
      <c r="T3675" s="43" t="str">
        <f t="shared" si="169"/>
        <v>2021.010B.R.Binomial_names.zip</v>
      </c>
      <c r="U3675" s="43" t="str">
        <f>HYPERLINK("https://ictv.global/taxonomy/taxondetails?taxnode_id=202201168","ictv.global=202201168")</f>
        <v>ictv.global=202201168</v>
      </c>
    </row>
    <row r="3676" spans="1:21">
      <c r="A3676">
        <v>3675</v>
      </c>
      <c r="B3676" s="29" t="s">
        <v>3682</v>
      </c>
      <c r="C3676" s="29"/>
      <c r="D3676" s="29" t="s">
        <v>3683</v>
      </c>
      <c r="E3676" s="29"/>
      <c r="F3676" s="29" t="s">
        <v>3686</v>
      </c>
      <c r="G3676" s="29"/>
      <c r="H3676" s="29" t="s">
        <v>3687</v>
      </c>
      <c r="I3676" s="29"/>
      <c r="J3676" s="29"/>
      <c r="K3676" s="29"/>
      <c r="L3676" s="29"/>
      <c r="M3676" s="29"/>
      <c r="N3676" s="29" t="s">
        <v>3579</v>
      </c>
      <c r="O3676" s="29"/>
      <c r="P3676" s="29" t="s">
        <v>10947</v>
      </c>
      <c r="Q3676" t="s">
        <v>2038</v>
      </c>
      <c r="R3676" t="s">
        <v>2633</v>
      </c>
      <c r="S3676">
        <v>37</v>
      </c>
      <c r="T3676" s="43" t="str">
        <f t="shared" si="169"/>
        <v>2021.010B.R.Binomial_names.zip</v>
      </c>
      <c r="U3676" s="43" t="str">
        <f>HYPERLINK("https://ictv.global/taxonomy/taxondetails?taxnode_id=202201169","ictv.global=202201169")</f>
        <v>ictv.global=202201169</v>
      </c>
    </row>
    <row r="3677" spans="1:21">
      <c r="A3677">
        <v>3676</v>
      </c>
      <c r="B3677" s="29" t="s">
        <v>3682</v>
      </c>
      <c r="C3677" s="29"/>
      <c r="D3677" s="29" t="s">
        <v>3683</v>
      </c>
      <c r="E3677" s="29"/>
      <c r="F3677" s="29" t="s">
        <v>3686</v>
      </c>
      <c r="G3677" s="29"/>
      <c r="H3677" s="29" t="s">
        <v>3687</v>
      </c>
      <c r="I3677" s="29"/>
      <c r="J3677" s="29"/>
      <c r="K3677" s="29"/>
      <c r="L3677" s="29"/>
      <c r="M3677" s="29"/>
      <c r="N3677" s="29" t="s">
        <v>3579</v>
      </c>
      <c r="O3677" s="29"/>
      <c r="P3677" s="29" t="s">
        <v>10948</v>
      </c>
      <c r="Q3677" t="s">
        <v>2038</v>
      </c>
      <c r="R3677" t="s">
        <v>2633</v>
      </c>
      <c r="S3677">
        <v>37</v>
      </c>
      <c r="T3677" s="43" t="str">
        <f t="shared" si="169"/>
        <v>2021.010B.R.Binomial_names.zip</v>
      </c>
      <c r="U3677" s="43" t="str">
        <f>HYPERLINK("https://ictv.global/taxonomy/taxondetails?taxnode_id=202201170","ictv.global=202201170")</f>
        <v>ictv.global=202201170</v>
      </c>
    </row>
    <row r="3678" spans="1:21">
      <c r="A3678">
        <v>3677</v>
      </c>
      <c r="B3678" s="29" t="s">
        <v>3682</v>
      </c>
      <c r="C3678" s="29"/>
      <c r="D3678" s="29" t="s">
        <v>3683</v>
      </c>
      <c r="E3678" s="29"/>
      <c r="F3678" s="29" t="s">
        <v>3686</v>
      </c>
      <c r="G3678" s="29"/>
      <c r="H3678" s="29" t="s">
        <v>3687</v>
      </c>
      <c r="I3678" s="29"/>
      <c r="J3678" s="29"/>
      <c r="K3678" s="29"/>
      <c r="L3678" s="29"/>
      <c r="M3678" s="29"/>
      <c r="N3678" s="29" t="s">
        <v>3579</v>
      </c>
      <c r="O3678" s="29"/>
      <c r="P3678" s="29" t="s">
        <v>10949</v>
      </c>
      <c r="Q3678" t="s">
        <v>2038</v>
      </c>
      <c r="R3678" t="s">
        <v>2633</v>
      </c>
      <c r="S3678">
        <v>37</v>
      </c>
      <c r="T3678" s="43" t="str">
        <f t="shared" si="169"/>
        <v>2021.010B.R.Binomial_names.zip</v>
      </c>
      <c r="U3678" s="43" t="str">
        <f>HYPERLINK("https://ictv.global/taxonomy/taxondetails?taxnode_id=202201171","ictv.global=202201171")</f>
        <v>ictv.global=202201171</v>
      </c>
    </row>
    <row r="3679" spans="1:21">
      <c r="A3679">
        <v>3678</v>
      </c>
      <c r="B3679" s="29" t="s">
        <v>3682</v>
      </c>
      <c r="C3679" s="29"/>
      <c r="D3679" s="29" t="s">
        <v>3683</v>
      </c>
      <c r="E3679" s="29"/>
      <c r="F3679" s="29" t="s">
        <v>3686</v>
      </c>
      <c r="G3679" s="29"/>
      <c r="H3679" s="29" t="s">
        <v>3687</v>
      </c>
      <c r="I3679" s="29"/>
      <c r="J3679" s="29"/>
      <c r="K3679" s="29"/>
      <c r="L3679" s="29"/>
      <c r="M3679" s="29"/>
      <c r="N3679" s="29" t="s">
        <v>3579</v>
      </c>
      <c r="O3679" s="29"/>
      <c r="P3679" s="29" t="s">
        <v>10950</v>
      </c>
      <c r="Q3679" t="s">
        <v>2038</v>
      </c>
      <c r="R3679" t="s">
        <v>2633</v>
      </c>
      <c r="S3679">
        <v>37</v>
      </c>
      <c r="T3679" s="43" t="str">
        <f t="shared" si="169"/>
        <v>2021.010B.R.Binomial_names.zip</v>
      </c>
      <c r="U3679" s="43" t="str">
        <f>HYPERLINK("https://ictv.global/taxonomy/taxondetails?taxnode_id=202201172","ictv.global=202201172")</f>
        <v>ictv.global=202201172</v>
      </c>
    </row>
    <row r="3680" spans="1:21">
      <c r="A3680">
        <v>3679</v>
      </c>
      <c r="B3680" s="29" t="s">
        <v>3682</v>
      </c>
      <c r="C3680" s="29"/>
      <c r="D3680" s="29" t="s">
        <v>3683</v>
      </c>
      <c r="E3680" s="29"/>
      <c r="F3680" s="29" t="s">
        <v>3686</v>
      </c>
      <c r="G3680" s="29"/>
      <c r="H3680" s="29" t="s">
        <v>3687</v>
      </c>
      <c r="I3680" s="29"/>
      <c r="J3680" s="29"/>
      <c r="K3680" s="29"/>
      <c r="L3680" s="29"/>
      <c r="M3680" s="29"/>
      <c r="N3680" s="29" t="s">
        <v>3579</v>
      </c>
      <c r="O3680" s="29"/>
      <c r="P3680" s="29" t="s">
        <v>10951</v>
      </c>
      <c r="Q3680" t="s">
        <v>2038</v>
      </c>
      <c r="R3680" t="s">
        <v>2633</v>
      </c>
      <c r="S3680">
        <v>37</v>
      </c>
      <c r="T3680" s="43" t="str">
        <f t="shared" si="169"/>
        <v>2021.010B.R.Binomial_names.zip</v>
      </c>
      <c r="U3680" s="43" t="str">
        <f>HYPERLINK("https://ictv.global/taxonomy/taxondetails?taxnode_id=202201173","ictv.global=202201173")</f>
        <v>ictv.global=202201173</v>
      </c>
    </row>
    <row r="3681" spans="1:21">
      <c r="A3681">
        <v>3680</v>
      </c>
      <c r="B3681" s="29" t="s">
        <v>3682</v>
      </c>
      <c r="C3681" s="29"/>
      <c r="D3681" s="29" t="s">
        <v>3683</v>
      </c>
      <c r="E3681" s="29"/>
      <c r="F3681" s="29" t="s">
        <v>3686</v>
      </c>
      <c r="G3681" s="29"/>
      <c r="H3681" s="29" t="s">
        <v>3687</v>
      </c>
      <c r="I3681" s="29"/>
      <c r="J3681" s="29"/>
      <c r="K3681" s="29"/>
      <c r="L3681" s="29"/>
      <c r="M3681" s="29"/>
      <c r="N3681" s="29" t="s">
        <v>2063</v>
      </c>
      <c r="O3681" s="29"/>
      <c r="P3681" s="29" t="s">
        <v>10952</v>
      </c>
      <c r="Q3681" t="s">
        <v>2038</v>
      </c>
      <c r="R3681" t="s">
        <v>2633</v>
      </c>
      <c r="S3681">
        <v>37</v>
      </c>
      <c r="T3681" s="43" t="str">
        <f t="shared" si="169"/>
        <v>2021.010B.R.Binomial_names.zip</v>
      </c>
      <c r="U3681" s="43" t="str">
        <f>HYPERLINK("https://ictv.global/taxonomy/taxondetails?taxnode_id=202200468","ictv.global=202200468")</f>
        <v>ictv.global=202200468</v>
      </c>
    </row>
    <row r="3682" spans="1:21">
      <c r="A3682">
        <v>3681</v>
      </c>
      <c r="B3682" s="29" t="s">
        <v>3682</v>
      </c>
      <c r="C3682" s="29"/>
      <c r="D3682" s="29" t="s">
        <v>3683</v>
      </c>
      <c r="E3682" s="29"/>
      <c r="F3682" s="29" t="s">
        <v>3686</v>
      </c>
      <c r="G3682" s="29"/>
      <c r="H3682" s="29" t="s">
        <v>3687</v>
      </c>
      <c r="I3682" s="29"/>
      <c r="J3682" s="29"/>
      <c r="K3682" s="29"/>
      <c r="L3682" s="29"/>
      <c r="M3682" s="29"/>
      <c r="N3682" s="29" t="s">
        <v>2063</v>
      </c>
      <c r="O3682" s="29"/>
      <c r="P3682" s="29" t="s">
        <v>10953</v>
      </c>
      <c r="Q3682" t="s">
        <v>2038</v>
      </c>
      <c r="R3682" t="s">
        <v>2633</v>
      </c>
      <c r="S3682">
        <v>37</v>
      </c>
      <c r="T3682" s="43" t="str">
        <f t="shared" si="169"/>
        <v>2021.010B.R.Binomial_names.zip</v>
      </c>
      <c r="U3682" s="43" t="str">
        <f>HYPERLINK("https://ictv.global/taxonomy/taxondetails?taxnode_id=202200469","ictv.global=202200469")</f>
        <v>ictv.global=202200469</v>
      </c>
    </row>
    <row r="3683" spans="1:21">
      <c r="A3683">
        <v>3682</v>
      </c>
      <c r="B3683" s="29" t="s">
        <v>3682</v>
      </c>
      <c r="C3683" s="29"/>
      <c r="D3683" s="29" t="s">
        <v>3683</v>
      </c>
      <c r="E3683" s="29"/>
      <c r="F3683" s="29" t="s">
        <v>3686</v>
      </c>
      <c r="G3683" s="29"/>
      <c r="H3683" s="29" t="s">
        <v>3687</v>
      </c>
      <c r="I3683" s="29"/>
      <c r="J3683" s="29"/>
      <c r="K3683" s="29"/>
      <c r="L3683" s="29"/>
      <c r="M3683" s="29"/>
      <c r="N3683" s="29" t="s">
        <v>2063</v>
      </c>
      <c r="O3683" s="29"/>
      <c r="P3683" s="29" t="s">
        <v>10954</v>
      </c>
      <c r="Q3683" t="s">
        <v>2038</v>
      </c>
      <c r="R3683" t="s">
        <v>2633</v>
      </c>
      <c r="S3683">
        <v>37</v>
      </c>
      <c r="T3683" s="43" t="str">
        <f t="shared" ref="T3683:T3702" si="170">HYPERLINK("https://ictv.global/ictv/proposals/2021.010B.R.Binomial_names.zip","2021.010B.R.Binomial_names.zip")</f>
        <v>2021.010B.R.Binomial_names.zip</v>
      </c>
      <c r="U3683" s="43" t="str">
        <f>HYPERLINK("https://ictv.global/taxonomy/taxondetails?taxnode_id=202200470","ictv.global=202200470")</f>
        <v>ictv.global=202200470</v>
      </c>
    </row>
    <row r="3684" spans="1:21">
      <c r="A3684">
        <v>3683</v>
      </c>
      <c r="B3684" s="29" t="s">
        <v>3682</v>
      </c>
      <c r="C3684" s="29"/>
      <c r="D3684" s="29" t="s">
        <v>3683</v>
      </c>
      <c r="E3684" s="29"/>
      <c r="F3684" s="29" t="s">
        <v>3686</v>
      </c>
      <c r="G3684" s="29"/>
      <c r="H3684" s="29" t="s">
        <v>3687</v>
      </c>
      <c r="I3684" s="29"/>
      <c r="J3684" s="29"/>
      <c r="K3684" s="29"/>
      <c r="L3684" s="29"/>
      <c r="M3684" s="29"/>
      <c r="N3684" s="29" t="s">
        <v>2063</v>
      </c>
      <c r="O3684" s="29"/>
      <c r="P3684" s="29" t="s">
        <v>10955</v>
      </c>
      <c r="Q3684" t="s">
        <v>2038</v>
      </c>
      <c r="R3684" t="s">
        <v>2633</v>
      </c>
      <c r="S3684">
        <v>37</v>
      </c>
      <c r="T3684" s="43" t="str">
        <f t="shared" si="170"/>
        <v>2021.010B.R.Binomial_names.zip</v>
      </c>
      <c r="U3684" s="43" t="str">
        <f>HYPERLINK("https://ictv.global/taxonomy/taxondetails?taxnode_id=202207020","ictv.global=202207020")</f>
        <v>ictv.global=202207020</v>
      </c>
    </row>
    <row r="3685" spans="1:21">
      <c r="A3685">
        <v>3684</v>
      </c>
      <c r="B3685" s="29" t="s">
        <v>3682</v>
      </c>
      <c r="C3685" s="29"/>
      <c r="D3685" s="29" t="s">
        <v>3683</v>
      </c>
      <c r="E3685" s="29"/>
      <c r="F3685" s="29" t="s">
        <v>3686</v>
      </c>
      <c r="G3685" s="29"/>
      <c r="H3685" s="29" t="s">
        <v>3687</v>
      </c>
      <c r="I3685" s="29"/>
      <c r="J3685" s="29"/>
      <c r="K3685" s="29"/>
      <c r="L3685" s="29"/>
      <c r="M3685" s="29"/>
      <c r="N3685" s="29" t="s">
        <v>2063</v>
      </c>
      <c r="O3685" s="29"/>
      <c r="P3685" s="29" t="s">
        <v>10956</v>
      </c>
      <c r="Q3685" t="s">
        <v>2038</v>
      </c>
      <c r="R3685" t="s">
        <v>2633</v>
      </c>
      <c r="S3685">
        <v>37</v>
      </c>
      <c r="T3685" s="43" t="str">
        <f t="shared" si="170"/>
        <v>2021.010B.R.Binomial_names.zip</v>
      </c>
      <c r="U3685" s="43" t="str">
        <f>HYPERLINK("https://ictv.global/taxonomy/taxondetails?taxnode_id=202207018","ictv.global=202207018")</f>
        <v>ictv.global=202207018</v>
      </c>
    </row>
    <row r="3686" spans="1:21">
      <c r="A3686">
        <v>3685</v>
      </c>
      <c r="B3686" s="29" t="s">
        <v>3682</v>
      </c>
      <c r="C3686" s="29"/>
      <c r="D3686" s="29" t="s">
        <v>3683</v>
      </c>
      <c r="E3686" s="29"/>
      <c r="F3686" s="29" t="s">
        <v>3686</v>
      </c>
      <c r="G3686" s="29"/>
      <c r="H3686" s="29" t="s">
        <v>3687</v>
      </c>
      <c r="I3686" s="29"/>
      <c r="J3686" s="29"/>
      <c r="K3686" s="29"/>
      <c r="L3686" s="29"/>
      <c r="M3686" s="29"/>
      <c r="N3686" s="29" t="s">
        <v>2063</v>
      </c>
      <c r="O3686" s="29"/>
      <c r="P3686" s="29" t="s">
        <v>10957</v>
      </c>
      <c r="Q3686" t="s">
        <v>2038</v>
      </c>
      <c r="R3686" t="s">
        <v>2633</v>
      </c>
      <c r="S3686">
        <v>37</v>
      </c>
      <c r="T3686" s="43" t="str">
        <f t="shared" si="170"/>
        <v>2021.010B.R.Binomial_names.zip</v>
      </c>
      <c r="U3686" s="43" t="str">
        <f>HYPERLINK("https://ictv.global/taxonomy/taxondetails?taxnode_id=202207017","ictv.global=202207017")</f>
        <v>ictv.global=202207017</v>
      </c>
    </row>
    <row r="3687" spans="1:21">
      <c r="A3687">
        <v>3686</v>
      </c>
      <c r="B3687" s="29" t="s">
        <v>3682</v>
      </c>
      <c r="C3687" s="29"/>
      <c r="D3687" s="29" t="s">
        <v>3683</v>
      </c>
      <c r="E3687" s="29"/>
      <c r="F3687" s="29" t="s">
        <v>3686</v>
      </c>
      <c r="G3687" s="29"/>
      <c r="H3687" s="29" t="s">
        <v>3687</v>
      </c>
      <c r="I3687" s="29"/>
      <c r="J3687" s="29"/>
      <c r="K3687" s="29"/>
      <c r="L3687" s="29"/>
      <c r="M3687" s="29"/>
      <c r="N3687" s="29" t="s">
        <v>2063</v>
      </c>
      <c r="O3687" s="29"/>
      <c r="P3687" s="29" t="s">
        <v>10958</v>
      </c>
      <c r="Q3687" t="s">
        <v>2038</v>
      </c>
      <c r="R3687" t="s">
        <v>2633</v>
      </c>
      <c r="S3687">
        <v>37</v>
      </c>
      <c r="T3687" s="43" t="str">
        <f t="shared" si="170"/>
        <v>2021.010B.R.Binomial_names.zip</v>
      </c>
      <c r="U3687" s="43" t="str">
        <f>HYPERLINK("https://ictv.global/taxonomy/taxondetails?taxnode_id=202200471","ictv.global=202200471")</f>
        <v>ictv.global=202200471</v>
      </c>
    </row>
    <row r="3688" spans="1:21">
      <c r="A3688">
        <v>3687</v>
      </c>
      <c r="B3688" s="29" t="s">
        <v>3682</v>
      </c>
      <c r="C3688" s="29"/>
      <c r="D3688" s="29" t="s">
        <v>3683</v>
      </c>
      <c r="E3688" s="29"/>
      <c r="F3688" s="29" t="s">
        <v>3686</v>
      </c>
      <c r="G3688" s="29"/>
      <c r="H3688" s="29" t="s">
        <v>3687</v>
      </c>
      <c r="I3688" s="29"/>
      <c r="J3688" s="29"/>
      <c r="K3688" s="29"/>
      <c r="L3688" s="29"/>
      <c r="M3688" s="29"/>
      <c r="N3688" s="29" t="s">
        <v>2063</v>
      </c>
      <c r="O3688" s="29"/>
      <c r="P3688" s="29" t="s">
        <v>10959</v>
      </c>
      <c r="Q3688" t="s">
        <v>2038</v>
      </c>
      <c r="R3688" t="s">
        <v>2633</v>
      </c>
      <c r="S3688">
        <v>37</v>
      </c>
      <c r="T3688" s="43" t="str">
        <f t="shared" si="170"/>
        <v>2021.010B.R.Binomial_names.zip</v>
      </c>
      <c r="U3688" s="43" t="str">
        <f>HYPERLINK("https://ictv.global/taxonomy/taxondetails?taxnode_id=202207019","ictv.global=202207019")</f>
        <v>ictv.global=202207019</v>
      </c>
    </row>
    <row r="3689" spans="1:21">
      <c r="A3689">
        <v>3688</v>
      </c>
      <c r="B3689" s="29" t="s">
        <v>3682</v>
      </c>
      <c r="C3689" s="29"/>
      <c r="D3689" s="29" t="s">
        <v>3683</v>
      </c>
      <c r="E3689" s="29"/>
      <c r="F3689" s="29" t="s">
        <v>3686</v>
      </c>
      <c r="G3689" s="29"/>
      <c r="H3689" s="29" t="s">
        <v>3687</v>
      </c>
      <c r="I3689" s="29"/>
      <c r="J3689" s="29"/>
      <c r="K3689" s="29"/>
      <c r="L3689" s="29"/>
      <c r="M3689" s="29"/>
      <c r="N3689" s="29" t="s">
        <v>2063</v>
      </c>
      <c r="O3689" s="29"/>
      <c r="P3689" s="29" t="s">
        <v>10960</v>
      </c>
      <c r="Q3689" t="s">
        <v>2038</v>
      </c>
      <c r="R3689" t="s">
        <v>2633</v>
      </c>
      <c r="S3689">
        <v>37</v>
      </c>
      <c r="T3689" s="43" t="str">
        <f t="shared" si="170"/>
        <v>2021.010B.R.Binomial_names.zip</v>
      </c>
      <c r="U3689" s="43" t="str">
        <f>HYPERLINK("https://ictv.global/taxonomy/taxondetails?taxnode_id=202200472","ictv.global=202200472")</f>
        <v>ictv.global=202200472</v>
      </c>
    </row>
    <row r="3690" spans="1:21">
      <c r="A3690">
        <v>3689</v>
      </c>
      <c r="B3690" s="29" t="s">
        <v>3682</v>
      </c>
      <c r="C3690" s="29"/>
      <c r="D3690" s="29" t="s">
        <v>3683</v>
      </c>
      <c r="E3690" s="29"/>
      <c r="F3690" s="29" t="s">
        <v>3686</v>
      </c>
      <c r="G3690" s="29"/>
      <c r="H3690" s="29" t="s">
        <v>3687</v>
      </c>
      <c r="I3690" s="29"/>
      <c r="J3690" s="29"/>
      <c r="K3690" s="29"/>
      <c r="L3690" s="29"/>
      <c r="M3690" s="29"/>
      <c r="N3690" s="29" t="s">
        <v>2063</v>
      </c>
      <c r="O3690" s="29"/>
      <c r="P3690" s="29" t="s">
        <v>10961</v>
      </c>
      <c r="Q3690" t="s">
        <v>2038</v>
      </c>
      <c r="R3690" t="s">
        <v>2633</v>
      </c>
      <c r="S3690">
        <v>37</v>
      </c>
      <c r="T3690" s="43" t="str">
        <f t="shared" si="170"/>
        <v>2021.010B.R.Binomial_names.zip</v>
      </c>
      <c r="U3690" s="43" t="str">
        <f>HYPERLINK("https://ictv.global/taxonomy/taxondetails?taxnode_id=202200473","ictv.global=202200473")</f>
        <v>ictv.global=202200473</v>
      </c>
    </row>
    <row r="3691" spans="1:21">
      <c r="A3691">
        <v>3690</v>
      </c>
      <c r="B3691" s="29" t="s">
        <v>3682</v>
      </c>
      <c r="C3691" s="29"/>
      <c r="D3691" s="29" t="s">
        <v>3683</v>
      </c>
      <c r="E3691" s="29"/>
      <c r="F3691" s="29" t="s">
        <v>3686</v>
      </c>
      <c r="G3691" s="29"/>
      <c r="H3691" s="29" t="s">
        <v>3687</v>
      </c>
      <c r="I3691" s="29"/>
      <c r="J3691" s="29"/>
      <c r="K3691" s="29"/>
      <c r="L3691" s="29"/>
      <c r="M3691" s="29"/>
      <c r="N3691" s="29" t="s">
        <v>2063</v>
      </c>
      <c r="O3691" s="29"/>
      <c r="P3691" s="29" t="s">
        <v>10962</v>
      </c>
      <c r="Q3691" t="s">
        <v>2038</v>
      </c>
      <c r="R3691" t="s">
        <v>2633</v>
      </c>
      <c r="S3691">
        <v>37</v>
      </c>
      <c r="T3691" s="43" t="str">
        <f t="shared" si="170"/>
        <v>2021.010B.R.Binomial_names.zip</v>
      </c>
      <c r="U3691" s="43" t="str">
        <f>HYPERLINK("https://ictv.global/taxonomy/taxondetails?taxnode_id=202207016","ictv.global=202207016")</f>
        <v>ictv.global=202207016</v>
      </c>
    </row>
    <row r="3692" spans="1:21">
      <c r="A3692">
        <v>3691</v>
      </c>
      <c r="B3692" s="29" t="s">
        <v>3682</v>
      </c>
      <c r="C3692" s="29"/>
      <c r="D3692" s="29" t="s">
        <v>3683</v>
      </c>
      <c r="E3692" s="29"/>
      <c r="F3692" s="29" t="s">
        <v>3686</v>
      </c>
      <c r="G3692" s="29"/>
      <c r="H3692" s="29" t="s">
        <v>3687</v>
      </c>
      <c r="I3692" s="29"/>
      <c r="J3692" s="29"/>
      <c r="K3692" s="29"/>
      <c r="L3692" s="29"/>
      <c r="M3692" s="29"/>
      <c r="N3692" s="29" t="s">
        <v>3580</v>
      </c>
      <c r="O3692" s="29"/>
      <c r="P3692" s="29" t="s">
        <v>10963</v>
      </c>
      <c r="Q3692" t="s">
        <v>2038</v>
      </c>
      <c r="R3692" t="s">
        <v>2633</v>
      </c>
      <c r="S3692">
        <v>37</v>
      </c>
      <c r="T3692" s="43" t="str">
        <f t="shared" si="170"/>
        <v>2021.010B.R.Binomial_names.zip</v>
      </c>
      <c r="U3692" s="43" t="str">
        <f>HYPERLINK("https://ictv.global/taxonomy/taxondetails?taxnode_id=202201175","ictv.global=202201175")</f>
        <v>ictv.global=202201175</v>
      </c>
    </row>
    <row r="3693" spans="1:21">
      <c r="A3693">
        <v>3692</v>
      </c>
      <c r="B3693" s="29" t="s">
        <v>3682</v>
      </c>
      <c r="C3693" s="29"/>
      <c r="D3693" s="29" t="s">
        <v>3683</v>
      </c>
      <c r="E3693" s="29"/>
      <c r="F3693" s="29" t="s">
        <v>3686</v>
      </c>
      <c r="G3693" s="29"/>
      <c r="H3693" s="29" t="s">
        <v>3687</v>
      </c>
      <c r="I3693" s="29"/>
      <c r="J3693" s="29"/>
      <c r="K3693" s="29"/>
      <c r="L3693" s="29"/>
      <c r="M3693" s="29"/>
      <c r="N3693" s="29" t="s">
        <v>3580</v>
      </c>
      <c r="O3693" s="29"/>
      <c r="P3693" s="29" t="s">
        <v>10964</v>
      </c>
      <c r="Q3693" t="s">
        <v>2038</v>
      </c>
      <c r="R3693" t="s">
        <v>2633</v>
      </c>
      <c r="S3693">
        <v>37</v>
      </c>
      <c r="T3693" s="43" t="str">
        <f t="shared" si="170"/>
        <v>2021.010B.R.Binomial_names.zip</v>
      </c>
      <c r="U3693" s="43" t="str">
        <f>HYPERLINK("https://ictv.global/taxonomy/taxondetails?taxnode_id=202201176","ictv.global=202201176")</f>
        <v>ictv.global=202201176</v>
      </c>
    </row>
    <row r="3694" spans="1:21">
      <c r="A3694">
        <v>3693</v>
      </c>
      <c r="B3694" s="29" t="s">
        <v>3682</v>
      </c>
      <c r="C3694" s="29"/>
      <c r="D3694" s="29" t="s">
        <v>3683</v>
      </c>
      <c r="E3694" s="29"/>
      <c r="F3694" s="29" t="s">
        <v>3686</v>
      </c>
      <c r="G3694" s="29"/>
      <c r="H3694" s="29" t="s">
        <v>3687</v>
      </c>
      <c r="I3694" s="29"/>
      <c r="J3694" s="29"/>
      <c r="K3694" s="29"/>
      <c r="L3694" s="29"/>
      <c r="M3694" s="29"/>
      <c r="N3694" s="29" t="s">
        <v>4761</v>
      </c>
      <c r="O3694" s="29"/>
      <c r="P3694" s="29" t="s">
        <v>10965</v>
      </c>
      <c r="Q3694" t="s">
        <v>2038</v>
      </c>
      <c r="R3694" t="s">
        <v>2633</v>
      </c>
      <c r="S3694">
        <v>37</v>
      </c>
      <c r="T3694" s="43" t="str">
        <f t="shared" si="170"/>
        <v>2021.010B.R.Binomial_names.zip</v>
      </c>
      <c r="U3694" s="43" t="str">
        <f>HYPERLINK("https://ictv.global/taxonomy/taxondetails?taxnode_id=202209342","ictv.global=202209342")</f>
        <v>ictv.global=202209342</v>
      </c>
    </row>
    <row r="3695" spans="1:21">
      <c r="A3695">
        <v>3694</v>
      </c>
      <c r="B3695" s="29" t="s">
        <v>3682</v>
      </c>
      <c r="C3695" s="29"/>
      <c r="D3695" s="29" t="s">
        <v>3683</v>
      </c>
      <c r="E3695" s="29"/>
      <c r="F3695" s="29" t="s">
        <v>3686</v>
      </c>
      <c r="G3695" s="29"/>
      <c r="H3695" s="29" t="s">
        <v>3687</v>
      </c>
      <c r="I3695" s="29"/>
      <c r="J3695" s="29"/>
      <c r="K3695" s="29"/>
      <c r="L3695" s="29"/>
      <c r="M3695" s="29"/>
      <c r="N3695" s="29" t="s">
        <v>4761</v>
      </c>
      <c r="O3695" s="29"/>
      <c r="P3695" s="29" t="s">
        <v>10966</v>
      </c>
      <c r="Q3695" t="s">
        <v>2038</v>
      </c>
      <c r="R3695" t="s">
        <v>2633</v>
      </c>
      <c r="S3695">
        <v>37</v>
      </c>
      <c r="T3695" s="43" t="str">
        <f t="shared" si="170"/>
        <v>2021.010B.R.Binomial_names.zip</v>
      </c>
      <c r="U3695" s="43" t="str">
        <f>HYPERLINK("https://ictv.global/taxonomy/taxondetails?taxnode_id=202209338","ictv.global=202209338")</f>
        <v>ictv.global=202209338</v>
      </c>
    </row>
    <row r="3696" spans="1:21">
      <c r="A3696">
        <v>3695</v>
      </c>
      <c r="B3696" s="29" t="s">
        <v>3682</v>
      </c>
      <c r="C3696" s="29"/>
      <c r="D3696" s="29" t="s">
        <v>3683</v>
      </c>
      <c r="E3696" s="29"/>
      <c r="F3696" s="29" t="s">
        <v>3686</v>
      </c>
      <c r="G3696" s="29"/>
      <c r="H3696" s="29" t="s">
        <v>3687</v>
      </c>
      <c r="I3696" s="29"/>
      <c r="J3696" s="29"/>
      <c r="K3696" s="29"/>
      <c r="L3696" s="29"/>
      <c r="M3696" s="29"/>
      <c r="N3696" s="29" t="s">
        <v>4761</v>
      </c>
      <c r="O3696" s="29"/>
      <c r="P3696" s="29" t="s">
        <v>10967</v>
      </c>
      <c r="Q3696" t="s">
        <v>2038</v>
      </c>
      <c r="R3696" t="s">
        <v>2633</v>
      </c>
      <c r="S3696">
        <v>37</v>
      </c>
      <c r="T3696" s="43" t="str">
        <f t="shared" si="170"/>
        <v>2021.010B.R.Binomial_names.zip</v>
      </c>
      <c r="U3696" s="43" t="str">
        <f>HYPERLINK("https://ictv.global/taxonomy/taxondetails?taxnode_id=202209341","ictv.global=202209341")</f>
        <v>ictv.global=202209341</v>
      </c>
    </row>
    <row r="3697" spans="1:21">
      <c r="A3697">
        <v>3696</v>
      </c>
      <c r="B3697" s="29" t="s">
        <v>3682</v>
      </c>
      <c r="C3697" s="29"/>
      <c r="D3697" s="29" t="s">
        <v>3683</v>
      </c>
      <c r="E3697" s="29"/>
      <c r="F3697" s="29" t="s">
        <v>3686</v>
      </c>
      <c r="G3697" s="29"/>
      <c r="H3697" s="29" t="s">
        <v>3687</v>
      </c>
      <c r="I3697" s="29"/>
      <c r="J3697" s="29"/>
      <c r="K3697" s="29"/>
      <c r="L3697" s="29"/>
      <c r="M3697" s="29"/>
      <c r="N3697" s="29" t="s">
        <v>4761</v>
      </c>
      <c r="O3697" s="29"/>
      <c r="P3697" s="29" t="s">
        <v>10968</v>
      </c>
      <c r="Q3697" t="s">
        <v>2038</v>
      </c>
      <c r="R3697" t="s">
        <v>2633</v>
      </c>
      <c r="S3697">
        <v>37</v>
      </c>
      <c r="T3697" s="43" t="str">
        <f t="shared" si="170"/>
        <v>2021.010B.R.Binomial_names.zip</v>
      </c>
      <c r="U3697" s="43" t="str">
        <f>HYPERLINK("https://ictv.global/taxonomy/taxondetails?taxnode_id=202209340","ictv.global=202209340")</f>
        <v>ictv.global=202209340</v>
      </c>
    </row>
    <row r="3698" spans="1:21">
      <c r="A3698">
        <v>3697</v>
      </c>
      <c r="B3698" s="29" t="s">
        <v>3682</v>
      </c>
      <c r="C3698" s="29"/>
      <c r="D3698" s="29" t="s">
        <v>3683</v>
      </c>
      <c r="E3698" s="29"/>
      <c r="F3698" s="29" t="s">
        <v>3686</v>
      </c>
      <c r="G3698" s="29"/>
      <c r="H3698" s="29" t="s">
        <v>3687</v>
      </c>
      <c r="I3698" s="29"/>
      <c r="J3698" s="29"/>
      <c r="K3698" s="29"/>
      <c r="L3698" s="29"/>
      <c r="M3698" s="29"/>
      <c r="N3698" s="29" t="s">
        <v>4761</v>
      </c>
      <c r="O3698" s="29"/>
      <c r="P3698" s="29" t="s">
        <v>10969</v>
      </c>
      <c r="Q3698" t="s">
        <v>2038</v>
      </c>
      <c r="R3698" t="s">
        <v>2633</v>
      </c>
      <c r="S3698">
        <v>37</v>
      </c>
      <c r="T3698" s="43" t="str">
        <f t="shared" si="170"/>
        <v>2021.010B.R.Binomial_names.zip</v>
      </c>
      <c r="U3698" s="43" t="str">
        <f>HYPERLINK("https://ictv.global/taxonomy/taxondetails?taxnode_id=202209339","ictv.global=202209339")</f>
        <v>ictv.global=202209339</v>
      </c>
    </row>
    <row r="3699" spans="1:21">
      <c r="A3699">
        <v>3698</v>
      </c>
      <c r="B3699" s="29" t="s">
        <v>3682</v>
      </c>
      <c r="C3699" s="29"/>
      <c r="D3699" s="29" t="s">
        <v>3683</v>
      </c>
      <c r="E3699" s="29"/>
      <c r="F3699" s="29" t="s">
        <v>3686</v>
      </c>
      <c r="G3699" s="29"/>
      <c r="H3699" s="29" t="s">
        <v>3687</v>
      </c>
      <c r="I3699" s="29"/>
      <c r="J3699" s="29"/>
      <c r="K3699" s="29"/>
      <c r="L3699" s="29"/>
      <c r="M3699" s="29"/>
      <c r="N3699" s="29" t="s">
        <v>3581</v>
      </c>
      <c r="O3699" s="29"/>
      <c r="P3699" s="29" t="s">
        <v>10970</v>
      </c>
      <c r="Q3699" t="s">
        <v>2038</v>
      </c>
      <c r="R3699" t="s">
        <v>2633</v>
      </c>
      <c r="S3699">
        <v>37</v>
      </c>
      <c r="T3699" s="43" t="str">
        <f t="shared" si="170"/>
        <v>2021.010B.R.Binomial_names.zip</v>
      </c>
      <c r="U3699" s="43" t="str">
        <f>HYPERLINK("https://ictv.global/taxonomy/taxondetails?taxnode_id=202201253","ictv.global=202201253")</f>
        <v>ictv.global=202201253</v>
      </c>
    </row>
    <row r="3700" spans="1:21">
      <c r="A3700">
        <v>3699</v>
      </c>
      <c r="B3700" s="29" t="s">
        <v>3682</v>
      </c>
      <c r="C3700" s="29"/>
      <c r="D3700" s="29" t="s">
        <v>3683</v>
      </c>
      <c r="E3700" s="29"/>
      <c r="F3700" s="29" t="s">
        <v>3686</v>
      </c>
      <c r="G3700" s="29"/>
      <c r="H3700" s="29" t="s">
        <v>3687</v>
      </c>
      <c r="I3700" s="29"/>
      <c r="J3700" s="29"/>
      <c r="K3700" s="29"/>
      <c r="L3700" s="29"/>
      <c r="M3700" s="29"/>
      <c r="N3700" s="29" t="s">
        <v>3581</v>
      </c>
      <c r="O3700" s="29"/>
      <c r="P3700" s="29" t="s">
        <v>10971</v>
      </c>
      <c r="Q3700" t="s">
        <v>2038</v>
      </c>
      <c r="R3700" t="s">
        <v>2633</v>
      </c>
      <c r="S3700">
        <v>37</v>
      </c>
      <c r="T3700" s="43" t="str">
        <f t="shared" si="170"/>
        <v>2021.010B.R.Binomial_names.zip</v>
      </c>
      <c r="U3700" s="43" t="str">
        <f>HYPERLINK("https://ictv.global/taxonomy/taxondetails?taxnode_id=202201254","ictv.global=202201254")</f>
        <v>ictv.global=202201254</v>
      </c>
    </row>
    <row r="3701" spans="1:21">
      <c r="A3701">
        <v>3700</v>
      </c>
      <c r="B3701" s="29" t="s">
        <v>3682</v>
      </c>
      <c r="C3701" s="29"/>
      <c r="D3701" s="29" t="s">
        <v>3683</v>
      </c>
      <c r="E3701" s="29"/>
      <c r="F3701" s="29" t="s">
        <v>3686</v>
      </c>
      <c r="G3701" s="29"/>
      <c r="H3701" s="29" t="s">
        <v>3687</v>
      </c>
      <c r="I3701" s="29"/>
      <c r="J3701" s="29"/>
      <c r="K3701" s="29"/>
      <c r="L3701" s="29"/>
      <c r="M3701" s="29"/>
      <c r="N3701" s="29" t="s">
        <v>4608</v>
      </c>
      <c r="O3701" s="29"/>
      <c r="P3701" s="29" t="s">
        <v>10972</v>
      </c>
      <c r="Q3701" t="s">
        <v>2038</v>
      </c>
      <c r="R3701" t="s">
        <v>2633</v>
      </c>
      <c r="S3701">
        <v>37</v>
      </c>
      <c r="T3701" s="43" t="str">
        <f t="shared" si="170"/>
        <v>2021.010B.R.Binomial_names.zip</v>
      </c>
      <c r="U3701" s="43" t="str">
        <f>HYPERLINK("https://ictv.global/taxonomy/taxondetails?taxnode_id=202211569","ictv.global=202211569")</f>
        <v>ictv.global=202211569</v>
      </c>
    </row>
    <row r="3702" spans="1:21">
      <c r="A3702">
        <v>3701</v>
      </c>
      <c r="B3702" s="29" t="s">
        <v>3682</v>
      </c>
      <c r="C3702" s="29"/>
      <c r="D3702" s="29" t="s">
        <v>3683</v>
      </c>
      <c r="E3702" s="29"/>
      <c r="F3702" s="29" t="s">
        <v>3686</v>
      </c>
      <c r="G3702" s="29"/>
      <c r="H3702" s="29" t="s">
        <v>3687</v>
      </c>
      <c r="I3702" s="29"/>
      <c r="J3702" s="29"/>
      <c r="K3702" s="29"/>
      <c r="L3702" s="29"/>
      <c r="M3702" s="29"/>
      <c r="N3702" s="29" t="s">
        <v>2393</v>
      </c>
      <c r="O3702" s="29"/>
      <c r="P3702" s="29" t="s">
        <v>10973</v>
      </c>
      <c r="Q3702" t="s">
        <v>2038</v>
      </c>
      <c r="R3702" t="s">
        <v>2633</v>
      </c>
      <c r="S3702">
        <v>37</v>
      </c>
      <c r="T3702" s="43" t="str">
        <f t="shared" si="170"/>
        <v>2021.010B.R.Binomial_names.zip</v>
      </c>
      <c r="U3702" s="43" t="str">
        <f>HYPERLINK("https://ictv.global/taxonomy/taxondetails?taxnode_id=202201178","ictv.global=202201178")</f>
        <v>ictv.global=202201178</v>
      </c>
    </row>
    <row r="3703" spans="1:21">
      <c r="A3703">
        <v>3702</v>
      </c>
      <c r="B3703" s="29" t="s">
        <v>3682</v>
      </c>
      <c r="C3703" s="29"/>
      <c r="D3703" s="29" t="s">
        <v>3683</v>
      </c>
      <c r="E3703" s="29"/>
      <c r="F3703" s="29" t="s">
        <v>3686</v>
      </c>
      <c r="G3703" s="29"/>
      <c r="H3703" s="29" t="s">
        <v>3687</v>
      </c>
      <c r="I3703" s="29"/>
      <c r="J3703" s="29"/>
      <c r="K3703" s="29"/>
      <c r="L3703" s="29"/>
      <c r="M3703" s="29"/>
      <c r="N3703" s="29" t="s">
        <v>10974</v>
      </c>
      <c r="O3703" s="29"/>
      <c r="P3703" s="29" t="s">
        <v>10975</v>
      </c>
      <c r="Q3703" t="s">
        <v>2038</v>
      </c>
      <c r="R3703" t="s">
        <v>2632</v>
      </c>
      <c r="S3703">
        <v>38</v>
      </c>
      <c r="T3703" s="43" t="str">
        <f>HYPERLINK("https://ictv.global/ictv/proposals/2022.061B.Pavtokvirus_ng.zip","2022.061B.Pavtokvirus_ng.zip")</f>
        <v>2022.061B.Pavtokvirus_ng.zip</v>
      </c>
      <c r="U3703" s="43" t="str">
        <f>HYPERLINK("https://ictv.global/taxonomy/taxondetails?taxnode_id=202214718","ictv.global=202214718")</f>
        <v>ictv.global=202214718</v>
      </c>
    </row>
    <row r="3704" spans="1:21">
      <c r="A3704">
        <v>3703</v>
      </c>
      <c r="B3704" s="29" t="s">
        <v>3682</v>
      </c>
      <c r="C3704" s="29"/>
      <c r="D3704" s="29" t="s">
        <v>3683</v>
      </c>
      <c r="E3704" s="29"/>
      <c r="F3704" s="29" t="s">
        <v>3686</v>
      </c>
      <c r="G3704" s="29"/>
      <c r="H3704" s="29" t="s">
        <v>3687</v>
      </c>
      <c r="I3704" s="29"/>
      <c r="J3704" s="29"/>
      <c r="K3704" s="29"/>
      <c r="L3704" s="29"/>
      <c r="M3704" s="29"/>
      <c r="N3704" s="29" t="s">
        <v>10974</v>
      </c>
      <c r="O3704" s="29"/>
      <c r="P3704" s="29" t="s">
        <v>10976</v>
      </c>
      <c r="Q3704" t="s">
        <v>2038</v>
      </c>
      <c r="R3704" t="s">
        <v>2632</v>
      </c>
      <c r="S3704">
        <v>38</v>
      </c>
      <c r="T3704" s="43" t="str">
        <f>HYPERLINK("https://ictv.global/ictv/proposals/2022.061B.Pavtokvirus_ng.zip","2022.061B.Pavtokvirus_ng.zip")</f>
        <v>2022.061B.Pavtokvirus_ng.zip</v>
      </c>
      <c r="U3704" s="43" t="str">
        <f>HYPERLINK("https://ictv.global/taxonomy/taxondetails?taxnode_id=202214719","ictv.global=202214719")</f>
        <v>ictv.global=202214719</v>
      </c>
    </row>
    <row r="3705" spans="1:21">
      <c r="A3705">
        <v>3704</v>
      </c>
      <c r="B3705" s="29" t="s">
        <v>3682</v>
      </c>
      <c r="C3705" s="29"/>
      <c r="D3705" s="29" t="s">
        <v>3683</v>
      </c>
      <c r="E3705" s="29"/>
      <c r="F3705" s="29" t="s">
        <v>3686</v>
      </c>
      <c r="G3705" s="29"/>
      <c r="H3705" s="29" t="s">
        <v>3687</v>
      </c>
      <c r="I3705" s="29"/>
      <c r="J3705" s="29"/>
      <c r="K3705" s="29"/>
      <c r="L3705" s="29"/>
      <c r="M3705" s="29"/>
      <c r="N3705" s="29" t="s">
        <v>10977</v>
      </c>
      <c r="O3705" s="29"/>
      <c r="P3705" s="29" t="s">
        <v>10978</v>
      </c>
      <c r="Q3705" t="s">
        <v>2038</v>
      </c>
      <c r="R3705" t="s">
        <v>2632</v>
      </c>
      <c r="S3705">
        <v>38</v>
      </c>
      <c r="T3705" s="43" t="str">
        <f>HYPERLINK("https://ictv.global/ictv/proposals/2022.066B.Caudoviricetes_6ng.zip","2022.066B.Caudoviricetes_6ng.zip")</f>
        <v>2022.066B.Caudoviricetes_6ng.zip</v>
      </c>
      <c r="U3705" s="43" t="str">
        <f>HYPERLINK("https://ictv.global/taxonomy/taxondetails?taxnode_id=202214786","ictv.global=202214786")</f>
        <v>ictv.global=202214786</v>
      </c>
    </row>
    <row r="3706" spans="1:21">
      <c r="A3706">
        <v>3705</v>
      </c>
      <c r="B3706" s="29" t="s">
        <v>3682</v>
      </c>
      <c r="C3706" s="29"/>
      <c r="D3706" s="29" t="s">
        <v>3683</v>
      </c>
      <c r="E3706" s="29"/>
      <c r="F3706" s="29" t="s">
        <v>3686</v>
      </c>
      <c r="G3706" s="29"/>
      <c r="H3706" s="29" t="s">
        <v>3687</v>
      </c>
      <c r="I3706" s="29"/>
      <c r="J3706" s="29"/>
      <c r="K3706" s="29"/>
      <c r="L3706" s="29"/>
      <c r="M3706" s="29"/>
      <c r="N3706" s="29" t="s">
        <v>2064</v>
      </c>
      <c r="O3706" s="29"/>
      <c r="P3706" s="29" t="s">
        <v>10979</v>
      </c>
      <c r="Q3706" t="s">
        <v>2038</v>
      </c>
      <c r="R3706" t="s">
        <v>2633</v>
      </c>
      <c r="S3706">
        <v>37</v>
      </c>
      <c r="T3706" s="43" t="str">
        <f>HYPERLINK("https://ictv.global/ictv/proposals/2021.010B.R.Binomial_names.zip","2021.010B.R.Binomial_names.zip")</f>
        <v>2021.010B.R.Binomial_names.zip</v>
      </c>
      <c r="U3706" s="43" t="str">
        <f>HYPERLINK("https://ictv.global/taxonomy/taxondetails?taxnode_id=202200477","ictv.global=202200477")</f>
        <v>ictv.global=202200477</v>
      </c>
    </row>
    <row r="3707" spans="1:21">
      <c r="A3707">
        <v>3706</v>
      </c>
      <c r="B3707" s="29" t="s">
        <v>3682</v>
      </c>
      <c r="C3707" s="29"/>
      <c r="D3707" s="29" t="s">
        <v>3683</v>
      </c>
      <c r="E3707" s="29"/>
      <c r="F3707" s="29" t="s">
        <v>3686</v>
      </c>
      <c r="G3707" s="29"/>
      <c r="H3707" s="29" t="s">
        <v>3687</v>
      </c>
      <c r="I3707" s="29"/>
      <c r="J3707" s="29"/>
      <c r="K3707" s="29"/>
      <c r="L3707" s="29"/>
      <c r="M3707" s="29"/>
      <c r="N3707" s="29" t="s">
        <v>2064</v>
      </c>
      <c r="O3707" s="29"/>
      <c r="P3707" s="29" t="s">
        <v>10980</v>
      </c>
      <c r="Q3707" t="s">
        <v>2038</v>
      </c>
      <c r="R3707" t="s">
        <v>2632</v>
      </c>
      <c r="S3707">
        <v>37</v>
      </c>
      <c r="T3707" s="43" t="str">
        <f>HYPERLINK("https://ictv.global/ictv/proposals/2021.061B.R.Pbunavirus_new_species.zip","2021.061B.R.Pbunavirus_new_species.zip")</f>
        <v>2021.061B.R.Pbunavirus_new_species.zip</v>
      </c>
      <c r="U3707" s="43" t="str">
        <f>HYPERLINK("https://ictv.global/taxonomy/taxondetails?taxnode_id=202212812","ictv.global=202212812")</f>
        <v>ictv.global=202212812</v>
      </c>
    </row>
    <row r="3708" spans="1:21">
      <c r="A3708">
        <v>3707</v>
      </c>
      <c r="B3708" s="29" t="s">
        <v>3682</v>
      </c>
      <c r="C3708" s="29"/>
      <c r="D3708" s="29" t="s">
        <v>3683</v>
      </c>
      <c r="E3708" s="29"/>
      <c r="F3708" s="29" t="s">
        <v>3686</v>
      </c>
      <c r="G3708" s="29"/>
      <c r="H3708" s="29" t="s">
        <v>3687</v>
      </c>
      <c r="I3708" s="29"/>
      <c r="J3708" s="29"/>
      <c r="K3708" s="29"/>
      <c r="L3708" s="29"/>
      <c r="M3708" s="29"/>
      <c r="N3708" s="29" t="s">
        <v>2064</v>
      </c>
      <c r="O3708" s="29"/>
      <c r="P3708" s="29" t="s">
        <v>10981</v>
      </c>
      <c r="Q3708" t="s">
        <v>2038</v>
      </c>
      <c r="R3708" t="s">
        <v>2633</v>
      </c>
      <c r="S3708">
        <v>37</v>
      </c>
      <c r="T3708" s="43" t="str">
        <f>HYPERLINK("https://ictv.global/ictv/proposals/2021.010B.R.Binomial_names.zip","2021.010B.R.Binomial_names.zip")</f>
        <v>2021.010B.R.Binomial_names.zip</v>
      </c>
      <c r="U3708" s="43" t="str">
        <f>HYPERLINK("https://ictv.global/taxonomy/taxondetails?taxnode_id=202211575","ictv.global=202211575")</f>
        <v>ictv.global=202211575</v>
      </c>
    </row>
    <row r="3709" spans="1:21">
      <c r="A3709">
        <v>3708</v>
      </c>
      <c r="B3709" s="29" t="s">
        <v>3682</v>
      </c>
      <c r="C3709" s="29"/>
      <c r="D3709" s="29" t="s">
        <v>3683</v>
      </c>
      <c r="E3709" s="29"/>
      <c r="F3709" s="29" t="s">
        <v>3686</v>
      </c>
      <c r="G3709" s="29"/>
      <c r="H3709" s="29" t="s">
        <v>3687</v>
      </c>
      <c r="I3709" s="29"/>
      <c r="J3709" s="29"/>
      <c r="K3709" s="29"/>
      <c r="L3709" s="29"/>
      <c r="M3709" s="29"/>
      <c r="N3709" s="29" t="s">
        <v>2064</v>
      </c>
      <c r="O3709" s="29"/>
      <c r="P3709" s="29" t="s">
        <v>10982</v>
      </c>
      <c r="Q3709" t="s">
        <v>2038</v>
      </c>
      <c r="R3709" t="s">
        <v>2632</v>
      </c>
      <c r="S3709">
        <v>37</v>
      </c>
      <c r="T3709" s="43" t="str">
        <f>HYPERLINK("https://ictv.global/ictv/proposals/2021.061B.R.Pbunavirus_new_species.zip","2021.061B.R.Pbunavirus_new_species.zip")</f>
        <v>2021.061B.R.Pbunavirus_new_species.zip</v>
      </c>
      <c r="U3709" s="43" t="str">
        <f>HYPERLINK("https://ictv.global/taxonomy/taxondetails?taxnode_id=202212813","ictv.global=202212813")</f>
        <v>ictv.global=202212813</v>
      </c>
    </row>
    <row r="3710" spans="1:21">
      <c r="A3710">
        <v>3709</v>
      </c>
      <c r="B3710" s="29" t="s">
        <v>3682</v>
      </c>
      <c r="C3710" s="29"/>
      <c r="D3710" s="29" t="s">
        <v>3683</v>
      </c>
      <c r="E3710" s="29"/>
      <c r="F3710" s="29" t="s">
        <v>3686</v>
      </c>
      <c r="G3710" s="29"/>
      <c r="H3710" s="29" t="s">
        <v>3687</v>
      </c>
      <c r="I3710" s="29"/>
      <c r="J3710" s="29"/>
      <c r="K3710" s="29"/>
      <c r="L3710" s="29"/>
      <c r="M3710" s="29"/>
      <c r="N3710" s="29" t="s">
        <v>2064</v>
      </c>
      <c r="O3710" s="29"/>
      <c r="P3710" s="29" t="s">
        <v>10983</v>
      </c>
      <c r="Q3710" t="s">
        <v>2038</v>
      </c>
      <c r="R3710" t="s">
        <v>2632</v>
      </c>
      <c r="S3710">
        <v>37</v>
      </c>
      <c r="T3710" s="43" t="str">
        <f>HYPERLINK("https://ictv.global/ictv/proposals/2021.061B.R.Pbunavirus_new_species.zip","2021.061B.R.Pbunavirus_new_species.zip")</f>
        <v>2021.061B.R.Pbunavirus_new_species.zip</v>
      </c>
      <c r="U3710" s="43" t="str">
        <f>HYPERLINK("https://ictv.global/taxonomy/taxondetails?taxnode_id=202212806","ictv.global=202212806")</f>
        <v>ictv.global=202212806</v>
      </c>
    </row>
    <row r="3711" spans="1:21">
      <c r="A3711">
        <v>3710</v>
      </c>
      <c r="B3711" s="29" t="s">
        <v>3682</v>
      </c>
      <c r="C3711" s="29"/>
      <c r="D3711" s="29" t="s">
        <v>3683</v>
      </c>
      <c r="E3711" s="29"/>
      <c r="F3711" s="29" t="s">
        <v>3686</v>
      </c>
      <c r="G3711" s="29"/>
      <c r="H3711" s="29" t="s">
        <v>3687</v>
      </c>
      <c r="I3711" s="29"/>
      <c r="J3711" s="29"/>
      <c r="K3711" s="29"/>
      <c r="L3711" s="29"/>
      <c r="M3711" s="29"/>
      <c r="N3711" s="29" t="s">
        <v>2064</v>
      </c>
      <c r="O3711" s="29"/>
      <c r="P3711" s="29" t="s">
        <v>10984</v>
      </c>
      <c r="Q3711" t="s">
        <v>2038</v>
      </c>
      <c r="R3711" t="s">
        <v>2633</v>
      </c>
      <c r="S3711">
        <v>37</v>
      </c>
      <c r="T3711" s="43" t="str">
        <f>HYPERLINK("https://ictv.global/ictv/proposals/2021.010B.R.Binomial_names.zip","2021.010B.R.Binomial_names.zip")</f>
        <v>2021.010B.R.Binomial_names.zip</v>
      </c>
      <c r="U3711" s="43" t="str">
        <f>HYPERLINK("https://ictv.global/taxonomy/taxondetails?taxnode_id=202200478","ictv.global=202200478")</f>
        <v>ictv.global=202200478</v>
      </c>
    </row>
    <row r="3712" spans="1:21">
      <c r="A3712">
        <v>3711</v>
      </c>
      <c r="B3712" s="29" t="s">
        <v>3682</v>
      </c>
      <c r="C3712" s="29"/>
      <c r="D3712" s="29" t="s">
        <v>3683</v>
      </c>
      <c r="E3712" s="29"/>
      <c r="F3712" s="29" t="s">
        <v>3686</v>
      </c>
      <c r="G3712" s="29"/>
      <c r="H3712" s="29" t="s">
        <v>3687</v>
      </c>
      <c r="I3712" s="29"/>
      <c r="J3712" s="29"/>
      <c r="K3712" s="29"/>
      <c r="L3712" s="29"/>
      <c r="M3712" s="29"/>
      <c r="N3712" s="29" t="s">
        <v>2064</v>
      </c>
      <c r="O3712" s="29"/>
      <c r="P3712" s="29" t="s">
        <v>10985</v>
      </c>
      <c r="Q3712" t="s">
        <v>2038</v>
      </c>
      <c r="R3712" t="s">
        <v>2633</v>
      </c>
      <c r="S3712">
        <v>37</v>
      </c>
      <c r="T3712" s="43" t="str">
        <f>HYPERLINK("https://ictv.global/ictv/proposals/2021.010B.R.Binomial_names.zip","2021.010B.R.Binomial_names.zip")</f>
        <v>2021.010B.R.Binomial_names.zip</v>
      </c>
      <c r="U3712" s="43" t="str">
        <f>HYPERLINK("https://ictv.global/taxonomy/taxondetails?taxnode_id=202207023","ictv.global=202207023")</f>
        <v>ictv.global=202207023</v>
      </c>
    </row>
    <row r="3713" spans="1:21">
      <c r="A3713">
        <v>3712</v>
      </c>
      <c r="B3713" s="29" t="s">
        <v>3682</v>
      </c>
      <c r="C3713" s="29"/>
      <c r="D3713" s="29" t="s">
        <v>3683</v>
      </c>
      <c r="E3713" s="29"/>
      <c r="F3713" s="29" t="s">
        <v>3686</v>
      </c>
      <c r="G3713" s="29"/>
      <c r="H3713" s="29" t="s">
        <v>3687</v>
      </c>
      <c r="I3713" s="29"/>
      <c r="J3713" s="29"/>
      <c r="K3713" s="29"/>
      <c r="L3713" s="29"/>
      <c r="M3713" s="29"/>
      <c r="N3713" s="29" t="s">
        <v>2064</v>
      </c>
      <c r="O3713" s="29"/>
      <c r="P3713" s="29" t="s">
        <v>10986</v>
      </c>
      <c r="Q3713" t="s">
        <v>2038</v>
      </c>
      <c r="R3713" t="s">
        <v>2633</v>
      </c>
      <c r="S3713">
        <v>37</v>
      </c>
      <c r="T3713" s="43" t="str">
        <f>HYPERLINK("https://ictv.global/ictv/proposals/2021.010B.R.Binomial_names.zip","2021.010B.R.Binomial_names.zip")</f>
        <v>2021.010B.R.Binomial_names.zip</v>
      </c>
      <c r="U3713" s="43" t="str">
        <f>HYPERLINK("https://ictv.global/taxonomy/taxondetails?taxnode_id=202207024","ictv.global=202207024")</f>
        <v>ictv.global=202207024</v>
      </c>
    </row>
    <row r="3714" spans="1:21">
      <c r="A3714">
        <v>3713</v>
      </c>
      <c r="B3714" s="29" t="s">
        <v>3682</v>
      </c>
      <c r="C3714" s="29"/>
      <c r="D3714" s="29" t="s">
        <v>3683</v>
      </c>
      <c r="E3714" s="29"/>
      <c r="F3714" s="29" t="s">
        <v>3686</v>
      </c>
      <c r="G3714" s="29"/>
      <c r="H3714" s="29" t="s">
        <v>3687</v>
      </c>
      <c r="I3714" s="29"/>
      <c r="J3714" s="29"/>
      <c r="K3714" s="29"/>
      <c r="L3714" s="29"/>
      <c r="M3714" s="29"/>
      <c r="N3714" s="29" t="s">
        <v>2064</v>
      </c>
      <c r="O3714" s="29"/>
      <c r="P3714" s="29" t="s">
        <v>10987</v>
      </c>
      <c r="Q3714" t="s">
        <v>2038</v>
      </c>
      <c r="R3714" t="s">
        <v>2633</v>
      </c>
      <c r="S3714">
        <v>37</v>
      </c>
      <c r="T3714" s="43" t="str">
        <f>HYPERLINK("https://ictv.global/ictv/proposals/2021.010B.R.Binomial_names.zip","2021.010B.R.Binomial_names.zip")</f>
        <v>2021.010B.R.Binomial_names.zip</v>
      </c>
      <c r="U3714" s="43" t="str">
        <f>HYPERLINK("https://ictv.global/taxonomy/taxondetails?taxnode_id=202207025","ictv.global=202207025")</f>
        <v>ictv.global=202207025</v>
      </c>
    </row>
    <row r="3715" spans="1:21">
      <c r="A3715">
        <v>3714</v>
      </c>
      <c r="B3715" s="29" t="s">
        <v>3682</v>
      </c>
      <c r="C3715" s="29"/>
      <c r="D3715" s="29" t="s">
        <v>3683</v>
      </c>
      <c r="E3715" s="29"/>
      <c r="F3715" s="29" t="s">
        <v>3686</v>
      </c>
      <c r="G3715" s="29"/>
      <c r="H3715" s="29" t="s">
        <v>3687</v>
      </c>
      <c r="I3715" s="29"/>
      <c r="J3715" s="29"/>
      <c r="K3715" s="29"/>
      <c r="L3715" s="29"/>
      <c r="M3715" s="29"/>
      <c r="N3715" s="29" t="s">
        <v>2064</v>
      </c>
      <c r="O3715" s="29"/>
      <c r="P3715" s="29" t="s">
        <v>10988</v>
      </c>
      <c r="Q3715" t="s">
        <v>2038</v>
      </c>
      <c r="R3715" t="s">
        <v>2632</v>
      </c>
      <c r="S3715">
        <v>37</v>
      </c>
      <c r="T3715" s="43" t="str">
        <f>HYPERLINK("https://ictv.global/ictv/proposals/2021.061B.R.Pbunavirus_new_species.zip","2021.061B.R.Pbunavirus_new_species.zip")</f>
        <v>2021.061B.R.Pbunavirus_new_species.zip</v>
      </c>
      <c r="U3715" s="43" t="str">
        <f>HYPERLINK("https://ictv.global/taxonomy/taxondetails?taxnode_id=202212807","ictv.global=202212807")</f>
        <v>ictv.global=202212807</v>
      </c>
    </row>
    <row r="3716" spans="1:21">
      <c r="A3716">
        <v>3715</v>
      </c>
      <c r="B3716" s="29" t="s">
        <v>3682</v>
      </c>
      <c r="C3716" s="29"/>
      <c r="D3716" s="29" t="s">
        <v>3683</v>
      </c>
      <c r="E3716" s="29"/>
      <c r="F3716" s="29" t="s">
        <v>3686</v>
      </c>
      <c r="G3716" s="29"/>
      <c r="H3716" s="29" t="s">
        <v>3687</v>
      </c>
      <c r="I3716" s="29"/>
      <c r="J3716" s="29"/>
      <c r="K3716" s="29"/>
      <c r="L3716" s="29"/>
      <c r="M3716" s="29"/>
      <c r="N3716" s="29" t="s">
        <v>2064</v>
      </c>
      <c r="O3716" s="29"/>
      <c r="P3716" s="29" t="s">
        <v>10989</v>
      </c>
      <c r="Q3716" t="s">
        <v>2038</v>
      </c>
      <c r="R3716" t="s">
        <v>2632</v>
      </c>
      <c r="S3716">
        <v>37</v>
      </c>
      <c r="T3716" s="43" t="str">
        <f>HYPERLINK("https://ictv.global/ictv/proposals/2021.061B.R.Pbunavirus_new_species.zip","2021.061B.R.Pbunavirus_new_species.zip")</f>
        <v>2021.061B.R.Pbunavirus_new_species.zip</v>
      </c>
      <c r="U3716" s="43" t="str">
        <f>HYPERLINK("https://ictv.global/taxonomy/taxondetails?taxnode_id=202212816","ictv.global=202212816")</f>
        <v>ictv.global=202212816</v>
      </c>
    </row>
    <row r="3717" spans="1:21">
      <c r="A3717">
        <v>3716</v>
      </c>
      <c r="B3717" s="29" t="s">
        <v>3682</v>
      </c>
      <c r="C3717" s="29"/>
      <c r="D3717" s="29" t="s">
        <v>3683</v>
      </c>
      <c r="E3717" s="29"/>
      <c r="F3717" s="29" t="s">
        <v>3686</v>
      </c>
      <c r="G3717" s="29"/>
      <c r="H3717" s="29" t="s">
        <v>3687</v>
      </c>
      <c r="I3717" s="29"/>
      <c r="J3717" s="29"/>
      <c r="K3717" s="29"/>
      <c r="L3717" s="29"/>
      <c r="M3717" s="29"/>
      <c r="N3717" s="29" t="s">
        <v>2064</v>
      </c>
      <c r="O3717" s="29"/>
      <c r="P3717" s="29" t="s">
        <v>10990</v>
      </c>
      <c r="Q3717" t="s">
        <v>2038</v>
      </c>
      <c r="R3717" t="s">
        <v>2633</v>
      </c>
      <c r="S3717">
        <v>37</v>
      </c>
      <c r="T3717" s="43" t="str">
        <f t="shared" ref="T3717:T3725" si="171">HYPERLINK("https://ictv.global/ictv/proposals/2021.010B.R.Binomial_names.zip","2021.010B.R.Binomial_names.zip")</f>
        <v>2021.010B.R.Binomial_names.zip</v>
      </c>
      <c r="U3717" s="43" t="str">
        <f>HYPERLINK("https://ictv.global/taxonomy/taxondetails?taxnode_id=202211572","ictv.global=202211572")</f>
        <v>ictv.global=202211572</v>
      </c>
    </row>
    <row r="3718" spans="1:21">
      <c r="A3718">
        <v>3717</v>
      </c>
      <c r="B3718" s="29" t="s">
        <v>3682</v>
      </c>
      <c r="C3718" s="29"/>
      <c r="D3718" s="29" t="s">
        <v>3683</v>
      </c>
      <c r="E3718" s="29"/>
      <c r="F3718" s="29" t="s">
        <v>3686</v>
      </c>
      <c r="G3718" s="29"/>
      <c r="H3718" s="29" t="s">
        <v>3687</v>
      </c>
      <c r="I3718" s="29"/>
      <c r="J3718" s="29"/>
      <c r="K3718" s="29"/>
      <c r="L3718" s="29"/>
      <c r="M3718" s="29"/>
      <c r="N3718" s="29" t="s">
        <v>2064</v>
      </c>
      <c r="O3718" s="29"/>
      <c r="P3718" s="29" t="s">
        <v>10991</v>
      </c>
      <c r="Q3718" t="s">
        <v>2038</v>
      </c>
      <c r="R3718" t="s">
        <v>2633</v>
      </c>
      <c r="S3718">
        <v>37</v>
      </c>
      <c r="T3718" s="43" t="str">
        <f t="shared" si="171"/>
        <v>2021.010B.R.Binomial_names.zip</v>
      </c>
      <c r="U3718" s="43" t="str">
        <f>HYPERLINK("https://ictv.global/taxonomy/taxondetails?taxnode_id=202200480","ictv.global=202200480")</f>
        <v>ictv.global=202200480</v>
      </c>
    </row>
    <row r="3719" spans="1:21">
      <c r="A3719">
        <v>3718</v>
      </c>
      <c r="B3719" s="29" t="s">
        <v>3682</v>
      </c>
      <c r="C3719" s="29"/>
      <c r="D3719" s="29" t="s">
        <v>3683</v>
      </c>
      <c r="E3719" s="29"/>
      <c r="F3719" s="29" t="s">
        <v>3686</v>
      </c>
      <c r="G3719" s="29"/>
      <c r="H3719" s="29" t="s">
        <v>3687</v>
      </c>
      <c r="I3719" s="29"/>
      <c r="J3719" s="29"/>
      <c r="K3719" s="29"/>
      <c r="L3719" s="29"/>
      <c r="M3719" s="29"/>
      <c r="N3719" s="29" t="s">
        <v>2064</v>
      </c>
      <c r="O3719" s="29"/>
      <c r="P3719" s="29" t="s">
        <v>10992</v>
      </c>
      <c r="Q3719" t="s">
        <v>2038</v>
      </c>
      <c r="R3719" t="s">
        <v>2633</v>
      </c>
      <c r="S3719">
        <v>37</v>
      </c>
      <c r="T3719" s="43" t="str">
        <f t="shared" si="171"/>
        <v>2021.010B.R.Binomial_names.zip</v>
      </c>
      <c r="U3719" s="43" t="str">
        <f>HYPERLINK("https://ictv.global/taxonomy/taxondetails?taxnode_id=202200482","ictv.global=202200482")</f>
        <v>ictv.global=202200482</v>
      </c>
    </row>
    <row r="3720" spans="1:21">
      <c r="A3720">
        <v>3719</v>
      </c>
      <c r="B3720" s="29" t="s">
        <v>3682</v>
      </c>
      <c r="C3720" s="29"/>
      <c r="D3720" s="29" t="s">
        <v>3683</v>
      </c>
      <c r="E3720" s="29"/>
      <c r="F3720" s="29" t="s">
        <v>3686</v>
      </c>
      <c r="G3720" s="29"/>
      <c r="H3720" s="29" t="s">
        <v>3687</v>
      </c>
      <c r="I3720" s="29"/>
      <c r="J3720" s="29"/>
      <c r="K3720" s="29"/>
      <c r="L3720" s="29"/>
      <c r="M3720" s="29"/>
      <c r="N3720" s="29" t="s">
        <v>2064</v>
      </c>
      <c r="O3720" s="29"/>
      <c r="P3720" s="29" t="s">
        <v>10993</v>
      </c>
      <c r="Q3720" t="s">
        <v>2038</v>
      </c>
      <c r="R3720" t="s">
        <v>2633</v>
      </c>
      <c r="S3720">
        <v>37</v>
      </c>
      <c r="T3720" s="43" t="str">
        <f t="shared" si="171"/>
        <v>2021.010B.R.Binomial_names.zip</v>
      </c>
      <c r="U3720" s="43" t="str">
        <f>HYPERLINK("https://ictv.global/taxonomy/taxondetails?taxnode_id=202207021","ictv.global=202207021")</f>
        <v>ictv.global=202207021</v>
      </c>
    </row>
    <row r="3721" spans="1:21">
      <c r="A3721">
        <v>3720</v>
      </c>
      <c r="B3721" s="29" t="s">
        <v>3682</v>
      </c>
      <c r="C3721" s="29"/>
      <c r="D3721" s="29" t="s">
        <v>3683</v>
      </c>
      <c r="E3721" s="29"/>
      <c r="F3721" s="29" t="s">
        <v>3686</v>
      </c>
      <c r="G3721" s="29"/>
      <c r="H3721" s="29" t="s">
        <v>3687</v>
      </c>
      <c r="I3721" s="29"/>
      <c r="J3721" s="29"/>
      <c r="K3721" s="29"/>
      <c r="L3721" s="29"/>
      <c r="M3721" s="29"/>
      <c r="N3721" s="29" t="s">
        <v>2064</v>
      </c>
      <c r="O3721" s="29"/>
      <c r="P3721" s="29" t="s">
        <v>10994</v>
      </c>
      <c r="Q3721" t="s">
        <v>2038</v>
      </c>
      <c r="R3721" t="s">
        <v>2633</v>
      </c>
      <c r="S3721">
        <v>37</v>
      </c>
      <c r="T3721" s="43" t="str">
        <f t="shared" si="171"/>
        <v>2021.010B.R.Binomial_names.zip</v>
      </c>
      <c r="U3721" s="43" t="str">
        <f>HYPERLINK("https://ictv.global/taxonomy/taxondetails?taxnode_id=202200483","ictv.global=202200483")</f>
        <v>ictv.global=202200483</v>
      </c>
    </row>
    <row r="3722" spans="1:21">
      <c r="A3722">
        <v>3721</v>
      </c>
      <c r="B3722" s="29" t="s">
        <v>3682</v>
      </c>
      <c r="C3722" s="29"/>
      <c r="D3722" s="29" t="s">
        <v>3683</v>
      </c>
      <c r="E3722" s="29"/>
      <c r="F3722" s="29" t="s">
        <v>3686</v>
      </c>
      <c r="G3722" s="29"/>
      <c r="H3722" s="29" t="s">
        <v>3687</v>
      </c>
      <c r="I3722" s="29"/>
      <c r="J3722" s="29"/>
      <c r="K3722" s="29"/>
      <c r="L3722" s="29"/>
      <c r="M3722" s="29"/>
      <c r="N3722" s="29" t="s">
        <v>2064</v>
      </c>
      <c r="O3722" s="29"/>
      <c r="P3722" s="29" t="s">
        <v>10995</v>
      </c>
      <c r="Q3722" t="s">
        <v>2038</v>
      </c>
      <c r="R3722" t="s">
        <v>2633</v>
      </c>
      <c r="S3722">
        <v>37</v>
      </c>
      <c r="T3722" s="43" t="str">
        <f t="shared" si="171"/>
        <v>2021.010B.R.Binomial_names.zip</v>
      </c>
      <c r="U3722" s="43" t="str">
        <f>HYPERLINK("https://ictv.global/taxonomy/taxondetails?taxnode_id=202200484","ictv.global=202200484")</f>
        <v>ictv.global=202200484</v>
      </c>
    </row>
    <row r="3723" spans="1:21">
      <c r="A3723">
        <v>3722</v>
      </c>
      <c r="B3723" s="29" t="s">
        <v>3682</v>
      </c>
      <c r="C3723" s="29"/>
      <c r="D3723" s="29" t="s">
        <v>3683</v>
      </c>
      <c r="E3723" s="29"/>
      <c r="F3723" s="29" t="s">
        <v>3686</v>
      </c>
      <c r="G3723" s="29"/>
      <c r="H3723" s="29" t="s">
        <v>3687</v>
      </c>
      <c r="I3723" s="29"/>
      <c r="J3723" s="29"/>
      <c r="K3723" s="29"/>
      <c r="L3723" s="29"/>
      <c r="M3723" s="29"/>
      <c r="N3723" s="29" t="s">
        <v>2064</v>
      </c>
      <c r="O3723" s="29"/>
      <c r="P3723" s="29" t="s">
        <v>10996</v>
      </c>
      <c r="Q3723" t="s">
        <v>2038</v>
      </c>
      <c r="R3723" t="s">
        <v>2633</v>
      </c>
      <c r="S3723">
        <v>37</v>
      </c>
      <c r="T3723" s="43" t="str">
        <f t="shared" si="171"/>
        <v>2021.010B.R.Binomial_names.zip</v>
      </c>
      <c r="U3723" s="43" t="str">
        <f>HYPERLINK("https://ictv.global/taxonomy/taxondetails?taxnode_id=202211577","ictv.global=202211577")</f>
        <v>ictv.global=202211577</v>
      </c>
    </row>
    <row r="3724" spans="1:21">
      <c r="A3724">
        <v>3723</v>
      </c>
      <c r="B3724" s="29" t="s">
        <v>3682</v>
      </c>
      <c r="C3724" s="29"/>
      <c r="D3724" s="29" t="s">
        <v>3683</v>
      </c>
      <c r="E3724" s="29"/>
      <c r="F3724" s="29" t="s">
        <v>3686</v>
      </c>
      <c r="G3724" s="29"/>
      <c r="H3724" s="29" t="s">
        <v>3687</v>
      </c>
      <c r="I3724" s="29"/>
      <c r="J3724" s="29"/>
      <c r="K3724" s="29"/>
      <c r="L3724" s="29"/>
      <c r="M3724" s="29"/>
      <c r="N3724" s="29" t="s">
        <v>2064</v>
      </c>
      <c r="O3724" s="29"/>
      <c r="P3724" s="29" t="s">
        <v>10997</v>
      </c>
      <c r="Q3724" t="s">
        <v>2038</v>
      </c>
      <c r="R3724" t="s">
        <v>2633</v>
      </c>
      <c r="S3724">
        <v>37</v>
      </c>
      <c r="T3724" s="43" t="str">
        <f t="shared" si="171"/>
        <v>2021.010B.R.Binomial_names.zip</v>
      </c>
      <c r="U3724" s="43" t="str">
        <f>HYPERLINK("https://ictv.global/taxonomy/taxondetails?taxnode_id=202211576","ictv.global=202211576")</f>
        <v>ictv.global=202211576</v>
      </c>
    </row>
    <row r="3725" spans="1:21">
      <c r="A3725">
        <v>3724</v>
      </c>
      <c r="B3725" s="29" t="s">
        <v>3682</v>
      </c>
      <c r="C3725" s="29"/>
      <c r="D3725" s="29" t="s">
        <v>3683</v>
      </c>
      <c r="E3725" s="29"/>
      <c r="F3725" s="29" t="s">
        <v>3686</v>
      </c>
      <c r="G3725" s="29"/>
      <c r="H3725" s="29" t="s">
        <v>3687</v>
      </c>
      <c r="I3725" s="29"/>
      <c r="J3725" s="29"/>
      <c r="K3725" s="29"/>
      <c r="L3725" s="29"/>
      <c r="M3725" s="29"/>
      <c r="N3725" s="29" t="s">
        <v>2064</v>
      </c>
      <c r="O3725" s="29"/>
      <c r="P3725" s="29" t="s">
        <v>10998</v>
      </c>
      <c r="Q3725" t="s">
        <v>2038</v>
      </c>
      <c r="R3725" t="s">
        <v>2633</v>
      </c>
      <c r="S3725">
        <v>37</v>
      </c>
      <c r="T3725" s="43" t="str">
        <f t="shared" si="171"/>
        <v>2021.010B.R.Binomial_names.zip</v>
      </c>
      <c r="U3725" s="43" t="str">
        <f>HYPERLINK("https://ictv.global/taxonomy/taxondetails?taxnode_id=202207022","ictv.global=202207022")</f>
        <v>ictv.global=202207022</v>
      </c>
    </row>
    <row r="3726" spans="1:21">
      <c r="A3726">
        <v>3725</v>
      </c>
      <c r="B3726" s="29" t="s">
        <v>3682</v>
      </c>
      <c r="C3726" s="29"/>
      <c r="D3726" s="29" t="s">
        <v>3683</v>
      </c>
      <c r="E3726" s="29"/>
      <c r="F3726" s="29" t="s">
        <v>3686</v>
      </c>
      <c r="G3726" s="29"/>
      <c r="H3726" s="29" t="s">
        <v>3687</v>
      </c>
      <c r="I3726" s="29"/>
      <c r="J3726" s="29"/>
      <c r="K3726" s="29"/>
      <c r="L3726" s="29"/>
      <c r="M3726" s="29"/>
      <c r="N3726" s="29" t="s">
        <v>2064</v>
      </c>
      <c r="O3726" s="29"/>
      <c r="P3726" s="29" t="s">
        <v>10999</v>
      </c>
      <c r="Q3726" t="s">
        <v>2038</v>
      </c>
      <c r="R3726" t="s">
        <v>2632</v>
      </c>
      <c r="S3726">
        <v>37</v>
      </c>
      <c r="T3726" s="43" t="str">
        <f>HYPERLINK("https://ictv.global/ictv/proposals/2021.061B.R.Pbunavirus_new_species.zip","2021.061B.R.Pbunavirus_new_species.zip")</f>
        <v>2021.061B.R.Pbunavirus_new_species.zip</v>
      </c>
      <c r="U3726" s="43" t="str">
        <f>HYPERLINK("https://ictv.global/taxonomy/taxondetails?taxnode_id=202212809","ictv.global=202212809")</f>
        <v>ictv.global=202212809</v>
      </c>
    </row>
    <row r="3727" spans="1:21">
      <c r="A3727">
        <v>3726</v>
      </c>
      <c r="B3727" s="29" t="s">
        <v>3682</v>
      </c>
      <c r="C3727" s="29"/>
      <c r="D3727" s="29" t="s">
        <v>3683</v>
      </c>
      <c r="E3727" s="29"/>
      <c r="F3727" s="29" t="s">
        <v>3686</v>
      </c>
      <c r="G3727" s="29"/>
      <c r="H3727" s="29" t="s">
        <v>3687</v>
      </c>
      <c r="I3727" s="29"/>
      <c r="J3727" s="29"/>
      <c r="K3727" s="29"/>
      <c r="L3727" s="29"/>
      <c r="M3727" s="29"/>
      <c r="N3727" s="29" t="s">
        <v>2064</v>
      </c>
      <c r="O3727" s="29"/>
      <c r="P3727" s="29" t="s">
        <v>11000</v>
      </c>
      <c r="Q3727" t="s">
        <v>2038</v>
      </c>
      <c r="R3727" t="s">
        <v>2633</v>
      </c>
      <c r="S3727">
        <v>37</v>
      </c>
      <c r="T3727" s="43" t="str">
        <f>HYPERLINK("https://ictv.global/ictv/proposals/2021.010B.R.Binomial_names.zip","2021.010B.R.Binomial_names.zip")</f>
        <v>2021.010B.R.Binomial_names.zip</v>
      </c>
      <c r="U3727" s="43" t="str">
        <f>HYPERLINK("https://ictv.global/taxonomy/taxondetails?taxnode_id=202211579","ictv.global=202211579")</f>
        <v>ictv.global=202211579</v>
      </c>
    </row>
    <row r="3728" spans="1:21">
      <c r="A3728">
        <v>3727</v>
      </c>
      <c r="B3728" s="29" t="s">
        <v>3682</v>
      </c>
      <c r="C3728" s="29"/>
      <c r="D3728" s="29" t="s">
        <v>3683</v>
      </c>
      <c r="E3728" s="29"/>
      <c r="F3728" s="29" t="s">
        <v>3686</v>
      </c>
      <c r="G3728" s="29"/>
      <c r="H3728" s="29" t="s">
        <v>3687</v>
      </c>
      <c r="I3728" s="29"/>
      <c r="J3728" s="29"/>
      <c r="K3728" s="29"/>
      <c r="L3728" s="29"/>
      <c r="M3728" s="29"/>
      <c r="N3728" s="29" t="s">
        <v>2064</v>
      </c>
      <c r="O3728" s="29"/>
      <c r="P3728" s="29" t="s">
        <v>11001</v>
      </c>
      <c r="Q3728" t="s">
        <v>2038</v>
      </c>
      <c r="R3728" t="s">
        <v>2632</v>
      </c>
      <c r="S3728">
        <v>37</v>
      </c>
      <c r="T3728" s="43" t="str">
        <f>HYPERLINK("https://ictv.global/ictv/proposals/2021.061B.R.Pbunavirus_new_species.zip","2021.061B.R.Pbunavirus_new_species.zip")</f>
        <v>2021.061B.R.Pbunavirus_new_species.zip</v>
      </c>
      <c r="U3728" s="43" t="str">
        <f>HYPERLINK("https://ictv.global/taxonomy/taxondetails?taxnode_id=202212808","ictv.global=202212808")</f>
        <v>ictv.global=202212808</v>
      </c>
    </row>
    <row r="3729" spans="1:21">
      <c r="A3729">
        <v>3728</v>
      </c>
      <c r="B3729" s="29" t="s">
        <v>3682</v>
      </c>
      <c r="C3729" s="29"/>
      <c r="D3729" s="29" t="s">
        <v>3683</v>
      </c>
      <c r="E3729" s="29"/>
      <c r="F3729" s="29" t="s">
        <v>3686</v>
      </c>
      <c r="G3729" s="29"/>
      <c r="H3729" s="29" t="s">
        <v>3687</v>
      </c>
      <c r="I3729" s="29"/>
      <c r="J3729" s="29"/>
      <c r="K3729" s="29"/>
      <c r="L3729" s="29"/>
      <c r="M3729" s="29"/>
      <c r="N3729" s="29" t="s">
        <v>2064</v>
      </c>
      <c r="O3729" s="29"/>
      <c r="P3729" s="29" t="s">
        <v>11002</v>
      </c>
      <c r="Q3729" t="s">
        <v>2038</v>
      </c>
      <c r="R3729" t="s">
        <v>2633</v>
      </c>
      <c r="S3729">
        <v>37</v>
      </c>
      <c r="T3729" s="43" t="str">
        <f t="shared" ref="T3729:T3736" si="172">HYPERLINK("https://ictv.global/ictv/proposals/2021.010B.R.Binomial_names.zip","2021.010B.R.Binomial_names.zip")</f>
        <v>2021.010B.R.Binomial_names.zip</v>
      </c>
      <c r="U3729" s="43" t="str">
        <f>HYPERLINK("https://ictv.global/taxonomy/taxondetails?taxnode_id=202200485","ictv.global=202200485")</f>
        <v>ictv.global=202200485</v>
      </c>
    </row>
    <row r="3730" spans="1:21">
      <c r="A3730">
        <v>3729</v>
      </c>
      <c r="B3730" s="29" t="s">
        <v>3682</v>
      </c>
      <c r="C3730" s="29"/>
      <c r="D3730" s="29" t="s">
        <v>3683</v>
      </c>
      <c r="E3730" s="29"/>
      <c r="F3730" s="29" t="s">
        <v>3686</v>
      </c>
      <c r="G3730" s="29"/>
      <c r="H3730" s="29" t="s">
        <v>3687</v>
      </c>
      <c r="I3730" s="29"/>
      <c r="J3730" s="29"/>
      <c r="K3730" s="29"/>
      <c r="L3730" s="29"/>
      <c r="M3730" s="29"/>
      <c r="N3730" s="29" t="s">
        <v>2064</v>
      </c>
      <c r="O3730" s="29"/>
      <c r="P3730" s="29" t="s">
        <v>11003</v>
      </c>
      <c r="Q3730" t="s">
        <v>2038</v>
      </c>
      <c r="R3730" t="s">
        <v>2633</v>
      </c>
      <c r="S3730">
        <v>37</v>
      </c>
      <c r="T3730" s="43" t="str">
        <f t="shared" si="172"/>
        <v>2021.010B.R.Binomial_names.zip</v>
      </c>
      <c r="U3730" s="43" t="str">
        <f>HYPERLINK("https://ictv.global/taxonomy/taxondetails?taxnode_id=202207027","ictv.global=202207027")</f>
        <v>ictv.global=202207027</v>
      </c>
    </row>
    <row r="3731" spans="1:21">
      <c r="A3731">
        <v>3730</v>
      </c>
      <c r="B3731" s="29" t="s">
        <v>3682</v>
      </c>
      <c r="C3731" s="29"/>
      <c r="D3731" s="29" t="s">
        <v>3683</v>
      </c>
      <c r="E3731" s="29"/>
      <c r="F3731" s="29" t="s">
        <v>3686</v>
      </c>
      <c r="G3731" s="29"/>
      <c r="H3731" s="29" t="s">
        <v>3687</v>
      </c>
      <c r="I3731" s="29"/>
      <c r="J3731" s="29"/>
      <c r="K3731" s="29"/>
      <c r="L3731" s="29"/>
      <c r="M3731" s="29"/>
      <c r="N3731" s="29" t="s">
        <v>2064</v>
      </c>
      <c r="O3731" s="29"/>
      <c r="P3731" s="29" t="s">
        <v>11004</v>
      </c>
      <c r="Q3731" t="s">
        <v>2038</v>
      </c>
      <c r="R3731" t="s">
        <v>2633</v>
      </c>
      <c r="S3731">
        <v>37</v>
      </c>
      <c r="T3731" s="43" t="str">
        <f t="shared" si="172"/>
        <v>2021.010B.R.Binomial_names.zip</v>
      </c>
      <c r="U3731" s="43" t="str">
        <f>HYPERLINK("https://ictv.global/taxonomy/taxondetails?taxnode_id=202200476","ictv.global=202200476")</f>
        <v>ictv.global=202200476</v>
      </c>
    </row>
    <row r="3732" spans="1:21">
      <c r="A3732">
        <v>3731</v>
      </c>
      <c r="B3732" s="29" t="s">
        <v>3682</v>
      </c>
      <c r="C3732" s="29"/>
      <c r="D3732" s="29" t="s">
        <v>3683</v>
      </c>
      <c r="E3732" s="29"/>
      <c r="F3732" s="29" t="s">
        <v>3686</v>
      </c>
      <c r="G3732" s="29"/>
      <c r="H3732" s="29" t="s">
        <v>3687</v>
      </c>
      <c r="I3732" s="29"/>
      <c r="J3732" s="29"/>
      <c r="K3732" s="29"/>
      <c r="L3732" s="29"/>
      <c r="M3732" s="29"/>
      <c r="N3732" s="29" t="s">
        <v>2064</v>
      </c>
      <c r="O3732" s="29"/>
      <c r="P3732" s="29" t="s">
        <v>11005</v>
      </c>
      <c r="Q3732" t="s">
        <v>2038</v>
      </c>
      <c r="R3732" t="s">
        <v>2633</v>
      </c>
      <c r="S3732">
        <v>37</v>
      </c>
      <c r="T3732" s="43" t="str">
        <f t="shared" si="172"/>
        <v>2021.010B.R.Binomial_names.zip</v>
      </c>
      <c r="U3732" s="43" t="str">
        <f>HYPERLINK("https://ictv.global/taxonomy/taxondetails?taxnode_id=202211580","ictv.global=202211580")</f>
        <v>ictv.global=202211580</v>
      </c>
    </row>
    <row r="3733" spans="1:21">
      <c r="A3733">
        <v>3732</v>
      </c>
      <c r="B3733" s="29" t="s">
        <v>3682</v>
      </c>
      <c r="C3733" s="29"/>
      <c r="D3733" s="29" t="s">
        <v>3683</v>
      </c>
      <c r="E3733" s="29"/>
      <c r="F3733" s="29" t="s">
        <v>3686</v>
      </c>
      <c r="G3733" s="29"/>
      <c r="H3733" s="29" t="s">
        <v>3687</v>
      </c>
      <c r="I3733" s="29"/>
      <c r="J3733" s="29"/>
      <c r="K3733" s="29"/>
      <c r="L3733" s="29"/>
      <c r="M3733" s="29"/>
      <c r="N3733" s="29" t="s">
        <v>2064</v>
      </c>
      <c r="O3733" s="29"/>
      <c r="P3733" s="29" t="s">
        <v>11006</v>
      </c>
      <c r="Q3733" t="s">
        <v>2038</v>
      </c>
      <c r="R3733" t="s">
        <v>2633</v>
      </c>
      <c r="S3733">
        <v>37</v>
      </c>
      <c r="T3733" s="43" t="str">
        <f t="shared" si="172"/>
        <v>2021.010B.R.Binomial_names.zip</v>
      </c>
      <c r="U3733" s="43" t="str">
        <f>HYPERLINK("https://ictv.global/taxonomy/taxondetails?taxnode_id=202211574","ictv.global=202211574")</f>
        <v>ictv.global=202211574</v>
      </c>
    </row>
    <row r="3734" spans="1:21">
      <c r="A3734">
        <v>3733</v>
      </c>
      <c r="B3734" s="29" t="s">
        <v>3682</v>
      </c>
      <c r="C3734" s="29"/>
      <c r="D3734" s="29" t="s">
        <v>3683</v>
      </c>
      <c r="E3734" s="29"/>
      <c r="F3734" s="29" t="s">
        <v>3686</v>
      </c>
      <c r="G3734" s="29"/>
      <c r="H3734" s="29" t="s">
        <v>3687</v>
      </c>
      <c r="I3734" s="29"/>
      <c r="J3734" s="29"/>
      <c r="K3734" s="29"/>
      <c r="L3734" s="29"/>
      <c r="M3734" s="29"/>
      <c r="N3734" s="29" t="s">
        <v>2064</v>
      </c>
      <c r="O3734" s="29"/>
      <c r="P3734" s="29" t="s">
        <v>11007</v>
      </c>
      <c r="Q3734" t="s">
        <v>2038</v>
      </c>
      <c r="R3734" t="s">
        <v>2633</v>
      </c>
      <c r="S3734">
        <v>37</v>
      </c>
      <c r="T3734" s="43" t="str">
        <f t="shared" si="172"/>
        <v>2021.010B.R.Binomial_names.zip</v>
      </c>
      <c r="U3734" s="43" t="str">
        <f>HYPERLINK("https://ictv.global/taxonomy/taxondetails?taxnode_id=202211573","ictv.global=202211573")</f>
        <v>ictv.global=202211573</v>
      </c>
    </row>
    <row r="3735" spans="1:21">
      <c r="A3735">
        <v>3734</v>
      </c>
      <c r="B3735" s="29" t="s">
        <v>3682</v>
      </c>
      <c r="C3735" s="29"/>
      <c r="D3735" s="29" t="s">
        <v>3683</v>
      </c>
      <c r="E3735" s="29"/>
      <c r="F3735" s="29" t="s">
        <v>3686</v>
      </c>
      <c r="G3735" s="29"/>
      <c r="H3735" s="29" t="s">
        <v>3687</v>
      </c>
      <c r="I3735" s="29"/>
      <c r="J3735" s="29"/>
      <c r="K3735" s="29"/>
      <c r="L3735" s="29"/>
      <c r="M3735" s="29"/>
      <c r="N3735" s="29" t="s">
        <v>2064</v>
      </c>
      <c r="O3735" s="29"/>
      <c r="P3735" s="29" t="s">
        <v>11008</v>
      </c>
      <c r="Q3735" t="s">
        <v>2038</v>
      </c>
      <c r="R3735" t="s">
        <v>2633</v>
      </c>
      <c r="S3735">
        <v>37</v>
      </c>
      <c r="T3735" s="43" t="str">
        <f t="shared" si="172"/>
        <v>2021.010B.R.Binomial_names.zip</v>
      </c>
      <c r="U3735" s="43" t="str">
        <f>HYPERLINK("https://ictv.global/taxonomy/taxondetails?taxnode_id=202211578","ictv.global=202211578")</f>
        <v>ictv.global=202211578</v>
      </c>
    </row>
    <row r="3736" spans="1:21">
      <c r="A3736">
        <v>3735</v>
      </c>
      <c r="B3736" s="29" t="s">
        <v>3682</v>
      </c>
      <c r="C3736" s="29"/>
      <c r="D3736" s="29" t="s">
        <v>3683</v>
      </c>
      <c r="E3736" s="29"/>
      <c r="F3736" s="29" t="s">
        <v>3686</v>
      </c>
      <c r="G3736" s="29"/>
      <c r="H3736" s="29" t="s">
        <v>3687</v>
      </c>
      <c r="I3736" s="29"/>
      <c r="J3736" s="29"/>
      <c r="K3736" s="29"/>
      <c r="L3736" s="29"/>
      <c r="M3736" s="29"/>
      <c r="N3736" s="29" t="s">
        <v>2064</v>
      </c>
      <c r="O3736" s="29"/>
      <c r="P3736" s="29" t="s">
        <v>11009</v>
      </c>
      <c r="Q3736" t="s">
        <v>2038</v>
      </c>
      <c r="R3736" t="s">
        <v>2633</v>
      </c>
      <c r="S3736">
        <v>37</v>
      </c>
      <c r="T3736" s="43" t="str">
        <f t="shared" si="172"/>
        <v>2021.010B.R.Binomial_names.zip</v>
      </c>
      <c r="U3736" s="43" t="str">
        <f>HYPERLINK("https://ictv.global/taxonomy/taxondetails?taxnode_id=202200486","ictv.global=202200486")</f>
        <v>ictv.global=202200486</v>
      </c>
    </row>
    <row r="3737" spans="1:21">
      <c r="A3737">
        <v>3736</v>
      </c>
      <c r="B3737" s="29" t="s">
        <v>3682</v>
      </c>
      <c r="C3737" s="29"/>
      <c r="D3737" s="29" t="s">
        <v>3683</v>
      </c>
      <c r="E3737" s="29"/>
      <c r="F3737" s="29" t="s">
        <v>3686</v>
      </c>
      <c r="G3737" s="29"/>
      <c r="H3737" s="29" t="s">
        <v>3687</v>
      </c>
      <c r="I3737" s="29"/>
      <c r="J3737" s="29"/>
      <c r="K3737" s="29"/>
      <c r="L3737" s="29"/>
      <c r="M3737" s="29"/>
      <c r="N3737" s="29" t="s">
        <v>2064</v>
      </c>
      <c r="O3737" s="29"/>
      <c r="P3737" s="29" t="s">
        <v>11010</v>
      </c>
      <c r="Q3737" t="s">
        <v>2038</v>
      </c>
      <c r="R3737" t="s">
        <v>2632</v>
      </c>
      <c r="S3737">
        <v>37</v>
      </c>
      <c r="T3737" s="43" t="str">
        <f>HYPERLINK("https://ictv.global/ictv/proposals/2021.061B.R.Pbunavirus_new_species.zip","2021.061B.R.Pbunavirus_new_species.zip")</f>
        <v>2021.061B.R.Pbunavirus_new_species.zip</v>
      </c>
      <c r="U3737" s="43" t="str">
        <f>HYPERLINK("https://ictv.global/taxonomy/taxondetails?taxnode_id=202212811","ictv.global=202212811")</f>
        <v>ictv.global=202212811</v>
      </c>
    </row>
    <row r="3738" spans="1:21">
      <c r="A3738">
        <v>3737</v>
      </c>
      <c r="B3738" s="29" t="s">
        <v>3682</v>
      </c>
      <c r="C3738" s="29"/>
      <c r="D3738" s="29" t="s">
        <v>3683</v>
      </c>
      <c r="E3738" s="29"/>
      <c r="F3738" s="29" t="s">
        <v>3686</v>
      </c>
      <c r="G3738" s="29"/>
      <c r="H3738" s="29" t="s">
        <v>3687</v>
      </c>
      <c r="I3738" s="29"/>
      <c r="J3738" s="29"/>
      <c r="K3738" s="29"/>
      <c r="L3738" s="29"/>
      <c r="M3738" s="29"/>
      <c r="N3738" s="29" t="s">
        <v>2064</v>
      </c>
      <c r="O3738" s="29"/>
      <c r="P3738" s="29" t="s">
        <v>2065</v>
      </c>
      <c r="Q3738" t="s">
        <v>2038</v>
      </c>
      <c r="R3738" t="s">
        <v>2634</v>
      </c>
      <c r="S3738">
        <v>37</v>
      </c>
      <c r="T3738" s="43" t="str">
        <f>HYPERLINK("https://ictv.global/ictv/proposals/2021.001B.R.abolish_Caudovirales.zip","2021.001B.R.abolish_Caudovirales.zip")</f>
        <v>2021.001B.R.abolish_Caudovirales.zip</v>
      </c>
      <c r="U3738" s="43" t="str">
        <f>HYPERLINK("https://ictv.global/taxonomy/taxondetails?taxnode_id=202200479","ictv.global=202200479")</f>
        <v>ictv.global=202200479</v>
      </c>
    </row>
    <row r="3739" spans="1:21">
      <c r="A3739">
        <v>3738</v>
      </c>
      <c r="B3739" s="29" t="s">
        <v>3682</v>
      </c>
      <c r="C3739" s="29"/>
      <c r="D3739" s="29" t="s">
        <v>3683</v>
      </c>
      <c r="E3739" s="29"/>
      <c r="F3739" s="29" t="s">
        <v>3686</v>
      </c>
      <c r="G3739" s="29"/>
      <c r="H3739" s="29" t="s">
        <v>3687</v>
      </c>
      <c r="I3739" s="29"/>
      <c r="J3739" s="29"/>
      <c r="K3739" s="29"/>
      <c r="L3739" s="29"/>
      <c r="M3739" s="29"/>
      <c r="N3739" s="29" t="s">
        <v>2064</v>
      </c>
      <c r="O3739" s="29"/>
      <c r="P3739" s="29" t="s">
        <v>2066</v>
      </c>
      <c r="Q3739" t="s">
        <v>2038</v>
      </c>
      <c r="R3739" t="s">
        <v>2634</v>
      </c>
      <c r="S3739">
        <v>37</v>
      </c>
      <c r="T3739" s="43" t="str">
        <f>HYPERLINK("https://ictv.global/ictv/proposals/2021.001B.R.abolish_Caudovirales.zip","2021.001B.R.abolish_Caudovirales.zip")</f>
        <v>2021.001B.R.abolish_Caudovirales.zip</v>
      </c>
      <c r="U3739" s="43" t="str">
        <f>HYPERLINK("https://ictv.global/taxonomy/taxondetails?taxnode_id=202200481","ictv.global=202200481")</f>
        <v>ictv.global=202200481</v>
      </c>
    </row>
    <row r="3740" spans="1:21">
      <c r="A3740">
        <v>3739</v>
      </c>
      <c r="B3740" s="29" t="s">
        <v>3682</v>
      </c>
      <c r="C3740" s="29"/>
      <c r="D3740" s="29" t="s">
        <v>3683</v>
      </c>
      <c r="E3740" s="29"/>
      <c r="F3740" s="29" t="s">
        <v>3686</v>
      </c>
      <c r="G3740" s="29"/>
      <c r="H3740" s="29" t="s">
        <v>3687</v>
      </c>
      <c r="I3740" s="29"/>
      <c r="J3740" s="29"/>
      <c r="K3740" s="29"/>
      <c r="L3740" s="29"/>
      <c r="M3740" s="29"/>
      <c r="N3740" s="29" t="s">
        <v>2064</v>
      </c>
      <c r="O3740" s="29"/>
      <c r="P3740" s="29" t="s">
        <v>3426</v>
      </c>
      <c r="Q3740" t="s">
        <v>2038</v>
      </c>
      <c r="R3740" t="s">
        <v>2634</v>
      </c>
      <c r="S3740">
        <v>37</v>
      </c>
      <c r="T3740" s="43" t="str">
        <f>HYPERLINK("https://ictv.global/ictv/proposals/2021.001B.R.abolish_Caudovirales.zip","2021.001B.R.abolish_Caudovirales.zip")</f>
        <v>2021.001B.R.abolish_Caudovirales.zip</v>
      </c>
      <c r="U3740" s="43" t="str">
        <f>HYPERLINK("https://ictv.global/taxonomy/taxondetails?taxnode_id=202207026","ictv.global=202207026")</f>
        <v>ictv.global=202207026</v>
      </c>
    </row>
    <row r="3741" spans="1:21">
      <c r="A3741">
        <v>3740</v>
      </c>
      <c r="B3741" s="29" t="s">
        <v>3682</v>
      </c>
      <c r="C3741" s="29"/>
      <c r="D3741" s="29" t="s">
        <v>3683</v>
      </c>
      <c r="E3741" s="29"/>
      <c r="F3741" s="29" t="s">
        <v>3686</v>
      </c>
      <c r="G3741" s="29"/>
      <c r="H3741" s="29" t="s">
        <v>3687</v>
      </c>
      <c r="I3741" s="29"/>
      <c r="J3741" s="29"/>
      <c r="K3741" s="29"/>
      <c r="L3741" s="29"/>
      <c r="M3741" s="29"/>
      <c r="N3741" s="29" t="s">
        <v>3427</v>
      </c>
      <c r="O3741" s="29"/>
      <c r="P3741" s="29" t="s">
        <v>11011</v>
      </c>
      <c r="Q3741" t="s">
        <v>2038</v>
      </c>
      <c r="R3741" t="s">
        <v>2633</v>
      </c>
      <c r="S3741">
        <v>37</v>
      </c>
      <c r="T3741" s="43" t="str">
        <f t="shared" ref="T3741:T3746" si="173">HYPERLINK("https://ictv.global/ictv/proposals/2021.010B.R.Binomial_names.zip","2021.010B.R.Binomial_names.zip")</f>
        <v>2021.010B.R.Binomial_names.zip</v>
      </c>
      <c r="U3741" s="43" t="str">
        <f>HYPERLINK("https://ictv.global/taxonomy/taxondetails?taxnode_id=202206857","ictv.global=202206857")</f>
        <v>ictv.global=202206857</v>
      </c>
    </row>
    <row r="3742" spans="1:21">
      <c r="A3742">
        <v>3741</v>
      </c>
      <c r="B3742" s="29" t="s">
        <v>3682</v>
      </c>
      <c r="C3742" s="29"/>
      <c r="D3742" s="29" t="s">
        <v>3683</v>
      </c>
      <c r="E3742" s="29"/>
      <c r="F3742" s="29" t="s">
        <v>3686</v>
      </c>
      <c r="G3742" s="29"/>
      <c r="H3742" s="29" t="s">
        <v>3687</v>
      </c>
      <c r="I3742" s="29"/>
      <c r="J3742" s="29"/>
      <c r="K3742" s="29"/>
      <c r="L3742" s="29"/>
      <c r="M3742" s="29"/>
      <c r="N3742" s="29" t="s">
        <v>4575</v>
      </c>
      <c r="O3742" s="29"/>
      <c r="P3742" s="29" t="s">
        <v>11012</v>
      </c>
      <c r="Q3742" t="s">
        <v>2038</v>
      </c>
      <c r="R3742" t="s">
        <v>2633</v>
      </c>
      <c r="S3742">
        <v>37</v>
      </c>
      <c r="T3742" s="43" t="str">
        <f t="shared" si="173"/>
        <v>2021.010B.R.Binomial_names.zip</v>
      </c>
      <c r="U3742" s="43" t="str">
        <f>HYPERLINK("https://ictv.global/taxonomy/taxondetails?taxnode_id=202211617","ictv.global=202211617")</f>
        <v>ictv.global=202211617</v>
      </c>
    </row>
    <row r="3743" spans="1:21">
      <c r="A3743">
        <v>3742</v>
      </c>
      <c r="B3743" s="29" t="s">
        <v>3682</v>
      </c>
      <c r="C3743" s="29"/>
      <c r="D3743" s="29" t="s">
        <v>3683</v>
      </c>
      <c r="E3743" s="29"/>
      <c r="F3743" s="29" t="s">
        <v>3686</v>
      </c>
      <c r="G3743" s="29"/>
      <c r="H3743" s="29" t="s">
        <v>3687</v>
      </c>
      <c r="I3743" s="29"/>
      <c r="J3743" s="29"/>
      <c r="K3743" s="29"/>
      <c r="L3743" s="29"/>
      <c r="M3743" s="29"/>
      <c r="N3743" s="29" t="s">
        <v>3582</v>
      </c>
      <c r="O3743" s="29"/>
      <c r="P3743" s="29" t="s">
        <v>11013</v>
      </c>
      <c r="Q3743" t="s">
        <v>2038</v>
      </c>
      <c r="R3743" t="s">
        <v>2633</v>
      </c>
      <c r="S3743">
        <v>37</v>
      </c>
      <c r="T3743" s="43" t="str">
        <f t="shared" si="173"/>
        <v>2021.010B.R.Binomial_names.zip</v>
      </c>
      <c r="U3743" s="43" t="str">
        <f>HYPERLINK("https://ictv.global/taxonomy/taxondetails?taxnode_id=202201182","ictv.global=202201182")</f>
        <v>ictv.global=202201182</v>
      </c>
    </row>
    <row r="3744" spans="1:21">
      <c r="A3744">
        <v>3743</v>
      </c>
      <c r="B3744" s="29" t="s">
        <v>3682</v>
      </c>
      <c r="C3744" s="29"/>
      <c r="D3744" s="29" t="s">
        <v>3683</v>
      </c>
      <c r="E3744" s="29"/>
      <c r="F3744" s="29" t="s">
        <v>3686</v>
      </c>
      <c r="G3744" s="29"/>
      <c r="H3744" s="29" t="s">
        <v>3687</v>
      </c>
      <c r="I3744" s="29"/>
      <c r="J3744" s="29"/>
      <c r="K3744" s="29"/>
      <c r="L3744" s="29"/>
      <c r="M3744" s="29"/>
      <c r="N3744" s="29" t="s">
        <v>3582</v>
      </c>
      <c r="O3744" s="29"/>
      <c r="P3744" s="29" t="s">
        <v>11014</v>
      </c>
      <c r="Q3744" t="s">
        <v>2038</v>
      </c>
      <c r="R3744" t="s">
        <v>2633</v>
      </c>
      <c r="S3744">
        <v>37</v>
      </c>
      <c r="T3744" s="43" t="str">
        <f t="shared" si="173"/>
        <v>2021.010B.R.Binomial_names.zip</v>
      </c>
      <c r="U3744" s="43" t="str">
        <f>HYPERLINK("https://ictv.global/taxonomy/taxondetails?taxnode_id=202201183","ictv.global=202201183")</f>
        <v>ictv.global=202201183</v>
      </c>
    </row>
    <row r="3745" spans="1:21">
      <c r="A3745">
        <v>3744</v>
      </c>
      <c r="B3745" s="29" t="s">
        <v>3682</v>
      </c>
      <c r="C3745" s="29"/>
      <c r="D3745" s="29" t="s">
        <v>3683</v>
      </c>
      <c r="E3745" s="29"/>
      <c r="F3745" s="29" t="s">
        <v>3686</v>
      </c>
      <c r="G3745" s="29"/>
      <c r="H3745" s="29" t="s">
        <v>3687</v>
      </c>
      <c r="I3745" s="29"/>
      <c r="J3745" s="29"/>
      <c r="K3745" s="29"/>
      <c r="L3745" s="29"/>
      <c r="M3745" s="29"/>
      <c r="N3745" s="29" t="s">
        <v>3483</v>
      </c>
      <c r="O3745" s="29"/>
      <c r="P3745" s="29" t="s">
        <v>11015</v>
      </c>
      <c r="Q3745" t="s">
        <v>2038</v>
      </c>
      <c r="R3745" t="s">
        <v>2633</v>
      </c>
      <c r="S3745">
        <v>37</v>
      </c>
      <c r="T3745" s="43" t="str">
        <f t="shared" si="173"/>
        <v>2021.010B.R.Binomial_names.zip</v>
      </c>
      <c r="U3745" s="43" t="str">
        <f>HYPERLINK("https://ictv.global/taxonomy/taxondetails?taxnode_id=202200695","ictv.global=202200695")</f>
        <v>ictv.global=202200695</v>
      </c>
    </row>
    <row r="3746" spans="1:21">
      <c r="A3746">
        <v>3745</v>
      </c>
      <c r="B3746" s="29" t="s">
        <v>3682</v>
      </c>
      <c r="C3746" s="29"/>
      <c r="D3746" s="29" t="s">
        <v>3683</v>
      </c>
      <c r="E3746" s="29"/>
      <c r="F3746" s="29" t="s">
        <v>3686</v>
      </c>
      <c r="G3746" s="29"/>
      <c r="H3746" s="29" t="s">
        <v>3687</v>
      </c>
      <c r="I3746" s="29"/>
      <c r="J3746" s="29"/>
      <c r="K3746" s="29"/>
      <c r="L3746" s="29"/>
      <c r="M3746" s="29"/>
      <c r="N3746" s="29" t="s">
        <v>3483</v>
      </c>
      <c r="O3746" s="29"/>
      <c r="P3746" s="29" t="s">
        <v>11016</v>
      </c>
      <c r="Q3746" t="s">
        <v>2038</v>
      </c>
      <c r="R3746" t="s">
        <v>2633</v>
      </c>
      <c r="S3746">
        <v>37</v>
      </c>
      <c r="T3746" s="43" t="str">
        <f t="shared" si="173"/>
        <v>2021.010B.R.Binomial_names.zip</v>
      </c>
      <c r="U3746" s="43" t="str">
        <f>HYPERLINK("https://ictv.global/taxonomy/taxondetails?taxnode_id=202200696","ictv.global=202200696")</f>
        <v>ictv.global=202200696</v>
      </c>
    </row>
    <row r="3747" spans="1:21">
      <c r="A3747">
        <v>3746</v>
      </c>
      <c r="B3747" s="29" t="s">
        <v>3682</v>
      </c>
      <c r="C3747" s="29"/>
      <c r="D3747" s="29" t="s">
        <v>3683</v>
      </c>
      <c r="E3747" s="29"/>
      <c r="F3747" s="29" t="s">
        <v>3686</v>
      </c>
      <c r="G3747" s="29"/>
      <c r="H3747" s="29" t="s">
        <v>3687</v>
      </c>
      <c r="I3747" s="29"/>
      <c r="J3747" s="29"/>
      <c r="K3747" s="29"/>
      <c r="L3747" s="29"/>
      <c r="M3747" s="29"/>
      <c r="N3747" s="29" t="s">
        <v>11017</v>
      </c>
      <c r="O3747" s="29"/>
      <c r="P3747" s="29" t="s">
        <v>11018</v>
      </c>
      <c r="Q3747" t="s">
        <v>2038</v>
      </c>
      <c r="R3747" t="s">
        <v>2632</v>
      </c>
      <c r="S3747">
        <v>38</v>
      </c>
      <c r="T3747" s="43" t="str">
        <f>HYPERLINK("https://ictv.global/ictv/proposals/2022.080B.Caudoviricetes_6ng.zip","2022.080B.Caudoviricetes_6ng.zip")</f>
        <v>2022.080B.Caudoviricetes_6ng.zip</v>
      </c>
      <c r="U3747" s="43" t="str">
        <f>HYPERLINK("https://ictv.global/taxonomy/taxondetails?taxnode_id=202214866","ictv.global=202214866")</f>
        <v>ictv.global=202214866</v>
      </c>
    </row>
    <row r="3748" spans="1:21">
      <c r="A3748">
        <v>3747</v>
      </c>
      <c r="B3748" s="29" t="s">
        <v>3682</v>
      </c>
      <c r="C3748" s="29"/>
      <c r="D3748" s="29" t="s">
        <v>3683</v>
      </c>
      <c r="E3748" s="29"/>
      <c r="F3748" s="29" t="s">
        <v>3686</v>
      </c>
      <c r="G3748" s="29"/>
      <c r="H3748" s="29" t="s">
        <v>3687</v>
      </c>
      <c r="I3748" s="29"/>
      <c r="J3748" s="29"/>
      <c r="K3748" s="29"/>
      <c r="L3748" s="29"/>
      <c r="M3748" s="29"/>
      <c r="N3748" s="29" t="s">
        <v>3931</v>
      </c>
      <c r="O3748" s="29"/>
      <c r="P3748" s="29" t="s">
        <v>11019</v>
      </c>
      <c r="Q3748" t="s">
        <v>2038</v>
      </c>
      <c r="R3748" t="s">
        <v>2633</v>
      </c>
      <c r="S3748">
        <v>37</v>
      </c>
      <c r="T3748" s="43" t="str">
        <f>HYPERLINK("https://ictv.global/ictv/proposals/2021.010B.R.Binomial_names.zip","2021.010B.R.Binomial_names.zip")</f>
        <v>2021.010B.R.Binomial_names.zip</v>
      </c>
      <c r="U3748" s="43" t="str">
        <f>HYPERLINK("https://ictv.global/taxonomy/taxondetails?taxnode_id=202207985","ictv.global=202207985")</f>
        <v>ictv.global=202207985</v>
      </c>
    </row>
    <row r="3749" spans="1:21">
      <c r="A3749">
        <v>3748</v>
      </c>
      <c r="B3749" s="29" t="s">
        <v>3682</v>
      </c>
      <c r="C3749" s="29"/>
      <c r="D3749" s="29" t="s">
        <v>3683</v>
      </c>
      <c r="E3749" s="29"/>
      <c r="F3749" s="29" t="s">
        <v>3686</v>
      </c>
      <c r="G3749" s="29"/>
      <c r="H3749" s="29" t="s">
        <v>3687</v>
      </c>
      <c r="I3749" s="29"/>
      <c r="J3749" s="29"/>
      <c r="K3749" s="29"/>
      <c r="L3749" s="29"/>
      <c r="M3749" s="29"/>
      <c r="N3749" s="29" t="s">
        <v>11020</v>
      </c>
      <c r="O3749" s="29"/>
      <c r="P3749" s="29" t="s">
        <v>11021</v>
      </c>
      <c r="Q3749" t="s">
        <v>2038</v>
      </c>
      <c r="R3749" t="s">
        <v>2632</v>
      </c>
      <c r="S3749">
        <v>38</v>
      </c>
      <c r="T3749" s="43" t="str">
        <f>HYPERLINK("https://ictv.global/ictv/proposals/2022.066B.Caudoviricetes_6ng.zip","2022.066B.Caudoviricetes_6ng.zip")</f>
        <v>2022.066B.Caudoviricetes_6ng.zip</v>
      </c>
      <c r="U3749" s="43" t="str">
        <f>HYPERLINK("https://ictv.global/taxonomy/taxondetails?taxnode_id=202214783","ictv.global=202214783")</f>
        <v>ictv.global=202214783</v>
      </c>
    </row>
    <row r="3750" spans="1:21">
      <c r="A3750">
        <v>3749</v>
      </c>
      <c r="B3750" s="29" t="s">
        <v>3682</v>
      </c>
      <c r="C3750" s="29"/>
      <c r="D3750" s="29" t="s">
        <v>3683</v>
      </c>
      <c r="E3750" s="29"/>
      <c r="F3750" s="29" t="s">
        <v>3686</v>
      </c>
      <c r="G3750" s="29"/>
      <c r="H3750" s="29" t="s">
        <v>3687</v>
      </c>
      <c r="I3750" s="29"/>
      <c r="J3750" s="29"/>
      <c r="K3750" s="29"/>
      <c r="L3750" s="29"/>
      <c r="M3750" s="29"/>
      <c r="N3750" s="29" t="s">
        <v>3932</v>
      </c>
      <c r="O3750" s="29"/>
      <c r="P3750" s="29" t="s">
        <v>11022</v>
      </c>
      <c r="Q3750" t="s">
        <v>2038</v>
      </c>
      <c r="R3750" t="s">
        <v>2633</v>
      </c>
      <c r="S3750">
        <v>37</v>
      </c>
      <c r="T3750" s="43" t="str">
        <f>HYPERLINK("https://ictv.global/ictv/proposals/2021.010B.R.Binomial_names.zip","2021.010B.R.Binomial_names.zip")</f>
        <v>2021.010B.R.Binomial_names.zip</v>
      </c>
      <c r="U3750" s="43" t="str">
        <f>HYPERLINK("https://ictv.global/taxonomy/taxondetails?taxnode_id=202208188","ictv.global=202208188")</f>
        <v>ictv.global=202208188</v>
      </c>
    </row>
    <row r="3751" spans="1:21">
      <c r="A3751">
        <v>3750</v>
      </c>
      <c r="B3751" s="29" t="s">
        <v>3682</v>
      </c>
      <c r="C3751" s="29"/>
      <c r="D3751" s="29" t="s">
        <v>3683</v>
      </c>
      <c r="E3751" s="29"/>
      <c r="F3751" s="29" t="s">
        <v>3686</v>
      </c>
      <c r="G3751" s="29"/>
      <c r="H3751" s="29" t="s">
        <v>3687</v>
      </c>
      <c r="I3751" s="29"/>
      <c r="J3751" s="29"/>
      <c r="K3751" s="29"/>
      <c r="L3751" s="29"/>
      <c r="M3751" s="29"/>
      <c r="N3751" s="29" t="s">
        <v>11023</v>
      </c>
      <c r="O3751" s="29"/>
      <c r="P3751" s="29" t="s">
        <v>11024</v>
      </c>
      <c r="Q3751" t="s">
        <v>2038</v>
      </c>
      <c r="R3751" t="s">
        <v>2632</v>
      </c>
      <c r="S3751">
        <v>37</v>
      </c>
      <c r="T3751" s="43" t="str">
        <f>HYPERLINK("https://ictv.global/ictv/proposals/2021.064B.R.Pharaohvirus_Refugevirus.zip","2021.064B.R.Pharaohvirus_Refugevirus.zip")</f>
        <v>2021.064B.R.Pharaohvirus_Refugevirus.zip</v>
      </c>
      <c r="U3751" s="43" t="str">
        <f>HYPERLINK("https://ictv.global/taxonomy/taxondetails?taxnode_id=202212878","ictv.global=202212878")</f>
        <v>ictv.global=202212878</v>
      </c>
    </row>
    <row r="3752" spans="1:21">
      <c r="A3752">
        <v>3751</v>
      </c>
      <c r="B3752" s="29" t="s">
        <v>3682</v>
      </c>
      <c r="C3752" s="29"/>
      <c r="D3752" s="29" t="s">
        <v>3683</v>
      </c>
      <c r="E3752" s="29"/>
      <c r="F3752" s="29" t="s">
        <v>3686</v>
      </c>
      <c r="G3752" s="29"/>
      <c r="H3752" s="29" t="s">
        <v>3687</v>
      </c>
      <c r="I3752" s="29"/>
      <c r="J3752" s="29"/>
      <c r="K3752" s="29"/>
      <c r="L3752" s="29"/>
      <c r="M3752" s="29"/>
      <c r="N3752" s="29" t="s">
        <v>11023</v>
      </c>
      <c r="O3752" s="29"/>
      <c r="P3752" s="29" t="s">
        <v>11025</v>
      </c>
      <c r="Q3752" t="s">
        <v>2038</v>
      </c>
      <c r="R3752" t="s">
        <v>2632</v>
      </c>
      <c r="S3752">
        <v>37</v>
      </c>
      <c r="T3752" s="43" t="str">
        <f>HYPERLINK("https://ictv.global/ictv/proposals/2021.064B.R.Pharaohvirus_Refugevirus.zip","2021.064B.R.Pharaohvirus_Refugevirus.zip")</f>
        <v>2021.064B.R.Pharaohvirus_Refugevirus.zip</v>
      </c>
      <c r="U3752" s="43" t="str">
        <f>HYPERLINK("https://ictv.global/taxonomy/taxondetails?taxnode_id=202212879","ictv.global=202212879")</f>
        <v>ictv.global=202212879</v>
      </c>
    </row>
    <row r="3753" spans="1:21">
      <c r="A3753">
        <v>3752</v>
      </c>
      <c r="B3753" s="29" t="s">
        <v>3682</v>
      </c>
      <c r="C3753" s="29"/>
      <c r="D3753" s="29" t="s">
        <v>3683</v>
      </c>
      <c r="E3753" s="29"/>
      <c r="F3753" s="29" t="s">
        <v>3686</v>
      </c>
      <c r="G3753" s="29"/>
      <c r="H3753" s="29" t="s">
        <v>3687</v>
      </c>
      <c r="I3753" s="29"/>
      <c r="J3753" s="29"/>
      <c r="K3753" s="29"/>
      <c r="L3753" s="29"/>
      <c r="M3753" s="29"/>
      <c r="N3753" s="29" t="s">
        <v>2117</v>
      </c>
      <c r="O3753" s="29"/>
      <c r="P3753" s="29" t="s">
        <v>11026</v>
      </c>
      <c r="Q3753" t="s">
        <v>2038</v>
      </c>
      <c r="R3753" t="s">
        <v>2633</v>
      </c>
      <c r="S3753">
        <v>37</v>
      </c>
      <c r="T3753" s="43" t="str">
        <f t="shared" ref="T3753:T3758" si="174">HYPERLINK("https://ictv.global/ictv/proposals/2021.010B.R.Binomial_names.zip","2021.010B.R.Binomial_names.zip")</f>
        <v>2021.010B.R.Binomial_names.zip</v>
      </c>
      <c r="U3753" s="43" t="str">
        <f>HYPERLINK("https://ictv.global/taxonomy/taxondetails?taxnode_id=202201227","ictv.global=202201227")</f>
        <v>ictv.global=202201227</v>
      </c>
    </row>
    <row r="3754" spans="1:21">
      <c r="A3754">
        <v>3753</v>
      </c>
      <c r="B3754" s="29" t="s">
        <v>3682</v>
      </c>
      <c r="C3754" s="29"/>
      <c r="D3754" s="29" t="s">
        <v>3683</v>
      </c>
      <c r="E3754" s="29"/>
      <c r="F3754" s="29" t="s">
        <v>3686</v>
      </c>
      <c r="G3754" s="29"/>
      <c r="H3754" s="29" t="s">
        <v>3687</v>
      </c>
      <c r="I3754" s="29"/>
      <c r="J3754" s="29"/>
      <c r="K3754" s="29"/>
      <c r="L3754" s="29"/>
      <c r="M3754" s="29"/>
      <c r="N3754" s="29" t="s">
        <v>2117</v>
      </c>
      <c r="O3754" s="29"/>
      <c r="P3754" s="29" t="s">
        <v>11027</v>
      </c>
      <c r="Q3754" t="s">
        <v>2038</v>
      </c>
      <c r="R3754" t="s">
        <v>2633</v>
      </c>
      <c r="S3754">
        <v>37</v>
      </c>
      <c r="T3754" s="43" t="str">
        <f t="shared" si="174"/>
        <v>2021.010B.R.Binomial_names.zip</v>
      </c>
      <c r="U3754" s="43" t="str">
        <f>HYPERLINK("https://ictv.global/taxonomy/taxondetails?taxnode_id=202201228","ictv.global=202201228")</f>
        <v>ictv.global=202201228</v>
      </c>
    </row>
    <row r="3755" spans="1:21">
      <c r="A3755">
        <v>3754</v>
      </c>
      <c r="B3755" s="29" t="s">
        <v>3682</v>
      </c>
      <c r="C3755" s="29"/>
      <c r="D3755" s="29" t="s">
        <v>3683</v>
      </c>
      <c r="E3755" s="29"/>
      <c r="F3755" s="29" t="s">
        <v>3686</v>
      </c>
      <c r="G3755" s="29"/>
      <c r="H3755" s="29" t="s">
        <v>3687</v>
      </c>
      <c r="I3755" s="29"/>
      <c r="J3755" s="29"/>
      <c r="K3755" s="29"/>
      <c r="L3755" s="29"/>
      <c r="M3755" s="29"/>
      <c r="N3755" s="29" t="s">
        <v>2117</v>
      </c>
      <c r="O3755" s="29"/>
      <c r="P3755" s="29" t="s">
        <v>11028</v>
      </c>
      <c r="Q3755" t="s">
        <v>2038</v>
      </c>
      <c r="R3755" t="s">
        <v>2633</v>
      </c>
      <c r="S3755">
        <v>37</v>
      </c>
      <c r="T3755" s="43" t="str">
        <f t="shared" si="174"/>
        <v>2021.010B.R.Binomial_names.zip</v>
      </c>
      <c r="U3755" s="43" t="str">
        <f>HYPERLINK("https://ictv.global/taxonomy/taxondetails?taxnode_id=202201229","ictv.global=202201229")</f>
        <v>ictv.global=202201229</v>
      </c>
    </row>
    <row r="3756" spans="1:21">
      <c r="A3756">
        <v>3755</v>
      </c>
      <c r="B3756" s="29" t="s">
        <v>3682</v>
      </c>
      <c r="C3756" s="29"/>
      <c r="D3756" s="29" t="s">
        <v>3683</v>
      </c>
      <c r="E3756" s="29"/>
      <c r="F3756" s="29" t="s">
        <v>3686</v>
      </c>
      <c r="G3756" s="29"/>
      <c r="H3756" s="29" t="s">
        <v>3687</v>
      </c>
      <c r="I3756" s="29"/>
      <c r="J3756" s="29"/>
      <c r="K3756" s="29"/>
      <c r="L3756" s="29"/>
      <c r="M3756" s="29"/>
      <c r="N3756" s="29" t="s">
        <v>2067</v>
      </c>
      <c r="O3756" s="29"/>
      <c r="P3756" s="29" t="s">
        <v>11029</v>
      </c>
      <c r="Q3756" t="s">
        <v>2038</v>
      </c>
      <c r="R3756" t="s">
        <v>2633</v>
      </c>
      <c r="S3756">
        <v>37</v>
      </c>
      <c r="T3756" s="43" t="str">
        <f t="shared" si="174"/>
        <v>2021.010B.R.Binomial_names.zip</v>
      </c>
      <c r="U3756" s="43" t="str">
        <f>HYPERLINK("https://ictv.global/taxonomy/taxondetails?taxnode_id=202200488","ictv.global=202200488")</f>
        <v>ictv.global=202200488</v>
      </c>
    </row>
    <row r="3757" spans="1:21">
      <c r="A3757">
        <v>3756</v>
      </c>
      <c r="B3757" s="29" t="s">
        <v>3682</v>
      </c>
      <c r="C3757" s="29"/>
      <c r="D3757" s="29" t="s">
        <v>3683</v>
      </c>
      <c r="E3757" s="29"/>
      <c r="F3757" s="29" t="s">
        <v>3686</v>
      </c>
      <c r="G3757" s="29"/>
      <c r="H3757" s="29" t="s">
        <v>3687</v>
      </c>
      <c r="I3757" s="29"/>
      <c r="J3757" s="29"/>
      <c r="K3757" s="29"/>
      <c r="L3757" s="29"/>
      <c r="M3757" s="29"/>
      <c r="N3757" s="29" t="s">
        <v>2067</v>
      </c>
      <c r="O3757" s="29"/>
      <c r="P3757" s="29" t="s">
        <v>11030</v>
      </c>
      <c r="Q3757" t="s">
        <v>2038</v>
      </c>
      <c r="R3757" t="s">
        <v>2633</v>
      </c>
      <c r="S3757">
        <v>37</v>
      </c>
      <c r="T3757" s="43" t="str">
        <f t="shared" si="174"/>
        <v>2021.010B.R.Binomial_names.zip</v>
      </c>
      <c r="U3757" s="43" t="str">
        <f>HYPERLINK("https://ictv.global/taxonomy/taxondetails?taxnode_id=202200489","ictv.global=202200489")</f>
        <v>ictv.global=202200489</v>
      </c>
    </row>
    <row r="3758" spans="1:21">
      <c r="A3758">
        <v>3757</v>
      </c>
      <c r="B3758" s="29" t="s">
        <v>3682</v>
      </c>
      <c r="C3758" s="29"/>
      <c r="D3758" s="29" t="s">
        <v>3683</v>
      </c>
      <c r="E3758" s="29"/>
      <c r="F3758" s="29" t="s">
        <v>3686</v>
      </c>
      <c r="G3758" s="29"/>
      <c r="H3758" s="29" t="s">
        <v>3687</v>
      </c>
      <c r="I3758" s="29"/>
      <c r="J3758" s="29"/>
      <c r="K3758" s="29"/>
      <c r="L3758" s="29"/>
      <c r="M3758" s="29"/>
      <c r="N3758" s="29" t="s">
        <v>2067</v>
      </c>
      <c r="O3758" s="29"/>
      <c r="P3758" s="29" t="s">
        <v>11031</v>
      </c>
      <c r="Q3758" t="s">
        <v>2038</v>
      </c>
      <c r="R3758" t="s">
        <v>2633</v>
      </c>
      <c r="S3758">
        <v>37</v>
      </c>
      <c r="T3758" s="43" t="str">
        <f t="shared" si="174"/>
        <v>2021.010B.R.Binomial_names.zip</v>
      </c>
      <c r="U3758" s="43" t="str">
        <f>HYPERLINK("https://ictv.global/taxonomy/taxondetails?taxnode_id=202207032","ictv.global=202207032")</f>
        <v>ictv.global=202207032</v>
      </c>
    </row>
    <row r="3759" spans="1:21">
      <c r="A3759">
        <v>3758</v>
      </c>
      <c r="B3759" s="29" t="s">
        <v>3682</v>
      </c>
      <c r="C3759" s="29"/>
      <c r="D3759" s="29" t="s">
        <v>3683</v>
      </c>
      <c r="E3759" s="29"/>
      <c r="F3759" s="29" t="s">
        <v>3686</v>
      </c>
      <c r="G3759" s="29"/>
      <c r="H3759" s="29" t="s">
        <v>3687</v>
      </c>
      <c r="I3759" s="29"/>
      <c r="J3759" s="29"/>
      <c r="K3759" s="29"/>
      <c r="L3759" s="29"/>
      <c r="M3759" s="29"/>
      <c r="N3759" s="29" t="s">
        <v>11032</v>
      </c>
      <c r="O3759" s="29"/>
      <c r="P3759" s="29" t="s">
        <v>11033</v>
      </c>
      <c r="Q3759" t="s">
        <v>2038</v>
      </c>
      <c r="R3759" t="s">
        <v>2632</v>
      </c>
      <c r="S3759">
        <v>37</v>
      </c>
      <c r="T3759" s="43" t="str">
        <f>HYPERLINK("https://ictv.global/ictv/proposals/2021.065B.R.Phleivirus.zip","2021.065B.R.Phleivirus.zip")</f>
        <v>2021.065B.R.Phleivirus.zip</v>
      </c>
      <c r="U3759" s="43" t="str">
        <f>HYPERLINK("https://ictv.global/taxonomy/taxondetails?taxnode_id=202212884","ictv.global=202212884")</f>
        <v>ictv.global=202212884</v>
      </c>
    </row>
    <row r="3760" spans="1:21">
      <c r="A3760">
        <v>3759</v>
      </c>
      <c r="B3760" s="29" t="s">
        <v>3682</v>
      </c>
      <c r="C3760" s="29"/>
      <c r="D3760" s="29" t="s">
        <v>3683</v>
      </c>
      <c r="E3760" s="29"/>
      <c r="F3760" s="29" t="s">
        <v>3686</v>
      </c>
      <c r="G3760" s="29"/>
      <c r="H3760" s="29" t="s">
        <v>3687</v>
      </c>
      <c r="I3760" s="29"/>
      <c r="J3760" s="29"/>
      <c r="K3760" s="29"/>
      <c r="L3760" s="29"/>
      <c r="M3760" s="29"/>
      <c r="N3760" s="29" t="s">
        <v>11034</v>
      </c>
      <c r="O3760" s="29"/>
      <c r="P3760" s="29" t="s">
        <v>11035</v>
      </c>
      <c r="Q3760" t="s">
        <v>2038</v>
      </c>
      <c r="R3760" t="s">
        <v>2632</v>
      </c>
      <c r="S3760">
        <v>37</v>
      </c>
      <c r="T3760" s="43" t="str">
        <f>HYPERLINK("https://ictv.global/ictv/proposals/2021.066B.R.Phrappuccinovirus.zip","2021.066B.R.Phrappuccinovirus.zip")</f>
        <v>2021.066B.R.Phrappuccinovirus.zip</v>
      </c>
      <c r="U3760" s="43" t="str">
        <f>HYPERLINK("https://ictv.global/taxonomy/taxondetails?taxnode_id=202212886","ictv.global=202212886")</f>
        <v>ictv.global=202212886</v>
      </c>
    </row>
    <row r="3761" spans="1:21">
      <c r="A3761">
        <v>3760</v>
      </c>
      <c r="B3761" s="29" t="s">
        <v>3682</v>
      </c>
      <c r="C3761" s="29"/>
      <c r="D3761" s="29" t="s">
        <v>3683</v>
      </c>
      <c r="E3761" s="29"/>
      <c r="F3761" s="29" t="s">
        <v>3686</v>
      </c>
      <c r="G3761" s="29"/>
      <c r="H3761" s="29" t="s">
        <v>3687</v>
      </c>
      <c r="I3761" s="29"/>
      <c r="J3761" s="29"/>
      <c r="K3761" s="29"/>
      <c r="L3761" s="29"/>
      <c r="M3761" s="29"/>
      <c r="N3761" s="29" t="s">
        <v>4025</v>
      </c>
      <c r="O3761" s="29"/>
      <c r="P3761" s="29" t="s">
        <v>11036</v>
      </c>
      <c r="Q3761" t="s">
        <v>2038</v>
      </c>
      <c r="R3761" t="s">
        <v>2633</v>
      </c>
      <c r="S3761">
        <v>37</v>
      </c>
      <c r="T3761" s="43" t="str">
        <f>HYPERLINK("https://ictv.global/ictv/proposals/2021.010B.R.Binomial_names.zip","2021.010B.R.Binomial_names.zip")</f>
        <v>2021.010B.R.Binomial_names.zip</v>
      </c>
      <c r="U3761" s="43" t="str">
        <f>HYPERLINK("https://ictv.global/taxonomy/taxondetails?taxnode_id=202207512","ictv.global=202207512")</f>
        <v>ictv.global=202207512</v>
      </c>
    </row>
    <row r="3762" spans="1:21">
      <c r="A3762">
        <v>3761</v>
      </c>
      <c r="B3762" s="29" t="s">
        <v>3682</v>
      </c>
      <c r="C3762" s="29"/>
      <c r="D3762" s="29" t="s">
        <v>3683</v>
      </c>
      <c r="E3762" s="29"/>
      <c r="F3762" s="29" t="s">
        <v>3686</v>
      </c>
      <c r="G3762" s="29"/>
      <c r="H3762" s="29" t="s">
        <v>3687</v>
      </c>
      <c r="I3762" s="29"/>
      <c r="J3762" s="29"/>
      <c r="K3762" s="29"/>
      <c r="L3762" s="29"/>
      <c r="M3762" s="29"/>
      <c r="N3762" s="29" t="s">
        <v>3583</v>
      </c>
      <c r="O3762" s="29"/>
      <c r="P3762" s="29" t="s">
        <v>11037</v>
      </c>
      <c r="Q3762" t="s">
        <v>2038</v>
      </c>
      <c r="R3762" t="s">
        <v>2633</v>
      </c>
      <c r="S3762">
        <v>37</v>
      </c>
      <c r="T3762" s="43" t="str">
        <f>HYPERLINK("https://ictv.global/ictv/proposals/2021.010B.R.Binomial_names.zip","2021.010B.R.Binomial_names.zip")</f>
        <v>2021.010B.R.Binomial_names.zip</v>
      </c>
      <c r="U3762" s="43" t="str">
        <f>HYPERLINK("https://ictv.global/taxonomy/taxondetails?taxnode_id=202206749","ictv.global=202206749")</f>
        <v>ictv.global=202206749</v>
      </c>
    </row>
    <row r="3763" spans="1:21">
      <c r="A3763">
        <v>3762</v>
      </c>
      <c r="B3763" s="29" t="s">
        <v>3682</v>
      </c>
      <c r="C3763" s="29"/>
      <c r="D3763" s="29" t="s">
        <v>3683</v>
      </c>
      <c r="E3763" s="29"/>
      <c r="F3763" s="29" t="s">
        <v>3686</v>
      </c>
      <c r="G3763" s="29"/>
      <c r="H3763" s="29" t="s">
        <v>3687</v>
      </c>
      <c r="I3763" s="29"/>
      <c r="J3763" s="29"/>
      <c r="K3763" s="29"/>
      <c r="L3763" s="29"/>
      <c r="M3763" s="29"/>
      <c r="N3763" s="29" t="s">
        <v>11038</v>
      </c>
      <c r="O3763" s="29"/>
      <c r="P3763" s="29" t="s">
        <v>11039</v>
      </c>
      <c r="Q3763" t="s">
        <v>2038</v>
      </c>
      <c r="R3763" t="s">
        <v>2632</v>
      </c>
      <c r="S3763">
        <v>38</v>
      </c>
      <c r="T3763" s="43" t="str">
        <f t="shared" ref="T3763:T3769" si="175">HYPERLINK("https://ictv.global/ictv/proposals/2022.063B.Piorkowskivirus_ng.zip","2022.063B.Piorkowskivirus_ng.zip")</f>
        <v>2022.063B.Piorkowskivirus_ng.zip</v>
      </c>
      <c r="U3763" s="43" t="str">
        <f>HYPERLINK("https://ictv.global/taxonomy/taxondetails?taxnode_id=202214751","ictv.global=202214751")</f>
        <v>ictv.global=202214751</v>
      </c>
    </row>
    <row r="3764" spans="1:21">
      <c r="A3764">
        <v>3763</v>
      </c>
      <c r="B3764" s="29" t="s">
        <v>3682</v>
      </c>
      <c r="C3764" s="29"/>
      <c r="D3764" s="29" t="s">
        <v>3683</v>
      </c>
      <c r="E3764" s="29"/>
      <c r="F3764" s="29" t="s">
        <v>3686</v>
      </c>
      <c r="G3764" s="29"/>
      <c r="H3764" s="29" t="s">
        <v>3687</v>
      </c>
      <c r="I3764" s="29"/>
      <c r="J3764" s="29"/>
      <c r="K3764" s="29"/>
      <c r="L3764" s="29"/>
      <c r="M3764" s="29"/>
      <c r="N3764" s="29" t="s">
        <v>11038</v>
      </c>
      <c r="O3764" s="29"/>
      <c r="P3764" s="29" t="s">
        <v>11040</v>
      </c>
      <c r="Q3764" t="s">
        <v>2038</v>
      </c>
      <c r="R3764" t="s">
        <v>2632</v>
      </c>
      <c r="S3764">
        <v>38</v>
      </c>
      <c r="T3764" s="43" t="str">
        <f t="shared" si="175"/>
        <v>2022.063B.Piorkowskivirus_ng.zip</v>
      </c>
      <c r="U3764" s="43" t="str">
        <f>HYPERLINK("https://ictv.global/taxonomy/taxondetails?taxnode_id=202214750","ictv.global=202214750")</f>
        <v>ictv.global=202214750</v>
      </c>
    </row>
    <row r="3765" spans="1:21">
      <c r="A3765">
        <v>3764</v>
      </c>
      <c r="B3765" s="29" t="s">
        <v>3682</v>
      </c>
      <c r="C3765" s="29"/>
      <c r="D3765" s="29" t="s">
        <v>3683</v>
      </c>
      <c r="E3765" s="29"/>
      <c r="F3765" s="29" t="s">
        <v>3686</v>
      </c>
      <c r="G3765" s="29"/>
      <c r="H3765" s="29" t="s">
        <v>3687</v>
      </c>
      <c r="I3765" s="29"/>
      <c r="J3765" s="29"/>
      <c r="K3765" s="29"/>
      <c r="L3765" s="29"/>
      <c r="M3765" s="29"/>
      <c r="N3765" s="29" t="s">
        <v>11038</v>
      </c>
      <c r="O3765" s="29"/>
      <c r="P3765" s="29" t="s">
        <v>11041</v>
      </c>
      <c r="Q3765" t="s">
        <v>2038</v>
      </c>
      <c r="R3765" t="s">
        <v>2632</v>
      </c>
      <c r="S3765">
        <v>38</v>
      </c>
      <c r="T3765" s="43" t="str">
        <f t="shared" si="175"/>
        <v>2022.063B.Piorkowskivirus_ng.zip</v>
      </c>
      <c r="U3765" s="43" t="str">
        <f>HYPERLINK("https://ictv.global/taxonomy/taxondetails?taxnode_id=202214746","ictv.global=202214746")</f>
        <v>ictv.global=202214746</v>
      </c>
    </row>
    <row r="3766" spans="1:21">
      <c r="A3766">
        <v>3765</v>
      </c>
      <c r="B3766" s="29" t="s">
        <v>3682</v>
      </c>
      <c r="C3766" s="29"/>
      <c r="D3766" s="29" t="s">
        <v>3683</v>
      </c>
      <c r="E3766" s="29"/>
      <c r="F3766" s="29" t="s">
        <v>3686</v>
      </c>
      <c r="G3766" s="29"/>
      <c r="H3766" s="29" t="s">
        <v>3687</v>
      </c>
      <c r="I3766" s="29"/>
      <c r="J3766" s="29"/>
      <c r="K3766" s="29"/>
      <c r="L3766" s="29"/>
      <c r="M3766" s="29"/>
      <c r="N3766" s="29" t="s">
        <v>11038</v>
      </c>
      <c r="O3766" s="29"/>
      <c r="P3766" s="29" t="s">
        <v>11042</v>
      </c>
      <c r="Q3766" t="s">
        <v>2038</v>
      </c>
      <c r="R3766" t="s">
        <v>2632</v>
      </c>
      <c r="S3766">
        <v>38</v>
      </c>
      <c r="T3766" s="43" t="str">
        <f t="shared" si="175"/>
        <v>2022.063B.Piorkowskivirus_ng.zip</v>
      </c>
      <c r="U3766" s="43" t="str">
        <f>HYPERLINK("https://ictv.global/taxonomy/taxondetails?taxnode_id=202214747","ictv.global=202214747")</f>
        <v>ictv.global=202214747</v>
      </c>
    </row>
    <row r="3767" spans="1:21">
      <c r="A3767">
        <v>3766</v>
      </c>
      <c r="B3767" s="29" t="s">
        <v>3682</v>
      </c>
      <c r="C3767" s="29"/>
      <c r="D3767" s="29" t="s">
        <v>3683</v>
      </c>
      <c r="E3767" s="29"/>
      <c r="F3767" s="29" t="s">
        <v>3686</v>
      </c>
      <c r="G3767" s="29"/>
      <c r="H3767" s="29" t="s">
        <v>3687</v>
      </c>
      <c r="I3767" s="29"/>
      <c r="J3767" s="29"/>
      <c r="K3767" s="29"/>
      <c r="L3767" s="29"/>
      <c r="M3767" s="29"/>
      <c r="N3767" s="29" t="s">
        <v>11038</v>
      </c>
      <c r="O3767" s="29"/>
      <c r="P3767" s="29" t="s">
        <v>11043</v>
      </c>
      <c r="Q3767" t="s">
        <v>2038</v>
      </c>
      <c r="R3767" t="s">
        <v>2632</v>
      </c>
      <c r="S3767">
        <v>38</v>
      </c>
      <c r="T3767" s="43" t="str">
        <f t="shared" si="175"/>
        <v>2022.063B.Piorkowskivirus_ng.zip</v>
      </c>
      <c r="U3767" s="43" t="str">
        <f>HYPERLINK("https://ictv.global/taxonomy/taxondetails?taxnode_id=202214752","ictv.global=202214752")</f>
        <v>ictv.global=202214752</v>
      </c>
    </row>
    <row r="3768" spans="1:21">
      <c r="A3768">
        <v>3767</v>
      </c>
      <c r="B3768" s="29" t="s">
        <v>3682</v>
      </c>
      <c r="C3768" s="29"/>
      <c r="D3768" s="29" t="s">
        <v>3683</v>
      </c>
      <c r="E3768" s="29"/>
      <c r="F3768" s="29" t="s">
        <v>3686</v>
      </c>
      <c r="G3768" s="29"/>
      <c r="H3768" s="29" t="s">
        <v>3687</v>
      </c>
      <c r="I3768" s="29"/>
      <c r="J3768" s="29"/>
      <c r="K3768" s="29"/>
      <c r="L3768" s="29"/>
      <c r="M3768" s="29"/>
      <c r="N3768" s="29" t="s">
        <v>11038</v>
      </c>
      <c r="O3768" s="29"/>
      <c r="P3768" s="29" t="s">
        <v>11044</v>
      </c>
      <c r="Q3768" t="s">
        <v>2038</v>
      </c>
      <c r="R3768" t="s">
        <v>2632</v>
      </c>
      <c r="S3768">
        <v>38</v>
      </c>
      <c r="T3768" s="43" t="str">
        <f t="shared" si="175"/>
        <v>2022.063B.Piorkowskivirus_ng.zip</v>
      </c>
      <c r="U3768" s="43" t="str">
        <f>HYPERLINK("https://ictv.global/taxonomy/taxondetails?taxnode_id=202214749","ictv.global=202214749")</f>
        <v>ictv.global=202214749</v>
      </c>
    </row>
    <row r="3769" spans="1:21">
      <c r="A3769">
        <v>3768</v>
      </c>
      <c r="B3769" s="29" t="s">
        <v>3682</v>
      </c>
      <c r="C3769" s="29"/>
      <c r="D3769" s="29" t="s">
        <v>3683</v>
      </c>
      <c r="E3769" s="29"/>
      <c r="F3769" s="29" t="s">
        <v>3686</v>
      </c>
      <c r="G3769" s="29"/>
      <c r="H3769" s="29" t="s">
        <v>3687</v>
      </c>
      <c r="I3769" s="29"/>
      <c r="J3769" s="29"/>
      <c r="K3769" s="29"/>
      <c r="L3769" s="29"/>
      <c r="M3769" s="29"/>
      <c r="N3769" s="29" t="s">
        <v>11038</v>
      </c>
      <c r="O3769" s="29"/>
      <c r="P3769" s="29" t="s">
        <v>11045</v>
      </c>
      <c r="Q3769" t="s">
        <v>2038</v>
      </c>
      <c r="R3769" t="s">
        <v>2632</v>
      </c>
      <c r="S3769">
        <v>38</v>
      </c>
      <c r="T3769" s="43" t="str">
        <f t="shared" si="175"/>
        <v>2022.063B.Piorkowskivirus_ng.zip</v>
      </c>
      <c r="U3769" s="43" t="str">
        <f>HYPERLINK("https://ictv.global/taxonomy/taxondetails?taxnode_id=202214748","ictv.global=202214748")</f>
        <v>ictv.global=202214748</v>
      </c>
    </row>
    <row r="3770" spans="1:21">
      <c r="A3770">
        <v>3769</v>
      </c>
      <c r="B3770" s="29" t="s">
        <v>3682</v>
      </c>
      <c r="C3770" s="29"/>
      <c r="D3770" s="29" t="s">
        <v>3683</v>
      </c>
      <c r="E3770" s="29"/>
      <c r="F3770" s="29" t="s">
        <v>3686</v>
      </c>
      <c r="G3770" s="29"/>
      <c r="H3770" s="29" t="s">
        <v>3687</v>
      </c>
      <c r="I3770" s="29"/>
      <c r="J3770" s="29"/>
      <c r="K3770" s="29"/>
      <c r="L3770" s="29"/>
      <c r="M3770" s="29"/>
      <c r="N3770" s="29" t="s">
        <v>3428</v>
      </c>
      <c r="O3770" s="29"/>
      <c r="P3770" s="29" t="s">
        <v>11046</v>
      </c>
      <c r="Q3770" t="s">
        <v>2038</v>
      </c>
      <c r="R3770" t="s">
        <v>2633</v>
      </c>
      <c r="S3770">
        <v>37</v>
      </c>
      <c r="T3770" s="43" t="str">
        <f t="shared" ref="T3770:T3778" si="176">HYPERLINK("https://ictv.global/ictv/proposals/2021.010B.R.Binomial_names.zip","2021.010B.R.Binomial_names.zip")</f>
        <v>2021.010B.R.Binomial_names.zip</v>
      </c>
      <c r="U3770" s="43" t="str">
        <f>HYPERLINK("https://ictv.global/taxonomy/taxondetails?taxnode_id=202206859","ictv.global=202206859")</f>
        <v>ictv.global=202206859</v>
      </c>
    </row>
    <row r="3771" spans="1:21">
      <c r="A3771">
        <v>3770</v>
      </c>
      <c r="B3771" s="29" t="s">
        <v>3682</v>
      </c>
      <c r="C3771" s="29"/>
      <c r="D3771" s="29" t="s">
        <v>3683</v>
      </c>
      <c r="E3771" s="29"/>
      <c r="F3771" s="29" t="s">
        <v>3686</v>
      </c>
      <c r="G3771" s="29"/>
      <c r="H3771" s="29" t="s">
        <v>3687</v>
      </c>
      <c r="I3771" s="29"/>
      <c r="J3771" s="29"/>
      <c r="K3771" s="29"/>
      <c r="L3771" s="29"/>
      <c r="M3771" s="29"/>
      <c r="N3771" s="29" t="s">
        <v>4577</v>
      </c>
      <c r="O3771" s="29"/>
      <c r="P3771" s="29" t="s">
        <v>11047</v>
      </c>
      <c r="Q3771" t="s">
        <v>2038</v>
      </c>
      <c r="R3771" t="s">
        <v>2633</v>
      </c>
      <c r="S3771">
        <v>37</v>
      </c>
      <c r="T3771" s="43" t="str">
        <f t="shared" si="176"/>
        <v>2021.010B.R.Binomial_names.zip</v>
      </c>
      <c r="U3771" s="43" t="str">
        <f>HYPERLINK("https://ictv.global/taxonomy/taxondetails?taxnode_id=202211619","ictv.global=202211619")</f>
        <v>ictv.global=202211619</v>
      </c>
    </row>
    <row r="3772" spans="1:21">
      <c r="A3772">
        <v>3771</v>
      </c>
      <c r="B3772" s="29" t="s">
        <v>3682</v>
      </c>
      <c r="C3772" s="29"/>
      <c r="D3772" s="29" t="s">
        <v>3683</v>
      </c>
      <c r="E3772" s="29"/>
      <c r="F3772" s="29" t="s">
        <v>3686</v>
      </c>
      <c r="G3772" s="29"/>
      <c r="H3772" s="29" t="s">
        <v>3687</v>
      </c>
      <c r="I3772" s="29"/>
      <c r="J3772" s="29"/>
      <c r="K3772" s="29"/>
      <c r="L3772" s="29"/>
      <c r="M3772" s="29"/>
      <c r="N3772" s="29" t="s">
        <v>4577</v>
      </c>
      <c r="O3772" s="29"/>
      <c r="P3772" s="29" t="s">
        <v>11048</v>
      </c>
      <c r="Q3772" t="s">
        <v>2038</v>
      </c>
      <c r="R3772" t="s">
        <v>2633</v>
      </c>
      <c r="S3772">
        <v>37</v>
      </c>
      <c r="T3772" s="43" t="str">
        <f t="shared" si="176"/>
        <v>2021.010B.R.Binomial_names.zip</v>
      </c>
      <c r="U3772" s="43" t="str">
        <f>HYPERLINK("https://ictv.global/taxonomy/taxondetails?taxnode_id=202211621","ictv.global=202211621")</f>
        <v>ictv.global=202211621</v>
      </c>
    </row>
    <row r="3773" spans="1:21">
      <c r="A3773">
        <v>3772</v>
      </c>
      <c r="B3773" s="29" t="s">
        <v>3682</v>
      </c>
      <c r="C3773" s="29"/>
      <c r="D3773" s="29" t="s">
        <v>3683</v>
      </c>
      <c r="E3773" s="29"/>
      <c r="F3773" s="29" t="s">
        <v>3686</v>
      </c>
      <c r="G3773" s="29"/>
      <c r="H3773" s="29" t="s">
        <v>3687</v>
      </c>
      <c r="I3773" s="29"/>
      <c r="J3773" s="29"/>
      <c r="K3773" s="29"/>
      <c r="L3773" s="29"/>
      <c r="M3773" s="29"/>
      <c r="N3773" s="29" t="s">
        <v>4577</v>
      </c>
      <c r="O3773" s="29"/>
      <c r="P3773" s="29" t="s">
        <v>11049</v>
      </c>
      <c r="Q3773" t="s">
        <v>2038</v>
      </c>
      <c r="R3773" t="s">
        <v>2633</v>
      </c>
      <c r="S3773">
        <v>37</v>
      </c>
      <c r="T3773" s="43" t="str">
        <f t="shared" si="176"/>
        <v>2021.010B.R.Binomial_names.zip</v>
      </c>
      <c r="U3773" s="43" t="str">
        <f>HYPERLINK("https://ictv.global/taxonomy/taxondetails?taxnode_id=202211620","ictv.global=202211620")</f>
        <v>ictv.global=202211620</v>
      </c>
    </row>
    <row r="3774" spans="1:21">
      <c r="A3774">
        <v>3773</v>
      </c>
      <c r="B3774" s="29" t="s">
        <v>3682</v>
      </c>
      <c r="C3774" s="29"/>
      <c r="D3774" s="29" t="s">
        <v>3683</v>
      </c>
      <c r="E3774" s="29"/>
      <c r="F3774" s="29" t="s">
        <v>3686</v>
      </c>
      <c r="G3774" s="29"/>
      <c r="H3774" s="29" t="s">
        <v>3687</v>
      </c>
      <c r="I3774" s="29"/>
      <c r="J3774" s="29"/>
      <c r="K3774" s="29"/>
      <c r="L3774" s="29"/>
      <c r="M3774" s="29"/>
      <c r="N3774" s="29" t="s">
        <v>4577</v>
      </c>
      <c r="O3774" s="29"/>
      <c r="P3774" s="29" t="s">
        <v>11050</v>
      </c>
      <c r="Q3774" t="s">
        <v>2038</v>
      </c>
      <c r="R3774" t="s">
        <v>2633</v>
      </c>
      <c r="S3774">
        <v>37</v>
      </c>
      <c r="T3774" s="43" t="str">
        <f t="shared" si="176"/>
        <v>2021.010B.R.Binomial_names.zip</v>
      </c>
      <c r="U3774" s="43" t="str">
        <f>HYPERLINK("https://ictv.global/taxonomy/taxondetails?taxnode_id=202211622","ictv.global=202211622")</f>
        <v>ictv.global=202211622</v>
      </c>
    </row>
    <row r="3775" spans="1:21">
      <c r="A3775">
        <v>3774</v>
      </c>
      <c r="B3775" s="29" t="s">
        <v>3682</v>
      </c>
      <c r="C3775" s="29"/>
      <c r="D3775" s="29" t="s">
        <v>3683</v>
      </c>
      <c r="E3775" s="29"/>
      <c r="F3775" s="29" t="s">
        <v>3686</v>
      </c>
      <c r="G3775" s="29"/>
      <c r="H3775" s="29" t="s">
        <v>3687</v>
      </c>
      <c r="I3775" s="29"/>
      <c r="J3775" s="29"/>
      <c r="K3775" s="29"/>
      <c r="L3775" s="29"/>
      <c r="M3775" s="29"/>
      <c r="N3775" s="29" t="s">
        <v>4762</v>
      </c>
      <c r="O3775" s="29"/>
      <c r="P3775" s="29" t="s">
        <v>11051</v>
      </c>
      <c r="Q3775" t="s">
        <v>2038</v>
      </c>
      <c r="R3775" t="s">
        <v>2633</v>
      </c>
      <c r="S3775">
        <v>37</v>
      </c>
      <c r="T3775" s="43" t="str">
        <f t="shared" si="176"/>
        <v>2021.010B.R.Binomial_names.zip</v>
      </c>
      <c r="U3775" s="43" t="str">
        <f>HYPERLINK("https://ictv.global/taxonomy/taxondetails?taxnode_id=202210187","ictv.global=202210187")</f>
        <v>ictv.global=202210187</v>
      </c>
    </row>
    <row r="3776" spans="1:21">
      <c r="A3776">
        <v>3775</v>
      </c>
      <c r="B3776" s="29" t="s">
        <v>3682</v>
      </c>
      <c r="C3776" s="29"/>
      <c r="D3776" s="29" t="s">
        <v>3683</v>
      </c>
      <c r="E3776" s="29"/>
      <c r="F3776" s="29" t="s">
        <v>3686</v>
      </c>
      <c r="G3776" s="29"/>
      <c r="H3776" s="29" t="s">
        <v>3687</v>
      </c>
      <c r="I3776" s="29"/>
      <c r="J3776" s="29"/>
      <c r="K3776" s="29"/>
      <c r="L3776" s="29"/>
      <c r="M3776" s="29"/>
      <c r="N3776" s="29" t="s">
        <v>4763</v>
      </c>
      <c r="O3776" s="29"/>
      <c r="P3776" s="29" t="s">
        <v>11052</v>
      </c>
      <c r="Q3776" t="s">
        <v>2038</v>
      </c>
      <c r="R3776" t="s">
        <v>2633</v>
      </c>
      <c r="S3776">
        <v>37</v>
      </c>
      <c r="T3776" s="43" t="str">
        <f t="shared" si="176"/>
        <v>2021.010B.R.Binomial_names.zip</v>
      </c>
      <c r="U3776" s="43" t="str">
        <f>HYPERLINK("https://ictv.global/taxonomy/taxondetails?taxnode_id=202210185","ictv.global=202210185")</f>
        <v>ictv.global=202210185</v>
      </c>
    </row>
    <row r="3777" spans="1:21">
      <c r="A3777">
        <v>3776</v>
      </c>
      <c r="B3777" s="29" t="s">
        <v>3682</v>
      </c>
      <c r="C3777" s="29"/>
      <c r="D3777" s="29" t="s">
        <v>3683</v>
      </c>
      <c r="E3777" s="29"/>
      <c r="F3777" s="29" t="s">
        <v>3686</v>
      </c>
      <c r="G3777" s="29"/>
      <c r="H3777" s="29" t="s">
        <v>3687</v>
      </c>
      <c r="I3777" s="29"/>
      <c r="J3777" s="29"/>
      <c r="K3777" s="29"/>
      <c r="L3777" s="29"/>
      <c r="M3777" s="29"/>
      <c r="N3777" s="29" t="s">
        <v>4763</v>
      </c>
      <c r="O3777" s="29"/>
      <c r="P3777" s="29" t="s">
        <v>11053</v>
      </c>
      <c r="Q3777" t="s">
        <v>2038</v>
      </c>
      <c r="R3777" t="s">
        <v>2633</v>
      </c>
      <c r="S3777">
        <v>37</v>
      </c>
      <c r="T3777" s="43" t="str">
        <f t="shared" si="176"/>
        <v>2021.010B.R.Binomial_names.zip</v>
      </c>
      <c r="U3777" s="43" t="str">
        <f>HYPERLINK("https://ictv.global/taxonomy/taxondetails?taxnode_id=202210184","ictv.global=202210184")</f>
        <v>ictv.global=202210184</v>
      </c>
    </row>
    <row r="3778" spans="1:21">
      <c r="A3778">
        <v>3777</v>
      </c>
      <c r="B3778" s="29" t="s">
        <v>3682</v>
      </c>
      <c r="C3778" s="29"/>
      <c r="D3778" s="29" t="s">
        <v>3683</v>
      </c>
      <c r="E3778" s="29"/>
      <c r="F3778" s="29" t="s">
        <v>3686</v>
      </c>
      <c r="G3778" s="29"/>
      <c r="H3778" s="29" t="s">
        <v>3687</v>
      </c>
      <c r="I3778" s="29"/>
      <c r="J3778" s="29"/>
      <c r="K3778" s="29"/>
      <c r="L3778" s="29"/>
      <c r="M3778" s="29"/>
      <c r="N3778" s="29" t="s">
        <v>3429</v>
      </c>
      <c r="O3778" s="29"/>
      <c r="P3778" s="29" t="s">
        <v>11054</v>
      </c>
      <c r="Q3778" t="s">
        <v>2038</v>
      </c>
      <c r="R3778" t="s">
        <v>2633</v>
      </c>
      <c r="S3778">
        <v>37</v>
      </c>
      <c r="T3778" s="43" t="str">
        <f t="shared" si="176"/>
        <v>2021.010B.R.Binomial_names.zip</v>
      </c>
      <c r="U3778" s="43" t="str">
        <f>HYPERLINK("https://ictv.global/taxonomy/taxondetails?taxnode_id=202206720","ictv.global=202206720")</f>
        <v>ictv.global=202206720</v>
      </c>
    </row>
    <row r="3779" spans="1:21">
      <c r="A3779">
        <v>3778</v>
      </c>
      <c r="B3779" s="29" t="s">
        <v>3682</v>
      </c>
      <c r="C3779" s="29"/>
      <c r="D3779" s="29" t="s">
        <v>3683</v>
      </c>
      <c r="E3779" s="29"/>
      <c r="F3779" s="29" t="s">
        <v>3686</v>
      </c>
      <c r="G3779" s="29"/>
      <c r="H3779" s="29" t="s">
        <v>3687</v>
      </c>
      <c r="I3779" s="29"/>
      <c r="J3779" s="29"/>
      <c r="K3779" s="29"/>
      <c r="L3779" s="29"/>
      <c r="M3779" s="29"/>
      <c r="N3779" s="29" t="s">
        <v>11055</v>
      </c>
      <c r="O3779" s="29"/>
      <c r="P3779" s="29" t="s">
        <v>11056</v>
      </c>
      <c r="Q3779" t="s">
        <v>2038</v>
      </c>
      <c r="R3779" t="s">
        <v>2632</v>
      </c>
      <c r="S3779">
        <v>38</v>
      </c>
      <c r="T3779" s="43" t="str">
        <f t="shared" ref="T3779:T3785" si="177">HYPERLINK("https://ictv.global/ictv/proposals/2022.064B.Ponsvirus_ng.zip","2022.064B.Ponsvirus_ng.zip")</f>
        <v>2022.064B.Ponsvirus_ng.zip</v>
      </c>
      <c r="U3779" s="43" t="str">
        <f>HYPERLINK("https://ictv.global/taxonomy/taxondetails?taxnode_id=202214759","ictv.global=202214759")</f>
        <v>ictv.global=202214759</v>
      </c>
    </row>
    <row r="3780" spans="1:21">
      <c r="A3780">
        <v>3779</v>
      </c>
      <c r="B3780" s="29" t="s">
        <v>3682</v>
      </c>
      <c r="C3780" s="29"/>
      <c r="D3780" s="29" t="s">
        <v>3683</v>
      </c>
      <c r="E3780" s="29"/>
      <c r="F3780" s="29" t="s">
        <v>3686</v>
      </c>
      <c r="G3780" s="29"/>
      <c r="H3780" s="29" t="s">
        <v>3687</v>
      </c>
      <c r="I3780" s="29"/>
      <c r="J3780" s="29"/>
      <c r="K3780" s="29"/>
      <c r="L3780" s="29"/>
      <c r="M3780" s="29"/>
      <c r="N3780" s="29" t="s">
        <v>11055</v>
      </c>
      <c r="O3780" s="29"/>
      <c r="P3780" s="29" t="s">
        <v>11057</v>
      </c>
      <c r="Q3780" t="s">
        <v>2038</v>
      </c>
      <c r="R3780" t="s">
        <v>2632</v>
      </c>
      <c r="S3780">
        <v>38</v>
      </c>
      <c r="T3780" s="43" t="str">
        <f t="shared" si="177"/>
        <v>2022.064B.Ponsvirus_ng.zip</v>
      </c>
      <c r="U3780" s="43" t="str">
        <f>HYPERLINK("https://ictv.global/taxonomy/taxondetails?taxnode_id=202214756","ictv.global=202214756")</f>
        <v>ictv.global=202214756</v>
      </c>
    </row>
    <row r="3781" spans="1:21">
      <c r="A3781">
        <v>3780</v>
      </c>
      <c r="B3781" s="29" t="s">
        <v>3682</v>
      </c>
      <c r="C3781" s="29"/>
      <c r="D3781" s="29" t="s">
        <v>3683</v>
      </c>
      <c r="E3781" s="29"/>
      <c r="F3781" s="29" t="s">
        <v>3686</v>
      </c>
      <c r="G3781" s="29"/>
      <c r="H3781" s="29" t="s">
        <v>3687</v>
      </c>
      <c r="I3781" s="29"/>
      <c r="J3781" s="29"/>
      <c r="K3781" s="29"/>
      <c r="L3781" s="29"/>
      <c r="M3781" s="29"/>
      <c r="N3781" s="29" t="s">
        <v>11055</v>
      </c>
      <c r="O3781" s="29"/>
      <c r="P3781" s="29" t="s">
        <v>11058</v>
      </c>
      <c r="Q3781" t="s">
        <v>2038</v>
      </c>
      <c r="R3781" t="s">
        <v>2632</v>
      </c>
      <c r="S3781">
        <v>38</v>
      </c>
      <c r="T3781" s="43" t="str">
        <f t="shared" si="177"/>
        <v>2022.064B.Ponsvirus_ng.zip</v>
      </c>
      <c r="U3781" s="43" t="str">
        <f>HYPERLINK("https://ictv.global/taxonomy/taxondetails?taxnode_id=202214757","ictv.global=202214757")</f>
        <v>ictv.global=202214757</v>
      </c>
    </row>
    <row r="3782" spans="1:21">
      <c r="A3782">
        <v>3781</v>
      </c>
      <c r="B3782" s="29" t="s">
        <v>3682</v>
      </c>
      <c r="C3782" s="29"/>
      <c r="D3782" s="29" t="s">
        <v>3683</v>
      </c>
      <c r="E3782" s="29"/>
      <c r="F3782" s="29" t="s">
        <v>3686</v>
      </c>
      <c r="G3782" s="29"/>
      <c r="H3782" s="29" t="s">
        <v>3687</v>
      </c>
      <c r="I3782" s="29"/>
      <c r="J3782" s="29"/>
      <c r="K3782" s="29"/>
      <c r="L3782" s="29"/>
      <c r="M3782" s="29"/>
      <c r="N3782" s="29" t="s">
        <v>11055</v>
      </c>
      <c r="O3782" s="29"/>
      <c r="P3782" s="29" t="s">
        <v>11059</v>
      </c>
      <c r="Q3782" t="s">
        <v>2038</v>
      </c>
      <c r="R3782" t="s">
        <v>2632</v>
      </c>
      <c r="S3782">
        <v>38</v>
      </c>
      <c r="T3782" s="43" t="str">
        <f t="shared" si="177"/>
        <v>2022.064B.Ponsvirus_ng.zip</v>
      </c>
      <c r="U3782" s="43" t="str">
        <f>HYPERLINK("https://ictv.global/taxonomy/taxondetails?taxnode_id=202214755","ictv.global=202214755")</f>
        <v>ictv.global=202214755</v>
      </c>
    </row>
    <row r="3783" spans="1:21">
      <c r="A3783">
        <v>3782</v>
      </c>
      <c r="B3783" s="29" t="s">
        <v>3682</v>
      </c>
      <c r="C3783" s="29"/>
      <c r="D3783" s="29" t="s">
        <v>3683</v>
      </c>
      <c r="E3783" s="29"/>
      <c r="F3783" s="29" t="s">
        <v>3686</v>
      </c>
      <c r="G3783" s="29"/>
      <c r="H3783" s="29" t="s">
        <v>3687</v>
      </c>
      <c r="I3783" s="29"/>
      <c r="J3783" s="29"/>
      <c r="K3783" s="29"/>
      <c r="L3783" s="29"/>
      <c r="M3783" s="29"/>
      <c r="N3783" s="29" t="s">
        <v>11055</v>
      </c>
      <c r="O3783" s="29"/>
      <c r="P3783" s="29" t="s">
        <v>11060</v>
      </c>
      <c r="Q3783" t="s">
        <v>2038</v>
      </c>
      <c r="R3783" t="s">
        <v>2632</v>
      </c>
      <c r="S3783">
        <v>38</v>
      </c>
      <c r="T3783" s="43" t="str">
        <f t="shared" si="177"/>
        <v>2022.064B.Ponsvirus_ng.zip</v>
      </c>
      <c r="U3783" s="43" t="str">
        <f>HYPERLINK("https://ictv.global/taxonomy/taxondetails?taxnode_id=202214754","ictv.global=202214754")</f>
        <v>ictv.global=202214754</v>
      </c>
    </row>
    <row r="3784" spans="1:21">
      <c r="A3784">
        <v>3783</v>
      </c>
      <c r="B3784" s="29" t="s">
        <v>3682</v>
      </c>
      <c r="C3784" s="29"/>
      <c r="D3784" s="29" t="s">
        <v>3683</v>
      </c>
      <c r="E3784" s="29"/>
      <c r="F3784" s="29" t="s">
        <v>3686</v>
      </c>
      <c r="G3784" s="29"/>
      <c r="H3784" s="29" t="s">
        <v>3687</v>
      </c>
      <c r="I3784" s="29"/>
      <c r="J3784" s="29"/>
      <c r="K3784" s="29"/>
      <c r="L3784" s="29"/>
      <c r="M3784" s="29"/>
      <c r="N3784" s="29" t="s">
        <v>11055</v>
      </c>
      <c r="O3784" s="29"/>
      <c r="P3784" s="29" t="s">
        <v>11061</v>
      </c>
      <c r="Q3784" t="s">
        <v>2038</v>
      </c>
      <c r="R3784" t="s">
        <v>2632</v>
      </c>
      <c r="S3784">
        <v>38</v>
      </c>
      <c r="T3784" s="43" t="str">
        <f t="shared" si="177"/>
        <v>2022.064B.Ponsvirus_ng.zip</v>
      </c>
      <c r="U3784" s="43" t="str">
        <f>HYPERLINK("https://ictv.global/taxonomy/taxondetails?taxnode_id=202214758","ictv.global=202214758")</f>
        <v>ictv.global=202214758</v>
      </c>
    </row>
    <row r="3785" spans="1:21">
      <c r="A3785">
        <v>3784</v>
      </c>
      <c r="B3785" s="29" t="s">
        <v>3682</v>
      </c>
      <c r="C3785" s="29"/>
      <c r="D3785" s="29" t="s">
        <v>3683</v>
      </c>
      <c r="E3785" s="29"/>
      <c r="F3785" s="29" t="s">
        <v>3686</v>
      </c>
      <c r="G3785" s="29"/>
      <c r="H3785" s="29" t="s">
        <v>3687</v>
      </c>
      <c r="I3785" s="29"/>
      <c r="J3785" s="29"/>
      <c r="K3785" s="29"/>
      <c r="L3785" s="29"/>
      <c r="M3785" s="29"/>
      <c r="N3785" s="29" t="s">
        <v>11055</v>
      </c>
      <c r="O3785" s="29"/>
      <c r="P3785" s="29" t="s">
        <v>11062</v>
      </c>
      <c r="Q3785" t="s">
        <v>2038</v>
      </c>
      <c r="R3785" t="s">
        <v>2632</v>
      </c>
      <c r="S3785">
        <v>38</v>
      </c>
      <c r="T3785" s="43" t="str">
        <f t="shared" si="177"/>
        <v>2022.064B.Ponsvirus_ng.zip</v>
      </c>
      <c r="U3785" s="43" t="str">
        <f>HYPERLINK("https://ictv.global/taxonomy/taxondetails?taxnode_id=202214760","ictv.global=202214760")</f>
        <v>ictv.global=202214760</v>
      </c>
    </row>
    <row r="3786" spans="1:21">
      <c r="A3786">
        <v>3785</v>
      </c>
      <c r="B3786" s="29" t="s">
        <v>3682</v>
      </c>
      <c r="C3786" s="29"/>
      <c r="D3786" s="29" t="s">
        <v>3683</v>
      </c>
      <c r="E3786" s="29"/>
      <c r="F3786" s="29" t="s">
        <v>3686</v>
      </c>
      <c r="G3786" s="29"/>
      <c r="H3786" s="29" t="s">
        <v>3687</v>
      </c>
      <c r="I3786" s="29"/>
      <c r="J3786" s="29"/>
      <c r="K3786" s="29"/>
      <c r="L3786" s="29"/>
      <c r="M3786" s="29"/>
      <c r="N3786" s="29" t="s">
        <v>3430</v>
      </c>
      <c r="O3786" s="29"/>
      <c r="P3786" s="29" t="s">
        <v>11063</v>
      </c>
      <c r="Q3786" t="s">
        <v>2038</v>
      </c>
      <c r="R3786" t="s">
        <v>2633</v>
      </c>
      <c r="S3786">
        <v>37</v>
      </c>
      <c r="T3786" s="43" t="str">
        <f>HYPERLINK("https://ictv.global/ictv/proposals/2021.010B.R.Binomial_names.zip","2021.010B.R.Binomial_names.zip")</f>
        <v>2021.010B.R.Binomial_names.zip</v>
      </c>
      <c r="U3786" s="43" t="str">
        <f>HYPERLINK("https://ictv.global/taxonomy/taxondetails?taxnode_id=202206778","ictv.global=202206778")</f>
        <v>ictv.global=202206778</v>
      </c>
    </row>
    <row r="3787" spans="1:21">
      <c r="A3787">
        <v>3786</v>
      </c>
      <c r="B3787" s="29" t="s">
        <v>3682</v>
      </c>
      <c r="C3787" s="29"/>
      <c r="D3787" s="29" t="s">
        <v>3683</v>
      </c>
      <c r="E3787" s="29"/>
      <c r="F3787" s="29" t="s">
        <v>3686</v>
      </c>
      <c r="G3787" s="29"/>
      <c r="H3787" s="29" t="s">
        <v>3687</v>
      </c>
      <c r="I3787" s="29"/>
      <c r="J3787" s="29"/>
      <c r="K3787" s="29"/>
      <c r="L3787" s="29"/>
      <c r="M3787" s="29"/>
      <c r="N3787" s="29" t="s">
        <v>3584</v>
      </c>
      <c r="O3787" s="29"/>
      <c r="P3787" s="29" t="s">
        <v>11064</v>
      </c>
      <c r="Q3787" t="s">
        <v>2038</v>
      </c>
      <c r="R3787" t="s">
        <v>2633</v>
      </c>
      <c r="S3787">
        <v>37</v>
      </c>
      <c r="T3787" s="43" t="str">
        <f>HYPERLINK("https://ictv.global/ictv/proposals/2021.010B.R.Binomial_names.zip","2021.010B.R.Binomial_names.zip")</f>
        <v>2021.010B.R.Binomial_names.zip</v>
      </c>
      <c r="U3787" s="43" t="str">
        <f>HYPERLINK("https://ictv.global/taxonomy/taxondetails?taxnode_id=202206592","ictv.global=202206592")</f>
        <v>ictv.global=202206592</v>
      </c>
    </row>
    <row r="3788" spans="1:21">
      <c r="A3788">
        <v>3787</v>
      </c>
      <c r="B3788" s="29" t="s">
        <v>3682</v>
      </c>
      <c r="C3788" s="29"/>
      <c r="D3788" s="29" t="s">
        <v>3683</v>
      </c>
      <c r="E3788" s="29"/>
      <c r="F3788" s="29" t="s">
        <v>3686</v>
      </c>
      <c r="G3788" s="29"/>
      <c r="H3788" s="29" t="s">
        <v>3687</v>
      </c>
      <c r="I3788" s="29"/>
      <c r="J3788" s="29"/>
      <c r="K3788" s="29"/>
      <c r="L3788" s="29"/>
      <c r="M3788" s="29"/>
      <c r="N3788" s="29" t="s">
        <v>11065</v>
      </c>
      <c r="O3788" s="29"/>
      <c r="P3788" s="29" t="s">
        <v>11066</v>
      </c>
      <c r="Q3788" t="s">
        <v>2038</v>
      </c>
      <c r="R3788" t="s">
        <v>2632</v>
      </c>
      <c r="S3788">
        <v>38</v>
      </c>
      <c r="T3788" s="43" t="str">
        <f>HYPERLINK("https://ictv.global/ictv/proposals/2022.084B.Caudoviricetes_6ng_33nsp.zip","2022.084B.Caudoviricetes_6ng_33nsp.zip")</f>
        <v>2022.084B.Caudoviricetes_6ng_33nsp.zip</v>
      </c>
      <c r="U3788" s="43" t="str">
        <f>HYPERLINK("https://ictv.global/taxonomy/taxondetails?taxnode_id=202214910","ictv.global=202214910")</f>
        <v>ictv.global=202214910</v>
      </c>
    </row>
    <row r="3789" spans="1:21">
      <c r="A3789">
        <v>3788</v>
      </c>
      <c r="B3789" s="29" t="s">
        <v>3682</v>
      </c>
      <c r="C3789" s="29"/>
      <c r="D3789" s="29" t="s">
        <v>3683</v>
      </c>
      <c r="E3789" s="29"/>
      <c r="F3789" s="29" t="s">
        <v>3686</v>
      </c>
      <c r="G3789" s="29"/>
      <c r="H3789" s="29" t="s">
        <v>3687</v>
      </c>
      <c r="I3789" s="29"/>
      <c r="J3789" s="29"/>
      <c r="K3789" s="29"/>
      <c r="L3789" s="29"/>
      <c r="M3789" s="29"/>
      <c r="N3789" s="29" t="s">
        <v>4764</v>
      </c>
      <c r="O3789" s="29"/>
      <c r="P3789" s="29" t="s">
        <v>11067</v>
      </c>
      <c r="Q3789" t="s">
        <v>2038</v>
      </c>
      <c r="R3789" t="s">
        <v>2633</v>
      </c>
      <c r="S3789">
        <v>37</v>
      </c>
      <c r="T3789" s="43" t="str">
        <f>HYPERLINK("https://ictv.global/ictv/proposals/2021.010B.R.Binomial_names.zip","2021.010B.R.Binomial_names.zip")</f>
        <v>2021.010B.R.Binomial_names.zip</v>
      </c>
      <c r="U3789" s="43" t="str">
        <f>HYPERLINK("https://ictv.global/taxonomy/taxondetails?taxnode_id=202200856","ictv.global=202200856")</f>
        <v>ictv.global=202200856</v>
      </c>
    </row>
    <row r="3790" spans="1:21">
      <c r="A3790">
        <v>3789</v>
      </c>
      <c r="B3790" s="29" t="s">
        <v>3682</v>
      </c>
      <c r="C3790" s="29"/>
      <c r="D3790" s="29" t="s">
        <v>3683</v>
      </c>
      <c r="E3790" s="29"/>
      <c r="F3790" s="29" t="s">
        <v>3686</v>
      </c>
      <c r="G3790" s="29"/>
      <c r="H3790" s="29" t="s">
        <v>3687</v>
      </c>
      <c r="I3790" s="29"/>
      <c r="J3790" s="29"/>
      <c r="K3790" s="29"/>
      <c r="L3790" s="29"/>
      <c r="M3790" s="29"/>
      <c r="N3790" s="29" t="s">
        <v>2118</v>
      </c>
      <c r="O3790" s="29"/>
      <c r="P3790" s="29" t="s">
        <v>11068</v>
      </c>
      <c r="Q3790" t="s">
        <v>2038</v>
      </c>
      <c r="R3790" t="s">
        <v>2633</v>
      </c>
      <c r="S3790">
        <v>37</v>
      </c>
      <c r="T3790" s="43" t="str">
        <f>HYPERLINK("https://ictv.global/ictv/proposals/2021.010B.R.Binomial_names.zip","2021.010B.R.Binomial_names.zip")</f>
        <v>2021.010B.R.Binomial_names.zip</v>
      </c>
      <c r="U3790" s="43" t="str">
        <f>HYPERLINK("https://ictv.global/taxonomy/taxondetails?taxnode_id=202201237","ictv.global=202201237")</f>
        <v>ictv.global=202201237</v>
      </c>
    </row>
    <row r="3791" spans="1:21">
      <c r="A3791">
        <v>3790</v>
      </c>
      <c r="B3791" s="29" t="s">
        <v>3682</v>
      </c>
      <c r="C3791" s="29"/>
      <c r="D3791" s="29" t="s">
        <v>3683</v>
      </c>
      <c r="E3791" s="29"/>
      <c r="F3791" s="29" t="s">
        <v>3686</v>
      </c>
      <c r="G3791" s="29"/>
      <c r="H3791" s="29" t="s">
        <v>3687</v>
      </c>
      <c r="I3791" s="29"/>
      <c r="J3791" s="29"/>
      <c r="K3791" s="29"/>
      <c r="L3791" s="29"/>
      <c r="M3791" s="29"/>
      <c r="N3791" s="29" t="s">
        <v>2118</v>
      </c>
      <c r="O3791" s="29"/>
      <c r="P3791" s="29" t="s">
        <v>11069</v>
      </c>
      <c r="Q3791" t="s">
        <v>2038</v>
      </c>
      <c r="R3791" t="s">
        <v>2633</v>
      </c>
      <c r="S3791">
        <v>37</v>
      </c>
      <c r="T3791" s="43" t="str">
        <f>HYPERLINK("https://ictv.global/ictv/proposals/2021.010B.R.Binomial_names.zip","2021.010B.R.Binomial_names.zip")</f>
        <v>2021.010B.R.Binomial_names.zip</v>
      </c>
      <c r="U3791" s="43" t="str">
        <f>HYPERLINK("https://ictv.global/taxonomy/taxondetails?taxnode_id=202201238","ictv.global=202201238")</f>
        <v>ictv.global=202201238</v>
      </c>
    </row>
    <row r="3792" spans="1:21">
      <c r="A3792">
        <v>3791</v>
      </c>
      <c r="B3792" s="29" t="s">
        <v>3682</v>
      </c>
      <c r="C3792" s="29"/>
      <c r="D3792" s="29" t="s">
        <v>3683</v>
      </c>
      <c r="E3792" s="29"/>
      <c r="F3792" s="29" t="s">
        <v>3686</v>
      </c>
      <c r="G3792" s="29"/>
      <c r="H3792" s="29" t="s">
        <v>3687</v>
      </c>
      <c r="I3792" s="29"/>
      <c r="J3792" s="29"/>
      <c r="K3792" s="29"/>
      <c r="L3792" s="29"/>
      <c r="M3792" s="29"/>
      <c r="N3792" s="29" t="s">
        <v>11070</v>
      </c>
      <c r="O3792" s="29"/>
      <c r="P3792" s="29" t="s">
        <v>11071</v>
      </c>
      <c r="Q3792" t="s">
        <v>2038</v>
      </c>
      <c r="R3792" t="s">
        <v>2632</v>
      </c>
      <c r="S3792">
        <v>37</v>
      </c>
      <c r="T3792" s="43" t="str">
        <f>HYPERLINK("https://ictv.global/ictv/proposals/2021.067B.R.Pukovnikvirus.zip","2021.067B.R.Pukovnikvirus.zip")</f>
        <v>2021.067B.R.Pukovnikvirus.zip</v>
      </c>
      <c r="U3792" s="43" t="str">
        <f>HYPERLINK("https://ictv.global/taxonomy/taxondetails?taxnode_id=202212889","ictv.global=202212889")</f>
        <v>ictv.global=202212889</v>
      </c>
    </row>
    <row r="3793" spans="1:21">
      <c r="A3793">
        <v>3792</v>
      </c>
      <c r="B3793" s="29" t="s">
        <v>3682</v>
      </c>
      <c r="C3793" s="29"/>
      <c r="D3793" s="29" t="s">
        <v>3683</v>
      </c>
      <c r="E3793" s="29"/>
      <c r="F3793" s="29" t="s">
        <v>3686</v>
      </c>
      <c r="G3793" s="29"/>
      <c r="H3793" s="29" t="s">
        <v>3687</v>
      </c>
      <c r="I3793" s="29"/>
      <c r="J3793" s="29"/>
      <c r="K3793" s="29"/>
      <c r="L3793" s="29"/>
      <c r="M3793" s="29"/>
      <c r="N3793" s="29" t="s">
        <v>11070</v>
      </c>
      <c r="O3793" s="29"/>
      <c r="P3793" s="29" t="s">
        <v>11072</v>
      </c>
      <c r="Q3793" t="s">
        <v>2038</v>
      </c>
      <c r="R3793" t="s">
        <v>2632</v>
      </c>
      <c r="S3793">
        <v>37</v>
      </c>
      <c r="T3793" s="43" t="str">
        <f>HYPERLINK("https://ictv.global/ictv/proposals/2021.067B.R.Pukovnikvirus.zip","2021.067B.R.Pukovnikvirus.zip")</f>
        <v>2021.067B.R.Pukovnikvirus.zip</v>
      </c>
      <c r="U3793" s="43" t="str">
        <f>HYPERLINK("https://ictv.global/taxonomy/taxondetails?taxnode_id=202212888","ictv.global=202212888")</f>
        <v>ictv.global=202212888</v>
      </c>
    </row>
    <row r="3794" spans="1:21">
      <c r="A3794">
        <v>3793</v>
      </c>
      <c r="B3794" s="29" t="s">
        <v>3682</v>
      </c>
      <c r="C3794" s="29"/>
      <c r="D3794" s="29" t="s">
        <v>3683</v>
      </c>
      <c r="E3794" s="29"/>
      <c r="F3794" s="29" t="s">
        <v>3686</v>
      </c>
      <c r="G3794" s="29"/>
      <c r="H3794" s="29" t="s">
        <v>3687</v>
      </c>
      <c r="I3794" s="29"/>
      <c r="J3794" s="29"/>
      <c r="K3794" s="29"/>
      <c r="L3794" s="29"/>
      <c r="M3794" s="29"/>
      <c r="N3794" s="29" t="s">
        <v>11070</v>
      </c>
      <c r="O3794" s="29"/>
      <c r="P3794" s="29" t="s">
        <v>11073</v>
      </c>
      <c r="Q3794" t="s">
        <v>2038</v>
      </c>
      <c r="R3794" t="s">
        <v>2632</v>
      </c>
      <c r="S3794">
        <v>37</v>
      </c>
      <c r="T3794" s="43" t="str">
        <f>HYPERLINK("https://ictv.global/ictv/proposals/2021.067B.R.Pukovnikvirus.zip","2021.067B.R.Pukovnikvirus.zip")</f>
        <v>2021.067B.R.Pukovnikvirus.zip</v>
      </c>
      <c r="U3794" s="43" t="str">
        <f>HYPERLINK("https://ictv.global/taxonomy/taxondetails?taxnode_id=202212890","ictv.global=202212890")</f>
        <v>ictv.global=202212890</v>
      </c>
    </row>
    <row r="3795" spans="1:21">
      <c r="A3795">
        <v>3794</v>
      </c>
      <c r="B3795" s="29" t="s">
        <v>3682</v>
      </c>
      <c r="C3795" s="29"/>
      <c r="D3795" s="29" t="s">
        <v>3683</v>
      </c>
      <c r="E3795" s="29"/>
      <c r="F3795" s="29" t="s">
        <v>3686</v>
      </c>
      <c r="G3795" s="29"/>
      <c r="H3795" s="29" t="s">
        <v>3687</v>
      </c>
      <c r="I3795" s="29"/>
      <c r="J3795" s="29"/>
      <c r="K3795" s="29"/>
      <c r="L3795" s="29"/>
      <c r="M3795" s="29"/>
      <c r="N3795" s="29" t="s">
        <v>11070</v>
      </c>
      <c r="O3795" s="29"/>
      <c r="P3795" s="29" t="s">
        <v>11074</v>
      </c>
      <c r="Q3795" t="s">
        <v>2038</v>
      </c>
      <c r="R3795" t="s">
        <v>2633</v>
      </c>
      <c r="S3795">
        <v>37</v>
      </c>
      <c r="T3795" s="43" t="str">
        <f>HYPERLINK("https://ictv.global/ictv/proposals/2021.067B.R.Pukovnikvirus.zip","2021.067B.R.Pukovnikvirus.zip")</f>
        <v>2021.067B.R.Pukovnikvirus.zip</v>
      </c>
      <c r="U3795" s="43" t="str">
        <f>HYPERLINK("https://ictv.global/taxonomy/taxondetails?taxnode_id=202201050","ictv.global=202201050")</f>
        <v>ictv.global=202201050</v>
      </c>
    </row>
    <row r="3796" spans="1:21">
      <c r="A3796">
        <v>3795</v>
      </c>
      <c r="B3796" s="29" t="s">
        <v>3682</v>
      </c>
      <c r="C3796" s="29"/>
      <c r="D3796" s="29" t="s">
        <v>3683</v>
      </c>
      <c r="E3796" s="29"/>
      <c r="F3796" s="29" t="s">
        <v>3686</v>
      </c>
      <c r="G3796" s="29"/>
      <c r="H3796" s="29" t="s">
        <v>3687</v>
      </c>
      <c r="I3796" s="29"/>
      <c r="J3796" s="29"/>
      <c r="K3796" s="29"/>
      <c r="L3796" s="29"/>
      <c r="M3796" s="29"/>
      <c r="N3796" s="29" t="s">
        <v>3586</v>
      </c>
      <c r="O3796" s="29"/>
      <c r="P3796" s="29" t="s">
        <v>11075</v>
      </c>
      <c r="Q3796" t="s">
        <v>2038</v>
      </c>
      <c r="R3796" t="s">
        <v>2633</v>
      </c>
      <c r="S3796">
        <v>37</v>
      </c>
      <c r="T3796" s="43" t="str">
        <f>HYPERLINK("https://ictv.global/ictv/proposals/2021.010B.R.Binomial_names.zip","2021.010B.R.Binomial_names.zip")</f>
        <v>2021.010B.R.Binomial_names.zip</v>
      </c>
      <c r="U3796" s="43" t="str">
        <f>HYPERLINK("https://ictv.global/taxonomy/taxondetails?taxnode_id=202205561","ictv.global=202205561")</f>
        <v>ictv.global=202205561</v>
      </c>
    </row>
    <row r="3797" spans="1:21">
      <c r="A3797">
        <v>3796</v>
      </c>
      <c r="B3797" s="29" t="s">
        <v>3682</v>
      </c>
      <c r="C3797" s="29"/>
      <c r="D3797" s="29" t="s">
        <v>3683</v>
      </c>
      <c r="E3797" s="29"/>
      <c r="F3797" s="29" t="s">
        <v>3686</v>
      </c>
      <c r="G3797" s="29"/>
      <c r="H3797" s="29" t="s">
        <v>3687</v>
      </c>
      <c r="I3797" s="29"/>
      <c r="J3797" s="29"/>
      <c r="K3797" s="29"/>
      <c r="L3797" s="29"/>
      <c r="M3797" s="29"/>
      <c r="N3797" s="29" t="s">
        <v>3431</v>
      </c>
      <c r="O3797" s="29"/>
      <c r="P3797" s="29" t="s">
        <v>2062</v>
      </c>
      <c r="Q3797" t="s">
        <v>2038</v>
      </c>
      <c r="R3797" t="s">
        <v>2634</v>
      </c>
      <c r="S3797">
        <v>37</v>
      </c>
      <c r="T3797" s="43" t="str">
        <f>HYPERLINK("https://ictv.global/ictv/proposals/2021.001B.R.abolish_Caudovirales.zip","2021.001B.R.abolish_Caudovirales.zip")</f>
        <v>2021.001B.R.abolish_Caudovirales.zip</v>
      </c>
      <c r="U3797" s="43" t="str">
        <f>HYPERLINK("https://ictv.global/taxonomy/taxondetails?taxnode_id=202200465","ictv.global=202200465")</f>
        <v>ictv.global=202200465</v>
      </c>
    </row>
    <row r="3798" spans="1:21">
      <c r="A3798">
        <v>3797</v>
      </c>
      <c r="B3798" s="29" t="s">
        <v>3682</v>
      </c>
      <c r="C3798" s="29"/>
      <c r="D3798" s="29" t="s">
        <v>3683</v>
      </c>
      <c r="E3798" s="29"/>
      <c r="F3798" s="29" t="s">
        <v>3686</v>
      </c>
      <c r="G3798" s="29"/>
      <c r="H3798" s="29" t="s">
        <v>3687</v>
      </c>
      <c r="I3798" s="29"/>
      <c r="J3798" s="29"/>
      <c r="K3798" s="29"/>
      <c r="L3798" s="29"/>
      <c r="M3798" s="29"/>
      <c r="N3798" s="29" t="s">
        <v>3431</v>
      </c>
      <c r="O3798" s="29"/>
      <c r="P3798" s="29" t="s">
        <v>11076</v>
      </c>
      <c r="Q3798" t="s">
        <v>2038</v>
      </c>
      <c r="R3798" t="s">
        <v>2633</v>
      </c>
      <c r="S3798">
        <v>37</v>
      </c>
      <c r="T3798" s="43" t="str">
        <f>HYPERLINK("https://ictv.global/ictv/proposals/2021.010B.R.Binomial_names.zip","2021.010B.R.Binomial_names.zip")</f>
        <v>2021.010B.R.Binomial_names.zip</v>
      </c>
      <c r="U3798" s="43" t="str">
        <f>HYPERLINK("https://ictv.global/taxonomy/taxondetails?taxnode_id=202200466","ictv.global=202200466")</f>
        <v>ictv.global=202200466</v>
      </c>
    </row>
    <row r="3799" spans="1:21">
      <c r="A3799">
        <v>3798</v>
      </c>
      <c r="B3799" s="29" t="s">
        <v>3682</v>
      </c>
      <c r="C3799" s="29"/>
      <c r="D3799" s="29" t="s">
        <v>3683</v>
      </c>
      <c r="E3799" s="29"/>
      <c r="F3799" s="29" t="s">
        <v>3686</v>
      </c>
      <c r="G3799" s="29"/>
      <c r="H3799" s="29" t="s">
        <v>3687</v>
      </c>
      <c r="I3799" s="29"/>
      <c r="J3799" s="29"/>
      <c r="K3799" s="29"/>
      <c r="L3799" s="29"/>
      <c r="M3799" s="29"/>
      <c r="N3799" s="29" t="s">
        <v>3431</v>
      </c>
      <c r="O3799" s="29"/>
      <c r="P3799" s="29" t="s">
        <v>11077</v>
      </c>
      <c r="Q3799" t="s">
        <v>2038</v>
      </c>
      <c r="R3799" t="s">
        <v>2633</v>
      </c>
      <c r="S3799">
        <v>37</v>
      </c>
      <c r="T3799" s="43" t="str">
        <f>HYPERLINK("https://ictv.global/ictv/proposals/2021.010B.R.Binomial_names.zip","2021.010B.R.Binomial_names.zip")</f>
        <v>2021.010B.R.Binomial_names.zip</v>
      </c>
      <c r="U3799" s="43" t="str">
        <f>HYPERLINK("https://ictv.global/taxonomy/taxondetails?taxnode_id=202207014","ictv.global=202207014")</f>
        <v>ictv.global=202207014</v>
      </c>
    </row>
    <row r="3800" spans="1:21">
      <c r="A3800">
        <v>3799</v>
      </c>
      <c r="B3800" s="29" t="s">
        <v>3682</v>
      </c>
      <c r="C3800" s="29"/>
      <c r="D3800" s="29" t="s">
        <v>3683</v>
      </c>
      <c r="E3800" s="29"/>
      <c r="F3800" s="29" t="s">
        <v>3686</v>
      </c>
      <c r="G3800" s="29"/>
      <c r="H3800" s="29" t="s">
        <v>3687</v>
      </c>
      <c r="I3800" s="29"/>
      <c r="J3800" s="29"/>
      <c r="K3800" s="29"/>
      <c r="L3800" s="29"/>
      <c r="M3800" s="29"/>
      <c r="N3800" s="29" t="s">
        <v>3431</v>
      </c>
      <c r="O3800" s="29"/>
      <c r="P3800" s="29" t="s">
        <v>11078</v>
      </c>
      <c r="Q3800" t="s">
        <v>2038</v>
      </c>
      <c r="R3800" t="s">
        <v>2633</v>
      </c>
      <c r="S3800">
        <v>37</v>
      </c>
      <c r="T3800" s="43" t="str">
        <f>HYPERLINK("https://ictv.global/ictv/proposals/2021.010B.R.Binomial_names.zip","2021.010B.R.Binomial_names.zip")</f>
        <v>2021.010B.R.Binomial_names.zip</v>
      </c>
      <c r="U3800" s="43" t="str">
        <f>HYPERLINK("https://ictv.global/taxonomy/taxondetails?taxnode_id=202207015","ictv.global=202207015")</f>
        <v>ictv.global=202207015</v>
      </c>
    </row>
    <row r="3801" spans="1:21">
      <c r="A3801">
        <v>3800</v>
      </c>
      <c r="B3801" s="29" t="s">
        <v>3682</v>
      </c>
      <c r="C3801" s="29"/>
      <c r="D3801" s="29" t="s">
        <v>3683</v>
      </c>
      <c r="E3801" s="29"/>
      <c r="F3801" s="29" t="s">
        <v>3686</v>
      </c>
      <c r="G3801" s="29"/>
      <c r="H3801" s="29" t="s">
        <v>3687</v>
      </c>
      <c r="I3801" s="29"/>
      <c r="J3801" s="29"/>
      <c r="K3801" s="29"/>
      <c r="L3801" s="29"/>
      <c r="M3801" s="29"/>
      <c r="N3801" s="29" t="s">
        <v>11079</v>
      </c>
      <c r="O3801" s="29"/>
      <c r="P3801" s="29" t="s">
        <v>11080</v>
      </c>
      <c r="Q3801" t="s">
        <v>2038</v>
      </c>
      <c r="R3801" t="s">
        <v>2632</v>
      </c>
      <c r="S3801">
        <v>37</v>
      </c>
      <c r="T3801" s="43" t="str">
        <f>HYPERLINK("https://ictv.global/ictv/proposals/2021.068B.R.Puppervirus.zip","2021.068B.R.Puppervirus.zip")</f>
        <v>2021.068B.R.Puppervirus.zip</v>
      </c>
      <c r="U3801" s="43" t="str">
        <f>HYPERLINK("https://ictv.global/taxonomy/taxondetails?taxnode_id=202212892","ictv.global=202212892")</f>
        <v>ictv.global=202212892</v>
      </c>
    </row>
    <row r="3802" spans="1:21">
      <c r="A3802">
        <v>3801</v>
      </c>
      <c r="B3802" s="29" t="s">
        <v>3682</v>
      </c>
      <c r="C3802" s="29"/>
      <c r="D3802" s="29" t="s">
        <v>3683</v>
      </c>
      <c r="E3802" s="29"/>
      <c r="F3802" s="29" t="s">
        <v>3686</v>
      </c>
      <c r="G3802" s="29"/>
      <c r="H3802" s="29" t="s">
        <v>3687</v>
      </c>
      <c r="I3802" s="29"/>
      <c r="J3802" s="29"/>
      <c r="K3802" s="29"/>
      <c r="L3802" s="29"/>
      <c r="M3802" s="29"/>
      <c r="N3802" s="29" t="s">
        <v>11081</v>
      </c>
      <c r="O3802" s="29"/>
      <c r="P3802" s="29" t="s">
        <v>11082</v>
      </c>
      <c r="Q3802" t="s">
        <v>2038</v>
      </c>
      <c r="R3802" t="s">
        <v>2632</v>
      </c>
      <c r="S3802">
        <v>38</v>
      </c>
      <c r="T3802" s="43" t="str">
        <f>HYPERLINK("https://ictv.global/ictv/proposals/2022.067B.Purivirus_ng.zip","2022.067B.Purivirus_ng.zip")</f>
        <v>2022.067B.Purivirus_ng.zip</v>
      </c>
      <c r="U3802" s="43" t="str">
        <f>HYPERLINK("https://ictv.global/taxonomy/taxondetails?taxnode_id=202214788","ictv.global=202214788")</f>
        <v>ictv.global=202214788</v>
      </c>
    </row>
    <row r="3803" spans="1:21">
      <c r="A3803">
        <v>3802</v>
      </c>
      <c r="B3803" s="29" t="s">
        <v>3682</v>
      </c>
      <c r="C3803" s="29"/>
      <c r="D3803" s="29" t="s">
        <v>3683</v>
      </c>
      <c r="E3803" s="29"/>
      <c r="F3803" s="29" t="s">
        <v>3686</v>
      </c>
      <c r="G3803" s="29"/>
      <c r="H3803" s="29" t="s">
        <v>3687</v>
      </c>
      <c r="I3803" s="29"/>
      <c r="J3803" s="29"/>
      <c r="K3803" s="29"/>
      <c r="L3803" s="29"/>
      <c r="M3803" s="29"/>
      <c r="N3803" s="29" t="s">
        <v>3940</v>
      </c>
      <c r="O3803" s="29"/>
      <c r="P3803" s="29" t="s">
        <v>11083</v>
      </c>
      <c r="Q3803" t="s">
        <v>2038</v>
      </c>
      <c r="R3803" t="s">
        <v>2633</v>
      </c>
      <c r="S3803">
        <v>37</v>
      </c>
      <c r="T3803" s="43" t="str">
        <f>HYPERLINK("https://ictv.global/ictv/proposals/2021.010B.R.Binomial_names.zip","2021.010B.R.Binomial_names.zip")</f>
        <v>2021.010B.R.Binomial_names.zip</v>
      </c>
      <c r="U3803" s="43" t="str">
        <f>HYPERLINK("https://ictv.global/taxonomy/taxondetails?taxnode_id=202207516","ictv.global=202207516")</f>
        <v>ictv.global=202207516</v>
      </c>
    </row>
    <row r="3804" spans="1:21">
      <c r="A3804">
        <v>3803</v>
      </c>
      <c r="B3804" s="29" t="s">
        <v>3682</v>
      </c>
      <c r="C3804" s="29"/>
      <c r="D3804" s="29" t="s">
        <v>3683</v>
      </c>
      <c r="E3804" s="29"/>
      <c r="F3804" s="29" t="s">
        <v>3686</v>
      </c>
      <c r="G3804" s="29"/>
      <c r="H3804" s="29" t="s">
        <v>3687</v>
      </c>
      <c r="I3804" s="29"/>
      <c r="J3804" s="29"/>
      <c r="K3804" s="29"/>
      <c r="L3804" s="29"/>
      <c r="M3804" s="29"/>
      <c r="N3804" s="29" t="s">
        <v>4765</v>
      </c>
      <c r="O3804" s="29"/>
      <c r="P3804" s="29" t="s">
        <v>11084</v>
      </c>
      <c r="Q3804" t="s">
        <v>2038</v>
      </c>
      <c r="R3804" t="s">
        <v>2633</v>
      </c>
      <c r="S3804">
        <v>37</v>
      </c>
      <c r="T3804" s="43" t="str">
        <f>HYPERLINK("https://ictv.global/ictv/proposals/2021.010B.R.Binomial_names.zip","2021.010B.R.Binomial_names.zip")</f>
        <v>2021.010B.R.Binomial_names.zip</v>
      </c>
      <c r="U3804" s="43" t="str">
        <f>HYPERLINK("https://ictv.global/taxonomy/taxondetails?taxnode_id=202211639","ictv.global=202211639")</f>
        <v>ictv.global=202211639</v>
      </c>
    </row>
    <row r="3805" spans="1:21">
      <c r="A3805">
        <v>3804</v>
      </c>
      <c r="B3805" s="29" t="s">
        <v>3682</v>
      </c>
      <c r="C3805" s="29"/>
      <c r="D3805" s="29" t="s">
        <v>3683</v>
      </c>
      <c r="E3805" s="29"/>
      <c r="F3805" s="29" t="s">
        <v>3686</v>
      </c>
      <c r="G3805" s="29"/>
      <c r="H3805" s="29" t="s">
        <v>3687</v>
      </c>
      <c r="I3805" s="29"/>
      <c r="J3805" s="29"/>
      <c r="K3805" s="29"/>
      <c r="L3805" s="29"/>
      <c r="M3805" s="29"/>
      <c r="N3805" s="29" t="s">
        <v>4027</v>
      </c>
      <c r="O3805" s="29"/>
      <c r="P3805" s="29" t="s">
        <v>11085</v>
      </c>
      <c r="Q3805" t="s">
        <v>2038</v>
      </c>
      <c r="R3805" t="s">
        <v>2633</v>
      </c>
      <c r="S3805">
        <v>37</v>
      </c>
      <c r="T3805" s="43" t="str">
        <f>HYPERLINK("https://ictv.global/ictv/proposals/2021.010B.R.Binomial_names.zip","2021.010B.R.Binomial_names.zip")</f>
        <v>2021.010B.R.Binomial_names.zip</v>
      </c>
      <c r="U3805" s="43" t="str">
        <f>HYPERLINK("https://ictv.global/taxonomy/taxondetails?taxnode_id=202207537","ictv.global=202207537")</f>
        <v>ictv.global=202207537</v>
      </c>
    </row>
    <row r="3806" spans="1:21">
      <c r="A3806">
        <v>3805</v>
      </c>
      <c r="B3806" s="29" t="s">
        <v>3682</v>
      </c>
      <c r="C3806" s="29"/>
      <c r="D3806" s="29" t="s">
        <v>3683</v>
      </c>
      <c r="E3806" s="29"/>
      <c r="F3806" s="29" t="s">
        <v>3686</v>
      </c>
      <c r="G3806" s="29"/>
      <c r="H3806" s="29" t="s">
        <v>3687</v>
      </c>
      <c r="I3806" s="29"/>
      <c r="J3806" s="29"/>
      <c r="K3806" s="29"/>
      <c r="L3806" s="29"/>
      <c r="M3806" s="29"/>
      <c r="N3806" s="29" t="s">
        <v>4027</v>
      </c>
      <c r="O3806" s="29"/>
      <c r="P3806" s="29" t="s">
        <v>11086</v>
      </c>
      <c r="Q3806" t="s">
        <v>2038</v>
      </c>
      <c r="R3806" t="s">
        <v>2633</v>
      </c>
      <c r="S3806">
        <v>37</v>
      </c>
      <c r="T3806" s="43" t="str">
        <f>HYPERLINK("https://ictv.global/ictv/proposals/2021.010B.R.Binomial_names.zip","2021.010B.R.Binomial_names.zip")</f>
        <v>2021.010B.R.Binomial_names.zip</v>
      </c>
      <c r="U3806" s="43" t="str">
        <f>HYPERLINK("https://ictv.global/taxonomy/taxondetails?taxnode_id=202207535","ictv.global=202207535")</f>
        <v>ictv.global=202207535</v>
      </c>
    </row>
    <row r="3807" spans="1:21">
      <c r="A3807">
        <v>3806</v>
      </c>
      <c r="B3807" s="29" t="s">
        <v>3682</v>
      </c>
      <c r="C3807" s="29"/>
      <c r="D3807" s="29" t="s">
        <v>3683</v>
      </c>
      <c r="E3807" s="29"/>
      <c r="F3807" s="29" t="s">
        <v>3686</v>
      </c>
      <c r="G3807" s="29"/>
      <c r="H3807" s="29" t="s">
        <v>3687</v>
      </c>
      <c r="I3807" s="29"/>
      <c r="J3807" s="29"/>
      <c r="K3807" s="29"/>
      <c r="L3807" s="29"/>
      <c r="M3807" s="29"/>
      <c r="N3807" s="29" t="s">
        <v>4027</v>
      </c>
      <c r="O3807" s="29"/>
      <c r="P3807" s="29" t="s">
        <v>11087</v>
      </c>
      <c r="Q3807" t="s">
        <v>2038</v>
      </c>
      <c r="R3807" t="s">
        <v>2633</v>
      </c>
      <c r="S3807">
        <v>37</v>
      </c>
      <c r="T3807" s="43" t="str">
        <f>HYPERLINK("https://ictv.global/ictv/proposals/2021.010B.R.Binomial_names.zip","2021.010B.R.Binomial_names.zip")</f>
        <v>2021.010B.R.Binomial_names.zip</v>
      </c>
      <c r="U3807" s="43" t="str">
        <f>HYPERLINK("https://ictv.global/taxonomy/taxondetails?taxnode_id=202207536","ictv.global=202207536")</f>
        <v>ictv.global=202207536</v>
      </c>
    </row>
    <row r="3808" spans="1:21">
      <c r="A3808">
        <v>3807</v>
      </c>
      <c r="B3808" s="29" t="s">
        <v>3682</v>
      </c>
      <c r="C3808" s="29"/>
      <c r="D3808" s="29" t="s">
        <v>3683</v>
      </c>
      <c r="E3808" s="29"/>
      <c r="F3808" s="29" t="s">
        <v>3686</v>
      </c>
      <c r="G3808" s="29"/>
      <c r="H3808" s="29" t="s">
        <v>3687</v>
      </c>
      <c r="I3808" s="29"/>
      <c r="J3808" s="29"/>
      <c r="K3808" s="29"/>
      <c r="L3808" s="29"/>
      <c r="M3808" s="29"/>
      <c r="N3808" s="29" t="s">
        <v>11088</v>
      </c>
      <c r="O3808" s="29"/>
      <c r="P3808" s="29" t="s">
        <v>11089</v>
      </c>
      <c r="Q3808" t="s">
        <v>2038</v>
      </c>
      <c r="R3808" t="s">
        <v>2632</v>
      </c>
      <c r="S3808">
        <v>38</v>
      </c>
      <c r="T3808" s="43" t="str">
        <f>HYPERLINK("https://ictv.global/ictv/proposals/2022.069B.Quivirus_ng.zip","2022.069B.Quivirus_ng.zip")</f>
        <v>2022.069B.Quivirus_ng.zip</v>
      </c>
      <c r="U3808" s="43" t="str">
        <f>HYPERLINK("https://ictv.global/taxonomy/taxondetails?taxnode_id=202214793","ictv.global=202214793")</f>
        <v>ictv.global=202214793</v>
      </c>
    </row>
    <row r="3809" spans="1:21">
      <c r="A3809">
        <v>3808</v>
      </c>
      <c r="B3809" s="29" t="s">
        <v>3682</v>
      </c>
      <c r="C3809" s="29"/>
      <c r="D3809" s="29" t="s">
        <v>3683</v>
      </c>
      <c r="E3809" s="29"/>
      <c r="F3809" s="29" t="s">
        <v>3686</v>
      </c>
      <c r="G3809" s="29"/>
      <c r="H3809" s="29" t="s">
        <v>3687</v>
      </c>
      <c r="I3809" s="29"/>
      <c r="J3809" s="29"/>
      <c r="K3809" s="29"/>
      <c r="L3809" s="29"/>
      <c r="M3809" s="29"/>
      <c r="N3809" s="29" t="s">
        <v>4766</v>
      </c>
      <c r="O3809" s="29"/>
      <c r="P3809" s="29" t="s">
        <v>11090</v>
      </c>
      <c r="Q3809" t="s">
        <v>2038</v>
      </c>
      <c r="R3809" t="s">
        <v>2633</v>
      </c>
      <c r="S3809">
        <v>37</v>
      </c>
      <c r="T3809" s="43" t="str">
        <f t="shared" ref="T3809:T3817" si="178">HYPERLINK("https://ictv.global/ictv/proposals/2021.010B.R.Binomial_names.zip","2021.010B.R.Binomial_names.zip")</f>
        <v>2021.010B.R.Binomial_names.zip</v>
      </c>
      <c r="U3809" s="43" t="str">
        <f>HYPERLINK("https://ictv.global/taxonomy/taxondetails?taxnode_id=202209355","ictv.global=202209355")</f>
        <v>ictv.global=202209355</v>
      </c>
    </row>
    <row r="3810" spans="1:21">
      <c r="A3810">
        <v>3809</v>
      </c>
      <c r="B3810" s="29" t="s">
        <v>3682</v>
      </c>
      <c r="C3810" s="29"/>
      <c r="D3810" s="29" t="s">
        <v>3683</v>
      </c>
      <c r="E3810" s="29"/>
      <c r="F3810" s="29" t="s">
        <v>3686</v>
      </c>
      <c r="G3810" s="29"/>
      <c r="H3810" s="29" t="s">
        <v>3687</v>
      </c>
      <c r="I3810" s="29"/>
      <c r="J3810" s="29"/>
      <c r="K3810" s="29"/>
      <c r="L3810" s="29"/>
      <c r="M3810" s="29"/>
      <c r="N3810" s="29" t="s">
        <v>4578</v>
      </c>
      <c r="O3810" s="29"/>
      <c r="P3810" s="29" t="s">
        <v>11091</v>
      </c>
      <c r="Q3810" t="s">
        <v>2038</v>
      </c>
      <c r="R3810" t="s">
        <v>2633</v>
      </c>
      <c r="S3810">
        <v>37</v>
      </c>
      <c r="T3810" s="43" t="str">
        <f t="shared" si="178"/>
        <v>2021.010B.R.Binomial_names.zip</v>
      </c>
      <c r="U3810" s="43" t="str">
        <f>HYPERLINK("https://ictv.global/taxonomy/taxondetails?taxnode_id=202211667","ictv.global=202211667")</f>
        <v>ictv.global=202211667</v>
      </c>
    </row>
    <row r="3811" spans="1:21">
      <c r="A3811">
        <v>3810</v>
      </c>
      <c r="B3811" s="29" t="s">
        <v>3682</v>
      </c>
      <c r="C3811" s="29"/>
      <c r="D3811" s="29" t="s">
        <v>3683</v>
      </c>
      <c r="E3811" s="29"/>
      <c r="F3811" s="29" t="s">
        <v>3686</v>
      </c>
      <c r="G3811" s="29"/>
      <c r="H3811" s="29" t="s">
        <v>3687</v>
      </c>
      <c r="I3811" s="29"/>
      <c r="J3811" s="29"/>
      <c r="K3811" s="29"/>
      <c r="L3811" s="29"/>
      <c r="M3811" s="29"/>
      <c r="N3811" s="29" t="s">
        <v>4028</v>
      </c>
      <c r="O3811" s="29"/>
      <c r="P3811" s="29" t="s">
        <v>11092</v>
      </c>
      <c r="Q3811" t="s">
        <v>2038</v>
      </c>
      <c r="R3811" t="s">
        <v>2633</v>
      </c>
      <c r="S3811">
        <v>37</v>
      </c>
      <c r="T3811" s="43" t="str">
        <f t="shared" si="178"/>
        <v>2021.010B.R.Binomial_names.zip</v>
      </c>
      <c r="U3811" s="43" t="str">
        <f>HYPERLINK("https://ictv.global/taxonomy/taxondetails?taxnode_id=202208018","ictv.global=202208018")</f>
        <v>ictv.global=202208018</v>
      </c>
    </row>
    <row r="3812" spans="1:21">
      <c r="A3812">
        <v>3811</v>
      </c>
      <c r="B3812" s="29" t="s">
        <v>3682</v>
      </c>
      <c r="C3812" s="29"/>
      <c r="D3812" s="29" t="s">
        <v>3683</v>
      </c>
      <c r="E3812" s="29"/>
      <c r="F3812" s="29" t="s">
        <v>3686</v>
      </c>
      <c r="G3812" s="29"/>
      <c r="H3812" s="29" t="s">
        <v>3687</v>
      </c>
      <c r="I3812" s="29"/>
      <c r="J3812" s="29"/>
      <c r="K3812" s="29"/>
      <c r="L3812" s="29"/>
      <c r="M3812" s="29"/>
      <c r="N3812" s="29" t="s">
        <v>4028</v>
      </c>
      <c r="O3812" s="29"/>
      <c r="P3812" s="29" t="s">
        <v>11093</v>
      </c>
      <c r="Q3812" t="s">
        <v>2038</v>
      </c>
      <c r="R3812" t="s">
        <v>2633</v>
      </c>
      <c r="S3812">
        <v>37</v>
      </c>
      <c r="T3812" s="43" t="str">
        <f t="shared" si="178"/>
        <v>2021.010B.R.Binomial_names.zip</v>
      </c>
      <c r="U3812" s="43" t="str">
        <f>HYPERLINK("https://ictv.global/taxonomy/taxondetails?taxnode_id=202208017","ictv.global=202208017")</f>
        <v>ictv.global=202208017</v>
      </c>
    </row>
    <row r="3813" spans="1:21">
      <c r="A3813">
        <v>3812</v>
      </c>
      <c r="B3813" s="29" t="s">
        <v>3682</v>
      </c>
      <c r="C3813" s="29"/>
      <c r="D3813" s="29" t="s">
        <v>3683</v>
      </c>
      <c r="E3813" s="29"/>
      <c r="F3813" s="29" t="s">
        <v>3686</v>
      </c>
      <c r="G3813" s="29"/>
      <c r="H3813" s="29" t="s">
        <v>3687</v>
      </c>
      <c r="I3813" s="29"/>
      <c r="J3813" s="29"/>
      <c r="K3813" s="29"/>
      <c r="L3813" s="29"/>
      <c r="M3813" s="29"/>
      <c r="N3813" s="29" t="s">
        <v>3484</v>
      </c>
      <c r="O3813" s="29"/>
      <c r="P3813" s="29" t="s">
        <v>11094</v>
      </c>
      <c r="Q3813" t="s">
        <v>2038</v>
      </c>
      <c r="R3813" t="s">
        <v>2633</v>
      </c>
      <c r="S3813">
        <v>37</v>
      </c>
      <c r="T3813" s="43" t="str">
        <f t="shared" si="178"/>
        <v>2021.010B.R.Binomial_names.zip</v>
      </c>
      <c r="U3813" s="43" t="str">
        <f>HYPERLINK("https://ictv.global/taxonomy/taxondetails?taxnode_id=202200627","ictv.global=202200627")</f>
        <v>ictv.global=202200627</v>
      </c>
    </row>
    <row r="3814" spans="1:21">
      <c r="A3814">
        <v>3813</v>
      </c>
      <c r="B3814" s="29" t="s">
        <v>3682</v>
      </c>
      <c r="C3814" s="29"/>
      <c r="D3814" s="29" t="s">
        <v>3683</v>
      </c>
      <c r="E3814" s="29"/>
      <c r="F3814" s="29" t="s">
        <v>3686</v>
      </c>
      <c r="G3814" s="29"/>
      <c r="H3814" s="29" t="s">
        <v>3687</v>
      </c>
      <c r="I3814" s="29"/>
      <c r="J3814" s="29"/>
      <c r="K3814" s="29"/>
      <c r="L3814" s="29"/>
      <c r="M3814" s="29"/>
      <c r="N3814" s="29" t="s">
        <v>4767</v>
      </c>
      <c r="O3814" s="29"/>
      <c r="P3814" s="29" t="s">
        <v>11095</v>
      </c>
      <c r="Q3814" t="s">
        <v>2038</v>
      </c>
      <c r="R3814" t="s">
        <v>2633</v>
      </c>
      <c r="S3814">
        <v>37</v>
      </c>
      <c r="T3814" s="43" t="str">
        <f t="shared" si="178"/>
        <v>2021.010B.R.Binomial_names.zip</v>
      </c>
      <c r="U3814" s="43" t="str">
        <f>HYPERLINK("https://ictv.global/taxonomy/taxondetails?taxnode_id=202211670","ictv.global=202211670")</f>
        <v>ictv.global=202211670</v>
      </c>
    </row>
    <row r="3815" spans="1:21">
      <c r="A3815">
        <v>3814</v>
      </c>
      <c r="B3815" s="29" t="s">
        <v>3682</v>
      </c>
      <c r="C3815" s="29"/>
      <c r="D3815" s="29" t="s">
        <v>3683</v>
      </c>
      <c r="E3815" s="29"/>
      <c r="F3815" s="29" t="s">
        <v>3686</v>
      </c>
      <c r="G3815" s="29"/>
      <c r="H3815" s="29" t="s">
        <v>3687</v>
      </c>
      <c r="I3815" s="29"/>
      <c r="J3815" s="29"/>
      <c r="K3815" s="29"/>
      <c r="L3815" s="29"/>
      <c r="M3815" s="29"/>
      <c r="N3815" s="29" t="s">
        <v>4767</v>
      </c>
      <c r="O3815" s="29"/>
      <c r="P3815" s="29" t="s">
        <v>11096</v>
      </c>
      <c r="Q3815" t="s">
        <v>2038</v>
      </c>
      <c r="R3815" t="s">
        <v>2633</v>
      </c>
      <c r="S3815">
        <v>37</v>
      </c>
      <c r="T3815" s="43" t="str">
        <f t="shared" si="178"/>
        <v>2021.010B.R.Binomial_names.zip</v>
      </c>
      <c r="U3815" s="43" t="str">
        <f>HYPERLINK("https://ictv.global/taxonomy/taxondetails?taxnode_id=202211671","ictv.global=202211671")</f>
        <v>ictv.global=202211671</v>
      </c>
    </row>
    <row r="3816" spans="1:21">
      <c r="A3816">
        <v>3815</v>
      </c>
      <c r="B3816" s="29" t="s">
        <v>3682</v>
      </c>
      <c r="C3816" s="29"/>
      <c r="D3816" s="29" t="s">
        <v>3683</v>
      </c>
      <c r="E3816" s="29"/>
      <c r="F3816" s="29" t="s">
        <v>3686</v>
      </c>
      <c r="G3816" s="29"/>
      <c r="H3816" s="29" t="s">
        <v>3687</v>
      </c>
      <c r="I3816" s="29"/>
      <c r="J3816" s="29"/>
      <c r="K3816" s="29"/>
      <c r="L3816" s="29"/>
      <c r="M3816" s="29"/>
      <c r="N3816" s="29" t="s">
        <v>4767</v>
      </c>
      <c r="O3816" s="29"/>
      <c r="P3816" s="29" t="s">
        <v>11097</v>
      </c>
      <c r="Q3816" t="s">
        <v>2038</v>
      </c>
      <c r="R3816" t="s">
        <v>2633</v>
      </c>
      <c r="S3816">
        <v>37</v>
      </c>
      <c r="T3816" s="43" t="str">
        <f t="shared" si="178"/>
        <v>2021.010B.R.Binomial_names.zip</v>
      </c>
      <c r="U3816" s="43" t="str">
        <f>HYPERLINK("https://ictv.global/taxonomy/taxondetails?taxnode_id=202211669","ictv.global=202211669")</f>
        <v>ictv.global=202211669</v>
      </c>
    </row>
    <row r="3817" spans="1:21">
      <c r="A3817">
        <v>3816</v>
      </c>
      <c r="B3817" s="29" t="s">
        <v>3682</v>
      </c>
      <c r="C3817" s="29"/>
      <c r="D3817" s="29" t="s">
        <v>3683</v>
      </c>
      <c r="E3817" s="29"/>
      <c r="F3817" s="29" t="s">
        <v>3686</v>
      </c>
      <c r="G3817" s="29"/>
      <c r="H3817" s="29" t="s">
        <v>3687</v>
      </c>
      <c r="I3817" s="29"/>
      <c r="J3817" s="29"/>
      <c r="K3817" s="29"/>
      <c r="L3817" s="29"/>
      <c r="M3817" s="29"/>
      <c r="N3817" s="29" t="s">
        <v>3587</v>
      </c>
      <c r="O3817" s="29"/>
      <c r="P3817" s="29" t="s">
        <v>11098</v>
      </c>
      <c r="Q3817" t="s">
        <v>2038</v>
      </c>
      <c r="R3817" t="s">
        <v>2633</v>
      </c>
      <c r="S3817">
        <v>37</v>
      </c>
      <c r="T3817" s="43" t="str">
        <f t="shared" si="178"/>
        <v>2021.010B.R.Binomial_names.zip</v>
      </c>
      <c r="U3817" s="43" t="str">
        <f>HYPERLINK("https://ictv.global/taxonomy/taxondetails?taxnode_id=202201085","ictv.global=202201085")</f>
        <v>ictv.global=202201085</v>
      </c>
    </row>
    <row r="3818" spans="1:21">
      <c r="A3818">
        <v>3817</v>
      </c>
      <c r="B3818" s="29" t="s">
        <v>3682</v>
      </c>
      <c r="C3818" s="29"/>
      <c r="D3818" s="29" t="s">
        <v>3683</v>
      </c>
      <c r="E3818" s="29"/>
      <c r="F3818" s="29" t="s">
        <v>3686</v>
      </c>
      <c r="G3818" s="29"/>
      <c r="H3818" s="29" t="s">
        <v>3687</v>
      </c>
      <c r="I3818" s="29"/>
      <c r="J3818" s="29"/>
      <c r="K3818" s="29"/>
      <c r="L3818" s="29"/>
      <c r="M3818" s="29"/>
      <c r="N3818" s="29" t="s">
        <v>11099</v>
      </c>
      <c r="O3818" s="29"/>
      <c r="P3818" s="29" t="s">
        <v>11100</v>
      </c>
      <c r="Q3818" t="s">
        <v>2038</v>
      </c>
      <c r="R3818" t="s">
        <v>2632</v>
      </c>
      <c r="S3818">
        <v>37</v>
      </c>
      <c r="T3818" s="43" t="str">
        <f>HYPERLINK("https://ictv.global/ictv/proposals/2021.064B.R.Pharaohvirus_Refugevirus.zip","2021.064B.R.Pharaohvirus_Refugevirus.zip")</f>
        <v>2021.064B.R.Pharaohvirus_Refugevirus.zip</v>
      </c>
      <c r="U3818" s="43" t="str">
        <f>HYPERLINK("https://ictv.global/taxonomy/taxondetails?taxnode_id=202212882","ictv.global=202212882")</f>
        <v>ictv.global=202212882</v>
      </c>
    </row>
    <row r="3819" spans="1:21">
      <c r="A3819">
        <v>3818</v>
      </c>
      <c r="B3819" s="29" t="s">
        <v>3682</v>
      </c>
      <c r="C3819" s="29"/>
      <c r="D3819" s="29" t="s">
        <v>3683</v>
      </c>
      <c r="E3819" s="29"/>
      <c r="F3819" s="29" t="s">
        <v>3686</v>
      </c>
      <c r="G3819" s="29"/>
      <c r="H3819" s="29" t="s">
        <v>3687</v>
      </c>
      <c r="I3819" s="29"/>
      <c r="J3819" s="29"/>
      <c r="K3819" s="29"/>
      <c r="L3819" s="29"/>
      <c r="M3819" s="29"/>
      <c r="N3819" s="29" t="s">
        <v>11099</v>
      </c>
      <c r="O3819" s="29"/>
      <c r="P3819" s="29" t="s">
        <v>11101</v>
      </c>
      <c r="Q3819" t="s">
        <v>2038</v>
      </c>
      <c r="R3819" t="s">
        <v>2632</v>
      </c>
      <c r="S3819">
        <v>37</v>
      </c>
      <c r="T3819" s="43" t="str">
        <f>HYPERLINK("https://ictv.global/ictv/proposals/2021.064B.R.Pharaohvirus_Refugevirus.zip","2021.064B.R.Pharaohvirus_Refugevirus.zip")</f>
        <v>2021.064B.R.Pharaohvirus_Refugevirus.zip</v>
      </c>
      <c r="U3819" s="43" t="str">
        <f>HYPERLINK("https://ictv.global/taxonomy/taxondetails?taxnode_id=202212881","ictv.global=202212881")</f>
        <v>ictv.global=202212881</v>
      </c>
    </row>
    <row r="3820" spans="1:21">
      <c r="A3820">
        <v>3819</v>
      </c>
      <c r="B3820" s="29" t="s">
        <v>3682</v>
      </c>
      <c r="C3820" s="29"/>
      <c r="D3820" s="29" t="s">
        <v>3683</v>
      </c>
      <c r="E3820" s="29"/>
      <c r="F3820" s="29" t="s">
        <v>3686</v>
      </c>
      <c r="G3820" s="29"/>
      <c r="H3820" s="29" t="s">
        <v>3687</v>
      </c>
      <c r="I3820" s="29"/>
      <c r="J3820" s="29"/>
      <c r="K3820" s="29"/>
      <c r="L3820" s="29"/>
      <c r="M3820" s="29"/>
      <c r="N3820" s="29" t="s">
        <v>3588</v>
      </c>
      <c r="O3820" s="29"/>
      <c r="P3820" s="29" t="s">
        <v>11102</v>
      </c>
      <c r="Q3820" t="s">
        <v>2038</v>
      </c>
      <c r="R3820" t="s">
        <v>2632</v>
      </c>
      <c r="S3820">
        <v>37</v>
      </c>
      <c r="T3820" s="43" t="str">
        <f>HYPERLINK("https://ictv.global/ictv/proposals/2021.070B.R.Rerduovirus_new_species.zip","2021.070B.R.Rerduovirus_new_species.zip")</f>
        <v>2021.070B.R.Rerduovirus_new_species.zip</v>
      </c>
      <c r="U3820" s="43" t="str">
        <f>HYPERLINK("https://ictv.global/taxonomy/taxondetails?taxnode_id=202212894","ictv.global=202212894")</f>
        <v>ictv.global=202212894</v>
      </c>
    </row>
    <row r="3821" spans="1:21">
      <c r="A3821">
        <v>3820</v>
      </c>
      <c r="B3821" s="29" t="s">
        <v>3682</v>
      </c>
      <c r="C3821" s="29"/>
      <c r="D3821" s="29" t="s">
        <v>3683</v>
      </c>
      <c r="E3821" s="29"/>
      <c r="F3821" s="29" t="s">
        <v>3686</v>
      </c>
      <c r="G3821" s="29"/>
      <c r="H3821" s="29" t="s">
        <v>3687</v>
      </c>
      <c r="I3821" s="29"/>
      <c r="J3821" s="29"/>
      <c r="K3821" s="29"/>
      <c r="L3821" s="29"/>
      <c r="M3821" s="29"/>
      <c r="N3821" s="29" t="s">
        <v>3588</v>
      </c>
      <c r="O3821" s="29"/>
      <c r="P3821" s="29" t="s">
        <v>11103</v>
      </c>
      <c r="Q3821" t="s">
        <v>2038</v>
      </c>
      <c r="R3821" t="s">
        <v>2632</v>
      </c>
      <c r="S3821">
        <v>37</v>
      </c>
      <c r="T3821" s="43" t="str">
        <f>HYPERLINK("https://ictv.global/ictv/proposals/2021.070B.R.Rerduovirus_new_species.zip","2021.070B.R.Rerduovirus_new_species.zip")</f>
        <v>2021.070B.R.Rerduovirus_new_species.zip</v>
      </c>
      <c r="U3821" s="43" t="str">
        <f>HYPERLINK("https://ictv.global/taxonomy/taxondetails?taxnode_id=202212893","ictv.global=202212893")</f>
        <v>ictv.global=202212893</v>
      </c>
    </row>
    <row r="3822" spans="1:21">
      <c r="A3822">
        <v>3821</v>
      </c>
      <c r="B3822" s="29" t="s">
        <v>3682</v>
      </c>
      <c r="C3822" s="29"/>
      <c r="D3822" s="29" t="s">
        <v>3683</v>
      </c>
      <c r="E3822" s="29"/>
      <c r="F3822" s="29" t="s">
        <v>3686</v>
      </c>
      <c r="G3822" s="29"/>
      <c r="H3822" s="29" t="s">
        <v>3687</v>
      </c>
      <c r="I3822" s="29"/>
      <c r="J3822" s="29"/>
      <c r="K3822" s="29"/>
      <c r="L3822" s="29"/>
      <c r="M3822" s="29"/>
      <c r="N3822" s="29" t="s">
        <v>3588</v>
      </c>
      <c r="O3822" s="29"/>
      <c r="P3822" s="29" t="s">
        <v>11104</v>
      </c>
      <c r="Q3822" t="s">
        <v>2038</v>
      </c>
      <c r="R3822" t="s">
        <v>2633</v>
      </c>
      <c r="S3822">
        <v>37</v>
      </c>
      <c r="T3822" s="43" t="str">
        <f>HYPERLINK("https://ictv.global/ictv/proposals/2021.010B.R.Binomial_names.zip","2021.010B.R.Binomial_names.zip")</f>
        <v>2021.010B.R.Binomial_names.zip</v>
      </c>
      <c r="U3822" s="43" t="str">
        <f>HYPERLINK("https://ictv.global/taxonomy/taxondetails?taxnode_id=202201245","ictv.global=202201245")</f>
        <v>ictv.global=202201245</v>
      </c>
    </row>
    <row r="3823" spans="1:21">
      <c r="A3823">
        <v>3822</v>
      </c>
      <c r="B3823" s="29" t="s">
        <v>3682</v>
      </c>
      <c r="C3823" s="29"/>
      <c r="D3823" s="29" t="s">
        <v>3683</v>
      </c>
      <c r="E3823" s="29"/>
      <c r="F3823" s="29" t="s">
        <v>3686</v>
      </c>
      <c r="G3823" s="29"/>
      <c r="H3823" s="29" t="s">
        <v>3687</v>
      </c>
      <c r="I3823" s="29"/>
      <c r="J3823" s="29"/>
      <c r="K3823" s="29"/>
      <c r="L3823" s="29"/>
      <c r="M3823" s="29"/>
      <c r="N3823" s="29" t="s">
        <v>3588</v>
      </c>
      <c r="O3823" s="29"/>
      <c r="P3823" s="29" t="s">
        <v>11105</v>
      </c>
      <c r="Q3823" t="s">
        <v>2038</v>
      </c>
      <c r="R3823" t="s">
        <v>2633</v>
      </c>
      <c r="S3823">
        <v>37</v>
      </c>
      <c r="T3823" s="43" t="str">
        <f>HYPERLINK("https://ictv.global/ictv/proposals/2021.010B.R.Binomial_names.zip","2021.010B.R.Binomial_names.zip")</f>
        <v>2021.010B.R.Binomial_names.zip</v>
      </c>
      <c r="U3823" s="43" t="str">
        <f>HYPERLINK("https://ictv.global/taxonomy/taxondetails?taxnode_id=202201363","ictv.global=202201363")</f>
        <v>ictv.global=202201363</v>
      </c>
    </row>
    <row r="3824" spans="1:21">
      <c r="A3824">
        <v>3823</v>
      </c>
      <c r="B3824" s="29" t="s">
        <v>3682</v>
      </c>
      <c r="C3824" s="29"/>
      <c r="D3824" s="29" t="s">
        <v>3683</v>
      </c>
      <c r="E3824" s="29"/>
      <c r="F3824" s="29" t="s">
        <v>3686</v>
      </c>
      <c r="G3824" s="29"/>
      <c r="H3824" s="29" t="s">
        <v>3687</v>
      </c>
      <c r="I3824" s="29"/>
      <c r="J3824" s="29"/>
      <c r="K3824" s="29"/>
      <c r="L3824" s="29"/>
      <c r="M3824" s="29"/>
      <c r="N3824" s="29" t="s">
        <v>3588</v>
      </c>
      <c r="O3824" s="29"/>
      <c r="P3824" s="29" t="s">
        <v>11106</v>
      </c>
      <c r="Q3824" t="s">
        <v>2038</v>
      </c>
      <c r="R3824" t="s">
        <v>2632</v>
      </c>
      <c r="S3824">
        <v>37</v>
      </c>
      <c r="T3824" s="43" t="str">
        <f>HYPERLINK("https://ictv.global/ictv/proposals/2021.070B.R.Rerduovirus_new_species.zip","2021.070B.R.Rerduovirus_new_species.zip")</f>
        <v>2021.070B.R.Rerduovirus_new_species.zip</v>
      </c>
      <c r="U3824" s="43" t="str">
        <f>HYPERLINK("https://ictv.global/taxonomy/taxondetails?taxnode_id=202212895","ictv.global=202212895")</f>
        <v>ictv.global=202212895</v>
      </c>
    </row>
    <row r="3825" spans="1:21">
      <c r="A3825">
        <v>3824</v>
      </c>
      <c r="B3825" s="29" t="s">
        <v>3682</v>
      </c>
      <c r="C3825" s="29"/>
      <c r="D3825" s="29" t="s">
        <v>3683</v>
      </c>
      <c r="E3825" s="29"/>
      <c r="F3825" s="29" t="s">
        <v>3686</v>
      </c>
      <c r="G3825" s="29"/>
      <c r="H3825" s="29" t="s">
        <v>3687</v>
      </c>
      <c r="I3825" s="29"/>
      <c r="J3825" s="29"/>
      <c r="K3825" s="29"/>
      <c r="L3825" s="29"/>
      <c r="M3825" s="29"/>
      <c r="N3825" s="29" t="s">
        <v>11107</v>
      </c>
      <c r="O3825" s="29"/>
      <c r="P3825" s="29" t="s">
        <v>11108</v>
      </c>
      <c r="Q3825" t="s">
        <v>2038</v>
      </c>
      <c r="R3825" t="s">
        <v>2632</v>
      </c>
      <c r="S3825">
        <v>38</v>
      </c>
      <c r="T3825" s="43" t="str">
        <f>HYPERLINK("https://ictv.global/ictv/proposals/2022.080B.Caudoviricetes_6ng.zip","2022.080B.Caudoviricetes_6ng.zip")</f>
        <v>2022.080B.Caudoviricetes_6ng.zip</v>
      </c>
      <c r="U3825" s="43" t="str">
        <f>HYPERLINK("https://ictv.global/taxonomy/taxondetails?taxnode_id=202214864","ictv.global=202214864")</f>
        <v>ictv.global=202214864</v>
      </c>
    </row>
    <row r="3826" spans="1:21">
      <c r="A3826">
        <v>3825</v>
      </c>
      <c r="B3826" s="29" t="s">
        <v>3682</v>
      </c>
      <c r="C3826" s="29"/>
      <c r="D3826" s="29" t="s">
        <v>3683</v>
      </c>
      <c r="E3826" s="29"/>
      <c r="F3826" s="29" t="s">
        <v>3686</v>
      </c>
      <c r="G3826" s="29"/>
      <c r="H3826" s="29" t="s">
        <v>3687</v>
      </c>
      <c r="I3826" s="29"/>
      <c r="J3826" s="29"/>
      <c r="K3826" s="29"/>
      <c r="L3826" s="29"/>
      <c r="M3826" s="29"/>
      <c r="N3826" s="29" t="s">
        <v>11107</v>
      </c>
      <c r="O3826" s="29"/>
      <c r="P3826" s="29" t="s">
        <v>11109</v>
      </c>
      <c r="Q3826" t="s">
        <v>2038</v>
      </c>
      <c r="R3826" t="s">
        <v>2632</v>
      </c>
      <c r="S3826">
        <v>38</v>
      </c>
      <c r="T3826" s="43" t="str">
        <f>HYPERLINK("https://ictv.global/ictv/proposals/2022.080B.Caudoviricetes_6ng.zip","2022.080B.Caudoviricetes_6ng.zip")</f>
        <v>2022.080B.Caudoviricetes_6ng.zip</v>
      </c>
      <c r="U3826" s="43" t="str">
        <f>HYPERLINK("https://ictv.global/taxonomy/taxondetails?taxnode_id=202214863","ictv.global=202214863")</f>
        <v>ictv.global=202214863</v>
      </c>
    </row>
    <row r="3827" spans="1:21">
      <c r="A3827">
        <v>3826</v>
      </c>
      <c r="B3827" s="29" t="s">
        <v>3682</v>
      </c>
      <c r="C3827" s="29"/>
      <c r="D3827" s="29" t="s">
        <v>3683</v>
      </c>
      <c r="E3827" s="29"/>
      <c r="F3827" s="29" t="s">
        <v>3686</v>
      </c>
      <c r="G3827" s="29"/>
      <c r="H3827" s="29" t="s">
        <v>3687</v>
      </c>
      <c r="I3827" s="29"/>
      <c r="J3827" s="29"/>
      <c r="K3827" s="29"/>
      <c r="L3827" s="29"/>
      <c r="M3827" s="29"/>
      <c r="N3827" s="29" t="s">
        <v>3589</v>
      </c>
      <c r="O3827" s="29"/>
      <c r="P3827" s="29" t="s">
        <v>11110</v>
      </c>
      <c r="Q3827" t="s">
        <v>2038</v>
      </c>
      <c r="R3827" t="s">
        <v>2633</v>
      </c>
      <c r="S3827">
        <v>37</v>
      </c>
      <c r="T3827" s="43" t="str">
        <f>HYPERLINK("https://ictv.global/ictv/proposals/2021.010B.R.Binomial_names.zip","2021.010B.R.Binomial_names.zip")</f>
        <v>2021.010B.R.Binomial_names.zip</v>
      </c>
      <c r="U3827" s="43" t="str">
        <f>HYPERLINK("https://ictv.global/taxonomy/taxondetails?taxnode_id=202206863","ictv.global=202206863")</f>
        <v>ictv.global=202206863</v>
      </c>
    </row>
    <row r="3828" spans="1:21">
      <c r="A3828">
        <v>3827</v>
      </c>
      <c r="B3828" s="29" t="s">
        <v>3682</v>
      </c>
      <c r="C3828" s="29"/>
      <c r="D3828" s="29" t="s">
        <v>3683</v>
      </c>
      <c r="E3828" s="29"/>
      <c r="F3828" s="29" t="s">
        <v>3686</v>
      </c>
      <c r="G3828" s="29"/>
      <c r="H3828" s="29" t="s">
        <v>3687</v>
      </c>
      <c r="I3828" s="29"/>
      <c r="J3828" s="29"/>
      <c r="K3828" s="29"/>
      <c r="L3828" s="29"/>
      <c r="M3828" s="29"/>
      <c r="N3828" s="29" t="s">
        <v>3590</v>
      </c>
      <c r="O3828" s="29"/>
      <c r="P3828" s="29" t="s">
        <v>11111</v>
      </c>
      <c r="Q3828" t="s">
        <v>2038</v>
      </c>
      <c r="R3828" t="s">
        <v>2633</v>
      </c>
      <c r="S3828">
        <v>37</v>
      </c>
      <c r="T3828" s="43" t="str">
        <f>HYPERLINK("https://ictv.global/ictv/proposals/2021.010B.R.Binomial_names.zip","2021.010B.R.Binomial_names.zip")</f>
        <v>2021.010B.R.Binomial_names.zip</v>
      </c>
      <c r="U3828" s="43" t="str">
        <f>HYPERLINK("https://ictv.global/taxonomy/taxondetails?taxnode_id=202206752","ictv.global=202206752")</f>
        <v>ictv.global=202206752</v>
      </c>
    </row>
    <row r="3829" spans="1:21">
      <c r="A3829">
        <v>3828</v>
      </c>
      <c r="B3829" s="29" t="s">
        <v>3682</v>
      </c>
      <c r="C3829" s="29"/>
      <c r="D3829" s="29" t="s">
        <v>3683</v>
      </c>
      <c r="E3829" s="29"/>
      <c r="F3829" s="29" t="s">
        <v>3686</v>
      </c>
      <c r="G3829" s="29"/>
      <c r="H3829" s="29" t="s">
        <v>3687</v>
      </c>
      <c r="I3829" s="29"/>
      <c r="J3829" s="29"/>
      <c r="K3829" s="29"/>
      <c r="L3829" s="29"/>
      <c r="M3829" s="29"/>
      <c r="N3829" s="29" t="s">
        <v>3590</v>
      </c>
      <c r="O3829" s="29"/>
      <c r="P3829" s="29" t="s">
        <v>11112</v>
      </c>
      <c r="Q3829" t="s">
        <v>2038</v>
      </c>
      <c r="R3829" t="s">
        <v>2633</v>
      </c>
      <c r="S3829">
        <v>37</v>
      </c>
      <c r="T3829" s="43" t="str">
        <f>HYPERLINK("https://ictv.global/ictv/proposals/2021.010B.R.Binomial_names.zip","2021.010B.R.Binomial_names.zip")</f>
        <v>2021.010B.R.Binomial_names.zip</v>
      </c>
      <c r="U3829" s="43" t="str">
        <f>HYPERLINK("https://ictv.global/taxonomy/taxondetails?taxnode_id=202206751","ictv.global=202206751")</f>
        <v>ictv.global=202206751</v>
      </c>
    </row>
    <row r="3830" spans="1:21">
      <c r="A3830">
        <v>3829</v>
      </c>
      <c r="B3830" s="29" t="s">
        <v>3682</v>
      </c>
      <c r="C3830" s="29"/>
      <c r="D3830" s="29" t="s">
        <v>3683</v>
      </c>
      <c r="E3830" s="29"/>
      <c r="F3830" s="29" t="s">
        <v>3686</v>
      </c>
      <c r="G3830" s="29"/>
      <c r="H3830" s="29" t="s">
        <v>3687</v>
      </c>
      <c r="I3830" s="29"/>
      <c r="J3830" s="29"/>
      <c r="K3830" s="29"/>
      <c r="L3830" s="29"/>
      <c r="M3830" s="29"/>
      <c r="N3830" s="29" t="s">
        <v>3432</v>
      </c>
      <c r="O3830" s="29"/>
      <c r="P3830" s="29" t="s">
        <v>11113</v>
      </c>
      <c r="Q3830" t="s">
        <v>2038</v>
      </c>
      <c r="R3830" t="s">
        <v>2633</v>
      </c>
      <c r="S3830">
        <v>37</v>
      </c>
      <c r="T3830" s="43" t="str">
        <f>HYPERLINK("https://ictv.global/ictv/proposals/2021.010B.R.Binomial_names.zip","2021.010B.R.Binomial_names.zip")</f>
        <v>2021.010B.R.Binomial_names.zip</v>
      </c>
      <c r="U3830" s="43" t="str">
        <f>HYPERLINK("https://ictv.global/taxonomy/taxondetails?taxnode_id=202206865","ictv.global=202206865")</f>
        <v>ictv.global=202206865</v>
      </c>
    </row>
    <row r="3831" spans="1:21">
      <c r="A3831">
        <v>3830</v>
      </c>
      <c r="B3831" s="29" t="s">
        <v>3682</v>
      </c>
      <c r="C3831" s="29"/>
      <c r="D3831" s="29" t="s">
        <v>3683</v>
      </c>
      <c r="E3831" s="29"/>
      <c r="F3831" s="29" t="s">
        <v>3686</v>
      </c>
      <c r="G3831" s="29"/>
      <c r="H3831" s="29" t="s">
        <v>3687</v>
      </c>
      <c r="I3831" s="29"/>
      <c r="J3831" s="29"/>
      <c r="K3831" s="29"/>
      <c r="L3831" s="29"/>
      <c r="M3831" s="29"/>
      <c r="N3831" s="29" t="s">
        <v>3433</v>
      </c>
      <c r="O3831" s="29"/>
      <c r="P3831" s="29" t="s">
        <v>11114</v>
      </c>
      <c r="Q3831" t="s">
        <v>2038</v>
      </c>
      <c r="R3831" t="s">
        <v>2633</v>
      </c>
      <c r="S3831">
        <v>37</v>
      </c>
      <c r="T3831" s="43" t="str">
        <f>HYPERLINK("https://ictv.global/ictv/proposals/2021.010B.R.Binomial_names.zip","2021.010B.R.Binomial_names.zip")</f>
        <v>2021.010B.R.Binomial_names.zip</v>
      </c>
      <c r="U3831" s="43" t="str">
        <f>HYPERLINK("https://ictv.global/taxonomy/taxondetails?taxnode_id=202206867","ictv.global=202206867")</f>
        <v>ictv.global=202206867</v>
      </c>
    </row>
    <row r="3832" spans="1:21">
      <c r="A3832">
        <v>3831</v>
      </c>
      <c r="B3832" s="29" t="s">
        <v>3682</v>
      </c>
      <c r="C3832" s="29"/>
      <c r="D3832" s="29" t="s">
        <v>3683</v>
      </c>
      <c r="E3832" s="29"/>
      <c r="F3832" s="29" t="s">
        <v>3686</v>
      </c>
      <c r="G3832" s="29"/>
      <c r="H3832" s="29" t="s">
        <v>3687</v>
      </c>
      <c r="I3832" s="29"/>
      <c r="J3832" s="29"/>
      <c r="K3832" s="29"/>
      <c r="L3832" s="29"/>
      <c r="M3832" s="29"/>
      <c r="N3832" s="29" t="s">
        <v>11115</v>
      </c>
      <c r="O3832" s="29"/>
      <c r="P3832" s="29" t="s">
        <v>11116</v>
      </c>
      <c r="Q3832" t="s">
        <v>2038</v>
      </c>
      <c r="R3832" t="s">
        <v>2632</v>
      </c>
      <c r="S3832">
        <v>38</v>
      </c>
      <c r="T3832" s="43" t="str">
        <f>HYPERLINK("https://ictv.global/ictv/proposals/2022.070B.Rivsvirus_ng.zip","2022.070B.Rivsvirus_ng.zip")</f>
        <v>2022.070B.Rivsvirus_ng.zip</v>
      </c>
      <c r="U3832" s="43" t="str">
        <f>HYPERLINK("https://ictv.global/taxonomy/taxondetails?taxnode_id=202214795","ictv.global=202214795")</f>
        <v>ictv.global=202214795</v>
      </c>
    </row>
    <row r="3833" spans="1:21">
      <c r="A3833">
        <v>3832</v>
      </c>
      <c r="B3833" s="29" t="s">
        <v>3682</v>
      </c>
      <c r="C3833" s="29"/>
      <c r="D3833" s="29" t="s">
        <v>3683</v>
      </c>
      <c r="E3833" s="29"/>
      <c r="F3833" s="29" t="s">
        <v>3686</v>
      </c>
      <c r="G3833" s="29"/>
      <c r="H3833" s="29" t="s">
        <v>3687</v>
      </c>
      <c r="I3833" s="29"/>
      <c r="J3833" s="29"/>
      <c r="K3833" s="29"/>
      <c r="L3833" s="29"/>
      <c r="M3833" s="29"/>
      <c r="N3833" s="29" t="s">
        <v>4768</v>
      </c>
      <c r="O3833" s="29"/>
      <c r="P3833" s="29" t="s">
        <v>11117</v>
      </c>
      <c r="Q3833" t="s">
        <v>2038</v>
      </c>
      <c r="R3833" t="s">
        <v>2633</v>
      </c>
      <c r="S3833">
        <v>37</v>
      </c>
      <c r="T3833" s="43" t="str">
        <f t="shared" ref="T3833:T3842" si="179">HYPERLINK("https://ictv.global/ictv/proposals/2021.010B.R.Binomial_names.zip","2021.010B.R.Binomial_names.zip")</f>
        <v>2021.010B.R.Binomial_names.zip</v>
      </c>
      <c r="U3833" s="43" t="str">
        <f>HYPERLINK("https://ictv.global/taxonomy/taxondetails?taxnode_id=202201210","ictv.global=202201210")</f>
        <v>ictv.global=202201210</v>
      </c>
    </row>
    <row r="3834" spans="1:21">
      <c r="A3834">
        <v>3833</v>
      </c>
      <c r="B3834" s="29" t="s">
        <v>3682</v>
      </c>
      <c r="C3834" s="29"/>
      <c r="D3834" s="29" t="s">
        <v>3683</v>
      </c>
      <c r="E3834" s="29"/>
      <c r="F3834" s="29" t="s">
        <v>3686</v>
      </c>
      <c r="G3834" s="29"/>
      <c r="H3834" s="29" t="s">
        <v>3687</v>
      </c>
      <c r="I3834" s="29"/>
      <c r="J3834" s="29"/>
      <c r="K3834" s="29"/>
      <c r="L3834" s="29"/>
      <c r="M3834" s="29"/>
      <c r="N3834" s="29" t="s">
        <v>4768</v>
      </c>
      <c r="O3834" s="29"/>
      <c r="P3834" s="29" t="s">
        <v>11118</v>
      </c>
      <c r="Q3834" t="s">
        <v>2038</v>
      </c>
      <c r="R3834" t="s">
        <v>2633</v>
      </c>
      <c r="S3834">
        <v>37</v>
      </c>
      <c r="T3834" s="43" t="str">
        <f t="shared" si="179"/>
        <v>2021.010B.R.Binomial_names.zip</v>
      </c>
      <c r="U3834" s="43" t="str">
        <f>HYPERLINK("https://ictv.global/taxonomy/taxondetails?taxnode_id=202211676","ictv.global=202211676")</f>
        <v>ictv.global=202211676</v>
      </c>
    </row>
    <row r="3835" spans="1:21">
      <c r="A3835">
        <v>3834</v>
      </c>
      <c r="B3835" s="29" t="s">
        <v>3682</v>
      </c>
      <c r="C3835" s="29"/>
      <c r="D3835" s="29" t="s">
        <v>3683</v>
      </c>
      <c r="E3835" s="29"/>
      <c r="F3835" s="29" t="s">
        <v>3686</v>
      </c>
      <c r="G3835" s="29"/>
      <c r="H3835" s="29" t="s">
        <v>3687</v>
      </c>
      <c r="I3835" s="29"/>
      <c r="J3835" s="29"/>
      <c r="K3835" s="29"/>
      <c r="L3835" s="29"/>
      <c r="M3835" s="29"/>
      <c r="N3835" s="29" t="s">
        <v>4768</v>
      </c>
      <c r="O3835" s="29"/>
      <c r="P3835" s="29" t="s">
        <v>11119</v>
      </c>
      <c r="Q3835" t="s">
        <v>2038</v>
      </c>
      <c r="R3835" t="s">
        <v>2633</v>
      </c>
      <c r="S3835">
        <v>37</v>
      </c>
      <c r="T3835" s="43" t="str">
        <f t="shared" si="179"/>
        <v>2021.010B.R.Binomial_names.zip</v>
      </c>
      <c r="U3835" s="43" t="str">
        <f>HYPERLINK("https://ictv.global/taxonomy/taxondetails?taxnode_id=202211675","ictv.global=202211675")</f>
        <v>ictv.global=202211675</v>
      </c>
    </row>
    <row r="3836" spans="1:21">
      <c r="A3836">
        <v>3835</v>
      </c>
      <c r="B3836" s="29" t="s">
        <v>3682</v>
      </c>
      <c r="C3836" s="29"/>
      <c r="D3836" s="29" t="s">
        <v>3683</v>
      </c>
      <c r="E3836" s="29"/>
      <c r="F3836" s="29" t="s">
        <v>3686</v>
      </c>
      <c r="G3836" s="29"/>
      <c r="H3836" s="29" t="s">
        <v>3687</v>
      </c>
      <c r="I3836" s="29"/>
      <c r="J3836" s="29"/>
      <c r="K3836" s="29"/>
      <c r="L3836" s="29"/>
      <c r="M3836" s="29"/>
      <c r="N3836" s="29" t="s">
        <v>4768</v>
      </c>
      <c r="O3836" s="29"/>
      <c r="P3836" s="29" t="s">
        <v>11120</v>
      </c>
      <c r="Q3836" t="s">
        <v>2038</v>
      </c>
      <c r="R3836" t="s">
        <v>2633</v>
      </c>
      <c r="S3836">
        <v>37</v>
      </c>
      <c r="T3836" s="43" t="str">
        <f t="shared" si="179"/>
        <v>2021.010B.R.Binomial_names.zip</v>
      </c>
      <c r="U3836" s="43" t="str">
        <f>HYPERLINK("https://ictv.global/taxonomy/taxondetails?taxnode_id=202201212","ictv.global=202201212")</f>
        <v>ictv.global=202201212</v>
      </c>
    </row>
    <row r="3837" spans="1:21">
      <c r="A3837">
        <v>3836</v>
      </c>
      <c r="B3837" s="29" t="s">
        <v>3682</v>
      </c>
      <c r="C3837" s="29"/>
      <c r="D3837" s="29" t="s">
        <v>3683</v>
      </c>
      <c r="E3837" s="29"/>
      <c r="F3837" s="29" t="s">
        <v>3686</v>
      </c>
      <c r="G3837" s="29"/>
      <c r="H3837" s="29" t="s">
        <v>3687</v>
      </c>
      <c r="I3837" s="29"/>
      <c r="J3837" s="29"/>
      <c r="K3837" s="29"/>
      <c r="L3837" s="29"/>
      <c r="M3837" s="29"/>
      <c r="N3837" s="29" t="s">
        <v>4768</v>
      </c>
      <c r="O3837" s="29"/>
      <c r="P3837" s="29" t="s">
        <v>11121</v>
      </c>
      <c r="Q3837" t="s">
        <v>2038</v>
      </c>
      <c r="R3837" t="s">
        <v>2633</v>
      </c>
      <c r="S3837">
        <v>37</v>
      </c>
      <c r="T3837" s="43" t="str">
        <f t="shared" si="179"/>
        <v>2021.010B.R.Binomial_names.zip</v>
      </c>
      <c r="U3837" s="43" t="str">
        <f>HYPERLINK("https://ictv.global/taxonomy/taxondetails?taxnode_id=202201213","ictv.global=202201213")</f>
        <v>ictv.global=202201213</v>
      </c>
    </row>
    <row r="3838" spans="1:21">
      <c r="A3838">
        <v>3837</v>
      </c>
      <c r="B3838" s="29" t="s">
        <v>3682</v>
      </c>
      <c r="C3838" s="29"/>
      <c r="D3838" s="29" t="s">
        <v>3683</v>
      </c>
      <c r="E3838" s="29"/>
      <c r="F3838" s="29" t="s">
        <v>3686</v>
      </c>
      <c r="G3838" s="29"/>
      <c r="H3838" s="29" t="s">
        <v>3687</v>
      </c>
      <c r="I3838" s="29"/>
      <c r="J3838" s="29"/>
      <c r="K3838" s="29"/>
      <c r="L3838" s="29"/>
      <c r="M3838" s="29"/>
      <c r="N3838" s="29" t="s">
        <v>4768</v>
      </c>
      <c r="O3838" s="29"/>
      <c r="P3838" s="29" t="s">
        <v>11122</v>
      </c>
      <c r="Q3838" t="s">
        <v>2038</v>
      </c>
      <c r="R3838" t="s">
        <v>2633</v>
      </c>
      <c r="S3838">
        <v>37</v>
      </c>
      <c r="T3838" s="43" t="str">
        <f t="shared" si="179"/>
        <v>2021.010B.R.Binomial_names.zip</v>
      </c>
      <c r="U3838" s="43" t="str">
        <f>HYPERLINK("https://ictv.global/taxonomy/taxondetails?taxnode_id=202201215","ictv.global=202201215")</f>
        <v>ictv.global=202201215</v>
      </c>
    </row>
    <row r="3839" spans="1:21">
      <c r="A3839">
        <v>3838</v>
      </c>
      <c r="B3839" s="29" t="s">
        <v>3682</v>
      </c>
      <c r="C3839" s="29"/>
      <c r="D3839" s="29" t="s">
        <v>3683</v>
      </c>
      <c r="E3839" s="29"/>
      <c r="F3839" s="29" t="s">
        <v>3686</v>
      </c>
      <c r="G3839" s="29"/>
      <c r="H3839" s="29" t="s">
        <v>3687</v>
      </c>
      <c r="I3839" s="29"/>
      <c r="J3839" s="29"/>
      <c r="K3839" s="29"/>
      <c r="L3839" s="29"/>
      <c r="M3839" s="29"/>
      <c r="N3839" s="29" t="s">
        <v>4769</v>
      </c>
      <c r="O3839" s="29"/>
      <c r="P3839" s="29" t="s">
        <v>11123</v>
      </c>
      <c r="Q3839" t="s">
        <v>2038</v>
      </c>
      <c r="R3839" t="s">
        <v>2633</v>
      </c>
      <c r="S3839">
        <v>37</v>
      </c>
      <c r="T3839" s="43" t="str">
        <f t="shared" si="179"/>
        <v>2021.010B.R.Binomial_names.zip</v>
      </c>
      <c r="U3839" s="43" t="str">
        <f>HYPERLINK("https://ictv.global/taxonomy/taxondetails?taxnode_id=202211678","ictv.global=202211678")</f>
        <v>ictv.global=202211678</v>
      </c>
    </row>
    <row r="3840" spans="1:21">
      <c r="A3840">
        <v>3839</v>
      </c>
      <c r="B3840" s="29" t="s">
        <v>3682</v>
      </c>
      <c r="C3840" s="29"/>
      <c r="D3840" s="29" t="s">
        <v>3683</v>
      </c>
      <c r="E3840" s="29"/>
      <c r="F3840" s="29" t="s">
        <v>3686</v>
      </c>
      <c r="G3840" s="29"/>
      <c r="H3840" s="29" t="s">
        <v>3687</v>
      </c>
      <c r="I3840" s="29"/>
      <c r="J3840" s="29"/>
      <c r="K3840" s="29"/>
      <c r="L3840" s="29"/>
      <c r="M3840" s="29"/>
      <c r="N3840" s="29" t="s">
        <v>4029</v>
      </c>
      <c r="O3840" s="29"/>
      <c r="P3840" s="29" t="s">
        <v>11124</v>
      </c>
      <c r="Q3840" t="s">
        <v>2038</v>
      </c>
      <c r="R3840" t="s">
        <v>2633</v>
      </c>
      <c r="S3840">
        <v>37</v>
      </c>
      <c r="T3840" s="43" t="str">
        <f t="shared" si="179"/>
        <v>2021.010B.R.Binomial_names.zip</v>
      </c>
      <c r="U3840" s="43" t="str">
        <f>HYPERLINK("https://ictv.global/taxonomy/taxondetails?taxnode_id=202207546","ictv.global=202207546")</f>
        <v>ictv.global=202207546</v>
      </c>
    </row>
    <row r="3841" spans="1:21">
      <c r="A3841">
        <v>3840</v>
      </c>
      <c r="B3841" s="29" t="s">
        <v>3682</v>
      </c>
      <c r="C3841" s="29"/>
      <c r="D3841" s="29" t="s">
        <v>3683</v>
      </c>
      <c r="E3841" s="29"/>
      <c r="F3841" s="29" t="s">
        <v>3686</v>
      </c>
      <c r="G3841" s="29"/>
      <c r="H3841" s="29" t="s">
        <v>3687</v>
      </c>
      <c r="I3841" s="29"/>
      <c r="J3841" s="29"/>
      <c r="K3841" s="29"/>
      <c r="L3841" s="29"/>
      <c r="M3841" s="29"/>
      <c r="N3841" s="29" t="s">
        <v>4030</v>
      </c>
      <c r="O3841" s="29"/>
      <c r="P3841" s="29" t="s">
        <v>11125</v>
      </c>
      <c r="Q3841" t="s">
        <v>2038</v>
      </c>
      <c r="R3841" t="s">
        <v>2633</v>
      </c>
      <c r="S3841">
        <v>37</v>
      </c>
      <c r="T3841" s="43" t="str">
        <f t="shared" si="179"/>
        <v>2021.010B.R.Binomial_names.zip</v>
      </c>
      <c r="U3841" s="43" t="str">
        <f>HYPERLINK("https://ictv.global/taxonomy/taxondetails?taxnode_id=202207556","ictv.global=202207556")</f>
        <v>ictv.global=202207556</v>
      </c>
    </row>
    <row r="3842" spans="1:21">
      <c r="A3842">
        <v>3841</v>
      </c>
      <c r="B3842" s="29" t="s">
        <v>3682</v>
      </c>
      <c r="C3842" s="29"/>
      <c r="D3842" s="29" t="s">
        <v>3683</v>
      </c>
      <c r="E3842" s="29"/>
      <c r="F3842" s="29" t="s">
        <v>3686</v>
      </c>
      <c r="G3842" s="29"/>
      <c r="H3842" s="29" t="s">
        <v>3687</v>
      </c>
      <c r="I3842" s="29"/>
      <c r="J3842" s="29"/>
      <c r="K3842" s="29"/>
      <c r="L3842" s="29"/>
      <c r="M3842" s="29"/>
      <c r="N3842" s="29" t="s">
        <v>4030</v>
      </c>
      <c r="O3842" s="29"/>
      <c r="P3842" s="29" t="s">
        <v>11126</v>
      </c>
      <c r="Q3842" t="s">
        <v>2038</v>
      </c>
      <c r="R3842" t="s">
        <v>2633</v>
      </c>
      <c r="S3842">
        <v>37</v>
      </c>
      <c r="T3842" s="43" t="str">
        <f t="shared" si="179"/>
        <v>2021.010B.R.Binomial_names.zip</v>
      </c>
      <c r="U3842" s="43" t="str">
        <f>HYPERLINK("https://ictv.global/taxonomy/taxondetails?taxnode_id=202207555","ictv.global=202207555")</f>
        <v>ictv.global=202207555</v>
      </c>
    </row>
    <row r="3843" spans="1:21">
      <c r="A3843">
        <v>3842</v>
      </c>
      <c r="B3843" s="29" t="s">
        <v>3682</v>
      </c>
      <c r="C3843" s="29"/>
      <c r="D3843" s="29" t="s">
        <v>3683</v>
      </c>
      <c r="E3843" s="29"/>
      <c r="F3843" s="29" t="s">
        <v>3686</v>
      </c>
      <c r="G3843" s="29"/>
      <c r="H3843" s="29" t="s">
        <v>3687</v>
      </c>
      <c r="I3843" s="29"/>
      <c r="J3843" s="29"/>
      <c r="K3843" s="29"/>
      <c r="L3843" s="29"/>
      <c r="M3843" s="29"/>
      <c r="N3843" s="29" t="s">
        <v>11127</v>
      </c>
      <c r="O3843" s="29"/>
      <c r="P3843" s="29" t="s">
        <v>11128</v>
      </c>
      <c r="Q3843" t="s">
        <v>2038</v>
      </c>
      <c r="R3843" t="s">
        <v>2632</v>
      </c>
      <c r="S3843">
        <v>37</v>
      </c>
      <c r="T3843" s="43" t="str">
        <f>HYPERLINK("https://ictv.global/ictv/proposals/2021.071B.R.Rosariovirus.zip","2021.071B.R.Rosariovirus.zip")</f>
        <v>2021.071B.R.Rosariovirus.zip</v>
      </c>
      <c r="U3843" s="43" t="str">
        <f>HYPERLINK("https://ictv.global/taxonomy/taxondetails?taxnode_id=202212897","ictv.global=202212897")</f>
        <v>ictv.global=202212897</v>
      </c>
    </row>
    <row r="3844" spans="1:21">
      <c r="A3844">
        <v>3843</v>
      </c>
      <c r="B3844" s="29" t="s">
        <v>3682</v>
      </c>
      <c r="C3844" s="29"/>
      <c r="D3844" s="29" t="s">
        <v>3683</v>
      </c>
      <c r="E3844" s="29"/>
      <c r="F3844" s="29" t="s">
        <v>3686</v>
      </c>
      <c r="G3844" s="29"/>
      <c r="H3844" s="29" t="s">
        <v>3687</v>
      </c>
      <c r="I3844" s="29"/>
      <c r="J3844" s="29"/>
      <c r="K3844" s="29"/>
      <c r="L3844" s="29"/>
      <c r="M3844" s="29"/>
      <c r="N3844" s="29" t="s">
        <v>3941</v>
      </c>
      <c r="O3844" s="29"/>
      <c r="P3844" s="29" t="s">
        <v>11129</v>
      </c>
      <c r="Q3844" t="s">
        <v>2038</v>
      </c>
      <c r="R3844" t="s">
        <v>2633</v>
      </c>
      <c r="S3844">
        <v>37</v>
      </c>
      <c r="T3844" s="43" t="str">
        <f>HYPERLINK("https://ictv.global/ictv/proposals/2021.010B.R.Binomial_names.zip","2021.010B.R.Binomial_names.zip")</f>
        <v>2021.010B.R.Binomial_names.zip</v>
      </c>
      <c r="U3844" s="43" t="str">
        <f>HYPERLINK("https://ictv.global/taxonomy/taxondetails?taxnode_id=202211684","ictv.global=202211684")</f>
        <v>ictv.global=202211684</v>
      </c>
    </row>
    <row r="3845" spans="1:21">
      <c r="A3845">
        <v>3844</v>
      </c>
      <c r="B3845" s="29" t="s">
        <v>3682</v>
      </c>
      <c r="C3845" s="29"/>
      <c r="D3845" s="29" t="s">
        <v>3683</v>
      </c>
      <c r="E3845" s="29"/>
      <c r="F3845" s="29" t="s">
        <v>3686</v>
      </c>
      <c r="G3845" s="29"/>
      <c r="H3845" s="29" t="s">
        <v>3687</v>
      </c>
      <c r="I3845" s="29"/>
      <c r="J3845" s="29"/>
      <c r="K3845" s="29"/>
      <c r="L3845" s="29"/>
      <c r="M3845" s="29"/>
      <c r="N3845" s="29" t="s">
        <v>3941</v>
      </c>
      <c r="O3845" s="29"/>
      <c r="P3845" s="29" t="s">
        <v>11130</v>
      </c>
      <c r="Q3845" t="s">
        <v>2038</v>
      </c>
      <c r="R3845" t="s">
        <v>2633</v>
      </c>
      <c r="S3845">
        <v>37</v>
      </c>
      <c r="T3845" s="43" t="str">
        <f>HYPERLINK("https://ictv.global/ictv/proposals/2021.010B.R.Binomial_names.zip","2021.010B.R.Binomial_names.zip")</f>
        <v>2021.010B.R.Binomial_names.zip</v>
      </c>
      <c r="U3845" s="43" t="str">
        <f>HYPERLINK("https://ictv.global/taxonomy/taxondetails?taxnode_id=202207916","ictv.global=202207916")</f>
        <v>ictv.global=202207916</v>
      </c>
    </row>
    <row r="3846" spans="1:21">
      <c r="A3846">
        <v>3845</v>
      </c>
      <c r="B3846" s="29" t="s">
        <v>3682</v>
      </c>
      <c r="C3846" s="29"/>
      <c r="D3846" s="29" t="s">
        <v>3683</v>
      </c>
      <c r="E3846" s="29"/>
      <c r="F3846" s="29" t="s">
        <v>3686</v>
      </c>
      <c r="G3846" s="29"/>
      <c r="H3846" s="29" t="s">
        <v>3687</v>
      </c>
      <c r="I3846" s="29"/>
      <c r="J3846" s="29"/>
      <c r="K3846" s="29"/>
      <c r="L3846" s="29"/>
      <c r="M3846" s="29"/>
      <c r="N3846" s="29" t="s">
        <v>3941</v>
      </c>
      <c r="O3846" s="29"/>
      <c r="P3846" s="29" t="s">
        <v>11131</v>
      </c>
      <c r="Q3846" t="s">
        <v>2038</v>
      </c>
      <c r="R3846" t="s">
        <v>2633</v>
      </c>
      <c r="S3846">
        <v>37</v>
      </c>
      <c r="T3846" s="43" t="str">
        <f>HYPERLINK("https://ictv.global/ictv/proposals/2021.010B.R.Binomial_names.zip","2021.010B.R.Binomial_names.zip")</f>
        <v>2021.010B.R.Binomial_names.zip</v>
      </c>
      <c r="U3846" s="43" t="str">
        <f>HYPERLINK("https://ictv.global/taxonomy/taxondetails?taxnode_id=202211682","ictv.global=202211682")</f>
        <v>ictv.global=202211682</v>
      </c>
    </row>
    <row r="3847" spans="1:21">
      <c r="A3847">
        <v>3846</v>
      </c>
      <c r="B3847" s="29" t="s">
        <v>3682</v>
      </c>
      <c r="C3847" s="29"/>
      <c r="D3847" s="29" t="s">
        <v>3683</v>
      </c>
      <c r="E3847" s="29"/>
      <c r="F3847" s="29" t="s">
        <v>3686</v>
      </c>
      <c r="G3847" s="29"/>
      <c r="H3847" s="29" t="s">
        <v>3687</v>
      </c>
      <c r="I3847" s="29"/>
      <c r="J3847" s="29"/>
      <c r="K3847" s="29"/>
      <c r="L3847" s="29"/>
      <c r="M3847" s="29"/>
      <c r="N3847" s="29" t="s">
        <v>3941</v>
      </c>
      <c r="O3847" s="29"/>
      <c r="P3847" s="29" t="s">
        <v>11132</v>
      </c>
      <c r="Q3847" t="s">
        <v>2038</v>
      </c>
      <c r="R3847" t="s">
        <v>2633</v>
      </c>
      <c r="S3847">
        <v>37</v>
      </c>
      <c r="T3847" s="43" t="str">
        <f>HYPERLINK("https://ictv.global/ictv/proposals/2021.010B.R.Binomial_names.zip","2021.010B.R.Binomial_names.zip")</f>
        <v>2021.010B.R.Binomial_names.zip</v>
      </c>
      <c r="U3847" s="43" t="str">
        <f>HYPERLINK("https://ictv.global/taxonomy/taxondetails?taxnode_id=202211685","ictv.global=202211685")</f>
        <v>ictv.global=202211685</v>
      </c>
    </row>
    <row r="3848" spans="1:21">
      <c r="A3848">
        <v>3847</v>
      </c>
      <c r="B3848" s="29" t="s">
        <v>3682</v>
      </c>
      <c r="C3848" s="29"/>
      <c r="D3848" s="29" t="s">
        <v>3683</v>
      </c>
      <c r="E3848" s="29"/>
      <c r="F3848" s="29" t="s">
        <v>3686</v>
      </c>
      <c r="G3848" s="29"/>
      <c r="H3848" s="29" t="s">
        <v>3687</v>
      </c>
      <c r="I3848" s="29"/>
      <c r="J3848" s="29"/>
      <c r="K3848" s="29"/>
      <c r="L3848" s="29"/>
      <c r="M3848" s="29"/>
      <c r="N3848" s="29" t="s">
        <v>3941</v>
      </c>
      <c r="O3848" s="29"/>
      <c r="P3848" s="29" t="s">
        <v>11133</v>
      </c>
      <c r="Q3848" t="s">
        <v>2038</v>
      </c>
      <c r="R3848" t="s">
        <v>2633</v>
      </c>
      <c r="S3848">
        <v>37</v>
      </c>
      <c r="T3848" s="43" t="str">
        <f>HYPERLINK("https://ictv.global/ictv/proposals/2021.010B.R.Binomial_names.zip","2021.010B.R.Binomial_names.zip")</f>
        <v>2021.010B.R.Binomial_names.zip</v>
      </c>
      <c r="U3848" s="43" t="str">
        <f>HYPERLINK("https://ictv.global/taxonomy/taxondetails?taxnode_id=202211683","ictv.global=202211683")</f>
        <v>ictv.global=202211683</v>
      </c>
    </row>
    <row r="3849" spans="1:21">
      <c r="A3849">
        <v>3848</v>
      </c>
      <c r="B3849" s="29" t="s">
        <v>3682</v>
      </c>
      <c r="C3849" s="29"/>
      <c r="D3849" s="29" t="s">
        <v>3683</v>
      </c>
      <c r="E3849" s="29"/>
      <c r="F3849" s="29" t="s">
        <v>3686</v>
      </c>
      <c r="G3849" s="29"/>
      <c r="H3849" s="29" t="s">
        <v>3687</v>
      </c>
      <c r="I3849" s="29"/>
      <c r="J3849" s="29"/>
      <c r="K3849" s="29"/>
      <c r="L3849" s="29"/>
      <c r="M3849" s="29"/>
      <c r="N3849" s="29" t="s">
        <v>11134</v>
      </c>
      <c r="O3849" s="29"/>
      <c r="P3849" s="29" t="s">
        <v>11135</v>
      </c>
      <c r="Q3849" t="s">
        <v>2038</v>
      </c>
      <c r="R3849" t="s">
        <v>2632</v>
      </c>
      <c r="S3849">
        <v>38</v>
      </c>
      <c r="T3849" s="43" t="str">
        <f>HYPERLINK("https://ictv.global/ictv/proposals/2022.071B.Roslyckyvirus_ng.zip","2022.071B.Roslyckyvirus_ng.zip")</f>
        <v>2022.071B.Roslyckyvirus_ng.zip</v>
      </c>
      <c r="U3849" s="43" t="str">
        <f>HYPERLINK("https://ictv.global/taxonomy/taxondetails?taxnode_id=202214797","ictv.global=202214797")</f>
        <v>ictv.global=202214797</v>
      </c>
    </row>
    <row r="3850" spans="1:21">
      <c r="A3850">
        <v>3849</v>
      </c>
      <c r="B3850" s="29" t="s">
        <v>3682</v>
      </c>
      <c r="C3850" s="29"/>
      <c r="D3850" s="29" t="s">
        <v>3683</v>
      </c>
      <c r="E3850" s="29"/>
      <c r="F3850" s="29" t="s">
        <v>3686</v>
      </c>
      <c r="G3850" s="29"/>
      <c r="H3850" s="29" t="s">
        <v>3687</v>
      </c>
      <c r="I3850" s="29"/>
      <c r="J3850" s="29"/>
      <c r="K3850" s="29"/>
      <c r="L3850" s="29"/>
      <c r="M3850" s="29"/>
      <c r="N3850" s="29" t="s">
        <v>3591</v>
      </c>
      <c r="O3850" s="29"/>
      <c r="P3850" s="29" t="s">
        <v>11136</v>
      </c>
      <c r="Q3850" t="s">
        <v>2038</v>
      </c>
      <c r="R3850" t="s">
        <v>2633</v>
      </c>
      <c r="S3850">
        <v>37</v>
      </c>
      <c r="T3850" s="43" t="str">
        <f t="shared" ref="T3850:T3857" si="180">HYPERLINK("https://ictv.global/ictv/proposals/2021.010B.R.Binomial_names.zip","2021.010B.R.Binomial_names.zip")</f>
        <v>2021.010B.R.Binomial_names.zip</v>
      </c>
      <c r="U3850" s="43" t="str">
        <f>HYPERLINK("https://ictv.global/taxonomy/taxondetails?taxnode_id=202201235","ictv.global=202201235")</f>
        <v>ictv.global=202201235</v>
      </c>
    </row>
    <row r="3851" spans="1:21">
      <c r="A3851">
        <v>3850</v>
      </c>
      <c r="B3851" s="29" t="s">
        <v>3682</v>
      </c>
      <c r="C3851" s="29"/>
      <c r="D3851" s="29" t="s">
        <v>3683</v>
      </c>
      <c r="E3851" s="29"/>
      <c r="F3851" s="29" t="s">
        <v>3686</v>
      </c>
      <c r="G3851" s="29"/>
      <c r="H3851" s="29" t="s">
        <v>3687</v>
      </c>
      <c r="I3851" s="29"/>
      <c r="J3851" s="29"/>
      <c r="K3851" s="29"/>
      <c r="L3851" s="29"/>
      <c r="M3851" s="29"/>
      <c r="N3851" s="29" t="s">
        <v>4031</v>
      </c>
      <c r="O3851" s="29"/>
      <c r="P3851" s="29" t="s">
        <v>11137</v>
      </c>
      <c r="Q3851" t="s">
        <v>2038</v>
      </c>
      <c r="R3851" t="s">
        <v>2633</v>
      </c>
      <c r="S3851">
        <v>37</v>
      </c>
      <c r="T3851" s="43" t="str">
        <f t="shared" si="180"/>
        <v>2021.010B.R.Binomial_names.zip</v>
      </c>
      <c r="U3851" s="43" t="str">
        <f>HYPERLINK("https://ictv.global/taxonomy/taxondetails?taxnode_id=202208025","ictv.global=202208025")</f>
        <v>ictv.global=202208025</v>
      </c>
    </row>
    <row r="3852" spans="1:21">
      <c r="A3852">
        <v>3851</v>
      </c>
      <c r="B3852" s="29" t="s">
        <v>3682</v>
      </c>
      <c r="C3852" s="29"/>
      <c r="D3852" s="29" t="s">
        <v>3683</v>
      </c>
      <c r="E3852" s="29"/>
      <c r="F3852" s="29" t="s">
        <v>3686</v>
      </c>
      <c r="G3852" s="29"/>
      <c r="H3852" s="29" t="s">
        <v>3687</v>
      </c>
      <c r="I3852" s="29"/>
      <c r="J3852" s="29"/>
      <c r="K3852" s="29"/>
      <c r="L3852" s="29"/>
      <c r="M3852" s="29"/>
      <c r="N3852" s="29" t="s">
        <v>4032</v>
      </c>
      <c r="O3852" s="29"/>
      <c r="P3852" s="29" t="s">
        <v>11138</v>
      </c>
      <c r="Q3852" t="s">
        <v>2038</v>
      </c>
      <c r="R3852" t="s">
        <v>2633</v>
      </c>
      <c r="S3852">
        <v>37</v>
      </c>
      <c r="T3852" s="43" t="str">
        <f t="shared" si="180"/>
        <v>2021.010B.R.Binomial_names.zip</v>
      </c>
      <c r="U3852" s="43" t="str">
        <f>HYPERLINK("https://ictv.global/taxonomy/taxondetails?taxnode_id=202209982","ictv.global=202209982")</f>
        <v>ictv.global=202209982</v>
      </c>
    </row>
    <row r="3853" spans="1:21">
      <c r="A3853">
        <v>3852</v>
      </c>
      <c r="B3853" s="29" t="s">
        <v>3682</v>
      </c>
      <c r="C3853" s="29"/>
      <c r="D3853" s="29" t="s">
        <v>3683</v>
      </c>
      <c r="E3853" s="29"/>
      <c r="F3853" s="29" t="s">
        <v>3686</v>
      </c>
      <c r="G3853" s="29"/>
      <c r="H3853" s="29" t="s">
        <v>3687</v>
      </c>
      <c r="I3853" s="29"/>
      <c r="J3853" s="29"/>
      <c r="K3853" s="29"/>
      <c r="L3853" s="29"/>
      <c r="M3853" s="29"/>
      <c r="N3853" s="29" t="s">
        <v>4032</v>
      </c>
      <c r="O3853" s="29"/>
      <c r="P3853" s="29" t="s">
        <v>11139</v>
      </c>
      <c r="Q3853" t="s">
        <v>2038</v>
      </c>
      <c r="R3853" t="s">
        <v>2633</v>
      </c>
      <c r="S3853">
        <v>37</v>
      </c>
      <c r="T3853" s="43" t="str">
        <f t="shared" si="180"/>
        <v>2021.010B.R.Binomial_names.zip</v>
      </c>
      <c r="U3853" s="43" t="str">
        <f>HYPERLINK("https://ictv.global/taxonomy/taxondetails?taxnode_id=202207568","ictv.global=202207568")</f>
        <v>ictv.global=202207568</v>
      </c>
    </row>
    <row r="3854" spans="1:21">
      <c r="A3854">
        <v>3853</v>
      </c>
      <c r="B3854" s="29" t="s">
        <v>3682</v>
      </c>
      <c r="C3854" s="29"/>
      <c r="D3854" s="29" t="s">
        <v>3683</v>
      </c>
      <c r="E3854" s="29"/>
      <c r="F3854" s="29" t="s">
        <v>3686</v>
      </c>
      <c r="G3854" s="29"/>
      <c r="H3854" s="29" t="s">
        <v>3687</v>
      </c>
      <c r="I3854" s="29"/>
      <c r="J3854" s="29"/>
      <c r="K3854" s="29"/>
      <c r="L3854" s="29"/>
      <c r="M3854" s="29"/>
      <c r="N3854" s="29" t="s">
        <v>3962</v>
      </c>
      <c r="O3854" s="29"/>
      <c r="P3854" s="29" t="s">
        <v>11140</v>
      </c>
      <c r="Q3854" t="s">
        <v>2038</v>
      </c>
      <c r="R3854" t="s">
        <v>2633</v>
      </c>
      <c r="S3854">
        <v>37</v>
      </c>
      <c r="T3854" s="43" t="str">
        <f t="shared" si="180"/>
        <v>2021.010B.R.Binomial_names.zip</v>
      </c>
      <c r="U3854" s="43" t="str">
        <f>HYPERLINK("https://ictv.global/taxonomy/taxondetails?taxnode_id=202200628","ictv.global=202200628")</f>
        <v>ictv.global=202200628</v>
      </c>
    </row>
    <row r="3855" spans="1:21">
      <c r="A3855">
        <v>3854</v>
      </c>
      <c r="B3855" s="29" t="s">
        <v>3682</v>
      </c>
      <c r="C3855" s="29"/>
      <c r="D3855" s="29" t="s">
        <v>3683</v>
      </c>
      <c r="E3855" s="29"/>
      <c r="F3855" s="29" t="s">
        <v>3686</v>
      </c>
      <c r="G3855" s="29"/>
      <c r="H3855" s="29" t="s">
        <v>3687</v>
      </c>
      <c r="I3855" s="29"/>
      <c r="J3855" s="29"/>
      <c r="K3855" s="29"/>
      <c r="L3855" s="29"/>
      <c r="M3855" s="29"/>
      <c r="N3855" s="29" t="s">
        <v>3942</v>
      </c>
      <c r="O3855" s="29"/>
      <c r="P3855" s="29" t="s">
        <v>11141</v>
      </c>
      <c r="Q3855" t="s">
        <v>2038</v>
      </c>
      <c r="R3855" t="s">
        <v>2633</v>
      </c>
      <c r="S3855">
        <v>37</v>
      </c>
      <c r="T3855" s="43" t="str">
        <f t="shared" si="180"/>
        <v>2021.010B.R.Binomial_names.zip</v>
      </c>
      <c r="U3855" s="43" t="str">
        <f>HYPERLINK("https://ictv.global/taxonomy/taxondetails?taxnode_id=202207935","ictv.global=202207935")</f>
        <v>ictv.global=202207935</v>
      </c>
    </row>
    <row r="3856" spans="1:21">
      <c r="A3856">
        <v>3855</v>
      </c>
      <c r="B3856" s="29" t="s">
        <v>3682</v>
      </c>
      <c r="C3856" s="29"/>
      <c r="D3856" s="29" t="s">
        <v>3683</v>
      </c>
      <c r="E3856" s="29"/>
      <c r="F3856" s="29" t="s">
        <v>3686</v>
      </c>
      <c r="G3856" s="29"/>
      <c r="H3856" s="29" t="s">
        <v>3687</v>
      </c>
      <c r="I3856" s="29"/>
      <c r="J3856" s="29"/>
      <c r="K3856" s="29"/>
      <c r="L3856" s="29"/>
      <c r="M3856" s="29"/>
      <c r="N3856" s="29" t="s">
        <v>3942</v>
      </c>
      <c r="O3856" s="29"/>
      <c r="P3856" s="29" t="s">
        <v>11142</v>
      </c>
      <c r="Q3856" t="s">
        <v>2038</v>
      </c>
      <c r="R3856" t="s">
        <v>2633</v>
      </c>
      <c r="S3856">
        <v>37</v>
      </c>
      <c r="T3856" s="43" t="str">
        <f t="shared" si="180"/>
        <v>2021.010B.R.Binomial_names.zip</v>
      </c>
      <c r="U3856" s="43" t="str">
        <f>HYPERLINK("https://ictv.global/taxonomy/taxondetails?taxnode_id=202207934","ictv.global=202207934")</f>
        <v>ictv.global=202207934</v>
      </c>
    </row>
    <row r="3857" spans="1:21">
      <c r="A3857">
        <v>3856</v>
      </c>
      <c r="B3857" s="29" t="s">
        <v>3682</v>
      </c>
      <c r="C3857" s="29"/>
      <c r="D3857" s="29" t="s">
        <v>3683</v>
      </c>
      <c r="E3857" s="29"/>
      <c r="F3857" s="29" t="s">
        <v>3686</v>
      </c>
      <c r="G3857" s="29"/>
      <c r="H3857" s="29" t="s">
        <v>3687</v>
      </c>
      <c r="I3857" s="29"/>
      <c r="J3857" s="29"/>
      <c r="K3857" s="29"/>
      <c r="L3857" s="29"/>
      <c r="M3857" s="29"/>
      <c r="N3857" s="29" t="s">
        <v>3942</v>
      </c>
      <c r="O3857" s="29"/>
      <c r="P3857" s="29" t="s">
        <v>11143</v>
      </c>
      <c r="Q3857" t="s">
        <v>2038</v>
      </c>
      <c r="R3857" t="s">
        <v>2633</v>
      </c>
      <c r="S3857">
        <v>37</v>
      </c>
      <c r="T3857" s="43" t="str">
        <f t="shared" si="180"/>
        <v>2021.010B.R.Binomial_names.zip</v>
      </c>
      <c r="U3857" s="43" t="str">
        <f>HYPERLINK("https://ictv.global/taxonomy/taxondetails?taxnode_id=202207933","ictv.global=202207933")</f>
        <v>ictv.global=202207933</v>
      </c>
    </row>
    <row r="3858" spans="1:21">
      <c r="A3858">
        <v>3857</v>
      </c>
      <c r="B3858" s="29" t="s">
        <v>3682</v>
      </c>
      <c r="C3858" s="29"/>
      <c r="D3858" s="29" t="s">
        <v>3683</v>
      </c>
      <c r="E3858" s="29"/>
      <c r="F3858" s="29" t="s">
        <v>3686</v>
      </c>
      <c r="G3858" s="29"/>
      <c r="H3858" s="29" t="s">
        <v>3687</v>
      </c>
      <c r="I3858" s="29"/>
      <c r="J3858" s="29"/>
      <c r="K3858" s="29"/>
      <c r="L3858" s="29"/>
      <c r="M3858" s="29"/>
      <c r="N3858" s="29" t="s">
        <v>11144</v>
      </c>
      <c r="O3858" s="29"/>
      <c r="P3858" s="29" t="s">
        <v>11145</v>
      </c>
      <c r="Q3858" t="s">
        <v>2038</v>
      </c>
      <c r="R3858" t="s">
        <v>2632</v>
      </c>
      <c r="S3858">
        <v>37</v>
      </c>
      <c r="T3858" s="43" t="str">
        <f>HYPERLINK("https://ictv.global/ictv/proposals/2021.074B.R.Sagamiharavirus.zip","2021.074B.R.Sagamiharavirus.zip")</f>
        <v>2021.074B.R.Sagamiharavirus.zip</v>
      </c>
      <c r="U3858" s="43" t="str">
        <f>HYPERLINK("https://ictv.global/taxonomy/taxondetails?taxnode_id=202212913","ictv.global=202212913")</f>
        <v>ictv.global=202212913</v>
      </c>
    </row>
    <row r="3859" spans="1:21">
      <c r="A3859">
        <v>3858</v>
      </c>
      <c r="B3859" s="29" t="s">
        <v>3682</v>
      </c>
      <c r="C3859" s="29"/>
      <c r="D3859" s="29" t="s">
        <v>3683</v>
      </c>
      <c r="E3859" s="29"/>
      <c r="F3859" s="29" t="s">
        <v>3686</v>
      </c>
      <c r="G3859" s="29"/>
      <c r="H3859" s="29" t="s">
        <v>3687</v>
      </c>
      <c r="I3859" s="29"/>
      <c r="J3859" s="29"/>
      <c r="K3859" s="29"/>
      <c r="L3859" s="29"/>
      <c r="M3859" s="29"/>
      <c r="N3859" s="29" t="s">
        <v>4580</v>
      </c>
      <c r="O3859" s="29"/>
      <c r="P3859" s="29" t="s">
        <v>11146</v>
      </c>
      <c r="Q3859" t="s">
        <v>2038</v>
      </c>
      <c r="R3859" t="s">
        <v>2633</v>
      </c>
      <c r="S3859">
        <v>37</v>
      </c>
      <c r="T3859" s="43" t="str">
        <f>HYPERLINK("https://ictv.global/ictv/proposals/2021.010B.R.Binomial_names.zip","2021.010B.R.Binomial_names.zip")</f>
        <v>2021.010B.R.Binomial_names.zip</v>
      </c>
      <c r="U3859" s="43" t="str">
        <f>HYPERLINK("https://ictv.global/taxonomy/taxondetails?taxnode_id=202211724","ictv.global=202211724")</f>
        <v>ictv.global=202211724</v>
      </c>
    </row>
    <row r="3860" spans="1:21">
      <c r="A3860">
        <v>3859</v>
      </c>
      <c r="B3860" s="29" t="s">
        <v>3682</v>
      </c>
      <c r="C3860" s="29"/>
      <c r="D3860" s="29" t="s">
        <v>3683</v>
      </c>
      <c r="E3860" s="29"/>
      <c r="F3860" s="29" t="s">
        <v>3686</v>
      </c>
      <c r="G3860" s="29"/>
      <c r="H3860" s="29" t="s">
        <v>3687</v>
      </c>
      <c r="I3860" s="29"/>
      <c r="J3860" s="29"/>
      <c r="K3860" s="29"/>
      <c r="L3860" s="29"/>
      <c r="M3860" s="29"/>
      <c r="N3860" s="29" t="s">
        <v>3944</v>
      </c>
      <c r="O3860" s="29"/>
      <c r="P3860" s="29" t="s">
        <v>11147</v>
      </c>
      <c r="Q3860" t="s">
        <v>2038</v>
      </c>
      <c r="R3860" t="s">
        <v>2633</v>
      </c>
      <c r="S3860">
        <v>37</v>
      </c>
      <c r="T3860" s="43" t="str">
        <f>HYPERLINK("https://ictv.global/ictv/proposals/2021.010B.R.Binomial_names.zip","2021.010B.R.Binomial_names.zip")</f>
        <v>2021.010B.R.Binomial_names.zip</v>
      </c>
      <c r="U3860" s="43" t="str">
        <f>HYPERLINK("https://ictv.global/taxonomy/taxondetails?taxnode_id=202207925","ictv.global=202207925")</f>
        <v>ictv.global=202207925</v>
      </c>
    </row>
    <row r="3861" spans="1:21">
      <c r="A3861">
        <v>3860</v>
      </c>
      <c r="B3861" s="29" t="s">
        <v>3682</v>
      </c>
      <c r="C3861" s="29"/>
      <c r="D3861" s="29" t="s">
        <v>3683</v>
      </c>
      <c r="E3861" s="29"/>
      <c r="F3861" s="29" t="s">
        <v>3686</v>
      </c>
      <c r="G3861" s="29"/>
      <c r="H3861" s="29" t="s">
        <v>3687</v>
      </c>
      <c r="I3861" s="29"/>
      <c r="J3861" s="29"/>
      <c r="K3861" s="29"/>
      <c r="L3861" s="29"/>
      <c r="M3861" s="29"/>
      <c r="N3861" s="29" t="s">
        <v>3944</v>
      </c>
      <c r="O3861" s="29"/>
      <c r="P3861" s="29" t="s">
        <v>11148</v>
      </c>
      <c r="Q3861" t="s">
        <v>2038</v>
      </c>
      <c r="R3861" t="s">
        <v>2633</v>
      </c>
      <c r="S3861">
        <v>37</v>
      </c>
      <c r="T3861" s="43" t="str">
        <f>HYPERLINK("https://ictv.global/ictv/proposals/2021.010B.R.Binomial_names.zip","2021.010B.R.Binomial_names.zip")</f>
        <v>2021.010B.R.Binomial_names.zip</v>
      </c>
      <c r="U3861" s="43" t="str">
        <f>HYPERLINK("https://ictv.global/taxonomy/taxondetails?taxnode_id=202207926","ictv.global=202207926")</f>
        <v>ictv.global=202207926</v>
      </c>
    </row>
    <row r="3862" spans="1:21">
      <c r="A3862">
        <v>3861</v>
      </c>
      <c r="B3862" s="29" t="s">
        <v>3682</v>
      </c>
      <c r="C3862" s="29"/>
      <c r="D3862" s="29" t="s">
        <v>3683</v>
      </c>
      <c r="E3862" s="29"/>
      <c r="F3862" s="29" t="s">
        <v>3686</v>
      </c>
      <c r="G3862" s="29"/>
      <c r="H3862" s="29" t="s">
        <v>3687</v>
      </c>
      <c r="I3862" s="29"/>
      <c r="J3862" s="29"/>
      <c r="K3862" s="29"/>
      <c r="L3862" s="29"/>
      <c r="M3862" s="29"/>
      <c r="N3862" s="29" t="s">
        <v>11149</v>
      </c>
      <c r="O3862" s="29"/>
      <c r="P3862" s="29" t="s">
        <v>11150</v>
      </c>
      <c r="Q3862" t="s">
        <v>2038</v>
      </c>
      <c r="R3862" t="s">
        <v>2632</v>
      </c>
      <c r="S3862">
        <v>37</v>
      </c>
      <c r="T3862" s="43" t="str">
        <f>HYPERLINK("https://ictv.global/ictv/proposals/2021.078B.R.Siphoviridae_new_genera.zip","2021.078B.R.Siphoviridae_new_genera.zip")</f>
        <v>2021.078B.R.Siphoviridae_new_genera.zip</v>
      </c>
      <c r="U3862" s="43" t="str">
        <f>HYPERLINK("https://ictv.global/taxonomy/taxondetails?taxnode_id=202213642","ictv.global=202213642")</f>
        <v>ictv.global=202213642</v>
      </c>
    </row>
    <row r="3863" spans="1:21">
      <c r="A3863">
        <v>3862</v>
      </c>
      <c r="B3863" s="29" t="s">
        <v>3682</v>
      </c>
      <c r="C3863" s="29"/>
      <c r="D3863" s="29" t="s">
        <v>3683</v>
      </c>
      <c r="E3863" s="29"/>
      <c r="F3863" s="29" t="s">
        <v>3686</v>
      </c>
      <c r="G3863" s="29"/>
      <c r="H3863" s="29" t="s">
        <v>3687</v>
      </c>
      <c r="I3863" s="29"/>
      <c r="J3863" s="29"/>
      <c r="K3863" s="29"/>
      <c r="L3863" s="29"/>
      <c r="M3863" s="29"/>
      <c r="N3863" s="29" t="s">
        <v>3593</v>
      </c>
      <c r="O3863" s="29"/>
      <c r="P3863" s="29" t="s">
        <v>11151</v>
      </c>
      <c r="Q3863" t="s">
        <v>2038</v>
      </c>
      <c r="R3863" t="s">
        <v>2633</v>
      </c>
      <c r="S3863">
        <v>37</v>
      </c>
      <c r="T3863" s="43" t="str">
        <f t="shared" ref="T3863:T3869" si="181">HYPERLINK("https://ictv.global/ictv/proposals/2021.010B.R.Binomial_names.zip","2021.010B.R.Binomial_names.zip")</f>
        <v>2021.010B.R.Binomial_names.zip</v>
      </c>
      <c r="U3863" s="43" t="str">
        <f>HYPERLINK("https://ictv.global/taxonomy/taxondetails?taxnode_id=202206869","ictv.global=202206869")</f>
        <v>ictv.global=202206869</v>
      </c>
    </row>
    <row r="3864" spans="1:21">
      <c r="A3864">
        <v>3863</v>
      </c>
      <c r="B3864" s="29" t="s">
        <v>3682</v>
      </c>
      <c r="C3864" s="29"/>
      <c r="D3864" s="29" t="s">
        <v>3683</v>
      </c>
      <c r="E3864" s="29"/>
      <c r="F3864" s="29" t="s">
        <v>3686</v>
      </c>
      <c r="G3864" s="29"/>
      <c r="H3864" s="29" t="s">
        <v>3687</v>
      </c>
      <c r="I3864" s="29"/>
      <c r="J3864" s="29"/>
      <c r="K3864" s="29"/>
      <c r="L3864" s="29"/>
      <c r="M3864" s="29"/>
      <c r="N3864" s="29" t="s">
        <v>4033</v>
      </c>
      <c r="O3864" s="29"/>
      <c r="P3864" s="29" t="s">
        <v>11152</v>
      </c>
      <c r="Q3864" t="s">
        <v>2038</v>
      </c>
      <c r="R3864" t="s">
        <v>2633</v>
      </c>
      <c r="S3864">
        <v>37</v>
      </c>
      <c r="T3864" s="43" t="str">
        <f t="shared" si="181"/>
        <v>2021.010B.R.Binomial_names.zip</v>
      </c>
      <c r="U3864" s="43" t="str">
        <f>HYPERLINK("https://ictv.global/taxonomy/taxondetails?taxnode_id=202211962","ictv.global=202211962")</f>
        <v>ictv.global=202211962</v>
      </c>
    </row>
    <row r="3865" spans="1:21">
      <c r="A3865">
        <v>3864</v>
      </c>
      <c r="B3865" s="29" t="s">
        <v>3682</v>
      </c>
      <c r="C3865" s="29"/>
      <c r="D3865" s="29" t="s">
        <v>3683</v>
      </c>
      <c r="E3865" s="29"/>
      <c r="F3865" s="29" t="s">
        <v>3686</v>
      </c>
      <c r="G3865" s="29"/>
      <c r="H3865" s="29" t="s">
        <v>3687</v>
      </c>
      <c r="I3865" s="29"/>
      <c r="J3865" s="29"/>
      <c r="K3865" s="29"/>
      <c r="L3865" s="29"/>
      <c r="M3865" s="29"/>
      <c r="N3865" s="29" t="s">
        <v>4033</v>
      </c>
      <c r="O3865" s="29"/>
      <c r="P3865" s="29" t="s">
        <v>11153</v>
      </c>
      <c r="Q3865" t="s">
        <v>2038</v>
      </c>
      <c r="R3865" t="s">
        <v>2633</v>
      </c>
      <c r="S3865">
        <v>37</v>
      </c>
      <c r="T3865" s="43" t="str">
        <f t="shared" si="181"/>
        <v>2021.010B.R.Binomial_names.zip</v>
      </c>
      <c r="U3865" s="43" t="str">
        <f>HYPERLINK("https://ictv.global/taxonomy/taxondetails?taxnode_id=202211961","ictv.global=202211961")</f>
        <v>ictv.global=202211961</v>
      </c>
    </row>
    <row r="3866" spans="1:21">
      <c r="A3866">
        <v>3865</v>
      </c>
      <c r="B3866" s="29" t="s">
        <v>3682</v>
      </c>
      <c r="C3866" s="29"/>
      <c r="D3866" s="29" t="s">
        <v>3683</v>
      </c>
      <c r="E3866" s="29"/>
      <c r="F3866" s="29" t="s">
        <v>3686</v>
      </c>
      <c r="G3866" s="29"/>
      <c r="H3866" s="29" t="s">
        <v>3687</v>
      </c>
      <c r="I3866" s="29"/>
      <c r="J3866" s="29"/>
      <c r="K3866" s="29"/>
      <c r="L3866" s="29"/>
      <c r="M3866" s="29"/>
      <c r="N3866" s="29" t="s">
        <v>4033</v>
      </c>
      <c r="O3866" s="29"/>
      <c r="P3866" s="29" t="s">
        <v>11154</v>
      </c>
      <c r="Q3866" t="s">
        <v>2038</v>
      </c>
      <c r="R3866" t="s">
        <v>2633</v>
      </c>
      <c r="S3866">
        <v>37</v>
      </c>
      <c r="T3866" s="43" t="str">
        <f t="shared" si="181"/>
        <v>2021.010B.R.Binomial_names.zip</v>
      </c>
      <c r="U3866" s="43" t="str">
        <f>HYPERLINK("https://ictv.global/taxonomy/taxondetails?taxnode_id=202207653","ictv.global=202207653")</f>
        <v>ictv.global=202207653</v>
      </c>
    </row>
    <row r="3867" spans="1:21">
      <c r="A3867">
        <v>3866</v>
      </c>
      <c r="B3867" s="29" t="s">
        <v>3682</v>
      </c>
      <c r="C3867" s="29"/>
      <c r="D3867" s="29" t="s">
        <v>3683</v>
      </c>
      <c r="E3867" s="29"/>
      <c r="F3867" s="29" t="s">
        <v>3686</v>
      </c>
      <c r="G3867" s="29"/>
      <c r="H3867" s="29" t="s">
        <v>3687</v>
      </c>
      <c r="I3867" s="29"/>
      <c r="J3867" s="29"/>
      <c r="K3867" s="29"/>
      <c r="L3867" s="29"/>
      <c r="M3867" s="29"/>
      <c r="N3867" s="29" t="s">
        <v>4033</v>
      </c>
      <c r="O3867" s="29"/>
      <c r="P3867" s="29" t="s">
        <v>11155</v>
      </c>
      <c r="Q3867" t="s">
        <v>2038</v>
      </c>
      <c r="R3867" t="s">
        <v>2633</v>
      </c>
      <c r="S3867">
        <v>37</v>
      </c>
      <c r="T3867" s="43" t="str">
        <f t="shared" si="181"/>
        <v>2021.010B.R.Binomial_names.zip</v>
      </c>
      <c r="U3867" s="43" t="str">
        <f>HYPERLINK("https://ictv.global/taxonomy/taxondetails?taxnode_id=202211960","ictv.global=202211960")</f>
        <v>ictv.global=202211960</v>
      </c>
    </row>
    <row r="3868" spans="1:21">
      <c r="A3868">
        <v>3867</v>
      </c>
      <c r="B3868" s="29" t="s">
        <v>3682</v>
      </c>
      <c r="C3868" s="29"/>
      <c r="D3868" s="29" t="s">
        <v>3683</v>
      </c>
      <c r="E3868" s="29"/>
      <c r="F3868" s="29" t="s">
        <v>3686</v>
      </c>
      <c r="G3868" s="29"/>
      <c r="H3868" s="29" t="s">
        <v>3687</v>
      </c>
      <c r="I3868" s="29"/>
      <c r="J3868" s="29"/>
      <c r="K3868" s="29"/>
      <c r="L3868" s="29"/>
      <c r="M3868" s="29"/>
      <c r="N3868" s="29" t="s">
        <v>4033</v>
      </c>
      <c r="O3868" s="29"/>
      <c r="P3868" s="29" t="s">
        <v>11156</v>
      </c>
      <c r="Q3868" t="s">
        <v>2038</v>
      </c>
      <c r="R3868" t="s">
        <v>2633</v>
      </c>
      <c r="S3868">
        <v>37</v>
      </c>
      <c r="T3868" s="43" t="str">
        <f t="shared" si="181"/>
        <v>2021.010B.R.Binomial_names.zip</v>
      </c>
      <c r="U3868" s="43" t="str">
        <f>HYPERLINK("https://ictv.global/taxonomy/taxondetails?taxnode_id=202211959","ictv.global=202211959")</f>
        <v>ictv.global=202211959</v>
      </c>
    </row>
    <row r="3869" spans="1:21">
      <c r="A3869">
        <v>3868</v>
      </c>
      <c r="B3869" s="29" t="s">
        <v>3682</v>
      </c>
      <c r="C3869" s="29"/>
      <c r="D3869" s="29" t="s">
        <v>3683</v>
      </c>
      <c r="E3869" s="29"/>
      <c r="F3869" s="29" t="s">
        <v>3686</v>
      </c>
      <c r="G3869" s="29"/>
      <c r="H3869" s="29" t="s">
        <v>3687</v>
      </c>
      <c r="I3869" s="29"/>
      <c r="J3869" s="29"/>
      <c r="K3869" s="29"/>
      <c r="L3869" s="29"/>
      <c r="M3869" s="29"/>
      <c r="N3869" s="29" t="s">
        <v>4770</v>
      </c>
      <c r="O3869" s="29"/>
      <c r="P3869" s="29" t="s">
        <v>11157</v>
      </c>
      <c r="Q3869" t="s">
        <v>2038</v>
      </c>
      <c r="R3869" t="s">
        <v>2633</v>
      </c>
      <c r="S3869">
        <v>37</v>
      </c>
      <c r="T3869" s="43" t="str">
        <f t="shared" si="181"/>
        <v>2021.010B.R.Binomial_names.zip</v>
      </c>
      <c r="U3869" s="43" t="str">
        <f>HYPERLINK("https://ictv.global/taxonomy/taxondetails?taxnode_id=202211764","ictv.global=202211764")</f>
        <v>ictv.global=202211764</v>
      </c>
    </row>
    <row r="3870" spans="1:21">
      <c r="A3870">
        <v>3869</v>
      </c>
      <c r="B3870" s="29" t="s">
        <v>3682</v>
      </c>
      <c r="C3870" s="29"/>
      <c r="D3870" s="29" t="s">
        <v>3683</v>
      </c>
      <c r="E3870" s="29"/>
      <c r="F3870" s="29" t="s">
        <v>3686</v>
      </c>
      <c r="G3870" s="29"/>
      <c r="H3870" s="29" t="s">
        <v>3687</v>
      </c>
      <c r="I3870" s="29"/>
      <c r="J3870" s="29"/>
      <c r="K3870" s="29"/>
      <c r="L3870" s="29"/>
      <c r="M3870" s="29"/>
      <c r="N3870" s="29" t="s">
        <v>4034</v>
      </c>
      <c r="O3870" s="29"/>
      <c r="P3870" s="29" t="s">
        <v>4035</v>
      </c>
      <c r="Q3870" t="s">
        <v>2038</v>
      </c>
      <c r="R3870" t="s">
        <v>2634</v>
      </c>
      <c r="S3870">
        <v>37</v>
      </c>
      <c r="T3870" s="43" t="str">
        <f>HYPERLINK("https://ictv.global/ictv/proposals/2021.001B.R.abolish_Caudovirales.zip","2021.001B.R.abolish_Caudovirales.zip")</f>
        <v>2021.001B.R.abolish_Caudovirales.zip</v>
      </c>
      <c r="U3870" s="43" t="str">
        <f>HYPERLINK("https://ictv.global/taxonomy/taxondetails?taxnode_id=202207658","ictv.global=202207658")</f>
        <v>ictv.global=202207658</v>
      </c>
    </row>
    <row r="3871" spans="1:21">
      <c r="A3871">
        <v>3870</v>
      </c>
      <c r="B3871" s="29" t="s">
        <v>3682</v>
      </c>
      <c r="C3871" s="29"/>
      <c r="D3871" s="29" t="s">
        <v>3683</v>
      </c>
      <c r="E3871" s="29"/>
      <c r="F3871" s="29" t="s">
        <v>3686</v>
      </c>
      <c r="G3871" s="29"/>
      <c r="H3871" s="29" t="s">
        <v>3687</v>
      </c>
      <c r="I3871" s="29"/>
      <c r="J3871" s="29"/>
      <c r="K3871" s="29"/>
      <c r="L3871" s="29"/>
      <c r="M3871" s="29"/>
      <c r="N3871" s="29" t="s">
        <v>11158</v>
      </c>
      <c r="O3871" s="29"/>
      <c r="P3871" s="29" t="s">
        <v>11159</v>
      </c>
      <c r="Q3871" t="s">
        <v>2038</v>
      </c>
      <c r="R3871" t="s">
        <v>2632</v>
      </c>
      <c r="S3871">
        <v>37</v>
      </c>
      <c r="T3871" s="43" t="str">
        <f>HYPERLINK("https://ictv.global/ictv/proposals/2021.075B.R.Santafevirus.zip","2021.075B.R.Santafevirus.zip")</f>
        <v>2021.075B.R.Santafevirus.zip</v>
      </c>
      <c r="U3871" s="43" t="str">
        <f>HYPERLINK("https://ictv.global/taxonomy/taxondetails?taxnode_id=202212915","ictv.global=202212915")</f>
        <v>ictv.global=202212915</v>
      </c>
    </row>
    <row r="3872" spans="1:21">
      <c r="A3872">
        <v>3871</v>
      </c>
      <c r="B3872" s="29" t="s">
        <v>3682</v>
      </c>
      <c r="C3872" s="29"/>
      <c r="D3872" s="29" t="s">
        <v>3683</v>
      </c>
      <c r="E3872" s="29"/>
      <c r="F3872" s="29" t="s">
        <v>3686</v>
      </c>
      <c r="G3872" s="29"/>
      <c r="H3872" s="29" t="s">
        <v>3687</v>
      </c>
      <c r="I3872" s="29"/>
      <c r="J3872" s="29"/>
      <c r="K3872" s="29"/>
      <c r="L3872" s="29"/>
      <c r="M3872" s="29"/>
      <c r="N3872" s="29" t="s">
        <v>3596</v>
      </c>
      <c r="O3872" s="29"/>
      <c r="P3872" s="29" t="s">
        <v>11160</v>
      </c>
      <c r="Q3872" t="s">
        <v>2038</v>
      </c>
      <c r="R3872" t="s">
        <v>2633</v>
      </c>
      <c r="S3872">
        <v>37</v>
      </c>
      <c r="T3872" s="43" t="str">
        <f>HYPERLINK("https://ictv.global/ictv/proposals/2021.010B.R.Binomial_names.zip","2021.010B.R.Binomial_names.zip")</f>
        <v>2021.010B.R.Binomial_names.zip</v>
      </c>
      <c r="U3872" s="43" t="str">
        <f>HYPERLINK("https://ictv.global/taxonomy/taxondetails?taxnode_id=202201247","ictv.global=202201247")</f>
        <v>ictv.global=202201247</v>
      </c>
    </row>
    <row r="3873" spans="1:21">
      <c r="A3873">
        <v>3872</v>
      </c>
      <c r="B3873" s="29" t="s">
        <v>3682</v>
      </c>
      <c r="C3873" s="29"/>
      <c r="D3873" s="29" t="s">
        <v>3683</v>
      </c>
      <c r="E3873" s="29"/>
      <c r="F3873" s="29" t="s">
        <v>3686</v>
      </c>
      <c r="G3873" s="29"/>
      <c r="H3873" s="29" t="s">
        <v>3687</v>
      </c>
      <c r="I3873" s="29"/>
      <c r="J3873" s="29"/>
      <c r="K3873" s="29"/>
      <c r="L3873" s="29"/>
      <c r="M3873" s="29"/>
      <c r="N3873" s="29" t="s">
        <v>3596</v>
      </c>
      <c r="O3873" s="29"/>
      <c r="P3873" s="29" t="s">
        <v>11161</v>
      </c>
      <c r="Q3873" t="s">
        <v>2038</v>
      </c>
      <c r="R3873" t="s">
        <v>2633</v>
      </c>
      <c r="S3873">
        <v>37</v>
      </c>
      <c r="T3873" s="43" t="str">
        <f>HYPERLINK("https://ictv.global/ictv/proposals/2021.010B.R.Binomial_names.zip","2021.010B.R.Binomial_names.zip")</f>
        <v>2021.010B.R.Binomial_names.zip</v>
      </c>
      <c r="U3873" s="43" t="str">
        <f>HYPERLINK("https://ictv.global/taxonomy/taxondetails?taxnode_id=202201248","ictv.global=202201248")</f>
        <v>ictv.global=202201248</v>
      </c>
    </row>
    <row r="3874" spans="1:21">
      <c r="A3874">
        <v>3873</v>
      </c>
      <c r="B3874" s="29" t="s">
        <v>3682</v>
      </c>
      <c r="C3874" s="29"/>
      <c r="D3874" s="29" t="s">
        <v>3683</v>
      </c>
      <c r="E3874" s="29"/>
      <c r="F3874" s="29" t="s">
        <v>3686</v>
      </c>
      <c r="G3874" s="29"/>
      <c r="H3874" s="29" t="s">
        <v>3687</v>
      </c>
      <c r="I3874" s="29"/>
      <c r="J3874" s="29"/>
      <c r="K3874" s="29"/>
      <c r="L3874" s="29"/>
      <c r="M3874" s="29"/>
      <c r="N3874" s="29" t="s">
        <v>3596</v>
      </c>
      <c r="O3874" s="29"/>
      <c r="P3874" s="29" t="s">
        <v>11162</v>
      </c>
      <c r="Q3874" t="s">
        <v>2038</v>
      </c>
      <c r="R3874" t="s">
        <v>2633</v>
      </c>
      <c r="S3874">
        <v>37</v>
      </c>
      <c r="T3874" s="43" t="str">
        <f>HYPERLINK("https://ictv.global/ictv/proposals/2021.010B.R.Binomial_names.zip","2021.010B.R.Binomial_names.zip")</f>
        <v>2021.010B.R.Binomial_names.zip</v>
      </c>
      <c r="U3874" s="43" t="str">
        <f>HYPERLINK("https://ictv.global/taxonomy/taxondetails?taxnode_id=202201249","ictv.global=202201249")</f>
        <v>ictv.global=202201249</v>
      </c>
    </row>
    <row r="3875" spans="1:21">
      <c r="A3875">
        <v>3874</v>
      </c>
      <c r="B3875" s="29" t="s">
        <v>3682</v>
      </c>
      <c r="C3875" s="29"/>
      <c r="D3875" s="29" t="s">
        <v>3683</v>
      </c>
      <c r="E3875" s="29"/>
      <c r="F3875" s="29" t="s">
        <v>3686</v>
      </c>
      <c r="G3875" s="29"/>
      <c r="H3875" s="29" t="s">
        <v>3687</v>
      </c>
      <c r="I3875" s="29"/>
      <c r="J3875" s="29"/>
      <c r="K3875" s="29"/>
      <c r="L3875" s="29"/>
      <c r="M3875" s="29"/>
      <c r="N3875" s="29" t="s">
        <v>3596</v>
      </c>
      <c r="O3875" s="29"/>
      <c r="P3875" s="29" t="s">
        <v>11163</v>
      </c>
      <c r="Q3875" t="s">
        <v>2038</v>
      </c>
      <c r="R3875" t="s">
        <v>2633</v>
      </c>
      <c r="S3875">
        <v>37</v>
      </c>
      <c r="T3875" s="43" t="str">
        <f>HYPERLINK("https://ictv.global/ictv/proposals/2021.010B.R.Binomial_names.zip","2021.010B.R.Binomial_names.zip")</f>
        <v>2021.010B.R.Binomial_names.zip</v>
      </c>
      <c r="U3875" s="43" t="str">
        <f>HYPERLINK("https://ictv.global/taxonomy/taxondetails?taxnode_id=202201251","ictv.global=202201251")</f>
        <v>ictv.global=202201251</v>
      </c>
    </row>
    <row r="3876" spans="1:21">
      <c r="A3876">
        <v>3875</v>
      </c>
      <c r="B3876" s="29" t="s">
        <v>3682</v>
      </c>
      <c r="C3876" s="29"/>
      <c r="D3876" s="29" t="s">
        <v>3683</v>
      </c>
      <c r="E3876" s="29"/>
      <c r="F3876" s="29" t="s">
        <v>3686</v>
      </c>
      <c r="G3876" s="29"/>
      <c r="H3876" s="29" t="s">
        <v>3687</v>
      </c>
      <c r="I3876" s="29"/>
      <c r="J3876" s="29"/>
      <c r="K3876" s="29"/>
      <c r="L3876" s="29"/>
      <c r="M3876" s="29"/>
      <c r="N3876" s="29" t="s">
        <v>3596</v>
      </c>
      <c r="O3876" s="29"/>
      <c r="P3876" s="29" t="s">
        <v>11164</v>
      </c>
      <c r="Q3876" t="s">
        <v>2038</v>
      </c>
      <c r="R3876" t="s">
        <v>2633</v>
      </c>
      <c r="S3876">
        <v>37</v>
      </c>
      <c r="T3876" s="43" t="str">
        <f>HYPERLINK("https://ictv.global/ictv/proposals/2021.010B.R.Binomial_names.zip","2021.010B.R.Binomial_names.zip")</f>
        <v>2021.010B.R.Binomial_names.zip</v>
      </c>
      <c r="U3876" s="43" t="str">
        <f>HYPERLINK("https://ictv.global/taxonomy/taxondetails?taxnode_id=202201250","ictv.global=202201250")</f>
        <v>ictv.global=202201250</v>
      </c>
    </row>
    <row r="3877" spans="1:21">
      <c r="A3877">
        <v>3876</v>
      </c>
      <c r="B3877" s="29" t="s">
        <v>3682</v>
      </c>
      <c r="C3877" s="29"/>
      <c r="D3877" s="29" t="s">
        <v>3683</v>
      </c>
      <c r="E3877" s="29"/>
      <c r="F3877" s="29" t="s">
        <v>3686</v>
      </c>
      <c r="G3877" s="29"/>
      <c r="H3877" s="29" t="s">
        <v>3687</v>
      </c>
      <c r="I3877" s="29"/>
      <c r="J3877" s="29"/>
      <c r="K3877" s="29"/>
      <c r="L3877" s="29"/>
      <c r="M3877" s="29"/>
      <c r="N3877" s="29" t="s">
        <v>11165</v>
      </c>
      <c r="O3877" s="29"/>
      <c r="P3877" s="29" t="s">
        <v>11166</v>
      </c>
      <c r="Q3877" t="s">
        <v>2038</v>
      </c>
      <c r="R3877" t="s">
        <v>2632</v>
      </c>
      <c r="S3877">
        <v>38</v>
      </c>
      <c r="T3877" s="43" t="str">
        <f>HYPERLINK("https://ictv.global/ictv/proposals/2022.090B.Caudoviricetes_3ng_arthrobacter.zip","2022.090B.Caudoviricetes_3ng_arthrobacter.zip")</f>
        <v>2022.090B.Caudoviricetes_3ng_arthrobacter.zip</v>
      </c>
      <c r="U3877" s="43" t="str">
        <f>HYPERLINK("https://ictv.global/taxonomy/taxondetails?taxnode_id=202214958","ictv.global=202214958")</f>
        <v>ictv.global=202214958</v>
      </c>
    </row>
    <row r="3878" spans="1:21">
      <c r="A3878">
        <v>3877</v>
      </c>
      <c r="B3878" s="29" t="s">
        <v>3682</v>
      </c>
      <c r="C3878" s="29"/>
      <c r="D3878" s="29" t="s">
        <v>3683</v>
      </c>
      <c r="E3878" s="29"/>
      <c r="F3878" s="29" t="s">
        <v>3686</v>
      </c>
      <c r="G3878" s="29"/>
      <c r="H3878" s="29" t="s">
        <v>3687</v>
      </c>
      <c r="I3878" s="29"/>
      <c r="J3878" s="29"/>
      <c r="K3878" s="29"/>
      <c r="L3878" s="29"/>
      <c r="M3878" s="29"/>
      <c r="N3878" s="29" t="s">
        <v>4581</v>
      </c>
      <c r="O3878" s="29"/>
      <c r="P3878" s="29" t="s">
        <v>11167</v>
      </c>
      <c r="Q3878" t="s">
        <v>2038</v>
      </c>
      <c r="R3878" t="s">
        <v>2633</v>
      </c>
      <c r="S3878">
        <v>37</v>
      </c>
      <c r="T3878" s="43" t="str">
        <f>HYPERLINK("https://ictv.global/ictv/proposals/2021.010B.R.Binomial_names.zip","2021.010B.R.Binomial_names.zip")</f>
        <v>2021.010B.R.Binomial_names.zip</v>
      </c>
      <c r="U3878" s="43" t="str">
        <f>HYPERLINK("https://ictv.global/taxonomy/taxondetails?taxnode_id=202211766","ictv.global=202211766")</f>
        <v>ictv.global=202211766</v>
      </c>
    </row>
    <row r="3879" spans="1:21">
      <c r="A3879">
        <v>3878</v>
      </c>
      <c r="B3879" s="29" t="s">
        <v>3682</v>
      </c>
      <c r="C3879" s="29"/>
      <c r="D3879" s="29" t="s">
        <v>3683</v>
      </c>
      <c r="E3879" s="29"/>
      <c r="F3879" s="29" t="s">
        <v>3686</v>
      </c>
      <c r="G3879" s="29"/>
      <c r="H3879" s="29" t="s">
        <v>3687</v>
      </c>
      <c r="I3879" s="29"/>
      <c r="J3879" s="29"/>
      <c r="K3879" s="29"/>
      <c r="L3879" s="29"/>
      <c r="M3879" s="29"/>
      <c r="N3879" s="29" t="s">
        <v>4581</v>
      </c>
      <c r="O3879" s="29"/>
      <c r="P3879" s="29" t="s">
        <v>11168</v>
      </c>
      <c r="Q3879" t="s">
        <v>2038</v>
      </c>
      <c r="R3879" t="s">
        <v>2633</v>
      </c>
      <c r="S3879">
        <v>37</v>
      </c>
      <c r="T3879" s="43" t="str">
        <f>HYPERLINK("https://ictv.global/ictv/proposals/2021.010B.R.Binomial_names.zip","2021.010B.R.Binomial_names.zip")</f>
        <v>2021.010B.R.Binomial_names.zip</v>
      </c>
      <c r="U3879" s="43" t="str">
        <f>HYPERLINK("https://ictv.global/taxonomy/taxondetails?taxnode_id=202211767","ictv.global=202211767")</f>
        <v>ictv.global=202211767</v>
      </c>
    </row>
    <row r="3880" spans="1:21">
      <c r="A3880">
        <v>3879</v>
      </c>
      <c r="B3880" s="29" t="s">
        <v>3682</v>
      </c>
      <c r="C3880" s="29"/>
      <c r="D3880" s="29" t="s">
        <v>3683</v>
      </c>
      <c r="E3880" s="29"/>
      <c r="F3880" s="29" t="s">
        <v>3686</v>
      </c>
      <c r="G3880" s="29"/>
      <c r="H3880" s="29" t="s">
        <v>3687</v>
      </c>
      <c r="I3880" s="29"/>
      <c r="J3880" s="29"/>
      <c r="K3880" s="29"/>
      <c r="L3880" s="29"/>
      <c r="M3880" s="29"/>
      <c r="N3880" s="29" t="s">
        <v>11169</v>
      </c>
      <c r="O3880" s="29"/>
      <c r="P3880" s="29" t="s">
        <v>11170</v>
      </c>
      <c r="Q3880" t="s">
        <v>2038</v>
      </c>
      <c r="R3880" t="s">
        <v>2632</v>
      </c>
      <c r="S3880">
        <v>38</v>
      </c>
      <c r="T3880" s="43" t="str">
        <f>HYPERLINK("https://ictv.global/ictv/proposals/2022.081B.Caudoviricetes_6ng_streptomyces.zip","2022.081B.Caudoviricetes_6ng_streptomyces.zip")</f>
        <v>2022.081B.Caudoviricetes_6ng_streptomyces.zip</v>
      </c>
      <c r="U3880" s="43" t="str">
        <f>HYPERLINK("https://ictv.global/taxonomy/taxondetails?taxnode_id=202214876","ictv.global=202214876")</f>
        <v>ictv.global=202214876</v>
      </c>
    </row>
    <row r="3881" spans="1:21">
      <c r="A3881">
        <v>3880</v>
      </c>
      <c r="B3881" s="29" t="s">
        <v>3682</v>
      </c>
      <c r="C3881" s="29"/>
      <c r="D3881" s="29" t="s">
        <v>3683</v>
      </c>
      <c r="E3881" s="29"/>
      <c r="F3881" s="29" t="s">
        <v>3686</v>
      </c>
      <c r="G3881" s="29"/>
      <c r="H3881" s="29" t="s">
        <v>3687</v>
      </c>
      <c r="I3881" s="29"/>
      <c r="J3881" s="29"/>
      <c r="K3881" s="29"/>
      <c r="L3881" s="29"/>
      <c r="M3881" s="29"/>
      <c r="N3881" s="29" t="s">
        <v>4036</v>
      </c>
      <c r="O3881" s="29"/>
      <c r="P3881" s="29" t="s">
        <v>11171</v>
      </c>
      <c r="Q3881" t="s">
        <v>2038</v>
      </c>
      <c r="R3881" t="s">
        <v>2633</v>
      </c>
      <c r="S3881">
        <v>37</v>
      </c>
      <c r="T3881" s="43" t="str">
        <f>HYPERLINK("https://ictv.global/ictv/proposals/2021.010B.R.Binomial_names.zip","2021.010B.R.Binomial_names.zip")</f>
        <v>2021.010B.R.Binomial_names.zip</v>
      </c>
      <c r="U3881" s="43" t="str">
        <f>HYPERLINK("https://ictv.global/taxonomy/taxondetails?taxnode_id=202208027","ictv.global=202208027")</f>
        <v>ictv.global=202208027</v>
      </c>
    </row>
    <row r="3882" spans="1:21">
      <c r="A3882">
        <v>3881</v>
      </c>
      <c r="B3882" s="29" t="s">
        <v>3682</v>
      </c>
      <c r="C3882" s="29"/>
      <c r="D3882" s="29" t="s">
        <v>3683</v>
      </c>
      <c r="E3882" s="29"/>
      <c r="F3882" s="29" t="s">
        <v>3686</v>
      </c>
      <c r="G3882" s="29"/>
      <c r="H3882" s="29" t="s">
        <v>3687</v>
      </c>
      <c r="I3882" s="29"/>
      <c r="J3882" s="29"/>
      <c r="K3882" s="29"/>
      <c r="L3882" s="29"/>
      <c r="M3882" s="29"/>
      <c r="N3882" s="29" t="s">
        <v>3945</v>
      </c>
      <c r="O3882" s="29"/>
      <c r="P3882" s="29" t="s">
        <v>11172</v>
      </c>
      <c r="Q3882" t="s">
        <v>2038</v>
      </c>
      <c r="R3882" t="s">
        <v>2633</v>
      </c>
      <c r="S3882">
        <v>37</v>
      </c>
      <c r="T3882" s="43" t="str">
        <f>HYPERLINK("https://ictv.global/ictv/proposals/2021.010B.R.Binomial_names.zip","2021.010B.R.Binomial_names.zip")</f>
        <v>2021.010B.R.Binomial_names.zip</v>
      </c>
      <c r="U3882" s="43" t="str">
        <f>HYPERLINK("https://ictv.global/taxonomy/taxondetails?taxnode_id=202207923","ictv.global=202207923")</f>
        <v>ictv.global=202207923</v>
      </c>
    </row>
    <row r="3883" spans="1:21">
      <c r="A3883">
        <v>3882</v>
      </c>
      <c r="B3883" s="29" t="s">
        <v>3682</v>
      </c>
      <c r="C3883" s="29"/>
      <c r="D3883" s="29" t="s">
        <v>3683</v>
      </c>
      <c r="E3883" s="29"/>
      <c r="F3883" s="29" t="s">
        <v>3686</v>
      </c>
      <c r="G3883" s="29"/>
      <c r="H3883" s="29" t="s">
        <v>3687</v>
      </c>
      <c r="I3883" s="29"/>
      <c r="J3883" s="29"/>
      <c r="K3883" s="29"/>
      <c r="L3883" s="29"/>
      <c r="M3883" s="29"/>
      <c r="N3883" s="29" t="s">
        <v>3597</v>
      </c>
      <c r="O3883" s="29"/>
      <c r="P3883" s="29" t="s">
        <v>11173</v>
      </c>
      <c r="Q3883" t="s">
        <v>2038</v>
      </c>
      <c r="R3883" t="s">
        <v>2633</v>
      </c>
      <c r="S3883">
        <v>37</v>
      </c>
      <c r="T3883" s="43" t="str">
        <f>HYPERLINK("https://ictv.global/ictv/proposals/2021.010B.R.Binomial_names.zip","2021.010B.R.Binomial_names.zip")</f>
        <v>2021.010B.R.Binomial_names.zip</v>
      </c>
      <c r="U3883" s="43" t="str">
        <f>HYPERLINK("https://ictv.global/taxonomy/taxondetails?taxnode_id=202206834","ictv.global=202206834")</f>
        <v>ictv.global=202206834</v>
      </c>
    </row>
    <row r="3884" spans="1:21">
      <c r="A3884">
        <v>3883</v>
      </c>
      <c r="B3884" s="29" t="s">
        <v>3682</v>
      </c>
      <c r="C3884" s="29"/>
      <c r="D3884" s="29" t="s">
        <v>3683</v>
      </c>
      <c r="E3884" s="29"/>
      <c r="F3884" s="29" t="s">
        <v>3686</v>
      </c>
      <c r="G3884" s="29"/>
      <c r="H3884" s="29" t="s">
        <v>3687</v>
      </c>
      <c r="I3884" s="29"/>
      <c r="J3884" s="29"/>
      <c r="K3884" s="29"/>
      <c r="L3884" s="29"/>
      <c r="M3884" s="29"/>
      <c r="N3884" s="29" t="s">
        <v>3598</v>
      </c>
      <c r="O3884" s="29"/>
      <c r="P3884" s="29" t="s">
        <v>11174</v>
      </c>
      <c r="Q3884" t="s">
        <v>2038</v>
      </c>
      <c r="R3884" t="s">
        <v>2633</v>
      </c>
      <c r="S3884">
        <v>37</v>
      </c>
      <c r="T3884" s="43" t="str">
        <f>HYPERLINK("https://ictv.global/ictv/proposals/2021.010B.R.Binomial_names.zip","2021.010B.R.Binomial_names.zip")</f>
        <v>2021.010B.R.Binomial_names.zip</v>
      </c>
      <c r="U3884" s="43" t="str">
        <f>HYPERLINK("https://ictv.global/taxonomy/taxondetails?taxnode_id=202205563","ictv.global=202205563")</f>
        <v>ictv.global=202205563</v>
      </c>
    </row>
    <row r="3885" spans="1:21">
      <c r="A3885">
        <v>3884</v>
      </c>
      <c r="B3885" s="29" t="s">
        <v>3682</v>
      </c>
      <c r="C3885" s="29"/>
      <c r="D3885" s="29" t="s">
        <v>3683</v>
      </c>
      <c r="E3885" s="29"/>
      <c r="F3885" s="29" t="s">
        <v>3686</v>
      </c>
      <c r="G3885" s="29"/>
      <c r="H3885" s="29" t="s">
        <v>3687</v>
      </c>
      <c r="I3885" s="29"/>
      <c r="J3885" s="29"/>
      <c r="K3885" s="29"/>
      <c r="L3885" s="29"/>
      <c r="M3885" s="29"/>
      <c r="N3885" s="29" t="s">
        <v>4771</v>
      </c>
      <c r="O3885" s="29"/>
      <c r="P3885" s="29" t="s">
        <v>11175</v>
      </c>
      <c r="Q3885" t="s">
        <v>2038</v>
      </c>
      <c r="R3885" t="s">
        <v>2633</v>
      </c>
      <c r="S3885">
        <v>37</v>
      </c>
      <c r="T3885" s="43" t="str">
        <f>HYPERLINK("https://ictv.global/ictv/proposals/2021.010B.R.Binomial_names.zip","2021.010B.R.Binomial_names.zip")</f>
        <v>2021.010B.R.Binomial_names.zip</v>
      </c>
      <c r="U3885" s="43" t="str">
        <f>HYPERLINK("https://ictv.global/taxonomy/taxondetails?taxnode_id=202209333","ictv.global=202209333")</f>
        <v>ictv.global=202209333</v>
      </c>
    </row>
    <row r="3886" spans="1:21">
      <c r="A3886">
        <v>3885</v>
      </c>
      <c r="B3886" s="29" t="s">
        <v>3682</v>
      </c>
      <c r="C3886" s="29"/>
      <c r="D3886" s="29" t="s">
        <v>3683</v>
      </c>
      <c r="E3886" s="29"/>
      <c r="F3886" s="29" t="s">
        <v>3686</v>
      </c>
      <c r="G3886" s="29"/>
      <c r="H3886" s="29" t="s">
        <v>3687</v>
      </c>
      <c r="I3886" s="29"/>
      <c r="J3886" s="29"/>
      <c r="K3886" s="29"/>
      <c r="L3886" s="29"/>
      <c r="M3886" s="29"/>
      <c r="N3886" s="29" t="s">
        <v>11176</v>
      </c>
      <c r="O3886" s="29"/>
      <c r="P3886" s="29" t="s">
        <v>11177</v>
      </c>
      <c r="Q3886" t="s">
        <v>2038</v>
      </c>
      <c r="R3886" t="s">
        <v>2632</v>
      </c>
      <c r="S3886">
        <v>38</v>
      </c>
      <c r="T3886" s="43" t="str">
        <f>HYPERLINK("https://ictv.global/ictv/proposals/2022.072B.Scappvirus_ng.zip","2022.072B.Scappvirus_ng.zip")</f>
        <v>2022.072B.Scappvirus_ng.zip</v>
      </c>
      <c r="U3886" s="43" t="str">
        <f>HYPERLINK("https://ictv.global/taxonomy/taxondetails?taxnode_id=202214799","ictv.global=202214799")</f>
        <v>ictv.global=202214799</v>
      </c>
    </row>
    <row r="3887" spans="1:21">
      <c r="A3887">
        <v>3886</v>
      </c>
      <c r="B3887" s="29" t="s">
        <v>3682</v>
      </c>
      <c r="C3887" s="29"/>
      <c r="D3887" s="29" t="s">
        <v>3683</v>
      </c>
      <c r="E3887" s="29"/>
      <c r="F3887" s="29" t="s">
        <v>3686</v>
      </c>
      <c r="G3887" s="29"/>
      <c r="H3887" s="29" t="s">
        <v>3687</v>
      </c>
      <c r="I3887" s="29"/>
      <c r="J3887" s="29"/>
      <c r="K3887" s="29"/>
      <c r="L3887" s="29"/>
      <c r="M3887" s="29"/>
      <c r="N3887" s="29" t="s">
        <v>3599</v>
      </c>
      <c r="O3887" s="29"/>
      <c r="P3887" s="29" t="s">
        <v>11178</v>
      </c>
      <c r="Q3887" t="s">
        <v>2038</v>
      </c>
      <c r="R3887" t="s">
        <v>2633</v>
      </c>
      <c r="S3887">
        <v>37</v>
      </c>
      <c r="T3887" s="43" t="str">
        <f t="shared" ref="T3887:T3893" si="182">HYPERLINK("https://ictv.global/ictv/proposals/2021.010B.R.Binomial_names.zip","2021.010B.R.Binomial_names.zip")</f>
        <v>2021.010B.R.Binomial_names.zip</v>
      </c>
      <c r="U3887" s="43" t="str">
        <f>HYPERLINK("https://ictv.global/taxonomy/taxondetails?taxnode_id=202206754","ictv.global=202206754")</f>
        <v>ictv.global=202206754</v>
      </c>
    </row>
    <row r="3888" spans="1:21">
      <c r="A3888">
        <v>3887</v>
      </c>
      <c r="B3888" s="29" t="s">
        <v>3682</v>
      </c>
      <c r="C3888" s="29"/>
      <c r="D3888" s="29" t="s">
        <v>3683</v>
      </c>
      <c r="E3888" s="29"/>
      <c r="F3888" s="29" t="s">
        <v>3686</v>
      </c>
      <c r="G3888" s="29"/>
      <c r="H3888" s="29" t="s">
        <v>3687</v>
      </c>
      <c r="I3888" s="29"/>
      <c r="J3888" s="29"/>
      <c r="K3888" s="29"/>
      <c r="L3888" s="29"/>
      <c r="M3888" s="29"/>
      <c r="N3888" s="29" t="s">
        <v>3485</v>
      </c>
      <c r="O3888" s="29"/>
      <c r="P3888" s="29" t="s">
        <v>11179</v>
      </c>
      <c r="Q3888" t="s">
        <v>2038</v>
      </c>
      <c r="R3888" t="s">
        <v>2633</v>
      </c>
      <c r="S3888">
        <v>37</v>
      </c>
      <c r="T3888" s="43" t="str">
        <f t="shared" si="182"/>
        <v>2021.010B.R.Binomial_names.zip</v>
      </c>
      <c r="U3888" s="43" t="str">
        <f>HYPERLINK("https://ictv.global/taxonomy/taxondetails?taxnode_id=202200699","ictv.global=202200699")</f>
        <v>ictv.global=202200699</v>
      </c>
    </row>
    <row r="3889" spans="1:21">
      <c r="A3889">
        <v>3888</v>
      </c>
      <c r="B3889" s="29" t="s">
        <v>3682</v>
      </c>
      <c r="C3889" s="29"/>
      <c r="D3889" s="29" t="s">
        <v>3683</v>
      </c>
      <c r="E3889" s="29"/>
      <c r="F3889" s="29" t="s">
        <v>3686</v>
      </c>
      <c r="G3889" s="29"/>
      <c r="H3889" s="29" t="s">
        <v>3687</v>
      </c>
      <c r="I3889" s="29"/>
      <c r="J3889" s="29"/>
      <c r="K3889" s="29"/>
      <c r="L3889" s="29"/>
      <c r="M3889" s="29"/>
      <c r="N3889" s="29" t="s">
        <v>3485</v>
      </c>
      <c r="O3889" s="29"/>
      <c r="P3889" s="29" t="s">
        <v>11180</v>
      </c>
      <c r="Q3889" t="s">
        <v>2038</v>
      </c>
      <c r="R3889" t="s">
        <v>2633</v>
      </c>
      <c r="S3889">
        <v>37</v>
      </c>
      <c r="T3889" s="43" t="str">
        <f t="shared" si="182"/>
        <v>2021.010B.R.Binomial_names.zip</v>
      </c>
      <c r="U3889" s="43" t="str">
        <f>HYPERLINK("https://ictv.global/taxonomy/taxondetails?taxnode_id=202200700","ictv.global=202200700")</f>
        <v>ictv.global=202200700</v>
      </c>
    </row>
    <row r="3890" spans="1:21">
      <c r="A3890">
        <v>3889</v>
      </c>
      <c r="B3890" s="29" t="s">
        <v>3682</v>
      </c>
      <c r="C3890" s="29"/>
      <c r="D3890" s="29" t="s">
        <v>3683</v>
      </c>
      <c r="E3890" s="29"/>
      <c r="F3890" s="29" t="s">
        <v>3686</v>
      </c>
      <c r="G3890" s="29"/>
      <c r="H3890" s="29" t="s">
        <v>3687</v>
      </c>
      <c r="I3890" s="29"/>
      <c r="J3890" s="29"/>
      <c r="K3890" s="29"/>
      <c r="L3890" s="29"/>
      <c r="M3890" s="29"/>
      <c r="N3890" s="29" t="s">
        <v>3485</v>
      </c>
      <c r="O3890" s="29"/>
      <c r="P3890" s="29" t="s">
        <v>11181</v>
      </c>
      <c r="Q3890" t="s">
        <v>2038</v>
      </c>
      <c r="R3890" t="s">
        <v>2633</v>
      </c>
      <c r="S3890">
        <v>37</v>
      </c>
      <c r="T3890" s="43" t="str">
        <f t="shared" si="182"/>
        <v>2021.010B.R.Binomial_names.zip</v>
      </c>
      <c r="U3890" s="43" t="str">
        <f>HYPERLINK("https://ictv.global/taxonomy/taxondetails?taxnode_id=202200698","ictv.global=202200698")</f>
        <v>ictv.global=202200698</v>
      </c>
    </row>
    <row r="3891" spans="1:21">
      <c r="A3891">
        <v>3890</v>
      </c>
      <c r="B3891" s="29" t="s">
        <v>3682</v>
      </c>
      <c r="C3891" s="29"/>
      <c r="D3891" s="29" t="s">
        <v>3683</v>
      </c>
      <c r="E3891" s="29"/>
      <c r="F3891" s="29" t="s">
        <v>3686</v>
      </c>
      <c r="G3891" s="29"/>
      <c r="H3891" s="29" t="s">
        <v>3687</v>
      </c>
      <c r="I3891" s="29"/>
      <c r="J3891" s="29"/>
      <c r="K3891" s="29"/>
      <c r="L3891" s="29"/>
      <c r="M3891" s="29"/>
      <c r="N3891" s="29" t="s">
        <v>3946</v>
      </c>
      <c r="O3891" s="29"/>
      <c r="P3891" s="29" t="s">
        <v>11182</v>
      </c>
      <c r="Q3891" t="s">
        <v>2038</v>
      </c>
      <c r="R3891" t="s">
        <v>2633</v>
      </c>
      <c r="S3891">
        <v>37</v>
      </c>
      <c r="T3891" s="43" t="str">
        <f t="shared" si="182"/>
        <v>2021.010B.R.Binomial_names.zip</v>
      </c>
      <c r="U3891" s="43" t="str">
        <f>HYPERLINK("https://ictv.global/taxonomy/taxondetails?taxnode_id=202208029","ictv.global=202208029")</f>
        <v>ictv.global=202208029</v>
      </c>
    </row>
    <row r="3892" spans="1:21">
      <c r="A3892">
        <v>3891</v>
      </c>
      <c r="B3892" s="29" t="s">
        <v>3682</v>
      </c>
      <c r="C3892" s="29"/>
      <c r="D3892" s="29" t="s">
        <v>3683</v>
      </c>
      <c r="E3892" s="29"/>
      <c r="F3892" s="29" t="s">
        <v>3686</v>
      </c>
      <c r="G3892" s="29"/>
      <c r="H3892" s="29" t="s">
        <v>3687</v>
      </c>
      <c r="I3892" s="29"/>
      <c r="J3892" s="29"/>
      <c r="K3892" s="29"/>
      <c r="L3892" s="29"/>
      <c r="M3892" s="29"/>
      <c r="N3892" s="29" t="s">
        <v>4037</v>
      </c>
      <c r="O3892" s="29"/>
      <c r="P3892" s="29" t="s">
        <v>11183</v>
      </c>
      <c r="Q3892" t="s">
        <v>2038</v>
      </c>
      <c r="R3892" t="s">
        <v>2633</v>
      </c>
      <c r="S3892">
        <v>37</v>
      </c>
      <c r="T3892" s="43" t="str">
        <f t="shared" si="182"/>
        <v>2021.010B.R.Binomial_names.zip</v>
      </c>
      <c r="U3892" s="43" t="str">
        <f>HYPERLINK("https://ictv.global/taxonomy/taxondetails?taxnode_id=202208031","ictv.global=202208031")</f>
        <v>ictv.global=202208031</v>
      </c>
    </row>
    <row r="3893" spans="1:21">
      <c r="A3893">
        <v>3892</v>
      </c>
      <c r="B3893" s="29" t="s">
        <v>3682</v>
      </c>
      <c r="C3893" s="29"/>
      <c r="D3893" s="29" t="s">
        <v>3683</v>
      </c>
      <c r="E3893" s="29"/>
      <c r="F3893" s="29" t="s">
        <v>3686</v>
      </c>
      <c r="G3893" s="29"/>
      <c r="H3893" s="29" t="s">
        <v>3687</v>
      </c>
      <c r="I3893" s="29"/>
      <c r="J3893" s="29"/>
      <c r="K3893" s="29"/>
      <c r="L3893" s="29"/>
      <c r="M3893" s="29"/>
      <c r="N3893" s="29" t="s">
        <v>4038</v>
      </c>
      <c r="O3893" s="29"/>
      <c r="P3893" s="29" t="s">
        <v>11184</v>
      </c>
      <c r="Q3893" t="s">
        <v>2038</v>
      </c>
      <c r="R3893" t="s">
        <v>2633</v>
      </c>
      <c r="S3893">
        <v>37</v>
      </c>
      <c r="T3893" s="43" t="str">
        <f t="shared" si="182"/>
        <v>2021.010B.R.Binomial_names.zip</v>
      </c>
      <c r="U3893" s="43" t="str">
        <f>HYPERLINK("https://ictv.global/taxonomy/taxondetails?taxnode_id=202207665","ictv.global=202207665")</f>
        <v>ictv.global=202207665</v>
      </c>
    </row>
    <row r="3894" spans="1:21">
      <c r="A3894">
        <v>3893</v>
      </c>
      <c r="B3894" s="29" t="s">
        <v>3682</v>
      </c>
      <c r="C3894" s="29"/>
      <c r="D3894" s="29" t="s">
        <v>3683</v>
      </c>
      <c r="E3894" s="29"/>
      <c r="F3894" s="29" t="s">
        <v>3686</v>
      </c>
      <c r="G3894" s="29"/>
      <c r="H3894" s="29" t="s">
        <v>3687</v>
      </c>
      <c r="I3894" s="29"/>
      <c r="J3894" s="29"/>
      <c r="K3894" s="29"/>
      <c r="L3894" s="29"/>
      <c r="M3894" s="29"/>
      <c r="N3894" s="29" t="s">
        <v>11185</v>
      </c>
      <c r="O3894" s="29"/>
      <c r="P3894" s="29" t="s">
        <v>11186</v>
      </c>
      <c r="Q3894" t="s">
        <v>2038</v>
      </c>
      <c r="R3894" t="s">
        <v>2632</v>
      </c>
      <c r="S3894">
        <v>38</v>
      </c>
      <c r="T3894" s="43" t="str">
        <f>HYPERLINK("https://ictv.global/ictv/proposals/2022.089B.Caudoviricetes_3ng_vibrio.zip","2022.089B.Caudoviricetes_3ng_vibrio.zip")</f>
        <v>2022.089B.Caudoviricetes_3ng_vibrio.zip</v>
      </c>
      <c r="U3894" s="43" t="str">
        <f>HYPERLINK("https://ictv.global/taxonomy/taxondetails?taxnode_id=202214950","ictv.global=202214950")</f>
        <v>ictv.global=202214950</v>
      </c>
    </row>
    <row r="3895" spans="1:21">
      <c r="A3895">
        <v>3894</v>
      </c>
      <c r="B3895" s="29" t="s">
        <v>3682</v>
      </c>
      <c r="C3895" s="29"/>
      <c r="D3895" s="29" t="s">
        <v>3683</v>
      </c>
      <c r="E3895" s="29"/>
      <c r="F3895" s="29" t="s">
        <v>3686</v>
      </c>
      <c r="G3895" s="29"/>
      <c r="H3895" s="29" t="s">
        <v>3687</v>
      </c>
      <c r="I3895" s="29"/>
      <c r="J3895" s="29"/>
      <c r="K3895" s="29"/>
      <c r="L3895" s="29"/>
      <c r="M3895" s="29"/>
      <c r="N3895" s="29" t="s">
        <v>14824</v>
      </c>
      <c r="O3895" s="29"/>
      <c r="P3895" s="29" t="s">
        <v>14825</v>
      </c>
      <c r="Q3895" t="s">
        <v>2038</v>
      </c>
      <c r="R3895" t="s">
        <v>2632</v>
      </c>
      <c r="S3895">
        <v>38</v>
      </c>
      <c r="T3895" s="43" t="str">
        <f>HYPERLINK("https://ictv.global/ictv/proposals/2022.080B.Caudoviricetes_6ng.zip","2022.080B.Caudoviricetes_6ng.zip")</f>
        <v>2022.080B.Caudoviricetes_6ng.zip</v>
      </c>
      <c r="U3895" s="43" t="str">
        <f>HYPERLINK("https://ictv.global/taxonomy/taxondetails?taxnode_id=202214868","ictv.global=202214868")</f>
        <v>ictv.global=202214868</v>
      </c>
    </row>
    <row r="3896" spans="1:21">
      <c r="A3896">
        <v>3895</v>
      </c>
      <c r="B3896" s="29" t="s">
        <v>3682</v>
      </c>
      <c r="C3896" s="29"/>
      <c r="D3896" s="29" t="s">
        <v>3683</v>
      </c>
      <c r="E3896" s="29"/>
      <c r="F3896" s="29" t="s">
        <v>3686</v>
      </c>
      <c r="G3896" s="29"/>
      <c r="H3896" s="29" t="s">
        <v>3687</v>
      </c>
      <c r="I3896" s="29"/>
      <c r="J3896" s="29"/>
      <c r="K3896" s="29"/>
      <c r="L3896" s="29"/>
      <c r="M3896" s="29"/>
      <c r="N3896" s="29" t="s">
        <v>11187</v>
      </c>
      <c r="O3896" s="29"/>
      <c r="P3896" s="29" t="s">
        <v>11188</v>
      </c>
      <c r="Q3896" t="s">
        <v>2038</v>
      </c>
      <c r="R3896" t="s">
        <v>2632</v>
      </c>
      <c r="S3896">
        <v>38</v>
      </c>
      <c r="T3896" s="43" t="str">
        <f>HYPERLINK("https://ictv.global/ictv/proposals/2022.074B.Segzyvirus_1nsp.zip","2022.074B.Segzyvirus_1nsp.zip")</f>
        <v>2022.074B.Segzyvirus_1nsp.zip</v>
      </c>
      <c r="U3896" s="43" t="str">
        <f>HYPERLINK("https://ictv.global/taxonomy/taxondetails?taxnode_id=202214840","ictv.global=202214840")</f>
        <v>ictv.global=202214840</v>
      </c>
    </row>
    <row r="3897" spans="1:21">
      <c r="A3897">
        <v>3896</v>
      </c>
      <c r="B3897" s="29" t="s">
        <v>3682</v>
      </c>
      <c r="C3897" s="29"/>
      <c r="D3897" s="29" t="s">
        <v>3683</v>
      </c>
      <c r="E3897" s="29"/>
      <c r="F3897" s="29" t="s">
        <v>3686</v>
      </c>
      <c r="G3897" s="29"/>
      <c r="H3897" s="29" t="s">
        <v>3687</v>
      </c>
      <c r="I3897" s="29"/>
      <c r="J3897" s="29"/>
      <c r="K3897" s="29"/>
      <c r="L3897" s="29"/>
      <c r="M3897" s="29"/>
      <c r="N3897" s="29" t="s">
        <v>11187</v>
      </c>
      <c r="O3897" s="29"/>
      <c r="P3897" s="29" t="s">
        <v>11189</v>
      </c>
      <c r="Q3897" t="s">
        <v>2038</v>
      </c>
      <c r="R3897" t="s">
        <v>2632</v>
      </c>
      <c r="S3897">
        <v>37</v>
      </c>
      <c r="T3897" s="43" t="str">
        <f>HYPERLINK("https://ictv.global/ictv/proposals/2021.078B.R.Siphoviridae_new_genera.zip","2021.078B.R.Siphoviridae_new_genera.zip")</f>
        <v>2021.078B.R.Siphoviridae_new_genera.zip</v>
      </c>
      <c r="U3897" s="43" t="str">
        <f>HYPERLINK("https://ictv.global/taxonomy/taxondetails?taxnode_id=202213644","ictv.global=202213644")</f>
        <v>ictv.global=202213644</v>
      </c>
    </row>
    <row r="3898" spans="1:21">
      <c r="A3898">
        <v>3897</v>
      </c>
      <c r="B3898" s="29" t="s">
        <v>3682</v>
      </c>
      <c r="C3898" s="29"/>
      <c r="D3898" s="29" t="s">
        <v>3683</v>
      </c>
      <c r="E3898" s="29"/>
      <c r="F3898" s="29" t="s">
        <v>3686</v>
      </c>
      <c r="G3898" s="29"/>
      <c r="H3898" s="29" t="s">
        <v>3687</v>
      </c>
      <c r="I3898" s="29"/>
      <c r="J3898" s="29"/>
      <c r="K3898" s="29"/>
      <c r="L3898" s="29"/>
      <c r="M3898" s="29"/>
      <c r="N3898" s="29" t="s">
        <v>4610</v>
      </c>
      <c r="O3898" s="29"/>
      <c r="P3898" s="29" t="s">
        <v>11190</v>
      </c>
      <c r="Q3898" t="s">
        <v>2038</v>
      </c>
      <c r="R3898" t="s">
        <v>2633</v>
      </c>
      <c r="S3898">
        <v>37</v>
      </c>
      <c r="T3898" s="43" t="str">
        <f t="shared" ref="T3898:T3904" si="183">HYPERLINK("https://ictv.global/ictv/proposals/2021.010B.R.Binomial_names.zip","2021.010B.R.Binomial_names.zip")</f>
        <v>2021.010B.R.Binomial_names.zip</v>
      </c>
      <c r="U3898" s="43" t="str">
        <f>HYPERLINK("https://ictv.global/taxonomy/taxondetails?taxnode_id=202200702","ictv.global=202200702")</f>
        <v>ictv.global=202200702</v>
      </c>
    </row>
    <row r="3899" spans="1:21">
      <c r="A3899">
        <v>3898</v>
      </c>
      <c r="B3899" s="29" t="s">
        <v>3682</v>
      </c>
      <c r="C3899" s="29"/>
      <c r="D3899" s="29" t="s">
        <v>3683</v>
      </c>
      <c r="E3899" s="29"/>
      <c r="F3899" s="29" t="s">
        <v>3686</v>
      </c>
      <c r="G3899" s="29"/>
      <c r="H3899" s="29" t="s">
        <v>3687</v>
      </c>
      <c r="I3899" s="29"/>
      <c r="J3899" s="29"/>
      <c r="K3899" s="29"/>
      <c r="L3899" s="29"/>
      <c r="M3899" s="29"/>
      <c r="N3899" s="29" t="s">
        <v>4610</v>
      </c>
      <c r="O3899" s="29"/>
      <c r="P3899" s="29" t="s">
        <v>11191</v>
      </c>
      <c r="Q3899" t="s">
        <v>2038</v>
      </c>
      <c r="R3899" t="s">
        <v>2633</v>
      </c>
      <c r="S3899">
        <v>37</v>
      </c>
      <c r="T3899" s="43" t="str">
        <f t="shared" si="183"/>
        <v>2021.010B.R.Binomial_names.zip</v>
      </c>
      <c r="U3899" s="43" t="str">
        <f>HYPERLINK("https://ictv.global/taxonomy/taxondetails?taxnode_id=202211844","ictv.global=202211844")</f>
        <v>ictv.global=202211844</v>
      </c>
    </row>
    <row r="3900" spans="1:21">
      <c r="A3900">
        <v>3899</v>
      </c>
      <c r="B3900" s="29" t="s">
        <v>3682</v>
      </c>
      <c r="C3900" s="29"/>
      <c r="D3900" s="29" t="s">
        <v>3683</v>
      </c>
      <c r="E3900" s="29"/>
      <c r="F3900" s="29" t="s">
        <v>3686</v>
      </c>
      <c r="G3900" s="29"/>
      <c r="H3900" s="29" t="s">
        <v>3687</v>
      </c>
      <c r="I3900" s="29"/>
      <c r="J3900" s="29"/>
      <c r="K3900" s="29"/>
      <c r="L3900" s="29"/>
      <c r="M3900" s="29"/>
      <c r="N3900" s="29" t="s">
        <v>4772</v>
      </c>
      <c r="O3900" s="29"/>
      <c r="P3900" s="29" t="s">
        <v>11192</v>
      </c>
      <c r="Q3900" t="s">
        <v>2038</v>
      </c>
      <c r="R3900" t="s">
        <v>2633</v>
      </c>
      <c r="S3900">
        <v>37</v>
      </c>
      <c r="T3900" s="43" t="str">
        <f t="shared" si="183"/>
        <v>2021.010B.R.Binomial_names.zip</v>
      </c>
      <c r="U3900" s="43" t="str">
        <f>HYPERLINK("https://ictv.global/taxonomy/taxondetails?taxnode_id=202210213","ictv.global=202210213")</f>
        <v>ictv.global=202210213</v>
      </c>
    </row>
    <row r="3901" spans="1:21">
      <c r="A3901">
        <v>3900</v>
      </c>
      <c r="B3901" s="29" t="s">
        <v>3682</v>
      </c>
      <c r="C3901" s="29"/>
      <c r="D3901" s="29" t="s">
        <v>3683</v>
      </c>
      <c r="E3901" s="29"/>
      <c r="F3901" s="29" t="s">
        <v>3686</v>
      </c>
      <c r="G3901" s="29"/>
      <c r="H3901" s="29" t="s">
        <v>3687</v>
      </c>
      <c r="I3901" s="29"/>
      <c r="J3901" s="29"/>
      <c r="K3901" s="29"/>
      <c r="L3901" s="29"/>
      <c r="M3901" s="29"/>
      <c r="N3901" s="29" t="s">
        <v>3434</v>
      </c>
      <c r="O3901" s="29"/>
      <c r="P3901" s="29" t="s">
        <v>11193</v>
      </c>
      <c r="Q3901" t="s">
        <v>2038</v>
      </c>
      <c r="R3901" t="s">
        <v>2633</v>
      </c>
      <c r="S3901">
        <v>37</v>
      </c>
      <c r="T3901" s="43" t="str">
        <f t="shared" si="183"/>
        <v>2021.010B.R.Binomial_names.zip</v>
      </c>
      <c r="U3901" s="43" t="str">
        <f>HYPERLINK("https://ictv.global/taxonomy/taxondetails?taxnode_id=202200508","ictv.global=202200508")</f>
        <v>ictv.global=202200508</v>
      </c>
    </row>
    <row r="3902" spans="1:21">
      <c r="A3902">
        <v>3901</v>
      </c>
      <c r="B3902" s="29" t="s">
        <v>3682</v>
      </c>
      <c r="C3902" s="29"/>
      <c r="D3902" s="29" t="s">
        <v>3683</v>
      </c>
      <c r="E3902" s="29"/>
      <c r="F3902" s="29" t="s">
        <v>3686</v>
      </c>
      <c r="G3902" s="29"/>
      <c r="H3902" s="29" t="s">
        <v>3687</v>
      </c>
      <c r="I3902" s="29"/>
      <c r="J3902" s="29"/>
      <c r="K3902" s="29"/>
      <c r="L3902" s="29"/>
      <c r="M3902" s="29"/>
      <c r="N3902" s="29" t="s">
        <v>3600</v>
      </c>
      <c r="O3902" s="29"/>
      <c r="P3902" s="29" t="s">
        <v>11194</v>
      </c>
      <c r="Q3902" t="s">
        <v>2038</v>
      </c>
      <c r="R3902" t="s">
        <v>2633</v>
      </c>
      <c r="S3902">
        <v>37</v>
      </c>
      <c r="T3902" s="43" t="str">
        <f t="shared" si="183"/>
        <v>2021.010B.R.Binomial_names.zip</v>
      </c>
      <c r="U3902" s="43" t="str">
        <f>HYPERLINK("https://ictv.global/taxonomy/taxondetails?taxnode_id=202201258","ictv.global=202201258")</f>
        <v>ictv.global=202201258</v>
      </c>
    </row>
    <row r="3903" spans="1:21">
      <c r="A3903">
        <v>3902</v>
      </c>
      <c r="B3903" s="29" t="s">
        <v>3682</v>
      </c>
      <c r="C3903" s="29"/>
      <c r="D3903" s="29" t="s">
        <v>3683</v>
      </c>
      <c r="E3903" s="29"/>
      <c r="F3903" s="29" t="s">
        <v>3686</v>
      </c>
      <c r="G3903" s="29"/>
      <c r="H3903" s="29" t="s">
        <v>3687</v>
      </c>
      <c r="I3903" s="29"/>
      <c r="J3903" s="29"/>
      <c r="K3903" s="29"/>
      <c r="L3903" s="29"/>
      <c r="M3903" s="29"/>
      <c r="N3903" s="29" t="s">
        <v>3600</v>
      </c>
      <c r="O3903" s="29"/>
      <c r="P3903" s="29" t="s">
        <v>11195</v>
      </c>
      <c r="Q3903" t="s">
        <v>2038</v>
      </c>
      <c r="R3903" t="s">
        <v>2633</v>
      </c>
      <c r="S3903">
        <v>37</v>
      </c>
      <c r="T3903" s="43" t="str">
        <f t="shared" si="183"/>
        <v>2021.010B.R.Binomial_names.zip</v>
      </c>
      <c r="U3903" s="43" t="str">
        <f>HYPERLINK("https://ictv.global/taxonomy/taxondetails?taxnode_id=202201259","ictv.global=202201259")</f>
        <v>ictv.global=202201259</v>
      </c>
    </row>
    <row r="3904" spans="1:21">
      <c r="A3904">
        <v>3903</v>
      </c>
      <c r="B3904" s="29" t="s">
        <v>3682</v>
      </c>
      <c r="C3904" s="29"/>
      <c r="D3904" s="29" t="s">
        <v>3683</v>
      </c>
      <c r="E3904" s="29"/>
      <c r="F3904" s="29" t="s">
        <v>3686</v>
      </c>
      <c r="G3904" s="29"/>
      <c r="H3904" s="29" t="s">
        <v>3687</v>
      </c>
      <c r="I3904" s="29"/>
      <c r="J3904" s="29"/>
      <c r="K3904" s="29"/>
      <c r="L3904" s="29"/>
      <c r="M3904" s="29"/>
      <c r="N3904" s="29" t="s">
        <v>3600</v>
      </c>
      <c r="O3904" s="29"/>
      <c r="P3904" s="29" t="s">
        <v>11196</v>
      </c>
      <c r="Q3904" t="s">
        <v>2038</v>
      </c>
      <c r="R3904" t="s">
        <v>2633</v>
      </c>
      <c r="S3904">
        <v>37</v>
      </c>
      <c r="T3904" s="43" t="str">
        <f t="shared" si="183"/>
        <v>2021.010B.R.Binomial_names.zip</v>
      </c>
      <c r="U3904" s="43" t="str">
        <f>HYPERLINK("https://ictv.global/taxonomy/taxondetails?taxnode_id=202201257","ictv.global=202201257")</f>
        <v>ictv.global=202201257</v>
      </c>
    </row>
    <row r="3905" spans="1:21">
      <c r="A3905">
        <v>3904</v>
      </c>
      <c r="B3905" s="29" t="s">
        <v>3682</v>
      </c>
      <c r="C3905" s="29"/>
      <c r="D3905" s="29" t="s">
        <v>3683</v>
      </c>
      <c r="E3905" s="29"/>
      <c r="F3905" s="29" t="s">
        <v>3686</v>
      </c>
      <c r="G3905" s="29"/>
      <c r="H3905" s="29" t="s">
        <v>3687</v>
      </c>
      <c r="I3905" s="29"/>
      <c r="J3905" s="29"/>
      <c r="K3905" s="29"/>
      <c r="L3905" s="29"/>
      <c r="M3905" s="29"/>
      <c r="N3905" s="29" t="s">
        <v>11197</v>
      </c>
      <c r="O3905" s="29"/>
      <c r="P3905" s="29" t="s">
        <v>11198</v>
      </c>
      <c r="Q3905" t="s">
        <v>2038</v>
      </c>
      <c r="R3905" t="s">
        <v>2632</v>
      </c>
      <c r="S3905">
        <v>38</v>
      </c>
      <c r="T3905" s="43" t="str">
        <f>HYPERLINK("https://ictv.global/ictv/proposals/2022.066B.Caudoviricetes_6ng.zip","2022.066B.Caudoviricetes_6ng.zip")</f>
        <v>2022.066B.Caudoviricetes_6ng.zip</v>
      </c>
      <c r="U3905" s="43" t="str">
        <f>HYPERLINK("https://ictv.global/taxonomy/taxondetails?taxnode_id=202214784","ictv.global=202214784")</f>
        <v>ictv.global=202214784</v>
      </c>
    </row>
    <row r="3906" spans="1:21">
      <c r="A3906">
        <v>3905</v>
      </c>
      <c r="B3906" s="29" t="s">
        <v>3682</v>
      </c>
      <c r="C3906" s="29"/>
      <c r="D3906" s="29" t="s">
        <v>3683</v>
      </c>
      <c r="E3906" s="29"/>
      <c r="F3906" s="29" t="s">
        <v>3686</v>
      </c>
      <c r="G3906" s="29"/>
      <c r="H3906" s="29" t="s">
        <v>3687</v>
      </c>
      <c r="I3906" s="29"/>
      <c r="J3906" s="29"/>
      <c r="K3906" s="29"/>
      <c r="L3906" s="29"/>
      <c r="M3906" s="29"/>
      <c r="N3906" s="29" t="s">
        <v>4039</v>
      </c>
      <c r="O3906" s="29"/>
      <c r="P3906" s="29" t="s">
        <v>11199</v>
      </c>
      <c r="Q3906" t="s">
        <v>2038</v>
      </c>
      <c r="R3906" t="s">
        <v>2633</v>
      </c>
      <c r="S3906">
        <v>37</v>
      </c>
      <c r="T3906" s="43" t="str">
        <f>HYPERLINK("https://ictv.global/ictv/proposals/2021.010B.R.Binomial_names.zip","2021.010B.R.Binomial_names.zip")</f>
        <v>2021.010B.R.Binomial_names.zip</v>
      </c>
      <c r="U3906" s="43" t="str">
        <f>HYPERLINK("https://ictv.global/taxonomy/taxondetails?taxnode_id=202208035","ictv.global=202208035")</f>
        <v>ictv.global=202208035</v>
      </c>
    </row>
    <row r="3907" spans="1:21">
      <c r="A3907">
        <v>3906</v>
      </c>
      <c r="B3907" s="29" t="s">
        <v>3682</v>
      </c>
      <c r="C3907" s="29"/>
      <c r="D3907" s="29" t="s">
        <v>3683</v>
      </c>
      <c r="E3907" s="29"/>
      <c r="F3907" s="29" t="s">
        <v>3686</v>
      </c>
      <c r="G3907" s="29"/>
      <c r="H3907" s="29" t="s">
        <v>3687</v>
      </c>
      <c r="I3907" s="29"/>
      <c r="J3907" s="29"/>
      <c r="K3907" s="29"/>
      <c r="L3907" s="29"/>
      <c r="M3907" s="29"/>
      <c r="N3907" s="29" t="s">
        <v>2122</v>
      </c>
      <c r="O3907" s="29"/>
      <c r="P3907" s="29" t="s">
        <v>11200</v>
      </c>
      <c r="Q3907" t="s">
        <v>2038</v>
      </c>
      <c r="R3907" t="s">
        <v>2633</v>
      </c>
      <c r="S3907">
        <v>37</v>
      </c>
      <c r="T3907" s="43" t="str">
        <f>HYPERLINK("https://ictv.global/ictv/proposals/2021.010B.R.Binomial_names.zip","2021.010B.R.Binomial_names.zip")</f>
        <v>2021.010B.R.Binomial_names.zip</v>
      </c>
      <c r="U3907" s="43" t="str">
        <f>HYPERLINK("https://ictv.global/taxonomy/taxondetails?taxnode_id=202201264","ictv.global=202201264")</f>
        <v>ictv.global=202201264</v>
      </c>
    </row>
    <row r="3908" spans="1:21">
      <c r="A3908">
        <v>3907</v>
      </c>
      <c r="B3908" s="29" t="s">
        <v>3682</v>
      </c>
      <c r="C3908" s="29"/>
      <c r="D3908" s="29" t="s">
        <v>3683</v>
      </c>
      <c r="E3908" s="29"/>
      <c r="F3908" s="29" t="s">
        <v>3686</v>
      </c>
      <c r="G3908" s="29"/>
      <c r="H3908" s="29" t="s">
        <v>3687</v>
      </c>
      <c r="I3908" s="29"/>
      <c r="J3908" s="29"/>
      <c r="K3908" s="29"/>
      <c r="L3908" s="29"/>
      <c r="M3908" s="29"/>
      <c r="N3908" s="29" t="s">
        <v>2122</v>
      </c>
      <c r="O3908" s="29"/>
      <c r="P3908" s="29" t="s">
        <v>11201</v>
      </c>
      <c r="Q3908" t="s">
        <v>2038</v>
      </c>
      <c r="R3908" t="s">
        <v>2633</v>
      </c>
      <c r="S3908">
        <v>37</v>
      </c>
      <c r="T3908" s="43" t="str">
        <f>HYPERLINK("https://ictv.global/ictv/proposals/2021.010B.R.Binomial_names.zip","2021.010B.R.Binomial_names.zip")</f>
        <v>2021.010B.R.Binomial_names.zip</v>
      </c>
      <c r="U3908" s="43" t="str">
        <f>HYPERLINK("https://ictv.global/taxonomy/taxondetails?taxnode_id=202201265","ictv.global=202201265")</f>
        <v>ictv.global=202201265</v>
      </c>
    </row>
    <row r="3909" spans="1:21">
      <c r="A3909">
        <v>3908</v>
      </c>
      <c r="B3909" s="29" t="s">
        <v>3682</v>
      </c>
      <c r="C3909" s="29"/>
      <c r="D3909" s="29" t="s">
        <v>3683</v>
      </c>
      <c r="E3909" s="29"/>
      <c r="F3909" s="29" t="s">
        <v>3686</v>
      </c>
      <c r="G3909" s="29"/>
      <c r="H3909" s="29" t="s">
        <v>3687</v>
      </c>
      <c r="I3909" s="29"/>
      <c r="J3909" s="29"/>
      <c r="K3909" s="29"/>
      <c r="L3909" s="29"/>
      <c r="M3909" s="29"/>
      <c r="N3909" s="29" t="s">
        <v>11202</v>
      </c>
      <c r="O3909" s="29"/>
      <c r="P3909" s="29" t="s">
        <v>11203</v>
      </c>
      <c r="Q3909" t="s">
        <v>2038</v>
      </c>
      <c r="R3909" t="s">
        <v>2632</v>
      </c>
      <c r="S3909">
        <v>38</v>
      </c>
      <c r="T3909" s="43" t="str">
        <f>HYPERLINK("https://ictv.global/ictv/proposals/2022.081B.Caudoviricetes_6ng_streptomyces.zip","2022.081B.Caudoviricetes_6ng_streptomyces.zip")</f>
        <v>2022.081B.Caudoviricetes_6ng_streptomyces.zip</v>
      </c>
      <c r="U3909" s="43" t="str">
        <f>HYPERLINK("https://ictv.global/taxonomy/taxondetails?taxnode_id=202214881","ictv.global=202214881")</f>
        <v>ictv.global=202214881</v>
      </c>
    </row>
    <row r="3910" spans="1:21">
      <c r="A3910">
        <v>3909</v>
      </c>
      <c r="B3910" s="29" t="s">
        <v>3682</v>
      </c>
      <c r="C3910" s="29"/>
      <c r="D3910" s="29" t="s">
        <v>3683</v>
      </c>
      <c r="E3910" s="29"/>
      <c r="F3910" s="29" t="s">
        <v>3686</v>
      </c>
      <c r="G3910" s="29"/>
      <c r="H3910" s="29" t="s">
        <v>3687</v>
      </c>
      <c r="I3910" s="29"/>
      <c r="J3910" s="29"/>
      <c r="K3910" s="29"/>
      <c r="L3910" s="29"/>
      <c r="M3910" s="29"/>
      <c r="N3910" s="29" t="s">
        <v>4582</v>
      </c>
      <c r="O3910" s="29"/>
      <c r="P3910" s="29" t="s">
        <v>11204</v>
      </c>
      <c r="Q3910" t="s">
        <v>2038</v>
      </c>
      <c r="R3910" t="s">
        <v>2633</v>
      </c>
      <c r="S3910">
        <v>37</v>
      </c>
      <c r="T3910" s="43" t="str">
        <f>HYPERLINK("https://ictv.global/ictv/proposals/2021.010B.R.Binomial_names.zip","2021.010B.R.Binomial_names.zip")</f>
        <v>2021.010B.R.Binomial_names.zip</v>
      </c>
      <c r="U3910" s="43" t="str">
        <f>HYPERLINK("https://ictv.global/taxonomy/taxondetails?taxnode_id=202211856","ictv.global=202211856")</f>
        <v>ictv.global=202211856</v>
      </c>
    </row>
    <row r="3911" spans="1:21">
      <c r="A3911">
        <v>3910</v>
      </c>
      <c r="B3911" s="29" t="s">
        <v>3682</v>
      </c>
      <c r="C3911" s="29"/>
      <c r="D3911" s="29" t="s">
        <v>3683</v>
      </c>
      <c r="E3911" s="29"/>
      <c r="F3911" s="29" t="s">
        <v>3686</v>
      </c>
      <c r="G3911" s="29"/>
      <c r="H3911" s="29" t="s">
        <v>3687</v>
      </c>
      <c r="I3911" s="29"/>
      <c r="J3911" s="29"/>
      <c r="K3911" s="29"/>
      <c r="L3911" s="29"/>
      <c r="M3911" s="29"/>
      <c r="N3911" s="29" t="s">
        <v>11205</v>
      </c>
      <c r="O3911" s="29"/>
      <c r="P3911" s="29" t="s">
        <v>11206</v>
      </c>
      <c r="Q3911" t="s">
        <v>2038</v>
      </c>
      <c r="R3911" t="s">
        <v>2632</v>
      </c>
      <c r="S3911">
        <v>37</v>
      </c>
      <c r="T3911" s="43" t="str">
        <f>HYPERLINK("https://ictv.global/ictv/proposals/2021.077B.R.Sheenvirus.zip","2021.077B.R.Sheenvirus.zip")</f>
        <v>2021.077B.R.Sheenvirus.zip</v>
      </c>
      <c r="U3911" s="43" t="str">
        <f>HYPERLINK("https://ictv.global/taxonomy/taxondetails?taxnode_id=202213614","ictv.global=202213614")</f>
        <v>ictv.global=202213614</v>
      </c>
    </row>
    <row r="3912" spans="1:21">
      <c r="A3912">
        <v>3911</v>
      </c>
      <c r="B3912" s="29" t="s">
        <v>3682</v>
      </c>
      <c r="C3912" s="29"/>
      <c r="D3912" s="29" t="s">
        <v>3683</v>
      </c>
      <c r="E3912" s="29"/>
      <c r="F3912" s="29" t="s">
        <v>3686</v>
      </c>
      <c r="G3912" s="29"/>
      <c r="H3912" s="29" t="s">
        <v>3687</v>
      </c>
      <c r="I3912" s="29"/>
      <c r="J3912" s="29"/>
      <c r="K3912" s="29"/>
      <c r="L3912" s="29"/>
      <c r="M3912" s="29"/>
      <c r="N3912" s="29" t="s">
        <v>4583</v>
      </c>
      <c r="O3912" s="29"/>
      <c r="P3912" s="29" t="s">
        <v>11207</v>
      </c>
      <c r="Q3912" t="s">
        <v>2038</v>
      </c>
      <c r="R3912" t="s">
        <v>2633</v>
      </c>
      <c r="S3912">
        <v>37</v>
      </c>
      <c r="T3912" s="43" t="str">
        <f t="shared" ref="T3912:T3918" si="184">HYPERLINK("https://ictv.global/ictv/proposals/2021.010B.R.Binomial_names.zip","2021.010B.R.Binomial_names.zip")</f>
        <v>2021.010B.R.Binomial_names.zip</v>
      </c>
      <c r="U3912" s="43" t="str">
        <f>HYPERLINK("https://ictv.global/taxonomy/taxondetails?taxnode_id=202209896","ictv.global=202209896")</f>
        <v>ictv.global=202209896</v>
      </c>
    </row>
    <row r="3913" spans="1:21">
      <c r="A3913">
        <v>3912</v>
      </c>
      <c r="B3913" s="29" t="s">
        <v>3682</v>
      </c>
      <c r="C3913" s="29"/>
      <c r="D3913" s="29" t="s">
        <v>3683</v>
      </c>
      <c r="E3913" s="29"/>
      <c r="F3913" s="29" t="s">
        <v>3686</v>
      </c>
      <c r="G3913" s="29"/>
      <c r="H3913" s="29" t="s">
        <v>3687</v>
      </c>
      <c r="I3913" s="29"/>
      <c r="J3913" s="29"/>
      <c r="K3913" s="29"/>
      <c r="L3913" s="29"/>
      <c r="M3913" s="29"/>
      <c r="N3913" s="29" t="s">
        <v>4583</v>
      </c>
      <c r="O3913" s="29"/>
      <c r="P3913" s="29" t="s">
        <v>11208</v>
      </c>
      <c r="Q3913" t="s">
        <v>2038</v>
      </c>
      <c r="R3913" t="s">
        <v>2633</v>
      </c>
      <c r="S3913">
        <v>37</v>
      </c>
      <c r="T3913" s="43" t="str">
        <f t="shared" si="184"/>
        <v>2021.010B.R.Binomial_names.zip</v>
      </c>
      <c r="U3913" s="43" t="str">
        <f>HYPERLINK("https://ictv.global/taxonomy/taxondetails?taxnode_id=202209893","ictv.global=202209893")</f>
        <v>ictv.global=202209893</v>
      </c>
    </row>
    <row r="3914" spans="1:21">
      <c r="A3914">
        <v>3913</v>
      </c>
      <c r="B3914" s="29" t="s">
        <v>3682</v>
      </c>
      <c r="C3914" s="29"/>
      <c r="D3914" s="29" t="s">
        <v>3683</v>
      </c>
      <c r="E3914" s="29"/>
      <c r="F3914" s="29" t="s">
        <v>3686</v>
      </c>
      <c r="G3914" s="29"/>
      <c r="H3914" s="29" t="s">
        <v>3687</v>
      </c>
      <c r="I3914" s="29"/>
      <c r="J3914" s="29"/>
      <c r="K3914" s="29"/>
      <c r="L3914" s="29"/>
      <c r="M3914" s="29"/>
      <c r="N3914" s="29" t="s">
        <v>4583</v>
      </c>
      <c r="O3914" s="29"/>
      <c r="P3914" s="29" t="s">
        <v>11209</v>
      </c>
      <c r="Q3914" t="s">
        <v>2038</v>
      </c>
      <c r="R3914" t="s">
        <v>2633</v>
      </c>
      <c r="S3914">
        <v>37</v>
      </c>
      <c r="T3914" s="43" t="str">
        <f t="shared" si="184"/>
        <v>2021.010B.R.Binomial_names.zip</v>
      </c>
      <c r="U3914" s="43" t="str">
        <f>HYPERLINK("https://ictv.global/taxonomy/taxondetails?taxnode_id=202209895","ictv.global=202209895")</f>
        <v>ictv.global=202209895</v>
      </c>
    </row>
    <row r="3915" spans="1:21">
      <c r="A3915">
        <v>3914</v>
      </c>
      <c r="B3915" s="29" t="s">
        <v>3682</v>
      </c>
      <c r="C3915" s="29"/>
      <c r="D3915" s="29" t="s">
        <v>3683</v>
      </c>
      <c r="E3915" s="29"/>
      <c r="F3915" s="29" t="s">
        <v>3686</v>
      </c>
      <c r="G3915" s="29"/>
      <c r="H3915" s="29" t="s">
        <v>3687</v>
      </c>
      <c r="I3915" s="29"/>
      <c r="J3915" s="29"/>
      <c r="K3915" s="29"/>
      <c r="L3915" s="29"/>
      <c r="M3915" s="29"/>
      <c r="N3915" s="29" t="s">
        <v>4583</v>
      </c>
      <c r="O3915" s="29"/>
      <c r="P3915" s="29" t="s">
        <v>11210</v>
      </c>
      <c r="Q3915" t="s">
        <v>2038</v>
      </c>
      <c r="R3915" t="s">
        <v>2633</v>
      </c>
      <c r="S3915">
        <v>37</v>
      </c>
      <c r="T3915" s="43" t="str">
        <f t="shared" si="184"/>
        <v>2021.010B.R.Binomial_names.zip</v>
      </c>
      <c r="U3915" s="43" t="str">
        <f>HYPERLINK("https://ictv.global/taxonomy/taxondetails?taxnode_id=202209892","ictv.global=202209892")</f>
        <v>ictv.global=202209892</v>
      </c>
    </row>
    <row r="3916" spans="1:21">
      <c r="A3916">
        <v>3915</v>
      </c>
      <c r="B3916" s="29" t="s">
        <v>3682</v>
      </c>
      <c r="C3916" s="29"/>
      <c r="D3916" s="29" t="s">
        <v>3683</v>
      </c>
      <c r="E3916" s="29"/>
      <c r="F3916" s="29" t="s">
        <v>3686</v>
      </c>
      <c r="G3916" s="29"/>
      <c r="H3916" s="29" t="s">
        <v>3687</v>
      </c>
      <c r="I3916" s="29"/>
      <c r="J3916" s="29"/>
      <c r="K3916" s="29"/>
      <c r="L3916" s="29"/>
      <c r="M3916" s="29"/>
      <c r="N3916" s="29" t="s">
        <v>4583</v>
      </c>
      <c r="O3916" s="29"/>
      <c r="P3916" s="29" t="s">
        <v>11211</v>
      </c>
      <c r="Q3916" t="s">
        <v>2038</v>
      </c>
      <c r="R3916" t="s">
        <v>2633</v>
      </c>
      <c r="S3916">
        <v>37</v>
      </c>
      <c r="T3916" s="43" t="str">
        <f t="shared" si="184"/>
        <v>2021.010B.R.Binomial_names.zip</v>
      </c>
      <c r="U3916" s="43" t="str">
        <f>HYPERLINK("https://ictv.global/taxonomy/taxondetails?taxnode_id=202209894","ictv.global=202209894")</f>
        <v>ictv.global=202209894</v>
      </c>
    </row>
    <row r="3917" spans="1:21">
      <c r="A3917">
        <v>3916</v>
      </c>
      <c r="B3917" s="29" t="s">
        <v>3682</v>
      </c>
      <c r="C3917" s="29"/>
      <c r="D3917" s="29" t="s">
        <v>3683</v>
      </c>
      <c r="E3917" s="29"/>
      <c r="F3917" s="29" t="s">
        <v>3686</v>
      </c>
      <c r="G3917" s="29"/>
      <c r="H3917" s="29" t="s">
        <v>3687</v>
      </c>
      <c r="I3917" s="29"/>
      <c r="J3917" s="29"/>
      <c r="K3917" s="29"/>
      <c r="L3917" s="29"/>
      <c r="M3917" s="29"/>
      <c r="N3917" s="29" t="s">
        <v>4583</v>
      </c>
      <c r="O3917" s="29"/>
      <c r="P3917" s="29" t="s">
        <v>11212</v>
      </c>
      <c r="Q3917" t="s">
        <v>2038</v>
      </c>
      <c r="R3917" t="s">
        <v>2633</v>
      </c>
      <c r="S3917">
        <v>37</v>
      </c>
      <c r="T3917" s="43" t="str">
        <f t="shared" si="184"/>
        <v>2021.010B.R.Binomial_names.zip</v>
      </c>
      <c r="U3917" s="43" t="str">
        <f>HYPERLINK("https://ictv.global/taxonomy/taxondetails?taxnode_id=202209891","ictv.global=202209891")</f>
        <v>ictv.global=202209891</v>
      </c>
    </row>
    <row r="3918" spans="1:21">
      <c r="A3918">
        <v>3917</v>
      </c>
      <c r="B3918" s="29" t="s">
        <v>3682</v>
      </c>
      <c r="C3918" s="29"/>
      <c r="D3918" s="29" t="s">
        <v>3683</v>
      </c>
      <c r="E3918" s="29"/>
      <c r="F3918" s="29" t="s">
        <v>3686</v>
      </c>
      <c r="G3918" s="29"/>
      <c r="H3918" s="29" t="s">
        <v>3687</v>
      </c>
      <c r="I3918" s="29"/>
      <c r="J3918" s="29"/>
      <c r="K3918" s="29"/>
      <c r="L3918" s="29"/>
      <c r="M3918" s="29"/>
      <c r="N3918" s="29" t="s">
        <v>4584</v>
      </c>
      <c r="O3918" s="29"/>
      <c r="P3918" s="29" t="s">
        <v>11213</v>
      </c>
      <c r="Q3918" t="s">
        <v>2038</v>
      </c>
      <c r="R3918" t="s">
        <v>2633</v>
      </c>
      <c r="S3918">
        <v>37</v>
      </c>
      <c r="T3918" s="43" t="str">
        <f t="shared" si="184"/>
        <v>2021.010B.R.Binomial_names.zip</v>
      </c>
      <c r="U3918" s="43" t="str">
        <f>HYPERLINK("https://ictv.global/taxonomy/taxondetails?taxnode_id=202211858","ictv.global=202211858")</f>
        <v>ictv.global=202211858</v>
      </c>
    </row>
    <row r="3919" spans="1:21">
      <c r="A3919">
        <v>3918</v>
      </c>
      <c r="B3919" s="29" t="s">
        <v>3682</v>
      </c>
      <c r="C3919" s="29"/>
      <c r="D3919" s="29" t="s">
        <v>3683</v>
      </c>
      <c r="E3919" s="29"/>
      <c r="F3919" s="29" t="s">
        <v>3686</v>
      </c>
      <c r="G3919" s="29"/>
      <c r="H3919" s="29" t="s">
        <v>3687</v>
      </c>
      <c r="I3919" s="29"/>
      <c r="J3919" s="29"/>
      <c r="K3919" s="29"/>
      <c r="L3919" s="29"/>
      <c r="M3919" s="29"/>
      <c r="N3919" s="29" t="s">
        <v>11214</v>
      </c>
      <c r="O3919" s="29"/>
      <c r="P3919" s="29" t="s">
        <v>11215</v>
      </c>
      <c r="Q3919" t="s">
        <v>2038</v>
      </c>
      <c r="R3919" t="s">
        <v>2632</v>
      </c>
      <c r="S3919">
        <v>38</v>
      </c>
      <c r="T3919" s="43" t="str">
        <f>HYPERLINK("https://ictv.global/ictv/proposals/2022.090B.Caudoviricetes_3ng_arthrobacter.zip","2022.090B.Caudoviricetes_3ng_arthrobacter.zip")</f>
        <v>2022.090B.Caudoviricetes_3ng_arthrobacter.zip</v>
      </c>
      <c r="U3919" s="43" t="str">
        <f>HYPERLINK("https://ictv.global/taxonomy/taxondetails?taxnode_id=202214959","ictv.global=202214959")</f>
        <v>ictv.global=202214959</v>
      </c>
    </row>
    <row r="3920" spans="1:21">
      <c r="A3920">
        <v>3919</v>
      </c>
      <c r="B3920" s="29" t="s">
        <v>3682</v>
      </c>
      <c r="C3920" s="29"/>
      <c r="D3920" s="29" t="s">
        <v>3683</v>
      </c>
      <c r="E3920" s="29"/>
      <c r="F3920" s="29" t="s">
        <v>3686</v>
      </c>
      <c r="G3920" s="29"/>
      <c r="H3920" s="29" t="s">
        <v>3687</v>
      </c>
      <c r="I3920" s="29"/>
      <c r="J3920" s="29"/>
      <c r="K3920" s="29"/>
      <c r="L3920" s="29"/>
      <c r="M3920" s="29"/>
      <c r="N3920" s="29" t="s">
        <v>11216</v>
      </c>
      <c r="O3920" s="29"/>
      <c r="P3920" s="29" t="s">
        <v>11217</v>
      </c>
      <c r="Q3920" t="s">
        <v>2038</v>
      </c>
      <c r="R3920" t="s">
        <v>2632</v>
      </c>
      <c r="S3920">
        <v>37</v>
      </c>
      <c r="T3920" s="43" t="str">
        <f>HYPERLINK("https://ictv.global/ictv/proposals/2021.078B.R.Siphoviridae_new_genera.zip","2021.078B.R.Siphoviridae_new_genera.zip")</f>
        <v>2021.078B.R.Siphoviridae_new_genera.zip</v>
      </c>
      <c r="U3920" s="43" t="str">
        <f>HYPERLINK("https://ictv.global/taxonomy/taxondetails?taxnode_id=202213637","ictv.global=202213637")</f>
        <v>ictv.global=202213637</v>
      </c>
    </row>
    <row r="3921" spans="1:21">
      <c r="A3921">
        <v>3920</v>
      </c>
      <c r="B3921" s="29" t="s">
        <v>3682</v>
      </c>
      <c r="C3921" s="29"/>
      <c r="D3921" s="29" t="s">
        <v>3683</v>
      </c>
      <c r="E3921" s="29"/>
      <c r="F3921" s="29" t="s">
        <v>3686</v>
      </c>
      <c r="G3921" s="29"/>
      <c r="H3921" s="29" t="s">
        <v>3687</v>
      </c>
      <c r="I3921" s="29"/>
      <c r="J3921" s="29"/>
      <c r="K3921" s="29"/>
      <c r="L3921" s="29"/>
      <c r="M3921" s="29"/>
      <c r="N3921" s="29" t="s">
        <v>11218</v>
      </c>
      <c r="O3921" s="29"/>
      <c r="P3921" s="29" t="s">
        <v>11219</v>
      </c>
      <c r="Q3921" t="s">
        <v>2038</v>
      </c>
      <c r="R3921" t="s">
        <v>2632</v>
      </c>
      <c r="S3921">
        <v>38</v>
      </c>
      <c r="T3921" s="43" t="str">
        <f>HYPERLINK("https://ictv.global/ictv/proposals/2022.078B.Siatvirus_ng.zip","2022.078B.Siatvirus_ng.zip")</f>
        <v>2022.078B.Siatvirus_ng.zip</v>
      </c>
      <c r="U3921" s="43" t="str">
        <f>HYPERLINK("https://ictv.global/taxonomy/taxondetails?taxnode_id=202214854","ictv.global=202214854")</f>
        <v>ictv.global=202214854</v>
      </c>
    </row>
    <row r="3922" spans="1:21">
      <c r="A3922">
        <v>3921</v>
      </c>
      <c r="B3922" s="29" t="s">
        <v>3682</v>
      </c>
      <c r="C3922" s="29"/>
      <c r="D3922" s="29" t="s">
        <v>3683</v>
      </c>
      <c r="E3922" s="29"/>
      <c r="F3922" s="29" t="s">
        <v>3686</v>
      </c>
      <c r="G3922" s="29"/>
      <c r="H3922" s="29" t="s">
        <v>3687</v>
      </c>
      <c r="I3922" s="29"/>
      <c r="J3922" s="29"/>
      <c r="K3922" s="29"/>
      <c r="L3922" s="29"/>
      <c r="M3922" s="29"/>
      <c r="N3922" s="29" t="s">
        <v>11220</v>
      </c>
      <c r="O3922" s="29"/>
      <c r="P3922" s="29" t="s">
        <v>11221</v>
      </c>
      <c r="Q3922" t="s">
        <v>2038</v>
      </c>
      <c r="R3922" t="s">
        <v>2632</v>
      </c>
      <c r="S3922">
        <v>38</v>
      </c>
      <c r="T3922" s="43" t="str">
        <f>HYPERLINK("https://ictv.global/ictv/proposals/2022.084B.Caudoviricetes_6ng_33nsp.zip","2022.084B.Caudoviricetes_6ng_33nsp.zip")</f>
        <v>2022.084B.Caudoviricetes_6ng_33nsp.zip</v>
      </c>
      <c r="U3922" s="43" t="str">
        <f>HYPERLINK("https://ictv.global/taxonomy/taxondetails?taxnode_id=202214924","ictv.global=202214924")</f>
        <v>ictv.global=202214924</v>
      </c>
    </row>
    <row r="3923" spans="1:21">
      <c r="A3923">
        <v>3922</v>
      </c>
      <c r="B3923" s="29" t="s">
        <v>3682</v>
      </c>
      <c r="C3923" s="29"/>
      <c r="D3923" s="29" t="s">
        <v>3683</v>
      </c>
      <c r="E3923" s="29"/>
      <c r="F3923" s="29" t="s">
        <v>3686</v>
      </c>
      <c r="G3923" s="29"/>
      <c r="H3923" s="29" t="s">
        <v>3687</v>
      </c>
      <c r="I3923" s="29"/>
      <c r="J3923" s="29"/>
      <c r="K3923" s="29"/>
      <c r="L3923" s="29"/>
      <c r="M3923" s="29"/>
      <c r="N3923" s="29" t="s">
        <v>11222</v>
      </c>
      <c r="O3923" s="29"/>
      <c r="P3923" s="29" t="s">
        <v>11223</v>
      </c>
      <c r="Q3923" t="s">
        <v>2038</v>
      </c>
      <c r="R3923" t="s">
        <v>2632</v>
      </c>
      <c r="S3923">
        <v>38</v>
      </c>
      <c r="T3923" s="43" t="str">
        <f>HYPERLINK("https://ictv.global/ictv/proposals/2022.081B.Caudoviricetes_6ng_streptomyces.zip","2022.081B.Caudoviricetes_6ng_streptomyces.zip")</f>
        <v>2022.081B.Caudoviricetes_6ng_streptomyces.zip</v>
      </c>
      <c r="U3923" s="43" t="str">
        <f>HYPERLINK("https://ictv.global/taxonomy/taxondetails?taxnode_id=202214882","ictv.global=202214882")</f>
        <v>ictv.global=202214882</v>
      </c>
    </row>
    <row r="3924" spans="1:21">
      <c r="A3924">
        <v>3923</v>
      </c>
      <c r="B3924" s="29" t="s">
        <v>3682</v>
      </c>
      <c r="C3924" s="29"/>
      <c r="D3924" s="29" t="s">
        <v>3683</v>
      </c>
      <c r="E3924" s="29"/>
      <c r="F3924" s="29" t="s">
        <v>3686</v>
      </c>
      <c r="G3924" s="29"/>
      <c r="H3924" s="29" t="s">
        <v>3687</v>
      </c>
      <c r="I3924" s="29"/>
      <c r="J3924" s="29"/>
      <c r="K3924" s="29"/>
      <c r="L3924" s="29"/>
      <c r="M3924" s="29"/>
      <c r="N3924" s="29" t="s">
        <v>11224</v>
      </c>
      <c r="O3924" s="29"/>
      <c r="P3924" s="29" t="s">
        <v>11225</v>
      </c>
      <c r="Q3924" t="s">
        <v>2038</v>
      </c>
      <c r="R3924" t="s">
        <v>2632</v>
      </c>
      <c r="S3924">
        <v>38</v>
      </c>
      <c r="T3924" s="43" t="str">
        <f>HYPERLINK("https://ictv.global/ictv/proposals/2022.079B.Silentrexvirus_ng.zip","2022.079B.Silentrexvirus_ng.zip")</f>
        <v>2022.079B.Silentrexvirus_ng.zip</v>
      </c>
      <c r="U3924" s="43" t="str">
        <f>HYPERLINK("https://ictv.global/taxonomy/taxondetails?taxnode_id=202214856","ictv.global=202214856")</f>
        <v>ictv.global=202214856</v>
      </c>
    </row>
    <row r="3925" spans="1:21">
      <c r="A3925">
        <v>3924</v>
      </c>
      <c r="B3925" s="29" t="s">
        <v>3682</v>
      </c>
      <c r="C3925" s="29"/>
      <c r="D3925" s="29" t="s">
        <v>3683</v>
      </c>
      <c r="E3925" s="29"/>
      <c r="F3925" s="29" t="s">
        <v>3686</v>
      </c>
      <c r="G3925" s="29"/>
      <c r="H3925" s="29" t="s">
        <v>3687</v>
      </c>
      <c r="I3925" s="29"/>
      <c r="J3925" s="29"/>
      <c r="K3925" s="29"/>
      <c r="L3925" s="29"/>
      <c r="M3925" s="29"/>
      <c r="N3925" s="29" t="s">
        <v>11226</v>
      </c>
      <c r="O3925" s="29"/>
      <c r="P3925" s="29" t="s">
        <v>11227</v>
      </c>
      <c r="Q3925" t="s">
        <v>2038</v>
      </c>
      <c r="R3925" t="s">
        <v>2632</v>
      </c>
      <c r="S3925">
        <v>38</v>
      </c>
      <c r="T3925" s="43" t="str">
        <f>HYPERLINK("https://ictv.global/ictv/proposals/2022.092B.Caudoviricetes_3ng_gordonia.zip","2022.092B.Caudoviricetes_3ng_gordonia.zip")</f>
        <v>2022.092B.Caudoviricetes_3ng_gordonia.zip</v>
      </c>
      <c r="U3925" s="43" t="str">
        <f>HYPERLINK("https://ictv.global/taxonomy/taxondetails?taxnode_id=202214971","ictv.global=202214971")</f>
        <v>ictv.global=202214971</v>
      </c>
    </row>
    <row r="3926" spans="1:21">
      <c r="A3926">
        <v>3925</v>
      </c>
      <c r="B3926" s="29" t="s">
        <v>3682</v>
      </c>
      <c r="C3926" s="29"/>
      <c r="D3926" s="29" t="s">
        <v>3683</v>
      </c>
      <c r="E3926" s="29"/>
      <c r="F3926" s="29" t="s">
        <v>3686</v>
      </c>
      <c r="G3926" s="29"/>
      <c r="H3926" s="29" t="s">
        <v>3687</v>
      </c>
      <c r="I3926" s="29"/>
      <c r="J3926" s="29"/>
      <c r="K3926" s="29"/>
      <c r="L3926" s="29"/>
      <c r="M3926" s="29"/>
      <c r="N3926" s="29" t="s">
        <v>3964</v>
      </c>
      <c r="O3926" s="29"/>
      <c r="P3926" s="29" t="s">
        <v>11228</v>
      </c>
      <c r="Q3926" t="s">
        <v>2038</v>
      </c>
      <c r="R3926" t="s">
        <v>2633</v>
      </c>
      <c r="S3926">
        <v>37</v>
      </c>
      <c r="T3926" s="43" t="str">
        <f>HYPERLINK("https://ictv.global/ictv/proposals/2021.010B.R.Binomial_names.zip","2021.010B.R.Binomial_names.zip")</f>
        <v>2021.010B.R.Binomial_names.zip</v>
      </c>
      <c r="U3926" s="43" t="str">
        <f>HYPERLINK("https://ictv.global/taxonomy/taxondetails?taxnode_id=202207993","ictv.global=202207993")</f>
        <v>ictv.global=202207993</v>
      </c>
    </row>
    <row r="3927" spans="1:21">
      <c r="A3927">
        <v>3926</v>
      </c>
      <c r="B3927" s="29" t="s">
        <v>3682</v>
      </c>
      <c r="C3927" s="29"/>
      <c r="D3927" s="29" t="s">
        <v>3683</v>
      </c>
      <c r="E3927" s="29"/>
      <c r="F3927" s="29" t="s">
        <v>3686</v>
      </c>
      <c r="G3927" s="29"/>
      <c r="H3927" s="29" t="s">
        <v>3687</v>
      </c>
      <c r="I3927" s="29"/>
      <c r="J3927" s="29"/>
      <c r="K3927" s="29"/>
      <c r="L3927" s="29"/>
      <c r="M3927" s="29"/>
      <c r="N3927" s="29" t="s">
        <v>11229</v>
      </c>
      <c r="O3927" s="29"/>
      <c r="P3927" s="29" t="s">
        <v>11230</v>
      </c>
      <c r="Q3927" t="s">
        <v>2038</v>
      </c>
      <c r="R3927" t="s">
        <v>2632</v>
      </c>
      <c r="S3927">
        <v>37</v>
      </c>
      <c r="T3927" s="43" t="str">
        <f t="shared" ref="T3927:T3933" si="185">HYPERLINK("https://ictv.global/ictv/proposals/2021.078B.R.Siphoviridae_new_genera.zip","2021.078B.R.Siphoviridae_new_genera.zip")</f>
        <v>2021.078B.R.Siphoviridae_new_genera.zip</v>
      </c>
      <c r="U3927" s="43" t="str">
        <f>HYPERLINK("https://ictv.global/taxonomy/taxondetails?taxnode_id=202213629","ictv.global=202213629")</f>
        <v>ictv.global=202213629</v>
      </c>
    </row>
    <row r="3928" spans="1:21">
      <c r="A3928">
        <v>3927</v>
      </c>
      <c r="B3928" s="29" t="s">
        <v>3682</v>
      </c>
      <c r="C3928" s="29"/>
      <c r="D3928" s="29" t="s">
        <v>3683</v>
      </c>
      <c r="E3928" s="29"/>
      <c r="F3928" s="29" t="s">
        <v>3686</v>
      </c>
      <c r="G3928" s="29"/>
      <c r="H3928" s="29" t="s">
        <v>3687</v>
      </c>
      <c r="I3928" s="29"/>
      <c r="J3928" s="29"/>
      <c r="K3928" s="29"/>
      <c r="L3928" s="29"/>
      <c r="M3928" s="29"/>
      <c r="N3928" s="29" t="s">
        <v>11229</v>
      </c>
      <c r="O3928" s="29"/>
      <c r="P3928" s="29" t="s">
        <v>11231</v>
      </c>
      <c r="Q3928" t="s">
        <v>2038</v>
      </c>
      <c r="R3928" t="s">
        <v>2632</v>
      </c>
      <c r="S3928">
        <v>37</v>
      </c>
      <c r="T3928" s="43" t="str">
        <f t="shared" si="185"/>
        <v>2021.078B.R.Siphoviridae_new_genera.zip</v>
      </c>
      <c r="U3928" s="43" t="str">
        <f>HYPERLINK("https://ictv.global/taxonomy/taxondetails?taxnode_id=202213624","ictv.global=202213624")</f>
        <v>ictv.global=202213624</v>
      </c>
    </row>
    <row r="3929" spans="1:21">
      <c r="A3929">
        <v>3928</v>
      </c>
      <c r="B3929" s="29" t="s">
        <v>3682</v>
      </c>
      <c r="C3929" s="29"/>
      <c r="D3929" s="29" t="s">
        <v>3683</v>
      </c>
      <c r="E3929" s="29"/>
      <c r="F3929" s="29" t="s">
        <v>3686</v>
      </c>
      <c r="G3929" s="29"/>
      <c r="H3929" s="29" t="s">
        <v>3687</v>
      </c>
      <c r="I3929" s="29"/>
      <c r="J3929" s="29"/>
      <c r="K3929" s="29"/>
      <c r="L3929" s="29"/>
      <c r="M3929" s="29"/>
      <c r="N3929" s="29" t="s">
        <v>11229</v>
      </c>
      <c r="O3929" s="29"/>
      <c r="P3929" s="29" t="s">
        <v>11232</v>
      </c>
      <c r="Q3929" t="s">
        <v>2038</v>
      </c>
      <c r="R3929" t="s">
        <v>2632</v>
      </c>
      <c r="S3929">
        <v>37</v>
      </c>
      <c r="T3929" s="43" t="str">
        <f t="shared" si="185"/>
        <v>2021.078B.R.Siphoviridae_new_genera.zip</v>
      </c>
      <c r="U3929" s="43" t="str">
        <f>HYPERLINK("https://ictv.global/taxonomy/taxondetails?taxnode_id=202213628","ictv.global=202213628")</f>
        <v>ictv.global=202213628</v>
      </c>
    </row>
    <row r="3930" spans="1:21">
      <c r="A3930">
        <v>3929</v>
      </c>
      <c r="B3930" s="29" t="s">
        <v>3682</v>
      </c>
      <c r="C3930" s="29"/>
      <c r="D3930" s="29" t="s">
        <v>3683</v>
      </c>
      <c r="E3930" s="29"/>
      <c r="F3930" s="29" t="s">
        <v>3686</v>
      </c>
      <c r="G3930" s="29"/>
      <c r="H3930" s="29" t="s">
        <v>3687</v>
      </c>
      <c r="I3930" s="29"/>
      <c r="J3930" s="29"/>
      <c r="K3930" s="29"/>
      <c r="L3930" s="29"/>
      <c r="M3930" s="29"/>
      <c r="N3930" s="29" t="s">
        <v>11229</v>
      </c>
      <c r="O3930" s="29"/>
      <c r="P3930" s="29" t="s">
        <v>11233</v>
      </c>
      <c r="Q3930" t="s">
        <v>2038</v>
      </c>
      <c r="R3930" t="s">
        <v>2632</v>
      </c>
      <c r="S3930">
        <v>37</v>
      </c>
      <c r="T3930" s="43" t="str">
        <f t="shared" si="185"/>
        <v>2021.078B.R.Siphoviridae_new_genera.zip</v>
      </c>
      <c r="U3930" s="43" t="str">
        <f>HYPERLINK("https://ictv.global/taxonomy/taxondetails?taxnode_id=202213626","ictv.global=202213626")</f>
        <v>ictv.global=202213626</v>
      </c>
    </row>
    <row r="3931" spans="1:21">
      <c r="A3931">
        <v>3930</v>
      </c>
      <c r="B3931" s="29" t="s">
        <v>3682</v>
      </c>
      <c r="C3931" s="29"/>
      <c r="D3931" s="29" t="s">
        <v>3683</v>
      </c>
      <c r="E3931" s="29"/>
      <c r="F3931" s="29" t="s">
        <v>3686</v>
      </c>
      <c r="G3931" s="29"/>
      <c r="H3931" s="29" t="s">
        <v>3687</v>
      </c>
      <c r="I3931" s="29"/>
      <c r="J3931" s="29"/>
      <c r="K3931" s="29"/>
      <c r="L3931" s="29"/>
      <c r="M3931" s="29"/>
      <c r="N3931" s="29" t="s">
        <v>11229</v>
      </c>
      <c r="O3931" s="29"/>
      <c r="P3931" s="29" t="s">
        <v>11234</v>
      </c>
      <c r="Q3931" t="s">
        <v>2038</v>
      </c>
      <c r="R3931" t="s">
        <v>2632</v>
      </c>
      <c r="S3931">
        <v>37</v>
      </c>
      <c r="T3931" s="43" t="str">
        <f t="shared" si="185"/>
        <v>2021.078B.R.Siphoviridae_new_genera.zip</v>
      </c>
      <c r="U3931" s="43" t="str">
        <f>HYPERLINK("https://ictv.global/taxonomy/taxondetails?taxnode_id=202213625","ictv.global=202213625")</f>
        <v>ictv.global=202213625</v>
      </c>
    </row>
    <row r="3932" spans="1:21">
      <c r="A3932">
        <v>3931</v>
      </c>
      <c r="B3932" s="29" t="s">
        <v>3682</v>
      </c>
      <c r="C3932" s="29"/>
      <c r="D3932" s="29" t="s">
        <v>3683</v>
      </c>
      <c r="E3932" s="29"/>
      <c r="F3932" s="29" t="s">
        <v>3686</v>
      </c>
      <c r="G3932" s="29"/>
      <c r="H3932" s="29" t="s">
        <v>3687</v>
      </c>
      <c r="I3932" s="29"/>
      <c r="J3932" s="29"/>
      <c r="K3932" s="29"/>
      <c r="L3932" s="29"/>
      <c r="M3932" s="29"/>
      <c r="N3932" s="29" t="s">
        <v>11229</v>
      </c>
      <c r="O3932" s="29"/>
      <c r="P3932" s="29" t="s">
        <v>11235</v>
      </c>
      <c r="Q3932" t="s">
        <v>2038</v>
      </c>
      <c r="R3932" t="s">
        <v>2632</v>
      </c>
      <c r="S3932">
        <v>37</v>
      </c>
      <c r="T3932" s="43" t="str">
        <f t="shared" si="185"/>
        <v>2021.078B.R.Siphoviridae_new_genera.zip</v>
      </c>
      <c r="U3932" s="43" t="str">
        <f>HYPERLINK("https://ictv.global/taxonomy/taxondetails?taxnode_id=202213623","ictv.global=202213623")</f>
        <v>ictv.global=202213623</v>
      </c>
    </row>
    <row r="3933" spans="1:21">
      <c r="A3933">
        <v>3932</v>
      </c>
      <c r="B3933" s="29" t="s">
        <v>3682</v>
      </c>
      <c r="C3933" s="29"/>
      <c r="D3933" s="29" t="s">
        <v>3683</v>
      </c>
      <c r="E3933" s="29"/>
      <c r="F3933" s="29" t="s">
        <v>3686</v>
      </c>
      <c r="G3933" s="29"/>
      <c r="H3933" s="29" t="s">
        <v>3687</v>
      </c>
      <c r="I3933" s="29"/>
      <c r="J3933" s="29"/>
      <c r="K3933" s="29"/>
      <c r="L3933" s="29"/>
      <c r="M3933" s="29"/>
      <c r="N3933" s="29" t="s">
        <v>11229</v>
      </c>
      <c r="O3933" s="29"/>
      <c r="P3933" s="29" t="s">
        <v>11236</v>
      </c>
      <c r="Q3933" t="s">
        <v>2038</v>
      </c>
      <c r="R3933" t="s">
        <v>2632</v>
      </c>
      <c r="S3933">
        <v>37</v>
      </c>
      <c r="T3933" s="43" t="str">
        <f t="shared" si="185"/>
        <v>2021.078B.R.Siphoviridae_new_genera.zip</v>
      </c>
      <c r="U3933" s="43" t="str">
        <f>HYPERLINK("https://ictv.global/taxonomy/taxondetails?taxnode_id=202213627","ictv.global=202213627")</f>
        <v>ictv.global=202213627</v>
      </c>
    </row>
    <row r="3934" spans="1:21">
      <c r="A3934">
        <v>3933</v>
      </c>
      <c r="B3934" s="29" t="s">
        <v>3682</v>
      </c>
      <c r="C3934" s="29"/>
      <c r="D3934" s="29" t="s">
        <v>3683</v>
      </c>
      <c r="E3934" s="29"/>
      <c r="F3934" s="29" t="s">
        <v>3686</v>
      </c>
      <c r="G3934" s="29"/>
      <c r="H3934" s="29" t="s">
        <v>3687</v>
      </c>
      <c r="I3934" s="29"/>
      <c r="J3934" s="29"/>
      <c r="K3934" s="29"/>
      <c r="L3934" s="29"/>
      <c r="M3934" s="29"/>
      <c r="N3934" s="29" t="s">
        <v>11237</v>
      </c>
      <c r="O3934" s="29"/>
      <c r="P3934" s="29" t="s">
        <v>11238</v>
      </c>
      <c r="Q3934" t="s">
        <v>2038</v>
      </c>
      <c r="R3934" t="s">
        <v>2632</v>
      </c>
      <c r="S3934">
        <v>37</v>
      </c>
      <c r="T3934" s="43" t="str">
        <f>HYPERLINK("https://ictv.global/ictv/proposals/2021.079B.R.Skogvirus.zip","2021.079B.R.Skogvirus.zip")</f>
        <v>2021.079B.R.Skogvirus.zip</v>
      </c>
      <c r="U3934" s="43" t="str">
        <f>HYPERLINK("https://ictv.global/taxonomy/taxondetails?taxnode_id=202213646","ictv.global=202213646")</f>
        <v>ictv.global=202213646</v>
      </c>
    </row>
    <row r="3935" spans="1:21">
      <c r="A3935">
        <v>3934</v>
      </c>
      <c r="B3935" s="29" t="s">
        <v>3682</v>
      </c>
      <c r="C3935" s="29"/>
      <c r="D3935" s="29" t="s">
        <v>3683</v>
      </c>
      <c r="E3935" s="29"/>
      <c r="F3935" s="29" t="s">
        <v>3686</v>
      </c>
      <c r="G3935" s="29"/>
      <c r="H3935" s="29" t="s">
        <v>3687</v>
      </c>
      <c r="I3935" s="29"/>
      <c r="J3935" s="29"/>
      <c r="K3935" s="29"/>
      <c r="L3935" s="29"/>
      <c r="M3935" s="29"/>
      <c r="N3935" s="29" t="s">
        <v>11239</v>
      </c>
      <c r="O3935" s="29"/>
      <c r="P3935" s="29" t="s">
        <v>11240</v>
      </c>
      <c r="Q3935" t="s">
        <v>2038</v>
      </c>
      <c r="R3935" t="s">
        <v>2632</v>
      </c>
      <c r="S3935">
        <v>38</v>
      </c>
      <c r="T3935" s="43" t="str">
        <f>HYPERLINK("https://ictv.global/ictv/proposals/2022.082B.Skulduggeryvirus_ng.zip","2022.082B.Skulduggeryvirus_ng.zip")</f>
        <v>2022.082B.Skulduggeryvirus_ng.zip</v>
      </c>
      <c r="U3935" s="43" t="str">
        <f>HYPERLINK("https://ictv.global/taxonomy/taxondetails?taxnode_id=202214884","ictv.global=202214884")</f>
        <v>ictv.global=202214884</v>
      </c>
    </row>
    <row r="3936" spans="1:21">
      <c r="A3936">
        <v>3935</v>
      </c>
      <c r="B3936" s="29" t="s">
        <v>3682</v>
      </c>
      <c r="C3936" s="29"/>
      <c r="D3936" s="29" t="s">
        <v>3683</v>
      </c>
      <c r="E3936" s="29"/>
      <c r="F3936" s="29" t="s">
        <v>3686</v>
      </c>
      <c r="G3936" s="29"/>
      <c r="H3936" s="29" t="s">
        <v>3687</v>
      </c>
      <c r="I3936" s="29"/>
      <c r="J3936" s="29"/>
      <c r="K3936" s="29"/>
      <c r="L3936" s="29"/>
      <c r="M3936" s="29"/>
      <c r="N3936" s="29" t="s">
        <v>3601</v>
      </c>
      <c r="O3936" s="29"/>
      <c r="P3936" s="29" t="s">
        <v>11241</v>
      </c>
      <c r="Q3936" t="s">
        <v>2038</v>
      </c>
      <c r="R3936" t="s">
        <v>2633</v>
      </c>
      <c r="S3936">
        <v>37</v>
      </c>
      <c r="T3936" s="43" t="str">
        <f t="shared" ref="T3936:T3967" si="186">HYPERLINK("https://ictv.global/ictv/proposals/2021.010B.R.Binomial_names.zip","2021.010B.R.Binomial_names.zip")</f>
        <v>2021.010B.R.Binomial_names.zip</v>
      </c>
      <c r="U3936" s="43" t="str">
        <f>HYPERLINK("https://ictv.global/taxonomy/taxondetails?taxnode_id=202211879","ictv.global=202211879")</f>
        <v>ictv.global=202211879</v>
      </c>
    </row>
    <row r="3937" spans="1:21">
      <c r="A3937">
        <v>3936</v>
      </c>
      <c r="B3937" s="29" t="s">
        <v>3682</v>
      </c>
      <c r="C3937" s="29"/>
      <c r="D3937" s="29" t="s">
        <v>3683</v>
      </c>
      <c r="E3937" s="29"/>
      <c r="F3937" s="29" t="s">
        <v>3686</v>
      </c>
      <c r="G3937" s="29"/>
      <c r="H3937" s="29" t="s">
        <v>3687</v>
      </c>
      <c r="I3937" s="29"/>
      <c r="J3937" s="29"/>
      <c r="K3937" s="29"/>
      <c r="L3937" s="29"/>
      <c r="M3937" s="29"/>
      <c r="N3937" s="29" t="s">
        <v>3601</v>
      </c>
      <c r="O3937" s="29"/>
      <c r="P3937" s="29" t="s">
        <v>11242</v>
      </c>
      <c r="Q3937" t="s">
        <v>2038</v>
      </c>
      <c r="R3937" t="s">
        <v>2633</v>
      </c>
      <c r="S3937">
        <v>37</v>
      </c>
      <c r="T3937" s="43" t="str">
        <f t="shared" si="186"/>
        <v>2021.010B.R.Binomial_names.zip</v>
      </c>
      <c r="U3937" s="43" t="str">
        <f>HYPERLINK("https://ictv.global/taxonomy/taxondetails?taxnode_id=202201287","ictv.global=202201287")</f>
        <v>ictv.global=202201287</v>
      </c>
    </row>
    <row r="3938" spans="1:21">
      <c r="A3938">
        <v>3937</v>
      </c>
      <c r="B3938" s="29" t="s">
        <v>3682</v>
      </c>
      <c r="C3938" s="29"/>
      <c r="D3938" s="29" t="s">
        <v>3683</v>
      </c>
      <c r="E3938" s="29"/>
      <c r="F3938" s="29" t="s">
        <v>3686</v>
      </c>
      <c r="G3938" s="29"/>
      <c r="H3938" s="29" t="s">
        <v>3687</v>
      </c>
      <c r="I3938" s="29"/>
      <c r="J3938" s="29"/>
      <c r="K3938" s="29"/>
      <c r="L3938" s="29"/>
      <c r="M3938" s="29"/>
      <c r="N3938" s="29" t="s">
        <v>3601</v>
      </c>
      <c r="O3938" s="29"/>
      <c r="P3938" s="29" t="s">
        <v>11243</v>
      </c>
      <c r="Q3938" t="s">
        <v>2038</v>
      </c>
      <c r="R3938" t="s">
        <v>2633</v>
      </c>
      <c r="S3938">
        <v>37</v>
      </c>
      <c r="T3938" s="43" t="str">
        <f t="shared" si="186"/>
        <v>2021.010B.R.Binomial_names.zip</v>
      </c>
      <c r="U3938" s="43" t="str">
        <f>HYPERLINK("https://ictv.global/taxonomy/taxondetails?taxnode_id=202201288","ictv.global=202201288")</f>
        <v>ictv.global=202201288</v>
      </c>
    </row>
    <row r="3939" spans="1:21">
      <c r="A3939">
        <v>3938</v>
      </c>
      <c r="B3939" s="29" t="s">
        <v>3682</v>
      </c>
      <c r="C3939" s="29"/>
      <c r="D3939" s="29" t="s">
        <v>3683</v>
      </c>
      <c r="E3939" s="29"/>
      <c r="F3939" s="29" t="s">
        <v>3686</v>
      </c>
      <c r="G3939" s="29"/>
      <c r="H3939" s="29" t="s">
        <v>3687</v>
      </c>
      <c r="I3939" s="29"/>
      <c r="J3939" s="29"/>
      <c r="K3939" s="29"/>
      <c r="L3939" s="29"/>
      <c r="M3939" s="29"/>
      <c r="N3939" s="29" t="s">
        <v>3601</v>
      </c>
      <c r="O3939" s="29"/>
      <c r="P3939" s="29" t="s">
        <v>11244</v>
      </c>
      <c r="Q3939" t="s">
        <v>2038</v>
      </c>
      <c r="R3939" t="s">
        <v>2633</v>
      </c>
      <c r="S3939">
        <v>37</v>
      </c>
      <c r="T3939" s="43" t="str">
        <f t="shared" si="186"/>
        <v>2021.010B.R.Binomial_names.zip</v>
      </c>
      <c r="U3939" s="43" t="str">
        <f>HYPERLINK("https://ictv.global/taxonomy/taxondetails?taxnode_id=202201289","ictv.global=202201289")</f>
        <v>ictv.global=202201289</v>
      </c>
    </row>
    <row r="3940" spans="1:21">
      <c r="A3940">
        <v>3939</v>
      </c>
      <c r="B3940" s="29" t="s">
        <v>3682</v>
      </c>
      <c r="C3940" s="29"/>
      <c r="D3940" s="29" t="s">
        <v>3683</v>
      </c>
      <c r="E3940" s="29"/>
      <c r="F3940" s="29" t="s">
        <v>3686</v>
      </c>
      <c r="G3940" s="29"/>
      <c r="H3940" s="29" t="s">
        <v>3687</v>
      </c>
      <c r="I3940" s="29"/>
      <c r="J3940" s="29"/>
      <c r="K3940" s="29"/>
      <c r="L3940" s="29"/>
      <c r="M3940" s="29"/>
      <c r="N3940" s="29" t="s">
        <v>3601</v>
      </c>
      <c r="O3940" s="29"/>
      <c r="P3940" s="29" t="s">
        <v>11245</v>
      </c>
      <c r="Q3940" t="s">
        <v>2038</v>
      </c>
      <c r="R3940" t="s">
        <v>2633</v>
      </c>
      <c r="S3940">
        <v>37</v>
      </c>
      <c r="T3940" s="43" t="str">
        <f t="shared" si="186"/>
        <v>2021.010B.R.Binomial_names.zip</v>
      </c>
      <c r="U3940" s="43" t="str">
        <f>HYPERLINK("https://ictv.global/taxonomy/taxondetails?taxnode_id=202201290","ictv.global=202201290")</f>
        <v>ictv.global=202201290</v>
      </c>
    </row>
    <row r="3941" spans="1:21">
      <c r="A3941">
        <v>3940</v>
      </c>
      <c r="B3941" s="29" t="s">
        <v>3682</v>
      </c>
      <c r="C3941" s="29"/>
      <c r="D3941" s="29" t="s">
        <v>3683</v>
      </c>
      <c r="E3941" s="29"/>
      <c r="F3941" s="29" t="s">
        <v>3686</v>
      </c>
      <c r="G3941" s="29"/>
      <c r="H3941" s="29" t="s">
        <v>3687</v>
      </c>
      <c r="I3941" s="29"/>
      <c r="J3941" s="29"/>
      <c r="K3941" s="29"/>
      <c r="L3941" s="29"/>
      <c r="M3941" s="29"/>
      <c r="N3941" s="29" t="s">
        <v>3601</v>
      </c>
      <c r="O3941" s="29"/>
      <c r="P3941" s="29" t="s">
        <v>11246</v>
      </c>
      <c r="Q3941" t="s">
        <v>2038</v>
      </c>
      <c r="R3941" t="s">
        <v>2633</v>
      </c>
      <c r="S3941">
        <v>37</v>
      </c>
      <c r="T3941" s="43" t="str">
        <f t="shared" si="186"/>
        <v>2021.010B.R.Binomial_names.zip</v>
      </c>
      <c r="U3941" s="43" t="str">
        <f>HYPERLINK("https://ictv.global/taxonomy/taxondetails?taxnode_id=202201291","ictv.global=202201291")</f>
        <v>ictv.global=202201291</v>
      </c>
    </row>
    <row r="3942" spans="1:21">
      <c r="A3942">
        <v>3941</v>
      </c>
      <c r="B3942" s="29" t="s">
        <v>3682</v>
      </c>
      <c r="C3942" s="29"/>
      <c r="D3942" s="29" t="s">
        <v>3683</v>
      </c>
      <c r="E3942" s="29"/>
      <c r="F3942" s="29" t="s">
        <v>3686</v>
      </c>
      <c r="G3942" s="29"/>
      <c r="H3942" s="29" t="s">
        <v>3687</v>
      </c>
      <c r="I3942" s="29"/>
      <c r="J3942" s="29"/>
      <c r="K3942" s="29"/>
      <c r="L3942" s="29"/>
      <c r="M3942" s="29"/>
      <c r="N3942" s="29" t="s">
        <v>3601</v>
      </c>
      <c r="O3942" s="29"/>
      <c r="P3942" s="29" t="s">
        <v>11247</v>
      </c>
      <c r="Q3942" t="s">
        <v>2038</v>
      </c>
      <c r="R3942" t="s">
        <v>2633</v>
      </c>
      <c r="S3942">
        <v>37</v>
      </c>
      <c r="T3942" s="43" t="str">
        <f t="shared" si="186"/>
        <v>2021.010B.R.Binomial_names.zip</v>
      </c>
      <c r="U3942" s="43" t="str">
        <f>HYPERLINK("https://ictv.global/taxonomy/taxondetails?taxnode_id=202211880","ictv.global=202211880")</f>
        <v>ictv.global=202211880</v>
      </c>
    </row>
    <row r="3943" spans="1:21">
      <c r="A3943">
        <v>3942</v>
      </c>
      <c r="B3943" s="29" t="s">
        <v>3682</v>
      </c>
      <c r="C3943" s="29"/>
      <c r="D3943" s="29" t="s">
        <v>3683</v>
      </c>
      <c r="E3943" s="29"/>
      <c r="F3943" s="29" t="s">
        <v>3686</v>
      </c>
      <c r="G3943" s="29"/>
      <c r="H3943" s="29" t="s">
        <v>3687</v>
      </c>
      <c r="I3943" s="29"/>
      <c r="J3943" s="29"/>
      <c r="K3943" s="29"/>
      <c r="L3943" s="29"/>
      <c r="M3943" s="29"/>
      <c r="N3943" s="29" t="s">
        <v>3601</v>
      </c>
      <c r="O3943" s="29"/>
      <c r="P3943" s="29" t="s">
        <v>11248</v>
      </c>
      <c r="Q3943" t="s">
        <v>2038</v>
      </c>
      <c r="R3943" t="s">
        <v>2633</v>
      </c>
      <c r="S3943">
        <v>37</v>
      </c>
      <c r="T3943" s="43" t="str">
        <f t="shared" si="186"/>
        <v>2021.010B.R.Binomial_names.zip</v>
      </c>
      <c r="U3943" s="43" t="str">
        <f>HYPERLINK("https://ictv.global/taxonomy/taxondetails?taxnode_id=202201292","ictv.global=202201292")</f>
        <v>ictv.global=202201292</v>
      </c>
    </row>
    <row r="3944" spans="1:21">
      <c r="A3944">
        <v>3943</v>
      </c>
      <c r="B3944" s="29" t="s">
        <v>3682</v>
      </c>
      <c r="C3944" s="29"/>
      <c r="D3944" s="29" t="s">
        <v>3683</v>
      </c>
      <c r="E3944" s="29"/>
      <c r="F3944" s="29" t="s">
        <v>3686</v>
      </c>
      <c r="G3944" s="29"/>
      <c r="H3944" s="29" t="s">
        <v>3687</v>
      </c>
      <c r="I3944" s="29"/>
      <c r="J3944" s="29"/>
      <c r="K3944" s="29"/>
      <c r="L3944" s="29"/>
      <c r="M3944" s="29"/>
      <c r="N3944" s="29" t="s">
        <v>3601</v>
      </c>
      <c r="O3944" s="29"/>
      <c r="P3944" s="29" t="s">
        <v>11249</v>
      </c>
      <c r="Q3944" t="s">
        <v>2038</v>
      </c>
      <c r="R3944" t="s">
        <v>2633</v>
      </c>
      <c r="S3944">
        <v>37</v>
      </c>
      <c r="T3944" s="43" t="str">
        <f t="shared" si="186"/>
        <v>2021.010B.R.Binomial_names.zip</v>
      </c>
      <c r="U3944" s="43" t="str">
        <f>HYPERLINK("https://ictv.global/taxonomy/taxondetails?taxnode_id=202211942","ictv.global=202211942")</f>
        <v>ictv.global=202211942</v>
      </c>
    </row>
    <row r="3945" spans="1:21">
      <c r="A3945">
        <v>3944</v>
      </c>
      <c r="B3945" s="29" t="s">
        <v>3682</v>
      </c>
      <c r="C3945" s="29"/>
      <c r="D3945" s="29" t="s">
        <v>3683</v>
      </c>
      <c r="E3945" s="29"/>
      <c r="F3945" s="29" t="s">
        <v>3686</v>
      </c>
      <c r="G3945" s="29"/>
      <c r="H3945" s="29" t="s">
        <v>3687</v>
      </c>
      <c r="I3945" s="29"/>
      <c r="J3945" s="29"/>
      <c r="K3945" s="29"/>
      <c r="L3945" s="29"/>
      <c r="M3945" s="29"/>
      <c r="N3945" s="29" t="s">
        <v>3601</v>
      </c>
      <c r="O3945" s="29"/>
      <c r="P3945" s="29" t="s">
        <v>11250</v>
      </c>
      <c r="Q3945" t="s">
        <v>2038</v>
      </c>
      <c r="R3945" t="s">
        <v>2633</v>
      </c>
      <c r="S3945">
        <v>37</v>
      </c>
      <c r="T3945" s="43" t="str">
        <f t="shared" si="186"/>
        <v>2021.010B.R.Binomial_names.zip</v>
      </c>
      <c r="U3945" s="43" t="str">
        <f>HYPERLINK("https://ictv.global/taxonomy/taxondetails?taxnode_id=202211926","ictv.global=202211926")</f>
        <v>ictv.global=202211926</v>
      </c>
    </row>
    <row r="3946" spans="1:21">
      <c r="A3946">
        <v>3945</v>
      </c>
      <c r="B3946" s="29" t="s">
        <v>3682</v>
      </c>
      <c r="C3946" s="29"/>
      <c r="D3946" s="29" t="s">
        <v>3683</v>
      </c>
      <c r="E3946" s="29"/>
      <c r="F3946" s="29" t="s">
        <v>3686</v>
      </c>
      <c r="G3946" s="29"/>
      <c r="H3946" s="29" t="s">
        <v>3687</v>
      </c>
      <c r="I3946" s="29"/>
      <c r="J3946" s="29"/>
      <c r="K3946" s="29"/>
      <c r="L3946" s="29"/>
      <c r="M3946" s="29"/>
      <c r="N3946" s="29" t="s">
        <v>3601</v>
      </c>
      <c r="O3946" s="29"/>
      <c r="P3946" s="29" t="s">
        <v>11251</v>
      </c>
      <c r="Q3946" t="s">
        <v>2038</v>
      </c>
      <c r="R3946" t="s">
        <v>2633</v>
      </c>
      <c r="S3946">
        <v>37</v>
      </c>
      <c r="T3946" s="43" t="str">
        <f t="shared" si="186"/>
        <v>2021.010B.R.Binomial_names.zip</v>
      </c>
      <c r="U3946" s="43" t="str">
        <f>HYPERLINK("https://ictv.global/taxonomy/taxondetails?taxnode_id=202201293","ictv.global=202201293")</f>
        <v>ictv.global=202201293</v>
      </c>
    </row>
    <row r="3947" spans="1:21">
      <c r="A3947">
        <v>3946</v>
      </c>
      <c r="B3947" s="29" t="s">
        <v>3682</v>
      </c>
      <c r="C3947" s="29"/>
      <c r="D3947" s="29" t="s">
        <v>3683</v>
      </c>
      <c r="E3947" s="29"/>
      <c r="F3947" s="29" t="s">
        <v>3686</v>
      </c>
      <c r="G3947" s="29"/>
      <c r="H3947" s="29" t="s">
        <v>3687</v>
      </c>
      <c r="I3947" s="29"/>
      <c r="J3947" s="29"/>
      <c r="K3947" s="29"/>
      <c r="L3947" s="29"/>
      <c r="M3947" s="29"/>
      <c r="N3947" s="29" t="s">
        <v>3601</v>
      </c>
      <c r="O3947" s="29"/>
      <c r="P3947" s="29" t="s">
        <v>11252</v>
      </c>
      <c r="Q3947" t="s">
        <v>2038</v>
      </c>
      <c r="R3947" t="s">
        <v>2633</v>
      </c>
      <c r="S3947">
        <v>37</v>
      </c>
      <c r="T3947" s="43" t="str">
        <f t="shared" si="186"/>
        <v>2021.010B.R.Binomial_names.zip</v>
      </c>
      <c r="U3947" s="43" t="str">
        <f>HYPERLINK("https://ictv.global/taxonomy/taxondetails?taxnode_id=202211876","ictv.global=202211876")</f>
        <v>ictv.global=202211876</v>
      </c>
    </row>
    <row r="3948" spans="1:21">
      <c r="A3948">
        <v>3947</v>
      </c>
      <c r="B3948" s="29" t="s">
        <v>3682</v>
      </c>
      <c r="C3948" s="29"/>
      <c r="D3948" s="29" t="s">
        <v>3683</v>
      </c>
      <c r="E3948" s="29"/>
      <c r="F3948" s="29" t="s">
        <v>3686</v>
      </c>
      <c r="G3948" s="29"/>
      <c r="H3948" s="29" t="s">
        <v>3687</v>
      </c>
      <c r="I3948" s="29"/>
      <c r="J3948" s="29"/>
      <c r="K3948" s="29"/>
      <c r="L3948" s="29"/>
      <c r="M3948" s="29"/>
      <c r="N3948" s="29" t="s">
        <v>3601</v>
      </c>
      <c r="O3948" s="29"/>
      <c r="P3948" s="29" t="s">
        <v>11253</v>
      </c>
      <c r="Q3948" t="s">
        <v>2038</v>
      </c>
      <c r="R3948" t="s">
        <v>2633</v>
      </c>
      <c r="S3948">
        <v>37</v>
      </c>
      <c r="T3948" s="43" t="str">
        <f t="shared" si="186"/>
        <v>2021.010B.R.Binomial_names.zip</v>
      </c>
      <c r="U3948" s="43" t="str">
        <f>HYPERLINK("https://ictv.global/taxonomy/taxondetails?taxnode_id=202201294","ictv.global=202201294")</f>
        <v>ictv.global=202201294</v>
      </c>
    </row>
    <row r="3949" spans="1:21">
      <c r="A3949">
        <v>3948</v>
      </c>
      <c r="B3949" s="29" t="s">
        <v>3682</v>
      </c>
      <c r="C3949" s="29"/>
      <c r="D3949" s="29" t="s">
        <v>3683</v>
      </c>
      <c r="E3949" s="29"/>
      <c r="F3949" s="29" t="s">
        <v>3686</v>
      </c>
      <c r="G3949" s="29"/>
      <c r="H3949" s="29" t="s">
        <v>3687</v>
      </c>
      <c r="I3949" s="29"/>
      <c r="J3949" s="29"/>
      <c r="K3949" s="29"/>
      <c r="L3949" s="29"/>
      <c r="M3949" s="29"/>
      <c r="N3949" s="29" t="s">
        <v>3601</v>
      </c>
      <c r="O3949" s="29"/>
      <c r="P3949" s="29" t="s">
        <v>11254</v>
      </c>
      <c r="Q3949" t="s">
        <v>2038</v>
      </c>
      <c r="R3949" t="s">
        <v>2633</v>
      </c>
      <c r="S3949">
        <v>37</v>
      </c>
      <c r="T3949" s="43" t="str">
        <f t="shared" si="186"/>
        <v>2021.010B.R.Binomial_names.zip</v>
      </c>
      <c r="U3949" s="43" t="str">
        <f>HYPERLINK("https://ictv.global/taxonomy/taxondetails?taxnode_id=202201295","ictv.global=202201295")</f>
        <v>ictv.global=202201295</v>
      </c>
    </row>
    <row r="3950" spans="1:21">
      <c r="A3950">
        <v>3949</v>
      </c>
      <c r="B3950" s="29" t="s">
        <v>3682</v>
      </c>
      <c r="C3950" s="29"/>
      <c r="D3950" s="29" t="s">
        <v>3683</v>
      </c>
      <c r="E3950" s="29"/>
      <c r="F3950" s="29" t="s">
        <v>3686</v>
      </c>
      <c r="G3950" s="29"/>
      <c r="H3950" s="29" t="s">
        <v>3687</v>
      </c>
      <c r="I3950" s="29"/>
      <c r="J3950" s="29"/>
      <c r="K3950" s="29"/>
      <c r="L3950" s="29"/>
      <c r="M3950" s="29"/>
      <c r="N3950" s="29" t="s">
        <v>3601</v>
      </c>
      <c r="O3950" s="29"/>
      <c r="P3950" s="29" t="s">
        <v>11255</v>
      </c>
      <c r="Q3950" t="s">
        <v>2038</v>
      </c>
      <c r="R3950" t="s">
        <v>2633</v>
      </c>
      <c r="S3950">
        <v>37</v>
      </c>
      <c r="T3950" s="43" t="str">
        <f t="shared" si="186"/>
        <v>2021.010B.R.Binomial_names.zip</v>
      </c>
      <c r="U3950" s="43" t="str">
        <f>HYPERLINK("https://ictv.global/taxonomy/taxondetails?taxnode_id=202201296","ictv.global=202201296")</f>
        <v>ictv.global=202201296</v>
      </c>
    </row>
    <row r="3951" spans="1:21">
      <c r="A3951">
        <v>3950</v>
      </c>
      <c r="B3951" s="29" t="s">
        <v>3682</v>
      </c>
      <c r="C3951" s="29"/>
      <c r="D3951" s="29" t="s">
        <v>3683</v>
      </c>
      <c r="E3951" s="29"/>
      <c r="F3951" s="29" t="s">
        <v>3686</v>
      </c>
      <c r="G3951" s="29"/>
      <c r="H3951" s="29" t="s">
        <v>3687</v>
      </c>
      <c r="I3951" s="29"/>
      <c r="J3951" s="29"/>
      <c r="K3951" s="29"/>
      <c r="L3951" s="29"/>
      <c r="M3951" s="29"/>
      <c r="N3951" s="29" t="s">
        <v>3601</v>
      </c>
      <c r="O3951" s="29"/>
      <c r="P3951" s="29" t="s">
        <v>11256</v>
      </c>
      <c r="Q3951" t="s">
        <v>2038</v>
      </c>
      <c r="R3951" t="s">
        <v>2633</v>
      </c>
      <c r="S3951">
        <v>37</v>
      </c>
      <c r="T3951" s="43" t="str">
        <f t="shared" si="186"/>
        <v>2021.010B.R.Binomial_names.zip</v>
      </c>
      <c r="U3951" s="43" t="str">
        <f>HYPERLINK("https://ictv.global/taxonomy/taxondetails?taxnode_id=202211936","ictv.global=202211936")</f>
        <v>ictv.global=202211936</v>
      </c>
    </row>
    <row r="3952" spans="1:21">
      <c r="A3952">
        <v>3951</v>
      </c>
      <c r="B3952" s="29" t="s">
        <v>3682</v>
      </c>
      <c r="C3952" s="29"/>
      <c r="D3952" s="29" t="s">
        <v>3683</v>
      </c>
      <c r="E3952" s="29"/>
      <c r="F3952" s="29" t="s">
        <v>3686</v>
      </c>
      <c r="G3952" s="29"/>
      <c r="H3952" s="29" t="s">
        <v>3687</v>
      </c>
      <c r="I3952" s="29"/>
      <c r="J3952" s="29"/>
      <c r="K3952" s="29"/>
      <c r="L3952" s="29"/>
      <c r="M3952" s="29"/>
      <c r="N3952" s="29" t="s">
        <v>3601</v>
      </c>
      <c r="O3952" s="29"/>
      <c r="P3952" s="29" t="s">
        <v>11257</v>
      </c>
      <c r="Q3952" t="s">
        <v>2038</v>
      </c>
      <c r="R3952" t="s">
        <v>2633</v>
      </c>
      <c r="S3952">
        <v>37</v>
      </c>
      <c r="T3952" s="43" t="str">
        <f t="shared" si="186"/>
        <v>2021.010B.R.Binomial_names.zip</v>
      </c>
      <c r="U3952" s="43" t="str">
        <f>HYPERLINK("https://ictv.global/taxonomy/taxondetails?taxnode_id=202211933","ictv.global=202211933")</f>
        <v>ictv.global=202211933</v>
      </c>
    </row>
    <row r="3953" spans="1:21">
      <c r="A3953">
        <v>3952</v>
      </c>
      <c r="B3953" s="29" t="s">
        <v>3682</v>
      </c>
      <c r="C3953" s="29"/>
      <c r="D3953" s="29" t="s">
        <v>3683</v>
      </c>
      <c r="E3953" s="29"/>
      <c r="F3953" s="29" t="s">
        <v>3686</v>
      </c>
      <c r="G3953" s="29"/>
      <c r="H3953" s="29" t="s">
        <v>3687</v>
      </c>
      <c r="I3953" s="29"/>
      <c r="J3953" s="29"/>
      <c r="K3953" s="29"/>
      <c r="L3953" s="29"/>
      <c r="M3953" s="29"/>
      <c r="N3953" s="29" t="s">
        <v>3601</v>
      </c>
      <c r="O3953" s="29"/>
      <c r="P3953" s="29" t="s">
        <v>11258</v>
      </c>
      <c r="Q3953" t="s">
        <v>2038</v>
      </c>
      <c r="R3953" t="s">
        <v>2633</v>
      </c>
      <c r="S3953">
        <v>37</v>
      </c>
      <c r="T3953" s="43" t="str">
        <f t="shared" si="186"/>
        <v>2021.010B.R.Binomial_names.zip</v>
      </c>
      <c r="U3953" s="43" t="str">
        <f>HYPERLINK("https://ictv.global/taxonomy/taxondetails?taxnode_id=202211934","ictv.global=202211934")</f>
        <v>ictv.global=202211934</v>
      </c>
    </row>
    <row r="3954" spans="1:21">
      <c r="A3954">
        <v>3953</v>
      </c>
      <c r="B3954" s="29" t="s">
        <v>3682</v>
      </c>
      <c r="C3954" s="29"/>
      <c r="D3954" s="29" t="s">
        <v>3683</v>
      </c>
      <c r="E3954" s="29"/>
      <c r="F3954" s="29" t="s">
        <v>3686</v>
      </c>
      <c r="G3954" s="29"/>
      <c r="H3954" s="29" t="s">
        <v>3687</v>
      </c>
      <c r="I3954" s="29"/>
      <c r="J3954" s="29"/>
      <c r="K3954" s="29"/>
      <c r="L3954" s="29"/>
      <c r="M3954" s="29"/>
      <c r="N3954" s="29" t="s">
        <v>3601</v>
      </c>
      <c r="O3954" s="29"/>
      <c r="P3954" s="29" t="s">
        <v>11259</v>
      </c>
      <c r="Q3954" t="s">
        <v>2038</v>
      </c>
      <c r="R3954" t="s">
        <v>2633</v>
      </c>
      <c r="S3954">
        <v>37</v>
      </c>
      <c r="T3954" s="43" t="str">
        <f t="shared" si="186"/>
        <v>2021.010B.R.Binomial_names.zip</v>
      </c>
      <c r="U3954" s="43" t="str">
        <f>HYPERLINK("https://ictv.global/taxonomy/taxondetails?taxnode_id=202211935","ictv.global=202211935")</f>
        <v>ictv.global=202211935</v>
      </c>
    </row>
    <row r="3955" spans="1:21">
      <c r="A3955">
        <v>3954</v>
      </c>
      <c r="B3955" s="29" t="s">
        <v>3682</v>
      </c>
      <c r="C3955" s="29"/>
      <c r="D3955" s="29" t="s">
        <v>3683</v>
      </c>
      <c r="E3955" s="29"/>
      <c r="F3955" s="29" t="s">
        <v>3686</v>
      </c>
      <c r="G3955" s="29"/>
      <c r="H3955" s="29" t="s">
        <v>3687</v>
      </c>
      <c r="I3955" s="29"/>
      <c r="J3955" s="29"/>
      <c r="K3955" s="29"/>
      <c r="L3955" s="29"/>
      <c r="M3955" s="29"/>
      <c r="N3955" s="29" t="s">
        <v>3601</v>
      </c>
      <c r="O3955" s="29"/>
      <c r="P3955" s="29" t="s">
        <v>11260</v>
      </c>
      <c r="Q3955" t="s">
        <v>2038</v>
      </c>
      <c r="R3955" t="s">
        <v>2633</v>
      </c>
      <c r="S3955">
        <v>37</v>
      </c>
      <c r="T3955" s="43" t="str">
        <f t="shared" si="186"/>
        <v>2021.010B.R.Binomial_names.zip</v>
      </c>
      <c r="U3955" s="43" t="str">
        <f>HYPERLINK("https://ictv.global/taxonomy/taxondetails?taxnode_id=202211937","ictv.global=202211937")</f>
        <v>ictv.global=202211937</v>
      </c>
    </row>
    <row r="3956" spans="1:21">
      <c r="A3956">
        <v>3955</v>
      </c>
      <c r="B3956" s="29" t="s">
        <v>3682</v>
      </c>
      <c r="C3956" s="29"/>
      <c r="D3956" s="29" t="s">
        <v>3683</v>
      </c>
      <c r="E3956" s="29"/>
      <c r="F3956" s="29" t="s">
        <v>3686</v>
      </c>
      <c r="G3956" s="29"/>
      <c r="H3956" s="29" t="s">
        <v>3687</v>
      </c>
      <c r="I3956" s="29"/>
      <c r="J3956" s="29"/>
      <c r="K3956" s="29"/>
      <c r="L3956" s="29"/>
      <c r="M3956" s="29"/>
      <c r="N3956" s="29" t="s">
        <v>3601</v>
      </c>
      <c r="O3956" s="29"/>
      <c r="P3956" s="29" t="s">
        <v>11261</v>
      </c>
      <c r="Q3956" t="s">
        <v>2038</v>
      </c>
      <c r="R3956" t="s">
        <v>2633</v>
      </c>
      <c r="S3956">
        <v>37</v>
      </c>
      <c r="T3956" s="43" t="str">
        <f t="shared" si="186"/>
        <v>2021.010B.R.Binomial_names.zip</v>
      </c>
      <c r="U3956" s="43" t="str">
        <f>HYPERLINK("https://ictv.global/taxonomy/taxondetails?taxnode_id=202211938","ictv.global=202211938")</f>
        <v>ictv.global=202211938</v>
      </c>
    </row>
    <row r="3957" spans="1:21">
      <c r="A3957">
        <v>3956</v>
      </c>
      <c r="B3957" s="29" t="s">
        <v>3682</v>
      </c>
      <c r="C3957" s="29"/>
      <c r="D3957" s="29" t="s">
        <v>3683</v>
      </c>
      <c r="E3957" s="29"/>
      <c r="F3957" s="29" t="s">
        <v>3686</v>
      </c>
      <c r="G3957" s="29"/>
      <c r="H3957" s="29" t="s">
        <v>3687</v>
      </c>
      <c r="I3957" s="29"/>
      <c r="J3957" s="29"/>
      <c r="K3957" s="29"/>
      <c r="L3957" s="29"/>
      <c r="M3957" s="29"/>
      <c r="N3957" s="29" t="s">
        <v>3601</v>
      </c>
      <c r="O3957" s="29"/>
      <c r="P3957" s="29" t="s">
        <v>11262</v>
      </c>
      <c r="Q3957" t="s">
        <v>2038</v>
      </c>
      <c r="R3957" t="s">
        <v>2633</v>
      </c>
      <c r="S3957">
        <v>37</v>
      </c>
      <c r="T3957" s="43" t="str">
        <f t="shared" si="186"/>
        <v>2021.010B.R.Binomial_names.zip</v>
      </c>
      <c r="U3957" s="43" t="str">
        <f>HYPERLINK("https://ictv.global/taxonomy/taxondetails?taxnode_id=202211939","ictv.global=202211939")</f>
        <v>ictv.global=202211939</v>
      </c>
    </row>
    <row r="3958" spans="1:21">
      <c r="A3958">
        <v>3957</v>
      </c>
      <c r="B3958" s="29" t="s">
        <v>3682</v>
      </c>
      <c r="C3958" s="29"/>
      <c r="D3958" s="29" t="s">
        <v>3683</v>
      </c>
      <c r="E3958" s="29"/>
      <c r="F3958" s="29" t="s">
        <v>3686</v>
      </c>
      <c r="G3958" s="29"/>
      <c r="H3958" s="29" t="s">
        <v>3687</v>
      </c>
      <c r="I3958" s="29"/>
      <c r="J3958" s="29"/>
      <c r="K3958" s="29"/>
      <c r="L3958" s="29"/>
      <c r="M3958" s="29"/>
      <c r="N3958" s="29" t="s">
        <v>3601</v>
      </c>
      <c r="O3958" s="29"/>
      <c r="P3958" s="29" t="s">
        <v>11263</v>
      </c>
      <c r="Q3958" t="s">
        <v>2038</v>
      </c>
      <c r="R3958" t="s">
        <v>2633</v>
      </c>
      <c r="S3958">
        <v>37</v>
      </c>
      <c r="T3958" s="43" t="str">
        <f t="shared" si="186"/>
        <v>2021.010B.R.Binomial_names.zip</v>
      </c>
      <c r="U3958" s="43" t="str">
        <f>HYPERLINK("https://ictv.global/taxonomy/taxondetails?taxnode_id=202211940","ictv.global=202211940")</f>
        <v>ictv.global=202211940</v>
      </c>
    </row>
    <row r="3959" spans="1:21">
      <c r="A3959">
        <v>3958</v>
      </c>
      <c r="B3959" s="29" t="s">
        <v>3682</v>
      </c>
      <c r="C3959" s="29"/>
      <c r="D3959" s="29" t="s">
        <v>3683</v>
      </c>
      <c r="E3959" s="29"/>
      <c r="F3959" s="29" t="s">
        <v>3686</v>
      </c>
      <c r="G3959" s="29"/>
      <c r="H3959" s="29" t="s">
        <v>3687</v>
      </c>
      <c r="I3959" s="29"/>
      <c r="J3959" s="29"/>
      <c r="K3959" s="29"/>
      <c r="L3959" s="29"/>
      <c r="M3959" s="29"/>
      <c r="N3959" s="29" t="s">
        <v>3601</v>
      </c>
      <c r="O3959" s="29"/>
      <c r="P3959" s="29" t="s">
        <v>11264</v>
      </c>
      <c r="Q3959" t="s">
        <v>2038</v>
      </c>
      <c r="R3959" t="s">
        <v>2633</v>
      </c>
      <c r="S3959">
        <v>37</v>
      </c>
      <c r="T3959" s="43" t="str">
        <f t="shared" si="186"/>
        <v>2021.010B.R.Binomial_names.zip</v>
      </c>
      <c r="U3959" s="43" t="str">
        <f>HYPERLINK("https://ictv.global/taxonomy/taxondetails?taxnode_id=202211941","ictv.global=202211941")</f>
        <v>ictv.global=202211941</v>
      </c>
    </row>
    <row r="3960" spans="1:21">
      <c r="A3960">
        <v>3959</v>
      </c>
      <c r="B3960" s="29" t="s">
        <v>3682</v>
      </c>
      <c r="C3960" s="29"/>
      <c r="D3960" s="29" t="s">
        <v>3683</v>
      </c>
      <c r="E3960" s="29"/>
      <c r="F3960" s="29" t="s">
        <v>3686</v>
      </c>
      <c r="G3960" s="29"/>
      <c r="H3960" s="29" t="s">
        <v>3687</v>
      </c>
      <c r="I3960" s="29"/>
      <c r="J3960" s="29"/>
      <c r="K3960" s="29"/>
      <c r="L3960" s="29"/>
      <c r="M3960" s="29"/>
      <c r="N3960" s="29" t="s">
        <v>3601</v>
      </c>
      <c r="O3960" s="29"/>
      <c r="P3960" s="29" t="s">
        <v>11265</v>
      </c>
      <c r="Q3960" t="s">
        <v>2038</v>
      </c>
      <c r="R3960" t="s">
        <v>2633</v>
      </c>
      <c r="S3960">
        <v>37</v>
      </c>
      <c r="T3960" s="43" t="str">
        <f t="shared" si="186"/>
        <v>2021.010B.R.Binomial_names.zip</v>
      </c>
      <c r="U3960" s="43" t="str">
        <f>HYPERLINK("https://ictv.global/taxonomy/taxondetails?taxnode_id=202211891","ictv.global=202211891")</f>
        <v>ictv.global=202211891</v>
      </c>
    </row>
    <row r="3961" spans="1:21">
      <c r="A3961">
        <v>3960</v>
      </c>
      <c r="B3961" s="29" t="s">
        <v>3682</v>
      </c>
      <c r="C3961" s="29"/>
      <c r="D3961" s="29" t="s">
        <v>3683</v>
      </c>
      <c r="E3961" s="29"/>
      <c r="F3961" s="29" t="s">
        <v>3686</v>
      </c>
      <c r="G3961" s="29"/>
      <c r="H3961" s="29" t="s">
        <v>3687</v>
      </c>
      <c r="I3961" s="29"/>
      <c r="J3961" s="29"/>
      <c r="K3961" s="29"/>
      <c r="L3961" s="29"/>
      <c r="M3961" s="29"/>
      <c r="N3961" s="29" t="s">
        <v>3601</v>
      </c>
      <c r="O3961" s="29"/>
      <c r="P3961" s="29" t="s">
        <v>11266</v>
      </c>
      <c r="Q3961" t="s">
        <v>2038</v>
      </c>
      <c r="R3961" t="s">
        <v>2633</v>
      </c>
      <c r="S3961">
        <v>37</v>
      </c>
      <c r="T3961" s="43" t="str">
        <f t="shared" si="186"/>
        <v>2021.010B.R.Binomial_names.zip</v>
      </c>
      <c r="U3961" s="43" t="str">
        <f>HYPERLINK("https://ictv.global/taxonomy/taxondetails?taxnode_id=202211883","ictv.global=202211883")</f>
        <v>ictv.global=202211883</v>
      </c>
    </row>
    <row r="3962" spans="1:21">
      <c r="A3962">
        <v>3961</v>
      </c>
      <c r="B3962" s="29" t="s">
        <v>3682</v>
      </c>
      <c r="C3962" s="29"/>
      <c r="D3962" s="29" t="s">
        <v>3683</v>
      </c>
      <c r="E3962" s="29"/>
      <c r="F3962" s="29" t="s">
        <v>3686</v>
      </c>
      <c r="G3962" s="29"/>
      <c r="H3962" s="29" t="s">
        <v>3687</v>
      </c>
      <c r="I3962" s="29"/>
      <c r="J3962" s="29"/>
      <c r="K3962" s="29"/>
      <c r="L3962" s="29"/>
      <c r="M3962" s="29"/>
      <c r="N3962" s="29" t="s">
        <v>3601</v>
      </c>
      <c r="O3962" s="29"/>
      <c r="P3962" s="29" t="s">
        <v>11267</v>
      </c>
      <c r="Q3962" t="s">
        <v>2038</v>
      </c>
      <c r="R3962" t="s">
        <v>2633</v>
      </c>
      <c r="S3962">
        <v>37</v>
      </c>
      <c r="T3962" s="43" t="str">
        <f t="shared" si="186"/>
        <v>2021.010B.R.Binomial_names.zip</v>
      </c>
      <c r="U3962" s="43" t="str">
        <f>HYPERLINK("https://ictv.global/taxonomy/taxondetails?taxnode_id=202211869","ictv.global=202211869")</f>
        <v>ictv.global=202211869</v>
      </c>
    </row>
    <row r="3963" spans="1:21">
      <c r="A3963">
        <v>3962</v>
      </c>
      <c r="B3963" s="29" t="s">
        <v>3682</v>
      </c>
      <c r="C3963" s="29"/>
      <c r="D3963" s="29" t="s">
        <v>3683</v>
      </c>
      <c r="E3963" s="29"/>
      <c r="F3963" s="29" t="s">
        <v>3686</v>
      </c>
      <c r="G3963" s="29"/>
      <c r="H3963" s="29" t="s">
        <v>3687</v>
      </c>
      <c r="I3963" s="29"/>
      <c r="J3963" s="29"/>
      <c r="K3963" s="29"/>
      <c r="L3963" s="29"/>
      <c r="M3963" s="29"/>
      <c r="N3963" s="29" t="s">
        <v>3601</v>
      </c>
      <c r="O3963" s="29"/>
      <c r="P3963" s="29" t="s">
        <v>11268</v>
      </c>
      <c r="Q3963" t="s">
        <v>2038</v>
      </c>
      <c r="R3963" t="s">
        <v>2633</v>
      </c>
      <c r="S3963">
        <v>37</v>
      </c>
      <c r="T3963" s="43" t="str">
        <f t="shared" si="186"/>
        <v>2021.010B.R.Binomial_names.zip</v>
      </c>
      <c r="U3963" s="43" t="str">
        <f>HYPERLINK("https://ictv.global/taxonomy/taxondetails?taxnode_id=202211896","ictv.global=202211896")</f>
        <v>ictv.global=202211896</v>
      </c>
    </row>
    <row r="3964" spans="1:21">
      <c r="A3964">
        <v>3963</v>
      </c>
      <c r="B3964" s="29" t="s">
        <v>3682</v>
      </c>
      <c r="C3964" s="29"/>
      <c r="D3964" s="29" t="s">
        <v>3683</v>
      </c>
      <c r="E3964" s="29"/>
      <c r="F3964" s="29" t="s">
        <v>3686</v>
      </c>
      <c r="G3964" s="29"/>
      <c r="H3964" s="29" t="s">
        <v>3687</v>
      </c>
      <c r="I3964" s="29"/>
      <c r="J3964" s="29"/>
      <c r="K3964" s="29"/>
      <c r="L3964" s="29"/>
      <c r="M3964" s="29"/>
      <c r="N3964" s="29" t="s">
        <v>3601</v>
      </c>
      <c r="O3964" s="29"/>
      <c r="P3964" s="29" t="s">
        <v>11269</v>
      </c>
      <c r="Q3964" t="s">
        <v>2038</v>
      </c>
      <c r="R3964" t="s">
        <v>2633</v>
      </c>
      <c r="S3964">
        <v>37</v>
      </c>
      <c r="T3964" s="43" t="str">
        <f t="shared" si="186"/>
        <v>2021.010B.R.Binomial_names.zip</v>
      </c>
      <c r="U3964" s="43" t="str">
        <f>HYPERLINK("https://ictv.global/taxonomy/taxondetails?taxnode_id=202211889","ictv.global=202211889")</f>
        <v>ictv.global=202211889</v>
      </c>
    </row>
    <row r="3965" spans="1:21">
      <c r="A3965">
        <v>3964</v>
      </c>
      <c r="B3965" s="29" t="s">
        <v>3682</v>
      </c>
      <c r="C3965" s="29"/>
      <c r="D3965" s="29" t="s">
        <v>3683</v>
      </c>
      <c r="E3965" s="29"/>
      <c r="F3965" s="29" t="s">
        <v>3686</v>
      </c>
      <c r="G3965" s="29"/>
      <c r="H3965" s="29" t="s">
        <v>3687</v>
      </c>
      <c r="I3965" s="29"/>
      <c r="J3965" s="29"/>
      <c r="K3965" s="29"/>
      <c r="L3965" s="29"/>
      <c r="M3965" s="29"/>
      <c r="N3965" s="29" t="s">
        <v>3601</v>
      </c>
      <c r="O3965" s="29"/>
      <c r="P3965" s="29" t="s">
        <v>11270</v>
      </c>
      <c r="Q3965" t="s">
        <v>2038</v>
      </c>
      <c r="R3965" t="s">
        <v>2633</v>
      </c>
      <c r="S3965">
        <v>37</v>
      </c>
      <c r="T3965" s="43" t="str">
        <f t="shared" si="186"/>
        <v>2021.010B.R.Binomial_names.zip</v>
      </c>
      <c r="U3965" s="43" t="str">
        <f>HYPERLINK("https://ictv.global/taxonomy/taxondetails?taxnode_id=202211870","ictv.global=202211870")</f>
        <v>ictv.global=202211870</v>
      </c>
    </row>
    <row r="3966" spans="1:21">
      <c r="A3966">
        <v>3965</v>
      </c>
      <c r="B3966" s="29" t="s">
        <v>3682</v>
      </c>
      <c r="C3966" s="29"/>
      <c r="D3966" s="29" t="s">
        <v>3683</v>
      </c>
      <c r="E3966" s="29"/>
      <c r="F3966" s="29" t="s">
        <v>3686</v>
      </c>
      <c r="G3966" s="29"/>
      <c r="H3966" s="29" t="s">
        <v>3687</v>
      </c>
      <c r="I3966" s="29"/>
      <c r="J3966" s="29"/>
      <c r="K3966" s="29"/>
      <c r="L3966" s="29"/>
      <c r="M3966" s="29"/>
      <c r="N3966" s="29" t="s">
        <v>3601</v>
      </c>
      <c r="O3966" s="29"/>
      <c r="P3966" s="29" t="s">
        <v>11271</v>
      </c>
      <c r="Q3966" t="s">
        <v>2038</v>
      </c>
      <c r="R3966" t="s">
        <v>2633</v>
      </c>
      <c r="S3966">
        <v>37</v>
      </c>
      <c r="T3966" s="43" t="str">
        <f t="shared" si="186"/>
        <v>2021.010B.R.Binomial_names.zip</v>
      </c>
      <c r="U3966" s="43" t="str">
        <f>HYPERLINK("https://ictv.global/taxonomy/taxondetails?taxnode_id=202211871","ictv.global=202211871")</f>
        <v>ictv.global=202211871</v>
      </c>
    </row>
    <row r="3967" spans="1:21">
      <c r="A3967">
        <v>3966</v>
      </c>
      <c r="B3967" s="29" t="s">
        <v>3682</v>
      </c>
      <c r="C3967" s="29"/>
      <c r="D3967" s="29" t="s">
        <v>3683</v>
      </c>
      <c r="E3967" s="29"/>
      <c r="F3967" s="29" t="s">
        <v>3686</v>
      </c>
      <c r="G3967" s="29"/>
      <c r="H3967" s="29" t="s">
        <v>3687</v>
      </c>
      <c r="I3967" s="29"/>
      <c r="J3967" s="29"/>
      <c r="K3967" s="29"/>
      <c r="L3967" s="29"/>
      <c r="M3967" s="29"/>
      <c r="N3967" s="29" t="s">
        <v>3601</v>
      </c>
      <c r="O3967" s="29"/>
      <c r="P3967" s="29" t="s">
        <v>11272</v>
      </c>
      <c r="Q3967" t="s">
        <v>2038</v>
      </c>
      <c r="R3967" t="s">
        <v>2633</v>
      </c>
      <c r="S3967">
        <v>37</v>
      </c>
      <c r="T3967" s="43" t="str">
        <f t="shared" si="186"/>
        <v>2021.010B.R.Binomial_names.zip</v>
      </c>
      <c r="U3967" s="43" t="str">
        <f>HYPERLINK("https://ictv.global/taxonomy/taxondetails?taxnode_id=202211886","ictv.global=202211886")</f>
        <v>ictv.global=202211886</v>
      </c>
    </row>
    <row r="3968" spans="1:21">
      <c r="A3968">
        <v>3967</v>
      </c>
      <c r="B3968" s="29" t="s">
        <v>3682</v>
      </c>
      <c r="C3968" s="29"/>
      <c r="D3968" s="29" t="s">
        <v>3683</v>
      </c>
      <c r="E3968" s="29"/>
      <c r="F3968" s="29" t="s">
        <v>3686</v>
      </c>
      <c r="G3968" s="29"/>
      <c r="H3968" s="29" t="s">
        <v>3687</v>
      </c>
      <c r="I3968" s="29"/>
      <c r="J3968" s="29"/>
      <c r="K3968" s="29"/>
      <c r="L3968" s="29"/>
      <c r="M3968" s="29"/>
      <c r="N3968" s="29" t="s">
        <v>3601</v>
      </c>
      <c r="O3968" s="29"/>
      <c r="P3968" s="29" t="s">
        <v>11273</v>
      </c>
      <c r="Q3968" t="s">
        <v>2038</v>
      </c>
      <c r="R3968" t="s">
        <v>2633</v>
      </c>
      <c r="S3968">
        <v>37</v>
      </c>
      <c r="T3968" s="43" t="str">
        <f t="shared" ref="T3968:T3999" si="187">HYPERLINK("https://ictv.global/ictv/proposals/2021.010B.R.Binomial_names.zip","2021.010B.R.Binomial_names.zip")</f>
        <v>2021.010B.R.Binomial_names.zip</v>
      </c>
      <c r="U3968" s="43" t="str">
        <f>HYPERLINK("https://ictv.global/taxonomy/taxondetails?taxnode_id=202211884","ictv.global=202211884")</f>
        <v>ictv.global=202211884</v>
      </c>
    </row>
    <row r="3969" spans="1:21">
      <c r="A3969">
        <v>3968</v>
      </c>
      <c r="B3969" s="29" t="s">
        <v>3682</v>
      </c>
      <c r="C3969" s="29"/>
      <c r="D3969" s="29" t="s">
        <v>3683</v>
      </c>
      <c r="E3969" s="29"/>
      <c r="F3969" s="29" t="s">
        <v>3686</v>
      </c>
      <c r="G3969" s="29"/>
      <c r="H3969" s="29" t="s">
        <v>3687</v>
      </c>
      <c r="I3969" s="29"/>
      <c r="J3969" s="29"/>
      <c r="K3969" s="29"/>
      <c r="L3969" s="29"/>
      <c r="M3969" s="29"/>
      <c r="N3969" s="29" t="s">
        <v>3601</v>
      </c>
      <c r="O3969" s="29"/>
      <c r="P3969" s="29" t="s">
        <v>11274</v>
      </c>
      <c r="Q3969" t="s">
        <v>2038</v>
      </c>
      <c r="R3969" t="s">
        <v>2633</v>
      </c>
      <c r="S3969">
        <v>37</v>
      </c>
      <c r="T3969" s="43" t="str">
        <f t="shared" si="187"/>
        <v>2021.010B.R.Binomial_names.zip</v>
      </c>
      <c r="U3969" s="43" t="str">
        <f>HYPERLINK("https://ictv.global/taxonomy/taxondetails?taxnode_id=202211893","ictv.global=202211893")</f>
        <v>ictv.global=202211893</v>
      </c>
    </row>
    <row r="3970" spans="1:21">
      <c r="A3970">
        <v>3969</v>
      </c>
      <c r="B3970" s="29" t="s">
        <v>3682</v>
      </c>
      <c r="C3970" s="29"/>
      <c r="D3970" s="29" t="s">
        <v>3683</v>
      </c>
      <c r="E3970" s="29"/>
      <c r="F3970" s="29" t="s">
        <v>3686</v>
      </c>
      <c r="G3970" s="29"/>
      <c r="H3970" s="29" t="s">
        <v>3687</v>
      </c>
      <c r="I3970" s="29"/>
      <c r="J3970" s="29"/>
      <c r="K3970" s="29"/>
      <c r="L3970" s="29"/>
      <c r="M3970" s="29"/>
      <c r="N3970" s="29" t="s">
        <v>3601</v>
      </c>
      <c r="O3970" s="29"/>
      <c r="P3970" s="29" t="s">
        <v>11275</v>
      </c>
      <c r="Q3970" t="s">
        <v>2038</v>
      </c>
      <c r="R3970" t="s">
        <v>2633</v>
      </c>
      <c r="S3970">
        <v>37</v>
      </c>
      <c r="T3970" s="43" t="str">
        <f t="shared" si="187"/>
        <v>2021.010B.R.Binomial_names.zip</v>
      </c>
      <c r="U3970" s="43" t="str">
        <f>HYPERLINK("https://ictv.global/taxonomy/taxondetails?taxnode_id=202211923","ictv.global=202211923")</f>
        <v>ictv.global=202211923</v>
      </c>
    </row>
    <row r="3971" spans="1:21">
      <c r="A3971">
        <v>3970</v>
      </c>
      <c r="B3971" s="29" t="s">
        <v>3682</v>
      </c>
      <c r="C3971" s="29"/>
      <c r="D3971" s="29" t="s">
        <v>3683</v>
      </c>
      <c r="E3971" s="29"/>
      <c r="F3971" s="29" t="s">
        <v>3686</v>
      </c>
      <c r="G3971" s="29"/>
      <c r="H3971" s="29" t="s">
        <v>3687</v>
      </c>
      <c r="I3971" s="29"/>
      <c r="J3971" s="29"/>
      <c r="K3971" s="29"/>
      <c r="L3971" s="29"/>
      <c r="M3971" s="29"/>
      <c r="N3971" s="29" t="s">
        <v>3601</v>
      </c>
      <c r="O3971" s="29"/>
      <c r="P3971" s="29" t="s">
        <v>11276</v>
      </c>
      <c r="Q3971" t="s">
        <v>2038</v>
      </c>
      <c r="R3971" t="s">
        <v>2633</v>
      </c>
      <c r="S3971">
        <v>37</v>
      </c>
      <c r="T3971" s="43" t="str">
        <f t="shared" si="187"/>
        <v>2021.010B.R.Binomial_names.zip</v>
      </c>
      <c r="U3971" s="43" t="str">
        <f>HYPERLINK("https://ictv.global/taxonomy/taxondetails?taxnode_id=202211924","ictv.global=202211924")</f>
        <v>ictv.global=202211924</v>
      </c>
    </row>
    <row r="3972" spans="1:21">
      <c r="A3972">
        <v>3971</v>
      </c>
      <c r="B3972" s="29" t="s">
        <v>3682</v>
      </c>
      <c r="C3972" s="29"/>
      <c r="D3972" s="29" t="s">
        <v>3683</v>
      </c>
      <c r="E3972" s="29"/>
      <c r="F3972" s="29" t="s">
        <v>3686</v>
      </c>
      <c r="G3972" s="29"/>
      <c r="H3972" s="29" t="s">
        <v>3687</v>
      </c>
      <c r="I3972" s="29"/>
      <c r="J3972" s="29"/>
      <c r="K3972" s="29"/>
      <c r="L3972" s="29"/>
      <c r="M3972" s="29"/>
      <c r="N3972" s="29" t="s">
        <v>3601</v>
      </c>
      <c r="O3972" s="29"/>
      <c r="P3972" s="29" t="s">
        <v>11277</v>
      </c>
      <c r="Q3972" t="s">
        <v>2038</v>
      </c>
      <c r="R3972" t="s">
        <v>2633</v>
      </c>
      <c r="S3972">
        <v>37</v>
      </c>
      <c r="T3972" s="43" t="str">
        <f t="shared" si="187"/>
        <v>2021.010B.R.Binomial_names.zip</v>
      </c>
      <c r="U3972" s="43" t="str">
        <f>HYPERLINK("https://ictv.global/taxonomy/taxondetails?taxnode_id=202211918","ictv.global=202211918")</f>
        <v>ictv.global=202211918</v>
      </c>
    </row>
    <row r="3973" spans="1:21">
      <c r="A3973">
        <v>3972</v>
      </c>
      <c r="B3973" s="29" t="s">
        <v>3682</v>
      </c>
      <c r="C3973" s="29"/>
      <c r="D3973" s="29" t="s">
        <v>3683</v>
      </c>
      <c r="E3973" s="29"/>
      <c r="F3973" s="29" t="s">
        <v>3686</v>
      </c>
      <c r="G3973" s="29"/>
      <c r="H3973" s="29" t="s">
        <v>3687</v>
      </c>
      <c r="I3973" s="29"/>
      <c r="J3973" s="29"/>
      <c r="K3973" s="29"/>
      <c r="L3973" s="29"/>
      <c r="M3973" s="29"/>
      <c r="N3973" s="29" t="s">
        <v>3601</v>
      </c>
      <c r="O3973" s="29"/>
      <c r="P3973" s="29" t="s">
        <v>11278</v>
      </c>
      <c r="Q3973" t="s">
        <v>2038</v>
      </c>
      <c r="R3973" t="s">
        <v>2633</v>
      </c>
      <c r="S3973">
        <v>37</v>
      </c>
      <c r="T3973" s="43" t="str">
        <f t="shared" si="187"/>
        <v>2021.010B.R.Binomial_names.zip</v>
      </c>
      <c r="U3973" s="43" t="str">
        <f>HYPERLINK("https://ictv.global/taxonomy/taxondetails?taxnode_id=202211919","ictv.global=202211919")</f>
        <v>ictv.global=202211919</v>
      </c>
    </row>
    <row r="3974" spans="1:21">
      <c r="A3974">
        <v>3973</v>
      </c>
      <c r="B3974" s="29" t="s">
        <v>3682</v>
      </c>
      <c r="C3974" s="29"/>
      <c r="D3974" s="29" t="s">
        <v>3683</v>
      </c>
      <c r="E3974" s="29"/>
      <c r="F3974" s="29" t="s">
        <v>3686</v>
      </c>
      <c r="G3974" s="29"/>
      <c r="H3974" s="29" t="s">
        <v>3687</v>
      </c>
      <c r="I3974" s="29"/>
      <c r="J3974" s="29"/>
      <c r="K3974" s="29"/>
      <c r="L3974" s="29"/>
      <c r="M3974" s="29"/>
      <c r="N3974" s="29" t="s">
        <v>3601</v>
      </c>
      <c r="O3974" s="29"/>
      <c r="P3974" s="29" t="s">
        <v>11279</v>
      </c>
      <c r="Q3974" t="s">
        <v>2038</v>
      </c>
      <c r="R3974" t="s">
        <v>2633</v>
      </c>
      <c r="S3974">
        <v>37</v>
      </c>
      <c r="T3974" s="43" t="str">
        <f t="shared" si="187"/>
        <v>2021.010B.R.Binomial_names.zip</v>
      </c>
      <c r="U3974" s="43" t="str">
        <f>HYPERLINK("https://ictv.global/taxonomy/taxondetails?taxnode_id=202211920","ictv.global=202211920")</f>
        <v>ictv.global=202211920</v>
      </c>
    </row>
    <row r="3975" spans="1:21">
      <c r="A3975">
        <v>3974</v>
      </c>
      <c r="B3975" s="29" t="s">
        <v>3682</v>
      </c>
      <c r="C3975" s="29"/>
      <c r="D3975" s="29" t="s">
        <v>3683</v>
      </c>
      <c r="E3975" s="29"/>
      <c r="F3975" s="29" t="s">
        <v>3686</v>
      </c>
      <c r="G3975" s="29"/>
      <c r="H3975" s="29" t="s">
        <v>3687</v>
      </c>
      <c r="I3975" s="29"/>
      <c r="J3975" s="29"/>
      <c r="K3975" s="29"/>
      <c r="L3975" s="29"/>
      <c r="M3975" s="29"/>
      <c r="N3975" s="29" t="s">
        <v>3601</v>
      </c>
      <c r="O3975" s="29"/>
      <c r="P3975" s="29" t="s">
        <v>11280</v>
      </c>
      <c r="Q3975" t="s">
        <v>2038</v>
      </c>
      <c r="R3975" t="s">
        <v>2633</v>
      </c>
      <c r="S3975">
        <v>37</v>
      </c>
      <c r="T3975" s="43" t="str">
        <f t="shared" si="187"/>
        <v>2021.010B.R.Binomial_names.zip</v>
      </c>
      <c r="U3975" s="43" t="str">
        <f>HYPERLINK("https://ictv.global/taxonomy/taxondetails?taxnode_id=202211921","ictv.global=202211921")</f>
        <v>ictv.global=202211921</v>
      </c>
    </row>
    <row r="3976" spans="1:21">
      <c r="A3976">
        <v>3975</v>
      </c>
      <c r="B3976" s="29" t="s">
        <v>3682</v>
      </c>
      <c r="C3976" s="29"/>
      <c r="D3976" s="29" t="s">
        <v>3683</v>
      </c>
      <c r="E3976" s="29"/>
      <c r="F3976" s="29" t="s">
        <v>3686</v>
      </c>
      <c r="G3976" s="29"/>
      <c r="H3976" s="29" t="s">
        <v>3687</v>
      </c>
      <c r="I3976" s="29"/>
      <c r="J3976" s="29"/>
      <c r="K3976" s="29"/>
      <c r="L3976" s="29"/>
      <c r="M3976" s="29"/>
      <c r="N3976" s="29" t="s">
        <v>3601</v>
      </c>
      <c r="O3976" s="29"/>
      <c r="P3976" s="29" t="s">
        <v>11281</v>
      </c>
      <c r="Q3976" t="s">
        <v>2038</v>
      </c>
      <c r="R3976" t="s">
        <v>2633</v>
      </c>
      <c r="S3976">
        <v>37</v>
      </c>
      <c r="T3976" s="43" t="str">
        <f t="shared" si="187"/>
        <v>2021.010B.R.Binomial_names.zip</v>
      </c>
      <c r="U3976" s="43" t="str">
        <f>HYPERLINK("https://ictv.global/taxonomy/taxondetails?taxnode_id=202211943","ictv.global=202211943")</f>
        <v>ictv.global=202211943</v>
      </c>
    </row>
    <row r="3977" spans="1:21">
      <c r="A3977">
        <v>3976</v>
      </c>
      <c r="B3977" s="29" t="s">
        <v>3682</v>
      </c>
      <c r="C3977" s="29"/>
      <c r="D3977" s="29" t="s">
        <v>3683</v>
      </c>
      <c r="E3977" s="29"/>
      <c r="F3977" s="29" t="s">
        <v>3686</v>
      </c>
      <c r="G3977" s="29"/>
      <c r="H3977" s="29" t="s">
        <v>3687</v>
      </c>
      <c r="I3977" s="29"/>
      <c r="J3977" s="29"/>
      <c r="K3977" s="29"/>
      <c r="L3977" s="29"/>
      <c r="M3977" s="29"/>
      <c r="N3977" s="29" t="s">
        <v>3601</v>
      </c>
      <c r="O3977" s="29"/>
      <c r="P3977" s="29" t="s">
        <v>11282</v>
      </c>
      <c r="Q3977" t="s">
        <v>2038</v>
      </c>
      <c r="R3977" t="s">
        <v>2633</v>
      </c>
      <c r="S3977">
        <v>37</v>
      </c>
      <c r="T3977" s="43" t="str">
        <f t="shared" si="187"/>
        <v>2021.010B.R.Binomial_names.zip</v>
      </c>
      <c r="U3977" s="43" t="str">
        <f>HYPERLINK("https://ictv.global/taxonomy/taxondetails?taxnode_id=202211922","ictv.global=202211922")</f>
        <v>ictv.global=202211922</v>
      </c>
    </row>
    <row r="3978" spans="1:21">
      <c r="A3978">
        <v>3977</v>
      </c>
      <c r="B3978" s="29" t="s">
        <v>3682</v>
      </c>
      <c r="C3978" s="29"/>
      <c r="D3978" s="29" t="s">
        <v>3683</v>
      </c>
      <c r="E3978" s="29"/>
      <c r="F3978" s="29" t="s">
        <v>3686</v>
      </c>
      <c r="G3978" s="29"/>
      <c r="H3978" s="29" t="s">
        <v>3687</v>
      </c>
      <c r="I3978" s="29"/>
      <c r="J3978" s="29"/>
      <c r="K3978" s="29"/>
      <c r="L3978" s="29"/>
      <c r="M3978" s="29"/>
      <c r="N3978" s="29" t="s">
        <v>3601</v>
      </c>
      <c r="O3978" s="29"/>
      <c r="P3978" s="29" t="s">
        <v>11283</v>
      </c>
      <c r="Q3978" t="s">
        <v>2038</v>
      </c>
      <c r="R3978" t="s">
        <v>2633</v>
      </c>
      <c r="S3978">
        <v>37</v>
      </c>
      <c r="T3978" s="43" t="str">
        <f t="shared" si="187"/>
        <v>2021.010B.R.Binomial_names.zip</v>
      </c>
      <c r="U3978" s="43" t="str">
        <f>HYPERLINK("https://ictv.global/taxonomy/taxondetails?taxnode_id=202211925","ictv.global=202211925")</f>
        <v>ictv.global=202211925</v>
      </c>
    </row>
    <row r="3979" spans="1:21">
      <c r="A3979">
        <v>3978</v>
      </c>
      <c r="B3979" s="29" t="s">
        <v>3682</v>
      </c>
      <c r="C3979" s="29"/>
      <c r="D3979" s="29" t="s">
        <v>3683</v>
      </c>
      <c r="E3979" s="29"/>
      <c r="F3979" s="29" t="s">
        <v>3686</v>
      </c>
      <c r="G3979" s="29"/>
      <c r="H3979" s="29" t="s">
        <v>3687</v>
      </c>
      <c r="I3979" s="29"/>
      <c r="J3979" s="29"/>
      <c r="K3979" s="29"/>
      <c r="L3979" s="29"/>
      <c r="M3979" s="29"/>
      <c r="N3979" s="29" t="s">
        <v>3601</v>
      </c>
      <c r="O3979" s="29"/>
      <c r="P3979" s="29" t="s">
        <v>11284</v>
      </c>
      <c r="Q3979" t="s">
        <v>2038</v>
      </c>
      <c r="R3979" t="s">
        <v>2633</v>
      </c>
      <c r="S3979">
        <v>37</v>
      </c>
      <c r="T3979" s="43" t="str">
        <f t="shared" si="187"/>
        <v>2021.010B.R.Binomial_names.zip</v>
      </c>
      <c r="U3979" s="43" t="str">
        <f>HYPERLINK("https://ictv.global/taxonomy/taxondetails?taxnode_id=202211892","ictv.global=202211892")</f>
        <v>ictv.global=202211892</v>
      </c>
    </row>
    <row r="3980" spans="1:21">
      <c r="A3980">
        <v>3979</v>
      </c>
      <c r="B3980" s="29" t="s">
        <v>3682</v>
      </c>
      <c r="C3980" s="29"/>
      <c r="D3980" s="29" t="s">
        <v>3683</v>
      </c>
      <c r="E3980" s="29"/>
      <c r="F3980" s="29" t="s">
        <v>3686</v>
      </c>
      <c r="G3980" s="29"/>
      <c r="H3980" s="29" t="s">
        <v>3687</v>
      </c>
      <c r="I3980" s="29"/>
      <c r="J3980" s="29"/>
      <c r="K3980" s="29"/>
      <c r="L3980" s="29"/>
      <c r="M3980" s="29"/>
      <c r="N3980" s="29" t="s">
        <v>3601</v>
      </c>
      <c r="O3980" s="29"/>
      <c r="P3980" s="29" t="s">
        <v>11285</v>
      </c>
      <c r="Q3980" t="s">
        <v>2038</v>
      </c>
      <c r="R3980" t="s">
        <v>2633</v>
      </c>
      <c r="S3980">
        <v>37</v>
      </c>
      <c r="T3980" s="43" t="str">
        <f t="shared" si="187"/>
        <v>2021.010B.R.Binomial_names.zip</v>
      </c>
      <c r="U3980" s="43" t="str">
        <f>HYPERLINK("https://ictv.global/taxonomy/taxondetails?taxnode_id=202211927","ictv.global=202211927")</f>
        <v>ictv.global=202211927</v>
      </c>
    </row>
    <row r="3981" spans="1:21">
      <c r="A3981">
        <v>3980</v>
      </c>
      <c r="B3981" s="29" t="s">
        <v>3682</v>
      </c>
      <c r="C3981" s="29"/>
      <c r="D3981" s="29" t="s">
        <v>3683</v>
      </c>
      <c r="E3981" s="29"/>
      <c r="F3981" s="29" t="s">
        <v>3686</v>
      </c>
      <c r="G3981" s="29"/>
      <c r="H3981" s="29" t="s">
        <v>3687</v>
      </c>
      <c r="I3981" s="29"/>
      <c r="J3981" s="29"/>
      <c r="K3981" s="29"/>
      <c r="L3981" s="29"/>
      <c r="M3981" s="29"/>
      <c r="N3981" s="29" t="s">
        <v>3601</v>
      </c>
      <c r="O3981" s="29"/>
      <c r="P3981" s="29" t="s">
        <v>11286</v>
      </c>
      <c r="Q3981" t="s">
        <v>2038</v>
      </c>
      <c r="R3981" t="s">
        <v>2633</v>
      </c>
      <c r="S3981">
        <v>37</v>
      </c>
      <c r="T3981" s="43" t="str">
        <f t="shared" si="187"/>
        <v>2021.010B.R.Binomial_names.zip</v>
      </c>
      <c r="U3981" s="43" t="str">
        <f>HYPERLINK("https://ictv.global/taxonomy/taxondetails?taxnode_id=202211929","ictv.global=202211929")</f>
        <v>ictv.global=202211929</v>
      </c>
    </row>
    <row r="3982" spans="1:21">
      <c r="A3982">
        <v>3981</v>
      </c>
      <c r="B3982" s="29" t="s">
        <v>3682</v>
      </c>
      <c r="C3982" s="29"/>
      <c r="D3982" s="29" t="s">
        <v>3683</v>
      </c>
      <c r="E3982" s="29"/>
      <c r="F3982" s="29" t="s">
        <v>3686</v>
      </c>
      <c r="G3982" s="29"/>
      <c r="H3982" s="29" t="s">
        <v>3687</v>
      </c>
      <c r="I3982" s="29"/>
      <c r="J3982" s="29"/>
      <c r="K3982" s="29"/>
      <c r="L3982" s="29"/>
      <c r="M3982" s="29"/>
      <c r="N3982" s="29" t="s">
        <v>3601</v>
      </c>
      <c r="O3982" s="29"/>
      <c r="P3982" s="29" t="s">
        <v>11287</v>
      </c>
      <c r="Q3982" t="s">
        <v>2038</v>
      </c>
      <c r="R3982" t="s">
        <v>2633</v>
      </c>
      <c r="S3982">
        <v>37</v>
      </c>
      <c r="T3982" s="43" t="str">
        <f t="shared" si="187"/>
        <v>2021.010B.R.Binomial_names.zip</v>
      </c>
      <c r="U3982" s="43" t="str">
        <f>HYPERLINK("https://ictv.global/taxonomy/taxondetails?taxnode_id=202201300","ictv.global=202201300")</f>
        <v>ictv.global=202201300</v>
      </c>
    </row>
    <row r="3983" spans="1:21">
      <c r="A3983">
        <v>3982</v>
      </c>
      <c r="B3983" s="29" t="s">
        <v>3682</v>
      </c>
      <c r="C3983" s="29"/>
      <c r="D3983" s="29" t="s">
        <v>3683</v>
      </c>
      <c r="E3983" s="29"/>
      <c r="F3983" s="29" t="s">
        <v>3686</v>
      </c>
      <c r="G3983" s="29"/>
      <c r="H3983" s="29" t="s">
        <v>3687</v>
      </c>
      <c r="I3983" s="29"/>
      <c r="J3983" s="29"/>
      <c r="K3983" s="29"/>
      <c r="L3983" s="29"/>
      <c r="M3983" s="29"/>
      <c r="N3983" s="29" t="s">
        <v>3601</v>
      </c>
      <c r="O3983" s="29"/>
      <c r="P3983" s="29" t="s">
        <v>11288</v>
      </c>
      <c r="Q3983" t="s">
        <v>2038</v>
      </c>
      <c r="R3983" t="s">
        <v>2633</v>
      </c>
      <c r="S3983">
        <v>37</v>
      </c>
      <c r="T3983" s="43" t="str">
        <f t="shared" si="187"/>
        <v>2021.010B.R.Binomial_names.zip</v>
      </c>
      <c r="U3983" s="43" t="str">
        <f>HYPERLINK("https://ictv.global/taxonomy/taxondetails?taxnode_id=202211872","ictv.global=202211872")</f>
        <v>ictv.global=202211872</v>
      </c>
    </row>
    <row r="3984" spans="1:21">
      <c r="A3984">
        <v>3983</v>
      </c>
      <c r="B3984" s="29" t="s">
        <v>3682</v>
      </c>
      <c r="C3984" s="29"/>
      <c r="D3984" s="29" t="s">
        <v>3683</v>
      </c>
      <c r="E3984" s="29"/>
      <c r="F3984" s="29" t="s">
        <v>3686</v>
      </c>
      <c r="G3984" s="29"/>
      <c r="H3984" s="29" t="s">
        <v>3687</v>
      </c>
      <c r="I3984" s="29"/>
      <c r="J3984" s="29"/>
      <c r="K3984" s="29"/>
      <c r="L3984" s="29"/>
      <c r="M3984" s="29"/>
      <c r="N3984" s="29" t="s">
        <v>3601</v>
      </c>
      <c r="O3984" s="29"/>
      <c r="P3984" s="29" t="s">
        <v>11289</v>
      </c>
      <c r="Q3984" t="s">
        <v>2038</v>
      </c>
      <c r="R3984" t="s">
        <v>2633</v>
      </c>
      <c r="S3984">
        <v>37</v>
      </c>
      <c r="T3984" s="43" t="str">
        <f t="shared" si="187"/>
        <v>2021.010B.R.Binomial_names.zip</v>
      </c>
      <c r="U3984" s="43" t="str">
        <f>HYPERLINK("https://ictv.global/taxonomy/taxondetails?taxnode_id=202211873","ictv.global=202211873")</f>
        <v>ictv.global=202211873</v>
      </c>
    </row>
    <row r="3985" spans="1:21">
      <c r="A3985">
        <v>3984</v>
      </c>
      <c r="B3985" s="29" t="s">
        <v>3682</v>
      </c>
      <c r="C3985" s="29"/>
      <c r="D3985" s="29" t="s">
        <v>3683</v>
      </c>
      <c r="E3985" s="29"/>
      <c r="F3985" s="29" t="s">
        <v>3686</v>
      </c>
      <c r="G3985" s="29"/>
      <c r="H3985" s="29" t="s">
        <v>3687</v>
      </c>
      <c r="I3985" s="29"/>
      <c r="J3985" s="29"/>
      <c r="K3985" s="29"/>
      <c r="L3985" s="29"/>
      <c r="M3985" s="29"/>
      <c r="N3985" s="29" t="s">
        <v>3601</v>
      </c>
      <c r="O3985" s="29"/>
      <c r="P3985" s="29" t="s">
        <v>11290</v>
      </c>
      <c r="Q3985" t="s">
        <v>2038</v>
      </c>
      <c r="R3985" t="s">
        <v>2633</v>
      </c>
      <c r="S3985">
        <v>37</v>
      </c>
      <c r="T3985" s="43" t="str">
        <f t="shared" si="187"/>
        <v>2021.010B.R.Binomial_names.zip</v>
      </c>
      <c r="U3985" s="43" t="str">
        <f>HYPERLINK("https://ictv.global/taxonomy/taxondetails?taxnode_id=202211931","ictv.global=202211931")</f>
        <v>ictv.global=202211931</v>
      </c>
    </row>
    <row r="3986" spans="1:21">
      <c r="A3986">
        <v>3985</v>
      </c>
      <c r="B3986" s="29" t="s">
        <v>3682</v>
      </c>
      <c r="C3986" s="29"/>
      <c r="D3986" s="29" t="s">
        <v>3683</v>
      </c>
      <c r="E3986" s="29"/>
      <c r="F3986" s="29" t="s">
        <v>3686</v>
      </c>
      <c r="G3986" s="29"/>
      <c r="H3986" s="29" t="s">
        <v>3687</v>
      </c>
      <c r="I3986" s="29"/>
      <c r="J3986" s="29"/>
      <c r="K3986" s="29"/>
      <c r="L3986" s="29"/>
      <c r="M3986" s="29"/>
      <c r="N3986" s="29" t="s">
        <v>3601</v>
      </c>
      <c r="O3986" s="29"/>
      <c r="P3986" s="29" t="s">
        <v>11291</v>
      </c>
      <c r="Q3986" t="s">
        <v>2038</v>
      </c>
      <c r="R3986" t="s">
        <v>2633</v>
      </c>
      <c r="S3986">
        <v>37</v>
      </c>
      <c r="T3986" s="43" t="str">
        <f t="shared" si="187"/>
        <v>2021.010B.R.Binomial_names.zip</v>
      </c>
      <c r="U3986" s="43" t="str">
        <f>HYPERLINK("https://ictv.global/taxonomy/taxondetails?taxnode_id=202211874","ictv.global=202211874")</f>
        <v>ictv.global=202211874</v>
      </c>
    </row>
    <row r="3987" spans="1:21">
      <c r="A3987">
        <v>3986</v>
      </c>
      <c r="B3987" s="29" t="s">
        <v>3682</v>
      </c>
      <c r="C3987" s="29"/>
      <c r="D3987" s="29" t="s">
        <v>3683</v>
      </c>
      <c r="E3987" s="29"/>
      <c r="F3987" s="29" t="s">
        <v>3686</v>
      </c>
      <c r="G3987" s="29"/>
      <c r="H3987" s="29" t="s">
        <v>3687</v>
      </c>
      <c r="I3987" s="29"/>
      <c r="J3987" s="29"/>
      <c r="K3987" s="29"/>
      <c r="L3987" s="29"/>
      <c r="M3987" s="29"/>
      <c r="N3987" s="29" t="s">
        <v>3601</v>
      </c>
      <c r="O3987" s="29"/>
      <c r="P3987" s="29" t="s">
        <v>11292</v>
      </c>
      <c r="Q3987" t="s">
        <v>2038</v>
      </c>
      <c r="R3987" t="s">
        <v>2633</v>
      </c>
      <c r="S3987">
        <v>37</v>
      </c>
      <c r="T3987" s="43" t="str">
        <f t="shared" si="187"/>
        <v>2021.010B.R.Binomial_names.zip</v>
      </c>
      <c r="U3987" s="43" t="str">
        <f>HYPERLINK("https://ictv.global/taxonomy/taxondetails?taxnode_id=202211930","ictv.global=202211930")</f>
        <v>ictv.global=202211930</v>
      </c>
    </row>
    <row r="3988" spans="1:21">
      <c r="A3988">
        <v>3987</v>
      </c>
      <c r="B3988" s="29" t="s">
        <v>3682</v>
      </c>
      <c r="C3988" s="29"/>
      <c r="D3988" s="29" t="s">
        <v>3683</v>
      </c>
      <c r="E3988" s="29"/>
      <c r="F3988" s="29" t="s">
        <v>3686</v>
      </c>
      <c r="G3988" s="29"/>
      <c r="H3988" s="29" t="s">
        <v>3687</v>
      </c>
      <c r="I3988" s="29"/>
      <c r="J3988" s="29"/>
      <c r="K3988" s="29"/>
      <c r="L3988" s="29"/>
      <c r="M3988" s="29"/>
      <c r="N3988" s="29" t="s">
        <v>3601</v>
      </c>
      <c r="O3988" s="29"/>
      <c r="P3988" s="29" t="s">
        <v>11293</v>
      </c>
      <c r="Q3988" t="s">
        <v>2038</v>
      </c>
      <c r="R3988" t="s">
        <v>2633</v>
      </c>
      <c r="S3988">
        <v>37</v>
      </c>
      <c r="T3988" s="43" t="str">
        <f t="shared" si="187"/>
        <v>2021.010B.R.Binomial_names.zip</v>
      </c>
      <c r="U3988" s="43" t="str">
        <f>HYPERLINK("https://ictv.global/taxonomy/taxondetails?taxnode_id=202211932","ictv.global=202211932")</f>
        <v>ictv.global=202211932</v>
      </c>
    </row>
    <row r="3989" spans="1:21">
      <c r="A3989">
        <v>3988</v>
      </c>
      <c r="B3989" s="29" t="s">
        <v>3682</v>
      </c>
      <c r="C3989" s="29"/>
      <c r="D3989" s="29" t="s">
        <v>3683</v>
      </c>
      <c r="E3989" s="29"/>
      <c r="F3989" s="29" t="s">
        <v>3686</v>
      </c>
      <c r="G3989" s="29"/>
      <c r="H3989" s="29" t="s">
        <v>3687</v>
      </c>
      <c r="I3989" s="29"/>
      <c r="J3989" s="29"/>
      <c r="K3989" s="29"/>
      <c r="L3989" s="29"/>
      <c r="M3989" s="29"/>
      <c r="N3989" s="29" t="s">
        <v>3601</v>
      </c>
      <c r="O3989" s="29"/>
      <c r="P3989" s="29" t="s">
        <v>11294</v>
      </c>
      <c r="Q3989" t="s">
        <v>2038</v>
      </c>
      <c r="R3989" t="s">
        <v>2633</v>
      </c>
      <c r="S3989">
        <v>37</v>
      </c>
      <c r="T3989" s="43" t="str">
        <f t="shared" si="187"/>
        <v>2021.010B.R.Binomial_names.zip</v>
      </c>
      <c r="U3989" s="43" t="str">
        <f>HYPERLINK("https://ictv.global/taxonomy/taxondetails?taxnode_id=202211898","ictv.global=202211898")</f>
        <v>ictv.global=202211898</v>
      </c>
    </row>
    <row r="3990" spans="1:21">
      <c r="A3990">
        <v>3989</v>
      </c>
      <c r="B3990" s="29" t="s">
        <v>3682</v>
      </c>
      <c r="C3990" s="29"/>
      <c r="D3990" s="29" t="s">
        <v>3683</v>
      </c>
      <c r="E3990" s="29"/>
      <c r="F3990" s="29" t="s">
        <v>3686</v>
      </c>
      <c r="G3990" s="29"/>
      <c r="H3990" s="29" t="s">
        <v>3687</v>
      </c>
      <c r="I3990" s="29"/>
      <c r="J3990" s="29"/>
      <c r="K3990" s="29"/>
      <c r="L3990" s="29"/>
      <c r="M3990" s="29"/>
      <c r="N3990" s="29" t="s">
        <v>3601</v>
      </c>
      <c r="O3990" s="29"/>
      <c r="P3990" s="29" t="s">
        <v>11295</v>
      </c>
      <c r="Q3990" t="s">
        <v>2038</v>
      </c>
      <c r="R3990" t="s">
        <v>2633</v>
      </c>
      <c r="S3990">
        <v>37</v>
      </c>
      <c r="T3990" s="43" t="str">
        <f t="shared" si="187"/>
        <v>2021.010B.R.Binomial_names.zip</v>
      </c>
      <c r="U3990" s="43" t="str">
        <f>HYPERLINK("https://ictv.global/taxonomy/taxondetails?taxnode_id=202211894","ictv.global=202211894")</f>
        <v>ictv.global=202211894</v>
      </c>
    </row>
    <row r="3991" spans="1:21">
      <c r="A3991">
        <v>3990</v>
      </c>
      <c r="B3991" s="29" t="s">
        <v>3682</v>
      </c>
      <c r="C3991" s="29"/>
      <c r="D3991" s="29" t="s">
        <v>3683</v>
      </c>
      <c r="E3991" s="29"/>
      <c r="F3991" s="29" t="s">
        <v>3686</v>
      </c>
      <c r="G3991" s="29"/>
      <c r="H3991" s="29" t="s">
        <v>3687</v>
      </c>
      <c r="I3991" s="29"/>
      <c r="J3991" s="29"/>
      <c r="K3991" s="29"/>
      <c r="L3991" s="29"/>
      <c r="M3991" s="29"/>
      <c r="N3991" s="29" t="s">
        <v>3601</v>
      </c>
      <c r="O3991" s="29"/>
      <c r="P3991" s="29" t="s">
        <v>11296</v>
      </c>
      <c r="Q3991" t="s">
        <v>2038</v>
      </c>
      <c r="R3991" t="s">
        <v>2633</v>
      </c>
      <c r="S3991">
        <v>37</v>
      </c>
      <c r="T3991" s="43" t="str">
        <f t="shared" si="187"/>
        <v>2021.010B.R.Binomial_names.zip</v>
      </c>
      <c r="U3991" s="43" t="str">
        <f>HYPERLINK("https://ictv.global/taxonomy/taxondetails?taxnode_id=202201301","ictv.global=202201301")</f>
        <v>ictv.global=202201301</v>
      </c>
    </row>
    <row r="3992" spans="1:21">
      <c r="A3992">
        <v>3991</v>
      </c>
      <c r="B3992" s="29" t="s">
        <v>3682</v>
      </c>
      <c r="C3992" s="29"/>
      <c r="D3992" s="29" t="s">
        <v>3683</v>
      </c>
      <c r="E3992" s="29"/>
      <c r="F3992" s="29" t="s">
        <v>3686</v>
      </c>
      <c r="G3992" s="29"/>
      <c r="H3992" s="29" t="s">
        <v>3687</v>
      </c>
      <c r="I3992" s="29"/>
      <c r="J3992" s="29"/>
      <c r="K3992" s="29"/>
      <c r="L3992" s="29"/>
      <c r="M3992" s="29"/>
      <c r="N3992" s="29" t="s">
        <v>3601</v>
      </c>
      <c r="O3992" s="29"/>
      <c r="P3992" s="29" t="s">
        <v>11297</v>
      </c>
      <c r="Q3992" t="s">
        <v>2038</v>
      </c>
      <c r="R3992" t="s">
        <v>2633</v>
      </c>
      <c r="S3992">
        <v>37</v>
      </c>
      <c r="T3992" s="43" t="str">
        <f t="shared" si="187"/>
        <v>2021.010B.R.Binomial_names.zip</v>
      </c>
      <c r="U3992" s="43" t="str">
        <f>HYPERLINK("https://ictv.global/taxonomy/taxondetails?taxnode_id=202201302","ictv.global=202201302")</f>
        <v>ictv.global=202201302</v>
      </c>
    </row>
    <row r="3993" spans="1:21">
      <c r="A3993">
        <v>3992</v>
      </c>
      <c r="B3993" s="29" t="s">
        <v>3682</v>
      </c>
      <c r="C3993" s="29"/>
      <c r="D3993" s="29" t="s">
        <v>3683</v>
      </c>
      <c r="E3993" s="29"/>
      <c r="F3993" s="29" t="s">
        <v>3686</v>
      </c>
      <c r="G3993" s="29"/>
      <c r="H3993" s="29" t="s">
        <v>3687</v>
      </c>
      <c r="I3993" s="29"/>
      <c r="J3993" s="29"/>
      <c r="K3993" s="29"/>
      <c r="L3993" s="29"/>
      <c r="M3993" s="29"/>
      <c r="N3993" s="29" t="s">
        <v>3601</v>
      </c>
      <c r="O3993" s="29"/>
      <c r="P3993" s="29" t="s">
        <v>11298</v>
      </c>
      <c r="Q3993" t="s">
        <v>2038</v>
      </c>
      <c r="R3993" t="s">
        <v>2633</v>
      </c>
      <c r="S3993">
        <v>37</v>
      </c>
      <c r="T3993" s="43" t="str">
        <f t="shared" si="187"/>
        <v>2021.010B.R.Binomial_names.zip</v>
      </c>
      <c r="U3993" s="43" t="str">
        <f>HYPERLINK("https://ictv.global/taxonomy/taxondetails?taxnode_id=202211875","ictv.global=202211875")</f>
        <v>ictv.global=202211875</v>
      </c>
    </row>
    <row r="3994" spans="1:21">
      <c r="A3994">
        <v>3993</v>
      </c>
      <c r="B3994" s="29" t="s">
        <v>3682</v>
      </c>
      <c r="C3994" s="29"/>
      <c r="D3994" s="29" t="s">
        <v>3683</v>
      </c>
      <c r="E3994" s="29"/>
      <c r="F3994" s="29" t="s">
        <v>3686</v>
      </c>
      <c r="G3994" s="29"/>
      <c r="H3994" s="29" t="s">
        <v>3687</v>
      </c>
      <c r="I3994" s="29"/>
      <c r="J3994" s="29"/>
      <c r="K3994" s="29"/>
      <c r="L3994" s="29"/>
      <c r="M3994" s="29"/>
      <c r="N3994" s="29" t="s">
        <v>3601</v>
      </c>
      <c r="O3994" s="29"/>
      <c r="P3994" s="29" t="s">
        <v>11299</v>
      </c>
      <c r="Q3994" t="s">
        <v>2038</v>
      </c>
      <c r="R3994" t="s">
        <v>2633</v>
      </c>
      <c r="S3994">
        <v>37</v>
      </c>
      <c r="T3994" s="43" t="str">
        <f t="shared" si="187"/>
        <v>2021.010B.R.Binomial_names.zip</v>
      </c>
      <c r="U3994" s="43" t="str">
        <f>HYPERLINK("https://ictv.global/taxonomy/taxondetails?taxnode_id=202211877","ictv.global=202211877")</f>
        <v>ictv.global=202211877</v>
      </c>
    </row>
    <row r="3995" spans="1:21">
      <c r="A3995">
        <v>3994</v>
      </c>
      <c r="B3995" s="29" t="s">
        <v>3682</v>
      </c>
      <c r="C3995" s="29"/>
      <c r="D3995" s="29" t="s">
        <v>3683</v>
      </c>
      <c r="E3995" s="29"/>
      <c r="F3995" s="29" t="s">
        <v>3686</v>
      </c>
      <c r="G3995" s="29"/>
      <c r="H3995" s="29" t="s">
        <v>3687</v>
      </c>
      <c r="I3995" s="29"/>
      <c r="J3995" s="29"/>
      <c r="K3995" s="29"/>
      <c r="L3995" s="29"/>
      <c r="M3995" s="29"/>
      <c r="N3995" s="29" t="s">
        <v>3601</v>
      </c>
      <c r="O3995" s="29"/>
      <c r="P3995" s="29" t="s">
        <v>11300</v>
      </c>
      <c r="Q3995" t="s">
        <v>2038</v>
      </c>
      <c r="R3995" t="s">
        <v>2633</v>
      </c>
      <c r="S3995">
        <v>37</v>
      </c>
      <c r="T3995" s="43" t="str">
        <f t="shared" si="187"/>
        <v>2021.010B.R.Binomial_names.zip</v>
      </c>
      <c r="U3995" s="43" t="str">
        <f>HYPERLINK("https://ictv.global/taxonomy/taxondetails?taxnode_id=202211887","ictv.global=202211887")</f>
        <v>ictv.global=202211887</v>
      </c>
    </row>
    <row r="3996" spans="1:21">
      <c r="A3996">
        <v>3995</v>
      </c>
      <c r="B3996" s="29" t="s">
        <v>3682</v>
      </c>
      <c r="C3996" s="29"/>
      <c r="D3996" s="29" t="s">
        <v>3683</v>
      </c>
      <c r="E3996" s="29"/>
      <c r="F3996" s="29" t="s">
        <v>3686</v>
      </c>
      <c r="G3996" s="29"/>
      <c r="H3996" s="29" t="s">
        <v>3687</v>
      </c>
      <c r="I3996" s="29"/>
      <c r="J3996" s="29"/>
      <c r="K3996" s="29"/>
      <c r="L3996" s="29"/>
      <c r="M3996" s="29"/>
      <c r="N3996" s="29" t="s">
        <v>3601</v>
      </c>
      <c r="O3996" s="29"/>
      <c r="P3996" s="29" t="s">
        <v>11301</v>
      </c>
      <c r="Q3996" t="s">
        <v>2038</v>
      </c>
      <c r="R3996" t="s">
        <v>2633</v>
      </c>
      <c r="S3996">
        <v>37</v>
      </c>
      <c r="T3996" s="43" t="str">
        <f t="shared" si="187"/>
        <v>2021.010B.R.Binomial_names.zip</v>
      </c>
      <c r="U3996" s="43" t="str">
        <f>HYPERLINK("https://ictv.global/taxonomy/taxondetails?taxnode_id=202211946","ictv.global=202211946")</f>
        <v>ictv.global=202211946</v>
      </c>
    </row>
    <row r="3997" spans="1:21">
      <c r="A3997">
        <v>3996</v>
      </c>
      <c r="B3997" s="29" t="s">
        <v>3682</v>
      </c>
      <c r="C3997" s="29"/>
      <c r="D3997" s="29" t="s">
        <v>3683</v>
      </c>
      <c r="E3997" s="29"/>
      <c r="F3997" s="29" t="s">
        <v>3686</v>
      </c>
      <c r="G3997" s="29"/>
      <c r="H3997" s="29" t="s">
        <v>3687</v>
      </c>
      <c r="I3997" s="29"/>
      <c r="J3997" s="29"/>
      <c r="K3997" s="29"/>
      <c r="L3997" s="29"/>
      <c r="M3997" s="29"/>
      <c r="N3997" s="29" t="s">
        <v>3601</v>
      </c>
      <c r="O3997" s="29"/>
      <c r="P3997" s="29" t="s">
        <v>11302</v>
      </c>
      <c r="Q3997" t="s">
        <v>2038</v>
      </c>
      <c r="R3997" t="s">
        <v>2633</v>
      </c>
      <c r="S3997">
        <v>37</v>
      </c>
      <c r="T3997" s="43" t="str">
        <f t="shared" si="187"/>
        <v>2021.010B.R.Binomial_names.zip</v>
      </c>
      <c r="U3997" s="43" t="str">
        <f>HYPERLINK("https://ictv.global/taxonomy/taxondetails?taxnode_id=202211885","ictv.global=202211885")</f>
        <v>ictv.global=202211885</v>
      </c>
    </row>
    <row r="3998" spans="1:21">
      <c r="A3998">
        <v>3997</v>
      </c>
      <c r="B3998" s="29" t="s">
        <v>3682</v>
      </c>
      <c r="C3998" s="29"/>
      <c r="D3998" s="29" t="s">
        <v>3683</v>
      </c>
      <c r="E3998" s="29"/>
      <c r="F3998" s="29" t="s">
        <v>3686</v>
      </c>
      <c r="G3998" s="29"/>
      <c r="H3998" s="29" t="s">
        <v>3687</v>
      </c>
      <c r="I3998" s="29"/>
      <c r="J3998" s="29"/>
      <c r="K3998" s="29"/>
      <c r="L3998" s="29"/>
      <c r="M3998" s="29"/>
      <c r="N3998" s="29" t="s">
        <v>3601</v>
      </c>
      <c r="O3998" s="29"/>
      <c r="P3998" s="29" t="s">
        <v>11303</v>
      </c>
      <c r="Q3998" t="s">
        <v>2038</v>
      </c>
      <c r="R3998" t="s">
        <v>2633</v>
      </c>
      <c r="S3998">
        <v>37</v>
      </c>
      <c r="T3998" s="43" t="str">
        <f t="shared" si="187"/>
        <v>2021.010B.R.Binomial_names.zip</v>
      </c>
      <c r="U3998" s="43" t="str">
        <f>HYPERLINK("https://ictv.global/taxonomy/taxondetails?taxnode_id=202211878","ictv.global=202211878")</f>
        <v>ictv.global=202211878</v>
      </c>
    </row>
    <row r="3999" spans="1:21">
      <c r="A3999">
        <v>3998</v>
      </c>
      <c r="B3999" s="29" t="s">
        <v>3682</v>
      </c>
      <c r="C3999" s="29"/>
      <c r="D3999" s="29" t="s">
        <v>3683</v>
      </c>
      <c r="E3999" s="29"/>
      <c r="F3999" s="29" t="s">
        <v>3686</v>
      </c>
      <c r="G3999" s="29"/>
      <c r="H3999" s="29" t="s">
        <v>3687</v>
      </c>
      <c r="I3999" s="29"/>
      <c r="J3999" s="29"/>
      <c r="K3999" s="29"/>
      <c r="L3999" s="29"/>
      <c r="M3999" s="29"/>
      <c r="N3999" s="29" t="s">
        <v>3601</v>
      </c>
      <c r="O3999" s="29"/>
      <c r="P3999" s="29" t="s">
        <v>11304</v>
      </c>
      <c r="Q3999" t="s">
        <v>2038</v>
      </c>
      <c r="R3999" t="s">
        <v>2633</v>
      </c>
      <c r="S3999">
        <v>37</v>
      </c>
      <c r="T3999" s="43" t="str">
        <f t="shared" si="187"/>
        <v>2021.010B.R.Binomial_names.zip</v>
      </c>
      <c r="U3999" s="43" t="str">
        <f>HYPERLINK("https://ictv.global/taxonomy/taxondetails?taxnode_id=202211890","ictv.global=202211890")</f>
        <v>ictv.global=202211890</v>
      </c>
    </row>
    <row r="4000" spans="1:21">
      <c r="A4000">
        <v>3999</v>
      </c>
      <c r="B4000" s="29" t="s">
        <v>3682</v>
      </c>
      <c r="C4000" s="29"/>
      <c r="D4000" s="29" t="s">
        <v>3683</v>
      </c>
      <c r="E4000" s="29"/>
      <c r="F4000" s="29" t="s">
        <v>3686</v>
      </c>
      <c r="G4000" s="29"/>
      <c r="H4000" s="29" t="s">
        <v>3687</v>
      </c>
      <c r="I4000" s="29"/>
      <c r="J4000" s="29"/>
      <c r="K4000" s="29"/>
      <c r="L4000" s="29"/>
      <c r="M4000" s="29"/>
      <c r="N4000" s="29" t="s">
        <v>3601</v>
      </c>
      <c r="O4000" s="29"/>
      <c r="P4000" s="29" t="s">
        <v>11305</v>
      </c>
      <c r="Q4000" t="s">
        <v>2038</v>
      </c>
      <c r="R4000" t="s">
        <v>2633</v>
      </c>
      <c r="S4000">
        <v>37</v>
      </c>
      <c r="T4000" s="43" t="str">
        <f t="shared" ref="T4000:T4031" si="188">HYPERLINK("https://ictv.global/ictv/proposals/2021.010B.R.Binomial_names.zip","2021.010B.R.Binomial_names.zip")</f>
        <v>2021.010B.R.Binomial_names.zip</v>
      </c>
      <c r="U4000" s="43" t="str">
        <f>HYPERLINK("https://ictv.global/taxonomy/taxondetails?taxnode_id=202211881","ictv.global=202211881")</f>
        <v>ictv.global=202211881</v>
      </c>
    </row>
    <row r="4001" spans="1:21">
      <c r="A4001">
        <v>4000</v>
      </c>
      <c r="B4001" s="29" t="s">
        <v>3682</v>
      </c>
      <c r="C4001" s="29"/>
      <c r="D4001" s="29" t="s">
        <v>3683</v>
      </c>
      <c r="E4001" s="29"/>
      <c r="F4001" s="29" t="s">
        <v>3686</v>
      </c>
      <c r="G4001" s="29"/>
      <c r="H4001" s="29" t="s">
        <v>3687</v>
      </c>
      <c r="I4001" s="29"/>
      <c r="J4001" s="29"/>
      <c r="K4001" s="29"/>
      <c r="L4001" s="29"/>
      <c r="M4001" s="29"/>
      <c r="N4001" s="29" t="s">
        <v>3601</v>
      </c>
      <c r="O4001" s="29"/>
      <c r="P4001" s="29" t="s">
        <v>11306</v>
      </c>
      <c r="Q4001" t="s">
        <v>2038</v>
      </c>
      <c r="R4001" t="s">
        <v>2633</v>
      </c>
      <c r="S4001">
        <v>37</v>
      </c>
      <c r="T4001" s="43" t="str">
        <f t="shared" si="188"/>
        <v>2021.010B.R.Binomial_names.zip</v>
      </c>
      <c r="U4001" s="43" t="str">
        <f>HYPERLINK("https://ictv.global/taxonomy/taxondetails?taxnode_id=202211867","ictv.global=202211867")</f>
        <v>ictv.global=202211867</v>
      </c>
    </row>
    <row r="4002" spans="1:21">
      <c r="A4002">
        <v>4001</v>
      </c>
      <c r="B4002" s="29" t="s">
        <v>3682</v>
      </c>
      <c r="C4002" s="29"/>
      <c r="D4002" s="29" t="s">
        <v>3683</v>
      </c>
      <c r="E4002" s="29"/>
      <c r="F4002" s="29" t="s">
        <v>3686</v>
      </c>
      <c r="G4002" s="29"/>
      <c r="H4002" s="29" t="s">
        <v>3687</v>
      </c>
      <c r="I4002" s="29"/>
      <c r="J4002" s="29"/>
      <c r="K4002" s="29"/>
      <c r="L4002" s="29"/>
      <c r="M4002" s="29"/>
      <c r="N4002" s="29" t="s">
        <v>3601</v>
      </c>
      <c r="O4002" s="29"/>
      <c r="P4002" s="29" t="s">
        <v>11307</v>
      </c>
      <c r="Q4002" t="s">
        <v>2038</v>
      </c>
      <c r="R4002" t="s">
        <v>2633</v>
      </c>
      <c r="S4002">
        <v>37</v>
      </c>
      <c r="T4002" s="43" t="str">
        <f t="shared" si="188"/>
        <v>2021.010B.R.Binomial_names.zip</v>
      </c>
      <c r="U4002" s="43" t="str">
        <f>HYPERLINK("https://ictv.global/taxonomy/taxondetails?taxnode_id=202211882","ictv.global=202211882")</f>
        <v>ictv.global=202211882</v>
      </c>
    </row>
    <row r="4003" spans="1:21">
      <c r="A4003">
        <v>4002</v>
      </c>
      <c r="B4003" s="29" t="s">
        <v>3682</v>
      </c>
      <c r="C4003" s="29"/>
      <c r="D4003" s="29" t="s">
        <v>3683</v>
      </c>
      <c r="E4003" s="29"/>
      <c r="F4003" s="29" t="s">
        <v>3686</v>
      </c>
      <c r="G4003" s="29"/>
      <c r="H4003" s="29" t="s">
        <v>3687</v>
      </c>
      <c r="I4003" s="29"/>
      <c r="J4003" s="29"/>
      <c r="K4003" s="29"/>
      <c r="L4003" s="29"/>
      <c r="M4003" s="29"/>
      <c r="N4003" s="29" t="s">
        <v>3601</v>
      </c>
      <c r="O4003" s="29"/>
      <c r="P4003" s="29" t="s">
        <v>11308</v>
      </c>
      <c r="Q4003" t="s">
        <v>2038</v>
      </c>
      <c r="R4003" t="s">
        <v>2633</v>
      </c>
      <c r="S4003">
        <v>37</v>
      </c>
      <c r="T4003" s="43" t="str">
        <f t="shared" si="188"/>
        <v>2021.010B.R.Binomial_names.zip</v>
      </c>
      <c r="U4003" s="43" t="str">
        <f>HYPERLINK("https://ictv.global/taxonomy/taxondetails?taxnode_id=202201286","ictv.global=202201286")</f>
        <v>ictv.global=202201286</v>
      </c>
    </row>
    <row r="4004" spans="1:21">
      <c r="A4004">
        <v>4003</v>
      </c>
      <c r="B4004" s="29" t="s">
        <v>3682</v>
      </c>
      <c r="C4004" s="29"/>
      <c r="D4004" s="29" t="s">
        <v>3683</v>
      </c>
      <c r="E4004" s="29"/>
      <c r="F4004" s="29" t="s">
        <v>3686</v>
      </c>
      <c r="G4004" s="29"/>
      <c r="H4004" s="29" t="s">
        <v>3687</v>
      </c>
      <c r="I4004" s="29"/>
      <c r="J4004" s="29"/>
      <c r="K4004" s="29"/>
      <c r="L4004" s="29"/>
      <c r="M4004" s="29"/>
      <c r="N4004" s="29" t="s">
        <v>3601</v>
      </c>
      <c r="O4004" s="29"/>
      <c r="P4004" s="29" t="s">
        <v>11309</v>
      </c>
      <c r="Q4004" t="s">
        <v>2038</v>
      </c>
      <c r="R4004" t="s">
        <v>2633</v>
      </c>
      <c r="S4004">
        <v>37</v>
      </c>
      <c r="T4004" s="43" t="str">
        <f t="shared" si="188"/>
        <v>2021.010B.R.Binomial_names.zip</v>
      </c>
      <c r="U4004" s="43" t="str">
        <f>HYPERLINK("https://ictv.global/taxonomy/taxondetails?taxnode_id=202211868","ictv.global=202211868")</f>
        <v>ictv.global=202211868</v>
      </c>
    </row>
    <row r="4005" spans="1:21">
      <c r="A4005">
        <v>4004</v>
      </c>
      <c r="B4005" s="29" t="s">
        <v>3682</v>
      </c>
      <c r="C4005" s="29"/>
      <c r="D4005" s="29" t="s">
        <v>3683</v>
      </c>
      <c r="E4005" s="29"/>
      <c r="F4005" s="29" t="s">
        <v>3686</v>
      </c>
      <c r="G4005" s="29"/>
      <c r="H4005" s="29" t="s">
        <v>3687</v>
      </c>
      <c r="I4005" s="29"/>
      <c r="J4005" s="29"/>
      <c r="K4005" s="29"/>
      <c r="L4005" s="29"/>
      <c r="M4005" s="29"/>
      <c r="N4005" s="29" t="s">
        <v>3601</v>
      </c>
      <c r="O4005" s="29"/>
      <c r="P4005" s="29" t="s">
        <v>11310</v>
      </c>
      <c r="Q4005" t="s">
        <v>2038</v>
      </c>
      <c r="R4005" t="s">
        <v>2633</v>
      </c>
      <c r="S4005">
        <v>37</v>
      </c>
      <c r="T4005" s="43" t="str">
        <f t="shared" si="188"/>
        <v>2021.010B.R.Binomial_names.zip</v>
      </c>
      <c r="U4005" s="43" t="str">
        <f>HYPERLINK("https://ictv.global/taxonomy/taxondetails?taxnode_id=202211899","ictv.global=202211899")</f>
        <v>ictv.global=202211899</v>
      </c>
    </row>
    <row r="4006" spans="1:21">
      <c r="A4006">
        <v>4005</v>
      </c>
      <c r="B4006" s="29" t="s">
        <v>3682</v>
      </c>
      <c r="C4006" s="29"/>
      <c r="D4006" s="29" t="s">
        <v>3683</v>
      </c>
      <c r="E4006" s="29"/>
      <c r="F4006" s="29" t="s">
        <v>3686</v>
      </c>
      <c r="G4006" s="29"/>
      <c r="H4006" s="29" t="s">
        <v>3687</v>
      </c>
      <c r="I4006" s="29"/>
      <c r="J4006" s="29"/>
      <c r="K4006" s="29"/>
      <c r="L4006" s="29"/>
      <c r="M4006" s="29"/>
      <c r="N4006" s="29" t="s">
        <v>3601</v>
      </c>
      <c r="O4006" s="29"/>
      <c r="P4006" s="29" t="s">
        <v>11311</v>
      </c>
      <c r="Q4006" t="s">
        <v>2038</v>
      </c>
      <c r="R4006" t="s">
        <v>2633</v>
      </c>
      <c r="S4006">
        <v>37</v>
      </c>
      <c r="T4006" s="43" t="str">
        <f t="shared" si="188"/>
        <v>2021.010B.R.Binomial_names.zip</v>
      </c>
      <c r="U4006" s="43" t="str">
        <f>HYPERLINK("https://ictv.global/taxonomy/taxondetails?taxnode_id=202211900","ictv.global=202211900")</f>
        <v>ictv.global=202211900</v>
      </c>
    </row>
    <row r="4007" spans="1:21">
      <c r="A4007">
        <v>4006</v>
      </c>
      <c r="B4007" s="29" t="s">
        <v>3682</v>
      </c>
      <c r="C4007" s="29"/>
      <c r="D4007" s="29" t="s">
        <v>3683</v>
      </c>
      <c r="E4007" s="29"/>
      <c r="F4007" s="29" t="s">
        <v>3686</v>
      </c>
      <c r="G4007" s="29"/>
      <c r="H4007" s="29" t="s">
        <v>3687</v>
      </c>
      <c r="I4007" s="29"/>
      <c r="J4007" s="29"/>
      <c r="K4007" s="29"/>
      <c r="L4007" s="29"/>
      <c r="M4007" s="29"/>
      <c r="N4007" s="29" t="s">
        <v>3601</v>
      </c>
      <c r="O4007" s="29"/>
      <c r="P4007" s="29" t="s">
        <v>11312</v>
      </c>
      <c r="Q4007" t="s">
        <v>2038</v>
      </c>
      <c r="R4007" t="s">
        <v>2633</v>
      </c>
      <c r="S4007">
        <v>37</v>
      </c>
      <c r="T4007" s="43" t="str">
        <f t="shared" si="188"/>
        <v>2021.010B.R.Binomial_names.zip</v>
      </c>
      <c r="U4007" s="43" t="str">
        <f>HYPERLINK("https://ictv.global/taxonomy/taxondetails?taxnode_id=202211895","ictv.global=202211895")</f>
        <v>ictv.global=202211895</v>
      </c>
    </row>
    <row r="4008" spans="1:21">
      <c r="A4008">
        <v>4007</v>
      </c>
      <c r="B4008" s="29" t="s">
        <v>3682</v>
      </c>
      <c r="C4008" s="29"/>
      <c r="D4008" s="29" t="s">
        <v>3683</v>
      </c>
      <c r="E4008" s="29"/>
      <c r="F4008" s="29" t="s">
        <v>3686</v>
      </c>
      <c r="G4008" s="29"/>
      <c r="H4008" s="29" t="s">
        <v>3687</v>
      </c>
      <c r="I4008" s="29"/>
      <c r="J4008" s="29"/>
      <c r="K4008" s="29"/>
      <c r="L4008" s="29"/>
      <c r="M4008" s="29"/>
      <c r="N4008" s="29" t="s">
        <v>3601</v>
      </c>
      <c r="O4008" s="29"/>
      <c r="P4008" s="29" t="s">
        <v>11313</v>
      </c>
      <c r="Q4008" t="s">
        <v>2038</v>
      </c>
      <c r="R4008" t="s">
        <v>2633</v>
      </c>
      <c r="S4008">
        <v>37</v>
      </c>
      <c r="T4008" s="43" t="str">
        <f t="shared" si="188"/>
        <v>2021.010B.R.Binomial_names.zip</v>
      </c>
      <c r="U4008" s="43" t="str">
        <f>HYPERLINK("https://ictv.global/taxonomy/taxondetails?taxnode_id=202211945","ictv.global=202211945")</f>
        <v>ictv.global=202211945</v>
      </c>
    </row>
    <row r="4009" spans="1:21">
      <c r="A4009">
        <v>4008</v>
      </c>
      <c r="B4009" s="29" t="s">
        <v>3682</v>
      </c>
      <c r="C4009" s="29"/>
      <c r="D4009" s="29" t="s">
        <v>3683</v>
      </c>
      <c r="E4009" s="29"/>
      <c r="F4009" s="29" t="s">
        <v>3686</v>
      </c>
      <c r="G4009" s="29"/>
      <c r="H4009" s="29" t="s">
        <v>3687</v>
      </c>
      <c r="I4009" s="29"/>
      <c r="J4009" s="29"/>
      <c r="K4009" s="29"/>
      <c r="L4009" s="29"/>
      <c r="M4009" s="29"/>
      <c r="N4009" s="29" t="s">
        <v>3601</v>
      </c>
      <c r="O4009" s="29"/>
      <c r="P4009" s="29" t="s">
        <v>11314</v>
      </c>
      <c r="Q4009" t="s">
        <v>2038</v>
      </c>
      <c r="R4009" t="s">
        <v>2633</v>
      </c>
      <c r="S4009">
        <v>37</v>
      </c>
      <c r="T4009" s="43" t="str">
        <f t="shared" si="188"/>
        <v>2021.010B.R.Binomial_names.zip</v>
      </c>
      <c r="U4009" s="43" t="str">
        <f>HYPERLINK("https://ictv.global/taxonomy/taxondetails?taxnode_id=202211944","ictv.global=202211944")</f>
        <v>ictv.global=202211944</v>
      </c>
    </row>
    <row r="4010" spans="1:21">
      <c r="A4010">
        <v>4009</v>
      </c>
      <c r="B4010" s="29" t="s">
        <v>3682</v>
      </c>
      <c r="C4010" s="29"/>
      <c r="D4010" s="29" t="s">
        <v>3683</v>
      </c>
      <c r="E4010" s="29"/>
      <c r="F4010" s="29" t="s">
        <v>3686</v>
      </c>
      <c r="G4010" s="29"/>
      <c r="H4010" s="29" t="s">
        <v>3687</v>
      </c>
      <c r="I4010" s="29"/>
      <c r="J4010" s="29"/>
      <c r="K4010" s="29"/>
      <c r="L4010" s="29"/>
      <c r="M4010" s="29"/>
      <c r="N4010" s="29" t="s">
        <v>3601</v>
      </c>
      <c r="O4010" s="29"/>
      <c r="P4010" s="29" t="s">
        <v>11315</v>
      </c>
      <c r="Q4010" t="s">
        <v>2038</v>
      </c>
      <c r="R4010" t="s">
        <v>2633</v>
      </c>
      <c r="S4010">
        <v>37</v>
      </c>
      <c r="T4010" s="43" t="str">
        <f t="shared" si="188"/>
        <v>2021.010B.R.Binomial_names.zip</v>
      </c>
      <c r="U4010" s="43" t="str">
        <f>HYPERLINK("https://ictv.global/taxonomy/taxondetails?taxnode_id=202211901","ictv.global=202211901")</f>
        <v>ictv.global=202211901</v>
      </c>
    </row>
    <row r="4011" spans="1:21">
      <c r="A4011">
        <v>4010</v>
      </c>
      <c r="B4011" s="29" t="s">
        <v>3682</v>
      </c>
      <c r="C4011" s="29"/>
      <c r="D4011" s="29" t="s">
        <v>3683</v>
      </c>
      <c r="E4011" s="29"/>
      <c r="F4011" s="29" t="s">
        <v>3686</v>
      </c>
      <c r="G4011" s="29"/>
      <c r="H4011" s="29" t="s">
        <v>3687</v>
      </c>
      <c r="I4011" s="29"/>
      <c r="J4011" s="29"/>
      <c r="K4011" s="29"/>
      <c r="L4011" s="29"/>
      <c r="M4011" s="29"/>
      <c r="N4011" s="29" t="s">
        <v>3601</v>
      </c>
      <c r="O4011" s="29"/>
      <c r="P4011" s="29" t="s">
        <v>11316</v>
      </c>
      <c r="Q4011" t="s">
        <v>2038</v>
      </c>
      <c r="R4011" t="s">
        <v>2633</v>
      </c>
      <c r="S4011">
        <v>37</v>
      </c>
      <c r="T4011" s="43" t="str">
        <f t="shared" si="188"/>
        <v>2021.010B.R.Binomial_names.zip</v>
      </c>
      <c r="U4011" s="43" t="str">
        <f>HYPERLINK("https://ictv.global/taxonomy/taxondetails?taxnode_id=202211902","ictv.global=202211902")</f>
        <v>ictv.global=202211902</v>
      </c>
    </row>
    <row r="4012" spans="1:21">
      <c r="A4012">
        <v>4011</v>
      </c>
      <c r="B4012" s="29" t="s">
        <v>3682</v>
      </c>
      <c r="C4012" s="29"/>
      <c r="D4012" s="29" t="s">
        <v>3683</v>
      </c>
      <c r="E4012" s="29"/>
      <c r="F4012" s="29" t="s">
        <v>3686</v>
      </c>
      <c r="G4012" s="29"/>
      <c r="H4012" s="29" t="s">
        <v>3687</v>
      </c>
      <c r="I4012" s="29"/>
      <c r="J4012" s="29"/>
      <c r="K4012" s="29"/>
      <c r="L4012" s="29"/>
      <c r="M4012" s="29"/>
      <c r="N4012" s="29" t="s">
        <v>3601</v>
      </c>
      <c r="O4012" s="29"/>
      <c r="P4012" s="29" t="s">
        <v>11317</v>
      </c>
      <c r="Q4012" t="s">
        <v>2038</v>
      </c>
      <c r="R4012" t="s">
        <v>2633</v>
      </c>
      <c r="S4012">
        <v>37</v>
      </c>
      <c r="T4012" s="43" t="str">
        <f t="shared" si="188"/>
        <v>2021.010B.R.Binomial_names.zip</v>
      </c>
      <c r="U4012" s="43" t="str">
        <f>HYPERLINK("https://ictv.global/taxonomy/taxondetails?taxnode_id=202211903","ictv.global=202211903")</f>
        <v>ictv.global=202211903</v>
      </c>
    </row>
    <row r="4013" spans="1:21">
      <c r="A4013">
        <v>4012</v>
      </c>
      <c r="B4013" s="29" t="s">
        <v>3682</v>
      </c>
      <c r="C4013" s="29"/>
      <c r="D4013" s="29" t="s">
        <v>3683</v>
      </c>
      <c r="E4013" s="29"/>
      <c r="F4013" s="29" t="s">
        <v>3686</v>
      </c>
      <c r="G4013" s="29"/>
      <c r="H4013" s="29" t="s">
        <v>3687</v>
      </c>
      <c r="I4013" s="29"/>
      <c r="J4013" s="29"/>
      <c r="K4013" s="29"/>
      <c r="L4013" s="29"/>
      <c r="M4013" s="29"/>
      <c r="N4013" s="29" t="s">
        <v>3601</v>
      </c>
      <c r="O4013" s="29"/>
      <c r="P4013" s="29" t="s">
        <v>11318</v>
      </c>
      <c r="Q4013" t="s">
        <v>2038</v>
      </c>
      <c r="R4013" t="s">
        <v>2633</v>
      </c>
      <c r="S4013">
        <v>37</v>
      </c>
      <c r="T4013" s="43" t="str">
        <f t="shared" si="188"/>
        <v>2021.010B.R.Binomial_names.zip</v>
      </c>
      <c r="U4013" s="43" t="str">
        <f>HYPERLINK("https://ictv.global/taxonomy/taxondetails?taxnode_id=202211904","ictv.global=202211904")</f>
        <v>ictv.global=202211904</v>
      </c>
    </row>
    <row r="4014" spans="1:21">
      <c r="A4014">
        <v>4013</v>
      </c>
      <c r="B4014" s="29" t="s">
        <v>3682</v>
      </c>
      <c r="C4014" s="29"/>
      <c r="D4014" s="29" t="s">
        <v>3683</v>
      </c>
      <c r="E4014" s="29"/>
      <c r="F4014" s="29" t="s">
        <v>3686</v>
      </c>
      <c r="G4014" s="29"/>
      <c r="H4014" s="29" t="s">
        <v>3687</v>
      </c>
      <c r="I4014" s="29"/>
      <c r="J4014" s="29"/>
      <c r="K4014" s="29"/>
      <c r="L4014" s="29"/>
      <c r="M4014" s="29"/>
      <c r="N4014" s="29" t="s">
        <v>3601</v>
      </c>
      <c r="O4014" s="29"/>
      <c r="P4014" s="29" t="s">
        <v>11319</v>
      </c>
      <c r="Q4014" t="s">
        <v>2038</v>
      </c>
      <c r="R4014" t="s">
        <v>2633</v>
      </c>
      <c r="S4014">
        <v>37</v>
      </c>
      <c r="T4014" s="43" t="str">
        <f t="shared" si="188"/>
        <v>2021.010B.R.Binomial_names.zip</v>
      </c>
      <c r="U4014" s="43" t="str">
        <f>HYPERLINK("https://ictv.global/taxonomy/taxondetails?taxnode_id=202211897","ictv.global=202211897")</f>
        <v>ictv.global=202211897</v>
      </c>
    </row>
    <row r="4015" spans="1:21">
      <c r="A4015">
        <v>4014</v>
      </c>
      <c r="B4015" s="29" t="s">
        <v>3682</v>
      </c>
      <c r="C4015" s="29"/>
      <c r="D4015" s="29" t="s">
        <v>3683</v>
      </c>
      <c r="E4015" s="29"/>
      <c r="F4015" s="29" t="s">
        <v>3686</v>
      </c>
      <c r="G4015" s="29"/>
      <c r="H4015" s="29" t="s">
        <v>3687</v>
      </c>
      <c r="I4015" s="29"/>
      <c r="J4015" s="29"/>
      <c r="K4015" s="29"/>
      <c r="L4015" s="29"/>
      <c r="M4015" s="29"/>
      <c r="N4015" s="29" t="s">
        <v>3601</v>
      </c>
      <c r="O4015" s="29"/>
      <c r="P4015" s="29" t="s">
        <v>11320</v>
      </c>
      <c r="Q4015" t="s">
        <v>2038</v>
      </c>
      <c r="R4015" t="s">
        <v>2633</v>
      </c>
      <c r="S4015">
        <v>37</v>
      </c>
      <c r="T4015" s="43" t="str">
        <f t="shared" si="188"/>
        <v>2021.010B.R.Binomial_names.zip</v>
      </c>
      <c r="U4015" s="43" t="str">
        <f>HYPERLINK("https://ictv.global/taxonomy/taxondetails?taxnode_id=202211905","ictv.global=202211905")</f>
        <v>ictv.global=202211905</v>
      </c>
    </row>
    <row r="4016" spans="1:21">
      <c r="A4016">
        <v>4015</v>
      </c>
      <c r="B4016" s="29" t="s">
        <v>3682</v>
      </c>
      <c r="C4016" s="29"/>
      <c r="D4016" s="29" t="s">
        <v>3683</v>
      </c>
      <c r="E4016" s="29"/>
      <c r="F4016" s="29" t="s">
        <v>3686</v>
      </c>
      <c r="G4016" s="29"/>
      <c r="H4016" s="29" t="s">
        <v>3687</v>
      </c>
      <c r="I4016" s="29"/>
      <c r="J4016" s="29"/>
      <c r="K4016" s="29"/>
      <c r="L4016" s="29"/>
      <c r="M4016" s="29"/>
      <c r="N4016" s="29" t="s">
        <v>3601</v>
      </c>
      <c r="O4016" s="29"/>
      <c r="P4016" s="29" t="s">
        <v>11321</v>
      </c>
      <c r="Q4016" t="s">
        <v>2038</v>
      </c>
      <c r="R4016" t="s">
        <v>2633</v>
      </c>
      <c r="S4016">
        <v>37</v>
      </c>
      <c r="T4016" s="43" t="str">
        <f t="shared" si="188"/>
        <v>2021.010B.R.Binomial_names.zip</v>
      </c>
      <c r="U4016" s="43" t="str">
        <f>HYPERLINK("https://ictv.global/taxonomy/taxondetails?taxnode_id=202211906","ictv.global=202211906")</f>
        <v>ictv.global=202211906</v>
      </c>
    </row>
    <row r="4017" spans="1:21">
      <c r="A4017">
        <v>4016</v>
      </c>
      <c r="B4017" s="29" t="s">
        <v>3682</v>
      </c>
      <c r="C4017" s="29"/>
      <c r="D4017" s="29" t="s">
        <v>3683</v>
      </c>
      <c r="E4017" s="29"/>
      <c r="F4017" s="29" t="s">
        <v>3686</v>
      </c>
      <c r="G4017" s="29"/>
      <c r="H4017" s="29" t="s">
        <v>3687</v>
      </c>
      <c r="I4017" s="29"/>
      <c r="J4017" s="29"/>
      <c r="K4017" s="29"/>
      <c r="L4017" s="29"/>
      <c r="M4017" s="29"/>
      <c r="N4017" s="29" t="s">
        <v>3601</v>
      </c>
      <c r="O4017" s="29"/>
      <c r="P4017" s="29" t="s">
        <v>11322</v>
      </c>
      <c r="Q4017" t="s">
        <v>2038</v>
      </c>
      <c r="R4017" t="s">
        <v>2633</v>
      </c>
      <c r="S4017">
        <v>37</v>
      </c>
      <c r="T4017" s="43" t="str">
        <f t="shared" si="188"/>
        <v>2021.010B.R.Binomial_names.zip</v>
      </c>
      <c r="U4017" s="43" t="str">
        <f>HYPERLINK("https://ictv.global/taxonomy/taxondetails?taxnode_id=202211907","ictv.global=202211907")</f>
        <v>ictv.global=202211907</v>
      </c>
    </row>
    <row r="4018" spans="1:21">
      <c r="A4018">
        <v>4017</v>
      </c>
      <c r="B4018" s="29" t="s">
        <v>3682</v>
      </c>
      <c r="C4018" s="29"/>
      <c r="D4018" s="29" t="s">
        <v>3683</v>
      </c>
      <c r="E4018" s="29"/>
      <c r="F4018" s="29" t="s">
        <v>3686</v>
      </c>
      <c r="G4018" s="29"/>
      <c r="H4018" s="29" t="s">
        <v>3687</v>
      </c>
      <c r="I4018" s="29"/>
      <c r="J4018" s="29"/>
      <c r="K4018" s="29"/>
      <c r="L4018" s="29"/>
      <c r="M4018" s="29"/>
      <c r="N4018" s="29" t="s">
        <v>3601</v>
      </c>
      <c r="O4018" s="29"/>
      <c r="P4018" s="29" t="s">
        <v>11323</v>
      </c>
      <c r="Q4018" t="s">
        <v>2038</v>
      </c>
      <c r="R4018" t="s">
        <v>2633</v>
      </c>
      <c r="S4018">
        <v>37</v>
      </c>
      <c r="T4018" s="43" t="str">
        <f t="shared" si="188"/>
        <v>2021.010B.R.Binomial_names.zip</v>
      </c>
      <c r="U4018" s="43" t="str">
        <f>HYPERLINK("https://ictv.global/taxonomy/taxondetails?taxnode_id=202211908","ictv.global=202211908")</f>
        <v>ictv.global=202211908</v>
      </c>
    </row>
    <row r="4019" spans="1:21">
      <c r="A4019">
        <v>4018</v>
      </c>
      <c r="B4019" s="29" t="s">
        <v>3682</v>
      </c>
      <c r="C4019" s="29"/>
      <c r="D4019" s="29" t="s">
        <v>3683</v>
      </c>
      <c r="E4019" s="29"/>
      <c r="F4019" s="29" t="s">
        <v>3686</v>
      </c>
      <c r="G4019" s="29"/>
      <c r="H4019" s="29" t="s">
        <v>3687</v>
      </c>
      <c r="I4019" s="29"/>
      <c r="J4019" s="29"/>
      <c r="K4019" s="29"/>
      <c r="L4019" s="29"/>
      <c r="M4019" s="29"/>
      <c r="N4019" s="29" t="s">
        <v>3601</v>
      </c>
      <c r="O4019" s="29"/>
      <c r="P4019" s="29" t="s">
        <v>11324</v>
      </c>
      <c r="Q4019" t="s">
        <v>2038</v>
      </c>
      <c r="R4019" t="s">
        <v>2633</v>
      </c>
      <c r="S4019">
        <v>37</v>
      </c>
      <c r="T4019" s="43" t="str">
        <f t="shared" si="188"/>
        <v>2021.010B.R.Binomial_names.zip</v>
      </c>
      <c r="U4019" s="43" t="str">
        <f>HYPERLINK("https://ictv.global/taxonomy/taxondetails?taxnode_id=202211909","ictv.global=202211909")</f>
        <v>ictv.global=202211909</v>
      </c>
    </row>
    <row r="4020" spans="1:21">
      <c r="A4020">
        <v>4019</v>
      </c>
      <c r="B4020" s="29" t="s">
        <v>3682</v>
      </c>
      <c r="C4020" s="29"/>
      <c r="D4020" s="29" t="s">
        <v>3683</v>
      </c>
      <c r="E4020" s="29"/>
      <c r="F4020" s="29" t="s">
        <v>3686</v>
      </c>
      <c r="G4020" s="29"/>
      <c r="H4020" s="29" t="s">
        <v>3687</v>
      </c>
      <c r="I4020" s="29"/>
      <c r="J4020" s="29"/>
      <c r="K4020" s="29"/>
      <c r="L4020" s="29"/>
      <c r="M4020" s="29"/>
      <c r="N4020" s="29" t="s">
        <v>3601</v>
      </c>
      <c r="O4020" s="29"/>
      <c r="P4020" s="29" t="s">
        <v>11325</v>
      </c>
      <c r="Q4020" t="s">
        <v>2038</v>
      </c>
      <c r="R4020" t="s">
        <v>2633</v>
      </c>
      <c r="S4020">
        <v>37</v>
      </c>
      <c r="T4020" s="43" t="str">
        <f t="shared" si="188"/>
        <v>2021.010B.R.Binomial_names.zip</v>
      </c>
      <c r="U4020" s="43" t="str">
        <f>HYPERLINK("https://ictv.global/taxonomy/taxondetails?taxnode_id=202211910","ictv.global=202211910")</f>
        <v>ictv.global=202211910</v>
      </c>
    </row>
    <row r="4021" spans="1:21">
      <c r="A4021">
        <v>4020</v>
      </c>
      <c r="B4021" s="29" t="s">
        <v>3682</v>
      </c>
      <c r="C4021" s="29"/>
      <c r="D4021" s="29" t="s">
        <v>3683</v>
      </c>
      <c r="E4021" s="29"/>
      <c r="F4021" s="29" t="s">
        <v>3686</v>
      </c>
      <c r="G4021" s="29"/>
      <c r="H4021" s="29" t="s">
        <v>3687</v>
      </c>
      <c r="I4021" s="29"/>
      <c r="J4021" s="29"/>
      <c r="K4021" s="29"/>
      <c r="L4021" s="29"/>
      <c r="M4021" s="29"/>
      <c r="N4021" s="29" t="s">
        <v>3601</v>
      </c>
      <c r="O4021" s="29"/>
      <c r="P4021" s="29" t="s">
        <v>11326</v>
      </c>
      <c r="Q4021" t="s">
        <v>2038</v>
      </c>
      <c r="R4021" t="s">
        <v>2633</v>
      </c>
      <c r="S4021">
        <v>37</v>
      </c>
      <c r="T4021" s="43" t="str">
        <f t="shared" si="188"/>
        <v>2021.010B.R.Binomial_names.zip</v>
      </c>
      <c r="U4021" s="43" t="str">
        <f>HYPERLINK("https://ictv.global/taxonomy/taxondetails?taxnode_id=202211911","ictv.global=202211911")</f>
        <v>ictv.global=202211911</v>
      </c>
    </row>
    <row r="4022" spans="1:21">
      <c r="A4022">
        <v>4021</v>
      </c>
      <c r="B4022" s="29" t="s">
        <v>3682</v>
      </c>
      <c r="C4022" s="29"/>
      <c r="D4022" s="29" t="s">
        <v>3683</v>
      </c>
      <c r="E4022" s="29"/>
      <c r="F4022" s="29" t="s">
        <v>3686</v>
      </c>
      <c r="G4022" s="29"/>
      <c r="H4022" s="29" t="s">
        <v>3687</v>
      </c>
      <c r="I4022" s="29"/>
      <c r="J4022" s="29"/>
      <c r="K4022" s="29"/>
      <c r="L4022" s="29"/>
      <c r="M4022" s="29"/>
      <c r="N4022" s="29" t="s">
        <v>3601</v>
      </c>
      <c r="O4022" s="29"/>
      <c r="P4022" s="29" t="s">
        <v>11327</v>
      </c>
      <c r="Q4022" t="s">
        <v>2038</v>
      </c>
      <c r="R4022" t="s">
        <v>2633</v>
      </c>
      <c r="S4022">
        <v>37</v>
      </c>
      <c r="T4022" s="43" t="str">
        <f t="shared" si="188"/>
        <v>2021.010B.R.Binomial_names.zip</v>
      </c>
      <c r="U4022" s="43" t="str">
        <f>HYPERLINK("https://ictv.global/taxonomy/taxondetails?taxnode_id=202211912","ictv.global=202211912")</f>
        <v>ictv.global=202211912</v>
      </c>
    </row>
    <row r="4023" spans="1:21">
      <c r="A4023">
        <v>4022</v>
      </c>
      <c r="B4023" s="29" t="s">
        <v>3682</v>
      </c>
      <c r="C4023" s="29"/>
      <c r="D4023" s="29" t="s">
        <v>3683</v>
      </c>
      <c r="E4023" s="29"/>
      <c r="F4023" s="29" t="s">
        <v>3686</v>
      </c>
      <c r="G4023" s="29"/>
      <c r="H4023" s="29" t="s">
        <v>3687</v>
      </c>
      <c r="I4023" s="29"/>
      <c r="J4023" s="29"/>
      <c r="K4023" s="29"/>
      <c r="L4023" s="29"/>
      <c r="M4023" s="29"/>
      <c r="N4023" s="29" t="s">
        <v>3601</v>
      </c>
      <c r="O4023" s="29"/>
      <c r="P4023" s="29" t="s">
        <v>11328</v>
      </c>
      <c r="Q4023" t="s">
        <v>2038</v>
      </c>
      <c r="R4023" t="s">
        <v>2633</v>
      </c>
      <c r="S4023">
        <v>37</v>
      </c>
      <c r="T4023" s="43" t="str">
        <f t="shared" si="188"/>
        <v>2021.010B.R.Binomial_names.zip</v>
      </c>
      <c r="U4023" s="43" t="str">
        <f>HYPERLINK("https://ictv.global/taxonomy/taxondetails?taxnode_id=202211913","ictv.global=202211913")</f>
        <v>ictv.global=202211913</v>
      </c>
    </row>
    <row r="4024" spans="1:21">
      <c r="A4024">
        <v>4023</v>
      </c>
      <c r="B4024" s="29" t="s">
        <v>3682</v>
      </c>
      <c r="C4024" s="29"/>
      <c r="D4024" s="29" t="s">
        <v>3683</v>
      </c>
      <c r="E4024" s="29"/>
      <c r="F4024" s="29" t="s">
        <v>3686</v>
      </c>
      <c r="G4024" s="29"/>
      <c r="H4024" s="29" t="s">
        <v>3687</v>
      </c>
      <c r="I4024" s="29"/>
      <c r="J4024" s="29"/>
      <c r="K4024" s="29"/>
      <c r="L4024" s="29"/>
      <c r="M4024" s="29"/>
      <c r="N4024" s="29" t="s">
        <v>3601</v>
      </c>
      <c r="O4024" s="29"/>
      <c r="P4024" s="29" t="s">
        <v>11329</v>
      </c>
      <c r="Q4024" t="s">
        <v>2038</v>
      </c>
      <c r="R4024" t="s">
        <v>2633</v>
      </c>
      <c r="S4024">
        <v>37</v>
      </c>
      <c r="T4024" s="43" t="str">
        <f t="shared" si="188"/>
        <v>2021.010B.R.Binomial_names.zip</v>
      </c>
      <c r="U4024" s="43" t="str">
        <f>HYPERLINK("https://ictv.global/taxonomy/taxondetails?taxnode_id=202211914","ictv.global=202211914")</f>
        <v>ictv.global=202211914</v>
      </c>
    </row>
    <row r="4025" spans="1:21">
      <c r="A4025">
        <v>4024</v>
      </c>
      <c r="B4025" s="29" t="s">
        <v>3682</v>
      </c>
      <c r="C4025" s="29"/>
      <c r="D4025" s="29" t="s">
        <v>3683</v>
      </c>
      <c r="E4025" s="29"/>
      <c r="F4025" s="29" t="s">
        <v>3686</v>
      </c>
      <c r="G4025" s="29"/>
      <c r="H4025" s="29" t="s">
        <v>3687</v>
      </c>
      <c r="I4025" s="29"/>
      <c r="J4025" s="29"/>
      <c r="K4025" s="29"/>
      <c r="L4025" s="29"/>
      <c r="M4025" s="29"/>
      <c r="N4025" s="29" t="s">
        <v>3601</v>
      </c>
      <c r="O4025" s="29"/>
      <c r="P4025" s="29" t="s">
        <v>11330</v>
      </c>
      <c r="Q4025" t="s">
        <v>2038</v>
      </c>
      <c r="R4025" t="s">
        <v>2633</v>
      </c>
      <c r="S4025">
        <v>37</v>
      </c>
      <c r="T4025" s="43" t="str">
        <f t="shared" si="188"/>
        <v>2021.010B.R.Binomial_names.zip</v>
      </c>
      <c r="U4025" s="43" t="str">
        <f>HYPERLINK("https://ictv.global/taxonomy/taxondetails?taxnode_id=202211928","ictv.global=202211928")</f>
        <v>ictv.global=202211928</v>
      </c>
    </row>
    <row r="4026" spans="1:21">
      <c r="A4026">
        <v>4025</v>
      </c>
      <c r="B4026" s="29" t="s">
        <v>3682</v>
      </c>
      <c r="C4026" s="29"/>
      <c r="D4026" s="29" t="s">
        <v>3683</v>
      </c>
      <c r="E4026" s="29"/>
      <c r="F4026" s="29" t="s">
        <v>3686</v>
      </c>
      <c r="G4026" s="29"/>
      <c r="H4026" s="29" t="s">
        <v>3687</v>
      </c>
      <c r="I4026" s="29"/>
      <c r="J4026" s="29"/>
      <c r="K4026" s="29"/>
      <c r="L4026" s="29"/>
      <c r="M4026" s="29"/>
      <c r="N4026" s="29" t="s">
        <v>3601</v>
      </c>
      <c r="O4026" s="29"/>
      <c r="P4026" s="29" t="s">
        <v>11331</v>
      </c>
      <c r="Q4026" t="s">
        <v>2038</v>
      </c>
      <c r="R4026" t="s">
        <v>2633</v>
      </c>
      <c r="S4026">
        <v>37</v>
      </c>
      <c r="T4026" s="43" t="str">
        <f t="shared" si="188"/>
        <v>2021.010B.R.Binomial_names.zip</v>
      </c>
      <c r="U4026" s="43" t="str">
        <f>HYPERLINK("https://ictv.global/taxonomy/taxondetails?taxnode_id=202211888","ictv.global=202211888")</f>
        <v>ictv.global=202211888</v>
      </c>
    </row>
    <row r="4027" spans="1:21">
      <c r="A4027">
        <v>4026</v>
      </c>
      <c r="B4027" s="29" t="s">
        <v>3682</v>
      </c>
      <c r="C4027" s="29"/>
      <c r="D4027" s="29" t="s">
        <v>3683</v>
      </c>
      <c r="E4027" s="29"/>
      <c r="F4027" s="29" t="s">
        <v>3686</v>
      </c>
      <c r="G4027" s="29"/>
      <c r="H4027" s="29" t="s">
        <v>3687</v>
      </c>
      <c r="I4027" s="29"/>
      <c r="J4027" s="29"/>
      <c r="K4027" s="29"/>
      <c r="L4027" s="29"/>
      <c r="M4027" s="29"/>
      <c r="N4027" s="29" t="s">
        <v>3601</v>
      </c>
      <c r="O4027" s="29"/>
      <c r="P4027" s="29" t="s">
        <v>11332</v>
      </c>
      <c r="Q4027" t="s">
        <v>2038</v>
      </c>
      <c r="R4027" t="s">
        <v>2633</v>
      </c>
      <c r="S4027">
        <v>37</v>
      </c>
      <c r="T4027" s="43" t="str">
        <f t="shared" si="188"/>
        <v>2021.010B.R.Binomial_names.zip</v>
      </c>
      <c r="U4027" s="43" t="str">
        <f>HYPERLINK("https://ictv.global/taxonomy/taxondetails?taxnode_id=202211915","ictv.global=202211915")</f>
        <v>ictv.global=202211915</v>
      </c>
    </row>
    <row r="4028" spans="1:21">
      <c r="A4028">
        <v>4027</v>
      </c>
      <c r="B4028" s="29" t="s">
        <v>3682</v>
      </c>
      <c r="C4028" s="29"/>
      <c r="D4028" s="29" t="s">
        <v>3683</v>
      </c>
      <c r="E4028" s="29"/>
      <c r="F4028" s="29" t="s">
        <v>3686</v>
      </c>
      <c r="G4028" s="29"/>
      <c r="H4028" s="29" t="s">
        <v>3687</v>
      </c>
      <c r="I4028" s="29"/>
      <c r="J4028" s="29"/>
      <c r="K4028" s="29"/>
      <c r="L4028" s="29"/>
      <c r="M4028" s="29"/>
      <c r="N4028" s="29" t="s">
        <v>3601</v>
      </c>
      <c r="O4028" s="29"/>
      <c r="P4028" s="29" t="s">
        <v>11333</v>
      </c>
      <c r="Q4028" t="s">
        <v>2038</v>
      </c>
      <c r="R4028" t="s">
        <v>2633</v>
      </c>
      <c r="S4028">
        <v>37</v>
      </c>
      <c r="T4028" s="43" t="str">
        <f t="shared" si="188"/>
        <v>2021.010B.R.Binomial_names.zip</v>
      </c>
      <c r="U4028" s="43" t="str">
        <f>HYPERLINK("https://ictv.global/taxonomy/taxondetails?taxnode_id=202211916","ictv.global=202211916")</f>
        <v>ictv.global=202211916</v>
      </c>
    </row>
    <row r="4029" spans="1:21">
      <c r="A4029">
        <v>4028</v>
      </c>
      <c r="B4029" s="29" t="s">
        <v>3682</v>
      </c>
      <c r="C4029" s="29"/>
      <c r="D4029" s="29" t="s">
        <v>3683</v>
      </c>
      <c r="E4029" s="29"/>
      <c r="F4029" s="29" t="s">
        <v>3686</v>
      </c>
      <c r="G4029" s="29"/>
      <c r="H4029" s="29" t="s">
        <v>3687</v>
      </c>
      <c r="I4029" s="29"/>
      <c r="J4029" s="29"/>
      <c r="K4029" s="29"/>
      <c r="L4029" s="29"/>
      <c r="M4029" s="29"/>
      <c r="N4029" s="29" t="s">
        <v>3601</v>
      </c>
      <c r="O4029" s="29"/>
      <c r="P4029" s="29" t="s">
        <v>11334</v>
      </c>
      <c r="Q4029" t="s">
        <v>2038</v>
      </c>
      <c r="R4029" t="s">
        <v>2633</v>
      </c>
      <c r="S4029">
        <v>37</v>
      </c>
      <c r="T4029" s="43" t="str">
        <f t="shared" si="188"/>
        <v>2021.010B.R.Binomial_names.zip</v>
      </c>
      <c r="U4029" s="43" t="str">
        <f>HYPERLINK("https://ictv.global/taxonomy/taxondetails?taxnode_id=202211917","ictv.global=202211917")</f>
        <v>ictv.global=202211917</v>
      </c>
    </row>
    <row r="4030" spans="1:21">
      <c r="A4030">
        <v>4029</v>
      </c>
      <c r="B4030" s="29" t="s">
        <v>3682</v>
      </c>
      <c r="C4030" s="29"/>
      <c r="D4030" s="29" t="s">
        <v>3683</v>
      </c>
      <c r="E4030" s="29"/>
      <c r="F4030" s="29" t="s">
        <v>3686</v>
      </c>
      <c r="G4030" s="29"/>
      <c r="H4030" s="29" t="s">
        <v>3687</v>
      </c>
      <c r="I4030" s="29"/>
      <c r="J4030" s="29"/>
      <c r="K4030" s="29"/>
      <c r="L4030" s="29"/>
      <c r="M4030" s="29"/>
      <c r="N4030" s="29" t="s">
        <v>2123</v>
      </c>
      <c r="O4030" s="29"/>
      <c r="P4030" s="29" t="s">
        <v>11335</v>
      </c>
      <c r="Q4030" t="s">
        <v>2038</v>
      </c>
      <c r="R4030" t="s">
        <v>2633</v>
      </c>
      <c r="S4030">
        <v>37</v>
      </c>
      <c r="T4030" s="43" t="str">
        <f t="shared" si="188"/>
        <v>2021.010B.R.Binomial_names.zip</v>
      </c>
      <c r="U4030" s="43" t="str">
        <f>HYPERLINK("https://ictv.global/taxonomy/taxondetails?taxnode_id=202201304","ictv.global=202201304")</f>
        <v>ictv.global=202201304</v>
      </c>
    </row>
    <row r="4031" spans="1:21">
      <c r="A4031">
        <v>4030</v>
      </c>
      <c r="B4031" s="29" t="s">
        <v>3682</v>
      </c>
      <c r="C4031" s="29"/>
      <c r="D4031" s="29" t="s">
        <v>3683</v>
      </c>
      <c r="E4031" s="29"/>
      <c r="F4031" s="29" t="s">
        <v>3686</v>
      </c>
      <c r="G4031" s="29"/>
      <c r="H4031" s="29" t="s">
        <v>3687</v>
      </c>
      <c r="I4031" s="29"/>
      <c r="J4031" s="29"/>
      <c r="K4031" s="29"/>
      <c r="L4031" s="29"/>
      <c r="M4031" s="29"/>
      <c r="N4031" s="29" t="s">
        <v>2123</v>
      </c>
      <c r="O4031" s="29"/>
      <c r="P4031" s="29" t="s">
        <v>11336</v>
      </c>
      <c r="Q4031" t="s">
        <v>2038</v>
      </c>
      <c r="R4031" t="s">
        <v>2633</v>
      </c>
      <c r="S4031">
        <v>37</v>
      </c>
      <c r="T4031" s="43" t="str">
        <f t="shared" si="188"/>
        <v>2021.010B.R.Binomial_names.zip</v>
      </c>
      <c r="U4031" s="43" t="str">
        <f>HYPERLINK("https://ictv.global/taxonomy/taxondetails?taxnode_id=202201305","ictv.global=202201305")</f>
        <v>ictv.global=202201305</v>
      </c>
    </row>
    <row r="4032" spans="1:21">
      <c r="A4032">
        <v>4031</v>
      </c>
      <c r="B4032" s="29" t="s">
        <v>3682</v>
      </c>
      <c r="C4032" s="29"/>
      <c r="D4032" s="29" t="s">
        <v>3683</v>
      </c>
      <c r="E4032" s="29"/>
      <c r="F4032" s="29" t="s">
        <v>3686</v>
      </c>
      <c r="G4032" s="29"/>
      <c r="H4032" s="29" t="s">
        <v>3687</v>
      </c>
      <c r="I4032" s="29"/>
      <c r="J4032" s="29"/>
      <c r="K4032" s="29"/>
      <c r="L4032" s="29"/>
      <c r="M4032" s="29"/>
      <c r="N4032" s="29" t="s">
        <v>2123</v>
      </c>
      <c r="O4032" s="29"/>
      <c r="P4032" s="29" t="s">
        <v>11337</v>
      </c>
      <c r="Q4032" t="s">
        <v>2038</v>
      </c>
      <c r="R4032" t="s">
        <v>2633</v>
      </c>
      <c r="S4032">
        <v>37</v>
      </c>
      <c r="T4032" s="43" t="str">
        <f t="shared" ref="T4032:T4037" si="189">HYPERLINK("https://ictv.global/ictv/proposals/2021.010B.R.Binomial_names.zip","2021.010B.R.Binomial_names.zip")</f>
        <v>2021.010B.R.Binomial_names.zip</v>
      </c>
      <c r="U4032" s="43" t="str">
        <f>HYPERLINK("https://ictv.global/taxonomy/taxondetails?taxnode_id=202201306","ictv.global=202201306")</f>
        <v>ictv.global=202201306</v>
      </c>
    </row>
    <row r="4033" spans="1:21">
      <c r="A4033">
        <v>4032</v>
      </c>
      <c r="B4033" s="29" t="s">
        <v>3682</v>
      </c>
      <c r="C4033" s="29"/>
      <c r="D4033" s="29" t="s">
        <v>3683</v>
      </c>
      <c r="E4033" s="29"/>
      <c r="F4033" s="29" t="s">
        <v>3686</v>
      </c>
      <c r="G4033" s="29"/>
      <c r="H4033" s="29" t="s">
        <v>3687</v>
      </c>
      <c r="I4033" s="29"/>
      <c r="J4033" s="29"/>
      <c r="K4033" s="29"/>
      <c r="L4033" s="29"/>
      <c r="M4033" s="29"/>
      <c r="N4033" s="29" t="s">
        <v>2123</v>
      </c>
      <c r="O4033" s="29"/>
      <c r="P4033" s="29" t="s">
        <v>11338</v>
      </c>
      <c r="Q4033" t="s">
        <v>2038</v>
      </c>
      <c r="R4033" t="s">
        <v>2633</v>
      </c>
      <c r="S4033">
        <v>37</v>
      </c>
      <c r="T4033" s="43" t="str">
        <f t="shared" si="189"/>
        <v>2021.010B.R.Binomial_names.zip</v>
      </c>
      <c r="U4033" s="43" t="str">
        <f>HYPERLINK("https://ictv.global/taxonomy/taxondetails?taxnode_id=202201307","ictv.global=202201307")</f>
        <v>ictv.global=202201307</v>
      </c>
    </row>
    <row r="4034" spans="1:21">
      <c r="A4034">
        <v>4033</v>
      </c>
      <c r="B4034" s="29" t="s">
        <v>3682</v>
      </c>
      <c r="C4034" s="29"/>
      <c r="D4034" s="29" t="s">
        <v>3683</v>
      </c>
      <c r="E4034" s="29"/>
      <c r="F4034" s="29" t="s">
        <v>3686</v>
      </c>
      <c r="G4034" s="29"/>
      <c r="H4034" s="29" t="s">
        <v>3687</v>
      </c>
      <c r="I4034" s="29"/>
      <c r="J4034" s="29"/>
      <c r="K4034" s="29"/>
      <c r="L4034" s="29"/>
      <c r="M4034" s="29"/>
      <c r="N4034" s="29" t="s">
        <v>4773</v>
      </c>
      <c r="O4034" s="29"/>
      <c r="P4034" s="29" t="s">
        <v>11339</v>
      </c>
      <c r="Q4034" t="s">
        <v>2038</v>
      </c>
      <c r="R4034" t="s">
        <v>2633</v>
      </c>
      <c r="S4034">
        <v>37</v>
      </c>
      <c r="T4034" s="43" t="str">
        <f t="shared" si="189"/>
        <v>2021.010B.R.Binomial_names.zip</v>
      </c>
      <c r="U4034" s="43" t="str">
        <f>HYPERLINK("https://ictv.global/taxonomy/taxondetails?taxnode_id=202211948","ictv.global=202211948")</f>
        <v>ictv.global=202211948</v>
      </c>
    </row>
    <row r="4035" spans="1:21">
      <c r="A4035">
        <v>4034</v>
      </c>
      <c r="B4035" s="29" t="s">
        <v>3682</v>
      </c>
      <c r="C4035" s="29"/>
      <c r="D4035" s="29" t="s">
        <v>3683</v>
      </c>
      <c r="E4035" s="29"/>
      <c r="F4035" s="29" t="s">
        <v>3686</v>
      </c>
      <c r="G4035" s="29"/>
      <c r="H4035" s="29" t="s">
        <v>3687</v>
      </c>
      <c r="I4035" s="29"/>
      <c r="J4035" s="29"/>
      <c r="K4035" s="29"/>
      <c r="L4035" s="29"/>
      <c r="M4035" s="29"/>
      <c r="N4035" s="29" t="s">
        <v>2442</v>
      </c>
      <c r="O4035" s="29"/>
      <c r="P4035" s="29" t="s">
        <v>11340</v>
      </c>
      <c r="Q4035" t="s">
        <v>2038</v>
      </c>
      <c r="R4035" t="s">
        <v>2633</v>
      </c>
      <c r="S4035">
        <v>37</v>
      </c>
      <c r="T4035" s="43" t="str">
        <f t="shared" si="189"/>
        <v>2021.010B.R.Binomial_names.zip</v>
      </c>
      <c r="U4035" s="43" t="str">
        <f>HYPERLINK("https://ictv.global/taxonomy/taxondetails?taxnode_id=202201309","ictv.global=202201309")</f>
        <v>ictv.global=202201309</v>
      </c>
    </row>
    <row r="4036" spans="1:21">
      <c r="A4036">
        <v>4035</v>
      </c>
      <c r="B4036" s="29" t="s">
        <v>3682</v>
      </c>
      <c r="C4036" s="29"/>
      <c r="D4036" s="29" t="s">
        <v>3683</v>
      </c>
      <c r="E4036" s="29"/>
      <c r="F4036" s="29" t="s">
        <v>3686</v>
      </c>
      <c r="G4036" s="29"/>
      <c r="H4036" s="29" t="s">
        <v>3687</v>
      </c>
      <c r="I4036" s="29"/>
      <c r="J4036" s="29"/>
      <c r="K4036" s="29"/>
      <c r="L4036" s="29"/>
      <c r="M4036" s="29"/>
      <c r="N4036" s="29" t="s">
        <v>2442</v>
      </c>
      <c r="O4036" s="29"/>
      <c r="P4036" s="29" t="s">
        <v>11341</v>
      </c>
      <c r="Q4036" t="s">
        <v>2038</v>
      </c>
      <c r="R4036" t="s">
        <v>2633</v>
      </c>
      <c r="S4036">
        <v>37</v>
      </c>
      <c r="T4036" s="43" t="str">
        <f t="shared" si="189"/>
        <v>2021.010B.R.Binomial_names.zip</v>
      </c>
      <c r="U4036" s="43" t="str">
        <f>HYPERLINK("https://ictv.global/taxonomy/taxondetails?taxnode_id=202201310","ictv.global=202201310")</f>
        <v>ictv.global=202201310</v>
      </c>
    </row>
    <row r="4037" spans="1:21">
      <c r="A4037">
        <v>4036</v>
      </c>
      <c r="B4037" s="29" t="s">
        <v>3682</v>
      </c>
      <c r="C4037" s="29"/>
      <c r="D4037" s="29" t="s">
        <v>3683</v>
      </c>
      <c r="E4037" s="29"/>
      <c r="F4037" s="29" t="s">
        <v>3686</v>
      </c>
      <c r="G4037" s="29"/>
      <c r="H4037" s="29" t="s">
        <v>3687</v>
      </c>
      <c r="I4037" s="29"/>
      <c r="J4037" s="29"/>
      <c r="K4037" s="29"/>
      <c r="L4037" s="29"/>
      <c r="M4037" s="29"/>
      <c r="N4037" s="29" t="s">
        <v>2442</v>
      </c>
      <c r="O4037" s="29"/>
      <c r="P4037" s="29" t="s">
        <v>11342</v>
      </c>
      <c r="Q4037" t="s">
        <v>2038</v>
      </c>
      <c r="R4037" t="s">
        <v>2633</v>
      </c>
      <c r="S4037">
        <v>37</v>
      </c>
      <c r="T4037" s="43" t="str">
        <f t="shared" si="189"/>
        <v>2021.010B.R.Binomial_names.zip</v>
      </c>
      <c r="U4037" s="43" t="str">
        <f>HYPERLINK("https://ictv.global/taxonomy/taxondetails?taxnode_id=202201312","ictv.global=202201312")</f>
        <v>ictv.global=202201312</v>
      </c>
    </row>
    <row r="4038" spans="1:21">
      <c r="A4038">
        <v>4037</v>
      </c>
      <c r="B4038" s="29" t="s">
        <v>3682</v>
      </c>
      <c r="C4038" s="29"/>
      <c r="D4038" s="29" t="s">
        <v>3683</v>
      </c>
      <c r="E4038" s="29"/>
      <c r="F4038" s="29" t="s">
        <v>3686</v>
      </c>
      <c r="G4038" s="29"/>
      <c r="H4038" s="29" t="s">
        <v>3687</v>
      </c>
      <c r="I4038" s="29"/>
      <c r="J4038" s="29"/>
      <c r="K4038" s="29"/>
      <c r="L4038" s="29"/>
      <c r="M4038" s="29"/>
      <c r="N4038" s="29" t="s">
        <v>11343</v>
      </c>
      <c r="O4038" s="29"/>
      <c r="P4038" s="29" t="s">
        <v>11344</v>
      </c>
      <c r="Q4038" t="s">
        <v>2038</v>
      </c>
      <c r="R4038" t="s">
        <v>2632</v>
      </c>
      <c r="S4038">
        <v>38</v>
      </c>
      <c r="T4038" s="43" t="str">
        <f>HYPERLINK("https://ictv.global/ictv/proposals/2022.083B.Snuvirus_ng.zip","2022.083B.Snuvirus_ng.zip")</f>
        <v>2022.083B.Snuvirus_ng.zip</v>
      </c>
      <c r="U4038" s="43" t="str">
        <f>HYPERLINK("https://ictv.global/taxonomy/taxondetails?taxnode_id=202214886","ictv.global=202214886")</f>
        <v>ictv.global=202214886</v>
      </c>
    </row>
    <row r="4039" spans="1:21">
      <c r="A4039">
        <v>4038</v>
      </c>
      <c r="B4039" s="29" t="s">
        <v>3682</v>
      </c>
      <c r="C4039" s="29"/>
      <c r="D4039" s="29" t="s">
        <v>3683</v>
      </c>
      <c r="E4039" s="29"/>
      <c r="F4039" s="29" t="s">
        <v>3686</v>
      </c>
      <c r="G4039" s="29"/>
      <c r="H4039" s="29" t="s">
        <v>3687</v>
      </c>
      <c r="I4039" s="29"/>
      <c r="J4039" s="29"/>
      <c r="K4039" s="29"/>
      <c r="L4039" s="29"/>
      <c r="M4039" s="29"/>
      <c r="N4039" s="29" t="s">
        <v>4040</v>
      </c>
      <c r="O4039" s="29"/>
      <c r="P4039" s="29" t="s">
        <v>11345</v>
      </c>
      <c r="Q4039" t="s">
        <v>2038</v>
      </c>
      <c r="R4039" t="s">
        <v>2633</v>
      </c>
      <c r="S4039">
        <v>37</v>
      </c>
      <c r="T4039" s="43" t="str">
        <f t="shared" ref="T4039:T4058" si="190">HYPERLINK("https://ictv.global/ictv/proposals/2021.010B.R.Binomial_names.zip","2021.010B.R.Binomial_names.zip")</f>
        <v>2021.010B.R.Binomial_names.zip</v>
      </c>
      <c r="U4039" s="43" t="str">
        <f>HYPERLINK("https://ictv.global/taxonomy/taxondetails?taxnode_id=202207699","ictv.global=202207699")</f>
        <v>ictv.global=202207699</v>
      </c>
    </row>
    <row r="4040" spans="1:21">
      <c r="A4040">
        <v>4039</v>
      </c>
      <c r="B4040" s="29" t="s">
        <v>3682</v>
      </c>
      <c r="C4040" s="29"/>
      <c r="D4040" s="29" t="s">
        <v>3683</v>
      </c>
      <c r="E4040" s="29"/>
      <c r="F4040" s="29" t="s">
        <v>3686</v>
      </c>
      <c r="G4040" s="29"/>
      <c r="H4040" s="29" t="s">
        <v>3687</v>
      </c>
      <c r="I4040" s="29"/>
      <c r="J4040" s="29"/>
      <c r="K4040" s="29"/>
      <c r="L4040" s="29"/>
      <c r="M4040" s="29"/>
      <c r="N4040" s="29" t="s">
        <v>3965</v>
      </c>
      <c r="O4040" s="29"/>
      <c r="P4040" s="29" t="s">
        <v>11346</v>
      </c>
      <c r="Q4040" t="s">
        <v>2038</v>
      </c>
      <c r="R4040" t="s">
        <v>2633</v>
      </c>
      <c r="S4040">
        <v>37</v>
      </c>
      <c r="T4040" s="43" t="str">
        <f t="shared" si="190"/>
        <v>2021.010B.R.Binomial_names.zip</v>
      </c>
      <c r="U4040" s="43" t="str">
        <f>HYPERLINK("https://ictv.global/taxonomy/taxondetails?taxnode_id=202207998","ictv.global=202207998")</f>
        <v>ictv.global=202207998</v>
      </c>
    </row>
    <row r="4041" spans="1:21">
      <c r="A4041">
        <v>4040</v>
      </c>
      <c r="B4041" s="29" t="s">
        <v>3682</v>
      </c>
      <c r="C4041" s="29"/>
      <c r="D4041" s="29" t="s">
        <v>3683</v>
      </c>
      <c r="E4041" s="29"/>
      <c r="F4041" s="29" t="s">
        <v>3686</v>
      </c>
      <c r="G4041" s="29"/>
      <c r="H4041" s="29" t="s">
        <v>3687</v>
      </c>
      <c r="I4041" s="29"/>
      <c r="J4041" s="29"/>
      <c r="K4041" s="29"/>
      <c r="L4041" s="29"/>
      <c r="M4041" s="29"/>
      <c r="N4041" s="29" t="s">
        <v>3965</v>
      </c>
      <c r="O4041" s="29"/>
      <c r="P4041" s="29" t="s">
        <v>11347</v>
      </c>
      <c r="Q4041" t="s">
        <v>2038</v>
      </c>
      <c r="R4041" t="s">
        <v>2633</v>
      </c>
      <c r="S4041">
        <v>37</v>
      </c>
      <c r="T4041" s="43" t="str">
        <f t="shared" si="190"/>
        <v>2021.010B.R.Binomial_names.zip</v>
      </c>
      <c r="U4041" s="43" t="str">
        <f>HYPERLINK("https://ictv.global/taxonomy/taxondetails?taxnode_id=202207997","ictv.global=202207997")</f>
        <v>ictv.global=202207997</v>
      </c>
    </row>
    <row r="4042" spans="1:21">
      <c r="A4042">
        <v>4041</v>
      </c>
      <c r="B4042" s="29" t="s">
        <v>3682</v>
      </c>
      <c r="C4042" s="29"/>
      <c r="D4042" s="29" t="s">
        <v>3683</v>
      </c>
      <c r="E4042" s="29"/>
      <c r="F4042" s="29" t="s">
        <v>3686</v>
      </c>
      <c r="G4042" s="29"/>
      <c r="H4042" s="29" t="s">
        <v>3687</v>
      </c>
      <c r="I4042" s="29"/>
      <c r="J4042" s="29"/>
      <c r="K4042" s="29"/>
      <c r="L4042" s="29"/>
      <c r="M4042" s="29"/>
      <c r="N4042" s="29" t="s">
        <v>2443</v>
      </c>
      <c r="O4042" s="29"/>
      <c r="P4042" s="29" t="s">
        <v>11348</v>
      </c>
      <c r="Q4042" t="s">
        <v>2038</v>
      </c>
      <c r="R4042" t="s">
        <v>2633</v>
      </c>
      <c r="S4042">
        <v>37</v>
      </c>
      <c r="T4042" s="43" t="str">
        <f t="shared" si="190"/>
        <v>2021.010B.R.Binomial_names.zip</v>
      </c>
      <c r="U4042" s="43" t="str">
        <f>HYPERLINK("https://ictv.global/taxonomy/taxondetails?taxnode_id=202201314","ictv.global=202201314")</f>
        <v>ictv.global=202201314</v>
      </c>
    </row>
    <row r="4043" spans="1:21">
      <c r="A4043">
        <v>4042</v>
      </c>
      <c r="B4043" s="29" t="s">
        <v>3682</v>
      </c>
      <c r="C4043" s="29"/>
      <c r="D4043" s="29" t="s">
        <v>3683</v>
      </c>
      <c r="E4043" s="29"/>
      <c r="F4043" s="29" t="s">
        <v>3686</v>
      </c>
      <c r="G4043" s="29"/>
      <c r="H4043" s="29" t="s">
        <v>3687</v>
      </c>
      <c r="I4043" s="29"/>
      <c r="J4043" s="29"/>
      <c r="K4043" s="29"/>
      <c r="L4043" s="29"/>
      <c r="M4043" s="29"/>
      <c r="N4043" s="29" t="s">
        <v>2443</v>
      </c>
      <c r="O4043" s="29"/>
      <c r="P4043" s="29" t="s">
        <v>11349</v>
      </c>
      <c r="Q4043" t="s">
        <v>2038</v>
      </c>
      <c r="R4043" t="s">
        <v>2633</v>
      </c>
      <c r="S4043">
        <v>37</v>
      </c>
      <c r="T4043" s="43" t="str">
        <f t="shared" si="190"/>
        <v>2021.010B.R.Binomial_names.zip</v>
      </c>
      <c r="U4043" s="43" t="str">
        <f>HYPERLINK("https://ictv.global/taxonomy/taxondetails?taxnode_id=202206886","ictv.global=202206886")</f>
        <v>ictv.global=202206886</v>
      </c>
    </row>
    <row r="4044" spans="1:21">
      <c r="A4044">
        <v>4043</v>
      </c>
      <c r="B4044" s="29" t="s">
        <v>3682</v>
      </c>
      <c r="C4044" s="29"/>
      <c r="D4044" s="29" t="s">
        <v>3683</v>
      </c>
      <c r="E4044" s="29"/>
      <c r="F4044" s="29" t="s">
        <v>3686</v>
      </c>
      <c r="G4044" s="29"/>
      <c r="H4044" s="29" t="s">
        <v>3687</v>
      </c>
      <c r="I4044" s="29"/>
      <c r="J4044" s="29"/>
      <c r="K4044" s="29"/>
      <c r="L4044" s="29"/>
      <c r="M4044" s="29"/>
      <c r="N4044" s="29" t="s">
        <v>2443</v>
      </c>
      <c r="O4044" s="29"/>
      <c r="P4044" s="29" t="s">
        <v>11350</v>
      </c>
      <c r="Q4044" t="s">
        <v>2038</v>
      </c>
      <c r="R4044" t="s">
        <v>2633</v>
      </c>
      <c r="S4044">
        <v>37</v>
      </c>
      <c r="T4044" s="43" t="str">
        <f t="shared" si="190"/>
        <v>2021.010B.R.Binomial_names.zip</v>
      </c>
      <c r="U4044" s="43" t="str">
        <f>HYPERLINK("https://ictv.global/taxonomy/taxondetails?taxnode_id=202206885","ictv.global=202206885")</f>
        <v>ictv.global=202206885</v>
      </c>
    </row>
    <row r="4045" spans="1:21">
      <c r="A4045">
        <v>4044</v>
      </c>
      <c r="B4045" s="29" t="s">
        <v>3682</v>
      </c>
      <c r="C4045" s="29"/>
      <c r="D4045" s="29" t="s">
        <v>3683</v>
      </c>
      <c r="E4045" s="29"/>
      <c r="F4045" s="29" t="s">
        <v>3686</v>
      </c>
      <c r="G4045" s="29"/>
      <c r="H4045" s="29" t="s">
        <v>3687</v>
      </c>
      <c r="I4045" s="29"/>
      <c r="J4045" s="29"/>
      <c r="K4045" s="29"/>
      <c r="L4045" s="29"/>
      <c r="M4045" s="29"/>
      <c r="N4045" s="29" t="s">
        <v>3602</v>
      </c>
      <c r="O4045" s="29"/>
      <c r="P4045" s="29" t="s">
        <v>11351</v>
      </c>
      <c r="Q4045" t="s">
        <v>2038</v>
      </c>
      <c r="R4045" t="s">
        <v>2633</v>
      </c>
      <c r="S4045">
        <v>37</v>
      </c>
      <c r="T4045" s="43" t="str">
        <f t="shared" si="190"/>
        <v>2021.010B.R.Binomial_names.zip</v>
      </c>
      <c r="U4045" s="43" t="str">
        <f>HYPERLINK("https://ictv.global/taxonomy/taxondetails?taxnode_id=202206991","ictv.global=202206991")</f>
        <v>ictv.global=202206991</v>
      </c>
    </row>
    <row r="4046" spans="1:21">
      <c r="A4046">
        <v>4045</v>
      </c>
      <c r="B4046" s="29" t="s">
        <v>3682</v>
      </c>
      <c r="C4046" s="29"/>
      <c r="D4046" s="29" t="s">
        <v>3683</v>
      </c>
      <c r="E4046" s="29"/>
      <c r="F4046" s="29" t="s">
        <v>3686</v>
      </c>
      <c r="G4046" s="29"/>
      <c r="H4046" s="29" t="s">
        <v>3687</v>
      </c>
      <c r="I4046" s="29"/>
      <c r="J4046" s="29"/>
      <c r="K4046" s="29"/>
      <c r="L4046" s="29"/>
      <c r="M4046" s="29"/>
      <c r="N4046" s="29" t="s">
        <v>4774</v>
      </c>
      <c r="O4046" s="29"/>
      <c r="P4046" s="29" t="s">
        <v>11352</v>
      </c>
      <c r="Q4046" t="s">
        <v>2038</v>
      </c>
      <c r="R4046" t="s">
        <v>2633</v>
      </c>
      <c r="S4046">
        <v>37</v>
      </c>
      <c r="T4046" s="43" t="str">
        <f t="shared" si="190"/>
        <v>2021.010B.R.Binomial_names.zip</v>
      </c>
      <c r="U4046" s="43" t="str">
        <f>HYPERLINK("https://ictv.global/taxonomy/taxondetails?taxnode_id=202211950","ictv.global=202211950")</f>
        <v>ictv.global=202211950</v>
      </c>
    </row>
    <row r="4047" spans="1:21">
      <c r="A4047">
        <v>4046</v>
      </c>
      <c r="B4047" s="29" t="s">
        <v>3682</v>
      </c>
      <c r="C4047" s="29"/>
      <c r="D4047" s="29" t="s">
        <v>3683</v>
      </c>
      <c r="E4047" s="29"/>
      <c r="F4047" s="29" t="s">
        <v>3686</v>
      </c>
      <c r="G4047" s="29"/>
      <c r="H4047" s="29" t="s">
        <v>3687</v>
      </c>
      <c r="I4047" s="29"/>
      <c r="J4047" s="29"/>
      <c r="K4047" s="29"/>
      <c r="L4047" s="29"/>
      <c r="M4047" s="29"/>
      <c r="N4047" s="29" t="s">
        <v>4774</v>
      </c>
      <c r="O4047" s="29"/>
      <c r="P4047" s="29" t="s">
        <v>11353</v>
      </c>
      <c r="Q4047" t="s">
        <v>2038</v>
      </c>
      <c r="R4047" t="s">
        <v>2633</v>
      </c>
      <c r="S4047">
        <v>37</v>
      </c>
      <c r="T4047" s="43" t="str">
        <f t="shared" si="190"/>
        <v>2021.010B.R.Binomial_names.zip</v>
      </c>
      <c r="U4047" s="43" t="str">
        <f>HYPERLINK("https://ictv.global/taxonomy/taxondetails?taxnode_id=202211951","ictv.global=202211951")</f>
        <v>ictv.global=202211951</v>
      </c>
    </row>
    <row r="4048" spans="1:21">
      <c r="A4048">
        <v>4047</v>
      </c>
      <c r="B4048" s="29" t="s">
        <v>3682</v>
      </c>
      <c r="C4048" s="29"/>
      <c r="D4048" s="29" t="s">
        <v>3683</v>
      </c>
      <c r="E4048" s="29"/>
      <c r="F4048" s="29" t="s">
        <v>3686</v>
      </c>
      <c r="G4048" s="29"/>
      <c r="H4048" s="29" t="s">
        <v>3687</v>
      </c>
      <c r="I4048" s="29"/>
      <c r="J4048" s="29"/>
      <c r="K4048" s="29"/>
      <c r="L4048" s="29"/>
      <c r="M4048" s="29"/>
      <c r="N4048" s="29" t="s">
        <v>4774</v>
      </c>
      <c r="O4048" s="29"/>
      <c r="P4048" s="29" t="s">
        <v>11354</v>
      </c>
      <c r="Q4048" t="s">
        <v>2038</v>
      </c>
      <c r="R4048" t="s">
        <v>2633</v>
      </c>
      <c r="S4048">
        <v>37</v>
      </c>
      <c r="T4048" s="43" t="str">
        <f t="shared" si="190"/>
        <v>2021.010B.R.Binomial_names.zip</v>
      </c>
      <c r="U4048" s="43" t="str">
        <f>HYPERLINK("https://ictv.global/taxonomy/taxondetails?taxnode_id=202211952","ictv.global=202211952")</f>
        <v>ictv.global=202211952</v>
      </c>
    </row>
    <row r="4049" spans="1:21">
      <c r="A4049">
        <v>4048</v>
      </c>
      <c r="B4049" s="29" t="s">
        <v>3682</v>
      </c>
      <c r="C4049" s="29"/>
      <c r="D4049" s="29" t="s">
        <v>3683</v>
      </c>
      <c r="E4049" s="29"/>
      <c r="F4049" s="29" t="s">
        <v>3686</v>
      </c>
      <c r="G4049" s="29"/>
      <c r="H4049" s="29" t="s">
        <v>3687</v>
      </c>
      <c r="I4049" s="29"/>
      <c r="J4049" s="29"/>
      <c r="K4049" s="29"/>
      <c r="L4049" s="29"/>
      <c r="M4049" s="29"/>
      <c r="N4049" s="29" t="s">
        <v>4775</v>
      </c>
      <c r="O4049" s="29"/>
      <c r="P4049" s="29" t="s">
        <v>11355</v>
      </c>
      <c r="Q4049" t="s">
        <v>2038</v>
      </c>
      <c r="R4049" t="s">
        <v>2633</v>
      </c>
      <c r="S4049">
        <v>37</v>
      </c>
      <c r="T4049" s="43" t="str">
        <f t="shared" si="190"/>
        <v>2021.010B.R.Binomial_names.zip</v>
      </c>
      <c r="U4049" s="43" t="str">
        <f>HYPERLINK("https://ictv.global/taxonomy/taxondetails?taxnode_id=202211954","ictv.global=202211954")</f>
        <v>ictv.global=202211954</v>
      </c>
    </row>
    <row r="4050" spans="1:21">
      <c r="A4050">
        <v>4049</v>
      </c>
      <c r="B4050" s="29" t="s">
        <v>3682</v>
      </c>
      <c r="C4050" s="29"/>
      <c r="D4050" s="29" t="s">
        <v>3683</v>
      </c>
      <c r="E4050" s="29"/>
      <c r="F4050" s="29" t="s">
        <v>3686</v>
      </c>
      <c r="G4050" s="29"/>
      <c r="H4050" s="29" t="s">
        <v>3687</v>
      </c>
      <c r="I4050" s="29"/>
      <c r="J4050" s="29"/>
      <c r="K4050" s="29"/>
      <c r="L4050" s="29"/>
      <c r="M4050" s="29"/>
      <c r="N4050" s="29" t="s">
        <v>2124</v>
      </c>
      <c r="O4050" s="29"/>
      <c r="P4050" s="29" t="s">
        <v>11356</v>
      </c>
      <c r="Q4050" t="s">
        <v>2038</v>
      </c>
      <c r="R4050" t="s">
        <v>2633</v>
      </c>
      <c r="S4050">
        <v>37</v>
      </c>
      <c r="T4050" s="43" t="str">
        <f t="shared" si="190"/>
        <v>2021.010B.R.Binomial_names.zip</v>
      </c>
      <c r="U4050" s="43" t="str">
        <f>HYPERLINK("https://ictv.global/taxonomy/taxondetails?taxnode_id=202201316","ictv.global=202201316")</f>
        <v>ictv.global=202201316</v>
      </c>
    </row>
    <row r="4051" spans="1:21">
      <c r="A4051">
        <v>4050</v>
      </c>
      <c r="B4051" s="29" t="s">
        <v>3682</v>
      </c>
      <c r="C4051" s="29"/>
      <c r="D4051" s="29" t="s">
        <v>3683</v>
      </c>
      <c r="E4051" s="29"/>
      <c r="F4051" s="29" t="s">
        <v>3686</v>
      </c>
      <c r="G4051" s="29"/>
      <c r="H4051" s="29" t="s">
        <v>3687</v>
      </c>
      <c r="I4051" s="29"/>
      <c r="J4051" s="29"/>
      <c r="K4051" s="29"/>
      <c r="L4051" s="29"/>
      <c r="M4051" s="29"/>
      <c r="N4051" s="29" t="s">
        <v>4776</v>
      </c>
      <c r="O4051" s="29"/>
      <c r="P4051" s="29" t="s">
        <v>11357</v>
      </c>
      <c r="Q4051" t="s">
        <v>2038</v>
      </c>
      <c r="R4051" t="s">
        <v>2633</v>
      </c>
      <c r="S4051">
        <v>37</v>
      </c>
      <c r="T4051" s="43" t="str">
        <f t="shared" si="190"/>
        <v>2021.010B.R.Binomial_names.zip</v>
      </c>
      <c r="U4051" s="43" t="str">
        <f>HYPERLINK("https://ictv.global/taxonomy/taxondetails?taxnode_id=202211956","ictv.global=202211956")</f>
        <v>ictv.global=202211956</v>
      </c>
    </row>
    <row r="4052" spans="1:21">
      <c r="A4052">
        <v>4051</v>
      </c>
      <c r="B4052" s="29" t="s">
        <v>3682</v>
      </c>
      <c r="C4052" s="29"/>
      <c r="D4052" s="29" t="s">
        <v>3683</v>
      </c>
      <c r="E4052" s="29"/>
      <c r="F4052" s="29" t="s">
        <v>3686</v>
      </c>
      <c r="G4052" s="29"/>
      <c r="H4052" s="29" t="s">
        <v>3687</v>
      </c>
      <c r="I4052" s="29"/>
      <c r="J4052" s="29"/>
      <c r="K4052" s="29"/>
      <c r="L4052" s="29"/>
      <c r="M4052" s="29"/>
      <c r="N4052" s="29" t="s">
        <v>4041</v>
      </c>
      <c r="O4052" s="29"/>
      <c r="P4052" s="29" t="s">
        <v>11358</v>
      </c>
      <c r="Q4052" t="s">
        <v>2038</v>
      </c>
      <c r="R4052" t="s">
        <v>2633</v>
      </c>
      <c r="S4052">
        <v>37</v>
      </c>
      <c r="T4052" s="43" t="str">
        <f t="shared" si="190"/>
        <v>2021.010B.R.Binomial_names.zip</v>
      </c>
      <c r="U4052" s="43" t="str">
        <f>HYPERLINK("https://ictv.global/taxonomy/taxondetails?taxnode_id=202207703","ictv.global=202207703")</f>
        <v>ictv.global=202207703</v>
      </c>
    </row>
    <row r="4053" spans="1:21">
      <c r="A4053">
        <v>4052</v>
      </c>
      <c r="B4053" s="29" t="s">
        <v>3682</v>
      </c>
      <c r="C4053" s="29"/>
      <c r="D4053" s="29" t="s">
        <v>3683</v>
      </c>
      <c r="E4053" s="29"/>
      <c r="F4053" s="29" t="s">
        <v>3686</v>
      </c>
      <c r="G4053" s="29"/>
      <c r="H4053" s="29" t="s">
        <v>3687</v>
      </c>
      <c r="I4053" s="29"/>
      <c r="J4053" s="29"/>
      <c r="K4053" s="29"/>
      <c r="L4053" s="29"/>
      <c r="M4053" s="29"/>
      <c r="N4053" s="29" t="s">
        <v>4041</v>
      </c>
      <c r="O4053" s="29"/>
      <c r="P4053" s="29" t="s">
        <v>11359</v>
      </c>
      <c r="Q4053" t="s">
        <v>2038</v>
      </c>
      <c r="R4053" t="s">
        <v>2633</v>
      </c>
      <c r="S4053">
        <v>37</v>
      </c>
      <c r="T4053" s="43" t="str">
        <f t="shared" si="190"/>
        <v>2021.010B.R.Binomial_names.zip</v>
      </c>
      <c r="U4053" s="43" t="str">
        <f>HYPERLINK("https://ictv.global/taxonomy/taxondetails?taxnode_id=202207702","ictv.global=202207702")</f>
        <v>ictv.global=202207702</v>
      </c>
    </row>
    <row r="4054" spans="1:21">
      <c r="A4054">
        <v>4053</v>
      </c>
      <c r="B4054" s="29" t="s">
        <v>3682</v>
      </c>
      <c r="C4054" s="29"/>
      <c r="D4054" s="29" t="s">
        <v>3683</v>
      </c>
      <c r="E4054" s="29"/>
      <c r="F4054" s="29" t="s">
        <v>3686</v>
      </c>
      <c r="G4054" s="29"/>
      <c r="H4054" s="29" t="s">
        <v>3687</v>
      </c>
      <c r="I4054" s="29"/>
      <c r="J4054" s="29"/>
      <c r="K4054" s="29"/>
      <c r="L4054" s="29"/>
      <c r="M4054" s="29"/>
      <c r="N4054" s="29" t="s">
        <v>3603</v>
      </c>
      <c r="O4054" s="29"/>
      <c r="P4054" s="29" t="s">
        <v>11360</v>
      </c>
      <c r="Q4054" t="s">
        <v>2038</v>
      </c>
      <c r="R4054" t="s">
        <v>2633</v>
      </c>
      <c r="S4054">
        <v>37</v>
      </c>
      <c r="T4054" s="43" t="str">
        <f t="shared" si="190"/>
        <v>2021.010B.R.Binomial_names.zip</v>
      </c>
      <c r="U4054" s="43" t="str">
        <f>HYPERLINK("https://ictv.global/taxonomy/taxondetails?taxnode_id=202200965","ictv.global=202200965")</f>
        <v>ictv.global=202200965</v>
      </c>
    </row>
    <row r="4055" spans="1:21">
      <c r="A4055">
        <v>4054</v>
      </c>
      <c r="B4055" s="29" t="s">
        <v>3682</v>
      </c>
      <c r="C4055" s="29"/>
      <c r="D4055" s="29" t="s">
        <v>3683</v>
      </c>
      <c r="E4055" s="29"/>
      <c r="F4055" s="29" t="s">
        <v>3686</v>
      </c>
      <c r="G4055" s="29"/>
      <c r="H4055" s="29" t="s">
        <v>3687</v>
      </c>
      <c r="I4055" s="29"/>
      <c r="J4055" s="29"/>
      <c r="K4055" s="29"/>
      <c r="L4055" s="29"/>
      <c r="M4055" s="29"/>
      <c r="N4055" s="29" t="s">
        <v>3603</v>
      </c>
      <c r="O4055" s="29"/>
      <c r="P4055" s="29" t="s">
        <v>11361</v>
      </c>
      <c r="Q4055" t="s">
        <v>2038</v>
      </c>
      <c r="R4055" t="s">
        <v>2633</v>
      </c>
      <c r="S4055">
        <v>37</v>
      </c>
      <c r="T4055" s="43" t="str">
        <f t="shared" si="190"/>
        <v>2021.010B.R.Binomial_names.zip</v>
      </c>
      <c r="U4055" s="43" t="str">
        <f>HYPERLINK("https://ictv.global/taxonomy/taxondetails?taxnode_id=202200963","ictv.global=202200963")</f>
        <v>ictv.global=202200963</v>
      </c>
    </row>
    <row r="4056" spans="1:21">
      <c r="A4056">
        <v>4055</v>
      </c>
      <c r="B4056" s="29" t="s">
        <v>3682</v>
      </c>
      <c r="C4056" s="29"/>
      <c r="D4056" s="29" t="s">
        <v>3683</v>
      </c>
      <c r="E4056" s="29"/>
      <c r="F4056" s="29" t="s">
        <v>3686</v>
      </c>
      <c r="G4056" s="29"/>
      <c r="H4056" s="29" t="s">
        <v>3687</v>
      </c>
      <c r="I4056" s="29"/>
      <c r="J4056" s="29"/>
      <c r="K4056" s="29"/>
      <c r="L4056" s="29"/>
      <c r="M4056" s="29"/>
      <c r="N4056" s="29" t="s">
        <v>3603</v>
      </c>
      <c r="O4056" s="29"/>
      <c r="P4056" s="29" t="s">
        <v>11362</v>
      </c>
      <c r="Q4056" t="s">
        <v>2038</v>
      </c>
      <c r="R4056" t="s">
        <v>2633</v>
      </c>
      <c r="S4056">
        <v>37</v>
      </c>
      <c r="T4056" s="43" t="str">
        <f t="shared" si="190"/>
        <v>2021.010B.R.Binomial_names.zip</v>
      </c>
      <c r="U4056" s="43" t="str">
        <f>HYPERLINK("https://ictv.global/taxonomy/taxondetails?taxnode_id=202200964","ictv.global=202200964")</f>
        <v>ictv.global=202200964</v>
      </c>
    </row>
    <row r="4057" spans="1:21">
      <c r="A4057">
        <v>4056</v>
      </c>
      <c r="B4057" s="29" t="s">
        <v>3682</v>
      </c>
      <c r="C4057" s="29"/>
      <c r="D4057" s="29" t="s">
        <v>3683</v>
      </c>
      <c r="E4057" s="29"/>
      <c r="F4057" s="29" t="s">
        <v>3686</v>
      </c>
      <c r="G4057" s="29"/>
      <c r="H4057" s="29" t="s">
        <v>3687</v>
      </c>
      <c r="I4057" s="29"/>
      <c r="J4057" s="29"/>
      <c r="K4057" s="29"/>
      <c r="L4057" s="29"/>
      <c r="M4057" s="29"/>
      <c r="N4057" s="29" t="s">
        <v>3604</v>
      </c>
      <c r="O4057" s="29"/>
      <c r="P4057" s="29" t="s">
        <v>11363</v>
      </c>
      <c r="Q4057" t="s">
        <v>2038</v>
      </c>
      <c r="R4057" t="s">
        <v>2633</v>
      </c>
      <c r="S4057">
        <v>37</v>
      </c>
      <c r="T4057" s="43" t="str">
        <f t="shared" si="190"/>
        <v>2021.010B.R.Binomial_names.zip</v>
      </c>
      <c r="U4057" s="43" t="str">
        <f>HYPERLINK("https://ictv.global/taxonomy/taxondetails?taxnode_id=202200994","ictv.global=202200994")</f>
        <v>ictv.global=202200994</v>
      </c>
    </row>
    <row r="4058" spans="1:21">
      <c r="A4058">
        <v>4057</v>
      </c>
      <c r="B4058" s="29" t="s">
        <v>3682</v>
      </c>
      <c r="C4058" s="29"/>
      <c r="D4058" s="29" t="s">
        <v>3683</v>
      </c>
      <c r="E4058" s="29"/>
      <c r="F4058" s="29" t="s">
        <v>3686</v>
      </c>
      <c r="G4058" s="29"/>
      <c r="H4058" s="29" t="s">
        <v>3687</v>
      </c>
      <c r="I4058" s="29"/>
      <c r="J4058" s="29"/>
      <c r="K4058" s="29"/>
      <c r="L4058" s="29"/>
      <c r="M4058" s="29"/>
      <c r="N4058" s="29" t="s">
        <v>3604</v>
      </c>
      <c r="O4058" s="29"/>
      <c r="P4058" s="29" t="s">
        <v>11364</v>
      </c>
      <c r="Q4058" t="s">
        <v>2038</v>
      </c>
      <c r="R4058" t="s">
        <v>2633</v>
      </c>
      <c r="S4058">
        <v>37</v>
      </c>
      <c r="T4058" s="43" t="str">
        <f t="shared" si="190"/>
        <v>2021.010B.R.Binomial_names.zip</v>
      </c>
      <c r="U4058" s="43" t="str">
        <f>HYPERLINK("https://ictv.global/taxonomy/taxondetails?taxnode_id=202200993","ictv.global=202200993")</f>
        <v>ictv.global=202200993</v>
      </c>
    </row>
    <row r="4059" spans="1:21">
      <c r="A4059">
        <v>4058</v>
      </c>
      <c r="B4059" s="29" t="s">
        <v>3682</v>
      </c>
      <c r="C4059" s="29"/>
      <c r="D4059" s="29" t="s">
        <v>3683</v>
      </c>
      <c r="E4059" s="29"/>
      <c r="F4059" s="29" t="s">
        <v>3686</v>
      </c>
      <c r="G4059" s="29"/>
      <c r="H4059" s="29" t="s">
        <v>3687</v>
      </c>
      <c r="I4059" s="29"/>
      <c r="J4059" s="29"/>
      <c r="K4059" s="29"/>
      <c r="L4059" s="29"/>
      <c r="M4059" s="29"/>
      <c r="N4059" s="29" t="s">
        <v>11365</v>
      </c>
      <c r="O4059" s="29"/>
      <c r="P4059" s="29" t="s">
        <v>11366</v>
      </c>
      <c r="Q4059" t="s">
        <v>2038</v>
      </c>
      <c r="R4059" t="s">
        <v>2632</v>
      </c>
      <c r="S4059">
        <v>38</v>
      </c>
      <c r="T4059" s="43" t="str">
        <f>HYPERLINK("https://ictv.global/ictv/proposals/2022.086B.Stonewallvirus_ng.zip","2022.086B.Stonewallvirus_ng.zip")</f>
        <v>2022.086B.Stonewallvirus_ng.zip</v>
      </c>
      <c r="U4059" s="43" t="str">
        <f>HYPERLINK("https://ictv.global/taxonomy/taxondetails?taxnode_id=202214938","ictv.global=202214938")</f>
        <v>ictv.global=202214938</v>
      </c>
    </row>
    <row r="4060" spans="1:21">
      <c r="A4060">
        <v>4059</v>
      </c>
      <c r="B4060" s="29" t="s">
        <v>3682</v>
      </c>
      <c r="C4060" s="29"/>
      <c r="D4060" s="29" t="s">
        <v>3683</v>
      </c>
      <c r="E4060" s="29"/>
      <c r="F4060" s="29" t="s">
        <v>3686</v>
      </c>
      <c r="G4060" s="29"/>
      <c r="H4060" s="29" t="s">
        <v>3687</v>
      </c>
      <c r="I4060" s="29"/>
      <c r="J4060" s="29"/>
      <c r="K4060" s="29"/>
      <c r="L4060" s="29"/>
      <c r="M4060" s="29"/>
      <c r="N4060" s="29" t="s">
        <v>11367</v>
      </c>
      <c r="O4060" s="29"/>
      <c r="P4060" s="29" t="s">
        <v>11368</v>
      </c>
      <c r="Q4060" t="s">
        <v>2038</v>
      </c>
      <c r="R4060" t="s">
        <v>2632</v>
      </c>
      <c r="S4060">
        <v>37</v>
      </c>
      <c r="T4060" s="43" t="str">
        <f>HYPERLINK("https://ictv.global/ictv/proposals/2021.081B.R.Stormageddonvirus.zip","2021.081B.R.Stormageddonvirus.zip")</f>
        <v>2021.081B.R.Stormageddonvirus.zip</v>
      </c>
      <c r="U4060" s="43" t="str">
        <f>HYPERLINK("https://ictv.global/taxonomy/taxondetails?taxnode_id=202213664","ictv.global=202213664")</f>
        <v>ictv.global=202213664</v>
      </c>
    </row>
    <row r="4061" spans="1:21">
      <c r="A4061">
        <v>4060</v>
      </c>
      <c r="B4061" s="29" t="s">
        <v>3682</v>
      </c>
      <c r="C4061" s="29"/>
      <c r="D4061" s="29" t="s">
        <v>3683</v>
      </c>
      <c r="E4061" s="29"/>
      <c r="F4061" s="29" t="s">
        <v>3686</v>
      </c>
      <c r="G4061" s="29"/>
      <c r="H4061" s="29" t="s">
        <v>3687</v>
      </c>
      <c r="I4061" s="29"/>
      <c r="J4061" s="29"/>
      <c r="K4061" s="29"/>
      <c r="L4061" s="29"/>
      <c r="M4061" s="29"/>
      <c r="N4061" s="29" t="s">
        <v>4779</v>
      </c>
      <c r="O4061" s="29"/>
      <c r="P4061" s="29" t="s">
        <v>11369</v>
      </c>
      <c r="Q4061" t="s">
        <v>2038</v>
      </c>
      <c r="R4061" t="s">
        <v>2633</v>
      </c>
      <c r="S4061">
        <v>37</v>
      </c>
      <c r="T4061" s="43" t="str">
        <f>HYPERLINK("https://ictv.global/ictv/proposals/2021.010B.R.Binomial_names.zip","2021.010B.R.Binomial_names.zip")</f>
        <v>2021.010B.R.Binomial_names.zip</v>
      </c>
      <c r="U4061" s="43" t="str">
        <f>HYPERLINK("https://ictv.global/taxonomy/taxondetails?taxnode_id=202210176","ictv.global=202210176")</f>
        <v>ictv.global=202210176</v>
      </c>
    </row>
    <row r="4062" spans="1:21">
      <c r="A4062">
        <v>4061</v>
      </c>
      <c r="B4062" s="29" t="s">
        <v>3682</v>
      </c>
      <c r="C4062" s="29"/>
      <c r="D4062" s="29" t="s">
        <v>3683</v>
      </c>
      <c r="E4062" s="29"/>
      <c r="F4062" s="29" t="s">
        <v>3686</v>
      </c>
      <c r="G4062" s="29"/>
      <c r="H4062" s="29" t="s">
        <v>3687</v>
      </c>
      <c r="I4062" s="29"/>
      <c r="J4062" s="29"/>
      <c r="K4062" s="29"/>
      <c r="L4062" s="29"/>
      <c r="M4062" s="29"/>
      <c r="N4062" s="29" t="s">
        <v>2641</v>
      </c>
      <c r="O4062" s="29"/>
      <c r="P4062" s="29" t="s">
        <v>11370</v>
      </c>
      <c r="Q4062" t="s">
        <v>2038</v>
      </c>
      <c r="R4062" t="s">
        <v>2633</v>
      </c>
      <c r="S4062">
        <v>37</v>
      </c>
      <c r="T4062" s="43" t="str">
        <f>HYPERLINK("https://ictv.global/ictv/proposals/2021.010B.R.Binomial_names.zip","2021.010B.R.Binomial_names.zip")</f>
        <v>2021.010B.R.Binomial_names.zip</v>
      </c>
      <c r="U4062" s="43" t="str">
        <f>HYPERLINK("https://ictv.global/taxonomy/taxondetails?taxnode_id=202205486","ictv.global=202205486")</f>
        <v>ictv.global=202205486</v>
      </c>
    </row>
    <row r="4063" spans="1:21">
      <c r="A4063">
        <v>4062</v>
      </c>
      <c r="B4063" s="29" t="s">
        <v>3682</v>
      </c>
      <c r="C4063" s="29"/>
      <c r="D4063" s="29" t="s">
        <v>3683</v>
      </c>
      <c r="E4063" s="29"/>
      <c r="F4063" s="29" t="s">
        <v>3686</v>
      </c>
      <c r="G4063" s="29"/>
      <c r="H4063" s="29" t="s">
        <v>3687</v>
      </c>
      <c r="I4063" s="29"/>
      <c r="J4063" s="29"/>
      <c r="K4063" s="29"/>
      <c r="L4063" s="29"/>
      <c r="M4063" s="29"/>
      <c r="N4063" s="29" t="s">
        <v>2641</v>
      </c>
      <c r="O4063" s="29"/>
      <c r="P4063" s="29" t="s">
        <v>11371</v>
      </c>
      <c r="Q4063" t="s">
        <v>2038</v>
      </c>
      <c r="R4063" t="s">
        <v>2633</v>
      </c>
      <c r="S4063">
        <v>37</v>
      </c>
      <c r="T4063" s="43" t="str">
        <f>HYPERLINK("https://ictv.global/ictv/proposals/2021.010B.R.Binomial_names.zip","2021.010B.R.Binomial_names.zip")</f>
        <v>2021.010B.R.Binomial_names.zip</v>
      </c>
      <c r="U4063" s="43" t="str">
        <f>HYPERLINK("https://ictv.global/taxonomy/taxondetails?taxnode_id=202205485","ictv.global=202205485")</f>
        <v>ictv.global=202205485</v>
      </c>
    </row>
    <row r="4064" spans="1:21">
      <c r="A4064">
        <v>4063</v>
      </c>
      <c r="B4064" s="29" t="s">
        <v>3682</v>
      </c>
      <c r="C4064" s="29"/>
      <c r="D4064" s="29" t="s">
        <v>3683</v>
      </c>
      <c r="E4064" s="29"/>
      <c r="F4064" s="29" t="s">
        <v>3686</v>
      </c>
      <c r="G4064" s="29"/>
      <c r="H4064" s="29" t="s">
        <v>3687</v>
      </c>
      <c r="I4064" s="29"/>
      <c r="J4064" s="29"/>
      <c r="K4064" s="29"/>
      <c r="L4064" s="29"/>
      <c r="M4064" s="29"/>
      <c r="N4064" s="29" t="s">
        <v>11372</v>
      </c>
      <c r="O4064" s="29"/>
      <c r="P4064" s="29" t="s">
        <v>11373</v>
      </c>
      <c r="Q4064" t="s">
        <v>2038</v>
      </c>
      <c r="R4064" t="s">
        <v>2632</v>
      </c>
      <c r="S4064">
        <v>37</v>
      </c>
      <c r="T4064" s="43" t="str">
        <f>HYPERLINK("https://ictv.global/ictv/proposals/2021.078B.R.Siphoviridae_new_genera.zip","2021.078B.R.Siphoviridae_new_genera.zip")</f>
        <v>2021.078B.R.Siphoviridae_new_genera.zip</v>
      </c>
      <c r="U4064" s="43" t="str">
        <f>HYPERLINK("https://ictv.global/taxonomy/taxondetails?taxnode_id=202213635","ictv.global=202213635")</f>
        <v>ictv.global=202213635</v>
      </c>
    </row>
    <row r="4065" spans="1:21">
      <c r="A4065">
        <v>4064</v>
      </c>
      <c r="B4065" s="29" t="s">
        <v>3682</v>
      </c>
      <c r="C4065" s="29"/>
      <c r="D4065" s="29" t="s">
        <v>3683</v>
      </c>
      <c r="E4065" s="29"/>
      <c r="F4065" s="29" t="s">
        <v>3686</v>
      </c>
      <c r="G4065" s="29"/>
      <c r="H4065" s="29" t="s">
        <v>3687</v>
      </c>
      <c r="I4065" s="29"/>
      <c r="J4065" s="29"/>
      <c r="K4065" s="29"/>
      <c r="L4065" s="29"/>
      <c r="M4065" s="29"/>
      <c r="N4065" s="29" t="s">
        <v>11374</v>
      </c>
      <c r="O4065" s="29"/>
      <c r="P4065" s="29" t="s">
        <v>11375</v>
      </c>
      <c r="Q4065" t="s">
        <v>2038</v>
      </c>
      <c r="R4065" t="s">
        <v>2632</v>
      </c>
      <c r="S4065">
        <v>38</v>
      </c>
      <c r="T4065" s="43" t="str">
        <f>HYPERLINK("https://ictv.global/ictv/proposals/2022.088B.Syrbvirus_ng.zip","2022.088B.Syrbvirus_ng.zip")</f>
        <v>2022.088B.Syrbvirus_ng.zip</v>
      </c>
      <c r="U4065" s="43" t="str">
        <f>HYPERLINK("https://ictv.global/taxonomy/taxondetails?taxnode_id=202214946","ictv.global=202214946")</f>
        <v>ictv.global=202214946</v>
      </c>
    </row>
    <row r="4066" spans="1:21">
      <c r="A4066">
        <v>4065</v>
      </c>
      <c r="B4066" s="29" t="s">
        <v>3682</v>
      </c>
      <c r="C4066" s="29"/>
      <c r="D4066" s="29" t="s">
        <v>3683</v>
      </c>
      <c r="E4066" s="29"/>
      <c r="F4066" s="29" t="s">
        <v>3686</v>
      </c>
      <c r="G4066" s="29"/>
      <c r="H4066" s="29" t="s">
        <v>3687</v>
      </c>
      <c r="I4066" s="29"/>
      <c r="J4066" s="29"/>
      <c r="K4066" s="29"/>
      <c r="L4066" s="29"/>
      <c r="M4066" s="29"/>
      <c r="N4066" s="29" t="s">
        <v>3486</v>
      </c>
      <c r="O4066" s="29"/>
      <c r="P4066" s="29" t="s">
        <v>11376</v>
      </c>
      <c r="Q4066" t="s">
        <v>2038</v>
      </c>
      <c r="R4066" t="s">
        <v>2633</v>
      </c>
      <c r="S4066">
        <v>37</v>
      </c>
      <c r="T4066" s="43" t="str">
        <f t="shared" ref="T4066:T4071" si="191">HYPERLINK("https://ictv.global/ictv/proposals/2021.010B.R.Binomial_names.zip","2021.010B.R.Binomial_names.zip")</f>
        <v>2021.010B.R.Binomial_names.zip</v>
      </c>
      <c r="U4066" s="43" t="str">
        <f>HYPERLINK("https://ictv.global/taxonomy/taxondetails?taxnode_id=202206888","ictv.global=202206888")</f>
        <v>ictv.global=202206888</v>
      </c>
    </row>
    <row r="4067" spans="1:21">
      <c r="A4067">
        <v>4066</v>
      </c>
      <c r="B4067" s="29" t="s">
        <v>3682</v>
      </c>
      <c r="C4067" s="29"/>
      <c r="D4067" s="29" t="s">
        <v>3683</v>
      </c>
      <c r="E4067" s="29"/>
      <c r="F4067" s="29" t="s">
        <v>3686</v>
      </c>
      <c r="G4067" s="29"/>
      <c r="H4067" s="29" t="s">
        <v>3687</v>
      </c>
      <c r="I4067" s="29"/>
      <c r="J4067" s="29"/>
      <c r="K4067" s="29"/>
      <c r="L4067" s="29"/>
      <c r="M4067" s="29"/>
      <c r="N4067" s="29" t="s">
        <v>4585</v>
      </c>
      <c r="O4067" s="29"/>
      <c r="P4067" s="29" t="s">
        <v>11377</v>
      </c>
      <c r="Q4067" t="s">
        <v>2038</v>
      </c>
      <c r="R4067" t="s">
        <v>2633</v>
      </c>
      <c r="S4067">
        <v>37</v>
      </c>
      <c r="T4067" s="43" t="str">
        <f t="shared" si="191"/>
        <v>2021.010B.R.Binomial_names.zip</v>
      </c>
      <c r="U4067" s="43" t="str">
        <f>HYPERLINK("https://ictv.global/taxonomy/taxondetails?taxnode_id=202200514","ictv.global=202200514")</f>
        <v>ictv.global=202200514</v>
      </c>
    </row>
    <row r="4068" spans="1:21">
      <c r="A4068">
        <v>4067</v>
      </c>
      <c r="B4068" s="29" t="s">
        <v>3682</v>
      </c>
      <c r="C4068" s="29"/>
      <c r="D4068" s="29" t="s">
        <v>3683</v>
      </c>
      <c r="E4068" s="29"/>
      <c r="F4068" s="29" t="s">
        <v>3686</v>
      </c>
      <c r="G4068" s="29"/>
      <c r="H4068" s="29" t="s">
        <v>3687</v>
      </c>
      <c r="I4068" s="29"/>
      <c r="J4068" s="29"/>
      <c r="K4068" s="29"/>
      <c r="L4068" s="29"/>
      <c r="M4068" s="29"/>
      <c r="N4068" s="29" t="s">
        <v>4780</v>
      </c>
      <c r="O4068" s="29"/>
      <c r="P4068" s="29" t="s">
        <v>11378</v>
      </c>
      <c r="Q4068" t="s">
        <v>2038</v>
      </c>
      <c r="R4068" t="s">
        <v>2633</v>
      </c>
      <c r="S4068">
        <v>37</v>
      </c>
      <c r="T4068" s="43" t="str">
        <f t="shared" si="191"/>
        <v>2021.010B.R.Binomial_names.zip</v>
      </c>
      <c r="U4068" s="43" t="str">
        <f>HYPERLINK("https://ictv.global/taxonomy/taxondetails?taxnode_id=202211965","ictv.global=202211965")</f>
        <v>ictv.global=202211965</v>
      </c>
    </row>
    <row r="4069" spans="1:21">
      <c r="A4069">
        <v>4068</v>
      </c>
      <c r="B4069" s="29" t="s">
        <v>3682</v>
      </c>
      <c r="C4069" s="29"/>
      <c r="D4069" s="29" t="s">
        <v>3683</v>
      </c>
      <c r="E4069" s="29"/>
      <c r="F4069" s="29" t="s">
        <v>3686</v>
      </c>
      <c r="G4069" s="29"/>
      <c r="H4069" s="29" t="s">
        <v>3687</v>
      </c>
      <c r="I4069" s="29"/>
      <c r="J4069" s="29"/>
      <c r="K4069" s="29"/>
      <c r="L4069" s="29"/>
      <c r="M4069" s="29"/>
      <c r="N4069" s="29" t="s">
        <v>2444</v>
      </c>
      <c r="O4069" s="29"/>
      <c r="P4069" s="29" t="s">
        <v>11379</v>
      </c>
      <c r="Q4069" t="s">
        <v>2038</v>
      </c>
      <c r="R4069" t="s">
        <v>2633</v>
      </c>
      <c r="S4069">
        <v>37</v>
      </c>
      <c r="T4069" s="43" t="str">
        <f t="shared" si="191"/>
        <v>2021.010B.R.Binomial_names.zip</v>
      </c>
      <c r="U4069" s="43" t="str">
        <f>HYPERLINK("https://ictv.global/taxonomy/taxondetails?taxnode_id=202201334","ictv.global=202201334")</f>
        <v>ictv.global=202201334</v>
      </c>
    </row>
    <row r="4070" spans="1:21">
      <c r="A4070">
        <v>4069</v>
      </c>
      <c r="B4070" s="29" t="s">
        <v>3682</v>
      </c>
      <c r="C4070" s="29"/>
      <c r="D4070" s="29" t="s">
        <v>3683</v>
      </c>
      <c r="E4070" s="29"/>
      <c r="F4070" s="29" t="s">
        <v>3686</v>
      </c>
      <c r="G4070" s="29"/>
      <c r="H4070" s="29" t="s">
        <v>3687</v>
      </c>
      <c r="I4070" s="29"/>
      <c r="J4070" s="29"/>
      <c r="K4070" s="29"/>
      <c r="L4070" s="29"/>
      <c r="M4070" s="29"/>
      <c r="N4070" s="29" t="s">
        <v>4781</v>
      </c>
      <c r="O4070" s="29"/>
      <c r="P4070" s="29" t="s">
        <v>11380</v>
      </c>
      <c r="Q4070" t="s">
        <v>2038</v>
      </c>
      <c r="R4070" t="s">
        <v>2633</v>
      </c>
      <c r="S4070">
        <v>37</v>
      </c>
      <c r="T4070" s="43" t="str">
        <f t="shared" si="191"/>
        <v>2021.010B.R.Binomial_names.zip</v>
      </c>
      <c r="U4070" s="43" t="str">
        <f>HYPERLINK("https://ictv.global/taxonomy/taxondetails?taxnode_id=202210017","ictv.global=202210017")</f>
        <v>ictv.global=202210017</v>
      </c>
    </row>
    <row r="4071" spans="1:21">
      <c r="A4071">
        <v>4070</v>
      </c>
      <c r="B4071" s="29" t="s">
        <v>3682</v>
      </c>
      <c r="C4071" s="29"/>
      <c r="D4071" s="29" t="s">
        <v>3683</v>
      </c>
      <c r="E4071" s="29"/>
      <c r="F4071" s="29" t="s">
        <v>3686</v>
      </c>
      <c r="G4071" s="29"/>
      <c r="H4071" s="29" t="s">
        <v>3687</v>
      </c>
      <c r="I4071" s="29"/>
      <c r="J4071" s="29"/>
      <c r="K4071" s="29"/>
      <c r="L4071" s="29"/>
      <c r="M4071" s="29"/>
      <c r="N4071" s="29" t="s">
        <v>3948</v>
      </c>
      <c r="O4071" s="29"/>
      <c r="P4071" s="29" t="s">
        <v>11381</v>
      </c>
      <c r="Q4071" t="s">
        <v>2038</v>
      </c>
      <c r="R4071" t="s">
        <v>2633</v>
      </c>
      <c r="S4071">
        <v>37</v>
      </c>
      <c r="T4071" s="43" t="str">
        <f t="shared" si="191"/>
        <v>2021.010B.R.Binomial_names.zip</v>
      </c>
      <c r="U4071" s="43" t="str">
        <f>HYPERLINK("https://ictv.global/taxonomy/taxondetails?taxnode_id=202208046","ictv.global=202208046")</f>
        <v>ictv.global=202208046</v>
      </c>
    </row>
    <row r="4072" spans="1:21">
      <c r="A4072">
        <v>4071</v>
      </c>
      <c r="B4072" s="29" t="s">
        <v>3682</v>
      </c>
      <c r="C4072" s="29"/>
      <c r="D4072" s="29" t="s">
        <v>3683</v>
      </c>
      <c r="E4072" s="29"/>
      <c r="F4072" s="29" t="s">
        <v>3686</v>
      </c>
      <c r="G4072" s="29"/>
      <c r="H4072" s="29" t="s">
        <v>3687</v>
      </c>
      <c r="I4072" s="29"/>
      <c r="J4072" s="29"/>
      <c r="K4072" s="29"/>
      <c r="L4072" s="29"/>
      <c r="M4072" s="29"/>
      <c r="N4072" s="29" t="s">
        <v>11382</v>
      </c>
      <c r="O4072" s="29"/>
      <c r="P4072" s="29" t="s">
        <v>11383</v>
      </c>
      <c r="Q4072" t="s">
        <v>2038</v>
      </c>
      <c r="R4072" t="s">
        <v>2632</v>
      </c>
      <c r="S4072">
        <v>38</v>
      </c>
      <c r="T4072" s="43" t="str">
        <f>HYPERLINK("https://ictv.global/ictv/proposals/2022.066B.Caudoviricetes_6ng.zip","2022.066B.Caudoviricetes_6ng.zip")</f>
        <v>2022.066B.Caudoviricetes_6ng.zip</v>
      </c>
      <c r="U4072" s="43" t="str">
        <f>HYPERLINK("https://ictv.global/taxonomy/taxondetails?taxnode_id=202214782","ictv.global=202214782")</f>
        <v>ictv.global=202214782</v>
      </c>
    </row>
    <row r="4073" spans="1:21">
      <c r="A4073">
        <v>4072</v>
      </c>
      <c r="B4073" s="29" t="s">
        <v>3682</v>
      </c>
      <c r="C4073" s="29"/>
      <c r="D4073" s="29" t="s">
        <v>3683</v>
      </c>
      <c r="E4073" s="29"/>
      <c r="F4073" s="29" t="s">
        <v>3686</v>
      </c>
      <c r="G4073" s="29"/>
      <c r="H4073" s="29" t="s">
        <v>3687</v>
      </c>
      <c r="I4073" s="29"/>
      <c r="J4073" s="29"/>
      <c r="K4073" s="29"/>
      <c r="L4073" s="29"/>
      <c r="M4073" s="29"/>
      <c r="N4073" s="29" t="s">
        <v>4042</v>
      </c>
      <c r="O4073" s="29"/>
      <c r="P4073" s="29" t="s">
        <v>11384</v>
      </c>
      <c r="Q4073" t="s">
        <v>2038</v>
      </c>
      <c r="R4073" t="s">
        <v>2633</v>
      </c>
      <c r="S4073">
        <v>37</v>
      </c>
      <c r="T4073" s="43" t="str">
        <f t="shared" ref="T4073:T4080" si="192">HYPERLINK("https://ictv.global/ictv/proposals/2021.010B.R.Binomial_names.zip","2021.010B.R.Binomial_names.zip")</f>
        <v>2021.010B.R.Binomial_names.zip</v>
      </c>
      <c r="U4073" s="43" t="str">
        <f>HYPERLINK("https://ictv.global/taxonomy/taxondetails?taxnode_id=202207706","ictv.global=202207706")</f>
        <v>ictv.global=202207706</v>
      </c>
    </row>
    <row r="4074" spans="1:21">
      <c r="A4074">
        <v>4073</v>
      </c>
      <c r="B4074" s="29" t="s">
        <v>3682</v>
      </c>
      <c r="C4074" s="29"/>
      <c r="D4074" s="29" t="s">
        <v>3683</v>
      </c>
      <c r="E4074" s="29"/>
      <c r="F4074" s="29" t="s">
        <v>3686</v>
      </c>
      <c r="G4074" s="29"/>
      <c r="H4074" s="29" t="s">
        <v>3687</v>
      </c>
      <c r="I4074" s="29"/>
      <c r="J4074" s="29"/>
      <c r="K4074" s="29"/>
      <c r="L4074" s="29"/>
      <c r="M4074" s="29"/>
      <c r="N4074" s="29" t="s">
        <v>4042</v>
      </c>
      <c r="O4074" s="29"/>
      <c r="P4074" s="29" t="s">
        <v>11385</v>
      </c>
      <c r="Q4074" t="s">
        <v>2038</v>
      </c>
      <c r="R4074" t="s">
        <v>2633</v>
      </c>
      <c r="S4074">
        <v>37</v>
      </c>
      <c r="T4074" s="43" t="str">
        <f t="shared" si="192"/>
        <v>2021.010B.R.Binomial_names.zip</v>
      </c>
      <c r="U4074" s="43" t="str">
        <f>HYPERLINK("https://ictv.global/taxonomy/taxondetails?taxnode_id=202207705","ictv.global=202207705")</f>
        <v>ictv.global=202207705</v>
      </c>
    </row>
    <row r="4075" spans="1:21">
      <c r="A4075">
        <v>4074</v>
      </c>
      <c r="B4075" s="29" t="s">
        <v>3682</v>
      </c>
      <c r="C4075" s="29"/>
      <c r="D4075" s="29" t="s">
        <v>3683</v>
      </c>
      <c r="E4075" s="29"/>
      <c r="F4075" s="29" t="s">
        <v>3686</v>
      </c>
      <c r="G4075" s="29"/>
      <c r="H4075" s="29" t="s">
        <v>3687</v>
      </c>
      <c r="I4075" s="29"/>
      <c r="J4075" s="29"/>
      <c r="K4075" s="29"/>
      <c r="L4075" s="29"/>
      <c r="M4075" s="29"/>
      <c r="N4075" s="29" t="s">
        <v>4782</v>
      </c>
      <c r="O4075" s="29"/>
      <c r="P4075" s="29" t="s">
        <v>11386</v>
      </c>
      <c r="Q4075" t="s">
        <v>2038</v>
      </c>
      <c r="R4075" t="s">
        <v>2633</v>
      </c>
      <c r="S4075">
        <v>37</v>
      </c>
      <c r="T4075" s="43" t="str">
        <f t="shared" si="192"/>
        <v>2021.010B.R.Binomial_names.zip</v>
      </c>
      <c r="U4075" s="43" t="str">
        <f>HYPERLINK("https://ictv.global/taxonomy/taxondetails?taxnode_id=202212022","ictv.global=202212022")</f>
        <v>ictv.global=202212022</v>
      </c>
    </row>
    <row r="4076" spans="1:21">
      <c r="A4076">
        <v>4075</v>
      </c>
      <c r="B4076" s="29" t="s">
        <v>3682</v>
      </c>
      <c r="C4076" s="29"/>
      <c r="D4076" s="29" t="s">
        <v>3683</v>
      </c>
      <c r="E4076" s="29"/>
      <c r="F4076" s="29" t="s">
        <v>3686</v>
      </c>
      <c r="G4076" s="29"/>
      <c r="H4076" s="29" t="s">
        <v>3687</v>
      </c>
      <c r="I4076" s="29"/>
      <c r="J4076" s="29"/>
      <c r="K4076" s="29"/>
      <c r="L4076" s="29"/>
      <c r="M4076" s="29"/>
      <c r="N4076" s="29" t="s">
        <v>4782</v>
      </c>
      <c r="O4076" s="29"/>
      <c r="P4076" s="29" t="s">
        <v>11387</v>
      </c>
      <c r="Q4076" t="s">
        <v>2038</v>
      </c>
      <c r="R4076" t="s">
        <v>2633</v>
      </c>
      <c r="S4076">
        <v>37</v>
      </c>
      <c r="T4076" s="43" t="str">
        <f t="shared" si="192"/>
        <v>2021.010B.R.Binomial_names.zip</v>
      </c>
      <c r="U4076" s="43" t="str">
        <f>HYPERLINK("https://ictv.global/taxonomy/taxondetails?taxnode_id=202212021","ictv.global=202212021")</f>
        <v>ictv.global=202212021</v>
      </c>
    </row>
    <row r="4077" spans="1:21">
      <c r="A4077">
        <v>4076</v>
      </c>
      <c r="B4077" s="29" t="s">
        <v>3682</v>
      </c>
      <c r="C4077" s="29"/>
      <c r="D4077" s="29" t="s">
        <v>3683</v>
      </c>
      <c r="E4077" s="29"/>
      <c r="F4077" s="29" t="s">
        <v>3686</v>
      </c>
      <c r="G4077" s="29"/>
      <c r="H4077" s="29" t="s">
        <v>3687</v>
      </c>
      <c r="I4077" s="29"/>
      <c r="J4077" s="29"/>
      <c r="K4077" s="29"/>
      <c r="L4077" s="29"/>
      <c r="M4077" s="29"/>
      <c r="N4077" s="29" t="s">
        <v>4782</v>
      </c>
      <c r="O4077" s="29"/>
      <c r="P4077" s="29" t="s">
        <v>11388</v>
      </c>
      <c r="Q4077" t="s">
        <v>2038</v>
      </c>
      <c r="R4077" t="s">
        <v>2633</v>
      </c>
      <c r="S4077">
        <v>37</v>
      </c>
      <c r="T4077" s="43" t="str">
        <f t="shared" si="192"/>
        <v>2021.010B.R.Binomial_names.zip</v>
      </c>
      <c r="U4077" s="43" t="str">
        <f>HYPERLINK("https://ictv.global/taxonomy/taxondetails?taxnode_id=202212023","ictv.global=202212023")</f>
        <v>ictv.global=202212023</v>
      </c>
    </row>
    <row r="4078" spans="1:21">
      <c r="A4078">
        <v>4077</v>
      </c>
      <c r="B4078" s="29" t="s">
        <v>3682</v>
      </c>
      <c r="C4078" s="29"/>
      <c r="D4078" s="29" t="s">
        <v>3683</v>
      </c>
      <c r="E4078" s="29"/>
      <c r="F4078" s="29" t="s">
        <v>3686</v>
      </c>
      <c r="G4078" s="29"/>
      <c r="H4078" s="29" t="s">
        <v>3687</v>
      </c>
      <c r="I4078" s="29"/>
      <c r="J4078" s="29"/>
      <c r="K4078" s="29"/>
      <c r="L4078" s="29"/>
      <c r="M4078" s="29"/>
      <c r="N4078" s="29" t="s">
        <v>4782</v>
      </c>
      <c r="O4078" s="29"/>
      <c r="P4078" s="29" t="s">
        <v>11389</v>
      </c>
      <c r="Q4078" t="s">
        <v>2038</v>
      </c>
      <c r="R4078" t="s">
        <v>2633</v>
      </c>
      <c r="S4078">
        <v>37</v>
      </c>
      <c r="T4078" s="43" t="str">
        <f t="shared" si="192"/>
        <v>2021.010B.R.Binomial_names.zip</v>
      </c>
      <c r="U4078" s="43" t="str">
        <f>HYPERLINK("https://ictv.global/taxonomy/taxondetails?taxnode_id=202212024","ictv.global=202212024")</f>
        <v>ictv.global=202212024</v>
      </c>
    </row>
    <row r="4079" spans="1:21">
      <c r="A4079">
        <v>4078</v>
      </c>
      <c r="B4079" s="29" t="s">
        <v>3682</v>
      </c>
      <c r="C4079" s="29"/>
      <c r="D4079" s="29" t="s">
        <v>3683</v>
      </c>
      <c r="E4079" s="29"/>
      <c r="F4079" s="29" t="s">
        <v>3686</v>
      </c>
      <c r="G4079" s="29"/>
      <c r="H4079" s="29" t="s">
        <v>3687</v>
      </c>
      <c r="I4079" s="29"/>
      <c r="J4079" s="29"/>
      <c r="K4079" s="29"/>
      <c r="L4079" s="29"/>
      <c r="M4079" s="29"/>
      <c r="N4079" s="29" t="s">
        <v>4782</v>
      </c>
      <c r="O4079" s="29"/>
      <c r="P4079" s="29" t="s">
        <v>11390</v>
      </c>
      <c r="Q4079" t="s">
        <v>2038</v>
      </c>
      <c r="R4079" t="s">
        <v>2633</v>
      </c>
      <c r="S4079">
        <v>37</v>
      </c>
      <c r="T4079" s="43" t="str">
        <f t="shared" si="192"/>
        <v>2021.010B.R.Binomial_names.zip</v>
      </c>
      <c r="U4079" s="43" t="str">
        <f>HYPERLINK("https://ictv.global/taxonomy/taxondetails?taxnode_id=202212020","ictv.global=202212020")</f>
        <v>ictv.global=202212020</v>
      </c>
    </row>
    <row r="4080" spans="1:21">
      <c r="A4080">
        <v>4079</v>
      </c>
      <c r="B4080" s="29" t="s">
        <v>3682</v>
      </c>
      <c r="C4080" s="29"/>
      <c r="D4080" s="29" t="s">
        <v>3683</v>
      </c>
      <c r="E4080" s="29"/>
      <c r="F4080" s="29" t="s">
        <v>3686</v>
      </c>
      <c r="G4080" s="29"/>
      <c r="H4080" s="29" t="s">
        <v>3687</v>
      </c>
      <c r="I4080" s="29"/>
      <c r="J4080" s="29"/>
      <c r="K4080" s="29"/>
      <c r="L4080" s="29"/>
      <c r="M4080" s="29"/>
      <c r="N4080" s="29" t="s">
        <v>3439</v>
      </c>
      <c r="O4080" s="29"/>
      <c r="P4080" s="29" t="s">
        <v>11391</v>
      </c>
      <c r="Q4080" t="s">
        <v>2038</v>
      </c>
      <c r="R4080" t="s">
        <v>2633</v>
      </c>
      <c r="S4080">
        <v>37</v>
      </c>
      <c r="T4080" s="43" t="str">
        <f t="shared" si="192"/>
        <v>2021.010B.R.Binomial_names.zip</v>
      </c>
      <c r="U4080" s="43" t="str">
        <f>HYPERLINK("https://ictv.global/taxonomy/taxondetails?taxnode_id=202206890","ictv.global=202206890")</f>
        <v>ictv.global=202206890</v>
      </c>
    </row>
    <row r="4081" spans="1:21">
      <c r="A4081">
        <v>4080</v>
      </c>
      <c r="B4081" s="29" t="s">
        <v>3682</v>
      </c>
      <c r="C4081" s="29"/>
      <c r="D4081" s="29" t="s">
        <v>3683</v>
      </c>
      <c r="E4081" s="29"/>
      <c r="F4081" s="29" t="s">
        <v>3686</v>
      </c>
      <c r="G4081" s="29"/>
      <c r="H4081" s="29" t="s">
        <v>3687</v>
      </c>
      <c r="I4081" s="29"/>
      <c r="J4081" s="29"/>
      <c r="K4081" s="29"/>
      <c r="L4081" s="29"/>
      <c r="M4081" s="29"/>
      <c r="N4081" s="29" t="s">
        <v>11392</v>
      </c>
      <c r="O4081" s="29"/>
      <c r="P4081" s="29" t="s">
        <v>11393</v>
      </c>
      <c r="Q4081" t="s">
        <v>2038</v>
      </c>
      <c r="R4081" t="s">
        <v>2632</v>
      </c>
      <c r="S4081">
        <v>38</v>
      </c>
      <c r="T4081" s="43" t="str">
        <f>HYPERLINK("https://ictv.global/ictv/proposals/2022.089B.Caudoviricetes_3ng_vibrio.zip","2022.089B.Caudoviricetes_3ng_vibrio.zip")</f>
        <v>2022.089B.Caudoviricetes_3ng_vibrio.zip</v>
      </c>
      <c r="U4081" s="43" t="str">
        <f>HYPERLINK("https://ictv.global/taxonomy/taxondetails?taxnode_id=202214952","ictv.global=202214952")</f>
        <v>ictv.global=202214952</v>
      </c>
    </row>
    <row r="4082" spans="1:21">
      <c r="A4082">
        <v>4081</v>
      </c>
      <c r="B4082" s="29" t="s">
        <v>3682</v>
      </c>
      <c r="C4082" s="29"/>
      <c r="D4082" s="29" t="s">
        <v>3683</v>
      </c>
      <c r="E4082" s="29"/>
      <c r="F4082" s="29" t="s">
        <v>3686</v>
      </c>
      <c r="G4082" s="29"/>
      <c r="H4082" s="29" t="s">
        <v>3687</v>
      </c>
      <c r="I4082" s="29"/>
      <c r="J4082" s="29"/>
      <c r="K4082" s="29"/>
      <c r="L4082" s="29"/>
      <c r="M4082" s="29"/>
      <c r="N4082" s="29" t="s">
        <v>4043</v>
      </c>
      <c r="O4082" s="29"/>
      <c r="P4082" s="29" t="s">
        <v>11394</v>
      </c>
      <c r="Q4082" t="s">
        <v>2038</v>
      </c>
      <c r="R4082" t="s">
        <v>2633</v>
      </c>
      <c r="S4082">
        <v>37</v>
      </c>
      <c r="T4082" s="43" t="str">
        <f>HYPERLINK("https://ictv.global/ictv/proposals/2021.010B.R.Binomial_names.zip","2021.010B.R.Binomial_names.zip")</f>
        <v>2021.010B.R.Binomial_names.zip</v>
      </c>
      <c r="U4082" s="43" t="str">
        <f>HYPERLINK("https://ictv.global/taxonomy/taxondetails?taxnode_id=202201187","ictv.global=202201187")</f>
        <v>ictv.global=202201187</v>
      </c>
    </row>
    <row r="4083" spans="1:21">
      <c r="A4083">
        <v>4082</v>
      </c>
      <c r="B4083" s="29" t="s">
        <v>3682</v>
      </c>
      <c r="C4083" s="29"/>
      <c r="D4083" s="29" t="s">
        <v>3683</v>
      </c>
      <c r="E4083" s="29"/>
      <c r="F4083" s="29" t="s">
        <v>3686</v>
      </c>
      <c r="G4083" s="29"/>
      <c r="H4083" s="29" t="s">
        <v>3687</v>
      </c>
      <c r="I4083" s="29"/>
      <c r="J4083" s="29"/>
      <c r="K4083" s="29"/>
      <c r="L4083" s="29"/>
      <c r="M4083" s="29"/>
      <c r="N4083" s="29" t="s">
        <v>3441</v>
      </c>
      <c r="O4083" s="29"/>
      <c r="P4083" s="29" t="s">
        <v>11395</v>
      </c>
      <c r="Q4083" t="s">
        <v>2038</v>
      </c>
      <c r="R4083" t="s">
        <v>2633</v>
      </c>
      <c r="S4083">
        <v>37</v>
      </c>
      <c r="T4083" s="43" t="str">
        <f>HYPERLINK("https://ictv.global/ictv/proposals/2021.010B.R.Binomial_names.zip","2021.010B.R.Binomial_names.zip")</f>
        <v>2021.010B.R.Binomial_names.zip</v>
      </c>
      <c r="U4083" s="43" t="str">
        <f>HYPERLINK("https://ictv.global/taxonomy/taxondetails?taxnode_id=202206787","ictv.global=202206787")</f>
        <v>ictv.global=202206787</v>
      </c>
    </row>
    <row r="4084" spans="1:21">
      <c r="A4084">
        <v>4083</v>
      </c>
      <c r="B4084" s="29" t="s">
        <v>3682</v>
      </c>
      <c r="C4084" s="29"/>
      <c r="D4084" s="29" t="s">
        <v>3683</v>
      </c>
      <c r="E4084" s="29"/>
      <c r="F4084" s="29" t="s">
        <v>3686</v>
      </c>
      <c r="G4084" s="29"/>
      <c r="H4084" s="29" t="s">
        <v>3687</v>
      </c>
      <c r="I4084" s="29"/>
      <c r="J4084" s="29"/>
      <c r="K4084" s="29"/>
      <c r="L4084" s="29"/>
      <c r="M4084" s="29"/>
      <c r="N4084" s="29" t="s">
        <v>11396</v>
      </c>
      <c r="O4084" s="29"/>
      <c r="P4084" s="29" t="s">
        <v>11397</v>
      </c>
      <c r="Q4084" t="s">
        <v>2038</v>
      </c>
      <c r="R4084" t="s">
        <v>2632</v>
      </c>
      <c r="S4084">
        <v>37</v>
      </c>
      <c r="T4084" s="43" t="str">
        <f>HYPERLINK("https://ictv.global/ictv/proposals/2021.083B.R.Timshelvirus.zip","2021.083B.R.Timshelvirus.zip")</f>
        <v>2021.083B.R.Timshelvirus.zip</v>
      </c>
      <c r="U4084" s="43" t="str">
        <f>HYPERLINK("https://ictv.global/taxonomy/taxondetails?taxnode_id=202212612","ictv.global=202212612")</f>
        <v>ictv.global=202212612</v>
      </c>
    </row>
    <row r="4085" spans="1:21">
      <c r="A4085">
        <v>4084</v>
      </c>
      <c r="B4085" s="29" t="s">
        <v>3682</v>
      </c>
      <c r="C4085" s="29"/>
      <c r="D4085" s="29" t="s">
        <v>3683</v>
      </c>
      <c r="E4085" s="29"/>
      <c r="F4085" s="29" t="s">
        <v>3686</v>
      </c>
      <c r="G4085" s="29"/>
      <c r="H4085" s="29" t="s">
        <v>3687</v>
      </c>
      <c r="I4085" s="29"/>
      <c r="J4085" s="29"/>
      <c r="K4085" s="29"/>
      <c r="L4085" s="29"/>
      <c r="M4085" s="29"/>
      <c r="N4085" s="29" t="s">
        <v>11396</v>
      </c>
      <c r="O4085" s="29"/>
      <c r="P4085" s="29" t="s">
        <v>11398</v>
      </c>
      <c r="Q4085" t="s">
        <v>2038</v>
      </c>
      <c r="R4085" t="s">
        <v>2632</v>
      </c>
      <c r="S4085">
        <v>37</v>
      </c>
      <c r="T4085" s="43" t="str">
        <f>HYPERLINK("https://ictv.global/ictv/proposals/2021.083B.R.Timshelvirus.zip","2021.083B.R.Timshelvirus.zip")</f>
        <v>2021.083B.R.Timshelvirus.zip</v>
      </c>
      <c r="U4085" s="43" t="str">
        <f>HYPERLINK("https://ictv.global/taxonomy/taxondetails?taxnode_id=202212611","ictv.global=202212611")</f>
        <v>ictv.global=202212611</v>
      </c>
    </row>
    <row r="4086" spans="1:21">
      <c r="A4086">
        <v>4085</v>
      </c>
      <c r="B4086" s="29" t="s">
        <v>3682</v>
      </c>
      <c r="C4086" s="29"/>
      <c r="D4086" s="29" t="s">
        <v>3683</v>
      </c>
      <c r="E4086" s="29"/>
      <c r="F4086" s="29" t="s">
        <v>3686</v>
      </c>
      <c r="G4086" s="29"/>
      <c r="H4086" s="29" t="s">
        <v>3687</v>
      </c>
      <c r="I4086" s="29"/>
      <c r="J4086" s="29"/>
      <c r="K4086" s="29"/>
      <c r="L4086" s="29"/>
      <c r="M4086" s="29"/>
      <c r="N4086" s="29" t="s">
        <v>11396</v>
      </c>
      <c r="O4086" s="29"/>
      <c r="P4086" s="29" t="s">
        <v>11399</v>
      </c>
      <c r="Q4086" t="s">
        <v>2038</v>
      </c>
      <c r="R4086" t="s">
        <v>2632</v>
      </c>
      <c r="S4086">
        <v>37</v>
      </c>
      <c r="T4086" s="43" t="str">
        <f>HYPERLINK("https://ictv.global/ictv/proposals/2021.083B.R.Timshelvirus.zip","2021.083B.R.Timshelvirus.zip")</f>
        <v>2021.083B.R.Timshelvirus.zip</v>
      </c>
      <c r="U4086" s="43" t="str">
        <f>HYPERLINK("https://ictv.global/taxonomy/taxondetails?taxnode_id=202212610","ictv.global=202212610")</f>
        <v>ictv.global=202212610</v>
      </c>
    </row>
    <row r="4087" spans="1:21">
      <c r="A4087">
        <v>4086</v>
      </c>
      <c r="B4087" s="29" t="s">
        <v>3682</v>
      </c>
      <c r="C4087" s="29"/>
      <c r="D4087" s="29" t="s">
        <v>3683</v>
      </c>
      <c r="E4087" s="29"/>
      <c r="F4087" s="29" t="s">
        <v>3686</v>
      </c>
      <c r="G4087" s="29"/>
      <c r="H4087" s="29" t="s">
        <v>3687</v>
      </c>
      <c r="I4087" s="29"/>
      <c r="J4087" s="29"/>
      <c r="K4087" s="29"/>
      <c r="L4087" s="29"/>
      <c r="M4087" s="29"/>
      <c r="N4087" s="29" t="s">
        <v>11396</v>
      </c>
      <c r="O4087" s="29"/>
      <c r="P4087" s="29" t="s">
        <v>11400</v>
      </c>
      <c r="Q4087" t="s">
        <v>2038</v>
      </c>
      <c r="R4087" t="s">
        <v>2633</v>
      </c>
      <c r="S4087">
        <v>37</v>
      </c>
      <c r="T4087" s="43" t="str">
        <f>HYPERLINK("https://ictv.global/ictv/proposals/2021.083B.R.Timshelvirus.zip","2021.083B.R.Timshelvirus.zip")</f>
        <v>2021.083B.R.Timshelvirus.zip</v>
      </c>
      <c r="U4087" s="43" t="str">
        <f>HYPERLINK("https://ictv.global/taxonomy/taxondetails?taxnode_id=202201062","ictv.global=202201062")</f>
        <v>ictv.global=202201062</v>
      </c>
    </row>
    <row r="4088" spans="1:21">
      <c r="A4088">
        <v>4087</v>
      </c>
      <c r="B4088" s="29" t="s">
        <v>3682</v>
      </c>
      <c r="C4088" s="29"/>
      <c r="D4088" s="29" t="s">
        <v>3683</v>
      </c>
      <c r="E4088" s="29"/>
      <c r="F4088" s="29" t="s">
        <v>3686</v>
      </c>
      <c r="G4088" s="29"/>
      <c r="H4088" s="29" t="s">
        <v>3687</v>
      </c>
      <c r="I4088" s="29"/>
      <c r="J4088" s="29"/>
      <c r="K4088" s="29"/>
      <c r="L4088" s="29"/>
      <c r="M4088" s="29"/>
      <c r="N4088" s="29" t="s">
        <v>3608</v>
      </c>
      <c r="O4088" s="29"/>
      <c r="P4088" s="29" t="s">
        <v>11401</v>
      </c>
      <c r="Q4088" t="s">
        <v>2038</v>
      </c>
      <c r="R4088" t="s">
        <v>2633</v>
      </c>
      <c r="S4088">
        <v>37</v>
      </c>
      <c r="T4088" s="43" t="str">
        <f t="shared" ref="T4088:T4115" si="193">HYPERLINK("https://ictv.global/ictv/proposals/2021.010B.R.Binomial_names.zip","2021.010B.R.Binomial_names.zip")</f>
        <v>2021.010B.R.Binomial_names.zip</v>
      </c>
      <c r="U4088" s="43" t="str">
        <f>HYPERLINK("https://ictv.global/taxonomy/taxondetails?taxnode_id=202201336","ictv.global=202201336")</f>
        <v>ictv.global=202201336</v>
      </c>
    </row>
    <row r="4089" spans="1:21">
      <c r="A4089">
        <v>4088</v>
      </c>
      <c r="B4089" s="29" t="s">
        <v>3682</v>
      </c>
      <c r="C4089" s="29"/>
      <c r="D4089" s="29" t="s">
        <v>3683</v>
      </c>
      <c r="E4089" s="29"/>
      <c r="F4089" s="29" t="s">
        <v>3686</v>
      </c>
      <c r="G4089" s="29"/>
      <c r="H4089" s="29" t="s">
        <v>3687</v>
      </c>
      <c r="I4089" s="29"/>
      <c r="J4089" s="29"/>
      <c r="K4089" s="29"/>
      <c r="L4089" s="29"/>
      <c r="M4089" s="29"/>
      <c r="N4089" s="29" t="s">
        <v>3608</v>
      </c>
      <c r="O4089" s="29"/>
      <c r="P4089" s="29" t="s">
        <v>11402</v>
      </c>
      <c r="Q4089" t="s">
        <v>2038</v>
      </c>
      <c r="R4089" t="s">
        <v>2633</v>
      </c>
      <c r="S4089">
        <v>37</v>
      </c>
      <c r="T4089" s="43" t="str">
        <f t="shared" si="193"/>
        <v>2021.010B.R.Binomial_names.zip</v>
      </c>
      <c r="U4089" s="43" t="str">
        <f>HYPERLINK("https://ictv.global/taxonomy/taxondetails?taxnode_id=202201337","ictv.global=202201337")</f>
        <v>ictv.global=202201337</v>
      </c>
    </row>
    <row r="4090" spans="1:21">
      <c r="A4090">
        <v>4089</v>
      </c>
      <c r="B4090" s="29" t="s">
        <v>3682</v>
      </c>
      <c r="C4090" s="29"/>
      <c r="D4090" s="29" t="s">
        <v>3683</v>
      </c>
      <c r="E4090" s="29"/>
      <c r="F4090" s="29" t="s">
        <v>3686</v>
      </c>
      <c r="G4090" s="29"/>
      <c r="H4090" s="29" t="s">
        <v>3687</v>
      </c>
      <c r="I4090" s="29"/>
      <c r="J4090" s="29"/>
      <c r="K4090" s="29"/>
      <c r="L4090" s="29"/>
      <c r="M4090" s="29"/>
      <c r="N4090" s="29" t="s">
        <v>2445</v>
      </c>
      <c r="O4090" s="29"/>
      <c r="P4090" s="29" t="s">
        <v>11403</v>
      </c>
      <c r="Q4090" t="s">
        <v>2038</v>
      </c>
      <c r="R4090" t="s">
        <v>2633</v>
      </c>
      <c r="S4090">
        <v>37</v>
      </c>
      <c r="T4090" s="43" t="str">
        <f t="shared" si="193"/>
        <v>2021.010B.R.Binomial_names.zip</v>
      </c>
      <c r="U4090" s="43" t="str">
        <f>HYPERLINK("https://ictv.global/taxonomy/taxondetails?taxnode_id=202201340","ictv.global=202201340")</f>
        <v>ictv.global=202201340</v>
      </c>
    </row>
    <row r="4091" spans="1:21">
      <c r="A4091">
        <v>4090</v>
      </c>
      <c r="B4091" s="29" t="s">
        <v>3682</v>
      </c>
      <c r="C4091" s="29"/>
      <c r="D4091" s="29" t="s">
        <v>3683</v>
      </c>
      <c r="E4091" s="29"/>
      <c r="F4091" s="29" t="s">
        <v>3686</v>
      </c>
      <c r="G4091" s="29"/>
      <c r="H4091" s="29" t="s">
        <v>3687</v>
      </c>
      <c r="I4091" s="29"/>
      <c r="J4091" s="29"/>
      <c r="K4091" s="29"/>
      <c r="L4091" s="29"/>
      <c r="M4091" s="29"/>
      <c r="N4091" s="29" t="s">
        <v>2445</v>
      </c>
      <c r="O4091" s="29"/>
      <c r="P4091" s="29" t="s">
        <v>11404</v>
      </c>
      <c r="Q4091" t="s">
        <v>2038</v>
      </c>
      <c r="R4091" t="s">
        <v>2633</v>
      </c>
      <c r="S4091">
        <v>37</v>
      </c>
      <c r="T4091" s="43" t="str">
        <f t="shared" si="193"/>
        <v>2021.010B.R.Binomial_names.zip</v>
      </c>
      <c r="U4091" s="43" t="str">
        <f>HYPERLINK("https://ictv.global/taxonomy/taxondetails?taxnode_id=202201341","ictv.global=202201341")</f>
        <v>ictv.global=202201341</v>
      </c>
    </row>
    <row r="4092" spans="1:21">
      <c r="A4092">
        <v>4091</v>
      </c>
      <c r="B4092" s="29" t="s">
        <v>3682</v>
      </c>
      <c r="C4092" s="29"/>
      <c r="D4092" s="29" t="s">
        <v>3683</v>
      </c>
      <c r="E4092" s="29"/>
      <c r="F4092" s="29" t="s">
        <v>3686</v>
      </c>
      <c r="G4092" s="29"/>
      <c r="H4092" s="29" t="s">
        <v>3687</v>
      </c>
      <c r="I4092" s="29"/>
      <c r="J4092" s="29"/>
      <c r="K4092" s="29"/>
      <c r="L4092" s="29"/>
      <c r="M4092" s="29"/>
      <c r="N4092" s="29" t="s">
        <v>3952</v>
      </c>
      <c r="O4092" s="29"/>
      <c r="P4092" s="29" t="s">
        <v>11405</v>
      </c>
      <c r="Q4092" t="s">
        <v>2038</v>
      </c>
      <c r="R4092" t="s">
        <v>2633</v>
      </c>
      <c r="S4092">
        <v>37</v>
      </c>
      <c r="T4092" s="43" t="str">
        <f t="shared" si="193"/>
        <v>2021.010B.R.Binomial_names.zip</v>
      </c>
      <c r="U4092" s="43" t="str">
        <f>HYPERLINK("https://ictv.global/taxonomy/taxondetails?taxnode_id=202208050","ictv.global=202208050")</f>
        <v>ictv.global=202208050</v>
      </c>
    </row>
    <row r="4093" spans="1:21">
      <c r="A4093">
        <v>4092</v>
      </c>
      <c r="B4093" s="29" t="s">
        <v>3682</v>
      </c>
      <c r="C4093" s="29"/>
      <c r="D4093" s="29" t="s">
        <v>3683</v>
      </c>
      <c r="E4093" s="29"/>
      <c r="F4093" s="29" t="s">
        <v>3686</v>
      </c>
      <c r="G4093" s="29"/>
      <c r="H4093" s="29" t="s">
        <v>3687</v>
      </c>
      <c r="I4093" s="29"/>
      <c r="J4093" s="29"/>
      <c r="K4093" s="29"/>
      <c r="L4093" s="29"/>
      <c r="M4093" s="29"/>
      <c r="N4093" s="29" t="s">
        <v>2126</v>
      </c>
      <c r="O4093" s="29"/>
      <c r="P4093" s="29" t="s">
        <v>11406</v>
      </c>
      <c r="Q4093" t="s">
        <v>2038</v>
      </c>
      <c r="R4093" t="s">
        <v>2633</v>
      </c>
      <c r="S4093">
        <v>37</v>
      </c>
      <c r="T4093" s="43" t="str">
        <f t="shared" si="193"/>
        <v>2021.010B.R.Binomial_names.zip</v>
      </c>
      <c r="U4093" s="43" t="str">
        <f>HYPERLINK("https://ictv.global/taxonomy/taxondetails?taxnode_id=202212050","ictv.global=202212050")</f>
        <v>ictv.global=202212050</v>
      </c>
    </row>
    <row r="4094" spans="1:21">
      <c r="A4094">
        <v>4093</v>
      </c>
      <c r="B4094" s="29" t="s">
        <v>3682</v>
      </c>
      <c r="C4094" s="29"/>
      <c r="D4094" s="29" t="s">
        <v>3683</v>
      </c>
      <c r="E4094" s="29"/>
      <c r="F4094" s="29" t="s">
        <v>3686</v>
      </c>
      <c r="G4094" s="29"/>
      <c r="H4094" s="29" t="s">
        <v>3687</v>
      </c>
      <c r="I4094" s="29"/>
      <c r="J4094" s="29"/>
      <c r="K4094" s="29"/>
      <c r="L4094" s="29"/>
      <c r="M4094" s="29"/>
      <c r="N4094" s="29" t="s">
        <v>2126</v>
      </c>
      <c r="O4094" s="29"/>
      <c r="P4094" s="29" t="s">
        <v>11407</v>
      </c>
      <c r="Q4094" t="s">
        <v>2038</v>
      </c>
      <c r="R4094" t="s">
        <v>2633</v>
      </c>
      <c r="S4094">
        <v>37</v>
      </c>
      <c r="T4094" s="43" t="str">
        <f t="shared" si="193"/>
        <v>2021.010B.R.Binomial_names.zip</v>
      </c>
      <c r="U4094" s="43" t="str">
        <f>HYPERLINK("https://ictv.global/taxonomy/taxondetails?taxnode_id=202201359","ictv.global=202201359")</f>
        <v>ictv.global=202201359</v>
      </c>
    </row>
    <row r="4095" spans="1:21">
      <c r="A4095">
        <v>4094</v>
      </c>
      <c r="B4095" s="29" t="s">
        <v>3682</v>
      </c>
      <c r="C4095" s="29"/>
      <c r="D4095" s="29" t="s">
        <v>3683</v>
      </c>
      <c r="E4095" s="29"/>
      <c r="F4095" s="29" t="s">
        <v>3686</v>
      </c>
      <c r="G4095" s="29"/>
      <c r="H4095" s="29" t="s">
        <v>3687</v>
      </c>
      <c r="I4095" s="29"/>
      <c r="J4095" s="29"/>
      <c r="K4095" s="29"/>
      <c r="L4095" s="29"/>
      <c r="M4095" s="29"/>
      <c r="N4095" s="29" t="s">
        <v>2126</v>
      </c>
      <c r="O4095" s="29"/>
      <c r="P4095" s="29" t="s">
        <v>11408</v>
      </c>
      <c r="Q4095" t="s">
        <v>2038</v>
      </c>
      <c r="R4095" t="s">
        <v>2633</v>
      </c>
      <c r="S4095">
        <v>37</v>
      </c>
      <c r="T4095" s="43" t="str">
        <f t="shared" si="193"/>
        <v>2021.010B.R.Binomial_names.zip</v>
      </c>
      <c r="U4095" s="43" t="str">
        <f>HYPERLINK("https://ictv.global/taxonomy/taxondetails?taxnode_id=202212040","ictv.global=202212040")</f>
        <v>ictv.global=202212040</v>
      </c>
    </row>
    <row r="4096" spans="1:21">
      <c r="A4096">
        <v>4095</v>
      </c>
      <c r="B4096" s="29" t="s">
        <v>3682</v>
      </c>
      <c r="C4096" s="29"/>
      <c r="D4096" s="29" t="s">
        <v>3683</v>
      </c>
      <c r="E4096" s="29"/>
      <c r="F4096" s="29" t="s">
        <v>3686</v>
      </c>
      <c r="G4096" s="29"/>
      <c r="H4096" s="29" t="s">
        <v>3687</v>
      </c>
      <c r="I4096" s="29"/>
      <c r="J4096" s="29"/>
      <c r="K4096" s="29"/>
      <c r="L4096" s="29"/>
      <c r="M4096" s="29"/>
      <c r="N4096" s="29" t="s">
        <v>2126</v>
      </c>
      <c r="O4096" s="29"/>
      <c r="P4096" s="29" t="s">
        <v>11409</v>
      </c>
      <c r="Q4096" t="s">
        <v>2038</v>
      </c>
      <c r="R4096" t="s">
        <v>2633</v>
      </c>
      <c r="S4096">
        <v>37</v>
      </c>
      <c r="T4096" s="43" t="str">
        <f t="shared" si="193"/>
        <v>2021.010B.R.Binomial_names.zip</v>
      </c>
      <c r="U4096" s="43" t="str">
        <f>HYPERLINK("https://ictv.global/taxonomy/taxondetails?taxnode_id=202212044","ictv.global=202212044")</f>
        <v>ictv.global=202212044</v>
      </c>
    </row>
    <row r="4097" spans="1:21">
      <c r="A4097">
        <v>4096</v>
      </c>
      <c r="B4097" s="29" t="s">
        <v>3682</v>
      </c>
      <c r="C4097" s="29"/>
      <c r="D4097" s="29" t="s">
        <v>3683</v>
      </c>
      <c r="E4097" s="29"/>
      <c r="F4097" s="29" t="s">
        <v>3686</v>
      </c>
      <c r="G4097" s="29"/>
      <c r="H4097" s="29" t="s">
        <v>3687</v>
      </c>
      <c r="I4097" s="29"/>
      <c r="J4097" s="29"/>
      <c r="K4097" s="29"/>
      <c r="L4097" s="29"/>
      <c r="M4097" s="29"/>
      <c r="N4097" s="29" t="s">
        <v>2126</v>
      </c>
      <c r="O4097" s="29"/>
      <c r="P4097" s="29" t="s">
        <v>11410</v>
      </c>
      <c r="Q4097" t="s">
        <v>2038</v>
      </c>
      <c r="R4097" t="s">
        <v>2633</v>
      </c>
      <c r="S4097">
        <v>37</v>
      </c>
      <c r="T4097" s="43" t="str">
        <f t="shared" si="193"/>
        <v>2021.010B.R.Binomial_names.zip</v>
      </c>
      <c r="U4097" s="43" t="str">
        <f>HYPERLINK("https://ictv.global/taxonomy/taxondetails?taxnode_id=202212037","ictv.global=202212037")</f>
        <v>ictv.global=202212037</v>
      </c>
    </row>
    <row r="4098" spans="1:21">
      <c r="A4098">
        <v>4097</v>
      </c>
      <c r="B4098" s="29" t="s">
        <v>3682</v>
      </c>
      <c r="C4098" s="29"/>
      <c r="D4098" s="29" t="s">
        <v>3683</v>
      </c>
      <c r="E4098" s="29"/>
      <c r="F4098" s="29" t="s">
        <v>3686</v>
      </c>
      <c r="G4098" s="29"/>
      <c r="H4098" s="29" t="s">
        <v>3687</v>
      </c>
      <c r="I4098" s="29"/>
      <c r="J4098" s="29"/>
      <c r="K4098" s="29"/>
      <c r="L4098" s="29"/>
      <c r="M4098" s="29"/>
      <c r="N4098" s="29" t="s">
        <v>2126</v>
      </c>
      <c r="O4098" s="29"/>
      <c r="P4098" s="29" t="s">
        <v>11411</v>
      </c>
      <c r="Q4098" t="s">
        <v>2038</v>
      </c>
      <c r="R4098" t="s">
        <v>2633</v>
      </c>
      <c r="S4098">
        <v>37</v>
      </c>
      <c r="T4098" s="43" t="str">
        <f t="shared" si="193"/>
        <v>2021.010B.R.Binomial_names.zip</v>
      </c>
      <c r="U4098" s="43" t="str">
        <f>HYPERLINK("https://ictv.global/taxonomy/taxondetails?taxnode_id=202212047","ictv.global=202212047")</f>
        <v>ictv.global=202212047</v>
      </c>
    </row>
    <row r="4099" spans="1:21">
      <c r="A4099">
        <v>4098</v>
      </c>
      <c r="B4099" s="29" t="s">
        <v>3682</v>
      </c>
      <c r="C4099" s="29"/>
      <c r="D4099" s="29" t="s">
        <v>3683</v>
      </c>
      <c r="E4099" s="29"/>
      <c r="F4099" s="29" t="s">
        <v>3686</v>
      </c>
      <c r="G4099" s="29"/>
      <c r="H4099" s="29" t="s">
        <v>3687</v>
      </c>
      <c r="I4099" s="29"/>
      <c r="J4099" s="29"/>
      <c r="K4099" s="29"/>
      <c r="L4099" s="29"/>
      <c r="M4099" s="29"/>
      <c r="N4099" s="29" t="s">
        <v>2126</v>
      </c>
      <c r="O4099" s="29"/>
      <c r="P4099" s="29" t="s">
        <v>11412</v>
      </c>
      <c r="Q4099" t="s">
        <v>2038</v>
      </c>
      <c r="R4099" t="s">
        <v>2633</v>
      </c>
      <c r="S4099">
        <v>37</v>
      </c>
      <c r="T4099" s="43" t="str">
        <f t="shared" si="193"/>
        <v>2021.010B.R.Binomial_names.zip</v>
      </c>
      <c r="U4099" s="43" t="str">
        <f>HYPERLINK("https://ictv.global/taxonomy/taxondetails?taxnode_id=202212046","ictv.global=202212046")</f>
        <v>ictv.global=202212046</v>
      </c>
    </row>
    <row r="4100" spans="1:21">
      <c r="A4100">
        <v>4099</v>
      </c>
      <c r="B4100" s="29" t="s">
        <v>3682</v>
      </c>
      <c r="C4100" s="29"/>
      <c r="D4100" s="29" t="s">
        <v>3683</v>
      </c>
      <c r="E4100" s="29"/>
      <c r="F4100" s="29" t="s">
        <v>3686</v>
      </c>
      <c r="G4100" s="29"/>
      <c r="H4100" s="29" t="s">
        <v>3687</v>
      </c>
      <c r="I4100" s="29"/>
      <c r="J4100" s="29"/>
      <c r="K4100" s="29"/>
      <c r="L4100" s="29"/>
      <c r="M4100" s="29"/>
      <c r="N4100" s="29" t="s">
        <v>2126</v>
      </c>
      <c r="O4100" s="29"/>
      <c r="P4100" s="29" t="s">
        <v>11413</v>
      </c>
      <c r="Q4100" t="s">
        <v>2038</v>
      </c>
      <c r="R4100" t="s">
        <v>2633</v>
      </c>
      <c r="S4100">
        <v>37</v>
      </c>
      <c r="T4100" s="43" t="str">
        <f t="shared" si="193"/>
        <v>2021.010B.R.Binomial_names.zip</v>
      </c>
      <c r="U4100" s="43" t="str">
        <f>HYPERLINK("https://ictv.global/taxonomy/taxondetails?taxnode_id=202212038","ictv.global=202212038")</f>
        <v>ictv.global=202212038</v>
      </c>
    </row>
    <row r="4101" spans="1:21">
      <c r="A4101">
        <v>4100</v>
      </c>
      <c r="B4101" s="29" t="s">
        <v>3682</v>
      </c>
      <c r="C4101" s="29"/>
      <c r="D4101" s="29" t="s">
        <v>3683</v>
      </c>
      <c r="E4101" s="29"/>
      <c r="F4101" s="29" t="s">
        <v>3686</v>
      </c>
      <c r="G4101" s="29"/>
      <c r="H4101" s="29" t="s">
        <v>3687</v>
      </c>
      <c r="I4101" s="29"/>
      <c r="J4101" s="29"/>
      <c r="K4101" s="29"/>
      <c r="L4101" s="29"/>
      <c r="M4101" s="29"/>
      <c r="N4101" s="29" t="s">
        <v>2126</v>
      </c>
      <c r="O4101" s="29"/>
      <c r="P4101" s="29" t="s">
        <v>11414</v>
      </c>
      <c r="Q4101" t="s">
        <v>2038</v>
      </c>
      <c r="R4101" t="s">
        <v>2633</v>
      </c>
      <c r="S4101">
        <v>37</v>
      </c>
      <c r="T4101" s="43" t="str">
        <f t="shared" si="193"/>
        <v>2021.010B.R.Binomial_names.zip</v>
      </c>
      <c r="U4101" s="43" t="str">
        <f>HYPERLINK("https://ictv.global/taxonomy/taxondetails?taxnode_id=202201361","ictv.global=202201361")</f>
        <v>ictv.global=202201361</v>
      </c>
    </row>
    <row r="4102" spans="1:21">
      <c r="A4102">
        <v>4101</v>
      </c>
      <c r="B4102" s="29" t="s">
        <v>3682</v>
      </c>
      <c r="C4102" s="29"/>
      <c r="D4102" s="29" t="s">
        <v>3683</v>
      </c>
      <c r="E4102" s="29"/>
      <c r="F4102" s="29" t="s">
        <v>3686</v>
      </c>
      <c r="G4102" s="29"/>
      <c r="H4102" s="29" t="s">
        <v>3687</v>
      </c>
      <c r="I4102" s="29"/>
      <c r="J4102" s="29"/>
      <c r="K4102" s="29"/>
      <c r="L4102" s="29"/>
      <c r="M4102" s="29"/>
      <c r="N4102" s="29" t="s">
        <v>2126</v>
      </c>
      <c r="O4102" s="29"/>
      <c r="P4102" s="29" t="s">
        <v>11415</v>
      </c>
      <c r="Q4102" t="s">
        <v>2038</v>
      </c>
      <c r="R4102" t="s">
        <v>2633</v>
      </c>
      <c r="S4102">
        <v>37</v>
      </c>
      <c r="T4102" s="43" t="str">
        <f t="shared" si="193"/>
        <v>2021.010B.R.Binomial_names.zip</v>
      </c>
      <c r="U4102" s="43" t="str">
        <f>HYPERLINK("https://ictv.global/taxonomy/taxondetails?taxnode_id=202212041","ictv.global=202212041")</f>
        <v>ictv.global=202212041</v>
      </c>
    </row>
    <row r="4103" spans="1:21">
      <c r="A4103">
        <v>4102</v>
      </c>
      <c r="B4103" s="29" t="s">
        <v>3682</v>
      </c>
      <c r="C4103" s="29"/>
      <c r="D4103" s="29" t="s">
        <v>3683</v>
      </c>
      <c r="E4103" s="29"/>
      <c r="F4103" s="29" t="s">
        <v>3686</v>
      </c>
      <c r="G4103" s="29"/>
      <c r="H4103" s="29" t="s">
        <v>3687</v>
      </c>
      <c r="I4103" s="29"/>
      <c r="J4103" s="29"/>
      <c r="K4103" s="29"/>
      <c r="L4103" s="29"/>
      <c r="M4103" s="29"/>
      <c r="N4103" s="29" t="s">
        <v>2126</v>
      </c>
      <c r="O4103" s="29"/>
      <c r="P4103" s="29" t="s">
        <v>11416</v>
      </c>
      <c r="Q4103" t="s">
        <v>2038</v>
      </c>
      <c r="R4103" t="s">
        <v>2633</v>
      </c>
      <c r="S4103">
        <v>37</v>
      </c>
      <c r="T4103" s="43" t="str">
        <f t="shared" si="193"/>
        <v>2021.010B.R.Binomial_names.zip</v>
      </c>
      <c r="U4103" s="43" t="str">
        <f>HYPERLINK("https://ictv.global/taxonomy/taxondetails?taxnode_id=202212051","ictv.global=202212051")</f>
        <v>ictv.global=202212051</v>
      </c>
    </row>
    <row r="4104" spans="1:21">
      <c r="A4104">
        <v>4103</v>
      </c>
      <c r="B4104" s="29" t="s">
        <v>3682</v>
      </c>
      <c r="C4104" s="29"/>
      <c r="D4104" s="29" t="s">
        <v>3683</v>
      </c>
      <c r="E4104" s="29"/>
      <c r="F4104" s="29" t="s">
        <v>3686</v>
      </c>
      <c r="G4104" s="29"/>
      <c r="H4104" s="29" t="s">
        <v>3687</v>
      </c>
      <c r="I4104" s="29"/>
      <c r="J4104" s="29"/>
      <c r="K4104" s="29"/>
      <c r="L4104" s="29"/>
      <c r="M4104" s="29"/>
      <c r="N4104" s="29" t="s">
        <v>2126</v>
      </c>
      <c r="O4104" s="29"/>
      <c r="P4104" s="29" t="s">
        <v>11417</v>
      </c>
      <c r="Q4104" t="s">
        <v>2038</v>
      </c>
      <c r="R4104" t="s">
        <v>2633</v>
      </c>
      <c r="S4104">
        <v>37</v>
      </c>
      <c r="T4104" s="43" t="str">
        <f t="shared" si="193"/>
        <v>2021.010B.R.Binomial_names.zip</v>
      </c>
      <c r="U4104" s="43" t="str">
        <f>HYPERLINK("https://ictv.global/taxonomy/taxondetails?taxnode_id=202212045","ictv.global=202212045")</f>
        <v>ictv.global=202212045</v>
      </c>
    </row>
    <row r="4105" spans="1:21">
      <c r="A4105">
        <v>4104</v>
      </c>
      <c r="B4105" s="29" t="s">
        <v>3682</v>
      </c>
      <c r="C4105" s="29"/>
      <c r="D4105" s="29" t="s">
        <v>3683</v>
      </c>
      <c r="E4105" s="29"/>
      <c r="F4105" s="29" t="s">
        <v>3686</v>
      </c>
      <c r="G4105" s="29"/>
      <c r="H4105" s="29" t="s">
        <v>3687</v>
      </c>
      <c r="I4105" s="29"/>
      <c r="J4105" s="29"/>
      <c r="K4105" s="29"/>
      <c r="L4105" s="29"/>
      <c r="M4105" s="29"/>
      <c r="N4105" s="29" t="s">
        <v>2126</v>
      </c>
      <c r="O4105" s="29"/>
      <c r="P4105" s="29" t="s">
        <v>11418</v>
      </c>
      <c r="Q4105" t="s">
        <v>2038</v>
      </c>
      <c r="R4105" t="s">
        <v>2633</v>
      </c>
      <c r="S4105">
        <v>37</v>
      </c>
      <c r="T4105" s="43" t="str">
        <f t="shared" si="193"/>
        <v>2021.010B.R.Binomial_names.zip</v>
      </c>
      <c r="U4105" s="43" t="str">
        <f>HYPERLINK("https://ictv.global/taxonomy/taxondetails?taxnode_id=202212042","ictv.global=202212042")</f>
        <v>ictv.global=202212042</v>
      </c>
    </row>
    <row r="4106" spans="1:21">
      <c r="A4106">
        <v>4105</v>
      </c>
      <c r="B4106" s="29" t="s">
        <v>3682</v>
      </c>
      <c r="C4106" s="29"/>
      <c r="D4106" s="29" t="s">
        <v>3683</v>
      </c>
      <c r="E4106" s="29"/>
      <c r="F4106" s="29" t="s">
        <v>3686</v>
      </c>
      <c r="G4106" s="29"/>
      <c r="H4106" s="29" t="s">
        <v>3687</v>
      </c>
      <c r="I4106" s="29"/>
      <c r="J4106" s="29"/>
      <c r="K4106" s="29"/>
      <c r="L4106" s="29"/>
      <c r="M4106" s="29"/>
      <c r="N4106" s="29" t="s">
        <v>2126</v>
      </c>
      <c r="O4106" s="29"/>
      <c r="P4106" s="29" t="s">
        <v>11419</v>
      </c>
      <c r="Q4106" t="s">
        <v>2038</v>
      </c>
      <c r="R4106" t="s">
        <v>2633</v>
      </c>
      <c r="S4106">
        <v>37</v>
      </c>
      <c r="T4106" s="43" t="str">
        <f t="shared" si="193"/>
        <v>2021.010B.R.Binomial_names.zip</v>
      </c>
      <c r="U4106" s="43" t="str">
        <f>HYPERLINK("https://ictv.global/taxonomy/taxondetails?taxnode_id=202212039","ictv.global=202212039")</f>
        <v>ictv.global=202212039</v>
      </c>
    </row>
    <row r="4107" spans="1:21">
      <c r="A4107">
        <v>4106</v>
      </c>
      <c r="B4107" s="29" t="s">
        <v>3682</v>
      </c>
      <c r="C4107" s="29"/>
      <c r="D4107" s="29" t="s">
        <v>3683</v>
      </c>
      <c r="E4107" s="29"/>
      <c r="F4107" s="29" t="s">
        <v>3686</v>
      </c>
      <c r="G4107" s="29"/>
      <c r="H4107" s="29" t="s">
        <v>3687</v>
      </c>
      <c r="I4107" s="29"/>
      <c r="J4107" s="29"/>
      <c r="K4107" s="29"/>
      <c r="L4107" s="29"/>
      <c r="M4107" s="29"/>
      <c r="N4107" s="29" t="s">
        <v>2126</v>
      </c>
      <c r="O4107" s="29"/>
      <c r="P4107" s="29" t="s">
        <v>11420</v>
      </c>
      <c r="Q4107" t="s">
        <v>2038</v>
      </c>
      <c r="R4107" t="s">
        <v>2633</v>
      </c>
      <c r="S4107">
        <v>37</v>
      </c>
      <c r="T4107" s="43" t="str">
        <f t="shared" si="193"/>
        <v>2021.010B.R.Binomial_names.zip</v>
      </c>
      <c r="U4107" s="43" t="str">
        <f>HYPERLINK("https://ictv.global/taxonomy/taxondetails?taxnode_id=202212035","ictv.global=202212035")</f>
        <v>ictv.global=202212035</v>
      </c>
    </row>
    <row r="4108" spans="1:21">
      <c r="A4108">
        <v>4107</v>
      </c>
      <c r="B4108" s="29" t="s">
        <v>3682</v>
      </c>
      <c r="C4108" s="29"/>
      <c r="D4108" s="29" t="s">
        <v>3683</v>
      </c>
      <c r="E4108" s="29"/>
      <c r="F4108" s="29" t="s">
        <v>3686</v>
      </c>
      <c r="G4108" s="29"/>
      <c r="H4108" s="29" t="s">
        <v>3687</v>
      </c>
      <c r="I4108" s="29"/>
      <c r="J4108" s="29"/>
      <c r="K4108" s="29"/>
      <c r="L4108" s="29"/>
      <c r="M4108" s="29"/>
      <c r="N4108" s="29" t="s">
        <v>2126</v>
      </c>
      <c r="O4108" s="29"/>
      <c r="P4108" s="29" t="s">
        <v>11421</v>
      </c>
      <c r="Q4108" t="s">
        <v>2038</v>
      </c>
      <c r="R4108" t="s">
        <v>2633</v>
      </c>
      <c r="S4108">
        <v>37</v>
      </c>
      <c r="T4108" s="43" t="str">
        <f t="shared" si="193"/>
        <v>2021.010B.R.Binomial_names.zip</v>
      </c>
      <c r="U4108" s="43" t="str">
        <f>HYPERLINK("https://ictv.global/taxonomy/taxondetails?taxnode_id=202212049","ictv.global=202212049")</f>
        <v>ictv.global=202212049</v>
      </c>
    </row>
    <row r="4109" spans="1:21">
      <c r="A4109">
        <v>4108</v>
      </c>
      <c r="B4109" s="29" t="s">
        <v>3682</v>
      </c>
      <c r="C4109" s="29"/>
      <c r="D4109" s="29" t="s">
        <v>3683</v>
      </c>
      <c r="E4109" s="29"/>
      <c r="F4109" s="29" t="s">
        <v>3686</v>
      </c>
      <c r="G4109" s="29"/>
      <c r="H4109" s="29" t="s">
        <v>3687</v>
      </c>
      <c r="I4109" s="29"/>
      <c r="J4109" s="29"/>
      <c r="K4109" s="29"/>
      <c r="L4109" s="29"/>
      <c r="M4109" s="29"/>
      <c r="N4109" s="29" t="s">
        <v>2126</v>
      </c>
      <c r="O4109" s="29"/>
      <c r="P4109" s="29" t="s">
        <v>11422</v>
      </c>
      <c r="Q4109" t="s">
        <v>2038</v>
      </c>
      <c r="R4109" t="s">
        <v>2633</v>
      </c>
      <c r="S4109">
        <v>37</v>
      </c>
      <c r="T4109" s="43" t="str">
        <f t="shared" si="193"/>
        <v>2021.010B.R.Binomial_names.zip</v>
      </c>
      <c r="U4109" s="43" t="str">
        <f>HYPERLINK("https://ictv.global/taxonomy/taxondetails?taxnode_id=202212036","ictv.global=202212036")</f>
        <v>ictv.global=202212036</v>
      </c>
    </row>
    <row r="4110" spans="1:21">
      <c r="A4110">
        <v>4109</v>
      </c>
      <c r="B4110" s="29" t="s">
        <v>3682</v>
      </c>
      <c r="C4110" s="29"/>
      <c r="D4110" s="29" t="s">
        <v>3683</v>
      </c>
      <c r="E4110" s="29"/>
      <c r="F4110" s="29" t="s">
        <v>3686</v>
      </c>
      <c r="G4110" s="29"/>
      <c r="H4110" s="29" t="s">
        <v>3687</v>
      </c>
      <c r="I4110" s="29"/>
      <c r="J4110" s="29"/>
      <c r="K4110" s="29"/>
      <c r="L4110" s="29"/>
      <c r="M4110" s="29"/>
      <c r="N4110" s="29" t="s">
        <v>2126</v>
      </c>
      <c r="O4110" s="29"/>
      <c r="P4110" s="29" t="s">
        <v>11423</v>
      </c>
      <c r="Q4110" t="s">
        <v>2038</v>
      </c>
      <c r="R4110" t="s">
        <v>2633</v>
      </c>
      <c r="S4110">
        <v>37</v>
      </c>
      <c r="T4110" s="43" t="str">
        <f t="shared" si="193"/>
        <v>2021.010B.R.Binomial_names.zip</v>
      </c>
      <c r="U4110" s="43" t="str">
        <f>HYPERLINK("https://ictv.global/taxonomy/taxondetails?taxnode_id=202201360","ictv.global=202201360")</f>
        <v>ictv.global=202201360</v>
      </c>
    </row>
    <row r="4111" spans="1:21">
      <c r="A4111">
        <v>4110</v>
      </c>
      <c r="B4111" s="29" t="s">
        <v>3682</v>
      </c>
      <c r="C4111" s="29"/>
      <c r="D4111" s="29" t="s">
        <v>3683</v>
      </c>
      <c r="E4111" s="29"/>
      <c r="F4111" s="29" t="s">
        <v>3686</v>
      </c>
      <c r="G4111" s="29"/>
      <c r="H4111" s="29" t="s">
        <v>3687</v>
      </c>
      <c r="I4111" s="29"/>
      <c r="J4111" s="29"/>
      <c r="K4111" s="29"/>
      <c r="L4111" s="29"/>
      <c r="M4111" s="29"/>
      <c r="N4111" s="29" t="s">
        <v>2126</v>
      </c>
      <c r="O4111" s="29"/>
      <c r="P4111" s="29" t="s">
        <v>11424</v>
      </c>
      <c r="Q4111" t="s">
        <v>2038</v>
      </c>
      <c r="R4111" t="s">
        <v>2633</v>
      </c>
      <c r="S4111">
        <v>37</v>
      </c>
      <c r="T4111" s="43" t="str">
        <f t="shared" si="193"/>
        <v>2021.010B.R.Binomial_names.zip</v>
      </c>
      <c r="U4111" s="43" t="str">
        <f>HYPERLINK("https://ictv.global/taxonomy/taxondetails?taxnode_id=202201356","ictv.global=202201356")</f>
        <v>ictv.global=202201356</v>
      </c>
    </row>
    <row r="4112" spans="1:21">
      <c r="A4112">
        <v>4111</v>
      </c>
      <c r="B4112" s="29" t="s">
        <v>3682</v>
      </c>
      <c r="C4112" s="29"/>
      <c r="D4112" s="29" t="s">
        <v>3683</v>
      </c>
      <c r="E4112" s="29"/>
      <c r="F4112" s="29" t="s">
        <v>3686</v>
      </c>
      <c r="G4112" s="29"/>
      <c r="H4112" s="29" t="s">
        <v>3687</v>
      </c>
      <c r="I4112" s="29"/>
      <c r="J4112" s="29"/>
      <c r="K4112" s="29"/>
      <c r="L4112" s="29"/>
      <c r="M4112" s="29"/>
      <c r="N4112" s="29" t="s">
        <v>2126</v>
      </c>
      <c r="O4112" s="29"/>
      <c r="P4112" s="29" t="s">
        <v>11425</v>
      </c>
      <c r="Q4112" t="s">
        <v>2038</v>
      </c>
      <c r="R4112" t="s">
        <v>2633</v>
      </c>
      <c r="S4112">
        <v>37</v>
      </c>
      <c r="T4112" s="43" t="str">
        <f t="shared" si="193"/>
        <v>2021.010B.R.Binomial_names.zip</v>
      </c>
      <c r="U4112" s="43" t="str">
        <f>HYPERLINK("https://ictv.global/taxonomy/taxondetails?taxnode_id=202212048","ictv.global=202212048")</f>
        <v>ictv.global=202212048</v>
      </c>
    </row>
    <row r="4113" spans="1:21">
      <c r="A4113">
        <v>4112</v>
      </c>
      <c r="B4113" s="29" t="s">
        <v>3682</v>
      </c>
      <c r="C4113" s="29"/>
      <c r="D4113" s="29" t="s">
        <v>3683</v>
      </c>
      <c r="E4113" s="29"/>
      <c r="F4113" s="29" t="s">
        <v>3686</v>
      </c>
      <c r="G4113" s="29"/>
      <c r="H4113" s="29" t="s">
        <v>3687</v>
      </c>
      <c r="I4113" s="29"/>
      <c r="J4113" s="29"/>
      <c r="K4113" s="29"/>
      <c r="L4113" s="29"/>
      <c r="M4113" s="29"/>
      <c r="N4113" s="29" t="s">
        <v>2126</v>
      </c>
      <c r="O4113" s="29"/>
      <c r="P4113" s="29" t="s">
        <v>11426</v>
      </c>
      <c r="Q4113" t="s">
        <v>2038</v>
      </c>
      <c r="R4113" t="s">
        <v>2633</v>
      </c>
      <c r="S4113">
        <v>37</v>
      </c>
      <c r="T4113" s="43" t="str">
        <f t="shared" si="193"/>
        <v>2021.010B.R.Binomial_names.zip</v>
      </c>
      <c r="U4113" s="43" t="str">
        <f>HYPERLINK("https://ictv.global/taxonomy/taxondetails?taxnode_id=202212043","ictv.global=202212043")</f>
        <v>ictv.global=202212043</v>
      </c>
    </row>
    <row r="4114" spans="1:21">
      <c r="A4114">
        <v>4113</v>
      </c>
      <c r="B4114" s="29" t="s">
        <v>3682</v>
      </c>
      <c r="C4114" s="29"/>
      <c r="D4114" s="29" t="s">
        <v>3683</v>
      </c>
      <c r="E4114" s="29"/>
      <c r="F4114" s="29" t="s">
        <v>3686</v>
      </c>
      <c r="G4114" s="29"/>
      <c r="H4114" s="29" t="s">
        <v>3687</v>
      </c>
      <c r="I4114" s="29"/>
      <c r="J4114" s="29"/>
      <c r="K4114" s="29"/>
      <c r="L4114" s="29"/>
      <c r="M4114" s="29"/>
      <c r="N4114" s="29" t="s">
        <v>2126</v>
      </c>
      <c r="O4114" s="29"/>
      <c r="P4114" s="29" t="s">
        <v>11427</v>
      </c>
      <c r="Q4114" t="s">
        <v>2038</v>
      </c>
      <c r="R4114" t="s">
        <v>2633</v>
      </c>
      <c r="S4114">
        <v>37</v>
      </c>
      <c r="T4114" s="43" t="str">
        <f t="shared" si="193"/>
        <v>2021.010B.R.Binomial_names.zip</v>
      </c>
      <c r="U4114" s="43" t="str">
        <f>HYPERLINK("https://ictv.global/taxonomy/taxondetails?taxnode_id=202201357","ictv.global=202201357")</f>
        <v>ictv.global=202201357</v>
      </c>
    </row>
    <row r="4115" spans="1:21">
      <c r="A4115">
        <v>4114</v>
      </c>
      <c r="B4115" s="29" t="s">
        <v>3682</v>
      </c>
      <c r="C4115" s="29"/>
      <c r="D4115" s="29" t="s">
        <v>3683</v>
      </c>
      <c r="E4115" s="29"/>
      <c r="F4115" s="29" t="s">
        <v>3686</v>
      </c>
      <c r="G4115" s="29"/>
      <c r="H4115" s="29" t="s">
        <v>3687</v>
      </c>
      <c r="I4115" s="29"/>
      <c r="J4115" s="29"/>
      <c r="K4115" s="29"/>
      <c r="L4115" s="29"/>
      <c r="M4115" s="29"/>
      <c r="N4115" s="29" t="s">
        <v>2126</v>
      </c>
      <c r="O4115" s="29"/>
      <c r="P4115" s="29" t="s">
        <v>11428</v>
      </c>
      <c r="Q4115" t="s">
        <v>2038</v>
      </c>
      <c r="R4115" t="s">
        <v>2633</v>
      </c>
      <c r="S4115">
        <v>37</v>
      </c>
      <c r="T4115" s="43" t="str">
        <f t="shared" si="193"/>
        <v>2021.010B.R.Binomial_names.zip</v>
      </c>
      <c r="U4115" s="43" t="str">
        <f>HYPERLINK("https://ictv.global/taxonomy/taxondetails?taxnode_id=202201358","ictv.global=202201358")</f>
        <v>ictv.global=202201358</v>
      </c>
    </row>
    <row r="4116" spans="1:21">
      <c r="A4116">
        <v>4115</v>
      </c>
      <c r="B4116" s="29" t="s">
        <v>3682</v>
      </c>
      <c r="C4116" s="29"/>
      <c r="D4116" s="29" t="s">
        <v>3683</v>
      </c>
      <c r="E4116" s="29"/>
      <c r="F4116" s="29" t="s">
        <v>3686</v>
      </c>
      <c r="G4116" s="29"/>
      <c r="H4116" s="29" t="s">
        <v>3687</v>
      </c>
      <c r="I4116" s="29"/>
      <c r="J4116" s="29"/>
      <c r="K4116" s="29"/>
      <c r="L4116" s="29"/>
      <c r="M4116" s="29"/>
      <c r="N4116" s="29" t="s">
        <v>2656</v>
      </c>
      <c r="O4116" s="29"/>
      <c r="P4116" s="29" t="s">
        <v>11429</v>
      </c>
      <c r="Q4116" t="s">
        <v>2038</v>
      </c>
      <c r="R4116" t="s">
        <v>2633</v>
      </c>
      <c r="S4116">
        <v>37</v>
      </c>
      <c r="T4116" s="43" t="str">
        <f>HYPERLINK("https://ictv.global/ictv/proposals/2021.084B.R.Trigintaduovirus_new_species.zip","2021.084B.R.Trigintaduovirus_new_species.zip")</f>
        <v>2021.084B.R.Trigintaduovirus_new_species.zip</v>
      </c>
      <c r="U4116" s="43" t="str">
        <f>HYPERLINK("https://ictv.global/taxonomy/taxondetails?taxnode_id=202205565","ictv.global=202205565")</f>
        <v>ictv.global=202205565</v>
      </c>
    </row>
    <row r="4117" spans="1:21">
      <c r="A4117">
        <v>4116</v>
      </c>
      <c r="B4117" s="29" t="s">
        <v>3682</v>
      </c>
      <c r="C4117" s="29"/>
      <c r="D4117" s="29" t="s">
        <v>3683</v>
      </c>
      <c r="E4117" s="29"/>
      <c r="F4117" s="29" t="s">
        <v>3686</v>
      </c>
      <c r="G4117" s="29"/>
      <c r="H4117" s="29" t="s">
        <v>3687</v>
      </c>
      <c r="I4117" s="29"/>
      <c r="J4117" s="29"/>
      <c r="K4117" s="29"/>
      <c r="L4117" s="29"/>
      <c r="M4117" s="29"/>
      <c r="N4117" s="29" t="s">
        <v>2656</v>
      </c>
      <c r="O4117" s="29"/>
      <c r="P4117" s="29" t="s">
        <v>11430</v>
      </c>
      <c r="Q4117" t="s">
        <v>2038</v>
      </c>
      <c r="R4117" t="s">
        <v>2632</v>
      </c>
      <c r="S4117">
        <v>37</v>
      </c>
      <c r="T4117" s="43" t="str">
        <f>HYPERLINK("https://ictv.global/ictv/proposals/2021.039B.R.Infilling.zip","2021.039B.R.Infilling.zip;2021.084B.A.v1.Trigintaduovirus_new_species.zip")</f>
        <v>2021.039B.R.Infilling.zip;2021.084B.A.v1.Trigintaduovirus_new_species.zip</v>
      </c>
      <c r="U4117" s="43" t="str">
        <f>HYPERLINK("https://ictv.global/taxonomy/taxondetails?taxnode_id=202212613","ictv.global=202212613")</f>
        <v>ictv.global=202212613</v>
      </c>
    </row>
    <row r="4118" spans="1:21">
      <c r="A4118">
        <v>4117</v>
      </c>
      <c r="B4118" s="29" t="s">
        <v>3682</v>
      </c>
      <c r="C4118" s="29"/>
      <c r="D4118" s="29" t="s">
        <v>3683</v>
      </c>
      <c r="E4118" s="29"/>
      <c r="F4118" s="29" t="s">
        <v>3686</v>
      </c>
      <c r="G4118" s="29"/>
      <c r="H4118" s="29" t="s">
        <v>3687</v>
      </c>
      <c r="I4118" s="29"/>
      <c r="J4118" s="29"/>
      <c r="K4118" s="29"/>
      <c r="L4118" s="29"/>
      <c r="M4118" s="29"/>
      <c r="N4118" s="29" t="s">
        <v>3611</v>
      </c>
      <c r="O4118" s="29"/>
      <c r="P4118" s="29" t="s">
        <v>11431</v>
      </c>
      <c r="Q4118" t="s">
        <v>2038</v>
      </c>
      <c r="R4118" t="s">
        <v>2633</v>
      </c>
      <c r="S4118">
        <v>37</v>
      </c>
      <c r="T4118" s="43" t="str">
        <f>HYPERLINK("https://ictv.global/ictv/proposals/2021.010B.R.Binomial_names.zip","2021.010B.R.Binomial_names.zip")</f>
        <v>2021.010B.R.Binomial_names.zip</v>
      </c>
      <c r="U4118" s="43" t="str">
        <f>HYPERLINK("https://ictv.global/taxonomy/taxondetails?taxnode_id=202206789","ictv.global=202206789")</f>
        <v>ictv.global=202206789</v>
      </c>
    </row>
    <row r="4119" spans="1:21">
      <c r="A4119">
        <v>4118</v>
      </c>
      <c r="B4119" s="29" t="s">
        <v>3682</v>
      </c>
      <c r="C4119" s="29"/>
      <c r="D4119" s="29" t="s">
        <v>3683</v>
      </c>
      <c r="E4119" s="29"/>
      <c r="F4119" s="29" t="s">
        <v>3686</v>
      </c>
      <c r="G4119" s="29"/>
      <c r="H4119" s="29" t="s">
        <v>3687</v>
      </c>
      <c r="I4119" s="29"/>
      <c r="J4119" s="29"/>
      <c r="K4119" s="29"/>
      <c r="L4119" s="29"/>
      <c r="M4119" s="29"/>
      <c r="N4119" s="29" t="s">
        <v>4044</v>
      </c>
      <c r="O4119" s="29"/>
      <c r="P4119" s="29" t="s">
        <v>11432</v>
      </c>
      <c r="Q4119" t="s">
        <v>2038</v>
      </c>
      <c r="R4119" t="s">
        <v>2633</v>
      </c>
      <c r="S4119">
        <v>37</v>
      </c>
      <c r="T4119" s="43" t="str">
        <f>HYPERLINK("https://ictv.global/ictv/proposals/2021.010B.R.Binomial_names.zip","2021.010B.R.Binomial_names.zip")</f>
        <v>2021.010B.R.Binomial_names.zip</v>
      </c>
      <c r="U4119" s="43" t="str">
        <f>HYPERLINK("https://ictv.global/taxonomy/taxondetails?taxnode_id=202207708","ictv.global=202207708")</f>
        <v>ictv.global=202207708</v>
      </c>
    </row>
    <row r="4120" spans="1:21">
      <c r="A4120">
        <v>4119</v>
      </c>
      <c r="B4120" s="29" t="s">
        <v>3682</v>
      </c>
      <c r="C4120" s="29"/>
      <c r="D4120" s="29" t="s">
        <v>3683</v>
      </c>
      <c r="E4120" s="29"/>
      <c r="F4120" s="29" t="s">
        <v>3686</v>
      </c>
      <c r="G4120" s="29"/>
      <c r="H4120" s="29" t="s">
        <v>3687</v>
      </c>
      <c r="I4120" s="29"/>
      <c r="J4120" s="29"/>
      <c r="K4120" s="29"/>
      <c r="L4120" s="29"/>
      <c r="M4120" s="29"/>
      <c r="N4120" s="29" t="s">
        <v>4787</v>
      </c>
      <c r="O4120" s="29"/>
      <c r="P4120" s="29" t="s">
        <v>11433</v>
      </c>
      <c r="Q4120" t="s">
        <v>2038</v>
      </c>
      <c r="R4120" t="s">
        <v>2633</v>
      </c>
      <c r="S4120">
        <v>37</v>
      </c>
      <c r="T4120" s="43" t="str">
        <f>HYPERLINK("https://ictv.global/ictv/proposals/2021.010B.R.Binomial_names.zip","2021.010B.R.Binomial_names.zip")</f>
        <v>2021.010B.R.Binomial_names.zip</v>
      </c>
      <c r="U4120" s="43" t="str">
        <f>HYPERLINK("https://ictv.global/taxonomy/taxondetails?taxnode_id=202212053","ictv.global=202212053")</f>
        <v>ictv.global=202212053</v>
      </c>
    </row>
    <row r="4121" spans="1:21">
      <c r="A4121">
        <v>4120</v>
      </c>
      <c r="B4121" s="29" t="s">
        <v>3682</v>
      </c>
      <c r="C4121" s="29"/>
      <c r="D4121" s="29" t="s">
        <v>3683</v>
      </c>
      <c r="E4121" s="29"/>
      <c r="F4121" s="29" t="s">
        <v>3686</v>
      </c>
      <c r="G4121" s="29"/>
      <c r="H4121" s="29" t="s">
        <v>3687</v>
      </c>
      <c r="I4121" s="29"/>
      <c r="J4121" s="29"/>
      <c r="K4121" s="29"/>
      <c r="L4121" s="29"/>
      <c r="M4121" s="29"/>
      <c r="N4121" s="29" t="s">
        <v>11434</v>
      </c>
      <c r="O4121" s="29"/>
      <c r="P4121" s="29" t="s">
        <v>11435</v>
      </c>
      <c r="Q4121" t="s">
        <v>2038</v>
      </c>
      <c r="R4121" t="s">
        <v>2632</v>
      </c>
      <c r="S4121">
        <v>37</v>
      </c>
      <c r="T4121" s="43" t="str">
        <f t="shared" ref="T4121:T4133" si="194">HYPERLINK("https://ictv.global/ictv/proposals/2021.086B.R.Turbidovirus.zip","2021.086B.R.Turbidovirus.zip")</f>
        <v>2021.086B.R.Turbidovirus.zip</v>
      </c>
      <c r="U4121" s="43" t="str">
        <f>HYPERLINK("https://ictv.global/taxonomy/taxondetails?taxnode_id=202212637","ictv.global=202212637")</f>
        <v>ictv.global=202212637</v>
      </c>
    </row>
    <row r="4122" spans="1:21">
      <c r="A4122">
        <v>4121</v>
      </c>
      <c r="B4122" s="29" t="s">
        <v>3682</v>
      </c>
      <c r="C4122" s="29"/>
      <c r="D4122" s="29" t="s">
        <v>3683</v>
      </c>
      <c r="E4122" s="29"/>
      <c r="F4122" s="29" t="s">
        <v>3686</v>
      </c>
      <c r="G4122" s="29"/>
      <c r="H4122" s="29" t="s">
        <v>3687</v>
      </c>
      <c r="I4122" s="29"/>
      <c r="J4122" s="29"/>
      <c r="K4122" s="29"/>
      <c r="L4122" s="29"/>
      <c r="M4122" s="29"/>
      <c r="N4122" s="29" t="s">
        <v>11434</v>
      </c>
      <c r="O4122" s="29"/>
      <c r="P4122" s="29" t="s">
        <v>11436</v>
      </c>
      <c r="Q4122" t="s">
        <v>2038</v>
      </c>
      <c r="R4122" t="s">
        <v>2632</v>
      </c>
      <c r="S4122">
        <v>37</v>
      </c>
      <c r="T4122" s="43" t="str">
        <f t="shared" si="194"/>
        <v>2021.086B.R.Turbidovirus.zip</v>
      </c>
      <c r="U4122" s="43" t="str">
        <f>HYPERLINK("https://ictv.global/taxonomy/taxondetails?taxnode_id=202212638","ictv.global=202212638")</f>
        <v>ictv.global=202212638</v>
      </c>
    </row>
    <row r="4123" spans="1:21">
      <c r="A4123">
        <v>4122</v>
      </c>
      <c r="B4123" s="29" t="s">
        <v>3682</v>
      </c>
      <c r="C4123" s="29"/>
      <c r="D4123" s="29" t="s">
        <v>3683</v>
      </c>
      <c r="E4123" s="29"/>
      <c r="F4123" s="29" t="s">
        <v>3686</v>
      </c>
      <c r="G4123" s="29"/>
      <c r="H4123" s="29" t="s">
        <v>3687</v>
      </c>
      <c r="I4123" s="29"/>
      <c r="J4123" s="29"/>
      <c r="K4123" s="29"/>
      <c r="L4123" s="29"/>
      <c r="M4123" s="29"/>
      <c r="N4123" s="29" t="s">
        <v>11434</v>
      </c>
      <c r="O4123" s="29"/>
      <c r="P4123" s="29" t="s">
        <v>11437</v>
      </c>
      <c r="Q4123" t="s">
        <v>2038</v>
      </c>
      <c r="R4123" t="s">
        <v>2632</v>
      </c>
      <c r="S4123">
        <v>37</v>
      </c>
      <c r="T4123" s="43" t="str">
        <f t="shared" si="194"/>
        <v>2021.086B.R.Turbidovirus.zip</v>
      </c>
      <c r="U4123" s="43" t="str">
        <f>HYPERLINK("https://ictv.global/taxonomy/taxondetails?taxnode_id=202212639","ictv.global=202212639")</f>
        <v>ictv.global=202212639</v>
      </c>
    </row>
    <row r="4124" spans="1:21">
      <c r="A4124">
        <v>4123</v>
      </c>
      <c r="B4124" s="29" t="s">
        <v>3682</v>
      </c>
      <c r="C4124" s="29"/>
      <c r="D4124" s="29" t="s">
        <v>3683</v>
      </c>
      <c r="E4124" s="29"/>
      <c r="F4124" s="29" t="s">
        <v>3686</v>
      </c>
      <c r="G4124" s="29"/>
      <c r="H4124" s="29" t="s">
        <v>3687</v>
      </c>
      <c r="I4124" s="29"/>
      <c r="J4124" s="29"/>
      <c r="K4124" s="29"/>
      <c r="L4124" s="29"/>
      <c r="M4124" s="29"/>
      <c r="N4124" s="29" t="s">
        <v>11434</v>
      </c>
      <c r="O4124" s="29"/>
      <c r="P4124" s="29" t="s">
        <v>11438</v>
      </c>
      <c r="Q4124" t="s">
        <v>2038</v>
      </c>
      <c r="R4124" t="s">
        <v>2632</v>
      </c>
      <c r="S4124">
        <v>37</v>
      </c>
      <c r="T4124" s="43" t="str">
        <f t="shared" si="194"/>
        <v>2021.086B.R.Turbidovirus.zip</v>
      </c>
      <c r="U4124" s="43" t="str">
        <f>HYPERLINK("https://ictv.global/taxonomy/taxondetails?taxnode_id=202212640","ictv.global=202212640")</f>
        <v>ictv.global=202212640</v>
      </c>
    </row>
    <row r="4125" spans="1:21">
      <c r="A4125">
        <v>4124</v>
      </c>
      <c r="B4125" s="29" t="s">
        <v>3682</v>
      </c>
      <c r="C4125" s="29"/>
      <c r="D4125" s="29" t="s">
        <v>3683</v>
      </c>
      <c r="E4125" s="29"/>
      <c r="F4125" s="29" t="s">
        <v>3686</v>
      </c>
      <c r="G4125" s="29"/>
      <c r="H4125" s="29" t="s">
        <v>3687</v>
      </c>
      <c r="I4125" s="29"/>
      <c r="J4125" s="29"/>
      <c r="K4125" s="29"/>
      <c r="L4125" s="29"/>
      <c r="M4125" s="29"/>
      <c r="N4125" s="29" t="s">
        <v>11434</v>
      </c>
      <c r="O4125" s="29"/>
      <c r="P4125" s="29" t="s">
        <v>11439</v>
      </c>
      <c r="Q4125" t="s">
        <v>2038</v>
      </c>
      <c r="R4125" t="s">
        <v>2632</v>
      </c>
      <c r="S4125">
        <v>37</v>
      </c>
      <c r="T4125" s="43" t="str">
        <f t="shared" si="194"/>
        <v>2021.086B.R.Turbidovirus.zip</v>
      </c>
      <c r="U4125" s="43" t="str">
        <f>HYPERLINK("https://ictv.global/taxonomy/taxondetails?taxnode_id=202212641","ictv.global=202212641")</f>
        <v>ictv.global=202212641</v>
      </c>
    </row>
    <row r="4126" spans="1:21">
      <c r="A4126">
        <v>4125</v>
      </c>
      <c r="B4126" s="29" t="s">
        <v>3682</v>
      </c>
      <c r="C4126" s="29"/>
      <c r="D4126" s="29" t="s">
        <v>3683</v>
      </c>
      <c r="E4126" s="29"/>
      <c r="F4126" s="29" t="s">
        <v>3686</v>
      </c>
      <c r="G4126" s="29"/>
      <c r="H4126" s="29" t="s">
        <v>3687</v>
      </c>
      <c r="I4126" s="29"/>
      <c r="J4126" s="29"/>
      <c r="K4126" s="29"/>
      <c r="L4126" s="29"/>
      <c r="M4126" s="29"/>
      <c r="N4126" s="29" t="s">
        <v>11434</v>
      </c>
      <c r="O4126" s="29"/>
      <c r="P4126" s="29" t="s">
        <v>11440</v>
      </c>
      <c r="Q4126" t="s">
        <v>2038</v>
      </c>
      <c r="R4126" t="s">
        <v>2632</v>
      </c>
      <c r="S4126">
        <v>37</v>
      </c>
      <c r="T4126" s="43" t="str">
        <f t="shared" si="194"/>
        <v>2021.086B.R.Turbidovirus.zip</v>
      </c>
      <c r="U4126" s="43" t="str">
        <f>HYPERLINK("https://ictv.global/taxonomy/taxondetails?taxnode_id=202212642","ictv.global=202212642")</f>
        <v>ictv.global=202212642</v>
      </c>
    </row>
    <row r="4127" spans="1:21">
      <c r="A4127">
        <v>4126</v>
      </c>
      <c r="B4127" s="29" t="s">
        <v>3682</v>
      </c>
      <c r="C4127" s="29"/>
      <c r="D4127" s="29" t="s">
        <v>3683</v>
      </c>
      <c r="E4127" s="29"/>
      <c r="F4127" s="29" t="s">
        <v>3686</v>
      </c>
      <c r="G4127" s="29"/>
      <c r="H4127" s="29" t="s">
        <v>3687</v>
      </c>
      <c r="I4127" s="29"/>
      <c r="J4127" s="29"/>
      <c r="K4127" s="29"/>
      <c r="L4127" s="29"/>
      <c r="M4127" s="29"/>
      <c r="N4127" s="29" t="s">
        <v>11434</v>
      </c>
      <c r="O4127" s="29"/>
      <c r="P4127" s="29" t="s">
        <v>11441</v>
      </c>
      <c r="Q4127" t="s">
        <v>2038</v>
      </c>
      <c r="R4127" t="s">
        <v>2632</v>
      </c>
      <c r="S4127">
        <v>37</v>
      </c>
      <c r="T4127" s="43" t="str">
        <f t="shared" si="194"/>
        <v>2021.086B.R.Turbidovirus.zip</v>
      </c>
      <c r="U4127" s="43" t="str">
        <f>HYPERLINK("https://ictv.global/taxonomy/taxondetails?taxnode_id=202212643","ictv.global=202212643")</f>
        <v>ictv.global=202212643</v>
      </c>
    </row>
    <row r="4128" spans="1:21">
      <c r="A4128">
        <v>4127</v>
      </c>
      <c r="B4128" s="29" t="s">
        <v>3682</v>
      </c>
      <c r="C4128" s="29"/>
      <c r="D4128" s="29" t="s">
        <v>3683</v>
      </c>
      <c r="E4128" s="29"/>
      <c r="F4128" s="29" t="s">
        <v>3686</v>
      </c>
      <c r="G4128" s="29"/>
      <c r="H4128" s="29" t="s">
        <v>3687</v>
      </c>
      <c r="I4128" s="29"/>
      <c r="J4128" s="29"/>
      <c r="K4128" s="29"/>
      <c r="L4128" s="29"/>
      <c r="M4128" s="29"/>
      <c r="N4128" s="29" t="s">
        <v>11434</v>
      </c>
      <c r="O4128" s="29"/>
      <c r="P4128" s="29" t="s">
        <v>11442</v>
      </c>
      <c r="Q4128" t="s">
        <v>2038</v>
      </c>
      <c r="R4128" t="s">
        <v>2632</v>
      </c>
      <c r="S4128">
        <v>37</v>
      </c>
      <c r="T4128" s="43" t="str">
        <f t="shared" si="194"/>
        <v>2021.086B.R.Turbidovirus.zip</v>
      </c>
      <c r="U4128" s="43" t="str">
        <f>HYPERLINK("https://ictv.global/taxonomy/taxondetails?taxnode_id=202212644","ictv.global=202212644")</f>
        <v>ictv.global=202212644</v>
      </c>
    </row>
    <row r="4129" spans="1:21">
      <c r="A4129">
        <v>4128</v>
      </c>
      <c r="B4129" s="29" t="s">
        <v>3682</v>
      </c>
      <c r="C4129" s="29"/>
      <c r="D4129" s="29" t="s">
        <v>3683</v>
      </c>
      <c r="E4129" s="29"/>
      <c r="F4129" s="29" t="s">
        <v>3686</v>
      </c>
      <c r="G4129" s="29"/>
      <c r="H4129" s="29" t="s">
        <v>3687</v>
      </c>
      <c r="I4129" s="29"/>
      <c r="J4129" s="29"/>
      <c r="K4129" s="29"/>
      <c r="L4129" s="29"/>
      <c r="M4129" s="29"/>
      <c r="N4129" s="29" t="s">
        <v>11434</v>
      </c>
      <c r="O4129" s="29"/>
      <c r="P4129" s="29" t="s">
        <v>11443</v>
      </c>
      <c r="Q4129" t="s">
        <v>2038</v>
      </c>
      <c r="R4129" t="s">
        <v>2632</v>
      </c>
      <c r="S4129">
        <v>37</v>
      </c>
      <c r="T4129" s="43" t="str">
        <f t="shared" si="194"/>
        <v>2021.086B.R.Turbidovirus.zip</v>
      </c>
      <c r="U4129" s="43" t="str">
        <f>HYPERLINK("https://ictv.global/taxonomy/taxondetails?taxnode_id=202212645","ictv.global=202212645")</f>
        <v>ictv.global=202212645</v>
      </c>
    </row>
    <row r="4130" spans="1:21">
      <c r="A4130">
        <v>4129</v>
      </c>
      <c r="B4130" s="29" t="s">
        <v>3682</v>
      </c>
      <c r="C4130" s="29"/>
      <c r="D4130" s="29" t="s">
        <v>3683</v>
      </c>
      <c r="E4130" s="29"/>
      <c r="F4130" s="29" t="s">
        <v>3686</v>
      </c>
      <c r="G4130" s="29"/>
      <c r="H4130" s="29" t="s">
        <v>3687</v>
      </c>
      <c r="I4130" s="29"/>
      <c r="J4130" s="29"/>
      <c r="K4130" s="29"/>
      <c r="L4130" s="29"/>
      <c r="M4130" s="29"/>
      <c r="N4130" s="29" t="s">
        <v>11434</v>
      </c>
      <c r="O4130" s="29"/>
      <c r="P4130" s="29" t="s">
        <v>11444</v>
      </c>
      <c r="Q4130" t="s">
        <v>2038</v>
      </c>
      <c r="R4130" t="s">
        <v>2632</v>
      </c>
      <c r="S4130">
        <v>37</v>
      </c>
      <c r="T4130" s="43" t="str">
        <f t="shared" si="194"/>
        <v>2021.086B.R.Turbidovirus.zip</v>
      </c>
      <c r="U4130" s="43" t="str">
        <f>HYPERLINK("https://ictv.global/taxonomy/taxondetails?taxnode_id=202212646","ictv.global=202212646")</f>
        <v>ictv.global=202212646</v>
      </c>
    </row>
    <row r="4131" spans="1:21">
      <c r="A4131">
        <v>4130</v>
      </c>
      <c r="B4131" s="29" t="s">
        <v>3682</v>
      </c>
      <c r="C4131" s="29"/>
      <c r="D4131" s="29" t="s">
        <v>3683</v>
      </c>
      <c r="E4131" s="29"/>
      <c r="F4131" s="29" t="s">
        <v>3686</v>
      </c>
      <c r="G4131" s="29"/>
      <c r="H4131" s="29" t="s">
        <v>3687</v>
      </c>
      <c r="I4131" s="29"/>
      <c r="J4131" s="29"/>
      <c r="K4131" s="29"/>
      <c r="L4131" s="29"/>
      <c r="M4131" s="29"/>
      <c r="N4131" s="29" t="s">
        <v>11434</v>
      </c>
      <c r="O4131" s="29"/>
      <c r="P4131" s="29" t="s">
        <v>11445</v>
      </c>
      <c r="Q4131" t="s">
        <v>2038</v>
      </c>
      <c r="R4131" t="s">
        <v>2632</v>
      </c>
      <c r="S4131">
        <v>37</v>
      </c>
      <c r="T4131" s="43" t="str">
        <f t="shared" si="194"/>
        <v>2021.086B.R.Turbidovirus.zip</v>
      </c>
      <c r="U4131" s="43" t="str">
        <f>HYPERLINK("https://ictv.global/taxonomy/taxondetails?taxnode_id=202212647","ictv.global=202212647")</f>
        <v>ictv.global=202212647</v>
      </c>
    </row>
    <row r="4132" spans="1:21">
      <c r="A4132">
        <v>4131</v>
      </c>
      <c r="B4132" s="29" t="s">
        <v>3682</v>
      </c>
      <c r="C4132" s="29"/>
      <c r="D4132" s="29" t="s">
        <v>3683</v>
      </c>
      <c r="E4132" s="29"/>
      <c r="F4132" s="29" t="s">
        <v>3686</v>
      </c>
      <c r="G4132" s="29"/>
      <c r="H4132" s="29" t="s">
        <v>3687</v>
      </c>
      <c r="I4132" s="29"/>
      <c r="J4132" s="29"/>
      <c r="K4132" s="29"/>
      <c r="L4132" s="29"/>
      <c r="M4132" s="29"/>
      <c r="N4132" s="29" t="s">
        <v>11434</v>
      </c>
      <c r="O4132" s="29"/>
      <c r="P4132" s="29" t="s">
        <v>11446</v>
      </c>
      <c r="Q4132" t="s">
        <v>2038</v>
      </c>
      <c r="R4132" t="s">
        <v>2632</v>
      </c>
      <c r="S4132">
        <v>37</v>
      </c>
      <c r="T4132" s="43" t="str">
        <f t="shared" si="194"/>
        <v>2021.086B.R.Turbidovirus.zip</v>
      </c>
      <c r="U4132" s="43" t="str">
        <f>HYPERLINK("https://ictv.global/taxonomy/taxondetails?taxnode_id=202212648","ictv.global=202212648")</f>
        <v>ictv.global=202212648</v>
      </c>
    </row>
    <row r="4133" spans="1:21">
      <c r="A4133">
        <v>4132</v>
      </c>
      <c r="B4133" s="29" t="s">
        <v>3682</v>
      </c>
      <c r="C4133" s="29"/>
      <c r="D4133" s="29" t="s">
        <v>3683</v>
      </c>
      <c r="E4133" s="29"/>
      <c r="F4133" s="29" t="s">
        <v>3686</v>
      </c>
      <c r="G4133" s="29"/>
      <c r="H4133" s="29" t="s">
        <v>3687</v>
      </c>
      <c r="I4133" s="29"/>
      <c r="J4133" s="29"/>
      <c r="K4133" s="29"/>
      <c r="L4133" s="29"/>
      <c r="M4133" s="29"/>
      <c r="N4133" s="29" t="s">
        <v>11434</v>
      </c>
      <c r="O4133" s="29"/>
      <c r="P4133" s="29" t="s">
        <v>11447</v>
      </c>
      <c r="Q4133" t="s">
        <v>2038</v>
      </c>
      <c r="R4133" t="s">
        <v>2633</v>
      </c>
      <c r="S4133">
        <v>37</v>
      </c>
      <c r="T4133" s="43" t="str">
        <f t="shared" si="194"/>
        <v>2021.086B.R.Turbidovirus.zip</v>
      </c>
      <c r="U4133" s="43" t="str">
        <f>HYPERLINK("https://ictv.global/taxonomy/taxondetails?taxnode_id=202201064","ictv.global=202201064")</f>
        <v>ictv.global=202201064</v>
      </c>
    </row>
    <row r="4134" spans="1:21">
      <c r="A4134">
        <v>4133</v>
      </c>
      <c r="B4134" s="29" t="s">
        <v>3682</v>
      </c>
      <c r="C4134" s="29"/>
      <c r="D4134" s="29" t="s">
        <v>3683</v>
      </c>
      <c r="E4134" s="29"/>
      <c r="F4134" s="29" t="s">
        <v>3686</v>
      </c>
      <c r="G4134" s="29"/>
      <c r="H4134" s="29" t="s">
        <v>3687</v>
      </c>
      <c r="I4134" s="29"/>
      <c r="J4134" s="29"/>
      <c r="K4134" s="29"/>
      <c r="L4134" s="29"/>
      <c r="M4134" s="29"/>
      <c r="N4134" s="29" t="s">
        <v>11448</v>
      </c>
      <c r="O4134" s="29"/>
      <c r="P4134" s="29" t="s">
        <v>11449</v>
      </c>
      <c r="Q4134" t="s">
        <v>2038</v>
      </c>
      <c r="R4134" t="s">
        <v>2632</v>
      </c>
      <c r="S4134">
        <v>37</v>
      </c>
      <c r="T4134" s="43" t="str">
        <f>HYPERLINK("https://ictv.global/ictv/proposals/2021.087B.R.Typhavirus.zip","2021.087B.R.Typhavirus.zip")</f>
        <v>2021.087B.R.Typhavirus.zip</v>
      </c>
      <c r="U4134" s="43" t="str">
        <f>HYPERLINK("https://ictv.global/taxonomy/taxondetails?taxnode_id=202212650","ictv.global=202212650")</f>
        <v>ictv.global=202212650</v>
      </c>
    </row>
    <row r="4135" spans="1:21">
      <c r="A4135">
        <v>4134</v>
      </c>
      <c r="B4135" s="29" t="s">
        <v>3682</v>
      </c>
      <c r="C4135" s="29"/>
      <c r="D4135" s="29" t="s">
        <v>3683</v>
      </c>
      <c r="E4135" s="29"/>
      <c r="F4135" s="29" t="s">
        <v>3686</v>
      </c>
      <c r="G4135" s="29"/>
      <c r="H4135" s="29" t="s">
        <v>3687</v>
      </c>
      <c r="I4135" s="29"/>
      <c r="J4135" s="29"/>
      <c r="K4135" s="29"/>
      <c r="L4135" s="29"/>
      <c r="M4135" s="29"/>
      <c r="N4135" s="29" t="s">
        <v>3487</v>
      </c>
      <c r="O4135" s="29"/>
      <c r="P4135" s="29" t="s">
        <v>11450</v>
      </c>
      <c r="Q4135" t="s">
        <v>2038</v>
      </c>
      <c r="R4135" t="s">
        <v>2633</v>
      </c>
      <c r="S4135">
        <v>37</v>
      </c>
      <c r="T4135" s="43" t="str">
        <f t="shared" ref="T4135:T4145" si="195">HYPERLINK("https://ictv.global/ictv/proposals/2021.010B.R.Binomial_names.zip","2021.010B.R.Binomial_names.zip")</f>
        <v>2021.010B.R.Binomial_names.zip</v>
      </c>
      <c r="U4135" s="43" t="str">
        <f>HYPERLINK("https://ictv.global/taxonomy/taxondetails?taxnode_id=202200637","ictv.global=202200637")</f>
        <v>ictv.global=202200637</v>
      </c>
    </row>
    <row r="4136" spans="1:21">
      <c r="A4136">
        <v>4135</v>
      </c>
      <c r="B4136" s="29" t="s">
        <v>3682</v>
      </c>
      <c r="C4136" s="29"/>
      <c r="D4136" s="29" t="s">
        <v>3683</v>
      </c>
      <c r="E4136" s="29"/>
      <c r="F4136" s="29" t="s">
        <v>3686</v>
      </c>
      <c r="G4136" s="29"/>
      <c r="H4136" s="29" t="s">
        <v>3687</v>
      </c>
      <c r="I4136" s="29"/>
      <c r="J4136" s="29"/>
      <c r="K4136" s="29"/>
      <c r="L4136" s="29"/>
      <c r="M4136" s="29"/>
      <c r="N4136" s="29" t="s">
        <v>3487</v>
      </c>
      <c r="O4136" s="29"/>
      <c r="P4136" s="29" t="s">
        <v>11451</v>
      </c>
      <c r="Q4136" t="s">
        <v>2038</v>
      </c>
      <c r="R4136" t="s">
        <v>2633</v>
      </c>
      <c r="S4136">
        <v>37</v>
      </c>
      <c r="T4136" s="43" t="str">
        <f t="shared" si="195"/>
        <v>2021.010B.R.Binomial_names.zip</v>
      </c>
      <c r="U4136" s="43" t="str">
        <f>HYPERLINK("https://ictv.global/taxonomy/taxondetails?taxnode_id=202200636","ictv.global=202200636")</f>
        <v>ictv.global=202200636</v>
      </c>
    </row>
    <row r="4137" spans="1:21">
      <c r="A4137">
        <v>4136</v>
      </c>
      <c r="B4137" s="29" t="s">
        <v>3682</v>
      </c>
      <c r="C4137" s="29"/>
      <c r="D4137" s="29" t="s">
        <v>3683</v>
      </c>
      <c r="E4137" s="29"/>
      <c r="F4137" s="29" t="s">
        <v>3686</v>
      </c>
      <c r="G4137" s="29"/>
      <c r="H4137" s="29" t="s">
        <v>3687</v>
      </c>
      <c r="I4137" s="29"/>
      <c r="J4137" s="29"/>
      <c r="K4137" s="29"/>
      <c r="L4137" s="29"/>
      <c r="M4137" s="29"/>
      <c r="N4137" s="29" t="s">
        <v>3487</v>
      </c>
      <c r="O4137" s="29"/>
      <c r="P4137" s="29" t="s">
        <v>11452</v>
      </c>
      <c r="Q4137" t="s">
        <v>2038</v>
      </c>
      <c r="R4137" t="s">
        <v>2633</v>
      </c>
      <c r="S4137">
        <v>37</v>
      </c>
      <c r="T4137" s="43" t="str">
        <f t="shared" si="195"/>
        <v>2021.010B.R.Binomial_names.zip</v>
      </c>
      <c r="U4137" s="43" t="str">
        <f>HYPERLINK("https://ictv.global/taxonomy/taxondetails?taxnode_id=202200638","ictv.global=202200638")</f>
        <v>ictv.global=202200638</v>
      </c>
    </row>
    <row r="4138" spans="1:21">
      <c r="A4138">
        <v>4137</v>
      </c>
      <c r="B4138" s="29" t="s">
        <v>3682</v>
      </c>
      <c r="C4138" s="29"/>
      <c r="D4138" s="29" t="s">
        <v>3683</v>
      </c>
      <c r="E4138" s="29"/>
      <c r="F4138" s="29" t="s">
        <v>3686</v>
      </c>
      <c r="G4138" s="29"/>
      <c r="H4138" s="29" t="s">
        <v>3687</v>
      </c>
      <c r="I4138" s="29"/>
      <c r="J4138" s="29"/>
      <c r="K4138" s="29"/>
      <c r="L4138" s="29"/>
      <c r="M4138" s="29"/>
      <c r="N4138" s="29" t="s">
        <v>4788</v>
      </c>
      <c r="O4138" s="29"/>
      <c r="P4138" s="29" t="s">
        <v>11453</v>
      </c>
      <c r="Q4138" t="s">
        <v>2038</v>
      </c>
      <c r="R4138" t="s">
        <v>2633</v>
      </c>
      <c r="S4138">
        <v>37</v>
      </c>
      <c r="T4138" s="43" t="str">
        <f t="shared" si="195"/>
        <v>2021.010B.R.Binomial_names.zip</v>
      </c>
      <c r="U4138" s="43" t="str">
        <f>HYPERLINK("https://ictv.global/taxonomy/taxondetails?taxnode_id=202212078","ictv.global=202212078")</f>
        <v>ictv.global=202212078</v>
      </c>
    </row>
    <row r="4139" spans="1:21">
      <c r="A4139">
        <v>4138</v>
      </c>
      <c r="B4139" s="29" t="s">
        <v>3682</v>
      </c>
      <c r="C4139" s="29"/>
      <c r="D4139" s="29" t="s">
        <v>3683</v>
      </c>
      <c r="E4139" s="29"/>
      <c r="F4139" s="29" t="s">
        <v>3686</v>
      </c>
      <c r="G4139" s="29"/>
      <c r="H4139" s="29" t="s">
        <v>3687</v>
      </c>
      <c r="I4139" s="29"/>
      <c r="J4139" s="29"/>
      <c r="K4139" s="29"/>
      <c r="L4139" s="29"/>
      <c r="M4139" s="29"/>
      <c r="N4139" s="29" t="s">
        <v>4045</v>
      </c>
      <c r="O4139" s="29"/>
      <c r="P4139" s="29" t="s">
        <v>11454</v>
      </c>
      <c r="Q4139" t="s">
        <v>2038</v>
      </c>
      <c r="R4139" t="s">
        <v>2633</v>
      </c>
      <c r="S4139">
        <v>37</v>
      </c>
      <c r="T4139" s="43" t="str">
        <f t="shared" si="195"/>
        <v>2021.010B.R.Binomial_names.zip</v>
      </c>
      <c r="U4139" s="43" t="str">
        <f>HYPERLINK("https://ictv.global/taxonomy/taxondetails?taxnode_id=202208191","ictv.global=202208191")</f>
        <v>ictv.global=202208191</v>
      </c>
    </row>
    <row r="4140" spans="1:21">
      <c r="A4140">
        <v>4139</v>
      </c>
      <c r="B4140" s="29" t="s">
        <v>3682</v>
      </c>
      <c r="C4140" s="29"/>
      <c r="D4140" s="29" t="s">
        <v>3683</v>
      </c>
      <c r="E4140" s="29"/>
      <c r="F4140" s="29" t="s">
        <v>3686</v>
      </c>
      <c r="G4140" s="29"/>
      <c r="H4140" s="29" t="s">
        <v>3687</v>
      </c>
      <c r="I4140" s="29"/>
      <c r="J4140" s="29"/>
      <c r="K4140" s="29"/>
      <c r="L4140" s="29"/>
      <c r="M4140" s="29"/>
      <c r="N4140" s="29" t="s">
        <v>4045</v>
      </c>
      <c r="O4140" s="29"/>
      <c r="P4140" s="29" t="s">
        <v>11455</v>
      </c>
      <c r="Q4140" t="s">
        <v>2038</v>
      </c>
      <c r="R4140" t="s">
        <v>2633</v>
      </c>
      <c r="S4140">
        <v>37</v>
      </c>
      <c r="T4140" s="43" t="str">
        <f t="shared" si="195"/>
        <v>2021.010B.R.Binomial_names.zip</v>
      </c>
      <c r="U4140" s="43" t="str">
        <f>HYPERLINK("https://ictv.global/taxonomy/taxondetails?taxnode_id=202208190","ictv.global=202208190")</f>
        <v>ictv.global=202208190</v>
      </c>
    </row>
    <row r="4141" spans="1:21">
      <c r="A4141">
        <v>4140</v>
      </c>
      <c r="B4141" s="29" t="s">
        <v>3682</v>
      </c>
      <c r="C4141" s="29"/>
      <c r="D4141" s="29" t="s">
        <v>3683</v>
      </c>
      <c r="E4141" s="29"/>
      <c r="F4141" s="29" t="s">
        <v>3686</v>
      </c>
      <c r="G4141" s="29"/>
      <c r="H4141" s="29" t="s">
        <v>3687</v>
      </c>
      <c r="I4141" s="29"/>
      <c r="J4141" s="29"/>
      <c r="K4141" s="29"/>
      <c r="L4141" s="29"/>
      <c r="M4141" s="29"/>
      <c r="N4141" s="29" t="s">
        <v>4789</v>
      </c>
      <c r="O4141" s="29"/>
      <c r="P4141" s="29" t="s">
        <v>11456</v>
      </c>
      <c r="Q4141" t="s">
        <v>2038</v>
      </c>
      <c r="R4141" t="s">
        <v>2633</v>
      </c>
      <c r="S4141">
        <v>37</v>
      </c>
      <c r="T4141" s="43" t="str">
        <f t="shared" si="195"/>
        <v>2021.010B.R.Binomial_names.zip</v>
      </c>
      <c r="U4141" s="43" t="str">
        <f>HYPERLINK("https://ictv.global/taxonomy/taxondetails?taxnode_id=202212082","ictv.global=202212082")</f>
        <v>ictv.global=202212082</v>
      </c>
    </row>
    <row r="4142" spans="1:21">
      <c r="A4142">
        <v>4141</v>
      </c>
      <c r="B4142" s="29" t="s">
        <v>3682</v>
      </c>
      <c r="C4142" s="29"/>
      <c r="D4142" s="29" t="s">
        <v>3683</v>
      </c>
      <c r="E4142" s="29"/>
      <c r="F4142" s="29" t="s">
        <v>3686</v>
      </c>
      <c r="G4142" s="29"/>
      <c r="H4142" s="29" t="s">
        <v>3687</v>
      </c>
      <c r="I4142" s="29"/>
      <c r="J4142" s="29"/>
      <c r="K4142" s="29"/>
      <c r="L4142" s="29"/>
      <c r="M4142" s="29"/>
      <c r="N4142" s="29" t="s">
        <v>4789</v>
      </c>
      <c r="O4142" s="29"/>
      <c r="P4142" s="29" t="s">
        <v>11457</v>
      </c>
      <c r="Q4142" t="s">
        <v>2038</v>
      </c>
      <c r="R4142" t="s">
        <v>2633</v>
      </c>
      <c r="S4142">
        <v>37</v>
      </c>
      <c r="T4142" s="43" t="str">
        <f t="shared" si="195"/>
        <v>2021.010B.R.Binomial_names.zip</v>
      </c>
      <c r="U4142" s="43" t="str">
        <f>HYPERLINK("https://ictv.global/taxonomy/taxondetails?taxnode_id=202212084","ictv.global=202212084")</f>
        <v>ictv.global=202212084</v>
      </c>
    </row>
    <row r="4143" spans="1:21">
      <c r="A4143">
        <v>4142</v>
      </c>
      <c r="B4143" s="29" t="s">
        <v>3682</v>
      </c>
      <c r="C4143" s="29"/>
      <c r="D4143" s="29" t="s">
        <v>3683</v>
      </c>
      <c r="E4143" s="29"/>
      <c r="F4143" s="29" t="s">
        <v>3686</v>
      </c>
      <c r="G4143" s="29"/>
      <c r="H4143" s="29" t="s">
        <v>3687</v>
      </c>
      <c r="I4143" s="29"/>
      <c r="J4143" s="29"/>
      <c r="K4143" s="29"/>
      <c r="L4143" s="29"/>
      <c r="M4143" s="29"/>
      <c r="N4143" s="29" t="s">
        <v>4789</v>
      </c>
      <c r="O4143" s="29"/>
      <c r="P4143" s="29" t="s">
        <v>11458</v>
      </c>
      <c r="Q4143" t="s">
        <v>2038</v>
      </c>
      <c r="R4143" t="s">
        <v>2633</v>
      </c>
      <c r="S4143">
        <v>37</v>
      </c>
      <c r="T4143" s="43" t="str">
        <f t="shared" si="195"/>
        <v>2021.010B.R.Binomial_names.zip</v>
      </c>
      <c r="U4143" s="43" t="str">
        <f>HYPERLINK("https://ictv.global/taxonomy/taxondetails?taxnode_id=202212080","ictv.global=202212080")</f>
        <v>ictv.global=202212080</v>
      </c>
    </row>
    <row r="4144" spans="1:21">
      <c r="A4144">
        <v>4143</v>
      </c>
      <c r="B4144" s="29" t="s">
        <v>3682</v>
      </c>
      <c r="C4144" s="29"/>
      <c r="D4144" s="29" t="s">
        <v>3683</v>
      </c>
      <c r="E4144" s="29"/>
      <c r="F4144" s="29" t="s">
        <v>3686</v>
      </c>
      <c r="G4144" s="29"/>
      <c r="H4144" s="29" t="s">
        <v>3687</v>
      </c>
      <c r="I4144" s="29"/>
      <c r="J4144" s="29"/>
      <c r="K4144" s="29"/>
      <c r="L4144" s="29"/>
      <c r="M4144" s="29"/>
      <c r="N4144" s="29" t="s">
        <v>4789</v>
      </c>
      <c r="O4144" s="29"/>
      <c r="P4144" s="29" t="s">
        <v>11459</v>
      </c>
      <c r="Q4144" t="s">
        <v>2038</v>
      </c>
      <c r="R4144" t="s">
        <v>2633</v>
      </c>
      <c r="S4144">
        <v>37</v>
      </c>
      <c r="T4144" s="43" t="str">
        <f t="shared" si="195"/>
        <v>2021.010B.R.Binomial_names.zip</v>
      </c>
      <c r="U4144" s="43" t="str">
        <f>HYPERLINK("https://ictv.global/taxonomy/taxondetails?taxnode_id=202212081","ictv.global=202212081")</f>
        <v>ictv.global=202212081</v>
      </c>
    </row>
    <row r="4145" spans="1:21">
      <c r="A4145">
        <v>4144</v>
      </c>
      <c r="B4145" s="29" t="s">
        <v>3682</v>
      </c>
      <c r="C4145" s="29"/>
      <c r="D4145" s="29" t="s">
        <v>3683</v>
      </c>
      <c r="E4145" s="29"/>
      <c r="F4145" s="29" t="s">
        <v>3686</v>
      </c>
      <c r="G4145" s="29"/>
      <c r="H4145" s="29" t="s">
        <v>3687</v>
      </c>
      <c r="I4145" s="29"/>
      <c r="J4145" s="29"/>
      <c r="K4145" s="29"/>
      <c r="L4145" s="29"/>
      <c r="M4145" s="29"/>
      <c r="N4145" s="29" t="s">
        <v>4789</v>
      </c>
      <c r="O4145" s="29"/>
      <c r="P4145" s="29" t="s">
        <v>11460</v>
      </c>
      <c r="Q4145" t="s">
        <v>2038</v>
      </c>
      <c r="R4145" t="s">
        <v>2633</v>
      </c>
      <c r="S4145">
        <v>37</v>
      </c>
      <c r="T4145" s="43" t="str">
        <f t="shared" si="195"/>
        <v>2021.010B.R.Binomial_names.zip</v>
      </c>
      <c r="U4145" s="43" t="str">
        <f>HYPERLINK("https://ictv.global/taxonomy/taxondetails?taxnode_id=202212083","ictv.global=202212083")</f>
        <v>ictv.global=202212083</v>
      </c>
    </row>
    <row r="4146" spans="1:21">
      <c r="A4146">
        <v>4145</v>
      </c>
      <c r="B4146" s="29" t="s">
        <v>3682</v>
      </c>
      <c r="C4146" s="29"/>
      <c r="D4146" s="29" t="s">
        <v>3683</v>
      </c>
      <c r="E4146" s="29"/>
      <c r="F4146" s="29" t="s">
        <v>3686</v>
      </c>
      <c r="G4146" s="29"/>
      <c r="H4146" s="29" t="s">
        <v>3687</v>
      </c>
      <c r="I4146" s="29"/>
      <c r="J4146" s="29"/>
      <c r="K4146" s="29"/>
      <c r="L4146" s="29"/>
      <c r="M4146" s="29"/>
      <c r="N4146" s="29" t="s">
        <v>11461</v>
      </c>
      <c r="O4146" s="29"/>
      <c r="P4146" s="29" t="s">
        <v>11462</v>
      </c>
      <c r="Q4146" t="s">
        <v>2038</v>
      </c>
      <c r="R4146" t="s">
        <v>2632</v>
      </c>
      <c r="S4146">
        <v>38</v>
      </c>
      <c r="T4146" s="43" t="str">
        <f>HYPERLINK("https://ictv.global/ictv/proposals/2022.081B.Caudoviricetes_6ng_streptomyces.zip","2022.081B.Caudoviricetes_6ng_streptomyces.zip")</f>
        <v>2022.081B.Caudoviricetes_6ng_streptomyces.zip</v>
      </c>
      <c r="U4146" s="43" t="str">
        <f>HYPERLINK("https://ictv.global/taxonomy/taxondetails?taxnode_id=202214878","ictv.global=202214878")</f>
        <v>ictv.global=202214878</v>
      </c>
    </row>
    <row r="4147" spans="1:21">
      <c r="A4147">
        <v>4146</v>
      </c>
      <c r="B4147" s="29" t="s">
        <v>3682</v>
      </c>
      <c r="C4147" s="29"/>
      <c r="D4147" s="29" t="s">
        <v>3683</v>
      </c>
      <c r="E4147" s="29"/>
      <c r="F4147" s="29" t="s">
        <v>3686</v>
      </c>
      <c r="G4147" s="29"/>
      <c r="H4147" s="29" t="s">
        <v>3687</v>
      </c>
      <c r="I4147" s="29"/>
      <c r="J4147" s="29"/>
      <c r="K4147" s="29"/>
      <c r="L4147" s="29"/>
      <c r="M4147" s="29"/>
      <c r="N4147" s="29" t="s">
        <v>11463</v>
      </c>
      <c r="O4147" s="29"/>
      <c r="P4147" s="29" t="s">
        <v>11464</v>
      </c>
      <c r="Q4147" t="s">
        <v>2038</v>
      </c>
      <c r="R4147" t="s">
        <v>2632</v>
      </c>
      <c r="S4147">
        <v>37</v>
      </c>
      <c r="T4147" s="43" t="str">
        <f t="shared" ref="T4147:T4154" si="196">HYPERLINK("https://ictv.global/ictv/proposals/2021.088B.R.Veracruzvirus.zip","2021.088B.R.Veracruzvirus.zip")</f>
        <v>2021.088B.R.Veracruzvirus.zip</v>
      </c>
      <c r="U4147" s="43" t="str">
        <f>HYPERLINK("https://ictv.global/taxonomy/taxondetails?taxnode_id=202212656","ictv.global=202212656")</f>
        <v>ictv.global=202212656</v>
      </c>
    </row>
    <row r="4148" spans="1:21">
      <c r="A4148">
        <v>4147</v>
      </c>
      <c r="B4148" s="29" t="s">
        <v>3682</v>
      </c>
      <c r="C4148" s="29"/>
      <c r="D4148" s="29" t="s">
        <v>3683</v>
      </c>
      <c r="E4148" s="29"/>
      <c r="F4148" s="29" t="s">
        <v>3686</v>
      </c>
      <c r="G4148" s="29"/>
      <c r="H4148" s="29" t="s">
        <v>3687</v>
      </c>
      <c r="I4148" s="29"/>
      <c r="J4148" s="29"/>
      <c r="K4148" s="29"/>
      <c r="L4148" s="29"/>
      <c r="M4148" s="29"/>
      <c r="N4148" s="29" t="s">
        <v>11463</v>
      </c>
      <c r="O4148" s="29"/>
      <c r="P4148" s="29" t="s">
        <v>11465</v>
      </c>
      <c r="Q4148" t="s">
        <v>2038</v>
      </c>
      <c r="R4148" t="s">
        <v>2632</v>
      </c>
      <c r="S4148">
        <v>37</v>
      </c>
      <c r="T4148" s="43" t="str">
        <f t="shared" si="196"/>
        <v>2021.088B.R.Veracruzvirus.zip</v>
      </c>
      <c r="U4148" s="43" t="str">
        <f>HYPERLINK("https://ictv.global/taxonomy/taxondetails?taxnode_id=202212654","ictv.global=202212654")</f>
        <v>ictv.global=202212654</v>
      </c>
    </row>
    <row r="4149" spans="1:21">
      <c r="A4149">
        <v>4148</v>
      </c>
      <c r="B4149" s="29" t="s">
        <v>3682</v>
      </c>
      <c r="C4149" s="29"/>
      <c r="D4149" s="29" t="s">
        <v>3683</v>
      </c>
      <c r="E4149" s="29"/>
      <c r="F4149" s="29" t="s">
        <v>3686</v>
      </c>
      <c r="G4149" s="29"/>
      <c r="H4149" s="29" t="s">
        <v>3687</v>
      </c>
      <c r="I4149" s="29"/>
      <c r="J4149" s="29"/>
      <c r="K4149" s="29"/>
      <c r="L4149" s="29"/>
      <c r="M4149" s="29"/>
      <c r="N4149" s="29" t="s">
        <v>11463</v>
      </c>
      <c r="O4149" s="29"/>
      <c r="P4149" s="29" t="s">
        <v>11466</v>
      </c>
      <c r="Q4149" t="s">
        <v>2038</v>
      </c>
      <c r="R4149" t="s">
        <v>2633</v>
      </c>
      <c r="S4149">
        <v>37</v>
      </c>
      <c r="T4149" s="43" t="str">
        <f t="shared" si="196"/>
        <v>2021.088B.R.Veracruzvirus.zip</v>
      </c>
      <c r="U4149" s="43" t="str">
        <f>HYPERLINK("https://ictv.global/taxonomy/taxondetails?taxnode_id=202201030","ictv.global=202201030")</f>
        <v>ictv.global=202201030</v>
      </c>
    </row>
    <row r="4150" spans="1:21">
      <c r="A4150">
        <v>4149</v>
      </c>
      <c r="B4150" s="29" t="s">
        <v>3682</v>
      </c>
      <c r="C4150" s="29"/>
      <c r="D4150" s="29" t="s">
        <v>3683</v>
      </c>
      <c r="E4150" s="29"/>
      <c r="F4150" s="29" t="s">
        <v>3686</v>
      </c>
      <c r="G4150" s="29"/>
      <c r="H4150" s="29" t="s">
        <v>3687</v>
      </c>
      <c r="I4150" s="29"/>
      <c r="J4150" s="29"/>
      <c r="K4150" s="29"/>
      <c r="L4150" s="29"/>
      <c r="M4150" s="29"/>
      <c r="N4150" s="29" t="s">
        <v>11463</v>
      </c>
      <c r="O4150" s="29"/>
      <c r="P4150" s="29" t="s">
        <v>11467</v>
      </c>
      <c r="Q4150" t="s">
        <v>2038</v>
      </c>
      <c r="R4150" t="s">
        <v>2632</v>
      </c>
      <c r="S4150">
        <v>37</v>
      </c>
      <c r="T4150" s="43" t="str">
        <f t="shared" si="196"/>
        <v>2021.088B.R.Veracruzvirus.zip</v>
      </c>
      <c r="U4150" s="43" t="str">
        <f>HYPERLINK("https://ictv.global/taxonomy/taxondetails?taxnode_id=202212655","ictv.global=202212655")</f>
        <v>ictv.global=202212655</v>
      </c>
    </row>
    <row r="4151" spans="1:21">
      <c r="A4151">
        <v>4150</v>
      </c>
      <c r="B4151" s="29" t="s">
        <v>3682</v>
      </c>
      <c r="C4151" s="29"/>
      <c r="D4151" s="29" t="s">
        <v>3683</v>
      </c>
      <c r="E4151" s="29"/>
      <c r="F4151" s="29" t="s">
        <v>3686</v>
      </c>
      <c r="G4151" s="29"/>
      <c r="H4151" s="29" t="s">
        <v>3687</v>
      </c>
      <c r="I4151" s="29"/>
      <c r="J4151" s="29"/>
      <c r="K4151" s="29"/>
      <c r="L4151" s="29"/>
      <c r="M4151" s="29"/>
      <c r="N4151" s="29" t="s">
        <v>11463</v>
      </c>
      <c r="O4151" s="29"/>
      <c r="P4151" s="29" t="s">
        <v>11468</v>
      </c>
      <c r="Q4151" t="s">
        <v>2038</v>
      </c>
      <c r="R4151" t="s">
        <v>2632</v>
      </c>
      <c r="S4151">
        <v>37</v>
      </c>
      <c r="T4151" s="43" t="str">
        <f t="shared" si="196"/>
        <v>2021.088B.R.Veracruzvirus.zip</v>
      </c>
      <c r="U4151" s="43" t="str">
        <f>HYPERLINK("https://ictv.global/taxonomy/taxondetails?taxnode_id=202212653","ictv.global=202212653")</f>
        <v>ictv.global=202212653</v>
      </c>
    </row>
    <row r="4152" spans="1:21">
      <c r="A4152">
        <v>4151</v>
      </c>
      <c r="B4152" s="29" t="s">
        <v>3682</v>
      </c>
      <c r="C4152" s="29"/>
      <c r="D4152" s="29" t="s">
        <v>3683</v>
      </c>
      <c r="E4152" s="29"/>
      <c r="F4152" s="29" t="s">
        <v>3686</v>
      </c>
      <c r="G4152" s="29"/>
      <c r="H4152" s="29" t="s">
        <v>3687</v>
      </c>
      <c r="I4152" s="29"/>
      <c r="J4152" s="29"/>
      <c r="K4152" s="29"/>
      <c r="L4152" s="29"/>
      <c r="M4152" s="29"/>
      <c r="N4152" s="29" t="s">
        <v>11463</v>
      </c>
      <c r="O4152" s="29"/>
      <c r="P4152" s="29" t="s">
        <v>11469</v>
      </c>
      <c r="Q4152" t="s">
        <v>2038</v>
      </c>
      <c r="R4152" t="s">
        <v>2632</v>
      </c>
      <c r="S4152">
        <v>37</v>
      </c>
      <c r="T4152" s="43" t="str">
        <f t="shared" si="196"/>
        <v>2021.088B.R.Veracruzvirus.zip</v>
      </c>
      <c r="U4152" s="43" t="str">
        <f>HYPERLINK("https://ictv.global/taxonomy/taxondetails?taxnode_id=202212657","ictv.global=202212657")</f>
        <v>ictv.global=202212657</v>
      </c>
    </row>
    <row r="4153" spans="1:21">
      <c r="A4153">
        <v>4152</v>
      </c>
      <c r="B4153" s="29" t="s">
        <v>3682</v>
      </c>
      <c r="C4153" s="29"/>
      <c r="D4153" s="29" t="s">
        <v>3683</v>
      </c>
      <c r="E4153" s="29"/>
      <c r="F4153" s="29" t="s">
        <v>3686</v>
      </c>
      <c r="G4153" s="29"/>
      <c r="H4153" s="29" t="s">
        <v>3687</v>
      </c>
      <c r="I4153" s="29"/>
      <c r="J4153" s="29"/>
      <c r="K4153" s="29"/>
      <c r="L4153" s="29"/>
      <c r="M4153" s="29"/>
      <c r="N4153" s="29" t="s">
        <v>11463</v>
      </c>
      <c r="O4153" s="29"/>
      <c r="P4153" s="29" t="s">
        <v>11470</v>
      </c>
      <c r="Q4153" t="s">
        <v>2038</v>
      </c>
      <c r="R4153" t="s">
        <v>2633</v>
      </c>
      <c r="S4153">
        <v>37</v>
      </c>
      <c r="T4153" s="43" t="str">
        <f t="shared" si="196"/>
        <v>2021.088B.R.Veracruzvirus.zip</v>
      </c>
      <c r="U4153" s="43" t="str">
        <f>HYPERLINK("https://ictv.global/taxonomy/taxondetails?taxnode_id=202201054","ictv.global=202201054")</f>
        <v>ictv.global=202201054</v>
      </c>
    </row>
    <row r="4154" spans="1:21">
      <c r="A4154">
        <v>4153</v>
      </c>
      <c r="B4154" s="29" t="s">
        <v>3682</v>
      </c>
      <c r="C4154" s="29"/>
      <c r="D4154" s="29" t="s">
        <v>3683</v>
      </c>
      <c r="E4154" s="29"/>
      <c r="F4154" s="29" t="s">
        <v>3686</v>
      </c>
      <c r="G4154" s="29"/>
      <c r="H4154" s="29" t="s">
        <v>3687</v>
      </c>
      <c r="I4154" s="29"/>
      <c r="J4154" s="29"/>
      <c r="K4154" s="29"/>
      <c r="L4154" s="29"/>
      <c r="M4154" s="29"/>
      <c r="N4154" s="29" t="s">
        <v>11463</v>
      </c>
      <c r="O4154" s="29"/>
      <c r="P4154" s="29" t="s">
        <v>11471</v>
      </c>
      <c r="Q4154" t="s">
        <v>2038</v>
      </c>
      <c r="R4154" t="s">
        <v>2632</v>
      </c>
      <c r="S4154">
        <v>37</v>
      </c>
      <c r="T4154" s="43" t="str">
        <f t="shared" si="196"/>
        <v>2021.088B.R.Veracruzvirus.zip</v>
      </c>
      <c r="U4154" s="43" t="str">
        <f>HYPERLINK("https://ictv.global/taxonomy/taxondetails?taxnode_id=202212652","ictv.global=202212652")</f>
        <v>ictv.global=202212652</v>
      </c>
    </row>
    <row r="4155" spans="1:21">
      <c r="A4155">
        <v>4154</v>
      </c>
      <c r="B4155" s="29" t="s">
        <v>3682</v>
      </c>
      <c r="C4155" s="29"/>
      <c r="D4155" s="29" t="s">
        <v>3683</v>
      </c>
      <c r="E4155" s="29"/>
      <c r="F4155" s="29" t="s">
        <v>3686</v>
      </c>
      <c r="G4155" s="29"/>
      <c r="H4155" s="29" t="s">
        <v>3687</v>
      </c>
      <c r="I4155" s="29"/>
      <c r="J4155" s="29"/>
      <c r="K4155" s="29"/>
      <c r="L4155" s="29"/>
      <c r="M4155" s="29"/>
      <c r="N4155" s="29" t="s">
        <v>2068</v>
      </c>
      <c r="O4155" s="29"/>
      <c r="P4155" s="29" t="s">
        <v>11472</v>
      </c>
      <c r="Q4155" t="s">
        <v>2038</v>
      </c>
      <c r="R4155" t="s">
        <v>2633</v>
      </c>
      <c r="S4155">
        <v>37</v>
      </c>
      <c r="T4155" s="43" t="str">
        <f t="shared" ref="T4155:T4164" si="197">HYPERLINK("https://ictv.global/ictv/proposals/2021.010B.R.Binomial_names.zip","2021.010B.R.Binomial_names.zip")</f>
        <v>2021.010B.R.Binomial_names.zip</v>
      </c>
      <c r="U4155" s="43" t="str">
        <f>HYPERLINK("https://ictv.global/taxonomy/taxondetails?taxnode_id=202200517","ictv.global=202200517")</f>
        <v>ictv.global=202200517</v>
      </c>
    </row>
    <row r="4156" spans="1:21">
      <c r="A4156">
        <v>4155</v>
      </c>
      <c r="B4156" s="29" t="s">
        <v>3682</v>
      </c>
      <c r="C4156" s="29"/>
      <c r="D4156" s="29" t="s">
        <v>3683</v>
      </c>
      <c r="E4156" s="29"/>
      <c r="F4156" s="29" t="s">
        <v>3686</v>
      </c>
      <c r="G4156" s="29"/>
      <c r="H4156" s="29" t="s">
        <v>3687</v>
      </c>
      <c r="I4156" s="29"/>
      <c r="J4156" s="29"/>
      <c r="K4156" s="29"/>
      <c r="L4156" s="29"/>
      <c r="M4156" s="29"/>
      <c r="N4156" s="29" t="s">
        <v>2068</v>
      </c>
      <c r="O4156" s="29"/>
      <c r="P4156" s="29" t="s">
        <v>11473</v>
      </c>
      <c r="Q4156" t="s">
        <v>2038</v>
      </c>
      <c r="R4156" t="s">
        <v>2633</v>
      </c>
      <c r="S4156">
        <v>37</v>
      </c>
      <c r="T4156" s="43" t="str">
        <f t="shared" si="197"/>
        <v>2021.010B.R.Binomial_names.zip</v>
      </c>
      <c r="U4156" s="43" t="str">
        <f>HYPERLINK("https://ictv.global/taxonomy/taxondetails?taxnode_id=202200518","ictv.global=202200518")</f>
        <v>ictv.global=202200518</v>
      </c>
    </row>
    <row r="4157" spans="1:21">
      <c r="A4157">
        <v>4156</v>
      </c>
      <c r="B4157" s="29" t="s">
        <v>3682</v>
      </c>
      <c r="C4157" s="29"/>
      <c r="D4157" s="29" t="s">
        <v>3683</v>
      </c>
      <c r="E4157" s="29"/>
      <c r="F4157" s="29" t="s">
        <v>3686</v>
      </c>
      <c r="G4157" s="29"/>
      <c r="H4157" s="29" t="s">
        <v>3687</v>
      </c>
      <c r="I4157" s="29"/>
      <c r="J4157" s="29"/>
      <c r="K4157" s="29"/>
      <c r="L4157" s="29"/>
      <c r="M4157" s="29"/>
      <c r="N4157" s="29" t="s">
        <v>2068</v>
      </c>
      <c r="O4157" s="29"/>
      <c r="P4157" s="29" t="s">
        <v>11474</v>
      </c>
      <c r="Q4157" t="s">
        <v>2038</v>
      </c>
      <c r="R4157" t="s">
        <v>2633</v>
      </c>
      <c r="S4157">
        <v>37</v>
      </c>
      <c r="T4157" s="43" t="str">
        <f t="shared" si="197"/>
        <v>2021.010B.R.Binomial_names.zip</v>
      </c>
      <c r="U4157" s="43" t="str">
        <f>HYPERLINK("https://ictv.global/taxonomy/taxondetails?taxnode_id=202200519","ictv.global=202200519")</f>
        <v>ictv.global=202200519</v>
      </c>
    </row>
    <row r="4158" spans="1:21">
      <c r="A4158">
        <v>4157</v>
      </c>
      <c r="B4158" s="29" t="s">
        <v>3682</v>
      </c>
      <c r="C4158" s="29"/>
      <c r="D4158" s="29" t="s">
        <v>3683</v>
      </c>
      <c r="E4158" s="29"/>
      <c r="F4158" s="29" t="s">
        <v>3686</v>
      </c>
      <c r="G4158" s="29"/>
      <c r="H4158" s="29" t="s">
        <v>3687</v>
      </c>
      <c r="I4158" s="29"/>
      <c r="J4158" s="29"/>
      <c r="K4158" s="29"/>
      <c r="L4158" s="29"/>
      <c r="M4158" s="29"/>
      <c r="N4158" s="29" t="s">
        <v>3613</v>
      </c>
      <c r="O4158" s="29"/>
      <c r="P4158" s="29" t="s">
        <v>11475</v>
      </c>
      <c r="Q4158" t="s">
        <v>2038</v>
      </c>
      <c r="R4158" t="s">
        <v>2633</v>
      </c>
      <c r="S4158">
        <v>37</v>
      </c>
      <c r="T4158" s="43" t="str">
        <f t="shared" si="197"/>
        <v>2021.010B.R.Binomial_names.zip</v>
      </c>
      <c r="U4158" s="43" t="str">
        <f>HYPERLINK("https://ictv.global/taxonomy/taxondetails?taxnode_id=202206994","ictv.global=202206994")</f>
        <v>ictv.global=202206994</v>
      </c>
    </row>
    <row r="4159" spans="1:21">
      <c r="A4159">
        <v>4158</v>
      </c>
      <c r="B4159" s="29" t="s">
        <v>3682</v>
      </c>
      <c r="C4159" s="29"/>
      <c r="D4159" s="29" t="s">
        <v>3683</v>
      </c>
      <c r="E4159" s="29"/>
      <c r="F4159" s="29" t="s">
        <v>3686</v>
      </c>
      <c r="G4159" s="29"/>
      <c r="H4159" s="29" t="s">
        <v>3687</v>
      </c>
      <c r="I4159" s="29"/>
      <c r="J4159" s="29"/>
      <c r="K4159" s="29"/>
      <c r="L4159" s="29"/>
      <c r="M4159" s="29"/>
      <c r="N4159" s="29" t="s">
        <v>4586</v>
      </c>
      <c r="O4159" s="29"/>
      <c r="P4159" s="29" t="s">
        <v>11476</v>
      </c>
      <c r="Q4159" t="s">
        <v>2038</v>
      </c>
      <c r="R4159" t="s">
        <v>2633</v>
      </c>
      <c r="S4159">
        <v>37</v>
      </c>
      <c r="T4159" s="43" t="str">
        <f t="shared" si="197"/>
        <v>2021.010B.R.Binomial_names.zip</v>
      </c>
      <c r="U4159" s="43" t="str">
        <f>HYPERLINK("https://ictv.global/taxonomy/taxondetails?taxnode_id=202212088","ictv.global=202212088")</f>
        <v>ictv.global=202212088</v>
      </c>
    </row>
    <row r="4160" spans="1:21">
      <c r="A4160">
        <v>4159</v>
      </c>
      <c r="B4160" s="29" t="s">
        <v>3682</v>
      </c>
      <c r="C4160" s="29"/>
      <c r="D4160" s="29" t="s">
        <v>3683</v>
      </c>
      <c r="E4160" s="29"/>
      <c r="F4160" s="29" t="s">
        <v>3686</v>
      </c>
      <c r="G4160" s="29"/>
      <c r="H4160" s="29" t="s">
        <v>3687</v>
      </c>
      <c r="I4160" s="29"/>
      <c r="J4160" s="29"/>
      <c r="K4160" s="29"/>
      <c r="L4160" s="29"/>
      <c r="M4160" s="29"/>
      <c r="N4160" s="29" t="s">
        <v>3488</v>
      </c>
      <c r="O4160" s="29"/>
      <c r="P4160" s="29" t="s">
        <v>11477</v>
      </c>
      <c r="Q4160" t="s">
        <v>2038</v>
      </c>
      <c r="R4160" t="s">
        <v>2633</v>
      </c>
      <c r="S4160">
        <v>37</v>
      </c>
      <c r="T4160" s="43" t="str">
        <f t="shared" si="197"/>
        <v>2021.010B.R.Binomial_names.zip</v>
      </c>
      <c r="U4160" s="43" t="str">
        <f>HYPERLINK("https://ictv.global/taxonomy/taxondetails?taxnode_id=202206898","ictv.global=202206898")</f>
        <v>ictv.global=202206898</v>
      </c>
    </row>
    <row r="4161" spans="1:21">
      <c r="A4161">
        <v>4160</v>
      </c>
      <c r="B4161" s="29" t="s">
        <v>3682</v>
      </c>
      <c r="C4161" s="29"/>
      <c r="D4161" s="29" t="s">
        <v>3683</v>
      </c>
      <c r="E4161" s="29"/>
      <c r="F4161" s="29" t="s">
        <v>3686</v>
      </c>
      <c r="G4161" s="29"/>
      <c r="H4161" s="29" t="s">
        <v>3687</v>
      </c>
      <c r="I4161" s="29"/>
      <c r="J4161" s="29"/>
      <c r="K4161" s="29"/>
      <c r="L4161" s="29"/>
      <c r="M4161" s="29"/>
      <c r="N4161" s="29" t="s">
        <v>3488</v>
      </c>
      <c r="O4161" s="29"/>
      <c r="P4161" s="29" t="s">
        <v>11478</v>
      </c>
      <c r="Q4161" t="s">
        <v>2038</v>
      </c>
      <c r="R4161" t="s">
        <v>2633</v>
      </c>
      <c r="S4161">
        <v>37</v>
      </c>
      <c r="T4161" s="43" t="str">
        <f t="shared" si="197"/>
        <v>2021.010B.R.Binomial_names.zip</v>
      </c>
      <c r="U4161" s="43" t="str">
        <f>HYPERLINK("https://ictv.global/taxonomy/taxondetails?taxnode_id=202206897","ictv.global=202206897")</f>
        <v>ictv.global=202206897</v>
      </c>
    </row>
    <row r="4162" spans="1:21">
      <c r="A4162">
        <v>4161</v>
      </c>
      <c r="B4162" s="29" t="s">
        <v>3682</v>
      </c>
      <c r="C4162" s="29"/>
      <c r="D4162" s="29" t="s">
        <v>3683</v>
      </c>
      <c r="E4162" s="29"/>
      <c r="F4162" s="29" t="s">
        <v>3686</v>
      </c>
      <c r="G4162" s="29"/>
      <c r="H4162" s="29" t="s">
        <v>3687</v>
      </c>
      <c r="I4162" s="29"/>
      <c r="J4162" s="29"/>
      <c r="K4162" s="29"/>
      <c r="L4162" s="29"/>
      <c r="M4162" s="29"/>
      <c r="N4162" s="29" t="s">
        <v>3614</v>
      </c>
      <c r="O4162" s="29"/>
      <c r="P4162" s="29" t="s">
        <v>11479</v>
      </c>
      <c r="Q4162" t="s">
        <v>2038</v>
      </c>
      <c r="R4162" t="s">
        <v>2633</v>
      </c>
      <c r="S4162">
        <v>37</v>
      </c>
      <c r="T4162" s="43" t="str">
        <f t="shared" si="197"/>
        <v>2021.010B.R.Binomial_names.zip</v>
      </c>
      <c r="U4162" s="43" t="str">
        <f>HYPERLINK("https://ictv.global/taxonomy/taxondetails?taxnode_id=202206756","ictv.global=202206756")</f>
        <v>ictv.global=202206756</v>
      </c>
    </row>
    <row r="4163" spans="1:21">
      <c r="A4163">
        <v>4162</v>
      </c>
      <c r="B4163" s="29" t="s">
        <v>3682</v>
      </c>
      <c r="C4163" s="29"/>
      <c r="D4163" s="29" t="s">
        <v>3683</v>
      </c>
      <c r="E4163" s="29"/>
      <c r="F4163" s="29" t="s">
        <v>3686</v>
      </c>
      <c r="G4163" s="29"/>
      <c r="H4163" s="29" t="s">
        <v>3687</v>
      </c>
      <c r="I4163" s="29"/>
      <c r="J4163" s="29"/>
      <c r="K4163" s="29"/>
      <c r="L4163" s="29"/>
      <c r="M4163" s="29"/>
      <c r="N4163" s="29" t="s">
        <v>3615</v>
      </c>
      <c r="O4163" s="29"/>
      <c r="P4163" s="29" t="s">
        <v>11480</v>
      </c>
      <c r="Q4163" t="s">
        <v>2038</v>
      </c>
      <c r="R4163" t="s">
        <v>2633</v>
      </c>
      <c r="S4163">
        <v>37</v>
      </c>
      <c r="T4163" s="43" t="str">
        <f t="shared" si="197"/>
        <v>2021.010B.R.Binomial_names.zip</v>
      </c>
      <c r="U4163" s="43" t="str">
        <f>HYPERLINK("https://ictv.global/taxonomy/taxondetails?taxnode_id=202206929","ictv.global=202206929")</f>
        <v>ictv.global=202206929</v>
      </c>
    </row>
    <row r="4164" spans="1:21">
      <c r="A4164">
        <v>4163</v>
      </c>
      <c r="B4164" s="29" t="s">
        <v>3682</v>
      </c>
      <c r="C4164" s="29"/>
      <c r="D4164" s="29" t="s">
        <v>3683</v>
      </c>
      <c r="E4164" s="29"/>
      <c r="F4164" s="29" t="s">
        <v>3686</v>
      </c>
      <c r="G4164" s="29"/>
      <c r="H4164" s="29" t="s">
        <v>3687</v>
      </c>
      <c r="I4164" s="29"/>
      <c r="J4164" s="29"/>
      <c r="K4164" s="29"/>
      <c r="L4164" s="29"/>
      <c r="M4164" s="29"/>
      <c r="N4164" s="29" t="s">
        <v>3615</v>
      </c>
      <c r="O4164" s="29"/>
      <c r="P4164" s="29" t="s">
        <v>11481</v>
      </c>
      <c r="Q4164" t="s">
        <v>2038</v>
      </c>
      <c r="R4164" t="s">
        <v>2633</v>
      </c>
      <c r="S4164">
        <v>37</v>
      </c>
      <c r="T4164" s="43" t="str">
        <f t="shared" si="197"/>
        <v>2021.010B.R.Binomial_names.zip</v>
      </c>
      <c r="U4164" s="43" t="str">
        <f>HYPERLINK("https://ictv.global/taxonomy/taxondetails?taxnode_id=202206930","ictv.global=202206930")</f>
        <v>ictv.global=202206930</v>
      </c>
    </row>
    <row r="4165" spans="1:21">
      <c r="A4165">
        <v>4164</v>
      </c>
      <c r="B4165" s="29" t="s">
        <v>3682</v>
      </c>
      <c r="C4165" s="29"/>
      <c r="D4165" s="29" t="s">
        <v>3683</v>
      </c>
      <c r="E4165" s="29"/>
      <c r="F4165" s="29" t="s">
        <v>3686</v>
      </c>
      <c r="G4165" s="29"/>
      <c r="H4165" s="29" t="s">
        <v>3687</v>
      </c>
      <c r="I4165" s="29"/>
      <c r="J4165" s="29"/>
      <c r="K4165" s="29"/>
      <c r="L4165" s="29"/>
      <c r="M4165" s="29"/>
      <c r="N4165" s="29" t="s">
        <v>3616</v>
      </c>
      <c r="O4165" s="29"/>
      <c r="P4165" s="29" t="s">
        <v>3617</v>
      </c>
      <c r="Q4165" t="s">
        <v>2038</v>
      </c>
      <c r="R4165" t="s">
        <v>2634</v>
      </c>
      <c r="S4165">
        <v>37</v>
      </c>
      <c r="T4165" s="43" t="str">
        <f>HYPERLINK("https://ictv.global/ictv/proposals/2021.001B.R.abolish_Caudovirales.zip","2021.001B.R.abolish_Caudovirales.zip")</f>
        <v>2021.001B.R.abolish_Caudovirales.zip</v>
      </c>
      <c r="U4165" s="43" t="str">
        <f>HYPERLINK("https://ictv.global/taxonomy/taxondetails?taxnode_id=202206793","ictv.global=202206793")</f>
        <v>ictv.global=202206793</v>
      </c>
    </row>
    <row r="4166" spans="1:21">
      <c r="A4166">
        <v>4165</v>
      </c>
      <c r="B4166" s="29" t="s">
        <v>3682</v>
      </c>
      <c r="C4166" s="29"/>
      <c r="D4166" s="29" t="s">
        <v>3683</v>
      </c>
      <c r="E4166" s="29"/>
      <c r="F4166" s="29" t="s">
        <v>3686</v>
      </c>
      <c r="G4166" s="29"/>
      <c r="H4166" s="29" t="s">
        <v>3687</v>
      </c>
      <c r="I4166" s="29"/>
      <c r="J4166" s="29"/>
      <c r="K4166" s="29"/>
      <c r="L4166" s="29"/>
      <c r="M4166" s="29"/>
      <c r="N4166" s="29" t="s">
        <v>3616</v>
      </c>
      <c r="O4166" s="29"/>
      <c r="P4166" s="29" t="s">
        <v>11482</v>
      </c>
      <c r="Q4166" t="s">
        <v>2038</v>
      </c>
      <c r="R4166" t="s">
        <v>2632</v>
      </c>
      <c r="S4166">
        <v>37</v>
      </c>
      <c r="T4166" s="43" t="str">
        <f>HYPERLINK("https://ictv.global/ictv/proposals/2021.090B.R.Vividuovirus_new_species.zip","2021.090B.R.Vividuovirus_new_species.zip")</f>
        <v>2021.090B.R.Vividuovirus_new_species.zip</v>
      </c>
      <c r="U4166" s="43" t="str">
        <f>HYPERLINK("https://ictv.global/taxonomy/taxondetails?taxnode_id=202212690","ictv.global=202212690")</f>
        <v>ictv.global=202212690</v>
      </c>
    </row>
    <row r="4167" spans="1:21">
      <c r="A4167">
        <v>4166</v>
      </c>
      <c r="B4167" s="29" t="s">
        <v>3682</v>
      </c>
      <c r="C4167" s="29"/>
      <c r="D4167" s="29" t="s">
        <v>3683</v>
      </c>
      <c r="E4167" s="29"/>
      <c r="F4167" s="29" t="s">
        <v>3686</v>
      </c>
      <c r="G4167" s="29"/>
      <c r="H4167" s="29" t="s">
        <v>3687</v>
      </c>
      <c r="I4167" s="29"/>
      <c r="J4167" s="29"/>
      <c r="K4167" s="29"/>
      <c r="L4167" s="29"/>
      <c r="M4167" s="29"/>
      <c r="N4167" s="29" t="s">
        <v>3616</v>
      </c>
      <c r="O4167" s="29"/>
      <c r="P4167" s="29" t="s">
        <v>11483</v>
      </c>
      <c r="Q4167" t="s">
        <v>2038</v>
      </c>
      <c r="R4167" t="s">
        <v>2632</v>
      </c>
      <c r="S4167">
        <v>37</v>
      </c>
      <c r="T4167" s="43" t="str">
        <f>HYPERLINK("https://ictv.global/ictv/proposals/2021.090B.R.Vividuovirus_new_species.zip","2021.090B.R.Vividuovirus_new_species.zip")</f>
        <v>2021.090B.R.Vividuovirus_new_species.zip</v>
      </c>
      <c r="U4167" s="43" t="str">
        <f>HYPERLINK("https://ictv.global/taxonomy/taxondetails?taxnode_id=202212694","ictv.global=202212694")</f>
        <v>ictv.global=202212694</v>
      </c>
    </row>
    <row r="4168" spans="1:21">
      <c r="A4168">
        <v>4167</v>
      </c>
      <c r="B4168" s="29" t="s">
        <v>3682</v>
      </c>
      <c r="C4168" s="29"/>
      <c r="D4168" s="29" t="s">
        <v>3683</v>
      </c>
      <c r="E4168" s="29"/>
      <c r="F4168" s="29" t="s">
        <v>3686</v>
      </c>
      <c r="G4168" s="29"/>
      <c r="H4168" s="29" t="s">
        <v>3687</v>
      </c>
      <c r="I4168" s="29"/>
      <c r="J4168" s="29"/>
      <c r="K4168" s="29"/>
      <c r="L4168" s="29"/>
      <c r="M4168" s="29"/>
      <c r="N4168" s="29" t="s">
        <v>3616</v>
      </c>
      <c r="O4168" s="29"/>
      <c r="P4168" s="29" t="s">
        <v>11484</v>
      </c>
      <c r="Q4168" t="s">
        <v>2038</v>
      </c>
      <c r="R4168" t="s">
        <v>2632</v>
      </c>
      <c r="S4168">
        <v>37</v>
      </c>
      <c r="T4168" s="43" t="str">
        <f>HYPERLINK("https://ictv.global/ictv/proposals/2021.090B.R.Vividuovirus_new_species.zip","2021.090B.R.Vividuovirus_new_species.zip")</f>
        <v>2021.090B.R.Vividuovirus_new_species.zip</v>
      </c>
      <c r="U4168" s="43" t="str">
        <f>HYPERLINK("https://ictv.global/taxonomy/taxondetails?taxnode_id=202212685","ictv.global=202212685")</f>
        <v>ictv.global=202212685</v>
      </c>
    </row>
    <row r="4169" spans="1:21">
      <c r="A4169">
        <v>4168</v>
      </c>
      <c r="B4169" s="29" t="s">
        <v>3682</v>
      </c>
      <c r="C4169" s="29"/>
      <c r="D4169" s="29" t="s">
        <v>3683</v>
      </c>
      <c r="E4169" s="29"/>
      <c r="F4169" s="29" t="s">
        <v>3686</v>
      </c>
      <c r="G4169" s="29"/>
      <c r="H4169" s="29" t="s">
        <v>3687</v>
      </c>
      <c r="I4169" s="29"/>
      <c r="J4169" s="29"/>
      <c r="K4169" s="29"/>
      <c r="L4169" s="29"/>
      <c r="M4169" s="29"/>
      <c r="N4169" s="29" t="s">
        <v>3616</v>
      </c>
      <c r="O4169" s="29"/>
      <c r="P4169" s="29" t="s">
        <v>11485</v>
      </c>
      <c r="Q4169" t="s">
        <v>2038</v>
      </c>
      <c r="R4169" t="s">
        <v>2632</v>
      </c>
      <c r="S4169">
        <v>37</v>
      </c>
      <c r="T4169" s="43" t="str">
        <f>HYPERLINK("https://ictv.global/ictv/proposals/2021.090B.R.Vividuovirus_new_species.zip","2021.090B.R.Vividuovirus_new_species.zip")</f>
        <v>2021.090B.R.Vividuovirus_new_species.zip</v>
      </c>
      <c r="U4169" s="43" t="str">
        <f>HYPERLINK("https://ictv.global/taxonomy/taxondetails?taxnode_id=202212688","ictv.global=202212688")</f>
        <v>ictv.global=202212688</v>
      </c>
    </row>
    <row r="4170" spans="1:21">
      <c r="A4170">
        <v>4169</v>
      </c>
      <c r="B4170" s="29" t="s">
        <v>3682</v>
      </c>
      <c r="C4170" s="29"/>
      <c r="D4170" s="29" t="s">
        <v>3683</v>
      </c>
      <c r="E4170" s="29"/>
      <c r="F4170" s="29" t="s">
        <v>3686</v>
      </c>
      <c r="G4170" s="29"/>
      <c r="H4170" s="29" t="s">
        <v>3687</v>
      </c>
      <c r="I4170" s="29"/>
      <c r="J4170" s="29"/>
      <c r="K4170" s="29"/>
      <c r="L4170" s="29"/>
      <c r="M4170" s="29"/>
      <c r="N4170" s="29" t="s">
        <v>3616</v>
      </c>
      <c r="O4170" s="29"/>
      <c r="P4170" s="29" t="s">
        <v>11486</v>
      </c>
      <c r="Q4170" t="s">
        <v>2038</v>
      </c>
      <c r="R4170" t="s">
        <v>2633</v>
      </c>
      <c r="S4170">
        <v>37</v>
      </c>
      <c r="T4170" s="43" t="str">
        <f>HYPERLINK("https://ictv.global/ictv/proposals/2021.010B.R.Binomial_names.zip","2021.010B.R.Binomial_names.zip")</f>
        <v>2021.010B.R.Binomial_names.zip</v>
      </c>
      <c r="U4170" s="43" t="str">
        <f>HYPERLINK("https://ictv.global/taxonomy/taxondetails?taxnode_id=202206792","ictv.global=202206792")</f>
        <v>ictv.global=202206792</v>
      </c>
    </row>
    <row r="4171" spans="1:21">
      <c r="A4171">
        <v>4170</v>
      </c>
      <c r="B4171" s="29" t="s">
        <v>3682</v>
      </c>
      <c r="C4171" s="29"/>
      <c r="D4171" s="29" t="s">
        <v>3683</v>
      </c>
      <c r="E4171" s="29"/>
      <c r="F4171" s="29" t="s">
        <v>3686</v>
      </c>
      <c r="G4171" s="29"/>
      <c r="H4171" s="29" t="s">
        <v>3687</v>
      </c>
      <c r="I4171" s="29"/>
      <c r="J4171" s="29"/>
      <c r="K4171" s="29"/>
      <c r="L4171" s="29"/>
      <c r="M4171" s="29"/>
      <c r="N4171" s="29" t="s">
        <v>3616</v>
      </c>
      <c r="O4171" s="29"/>
      <c r="P4171" s="29" t="s">
        <v>11487</v>
      </c>
      <c r="Q4171" t="s">
        <v>2038</v>
      </c>
      <c r="R4171" t="s">
        <v>2632</v>
      </c>
      <c r="S4171">
        <v>37</v>
      </c>
      <c r="T4171" s="43" t="str">
        <f t="shared" ref="T4171:T4182" si="198">HYPERLINK("https://ictv.global/ictv/proposals/2021.090B.R.Vividuovirus_new_species.zip","2021.090B.R.Vividuovirus_new_species.zip")</f>
        <v>2021.090B.R.Vividuovirus_new_species.zip</v>
      </c>
      <c r="U4171" s="43" t="str">
        <f>HYPERLINK("https://ictv.global/taxonomy/taxondetails?taxnode_id=202212691","ictv.global=202212691")</f>
        <v>ictv.global=202212691</v>
      </c>
    </row>
    <row r="4172" spans="1:21">
      <c r="A4172">
        <v>4171</v>
      </c>
      <c r="B4172" s="29" t="s">
        <v>3682</v>
      </c>
      <c r="C4172" s="29"/>
      <c r="D4172" s="29" t="s">
        <v>3683</v>
      </c>
      <c r="E4172" s="29"/>
      <c r="F4172" s="29" t="s">
        <v>3686</v>
      </c>
      <c r="G4172" s="29"/>
      <c r="H4172" s="29" t="s">
        <v>3687</v>
      </c>
      <c r="I4172" s="29"/>
      <c r="J4172" s="29"/>
      <c r="K4172" s="29"/>
      <c r="L4172" s="29"/>
      <c r="M4172" s="29"/>
      <c r="N4172" s="29" t="s">
        <v>3616</v>
      </c>
      <c r="O4172" s="29"/>
      <c r="P4172" s="29" t="s">
        <v>11488</v>
      </c>
      <c r="Q4172" t="s">
        <v>2038</v>
      </c>
      <c r="R4172" t="s">
        <v>2632</v>
      </c>
      <c r="S4172">
        <v>37</v>
      </c>
      <c r="T4172" s="43" t="str">
        <f t="shared" si="198"/>
        <v>2021.090B.R.Vividuovirus_new_species.zip</v>
      </c>
      <c r="U4172" s="43" t="str">
        <f>HYPERLINK("https://ictv.global/taxonomy/taxondetails?taxnode_id=202212696","ictv.global=202212696")</f>
        <v>ictv.global=202212696</v>
      </c>
    </row>
    <row r="4173" spans="1:21">
      <c r="A4173">
        <v>4172</v>
      </c>
      <c r="B4173" s="29" t="s">
        <v>3682</v>
      </c>
      <c r="C4173" s="29"/>
      <c r="D4173" s="29" t="s">
        <v>3683</v>
      </c>
      <c r="E4173" s="29"/>
      <c r="F4173" s="29" t="s">
        <v>3686</v>
      </c>
      <c r="G4173" s="29"/>
      <c r="H4173" s="29" t="s">
        <v>3687</v>
      </c>
      <c r="I4173" s="29"/>
      <c r="J4173" s="29"/>
      <c r="K4173" s="29"/>
      <c r="L4173" s="29"/>
      <c r="M4173" s="29"/>
      <c r="N4173" s="29" t="s">
        <v>3616</v>
      </c>
      <c r="O4173" s="29"/>
      <c r="P4173" s="29" t="s">
        <v>11489</v>
      </c>
      <c r="Q4173" t="s">
        <v>2038</v>
      </c>
      <c r="R4173" t="s">
        <v>2632</v>
      </c>
      <c r="S4173">
        <v>37</v>
      </c>
      <c r="T4173" s="43" t="str">
        <f t="shared" si="198"/>
        <v>2021.090B.R.Vividuovirus_new_species.zip</v>
      </c>
      <c r="U4173" s="43" t="str">
        <f>HYPERLINK("https://ictv.global/taxonomy/taxondetails?taxnode_id=202212686","ictv.global=202212686")</f>
        <v>ictv.global=202212686</v>
      </c>
    </row>
    <row r="4174" spans="1:21">
      <c r="A4174">
        <v>4173</v>
      </c>
      <c r="B4174" s="29" t="s">
        <v>3682</v>
      </c>
      <c r="C4174" s="29"/>
      <c r="D4174" s="29" t="s">
        <v>3683</v>
      </c>
      <c r="E4174" s="29"/>
      <c r="F4174" s="29" t="s">
        <v>3686</v>
      </c>
      <c r="G4174" s="29"/>
      <c r="H4174" s="29" t="s">
        <v>3687</v>
      </c>
      <c r="I4174" s="29"/>
      <c r="J4174" s="29"/>
      <c r="K4174" s="29"/>
      <c r="L4174" s="29"/>
      <c r="M4174" s="29"/>
      <c r="N4174" s="29" t="s">
        <v>3616</v>
      </c>
      <c r="O4174" s="29"/>
      <c r="P4174" s="29" t="s">
        <v>11490</v>
      </c>
      <c r="Q4174" t="s">
        <v>2038</v>
      </c>
      <c r="R4174" t="s">
        <v>2632</v>
      </c>
      <c r="S4174">
        <v>37</v>
      </c>
      <c r="T4174" s="43" t="str">
        <f t="shared" si="198"/>
        <v>2021.090B.R.Vividuovirus_new_species.zip</v>
      </c>
      <c r="U4174" s="43" t="str">
        <f>HYPERLINK("https://ictv.global/taxonomy/taxondetails?taxnode_id=202212684","ictv.global=202212684")</f>
        <v>ictv.global=202212684</v>
      </c>
    </row>
    <row r="4175" spans="1:21">
      <c r="A4175">
        <v>4174</v>
      </c>
      <c r="B4175" s="29" t="s">
        <v>3682</v>
      </c>
      <c r="C4175" s="29"/>
      <c r="D4175" s="29" t="s">
        <v>3683</v>
      </c>
      <c r="E4175" s="29"/>
      <c r="F4175" s="29" t="s">
        <v>3686</v>
      </c>
      <c r="G4175" s="29"/>
      <c r="H4175" s="29" t="s">
        <v>3687</v>
      </c>
      <c r="I4175" s="29"/>
      <c r="J4175" s="29"/>
      <c r="K4175" s="29"/>
      <c r="L4175" s="29"/>
      <c r="M4175" s="29"/>
      <c r="N4175" s="29" t="s">
        <v>3616</v>
      </c>
      <c r="O4175" s="29"/>
      <c r="P4175" s="29" t="s">
        <v>11491</v>
      </c>
      <c r="Q4175" t="s">
        <v>2038</v>
      </c>
      <c r="R4175" t="s">
        <v>2632</v>
      </c>
      <c r="S4175">
        <v>37</v>
      </c>
      <c r="T4175" s="43" t="str">
        <f t="shared" si="198"/>
        <v>2021.090B.R.Vividuovirus_new_species.zip</v>
      </c>
      <c r="U4175" s="43" t="str">
        <f>HYPERLINK("https://ictv.global/taxonomy/taxondetails?taxnode_id=202212689","ictv.global=202212689")</f>
        <v>ictv.global=202212689</v>
      </c>
    </row>
    <row r="4176" spans="1:21">
      <c r="A4176">
        <v>4175</v>
      </c>
      <c r="B4176" s="29" t="s">
        <v>3682</v>
      </c>
      <c r="C4176" s="29"/>
      <c r="D4176" s="29" t="s">
        <v>3683</v>
      </c>
      <c r="E4176" s="29"/>
      <c r="F4176" s="29" t="s">
        <v>3686</v>
      </c>
      <c r="G4176" s="29"/>
      <c r="H4176" s="29" t="s">
        <v>3687</v>
      </c>
      <c r="I4176" s="29"/>
      <c r="J4176" s="29"/>
      <c r="K4176" s="29"/>
      <c r="L4176" s="29"/>
      <c r="M4176" s="29"/>
      <c r="N4176" s="29" t="s">
        <v>3616</v>
      </c>
      <c r="O4176" s="29"/>
      <c r="P4176" s="29" t="s">
        <v>11492</v>
      </c>
      <c r="Q4176" t="s">
        <v>2038</v>
      </c>
      <c r="R4176" t="s">
        <v>2632</v>
      </c>
      <c r="S4176">
        <v>37</v>
      </c>
      <c r="T4176" s="43" t="str">
        <f t="shared" si="198"/>
        <v>2021.090B.R.Vividuovirus_new_species.zip</v>
      </c>
      <c r="U4176" s="43" t="str">
        <f>HYPERLINK("https://ictv.global/taxonomy/taxondetails?taxnode_id=202212699","ictv.global=202212699")</f>
        <v>ictv.global=202212699</v>
      </c>
    </row>
    <row r="4177" spans="1:21">
      <c r="A4177">
        <v>4176</v>
      </c>
      <c r="B4177" s="29" t="s">
        <v>3682</v>
      </c>
      <c r="C4177" s="29"/>
      <c r="D4177" s="29" t="s">
        <v>3683</v>
      </c>
      <c r="E4177" s="29"/>
      <c r="F4177" s="29" t="s">
        <v>3686</v>
      </c>
      <c r="G4177" s="29"/>
      <c r="H4177" s="29" t="s">
        <v>3687</v>
      </c>
      <c r="I4177" s="29"/>
      <c r="J4177" s="29"/>
      <c r="K4177" s="29"/>
      <c r="L4177" s="29"/>
      <c r="M4177" s="29"/>
      <c r="N4177" s="29" t="s">
        <v>3616</v>
      </c>
      <c r="O4177" s="29"/>
      <c r="P4177" s="29" t="s">
        <v>11493</v>
      </c>
      <c r="Q4177" t="s">
        <v>2038</v>
      </c>
      <c r="R4177" t="s">
        <v>2632</v>
      </c>
      <c r="S4177">
        <v>37</v>
      </c>
      <c r="T4177" s="43" t="str">
        <f t="shared" si="198"/>
        <v>2021.090B.R.Vividuovirus_new_species.zip</v>
      </c>
      <c r="U4177" s="43" t="str">
        <f>HYPERLINK("https://ictv.global/taxonomy/taxondetails?taxnode_id=202212697","ictv.global=202212697")</f>
        <v>ictv.global=202212697</v>
      </c>
    </row>
    <row r="4178" spans="1:21">
      <c r="A4178">
        <v>4177</v>
      </c>
      <c r="B4178" s="29" t="s">
        <v>3682</v>
      </c>
      <c r="C4178" s="29"/>
      <c r="D4178" s="29" t="s">
        <v>3683</v>
      </c>
      <c r="E4178" s="29"/>
      <c r="F4178" s="29" t="s">
        <v>3686</v>
      </c>
      <c r="G4178" s="29"/>
      <c r="H4178" s="29" t="s">
        <v>3687</v>
      </c>
      <c r="I4178" s="29"/>
      <c r="J4178" s="29"/>
      <c r="K4178" s="29"/>
      <c r="L4178" s="29"/>
      <c r="M4178" s="29"/>
      <c r="N4178" s="29" t="s">
        <v>3616</v>
      </c>
      <c r="O4178" s="29"/>
      <c r="P4178" s="29" t="s">
        <v>11494</v>
      </c>
      <c r="Q4178" t="s">
        <v>2038</v>
      </c>
      <c r="R4178" t="s">
        <v>2632</v>
      </c>
      <c r="S4178">
        <v>37</v>
      </c>
      <c r="T4178" s="43" t="str">
        <f t="shared" si="198"/>
        <v>2021.090B.R.Vividuovirus_new_species.zip</v>
      </c>
      <c r="U4178" s="43" t="str">
        <f>HYPERLINK("https://ictv.global/taxonomy/taxondetails?taxnode_id=202212695","ictv.global=202212695")</f>
        <v>ictv.global=202212695</v>
      </c>
    </row>
    <row r="4179" spans="1:21">
      <c r="A4179">
        <v>4178</v>
      </c>
      <c r="B4179" s="29" t="s">
        <v>3682</v>
      </c>
      <c r="C4179" s="29"/>
      <c r="D4179" s="29" t="s">
        <v>3683</v>
      </c>
      <c r="E4179" s="29"/>
      <c r="F4179" s="29" t="s">
        <v>3686</v>
      </c>
      <c r="G4179" s="29"/>
      <c r="H4179" s="29" t="s">
        <v>3687</v>
      </c>
      <c r="I4179" s="29"/>
      <c r="J4179" s="29"/>
      <c r="K4179" s="29"/>
      <c r="L4179" s="29"/>
      <c r="M4179" s="29"/>
      <c r="N4179" s="29" t="s">
        <v>3616</v>
      </c>
      <c r="O4179" s="29"/>
      <c r="P4179" s="29" t="s">
        <v>11495</v>
      </c>
      <c r="Q4179" t="s">
        <v>2038</v>
      </c>
      <c r="R4179" t="s">
        <v>2632</v>
      </c>
      <c r="S4179">
        <v>37</v>
      </c>
      <c r="T4179" s="43" t="str">
        <f t="shared" si="198"/>
        <v>2021.090B.R.Vividuovirus_new_species.zip</v>
      </c>
      <c r="U4179" s="43" t="str">
        <f>HYPERLINK("https://ictv.global/taxonomy/taxondetails?taxnode_id=202212698","ictv.global=202212698")</f>
        <v>ictv.global=202212698</v>
      </c>
    </row>
    <row r="4180" spans="1:21">
      <c r="A4180">
        <v>4179</v>
      </c>
      <c r="B4180" s="29" t="s">
        <v>3682</v>
      </c>
      <c r="C4180" s="29"/>
      <c r="D4180" s="29" t="s">
        <v>3683</v>
      </c>
      <c r="E4180" s="29"/>
      <c r="F4180" s="29" t="s">
        <v>3686</v>
      </c>
      <c r="G4180" s="29"/>
      <c r="H4180" s="29" t="s">
        <v>3687</v>
      </c>
      <c r="I4180" s="29"/>
      <c r="J4180" s="29"/>
      <c r="K4180" s="29"/>
      <c r="L4180" s="29"/>
      <c r="M4180" s="29"/>
      <c r="N4180" s="29" t="s">
        <v>3616</v>
      </c>
      <c r="O4180" s="29"/>
      <c r="P4180" s="29" t="s">
        <v>11496</v>
      </c>
      <c r="Q4180" t="s">
        <v>2038</v>
      </c>
      <c r="R4180" t="s">
        <v>2632</v>
      </c>
      <c r="S4180">
        <v>37</v>
      </c>
      <c r="T4180" s="43" t="str">
        <f t="shared" si="198"/>
        <v>2021.090B.R.Vividuovirus_new_species.zip</v>
      </c>
      <c r="U4180" s="43" t="str">
        <f>HYPERLINK("https://ictv.global/taxonomy/taxondetails?taxnode_id=202212692","ictv.global=202212692")</f>
        <v>ictv.global=202212692</v>
      </c>
    </row>
    <row r="4181" spans="1:21">
      <c r="A4181">
        <v>4180</v>
      </c>
      <c r="B4181" s="29" t="s">
        <v>3682</v>
      </c>
      <c r="C4181" s="29"/>
      <c r="D4181" s="29" t="s">
        <v>3683</v>
      </c>
      <c r="E4181" s="29"/>
      <c r="F4181" s="29" t="s">
        <v>3686</v>
      </c>
      <c r="G4181" s="29"/>
      <c r="H4181" s="29" t="s">
        <v>3687</v>
      </c>
      <c r="I4181" s="29"/>
      <c r="J4181" s="29"/>
      <c r="K4181" s="29"/>
      <c r="L4181" s="29"/>
      <c r="M4181" s="29"/>
      <c r="N4181" s="29" t="s">
        <v>3616</v>
      </c>
      <c r="O4181" s="29"/>
      <c r="P4181" s="29" t="s">
        <v>11497</v>
      </c>
      <c r="Q4181" t="s">
        <v>2038</v>
      </c>
      <c r="R4181" t="s">
        <v>2632</v>
      </c>
      <c r="S4181">
        <v>37</v>
      </c>
      <c r="T4181" s="43" t="str">
        <f t="shared" si="198"/>
        <v>2021.090B.R.Vividuovirus_new_species.zip</v>
      </c>
      <c r="U4181" s="43" t="str">
        <f>HYPERLINK("https://ictv.global/taxonomy/taxondetails?taxnode_id=202212687","ictv.global=202212687")</f>
        <v>ictv.global=202212687</v>
      </c>
    </row>
    <row r="4182" spans="1:21">
      <c r="A4182">
        <v>4181</v>
      </c>
      <c r="B4182" s="29" t="s">
        <v>3682</v>
      </c>
      <c r="C4182" s="29"/>
      <c r="D4182" s="29" t="s">
        <v>3683</v>
      </c>
      <c r="E4182" s="29"/>
      <c r="F4182" s="29" t="s">
        <v>3686</v>
      </c>
      <c r="G4182" s="29"/>
      <c r="H4182" s="29" t="s">
        <v>3687</v>
      </c>
      <c r="I4182" s="29"/>
      <c r="J4182" s="29"/>
      <c r="K4182" s="29"/>
      <c r="L4182" s="29"/>
      <c r="M4182" s="29"/>
      <c r="N4182" s="29" t="s">
        <v>3616</v>
      </c>
      <c r="O4182" s="29"/>
      <c r="P4182" s="29" t="s">
        <v>11498</v>
      </c>
      <c r="Q4182" t="s">
        <v>2038</v>
      </c>
      <c r="R4182" t="s">
        <v>2632</v>
      </c>
      <c r="S4182">
        <v>37</v>
      </c>
      <c r="T4182" s="43" t="str">
        <f t="shared" si="198"/>
        <v>2021.090B.R.Vividuovirus_new_species.zip</v>
      </c>
      <c r="U4182" s="43" t="str">
        <f>HYPERLINK("https://ictv.global/taxonomy/taxondetails?taxnode_id=202212693","ictv.global=202212693")</f>
        <v>ictv.global=202212693</v>
      </c>
    </row>
    <row r="4183" spans="1:21">
      <c r="A4183">
        <v>4182</v>
      </c>
      <c r="B4183" s="29" t="s">
        <v>3682</v>
      </c>
      <c r="C4183" s="29"/>
      <c r="D4183" s="29" t="s">
        <v>3683</v>
      </c>
      <c r="E4183" s="29"/>
      <c r="F4183" s="29" t="s">
        <v>3686</v>
      </c>
      <c r="G4183" s="29"/>
      <c r="H4183" s="29" t="s">
        <v>3687</v>
      </c>
      <c r="I4183" s="29"/>
      <c r="J4183" s="29"/>
      <c r="K4183" s="29"/>
      <c r="L4183" s="29"/>
      <c r="M4183" s="29"/>
      <c r="N4183" s="29" t="s">
        <v>3616</v>
      </c>
      <c r="O4183" s="29"/>
      <c r="P4183" s="29" t="s">
        <v>11499</v>
      </c>
      <c r="Q4183" t="s">
        <v>2038</v>
      </c>
      <c r="R4183" t="s">
        <v>2633</v>
      </c>
      <c r="S4183">
        <v>37</v>
      </c>
      <c r="T4183" s="43" t="str">
        <f t="shared" ref="T4183:T4194" si="199">HYPERLINK("https://ictv.global/ictv/proposals/2021.010B.R.Binomial_names.zip","2021.010B.R.Binomial_names.zip")</f>
        <v>2021.010B.R.Binomial_names.zip</v>
      </c>
      <c r="U4183" s="43" t="str">
        <f>HYPERLINK("https://ictv.global/taxonomy/taxondetails?taxnode_id=202206791","ictv.global=202206791")</f>
        <v>ictv.global=202206791</v>
      </c>
    </row>
    <row r="4184" spans="1:21">
      <c r="A4184">
        <v>4183</v>
      </c>
      <c r="B4184" s="29" t="s">
        <v>3682</v>
      </c>
      <c r="C4184" s="29"/>
      <c r="D4184" s="29" t="s">
        <v>3683</v>
      </c>
      <c r="E4184" s="29"/>
      <c r="F4184" s="29" t="s">
        <v>3686</v>
      </c>
      <c r="G4184" s="29"/>
      <c r="H4184" s="29" t="s">
        <v>3687</v>
      </c>
      <c r="I4184" s="29"/>
      <c r="J4184" s="29"/>
      <c r="K4184" s="29"/>
      <c r="L4184" s="29"/>
      <c r="M4184" s="29"/>
      <c r="N4184" s="29" t="s">
        <v>4790</v>
      </c>
      <c r="O4184" s="29"/>
      <c r="P4184" s="29" t="s">
        <v>11500</v>
      </c>
      <c r="Q4184" t="s">
        <v>2038</v>
      </c>
      <c r="R4184" t="s">
        <v>2633</v>
      </c>
      <c r="S4184">
        <v>37</v>
      </c>
      <c r="T4184" s="43" t="str">
        <f t="shared" si="199"/>
        <v>2021.010B.R.Binomial_names.zip</v>
      </c>
      <c r="U4184" s="43" t="str">
        <f>HYPERLINK("https://ictv.global/taxonomy/taxondetails?taxnode_id=202212101","ictv.global=202212101")</f>
        <v>ictv.global=202212101</v>
      </c>
    </row>
    <row r="4185" spans="1:21">
      <c r="A4185">
        <v>4184</v>
      </c>
      <c r="B4185" s="29" t="s">
        <v>3682</v>
      </c>
      <c r="C4185" s="29"/>
      <c r="D4185" s="29" t="s">
        <v>3683</v>
      </c>
      <c r="E4185" s="29"/>
      <c r="F4185" s="29" t="s">
        <v>3686</v>
      </c>
      <c r="G4185" s="29"/>
      <c r="H4185" s="29" t="s">
        <v>3687</v>
      </c>
      <c r="I4185" s="29"/>
      <c r="J4185" s="29"/>
      <c r="K4185" s="29"/>
      <c r="L4185" s="29"/>
      <c r="M4185" s="29"/>
      <c r="N4185" s="29" t="s">
        <v>4790</v>
      </c>
      <c r="O4185" s="29"/>
      <c r="P4185" s="29" t="s">
        <v>11501</v>
      </c>
      <c r="Q4185" t="s">
        <v>2038</v>
      </c>
      <c r="R4185" t="s">
        <v>2633</v>
      </c>
      <c r="S4185">
        <v>37</v>
      </c>
      <c r="T4185" s="43" t="str">
        <f t="shared" si="199"/>
        <v>2021.010B.R.Binomial_names.zip</v>
      </c>
      <c r="U4185" s="43" t="str">
        <f>HYPERLINK("https://ictv.global/taxonomy/taxondetails?taxnode_id=202212100","ictv.global=202212100")</f>
        <v>ictv.global=202212100</v>
      </c>
    </row>
    <row r="4186" spans="1:21">
      <c r="A4186">
        <v>4185</v>
      </c>
      <c r="B4186" s="29" t="s">
        <v>3682</v>
      </c>
      <c r="C4186" s="29"/>
      <c r="D4186" s="29" t="s">
        <v>3683</v>
      </c>
      <c r="E4186" s="29"/>
      <c r="F4186" s="29" t="s">
        <v>3686</v>
      </c>
      <c r="G4186" s="29"/>
      <c r="H4186" s="29" t="s">
        <v>3687</v>
      </c>
      <c r="I4186" s="29"/>
      <c r="J4186" s="29"/>
      <c r="K4186" s="29"/>
      <c r="L4186" s="29"/>
      <c r="M4186" s="29"/>
      <c r="N4186" s="29" t="s">
        <v>2127</v>
      </c>
      <c r="O4186" s="29"/>
      <c r="P4186" s="29" t="s">
        <v>11502</v>
      </c>
      <c r="Q4186" t="s">
        <v>2038</v>
      </c>
      <c r="R4186" t="s">
        <v>2633</v>
      </c>
      <c r="S4186">
        <v>37</v>
      </c>
      <c r="T4186" s="43" t="str">
        <f t="shared" si="199"/>
        <v>2021.010B.R.Binomial_names.zip</v>
      </c>
      <c r="U4186" s="43" t="str">
        <f>HYPERLINK("https://ictv.global/taxonomy/taxondetails?taxnode_id=202201369","ictv.global=202201369")</f>
        <v>ictv.global=202201369</v>
      </c>
    </row>
    <row r="4187" spans="1:21">
      <c r="A4187">
        <v>4186</v>
      </c>
      <c r="B4187" s="29" t="s">
        <v>3682</v>
      </c>
      <c r="C4187" s="29"/>
      <c r="D4187" s="29" t="s">
        <v>3683</v>
      </c>
      <c r="E4187" s="29"/>
      <c r="F4187" s="29" t="s">
        <v>3686</v>
      </c>
      <c r="G4187" s="29"/>
      <c r="H4187" s="29" t="s">
        <v>3687</v>
      </c>
      <c r="I4187" s="29"/>
      <c r="J4187" s="29"/>
      <c r="K4187" s="29"/>
      <c r="L4187" s="29"/>
      <c r="M4187" s="29"/>
      <c r="N4187" s="29" t="s">
        <v>3618</v>
      </c>
      <c r="O4187" s="29"/>
      <c r="P4187" s="29" t="s">
        <v>11503</v>
      </c>
      <c r="Q4187" t="s">
        <v>2038</v>
      </c>
      <c r="R4187" t="s">
        <v>2633</v>
      </c>
      <c r="S4187">
        <v>37</v>
      </c>
      <c r="T4187" s="43" t="str">
        <f t="shared" si="199"/>
        <v>2021.010B.R.Binomial_names.zip</v>
      </c>
      <c r="U4187" s="43" t="str">
        <f>HYPERLINK("https://ictv.global/taxonomy/taxondetails?taxnode_id=202206795","ictv.global=202206795")</f>
        <v>ictv.global=202206795</v>
      </c>
    </row>
    <row r="4188" spans="1:21">
      <c r="A4188">
        <v>4187</v>
      </c>
      <c r="B4188" s="29" t="s">
        <v>3682</v>
      </c>
      <c r="C4188" s="29"/>
      <c r="D4188" s="29" t="s">
        <v>3683</v>
      </c>
      <c r="E4188" s="29"/>
      <c r="F4188" s="29" t="s">
        <v>3686</v>
      </c>
      <c r="G4188" s="29"/>
      <c r="H4188" s="29" t="s">
        <v>3687</v>
      </c>
      <c r="I4188" s="29"/>
      <c r="J4188" s="29"/>
      <c r="K4188" s="29"/>
      <c r="L4188" s="29"/>
      <c r="M4188" s="29"/>
      <c r="N4188" s="29" t="s">
        <v>3954</v>
      </c>
      <c r="O4188" s="29"/>
      <c r="P4188" s="29" t="s">
        <v>11504</v>
      </c>
      <c r="Q4188" t="s">
        <v>2038</v>
      </c>
      <c r="R4188" t="s">
        <v>2633</v>
      </c>
      <c r="S4188">
        <v>37</v>
      </c>
      <c r="T4188" s="43" t="str">
        <f t="shared" si="199"/>
        <v>2021.010B.R.Binomial_names.zip</v>
      </c>
      <c r="U4188" s="43" t="str">
        <f>HYPERLINK("https://ictv.global/taxonomy/taxondetails?taxnode_id=202208072","ictv.global=202208072")</f>
        <v>ictv.global=202208072</v>
      </c>
    </row>
    <row r="4189" spans="1:21">
      <c r="A4189">
        <v>4188</v>
      </c>
      <c r="B4189" s="29" t="s">
        <v>3682</v>
      </c>
      <c r="C4189" s="29"/>
      <c r="D4189" s="29" t="s">
        <v>3683</v>
      </c>
      <c r="E4189" s="29"/>
      <c r="F4189" s="29" t="s">
        <v>3686</v>
      </c>
      <c r="G4189" s="29"/>
      <c r="H4189" s="29" t="s">
        <v>3687</v>
      </c>
      <c r="I4189" s="29"/>
      <c r="J4189" s="29"/>
      <c r="K4189" s="29"/>
      <c r="L4189" s="29"/>
      <c r="M4189" s="29"/>
      <c r="N4189" s="29" t="s">
        <v>4791</v>
      </c>
      <c r="O4189" s="29"/>
      <c r="P4189" s="29" t="s">
        <v>11505</v>
      </c>
      <c r="Q4189" t="s">
        <v>2038</v>
      </c>
      <c r="R4189" t="s">
        <v>2633</v>
      </c>
      <c r="S4189">
        <v>37</v>
      </c>
      <c r="T4189" s="43" t="str">
        <f t="shared" si="199"/>
        <v>2021.010B.R.Binomial_names.zip</v>
      </c>
      <c r="U4189" s="43" t="str">
        <f>HYPERLINK("https://ictv.global/taxonomy/taxondetails?taxnode_id=202212119","ictv.global=202212119")</f>
        <v>ictv.global=202212119</v>
      </c>
    </row>
    <row r="4190" spans="1:21">
      <c r="A4190">
        <v>4189</v>
      </c>
      <c r="B4190" s="29" t="s">
        <v>3682</v>
      </c>
      <c r="C4190" s="29"/>
      <c r="D4190" s="29" t="s">
        <v>3683</v>
      </c>
      <c r="E4190" s="29"/>
      <c r="F4190" s="29" t="s">
        <v>3686</v>
      </c>
      <c r="G4190" s="29"/>
      <c r="H4190" s="29" t="s">
        <v>3687</v>
      </c>
      <c r="I4190" s="29"/>
      <c r="J4190" s="29"/>
      <c r="K4190" s="29"/>
      <c r="L4190" s="29"/>
      <c r="M4190" s="29"/>
      <c r="N4190" s="29" t="s">
        <v>4792</v>
      </c>
      <c r="O4190" s="29"/>
      <c r="P4190" s="29" t="s">
        <v>11506</v>
      </c>
      <c r="Q4190" t="s">
        <v>2038</v>
      </c>
      <c r="R4190" t="s">
        <v>2633</v>
      </c>
      <c r="S4190">
        <v>37</v>
      </c>
      <c r="T4190" s="43" t="str">
        <f t="shared" si="199"/>
        <v>2021.010B.R.Binomial_names.zip</v>
      </c>
      <c r="U4190" s="43" t="str">
        <f>HYPERLINK("https://ictv.global/taxonomy/taxondetails?taxnode_id=202212121","ictv.global=202212121")</f>
        <v>ictv.global=202212121</v>
      </c>
    </row>
    <row r="4191" spans="1:21">
      <c r="A4191">
        <v>4190</v>
      </c>
      <c r="B4191" s="29" t="s">
        <v>3682</v>
      </c>
      <c r="C4191" s="29"/>
      <c r="D4191" s="29" t="s">
        <v>3683</v>
      </c>
      <c r="E4191" s="29"/>
      <c r="F4191" s="29" t="s">
        <v>3686</v>
      </c>
      <c r="G4191" s="29"/>
      <c r="H4191" s="29" t="s">
        <v>3687</v>
      </c>
      <c r="I4191" s="29"/>
      <c r="J4191" s="29"/>
      <c r="K4191" s="29"/>
      <c r="L4191" s="29"/>
      <c r="M4191" s="29"/>
      <c r="N4191" s="29" t="s">
        <v>3955</v>
      </c>
      <c r="O4191" s="29"/>
      <c r="P4191" s="29" t="s">
        <v>11507</v>
      </c>
      <c r="Q4191" t="s">
        <v>2038</v>
      </c>
      <c r="R4191" t="s">
        <v>2633</v>
      </c>
      <c r="S4191">
        <v>37</v>
      </c>
      <c r="T4191" s="43" t="str">
        <f t="shared" si="199"/>
        <v>2021.010B.R.Binomial_names.zip</v>
      </c>
      <c r="U4191" s="43" t="str">
        <f>HYPERLINK("https://ictv.global/taxonomy/taxondetails?taxnode_id=202208076","ictv.global=202208076")</f>
        <v>ictv.global=202208076</v>
      </c>
    </row>
    <row r="4192" spans="1:21">
      <c r="A4192">
        <v>4191</v>
      </c>
      <c r="B4192" s="29" t="s">
        <v>3682</v>
      </c>
      <c r="C4192" s="29"/>
      <c r="D4192" s="29" t="s">
        <v>3683</v>
      </c>
      <c r="E4192" s="29"/>
      <c r="F4192" s="29" t="s">
        <v>3686</v>
      </c>
      <c r="G4192" s="29"/>
      <c r="H4192" s="29" t="s">
        <v>3687</v>
      </c>
      <c r="I4192" s="29"/>
      <c r="J4192" s="29"/>
      <c r="K4192" s="29"/>
      <c r="L4192" s="29"/>
      <c r="M4192" s="29"/>
      <c r="N4192" s="29" t="s">
        <v>3955</v>
      </c>
      <c r="O4192" s="29"/>
      <c r="P4192" s="29" t="s">
        <v>11508</v>
      </c>
      <c r="Q4192" t="s">
        <v>2038</v>
      </c>
      <c r="R4192" t="s">
        <v>2633</v>
      </c>
      <c r="S4192">
        <v>37</v>
      </c>
      <c r="T4192" s="43" t="str">
        <f t="shared" si="199"/>
        <v>2021.010B.R.Binomial_names.zip</v>
      </c>
      <c r="U4192" s="43" t="str">
        <f>HYPERLINK("https://ictv.global/taxonomy/taxondetails?taxnode_id=202208075","ictv.global=202208075")</f>
        <v>ictv.global=202208075</v>
      </c>
    </row>
    <row r="4193" spans="1:21">
      <c r="A4193">
        <v>4192</v>
      </c>
      <c r="B4193" s="29" t="s">
        <v>3682</v>
      </c>
      <c r="C4193" s="29"/>
      <c r="D4193" s="29" t="s">
        <v>3683</v>
      </c>
      <c r="E4193" s="29"/>
      <c r="F4193" s="29" t="s">
        <v>3686</v>
      </c>
      <c r="G4193" s="29"/>
      <c r="H4193" s="29" t="s">
        <v>3687</v>
      </c>
      <c r="I4193" s="29"/>
      <c r="J4193" s="29"/>
      <c r="K4193" s="29"/>
      <c r="L4193" s="29"/>
      <c r="M4193" s="29"/>
      <c r="N4193" s="29" t="s">
        <v>3955</v>
      </c>
      <c r="O4193" s="29"/>
      <c r="P4193" s="29" t="s">
        <v>11509</v>
      </c>
      <c r="Q4193" t="s">
        <v>2038</v>
      </c>
      <c r="R4193" t="s">
        <v>2633</v>
      </c>
      <c r="S4193">
        <v>37</v>
      </c>
      <c r="T4193" s="43" t="str">
        <f t="shared" si="199"/>
        <v>2021.010B.R.Binomial_names.zip</v>
      </c>
      <c r="U4193" s="43" t="str">
        <f>HYPERLINK("https://ictv.global/taxonomy/taxondetails?taxnode_id=202208074","ictv.global=202208074")</f>
        <v>ictv.global=202208074</v>
      </c>
    </row>
    <row r="4194" spans="1:21">
      <c r="A4194">
        <v>4193</v>
      </c>
      <c r="B4194" s="29" t="s">
        <v>3682</v>
      </c>
      <c r="C4194" s="29"/>
      <c r="D4194" s="29" t="s">
        <v>3683</v>
      </c>
      <c r="E4194" s="29"/>
      <c r="F4194" s="29" t="s">
        <v>3686</v>
      </c>
      <c r="G4194" s="29"/>
      <c r="H4194" s="29" t="s">
        <v>3687</v>
      </c>
      <c r="I4194" s="29"/>
      <c r="J4194" s="29"/>
      <c r="K4194" s="29"/>
      <c r="L4194" s="29"/>
      <c r="M4194" s="29"/>
      <c r="N4194" s="29" t="s">
        <v>3955</v>
      </c>
      <c r="O4194" s="29"/>
      <c r="P4194" s="29" t="s">
        <v>11510</v>
      </c>
      <c r="Q4194" t="s">
        <v>2038</v>
      </c>
      <c r="R4194" t="s">
        <v>2633</v>
      </c>
      <c r="S4194">
        <v>37</v>
      </c>
      <c r="T4194" s="43" t="str">
        <f t="shared" si="199"/>
        <v>2021.010B.R.Binomial_names.zip</v>
      </c>
      <c r="U4194" s="43" t="str">
        <f>HYPERLINK("https://ictv.global/taxonomy/taxondetails?taxnode_id=202208077","ictv.global=202208077")</f>
        <v>ictv.global=202208077</v>
      </c>
    </row>
    <row r="4195" spans="1:21">
      <c r="A4195">
        <v>4194</v>
      </c>
      <c r="B4195" s="29" t="s">
        <v>3682</v>
      </c>
      <c r="C4195" s="29"/>
      <c r="D4195" s="29" t="s">
        <v>3683</v>
      </c>
      <c r="E4195" s="29"/>
      <c r="F4195" s="29" t="s">
        <v>3686</v>
      </c>
      <c r="G4195" s="29"/>
      <c r="H4195" s="29" t="s">
        <v>3687</v>
      </c>
      <c r="I4195" s="29"/>
      <c r="J4195" s="29"/>
      <c r="K4195" s="29"/>
      <c r="L4195" s="29"/>
      <c r="M4195" s="29"/>
      <c r="N4195" s="29" t="s">
        <v>2657</v>
      </c>
      <c r="O4195" s="29"/>
      <c r="P4195" s="29" t="s">
        <v>11511</v>
      </c>
      <c r="Q4195" t="s">
        <v>2038</v>
      </c>
      <c r="R4195" t="s">
        <v>2632</v>
      </c>
      <c r="S4195">
        <v>37</v>
      </c>
      <c r="T4195" s="43" t="str">
        <f t="shared" ref="T4195:T4209" si="200">HYPERLINK("https://ictv.global/ictv/proposals/2021.092B.R.Wizardvirus_new_species.zip","2021.092B.R.Wizardvirus_new_species.zip")</f>
        <v>2021.092B.R.Wizardvirus_new_species.zip</v>
      </c>
      <c r="U4195" s="43" t="str">
        <f>HYPERLINK("https://ictv.global/taxonomy/taxondetails?taxnode_id=202213384","ictv.global=202213384")</f>
        <v>ictv.global=202213384</v>
      </c>
    </row>
    <row r="4196" spans="1:21">
      <c r="A4196">
        <v>4195</v>
      </c>
      <c r="B4196" s="29" t="s">
        <v>3682</v>
      </c>
      <c r="C4196" s="29"/>
      <c r="D4196" s="29" t="s">
        <v>3683</v>
      </c>
      <c r="E4196" s="29"/>
      <c r="F4196" s="29" t="s">
        <v>3686</v>
      </c>
      <c r="G4196" s="29"/>
      <c r="H4196" s="29" t="s">
        <v>3687</v>
      </c>
      <c r="I4196" s="29"/>
      <c r="J4196" s="29"/>
      <c r="K4196" s="29"/>
      <c r="L4196" s="29"/>
      <c r="M4196" s="29"/>
      <c r="N4196" s="29" t="s">
        <v>2657</v>
      </c>
      <c r="O4196" s="29"/>
      <c r="P4196" s="29" t="s">
        <v>11512</v>
      </c>
      <c r="Q4196" t="s">
        <v>2038</v>
      </c>
      <c r="R4196" t="s">
        <v>2632</v>
      </c>
      <c r="S4196">
        <v>37</v>
      </c>
      <c r="T4196" s="43" t="str">
        <f t="shared" si="200"/>
        <v>2021.092B.R.Wizardvirus_new_species.zip</v>
      </c>
      <c r="U4196" s="43" t="str">
        <f>HYPERLINK("https://ictv.global/taxonomy/taxondetails?taxnode_id=202212763","ictv.global=202212763")</f>
        <v>ictv.global=202212763</v>
      </c>
    </row>
    <row r="4197" spans="1:21">
      <c r="A4197">
        <v>4196</v>
      </c>
      <c r="B4197" s="29" t="s">
        <v>3682</v>
      </c>
      <c r="C4197" s="29"/>
      <c r="D4197" s="29" t="s">
        <v>3683</v>
      </c>
      <c r="E4197" s="29"/>
      <c r="F4197" s="29" t="s">
        <v>3686</v>
      </c>
      <c r="G4197" s="29"/>
      <c r="H4197" s="29" t="s">
        <v>3687</v>
      </c>
      <c r="I4197" s="29"/>
      <c r="J4197" s="29"/>
      <c r="K4197" s="29"/>
      <c r="L4197" s="29"/>
      <c r="M4197" s="29"/>
      <c r="N4197" s="29" t="s">
        <v>2657</v>
      </c>
      <c r="O4197" s="29"/>
      <c r="P4197" s="29" t="s">
        <v>11513</v>
      </c>
      <c r="Q4197" t="s">
        <v>2038</v>
      </c>
      <c r="R4197" t="s">
        <v>2632</v>
      </c>
      <c r="S4197">
        <v>37</v>
      </c>
      <c r="T4197" s="43" t="str">
        <f t="shared" si="200"/>
        <v>2021.092B.R.Wizardvirus_new_species.zip</v>
      </c>
      <c r="U4197" s="43" t="str">
        <f>HYPERLINK("https://ictv.global/taxonomy/taxondetails?taxnode_id=202213381","ictv.global=202213381")</f>
        <v>ictv.global=202213381</v>
      </c>
    </row>
    <row r="4198" spans="1:21">
      <c r="A4198">
        <v>4197</v>
      </c>
      <c r="B4198" s="29" t="s">
        <v>3682</v>
      </c>
      <c r="C4198" s="29"/>
      <c r="D4198" s="29" t="s">
        <v>3683</v>
      </c>
      <c r="E4198" s="29"/>
      <c r="F4198" s="29" t="s">
        <v>3686</v>
      </c>
      <c r="G4198" s="29"/>
      <c r="H4198" s="29" t="s">
        <v>3687</v>
      </c>
      <c r="I4198" s="29"/>
      <c r="J4198" s="29"/>
      <c r="K4198" s="29"/>
      <c r="L4198" s="29"/>
      <c r="M4198" s="29"/>
      <c r="N4198" s="29" t="s">
        <v>2657</v>
      </c>
      <c r="O4198" s="29"/>
      <c r="P4198" s="29" t="s">
        <v>11514</v>
      </c>
      <c r="Q4198" t="s">
        <v>2038</v>
      </c>
      <c r="R4198" t="s">
        <v>2632</v>
      </c>
      <c r="S4198">
        <v>37</v>
      </c>
      <c r="T4198" s="43" t="str">
        <f t="shared" si="200"/>
        <v>2021.092B.R.Wizardvirus_new_species.zip</v>
      </c>
      <c r="U4198" s="43" t="str">
        <f>HYPERLINK("https://ictv.global/taxonomy/taxondetails?taxnode_id=202212767","ictv.global=202212767")</f>
        <v>ictv.global=202212767</v>
      </c>
    </row>
    <row r="4199" spans="1:21">
      <c r="A4199">
        <v>4198</v>
      </c>
      <c r="B4199" s="29" t="s">
        <v>3682</v>
      </c>
      <c r="C4199" s="29"/>
      <c r="D4199" s="29" t="s">
        <v>3683</v>
      </c>
      <c r="E4199" s="29"/>
      <c r="F4199" s="29" t="s">
        <v>3686</v>
      </c>
      <c r="G4199" s="29"/>
      <c r="H4199" s="29" t="s">
        <v>3687</v>
      </c>
      <c r="I4199" s="29"/>
      <c r="J4199" s="29"/>
      <c r="K4199" s="29"/>
      <c r="L4199" s="29"/>
      <c r="M4199" s="29"/>
      <c r="N4199" s="29" t="s">
        <v>2657</v>
      </c>
      <c r="O4199" s="29"/>
      <c r="P4199" s="29" t="s">
        <v>11515</v>
      </c>
      <c r="Q4199" t="s">
        <v>2038</v>
      </c>
      <c r="R4199" t="s">
        <v>2632</v>
      </c>
      <c r="S4199">
        <v>37</v>
      </c>
      <c r="T4199" s="43" t="str">
        <f t="shared" si="200"/>
        <v>2021.092B.R.Wizardvirus_new_species.zip</v>
      </c>
      <c r="U4199" s="43" t="str">
        <f>HYPERLINK("https://ictv.global/taxonomy/taxondetails?taxnode_id=202213377","ictv.global=202213377")</f>
        <v>ictv.global=202213377</v>
      </c>
    </row>
    <row r="4200" spans="1:21">
      <c r="A4200">
        <v>4199</v>
      </c>
      <c r="B4200" s="29" t="s">
        <v>3682</v>
      </c>
      <c r="C4200" s="29"/>
      <c r="D4200" s="29" t="s">
        <v>3683</v>
      </c>
      <c r="E4200" s="29"/>
      <c r="F4200" s="29" t="s">
        <v>3686</v>
      </c>
      <c r="G4200" s="29"/>
      <c r="H4200" s="29" t="s">
        <v>3687</v>
      </c>
      <c r="I4200" s="29"/>
      <c r="J4200" s="29"/>
      <c r="K4200" s="29"/>
      <c r="L4200" s="29"/>
      <c r="M4200" s="29"/>
      <c r="N4200" s="29" t="s">
        <v>2657</v>
      </c>
      <c r="O4200" s="29"/>
      <c r="P4200" s="29" t="s">
        <v>11516</v>
      </c>
      <c r="Q4200" t="s">
        <v>2038</v>
      </c>
      <c r="R4200" t="s">
        <v>2632</v>
      </c>
      <c r="S4200">
        <v>37</v>
      </c>
      <c r="T4200" s="43" t="str">
        <f t="shared" si="200"/>
        <v>2021.092B.R.Wizardvirus_new_species.zip</v>
      </c>
      <c r="U4200" s="43" t="str">
        <f>HYPERLINK("https://ictv.global/taxonomy/taxondetails?taxnode_id=202212766","ictv.global=202212766")</f>
        <v>ictv.global=202212766</v>
      </c>
    </row>
    <row r="4201" spans="1:21">
      <c r="A4201">
        <v>4200</v>
      </c>
      <c r="B4201" s="29" t="s">
        <v>3682</v>
      </c>
      <c r="C4201" s="29"/>
      <c r="D4201" s="29" t="s">
        <v>3683</v>
      </c>
      <c r="E4201" s="29"/>
      <c r="F4201" s="29" t="s">
        <v>3686</v>
      </c>
      <c r="G4201" s="29"/>
      <c r="H4201" s="29" t="s">
        <v>3687</v>
      </c>
      <c r="I4201" s="29"/>
      <c r="J4201" s="29"/>
      <c r="K4201" s="29"/>
      <c r="L4201" s="29"/>
      <c r="M4201" s="29"/>
      <c r="N4201" s="29" t="s">
        <v>2657</v>
      </c>
      <c r="O4201" s="29"/>
      <c r="P4201" s="29" t="s">
        <v>11517</v>
      </c>
      <c r="Q4201" t="s">
        <v>2038</v>
      </c>
      <c r="R4201" t="s">
        <v>2632</v>
      </c>
      <c r="S4201">
        <v>37</v>
      </c>
      <c r="T4201" s="43" t="str">
        <f t="shared" si="200"/>
        <v>2021.092B.R.Wizardvirus_new_species.zip</v>
      </c>
      <c r="U4201" s="43" t="str">
        <f>HYPERLINK("https://ictv.global/taxonomy/taxondetails?taxnode_id=202212768","ictv.global=202212768")</f>
        <v>ictv.global=202212768</v>
      </c>
    </row>
    <row r="4202" spans="1:21">
      <c r="A4202">
        <v>4201</v>
      </c>
      <c r="B4202" s="29" t="s">
        <v>3682</v>
      </c>
      <c r="C4202" s="29"/>
      <c r="D4202" s="29" t="s">
        <v>3683</v>
      </c>
      <c r="E4202" s="29"/>
      <c r="F4202" s="29" t="s">
        <v>3686</v>
      </c>
      <c r="G4202" s="29"/>
      <c r="H4202" s="29" t="s">
        <v>3687</v>
      </c>
      <c r="I4202" s="29"/>
      <c r="J4202" s="29"/>
      <c r="K4202" s="29"/>
      <c r="L4202" s="29"/>
      <c r="M4202" s="29"/>
      <c r="N4202" s="29" t="s">
        <v>2657</v>
      </c>
      <c r="O4202" s="29"/>
      <c r="P4202" s="29" t="s">
        <v>11518</v>
      </c>
      <c r="Q4202" t="s">
        <v>2038</v>
      </c>
      <c r="R4202" t="s">
        <v>2632</v>
      </c>
      <c r="S4202">
        <v>37</v>
      </c>
      <c r="T4202" s="43" t="str">
        <f t="shared" si="200"/>
        <v>2021.092B.R.Wizardvirus_new_species.zip</v>
      </c>
      <c r="U4202" s="43" t="str">
        <f>HYPERLINK("https://ictv.global/taxonomy/taxondetails?taxnode_id=202213379","ictv.global=202213379")</f>
        <v>ictv.global=202213379</v>
      </c>
    </row>
    <row r="4203" spans="1:21">
      <c r="A4203">
        <v>4202</v>
      </c>
      <c r="B4203" s="29" t="s">
        <v>3682</v>
      </c>
      <c r="C4203" s="29"/>
      <c r="D4203" s="29" t="s">
        <v>3683</v>
      </c>
      <c r="E4203" s="29"/>
      <c r="F4203" s="29" t="s">
        <v>3686</v>
      </c>
      <c r="G4203" s="29"/>
      <c r="H4203" s="29" t="s">
        <v>3687</v>
      </c>
      <c r="I4203" s="29"/>
      <c r="J4203" s="29"/>
      <c r="K4203" s="29"/>
      <c r="L4203" s="29"/>
      <c r="M4203" s="29"/>
      <c r="N4203" s="29" t="s">
        <v>2657</v>
      </c>
      <c r="O4203" s="29"/>
      <c r="P4203" s="29" t="s">
        <v>11519</v>
      </c>
      <c r="Q4203" t="s">
        <v>2038</v>
      </c>
      <c r="R4203" t="s">
        <v>2632</v>
      </c>
      <c r="S4203">
        <v>37</v>
      </c>
      <c r="T4203" s="43" t="str">
        <f t="shared" si="200"/>
        <v>2021.092B.R.Wizardvirus_new_species.zip</v>
      </c>
      <c r="U4203" s="43" t="str">
        <f>HYPERLINK("https://ictv.global/taxonomy/taxondetails?taxnode_id=202212764","ictv.global=202212764")</f>
        <v>ictv.global=202212764</v>
      </c>
    </row>
    <row r="4204" spans="1:21">
      <c r="A4204">
        <v>4203</v>
      </c>
      <c r="B4204" s="29" t="s">
        <v>3682</v>
      </c>
      <c r="C4204" s="29"/>
      <c r="D4204" s="29" t="s">
        <v>3683</v>
      </c>
      <c r="E4204" s="29"/>
      <c r="F4204" s="29" t="s">
        <v>3686</v>
      </c>
      <c r="G4204" s="29"/>
      <c r="H4204" s="29" t="s">
        <v>3687</v>
      </c>
      <c r="I4204" s="29"/>
      <c r="J4204" s="29"/>
      <c r="K4204" s="29"/>
      <c r="L4204" s="29"/>
      <c r="M4204" s="29"/>
      <c r="N4204" s="29" t="s">
        <v>2657</v>
      </c>
      <c r="O4204" s="29"/>
      <c r="P4204" s="29" t="s">
        <v>11520</v>
      </c>
      <c r="Q4204" t="s">
        <v>2038</v>
      </c>
      <c r="R4204" t="s">
        <v>2632</v>
      </c>
      <c r="S4204">
        <v>37</v>
      </c>
      <c r="T4204" s="43" t="str">
        <f t="shared" si="200"/>
        <v>2021.092B.R.Wizardvirus_new_species.zip</v>
      </c>
      <c r="U4204" s="43" t="str">
        <f>HYPERLINK("https://ictv.global/taxonomy/taxondetails?taxnode_id=202213375","ictv.global=202213375")</f>
        <v>ictv.global=202213375</v>
      </c>
    </row>
    <row r="4205" spans="1:21">
      <c r="A4205">
        <v>4204</v>
      </c>
      <c r="B4205" s="29" t="s">
        <v>3682</v>
      </c>
      <c r="C4205" s="29"/>
      <c r="D4205" s="29" t="s">
        <v>3683</v>
      </c>
      <c r="E4205" s="29"/>
      <c r="F4205" s="29" t="s">
        <v>3686</v>
      </c>
      <c r="G4205" s="29"/>
      <c r="H4205" s="29" t="s">
        <v>3687</v>
      </c>
      <c r="I4205" s="29"/>
      <c r="J4205" s="29"/>
      <c r="K4205" s="29"/>
      <c r="L4205" s="29"/>
      <c r="M4205" s="29"/>
      <c r="N4205" s="29" t="s">
        <v>2657</v>
      </c>
      <c r="O4205" s="29"/>
      <c r="P4205" s="29" t="s">
        <v>11521</v>
      </c>
      <c r="Q4205" t="s">
        <v>2038</v>
      </c>
      <c r="R4205" t="s">
        <v>2632</v>
      </c>
      <c r="S4205">
        <v>37</v>
      </c>
      <c r="T4205" s="43" t="str">
        <f t="shared" si="200"/>
        <v>2021.092B.R.Wizardvirus_new_species.zip</v>
      </c>
      <c r="U4205" s="43" t="str">
        <f>HYPERLINK("https://ictv.global/taxonomy/taxondetails?taxnode_id=202213378","ictv.global=202213378")</f>
        <v>ictv.global=202213378</v>
      </c>
    </row>
    <row r="4206" spans="1:21">
      <c r="A4206">
        <v>4205</v>
      </c>
      <c r="B4206" s="29" t="s">
        <v>3682</v>
      </c>
      <c r="C4206" s="29"/>
      <c r="D4206" s="29" t="s">
        <v>3683</v>
      </c>
      <c r="E4206" s="29"/>
      <c r="F4206" s="29" t="s">
        <v>3686</v>
      </c>
      <c r="G4206" s="29"/>
      <c r="H4206" s="29" t="s">
        <v>3687</v>
      </c>
      <c r="I4206" s="29"/>
      <c r="J4206" s="29"/>
      <c r="K4206" s="29"/>
      <c r="L4206" s="29"/>
      <c r="M4206" s="29"/>
      <c r="N4206" s="29" t="s">
        <v>2657</v>
      </c>
      <c r="O4206" s="29"/>
      <c r="P4206" s="29" t="s">
        <v>11522</v>
      </c>
      <c r="Q4206" t="s">
        <v>2038</v>
      </c>
      <c r="R4206" t="s">
        <v>2632</v>
      </c>
      <c r="S4206">
        <v>37</v>
      </c>
      <c r="T4206" s="43" t="str">
        <f t="shared" si="200"/>
        <v>2021.092B.R.Wizardvirus_new_species.zip</v>
      </c>
      <c r="U4206" s="43" t="str">
        <f>HYPERLINK("https://ictv.global/taxonomy/taxondetails?taxnode_id=202213374","ictv.global=202213374")</f>
        <v>ictv.global=202213374</v>
      </c>
    </row>
    <row r="4207" spans="1:21">
      <c r="A4207">
        <v>4206</v>
      </c>
      <c r="B4207" s="29" t="s">
        <v>3682</v>
      </c>
      <c r="C4207" s="29"/>
      <c r="D4207" s="29" t="s">
        <v>3683</v>
      </c>
      <c r="E4207" s="29"/>
      <c r="F4207" s="29" t="s">
        <v>3686</v>
      </c>
      <c r="G4207" s="29"/>
      <c r="H4207" s="29" t="s">
        <v>3687</v>
      </c>
      <c r="I4207" s="29"/>
      <c r="J4207" s="29"/>
      <c r="K4207" s="29"/>
      <c r="L4207" s="29"/>
      <c r="M4207" s="29"/>
      <c r="N4207" s="29" t="s">
        <v>2657</v>
      </c>
      <c r="O4207" s="29"/>
      <c r="P4207" s="29" t="s">
        <v>11523</v>
      </c>
      <c r="Q4207" t="s">
        <v>2038</v>
      </c>
      <c r="R4207" t="s">
        <v>2632</v>
      </c>
      <c r="S4207">
        <v>37</v>
      </c>
      <c r="T4207" s="43" t="str">
        <f t="shared" si="200"/>
        <v>2021.092B.R.Wizardvirus_new_species.zip</v>
      </c>
      <c r="U4207" s="43" t="str">
        <f>HYPERLINK("https://ictv.global/taxonomy/taxondetails?taxnode_id=202213382","ictv.global=202213382")</f>
        <v>ictv.global=202213382</v>
      </c>
    </row>
    <row r="4208" spans="1:21">
      <c r="A4208">
        <v>4207</v>
      </c>
      <c r="B4208" s="29" t="s">
        <v>3682</v>
      </c>
      <c r="C4208" s="29"/>
      <c r="D4208" s="29" t="s">
        <v>3683</v>
      </c>
      <c r="E4208" s="29"/>
      <c r="F4208" s="29" t="s">
        <v>3686</v>
      </c>
      <c r="G4208" s="29"/>
      <c r="H4208" s="29" t="s">
        <v>3687</v>
      </c>
      <c r="I4208" s="29"/>
      <c r="J4208" s="29"/>
      <c r="K4208" s="29"/>
      <c r="L4208" s="29"/>
      <c r="M4208" s="29"/>
      <c r="N4208" s="29" t="s">
        <v>2657</v>
      </c>
      <c r="O4208" s="29"/>
      <c r="P4208" s="29" t="s">
        <v>11524</v>
      </c>
      <c r="Q4208" t="s">
        <v>2038</v>
      </c>
      <c r="R4208" t="s">
        <v>2632</v>
      </c>
      <c r="S4208">
        <v>37</v>
      </c>
      <c r="T4208" s="43" t="str">
        <f t="shared" si="200"/>
        <v>2021.092B.R.Wizardvirus_new_species.zip</v>
      </c>
      <c r="U4208" s="43" t="str">
        <f>HYPERLINK("https://ictv.global/taxonomy/taxondetails?taxnode_id=202213376","ictv.global=202213376")</f>
        <v>ictv.global=202213376</v>
      </c>
    </row>
    <row r="4209" spans="1:21">
      <c r="A4209">
        <v>4208</v>
      </c>
      <c r="B4209" s="29" t="s">
        <v>3682</v>
      </c>
      <c r="C4209" s="29"/>
      <c r="D4209" s="29" t="s">
        <v>3683</v>
      </c>
      <c r="E4209" s="29"/>
      <c r="F4209" s="29" t="s">
        <v>3686</v>
      </c>
      <c r="G4209" s="29"/>
      <c r="H4209" s="29" t="s">
        <v>3687</v>
      </c>
      <c r="I4209" s="29"/>
      <c r="J4209" s="29"/>
      <c r="K4209" s="29"/>
      <c r="L4209" s="29"/>
      <c r="M4209" s="29"/>
      <c r="N4209" s="29" t="s">
        <v>2657</v>
      </c>
      <c r="O4209" s="29"/>
      <c r="P4209" s="29" t="s">
        <v>11525</v>
      </c>
      <c r="Q4209" t="s">
        <v>2038</v>
      </c>
      <c r="R4209" t="s">
        <v>2632</v>
      </c>
      <c r="S4209">
        <v>37</v>
      </c>
      <c r="T4209" s="43" t="str">
        <f t="shared" si="200"/>
        <v>2021.092B.R.Wizardvirus_new_species.zip</v>
      </c>
      <c r="U4209" s="43" t="str">
        <f>HYPERLINK("https://ictv.global/taxonomy/taxondetails?taxnode_id=202212765","ictv.global=202212765")</f>
        <v>ictv.global=202212765</v>
      </c>
    </row>
    <row r="4210" spans="1:21">
      <c r="A4210">
        <v>4209</v>
      </c>
      <c r="B4210" s="29" t="s">
        <v>3682</v>
      </c>
      <c r="C4210" s="29"/>
      <c r="D4210" s="29" t="s">
        <v>3683</v>
      </c>
      <c r="E4210" s="29"/>
      <c r="F4210" s="29" t="s">
        <v>3686</v>
      </c>
      <c r="G4210" s="29"/>
      <c r="H4210" s="29" t="s">
        <v>3687</v>
      </c>
      <c r="I4210" s="29"/>
      <c r="J4210" s="29"/>
      <c r="K4210" s="29"/>
      <c r="L4210" s="29"/>
      <c r="M4210" s="29"/>
      <c r="N4210" s="29" t="s">
        <v>2657</v>
      </c>
      <c r="O4210" s="29"/>
      <c r="P4210" s="29" t="s">
        <v>11526</v>
      </c>
      <c r="Q4210" t="s">
        <v>2038</v>
      </c>
      <c r="R4210" t="s">
        <v>2633</v>
      </c>
      <c r="S4210">
        <v>37</v>
      </c>
      <c r="T4210" s="43" t="str">
        <f>HYPERLINK("https://ictv.global/ictv/proposals/2021.010B.R.Binomial_names.zip","2021.010B.R.Binomial_names.zip")</f>
        <v>2021.010B.R.Binomial_names.zip</v>
      </c>
      <c r="U4210" s="43" t="str">
        <f>HYPERLINK("https://ictv.global/taxonomy/taxondetails?taxnode_id=202205567","ictv.global=202205567")</f>
        <v>ictv.global=202205567</v>
      </c>
    </row>
    <row r="4211" spans="1:21">
      <c r="A4211">
        <v>4210</v>
      </c>
      <c r="B4211" s="29" t="s">
        <v>3682</v>
      </c>
      <c r="C4211" s="29"/>
      <c r="D4211" s="29" t="s">
        <v>3683</v>
      </c>
      <c r="E4211" s="29"/>
      <c r="F4211" s="29" t="s">
        <v>3686</v>
      </c>
      <c r="G4211" s="29"/>
      <c r="H4211" s="29" t="s">
        <v>3687</v>
      </c>
      <c r="I4211" s="29"/>
      <c r="J4211" s="29"/>
      <c r="K4211" s="29"/>
      <c r="L4211" s="29"/>
      <c r="M4211" s="29"/>
      <c r="N4211" s="29" t="s">
        <v>2657</v>
      </c>
      <c r="O4211" s="29"/>
      <c r="P4211" s="29" t="s">
        <v>11527</v>
      </c>
      <c r="Q4211" t="s">
        <v>2038</v>
      </c>
      <c r="R4211" t="s">
        <v>2632</v>
      </c>
      <c r="S4211">
        <v>37</v>
      </c>
      <c r="T4211" s="43" t="str">
        <f>HYPERLINK("https://ictv.global/ictv/proposals/2021.092B.R.Wizardvirus_new_species.zip","2021.092B.R.Wizardvirus_new_species.zip")</f>
        <v>2021.092B.R.Wizardvirus_new_species.zip</v>
      </c>
      <c r="U4211" s="43" t="str">
        <f>HYPERLINK("https://ictv.global/taxonomy/taxondetails?taxnode_id=202213380","ictv.global=202213380")</f>
        <v>ictv.global=202213380</v>
      </c>
    </row>
    <row r="4212" spans="1:21">
      <c r="A4212">
        <v>4211</v>
      </c>
      <c r="B4212" s="29" t="s">
        <v>3682</v>
      </c>
      <c r="C4212" s="29"/>
      <c r="D4212" s="29" t="s">
        <v>3683</v>
      </c>
      <c r="E4212" s="29"/>
      <c r="F4212" s="29" t="s">
        <v>3686</v>
      </c>
      <c r="G4212" s="29"/>
      <c r="H4212" s="29" t="s">
        <v>3687</v>
      </c>
      <c r="I4212" s="29"/>
      <c r="J4212" s="29"/>
      <c r="K4212" s="29"/>
      <c r="L4212" s="29"/>
      <c r="M4212" s="29"/>
      <c r="N4212" s="29" t="s">
        <v>2657</v>
      </c>
      <c r="O4212" s="29"/>
      <c r="P4212" s="29" t="s">
        <v>11528</v>
      </c>
      <c r="Q4212" t="s">
        <v>2038</v>
      </c>
      <c r="R4212" t="s">
        <v>2632</v>
      </c>
      <c r="S4212">
        <v>37</v>
      </c>
      <c r="T4212" s="43" t="str">
        <f>HYPERLINK("https://ictv.global/ictv/proposals/2021.092B.R.Wizardvirus_new_species.zip","2021.092B.R.Wizardvirus_new_species.zip")</f>
        <v>2021.092B.R.Wizardvirus_new_species.zip</v>
      </c>
      <c r="U4212" s="43" t="str">
        <f>HYPERLINK("https://ictv.global/taxonomy/taxondetails?taxnode_id=202213383","ictv.global=202213383")</f>
        <v>ictv.global=202213383</v>
      </c>
    </row>
    <row r="4213" spans="1:21">
      <c r="A4213">
        <v>4212</v>
      </c>
      <c r="B4213" s="29" t="s">
        <v>3682</v>
      </c>
      <c r="C4213" s="29"/>
      <c r="D4213" s="29" t="s">
        <v>3683</v>
      </c>
      <c r="E4213" s="29"/>
      <c r="F4213" s="29" t="s">
        <v>3686</v>
      </c>
      <c r="G4213" s="29"/>
      <c r="H4213" s="29" t="s">
        <v>3687</v>
      </c>
      <c r="I4213" s="29"/>
      <c r="J4213" s="29"/>
      <c r="K4213" s="29"/>
      <c r="L4213" s="29"/>
      <c r="M4213" s="29"/>
      <c r="N4213" s="29" t="s">
        <v>2657</v>
      </c>
      <c r="O4213" s="29"/>
      <c r="P4213" s="29" t="s">
        <v>11529</v>
      </c>
      <c r="Q4213" t="s">
        <v>2038</v>
      </c>
      <c r="R4213" t="s">
        <v>2633</v>
      </c>
      <c r="S4213">
        <v>37</v>
      </c>
      <c r="T4213" s="43" t="str">
        <f>HYPERLINK("https://ictv.global/ictv/proposals/2021.010B.R.Binomial_names.zip","2021.010B.R.Binomial_names.zip")</f>
        <v>2021.010B.R.Binomial_names.zip</v>
      </c>
      <c r="U4213" s="43" t="str">
        <f>HYPERLINK("https://ictv.global/taxonomy/taxondetails?taxnode_id=202205568","ictv.global=202205568")</f>
        <v>ictv.global=202205568</v>
      </c>
    </row>
    <row r="4214" spans="1:21">
      <c r="A4214">
        <v>4213</v>
      </c>
      <c r="B4214" s="29" t="s">
        <v>3682</v>
      </c>
      <c r="C4214" s="29"/>
      <c r="D4214" s="29" t="s">
        <v>3683</v>
      </c>
      <c r="E4214" s="29"/>
      <c r="F4214" s="29" t="s">
        <v>3686</v>
      </c>
      <c r="G4214" s="29"/>
      <c r="H4214" s="29" t="s">
        <v>3687</v>
      </c>
      <c r="I4214" s="29"/>
      <c r="J4214" s="29"/>
      <c r="K4214" s="29"/>
      <c r="L4214" s="29"/>
      <c r="M4214" s="29"/>
      <c r="N4214" s="29" t="s">
        <v>2450</v>
      </c>
      <c r="O4214" s="29"/>
      <c r="P4214" s="29" t="s">
        <v>11530</v>
      </c>
      <c r="Q4214" t="s">
        <v>2038</v>
      </c>
      <c r="R4214" t="s">
        <v>2633</v>
      </c>
      <c r="S4214">
        <v>37</v>
      </c>
      <c r="T4214" s="43" t="str">
        <f>HYPERLINK("https://ictv.global/ictv/proposals/2021.010B.R.Binomial_names.zip","2021.010B.R.Binomial_names.zip")</f>
        <v>2021.010B.R.Binomial_names.zip</v>
      </c>
      <c r="U4214" s="43" t="str">
        <f>HYPERLINK("https://ictv.global/taxonomy/taxondetails?taxnode_id=202201375","ictv.global=202201375")</f>
        <v>ictv.global=202201375</v>
      </c>
    </row>
    <row r="4215" spans="1:21">
      <c r="A4215">
        <v>4214</v>
      </c>
      <c r="B4215" s="29" t="s">
        <v>3682</v>
      </c>
      <c r="C4215" s="29"/>
      <c r="D4215" s="29" t="s">
        <v>3683</v>
      </c>
      <c r="E4215" s="29"/>
      <c r="F4215" s="29" t="s">
        <v>3686</v>
      </c>
      <c r="G4215" s="29"/>
      <c r="H4215" s="29" t="s">
        <v>3687</v>
      </c>
      <c r="I4215" s="29"/>
      <c r="J4215" s="29"/>
      <c r="K4215" s="29"/>
      <c r="L4215" s="29"/>
      <c r="M4215" s="29"/>
      <c r="N4215" s="29" t="s">
        <v>11531</v>
      </c>
      <c r="O4215" s="29"/>
      <c r="P4215" s="29" t="s">
        <v>11532</v>
      </c>
      <c r="Q4215" t="s">
        <v>2038</v>
      </c>
      <c r="R4215" t="s">
        <v>2632</v>
      </c>
      <c r="S4215">
        <v>38</v>
      </c>
      <c r="T4215" s="43" t="str">
        <f>HYPERLINK("https://ictv.global/ictv/proposals/2022.093B.Wollypogvirus_ng.zip","2022.093B.Wollypogvirus_ng.zip")</f>
        <v>2022.093B.Wollypogvirus_ng.zip</v>
      </c>
      <c r="U4215" s="43" t="str">
        <f>HYPERLINK("https://ictv.global/taxonomy/taxondetails?taxnode_id=202214974","ictv.global=202214974")</f>
        <v>ictv.global=202214974</v>
      </c>
    </row>
    <row r="4216" spans="1:21">
      <c r="A4216">
        <v>4215</v>
      </c>
      <c r="B4216" s="29" t="s">
        <v>3682</v>
      </c>
      <c r="C4216" s="29"/>
      <c r="D4216" s="29" t="s">
        <v>3683</v>
      </c>
      <c r="E4216" s="29"/>
      <c r="F4216" s="29" t="s">
        <v>3686</v>
      </c>
      <c r="G4216" s="29"/>
      <c r="H4216" s="29" t="s">
        <v>3687</v>
      </c>
      <c r="I4216" s="29"/>
      <c r="J4216" s="29"/>
      <c r="K4216" s="29"/>
      <c r="L4216" s="29"/>
      <c r="M4216" s="29"/>
      <c r="N4216" s="29" t="s">
        <v>11533</v>
      </c>
      <c r="O4216" s="29"/>
      <c r="P4216" s="29" t="s">
        <v>11534</v>
      </c>
      <c r="Q4216" t="s">
        <v>2038</v>
      </c>
      <c r="R4216" t="s">
        <v>2632</v>
      </c>
      <c r="S4216">
        <v>38</v>
      </c>
      <c r="T4216" s="43" t="str">
        <f>HYPERLINK("https://ictv.global/ictv/proposals/2022.058B.Caudoviricetes_3ng.zip","2022.058B.Caudoviricetes_3ng.zip")</f>
        <v>2022.058B.Caudoviricetes_3ng.zip</v>
      </c>
      <c r="U4216" s="43" t="str">
        <f>HYPERLINK("https://ictv.global/taxonomy/taxondetails?taxnode_id=202214703","ictv.global=202214703")</f>
        <v>ictv.global=202214703</v>
      </c>
    </row>
    <row r="4217" spans="1:21">
      <c r="A4217">
        <v>4216</v>
      </c>
      <c r="B4217" s="29" t="s">
        <v>3682</v>
      </c>
      <c r="C4217" s="29"/>
      <c r="D4217" s="29" t="s">
        <v>3683</v>
      </c>
      <c r="E4217" s="29"/>
      <c r="F4217" s="29" t="s">
        <v>3686</v>
      </c>
      <c r="G4217" s="29"/>
      <c r="H4217" s="29" t="s">
        <v>3687</v>
      </c>
      <c r="I4217" s="29"/>
      <c r="J4217" s="29"/>
      <c r="K4217" s="29"/>
      <c r="L4217" s="29"/>
      <c r="M4217" s="29"/>
      <c r="N4217" s="29" t="s">
        <v>3620</v>
      </c>
      <c r="O4217" s="29"/>
      <c r="P4217" s="29" t="s">
        <v>11535</v>
      </c>
      <c r="Q4217" t="s">
        <v>2038</v>
      </c>
      <c r="R4217" t="s">
        <v>2633</v>
      </c>
      <c r="S4217">
        <v>37</v>
      </c>
      <c r="T4217" s="43" t="str">
        <f t="shared" ref="T4217:T4227" si="201">HYPERLINK("https://ictv.global/ictv/proposals/2021.010B.R.Binomial_names.zip","2021.010B.R.Binomial_names.zip")</f>
        <v>2021.010B.R.Binomial_names.zip</v>
      </c>
      <c r="U4217" s="43" t="str">
        <f>HYPERLINK("https://ictv.global/taxonomy/taxondetails?taxnode_id=202201383","ictv.global=202201383")</f>
        <v>ictv.global=202201383</v>
      </c>
    </row>
    <row r="4218" spans="1:21">
      <c r="A4218">
        <v>4217</v>
      </c>
      <c r="B4218" s="29" t="s">
        <v>3682</v>
      </c>
      <c r="C4218" s="29"/>
      <c r="D4218" s="29" t="s">
        <v>3683</v>
      </c>
      <c r="E4218" s="29"/>
      <c r="F4218" s="29" t="s">
        <v>3686</v>
      </c>
      <c r="G4218" s="29"/>
      <c r="H4218" s="29" t="s">
        <v>3687</v>
      </c>
      <c r="I4218" s="29"/>
      <c r="J4218" s="29"/>
      <c r="K4218" s="29"/>
      <c r="L4218" s="29"/>
      <c r="M4218" s="29"/>
      <c r="N4218" s="29" t="s">
        <v>3620</v>
      </c>
      <c r="O4218" s="29"/>
      <c r="P4218" s="29" t="s">
        <v>11536</v>
      </c>
      <c r="Q4218" t="s">
        <v>2038</v>
      </c>
      <c r="R4218" t="s">
        <v>2633</v>
      </c>
      <c r="S4218">
        <v>37</v>
      </c>
      <c r="T4218" s="43" t="str">
        <f t="shared" si="201"/>
        <v>2021.010B.R.Binomial_names.zip</v>
      </c>
      <c r="U4218" s="43" t="str">
        <f>HYPERLINK("https://ictv.global/taxonomy/taxondetails?taxnode_id=202201384","ictv.global=202201384")</f>
        <v>ictv.global=202201384</v>
      </c>
    </row>
    <row r="4219" spans="1:21">
      <c r="A4219">
        <v>4218</v>
      </c>
      <c r="B4219" s="29" t="s">
        <v>3682</v>
      </c>
      <c r="C4219" s="29"/>
      <c r="D4219" s="29" t="s">
        <v>3683</v>
      </c>
      <c r="E4219" s="29"/>
      <c r="F4219" s="29" t="s">
        <v>3686</v>
      </c>
      <c r="G4219" s="29"/>
      <c r="H4219" s="29" t="s">
        <v>3687</v>
      </c>
      <c r="I4219" s="29"/>
      <c r="J4219" s="29"/>
      <c r="K4219" s="29"/>
      <c r="L4219" s="29"/>
      <c r="M4219" s="29"/>
      <c r="N4219" s="29" t="s">
        <v>4611</v>
      </c>
      <c r="O4219" s="29"/>
      <c r="P4219" s="29" t="s">
        <v>11537</v>
      </c>
      <c r="Q4219" t="s">
        <v>2038</v>
      </c>
      <c r="R4219" t="s">
        <v>2633</v>
      </c>
      <c r="S4219">
        <v>37</v>
      </c>
      <c r="T4219" s="43" t="str">
        <f t="shared" si="201"/>
        <v>2021.010B.R.Binomial_names.zip</v>
      </c>
      <c r="U4219" s="43" t="str">
        <f>HYPERLINK("https://ictv.global/taxonomy/taxondetails?taxnode_id=202200705","ictv.global=202200705")</f>
        <v>ictv.global=202200705</v>
      </c>
    </row>
    <row r="4220" spans="1:21">
      <c r="A4220">
        <v>4219</v>
      </c>
      <c r="B4220" s="29" t="s">
        <v>3682</v>
      </c>
      <c r="C4220" s="29"/>
      <c r="D4220" s="29" t="s">
        <v>3683</v>
      </c>
      <c r="E4220" s="29"/>
      <c r="F4220" s="29" t="s">
        <v>3686</v>
      </c>
      <c r="G4220" s="29"/>
      <c r="H4220" s="29" t="s">
        <v>3687</v>
      </c>
      <c r="I4220" s="29"/>
      <c r="J4220" s="29"/>
      <c r="K4220" s="29"/>
      <c r="L4220" s="29"/>
      <c r="M4220" s="29"/>
      <c r="N4220" s="29" t="s">
        <v>4612</v>
      </c>
      <c r="O4220" s="29"/>
      <c r="P4220" s="29" t="s">
        <v>11538</v>
      </c>
      <c r="Q4220" t="s">
        <v>2038</v>
      </c>
      <c r="R4220" t="s">
        <v>2633</v>
      </c>
      <c r="S4220">
        <v>37</v>
      </c>
      <c r="T4220" s="43" t="str">
        <f t="shared" si="201"/>
        <v>2021.010B.R.Binomial_names.zip</v>
      </c>
      <c r="U4220" s="43" t="str">
        <f>HYPERLINK("https://ictv.global/taxonomy/taxondetails?taxnode_id=202212124","ictv.global=202212124")</f>
        <v>ictv.global=202212124</v>
      </c>
    </row>
    <row r="4221" spans="1:21">
      <c r="A4221">
        <v>4220</v>
      </c>
      <c r="B4221" s="29" t="s">
        <v>3682</v>
      </c>
      <c r="C4221" s="29"/>
      <c r="D4221" s="29" t="s">
        <v>3683</v>
      </c>
      <c r="E4221" s="29"/>
      <c r="F4221" s="29" t="s">
        <v>3686</v>
      </c>
      <c r="G4221" s="29"/>
      <c r="H4221" s="29" t="s">
        <v>3687</v>
      </c>
      <c r="I4221" s="29"/>
      <c r="J4221" s="29"/>
      <c r="K4221" s="29"/>
      <c r="L4221" s="29"/>
      <c r="M4221" s="29"/>
      <c r="N4221" s="29" t="s">
        <v>4612</v>
      </c>
      <c r="O4221" s="29"/>
      <c r="P4221" s="29" t="s">
        <v>11539</v>
      </c>
      <c r="Q4221" t="s">
        <v>2038</v>
      </c>
      <c r="R4221" t="s">
        <v>2633</v>
      </c>
      <c r="S4221">
        <v>37</v>
      </c>
      <c r="T4221" s="43" t="str">
        <f t="shared" si="201"/>
        <v>2021.010B.R.Binomial_names.zip</v>
      </c>
      <c r="U4221" s="43" t="str">
        <f>HYPERLINK("https://ictv.global/taxonomy/taxondetails?taxnode_id=202200704","ictv.global=202200704")</f>
        <v>ictv.global=202200704</v>
      </c>
    </row>
    <row r="4222" spans="1:21">
      <c r="A4222">
        <v>4221</v>
      </c>
      <c r="B4222" s="29" t="s">
        <v>3682</v>
      </c>
      <c r="C4222" s="29"/>
      <c r="D4222" s="29" t="s">
        <v>3683</v>
      </c>
      <c r="E4222" s="29"/>
      <c r="F4222" s="29" t="s">
        <v>3686</v>
      </c>
      <c r="G4222" s="29"/>
      <c r="H4222" s="29" t="s">
        <v>3687</v>
      </c>
      <c r="I4222" s="29"/>
      <c r="J4222" s="29"/>
      <c r="K4222" s="29"/>
      <c r="L4222" s="29"/>
      <c r="M4222" s="29"/>
      <c r="N4222" s="29" t="s">
        <v>3621</v>
      </c>
      <c r="O4222" s="29"/>
      <c r="P4222" s="29" t="s">
        <v>11540</v>
      </c>
      <c r="Q4222" t="s">
        <v>2038</v>
      </c>
      <c r="R4222" t="s">
        <v>2633</v>
      </c>
      <c r="S4222">
        <v>37</v>
      </c>
      <c r="T4222" s="43" t="str">
        <f t="shared" si="201"/>
        <v>2021.010B.R.Binomial_names.zip</v>
      </c>
      <c r="U4222" s="43" t="str">
        <f>HYPERLINK("https://ictv.global/taxonomy/taxondetails?taxnode_id=202201242","ictv.global=202201242")</f>
        <v>ictv.global=202201242</v>
      </c>
    </row>
    <row r="4223" spans="1:21">
      <c r="A4223">
        <v>4222</v>
      </c>
      <c r="B4223" s="29" t="s">
        <v>3682</v>
      </c>
      <c r="C4223" s="29"/>
      <c r="D4223" s="29" t="s">
        <v>3683</v>
      </c>
      <c r="E4223" s="29"/>
      <c r="F4223" s="29" t="s">
        <v>3686</v>
      </c>
      <c r="G4223" s="29"/>
      <c r="H4223" s="29" t="s">
        <v>3687</v>
      </c>
      <c r="I4223" s="29"/>
      <c r="J4223" s="29"/>
      <c r="K4223" s="29"/>
      <c r="L4223" s="29"/>
      <c r="M4223" s="29"/>
      <c r="N4223" s="29" t="s">
        <v>3621</v>
      </c>
      <c r="O4223" s="29"/>
      <c r="P4223" s="29" t="s">
        <v>11541</v>
      </c>
      <c r="Q4223" t="s">
        <v>2038</v>
      </c>
      <c r="R4223" t="s">
        <v>2633</v>
      </c>
      <c r="S4223">
        <v>37</v>
      </c>
      <c r="T4223" s="43" t="str">
        <f t="shared" si="201"/>
        <v>2021.010B.R.Binomial_names.zip</v>
      </c>
      <c r="U4223" s="43" t="str">
        <f>HYPERLINK("https://ictv.global/taxonomy/taxondetails?taxnode_id=202201243","ictv.global=202201243")</f>
        <v>ictv.global=202201243</v>
      </c>
    </row>
    <row r="4224" spans="1:21">
      <c r="A4224">
        <v>4223</v>
      </c>
      <c r="B4224" s="29" t="s">
        <v>3682</v>
      </c>
      <c r="C4224" s="29"/>
      <c r="D4224" s="29" t="s">
        <v>3683</v>
      </c>
      <c r="E4224" s="29"/>
      <c r="F4224" s="29" t="s">
        <v>3686</v>
      </c>
      <c r="G4224" s="29"/>
      <c r="H4224" s="29" t="s">
        <v>3687</v>
      </c>
      <c r="I4224" s="29"/>
      <c r="J4224" s="29"/>
      <c r="K4224" s="29"/>
      <c r="L4224" s="29"/>
      <c r="M4224" s="29"/>
      <c r="N4224" s="29" t="s">
        <v>3622</v>
      </c>
      <c r="O4224" s="29"/>
      <c r="P4224" s="29" t="s">
        <v>11542</v>
      </c>
      <c r="Q4224" t="s">
        <v>2038</v>
      </c>
      <c r="R4224" t="s">
        <v>2633</v>
      </c>
      <c r="S4224">
        <v>37</v>
      </c>
      <c r="T4224" s="43" t="str">
        <f t="shared" si="201"/>
        <v>2021.010B.R.Binomial_names.zip</v>
      </c>
      <c r="U4224" s="43" t="str">
        <f>HYPERLINK("https://ictv.global/taxonomy/taxondetails?taxnode_id=202201378","ictv.global=202201378")</f>
        <v>ictv.global=202201378</v>
      </c>
    </row>
    <row r="4225" spans="1:21">
      <c r="A4225">
        <v>4224</v>
      </c>
      <c r="B4225" s="29" t="s">
        <v>3682</v>
      </c>
      <c r="C4225" s="29"/>
      <c r="D4225" s="29" t="s">
        <v>3683</v>
      </c>
      <c r="E4225" s="29"/>
      <c r="F4225" s="29" t="s">
        <v>3686</v>
      </c>
      <c r="G4225" s="29"/>
      <c r="H4225" s="29" t="s">
        <v>3687</v>
      </c>
      <c r="I4225" s="29"/>
      <c r="J4225" s="29"/>
      <c r="K4225" s="29"/>
      <c r="L4225" s="29"/>
      <c r="M4225" s="29"/>
      <c r="N4225" s="29" t="s">
        <v>3622</v>
      </c>
      <c r="O4225" s="29"/>
      <c r="P4225" s="29" t="s">
        <v>11543</v>
      </c>
      <c r="Q4225" t="s">
        <v>2038</v>
      </c>
      <c r="R4225" t="s">
        <v>2633</v>
      </c>
      <c r="S4225">
        <v>37</v>
      </c>
      <c r="T4225" s="43" t="str">
        <f t="shared" si="201"/>
        <v>2021.010B.R.Binomial_names.zip</v>
      </c>
      <c r="U4225" s="43" t="str">
        <f>HYPERLINK("https://ictv.global/taxonomy/taxondetails?taxnode_id=202201380","ictv.global=202201380")</f>
        <v>ictv.global=202201380</v>
      </c>
    </row>
    <row r="4226" spans="1:21">
      <c r="A4226">
        <v>4225</v>
      </c>
      <c r="B4226" s="29" t="s">
        <v>3682</v>
      </c>
      <c r="C4226" s="29"/>
      <c r="D4226" s="29" t="s">
        <v>3683</v>
      </c>
      <c r="E4226" s="29"/>
      <c r="F4226" s="29" t="s">
        <v>3686</v>
      </c>
      <c r="G4226" s="29"/>
      <c r="H4226" s="29" t="s">
        <v>3687</v>
      </c>
      <c r="I4226" s="29"/>
      <c r="J4226" s="29"/>
      <c r="K4226" s="29"/>
      <c r="L4226" s="29"/>
      <c r="M4226" s="29"/>
      <c r="N4226" s="29" t="s">
        <v>3622</v>
      </c>
      <c r="O4226" s="29"/>
      <c r="P4226" s="29" t="s">
        <v>11544</v>
      </c>
      <c r="Q4226" t="s">
        <v>2038</v>
      </c>
      <c r="R4226" t="s">
        <v>2633</v>
      </c>
      <c r="S4226">
        <v>37</v>
      </c>
      <c r="T4226" s="43" t="str">
        <f t="shared" si="201"/>
        <v>2021.010B.R.Binomial_names.zip</v>
      </c>
      <c r="U4226" s="43" t="str">
        <f>HYPERLINK("https://ictv.global/taxonomy/taxondetails?taxnode_id=202201381","ictv.global=202201381")</f>
        <v>ictv.global=202201381</v>
      </c>
    </row>
    <row r="4227" spans="1:21">
      <c r="A4227">
        <v>4226</v>
      </c>
      <c r="B4227" s="29" t="s">
        <v>3682</v>
      </c>
      <c r="C4227" s="29"/>
      <c r="D4227" s="29" t="s">
        <v>3683</v>
      </c>
      <c r="E4227" s="29"/>
      <c r="F4227" s="29" t="s">
        <v>3686</v>
      </c>
      <c r="G4227" s="29"/>
      <c r="H4227" s="29" t="s">
        <v>3687</v>
      </c>
      <c r="I4227" s="29"/>
      <c r="J4227" s="29"/>
      <c r="K4227" s="29"/>
      <c r="L4227" s="29"/>
      <c r="M4227" s="29"/>
      <c r="N4227" s="29" t="s">
        <v>3966</v>
      </c>
      <c r="O4227" s="29"/>
      <c r="P4227" s="29" t="s">
        <v>11545</v>
      </c>
      <c r="Q4227" t="s">
        <v>2038</v>
      </c>
      <c r="R4227" t="s">
        <v>2633</v>
      </c>
      <c r="S4227">
        <v>37</v>
      </c>
      <c r="T4227" s="43" t="str">
        <f t="shared" si="201"/>
        <v>2021.010B.R.Binomial_names.zip</v>
      </c>
      <c r="U4227" s="43" t="str">
        <f>HYPERLINK("https://ictv.global/taxonomy/taxondetails?taxnode_id=202207710","ictv.global=202207710")</f>
        <v>ictv.global=202207710</v>
      </c>
    </row>
    <row r="4228" spans="1:21">
      <c r="A4228">
        <v>4227</v>
      </c>
      <c r="B4228" s="29" t="s">
        <v>3682</v>
      </c>
      <c r="C4228" s="29"/>
      <c r="D4228" s="29" t="s">
        <v>3683</v>
      </c>
      <c r="E4228" s="29"/>
      <c r="F4228" s="29" t="s">
        <v>3686</v>
      </c>
      <c r="G4228" s="29"/>
      <c r="H4228" s="29" t="s">
        <v>3687</v>
      </c>
      <c r="I4228" s="29"/>
      <c r="J4228" s="29"/>
      <c r="K4228" s="29"/>
      <c r="L4228" s="29"/>
      <c r="M4228" s="29"/>
      <c r="N4228" s="29" t="s">
        <v>11546</v>
      </c>
      <c r="O4228" s="29"/>
      <c r="P4228" s="29" t="s">
        <v>11547</v>
      </c>
      <c r="Q4228" t="s">
        <v>2038</v>
      </c>
      <c r="R4228" t="s">
        <v>2632</v>
      </c>
      <c r="S4228">
        <v>38</v>
      </c>
      <c r="T4228" s="43" t="str">
        <f>HYPERLINK("https://ictv.global/ictv/proposals/2022.094B.Yanchengvirus_ng.zip","2022.094B.Yanchengvirus_ng.zip")</f>
        <v>2022.094B.Yanchengvirus_ng.zip</v>
      </c>
      <c r="U4228" s="43" t="str">
        <f>HYPERLINK("https://ictv.global/taxonomy/taxondetails?taxnode_id=202214976","ictv.global=202214976")</f>
        <v>ictv.global=202214976</v>
      </c>
    </row>
    <row r="4229" spans="1:21">
      <c r="A4229">
        <v>4228</v>
      </c>
      <c r="B4229" s="29" t="s">
        <v>3682</v>
      </c>
      <c r="C4229" s="29"/>
      <c r="D4229" s="29" t="s">
        <v>3683</v>
      </c>
      <c r="E4229" s="29"/>
      <c r="F4229" s="29" t="s">
        <v>3686</v>
      </c>
      <c r="G4229" s="29"/>
      <c r="H4229" s="29" t="s">
        <v>3687</v>
      </c>
      <c r="I4229" s="29"/>
      <c r="J4229" s="29"/>
      <c r="K4229" s="29"/>
      <c r="L4229" s="29"/>
      <c r="M4229" s="29"/>
      <c r="N4229" s="29" t="s">
        <v>11548</v>
      </c>
      <c r="O4229" s="29"/>
      <c r="P4229" s="29" t="s">
        <v>11549</v>
      </c>
      <c r="Q4229" t="s">
        <v>2038</v>
      </c>
      <c r="R4229" t="s">
        <v>2632</v>
      </c>
      <c r="S4229">
        <v>37</v>
      </c>
      <c r="T4229" s="43" t="str">
        <f>HYPERLINK("https://ictv.global/ictv/proposals/2021.093B.R.Yeceytrevirus.zip","2021.093B.R.Yeceytrevirus.zip")</f>
        <v>2021.093B.R.Yeceytrevirus.zip</v>
      </c>
      <c r="U4229" s="43" t="str">
        <f>HYPERLINK("https://ictv.global/taxonomy/taxondetails?taxnode_id=202213387","ictv.global=202213387")</f>
        <v>ictv.global=202213387</v>
      </c>
    </row>
    <row r="4230" spans="1:21">
      <c r="A4230">
        <v>4229</v>
      </c>
      <c r="B4230" s="29" t="s">
        <v>3682</v>
      </c>
      <c r="C4230" s="29"/>
      <c r="D4230" s="29" t="s">
        <v>3683</v>
      </c>
      <c r="E4230" s="29"/>
      <c r="F4230" s="29" t="s">
        <v>3686</v>
      </c>
      <c r="G4230" s="29"/>
      <c r="H4230" s="29" t="s">
        <v>3687</v>
      </c>
      <c r="I4230" s="29"/>
      <c r="J4230" s="29"/>
      <c r="K4230" s="29"/>
      <c r="L4230" s="29"/>
      <c r="M4230" s="29"/>
      <c r="N4230" s="29" t="s">
        <v>3444</v>
      </c>
      <c r="O4230" s="29"/>
      <c r="P4230" s="29" t="s">
        <v>11550</v>
      </c>
      <c r="Q4230" t="s">
        <v>2038</v>
      </c>
      <c r="R4230" t="s">
        <v>2633</v>
      </c>
      <c r="S4230">
        <v>37</v>
      </c>
      <c r="T4230" s="43" t="str">
        <f t="shared" ref="T4230:T4236" si="202">HYPERLINK("https://ictv.global/ictv/proposals/2021.010B.R.Binomial_names.zip","2021.010B.R.Binomial_names.zip")</f>
        <v>2021.010B.R.Binomial_names.zip</v>
      </c>
      <c r="U4230" s="43" t="str">
        <f>HYPERLINK("https://ictv.global/taxonomy/taxondetails?taxnode_id=202200453","ictv.global=202200453")</f>
        <v>ictv.global=202200453</v>
      </c>
    </row>
    <row r="4231" spans="1:21">
      <c r="A4231">
        <v>4230</v>
      </c>
      <c r="B4231" s="29" t="s">
        <v>3682</v>
      </c>
      <c r="C4231" s="29"/>
      <c r="D4231" s="29" t="s">
        <v>3683</v>
      </c>
      <c r="E4231" s="29"/>
      <c r="F4231" s="29" t="s">
        <v>3686</v>
      </c>
      <c r="G4231" s="29"/>
      <c r="H4231" s="29" t="s">
        <v>3687</v>
      </c>
      <c r="I4231" s="29"/>
      <c r="J4231" s="29"/>
      <c r="K4231" s="29"/>
      <c r="L4231" s="29"/>
      <c r="M4231" s="29"/>
      <c r="N4231" s="29" t="s">
        <v>3444</v>
      </c>
      <c r="O4231" s="29"/>
      <c r="P4231" s="29" t="s">
        <v>11551</v>
      </c>
      <c r="Q4231" t="s">
        <v>2038</v>
      </c>
      <c r="R4231" t="s">
        <v>2633</v>
      </c>
      <c r="S4231">
        <v>37</v>
      </c>
      <c r="T4231" s="43" t="str">
        <f t="shared" si="202"/>
        <v>2021.010B.R.Binomial_names.zip</v>
      </c>
      <c r="U4231" s="43" t="str">
        <f>HYPERLINK("https://ictv.global/taxonomy/taxondetails?taxnode_id=202200454","ictv.global=202200454")</f>
        <v>ictv.global=202200454</v>
      </c>
    </row>
    <row r="4232" spans="1:21">
      <c r="A4232">
        <v>4231</v>
      </c>
      <c r="B4232" s="29" t="s">
        <v>3682</v>
      </c>
      <c r="C4232" s="29"/>
      <c r="D4232" s="29" t="s">
        <v>3683</v>
      </c>
      <c r="E4232" s="29"/>
      <c r="F4232" s="29" t="s">
        <v>3686</v>
      </c>
      <c r="G4232" s="29"/>
      <c r="H4232" s="29" t="s">
        <v>3687</v>
      </c>
      <c r="I4232" s="29"/>
      <c r="J4232" s="29"/>
      <c r="K4232" s="29"/>
      <c r="L4232" s="29"/>
      <c r="M4232" s="29"/>
      <c r="N4232" s="29" t="s">
        <v>3956</v>
      </c>
      <c r="O4232" s="29"/>
      <c r="P4232" s="29" t="s">
        <v>11552</v>
      </c>
      <c r="Q4232" t="s">
        <v>2038</v>
      </c>
      <c r="R4232" t="s">
        <v>2633</v>
      </c>
      <c r="S4232">
        <v>37</v>
      </c>
      <c r="T4232" s="43" t="str">
        <f t="shared" si="202"/>
        <v>2021.010B.R.Binomial_names.zip</v>
      </c>
      <c r="U4232" s="43" t="str">
        <f>HYPERLINK("https://ictv.global/taxonomy/taxondetails?taxnode_id=202207918","ictv.global=202207918")</f>
        <v>ictv.global=202207918</v>
      </c>
    </row>
    <row r="4233" spans="1:21">
      <c r="A4233">
        <v>4232</v>
      </c>
      <c r="B4233" s="29" t="s">
        <v>3682</v>
      </c>
      <c r="C4233" s="29"/>
      <c r="D4233" s="29" t="s">
        <v>3683</v>
      </c>
      <c r="E4233" s="29"/>
      <c r="F4233" s="29" t="s">
        <v>3686</v>
      </c>
      <c r="G4233" s="29"/>
      <c r="H4233" s="29" t="s">
        <v>3687</v>
      </c>
      <c r="I4233" s="29"/>
      <c r="J4233" s="29"/>
      <c r="K4233" s="29"/>
      <c r="L4233" s="29"/>
      <c r="M4233" s="29"/>
      <c r="N4233" s="29" t="s">
        <v>4587</v>
      </c>
      <c r="O4233" s="29"/>
      <c r="P4233" s="29" t="s">
        <v>11553</v>
      </c>
      <c r="Q4233" t="s">
        <v>2038</v>
      </c>
      <c r="R4233" t="s">
        <v>2633</v>
      </c>
      <c r="S4233">
        <v>37</v>
      </c>
      <c r="T4233" s="43" t="str">
        <f t="shared" si="202"/>
        <v>2021.010B.R.Binomial_names.zip</v>
      </c>
      <c r="U4233" s="43" t="str">
        <f>HYPERLINK("https://ictv.global/taxonomy/taxondetails?taxnode_id=202200421","ictv.global=202200421")</f>
        <v>ictv.global=202200421</v>
      </c>
    </row>
    <row r="4234" spans="1:21">
      <c r="A4234">
        <v>4233</v>
      </c>
      <c r="B4234" s="29" t="s">
        <v>3682</v>
      </c>
      <c r="C4234" s="29"/>
      <c r="D4234" s="29" t="s">
        <v>3683</v>
      </c>
      <c r="E4234" s="29"/>
      <c r="F4234" s="29" t="s">
        <v>3686</v>
      </c>
      <c r="G4234" s="29"/>
      <c r="H4234" s="29" t="s">
        <v>3687</v>
      </c>
      <c r="I4234" s="29"/>
      <c r="J4234" s="29"/>
      <c r="K4234" s="29"/>
      <c r="L4234" s="29"/>
      <c r="M4234" s="29"/>
      <c r="N4234" s="29" t="s">
        <v>4587</v>
      </c>
      <c r="O4234" s="29"/>
      <c r="P4234" s="29" t="s">
        <v>11554</v>
      </c>
      <c r="Q4234" t="s">
        <v>2038</v>
      </c>
      <c r="R4234" t="s">
        <v>2633</v>
      </c>
      <c r="S4234">
        <v>37</v>
      </c>
      <c r="T4234" s="43" t="str">
        <f t="shared" si="202"/>
        <v>2021.010B.R.Binomial_names.zip</v>
      </c>
      <c r="U4234" s="43" t="str">
        <f>HYPERLINK("https://ictv.global/taxonomy/taxondetails?taxnode_id=202209883","ictv.global=202209883")</f>
        <v>ictv.global=202209883</v>
      </c>
    </row>
    <row r="4235" spans="1:21">
      <c r="A4235">
        <v>4234</v>
      </c>
      <c r="B4235" s="29" t="s">
        <v>3682</v>
      </c>
      <c r="C4235" s="29"/>
      <c r="D4235" s="29" t="s">
        <v>3683</v>
      </c>
      <c r="E4235" s="29"/>
      <c r="F4235" s="29" t="s">
        <v>3686</v>
      </c>
      <c r="G4235" s="29"/>
      <c r="H4235" s="29" t="s">
        <v>3687</v>
      </c>
      <c r="I4235" s="29"/>
      <c r="J4235" s="29"/>
      <c r="K4235" s="29"/>
      <c r="L4235" s="29"/>
      <c r="M4235" s="29"/>
      <c r="N4235" s="29" t="s">
        <v>4587</v>
      </c>
      <c r="O4235" s="29"/>
      <c r="P4235" s="29" t="s">
        <v>11555</v>
      </c>
      <c r="Q4235" t="s">
        <v>2038</v>
      </c>
      <c r="R4235" t="s">
        <v>2633</v>
      </c>
      <c r="S4235">
        <v>37</v>
      </c>
      <c r="T4235" s="43" t="str">
        <f t="shared" si="202"/>
        <v>2021.010B.R.Binomial_names.zip</v>
      </c>
      <c r="U4235" s="43" t="str">
        <f>HYPERLINK("https://ictv.global/taxonomy/taxondetails?taxnode_id=202209882","ictv.global=202209882")</f>
        <v>ictv.global=202209882</v>
      </c>
    </row>
    <row r="4236" spans="1:21">
      <c r="A4236">
        <v>4235</v>
      </c>
      <c r="B4236" s="29" t="s">
        <v>3682</v>
      </c>
      <c r="C4236" s="29"/>
      <c r="D4236" s="29" t="s">
        <v>3683</v>
      </c>
      <c r="E4236" s="29"/>
      <c r="F4236" s="29" t="s">
        <v>3686</v>
      </c>
      <c r="G4236" s="29"/>
      <c r="H4236" s="29" t="s">
        <v>3687</v>
      </c>
      <c r="I4236" s="29"/>
      <c r="J4236" s="29"/>
      <c r="K4236" s="29"/>
      <c r="L4236" s="29"/>
      <c r="M4236" s="29"/>
      <c r="N4236" s="29" t="s">
        <v>4587</v>
      </c>
      <c r="O4236" s="29"/>
      <c r="P4236" s="29" t="s">
        <v>11556</v>
      </c>
      <c r="Q4236" t="s">
        <v>2038</v>
      </c>
      <c r="R4236" t="s">
        <v>2633</v>
      </c>
      <c r="S4236">
        <v>37</v>
      </c>
      <c r="T4236" s="43" t="str">
        <f t="shared" si="202"/>
        <v>2021.010B.R.Binomial_names.zip</v>
      </c>
      <c r="U4236" s="43" t="str">
        <f>HYPERLINK("https://ictv.global/taxonomy/taxondetails?taxnode_id=202209881","ictv.global=202209881")</f>
        <v>ictv.global=202209881</v>
      </c>
    </row>
    <row r="4237" spans="1:21">
      <c r="A4237">
        <v>4236</v>
      </c>
      <c r="B4237" s="29" t="s">
        <v>3682</v>
      </c>
      <c r="C4237" s="29"/>
      <c r="D4237" s="29" t="s">
        <v>3683</v>
      </c>
      <c r="E4237" s="29"/>
      <c r="F4237" s="29" t="s">
        <v>3686</v>
      </c>
      <c r="G4237" s="29"/>
      <c r="H4237" s="29" t="s">
        <v>3687</v>
      </c>
      <c r="I4237" s="29"/>
      <c r="J4237" s="29"/>
      <c r="K4237" s="29"/>
      <c r="L4237" s="29"/>
      <c r="M4237" s="29"/>
      <c r="N4237" s="29" t="s">
        <v>3623</v>
      </c>
      <c r="O4237" s="29"/>
      <c r="P4237" s="29" t="s">
        <v>3624</v>
      </c>
      <c r="Q4237" t="s">
        <v>2038</v>
      </c>
      <c r="R4237" t="s">
        <v>2634</v>
      </c>
      <c r="S4237">
        <v>37</v>
      </c>
      <c r="T4237" s="43" t="str">
        <f>HYPERLINK("https://ictv.global/ictv/proposals/2021.001B.R.abolish_Caudovirales.zip","2021.001B.R.abolish_Caudovirales.zip")</f>
        <v>2021.001B.R.abolish_Caudovirales.zip</v>
      </c>
      <c r="U4237" s="43" t="str">
        <f>HYPERLINK("https://ictv.global/taxonomy/taxondetails?taxnode_id=202206617","ictv.global=202206617")</f>
        <v>ictv.global=202206617</v>
      </c>
    </row>
    <row r="4238" spans="1:21">
      <c r="A4238">
        <v>4237</v>
      </c>
      <c r="B4238" s="29" t="s">
        <v>3682</v>
      </c>
      <c r="C4238" s="29"/>
      <c r="D4238" s="29" t="s">
        <v>3683</v>
      </c>
      <c r="E4238" s="29"/>
      <c r="F4238" s="29" t="s">
        <v>3686</v>
      </c>
      <c r="G4238" s="29"/>
      <c r="H4238" s="29" t="s">
        <v>3687</v>
      </c>
      <c r="I4238" s="29"/>
      <c r="J4238" s="29"/>
      <c r="K4238" s="29"/>
      <c r="L4238" s="29"/>
      <c r="M4238" s="29"/>
      <c r="N4238" s="29" t="s">
        <v>4052</v>
      </c>
      <c r="O4238" s="29"/>
      <c r="P4238" s="29" t="s">
        <v>11557</v>
      </c>
      <c r="Q4238" t="s">
        <v>2038</v>
      </c>
      <c r="R4238" t="s">
        <v>2633</v>
      </c>
      <c r="S4238">
        <v>37</v>
      </c>
      <c r="T4238" s="43" t="str">
        <f>HYPERLINK("https://ictv.global/ictv/proposals/2021.010B.R.Binomial_names.zip","2021.010B.R.Binomial_names.zip")</f>
        <v>2021.010B.R.Binomial_names.zip</v>
      </c>
      <c r="U4238" s="43" t="str">
        <f>HYPERLINK("https://ictv.global/taxonomy/taxondetails?taxnode_id=202208079","ictv.global=202208079")</f>
        <v>ictv.global=202208079</v>
      </c>
    </row>
    <row r="4239" spans="1:21">
      <c r="A4239">
        <v>4238</v>
      </c>
      <c r="B4239" s="29" t="s">
        <v>3682</v>
      </c>
      <c r="C4239" s="29"/>
      <c r="D4239" s="29" t="s">
        <v>3683</v>
      </c>
      <c r="E4239" s="29"/>
      <c r="F4239" s="29" t="s">
        <v>3686</v>
      </c>
      <c r="G4239" s="29"/>
      <c r="H4239" s="29" t="s">
        <v>3687</v>
      </c>
      <c r="I4239" s="29"/>
      <c r="J4239" s="29"/>
      <c r="K4239" s="29"/>
      <c r="L4239" s="29"/>
      <c r="M4239" s="29"/>
      <c r="N4239" s="29" t="s">
        <v>11558</v>
      </c>
      <c r="O4239" s="29"/>
      <c r="P4239" s="29" t="s">
        <v>11559</v>
      </c>
      <c r="Q4239" t="s">
        <v>2038</v>
      </c>
      <c r="R4239" t="s">
        <v>2632</v>
      </c>
      <c r="S4239">
        <v>38</v>
      </c>
      <c r="T4239" s="43" t="str">
        <f>HYPERLINK("https://ictv.global/ictv/proposals/2022.005B.Andregratiavirinae_Joanripponvirinae_nsf.zip","2022.005B.Andregratiavirinae_Joanripponvirinae_nsf.zip")</f>
        <v>2022.005B.Andregratiavirinae_Joanripponvirinae_nsf.zip</v>
      </c>
      <c r="U4239" s="43" t="str">
        <f>HYPERLINK("https://ictv.global/taxonomy/taxondetails?taxnode_id=202214486","ictv.global=202214486")</f>
        <v>ictv.global=202214486</v>
      </c>
    </row>
    <row r="4240" spans="1:21">
      <c r="A4240">
        <v>4239</v>
      </c>
      <c r="B4240" s="29" t="s">
        <v>3682</v>
      </c>
      <c r="C4240" s="29"/>
      <c r="D4240" s="29" t="s">
        <v>3683</v>
      </c>
      <c r="E4240" s="29"/>
      <c r="F4240" s="29" t="s">
        <v>3686</v>
      </c>
      <c r="G4240" s="29"/>
      <c r="H4240" s="29" t="s">
        <v>3687</v>
      </c>
      <c r="I4240" s="29"/>
      <c r="J4240" s="29"/>
      <c r="K4240" s="29"/>
      <c r="L4240" s="29"/>
      <c r="M4240" s="29"/>
      <c r="N4240" s="29" t="s">
        <v>11560</v>
      </c>
      <c r="O4240" s="29"/>
      <c r="P4240" s="29" t="s">
        <v>11561</v>
      </c>
      <c r="Q4240" t="s">
        <v>2038</v>
      </c>
      <c r="R4240" t="s">
        <v>2632</v>
      </c>
      <c r="S4240">
        <v>38</v>
      </c>
      <c r="T4240" s="43" t="str">
        <f>HYPERLINK("https://ictv.global/ictv/proposals/2022.096B.Zhangqianvirus_ng.zip","2022.096B.Zhangqianvirus_ng.zip")</f>
        <v>2022.096B.Zhangqianvirus_ng.zip</v>
      </c>
      <c r="U4240" s="43" t="str">
        <f>HYPERLINK("https://ictv.global/taxonomy/taxondetails?taxnode_id=202214980","ictv.global=202214980")</f>
        <v>ictv.global=202214980</v>
      </c>
    </row>
    <row r="4241" spans="1:21">
      <c r="A4241">
        <v>4240</v>
      </c>
      <c r="B4241" s="29" t="s">
        <v>3682</v>
      </c>
      <c r="C4241" s="29"/>
      <c r="D4241" s="29" t="s">
        <v>3683</v>
      </c>
      <c r="E4241" s="29"/>
      <c r="F4241" s="29" t="s">
        <v>3686</v>
      </c>
      <c r="G4241" s="29"/>
      <c r="H4241" s="29" t="s">
        <v>3687</v>
      </c>
      <c r="I4241" s="29"/>
      <c r="J4241" s="29"/>
      <c r="K4241" s="29"/>
      <c r="L4241" s="29"/>
      <c r="M4241" s="29"/>
      <c r="N4241" s="29" t="s">
        <v>11562</v>
      </c>
      <c r="O4241" s="29"/>
      <c r="P4241" s="29" t="s">
        <v>11563</v>
      </c>
      <c r="Q4241" t="s">
        <v>2038</v>
      </c>
      <c r="R4241" t="s">
        <v>2632</v>
      </c>
      <c r="S4241">
        <v>37</v>
      </c>
      <c r="T4241" s="43" t="str">
        <f>HYPERLINK("https://ictv.global/ictv/proposals/2021.095B.R.Zitchvirus.zip","2021.095B.R.Zitchvirus.zip")</f>
        <v>2021.095B.R.Zitchvirus.zip</v>
      </c>
      <c r="U4241" s="43" t="str">
        <f>HYPERLINK("https://ictv.global/taxonomy/taxondetails?taxnode_id=202213422","ictv.global=202213422")</f>
        <v>ictv.global=202213422</v>
      </c>
    </row>
    <row r="4242" spans="1:21">
      <c r="A4242">
        <v>4241</v>
      </c>
      <c r="B4242" s="29" t="s">
        <v>3682</v>
      </c>
      <c r="C4242" s="29"/>
      <c r="D4242" s="29" t="s">
        <v>3683</v>
      </c>
      <c r="E4242" s="29"/>
      <c r="F4242" s="29" t="s">
        <v>3686</v>
      </c>
      <c r="G4242" s="29"/>
      <c r="H4242" s="29" t="s">
        <v>3687</v>
      </c>
      <c r="I4242" s="29"/>
      <c r="J4242" s="29"/>
      <c r="K4242" s="29"/>
      <c r="L4242" s="29"/>
      <c r="M4242" s="29"/>
      <c r="N4242" s="29" t="s">
        <v>11562</v>
      </c>
      <c r="O4242" s="29"/>
      <c r="P4242" s="29" t="s">
        <v>11564</v>
      </c>
      <c r="Q4242" t="s">
        <v>2038</v>
      </c>
      <c r="R4242" t="s">
        <v>2632</v>
      </c>
      <c r="S4242">
        <v>37</v>
      </c>
      <c r="T4242" s="43" t="str">
        <f>HYPERLINK("https://ictv.global/ictv/proposals/2021.095B.R.Zitchvirus.zip","2021.095B.R.Zitchvirus.zip")</f>
        <v>2021.095B.R.Zitchvirus.zip</v>
      </c>
      <c r="U4242" s="43" t="str">
        <f>HYPERLINK("https://ictv.global/taxonomy/taxondetails?taxnode_id=202213421","ictv.global=202213421")</f>
        <v>ictv.global=202213421</v>
      </c>
    </row>
    <row r="4243" spans="1:21">
      <c r="A4243">
        <v>4242</v>
      </c>
      <c r="B4243" s="29" t="s">
        <v>3682</v>
      </c>
      <c r="C4243" s="29"/>
      <c r="D4243" s="29" t="s">
        <v>3683</v>
      </c>
      <c r="E4243" s="29"/>
      <c r="F4243" s="29" t="s">
        <v>3686</v>
      </c>
      <c r="G4243" s="29"/>
      <c r="H4243" s="29" t="s">
        <v>3687</v>
      </c>
      <c r="I4243" s="29"/>
      <c r="J4243" s="29"/>
      <c r="K4243" s="29"/>
      <c r="L4243" s="29"/>
      <c r="M4243" s="29"/>
      <c r="N4243" s="29" t="s">
        <v>11562</v>
      </c>
      <c r="O4243" s="29"/>
      <c r="P4243" s="29" t="s">
        <v>11565</v>
      </c>
      <c r="Q4243" t="s">
        <v>2038</v>
      </c>
      <c r="R4243" t="s">
        <v>2632</v>
      </c>
      <c r="S4243">
        <v>37</v>
      </c>
      <c r="T4243" s="43" t="str">
        <f>HYPERLINK("https://ictv.global/ictv/proposals/2021.095B.R.Zitchvirus.zip","2021.095B.R.Zitchvirus.zip")</f>
        <v>2021.095B.R.Zitchvirus.zip</v>
      </c>
      <c r="U4243" s="43" t="str">
        <f>HYPERLINK("https://ictv.global/taxonomy/taxondetails?taxnode_id=202213420","ictv.global=202213420")</f>
        <v>ictv.global=202213420</v>
      </c>
    </row>
    <row r="4244" spans="1:21">
      <c r="A4244">
        <v>4243</v>
      </c>
      <c r="B4244" s="29" t="s">
        <v>3682</v>
      </c>
      <c r="C4244" s="29"/>
      <c r="D4244" s="29" t="s">
        <v>3683</v>
      </c>
      <c r="E4244" s="29"/>
      <c r="F4244" s="29" t="s">
        <v>3686</v>
      </c>
      <c r="G4244" s="29"/>
      <c r="H4244" s="29" t="s">
        <v>3687</v>
      </c>
      <c r="I4244" s="29"/>
      <c r="J4244" s="29"/>
      <c r="K4244" s="29"/>
      <c r="L4244" s="29"/>
      <c r="M4244" s="29"/>
      <c r="N4244" s="29" t="s">
        <v>11566</v>
      </c>
      <c r="O4244" s="29"/>
      <c r="P4244" s="29" t="s">
        <v>11567</v>
      </c>
      <c r="Q4244" t="s">
        <v>2038</v>
      </c>
      <c r="R4244" t="s">
        <v>2632</v>
      </c>
      <c r="S4244">
        <v>38</v>
      </c>
      <c r="T4244" s="43" t="str">
        <f>HYPERLINK("https://ictv.global/ictv/proposals/2022.081B.Caudoviricetes_6ng_streptomyces.zip","2022.081B.Caudoviricetes_6ng_streptomyces.zip")</f>
        <v>2022.081B.Caudoviricetes_6ng_streptomyces.zip</v>
      </c>
      <c r="U4244" s="43" t="str">
        <f>HYPERLINK("https://ictv.global/taxonomy/taxondetails?taxnode_id=202214880","ictv.global=202214880")</f>
        <v>ictv.global=202214880</v>
      </c>
    </row>
    <row r="4245" spans="1:21">
      <c r="A4245">
        <v>4244</v>
      </c>
      <c r="B4245" s="29" t="s">
        <v>3682</v>
      </c>
      <c r="C4245" s="29"/>
      <c r="D4245" s="29" t="s">
        <v>3683</v>
      </c>
      <c r="E4245" s="29"/>
      <c r="F4245" s="29" t="s">
        <v>3686</v>
      </c>
      <c r="G4245" s="29"/>
      <c r="H4245" s="29" t="s">
        <v>3687</v>
      </c>
      <c r="I4245" s="29"/>
      <c r="J4245" s="29"/>
      <c r="K4245" s="29"/>
      <c r="L4245" s="29"/>
      <c r="M4245" s="29"/>
      <c r="N4245" s="29" t="s">
        <v>11566</v>
      </c>
      <c r="O4245" s="29"/>
      <c r="P4245" s="29" t="s">
        <v>11568</v>
      </c>
      <c r="Q4245" t="s">
        <v>2038</v>
      </c>
      <c r="R4245" t="s">
        <v>2632</v>
      </c>
      <c r="S4245">
        <v>38</v>
      </c>
      <c r="T4245" s="43" t="str">
        <f>HYPERLINK("https://ictv.global/ictv/proposals/2022.081B.Caudoviricetes_6ng_streptomyces.zip","2022.081B.Caudoviricetes_6ng_streptomyces.zip")</f>
        <v>2022.081B.Caudoviricetes_6ng_streptomyces.zip</v>
      </c>
      <c r="U4245" s="43" t="str">
        <f>HYPERLINK("https://ictv.global/taxonomy/taxondetails?taxnode_id=202214879","ictv.global=202214879")</f>
        <v>ictv.global=202214879</v>
      </c>
    </row>
    <row r="4246" spans="1:21">
      <c r="A4246">
        <v>4245</v>
      </c>
      <c r="B4246" s="29" t="s">
        <v>4053</v>
      </c>
      <c r="C4246" s="29"/>
      <c r="D4246" s="29" t="s">
        <v>4054</v>
      </c>
      <c r="E4246" s="29"/>
      <c r="F4246" s="29" t="s">
        <v>4055</v>
      </c>
      <c r="G4246" s="29"/>
      <c r="H4246" s="29" t="s">
        <v>4056</v>
      </c>
      <c r="I4246" s="29"/>
      <c r="J4246" s="29" t="s">
        <v>4057</v>
      </c>
      <c r="K4246" s="29"/>
      <c r="L4246" s="29" t="s">
        <v>1246</v>
      </c>
      <c r="M4246" s="29"/>
      <c r="N4246" s="29" t="s">
        <v>4058</v>
      </c>
      <c r="O4246" s="29"/>
      <c r="P4246" s="29" t="s">
        <v>11569</v>
      </c>
      <c r="Q4246" t="s">
        <v>2265</v>
      </c>
      <c r="R4246" t="s">
        <v>2635</v>
      </c>
      <c r="S4246">
        <v>37</v>
      </c>
      <c r="T4246" s="43" t="str">
        <f>HYPERLINK("https://ictv.global/ictv/proposals/2021.010B.R.Binomial_names.zip","2021.010B.R.Binomial_names.zip")</f>
        <v>2021.010B.R.Binomial_names.zip</v>
      </c>
      <c r="U4246" s="43" t="str">
        <f>HYPERLINK("https://ictv.global/taxonomy/taxondetails?taxnode_id=202203715","ictv.global=202203715")</f>
        <v>ictv.global=202203715</v>
      </c>
    </row>
    <row r="4247" spans="1:21">
      <c r="A4247">
        <v>4246</v>
      </c>
      <c r="B4247" s="29" t="s">
        <v>4053</v>
      </c>
      <c r="C4247" s="29"/>
      <c r="D4247" s="29" t="s">
        <v>4054</v>
      </c>
      <c r="E4247" s="29"/>
      <c r="F4247" s="29" t="s">
        <v>4055</v>
      </c>
      <c r="G4247" s="29"/>
      <c r="H4247" s="29" t="s">
        <v>4056</v>
      </c>
      <c r="I4247" s="29"/>
      <c r="J4247" s="29" t="s">
        <v>4057</v>
      </c>
      <c r="K4247" s="29"/>
      <c r="L4247" s="29" t="s">
        <v>1246</v>
      </c>
      <c r="M4247" s="29"/>
      <c r="N4247" s="29" t="s">
        <v>4058</v>
      </c>
      <c r="O4247" s="29"/>
      <c r="P4247" s="29" t="s">
        <v>11570</v>
      </c>
      <c r="Q4247" t="s">
        <v>2265</v>
      </c>
      <c r="R4247" t="s">
        <v>2632</v>
      </c>
      <c r="S4247">
        <v>37</v>
      </c>
      <c r="T4247" s="43" t="str">
        <f>HYPERLINK("https://ictv.global/ictv/proposals/2021.085B.R.Tubulavirales.zip","2021.085B.R.Tubulavirales.zip")</f>
        <v>2021.085B.R.Tubulavirales.zip</v>
      </c>
      <c r="U4247" s="43" t="str">
        <f>HYPERLINK("https://ictv.global/taxonomy/taxondetails?taxnode_id=202212621","ictv.global=202212621")</f>
        <v>ictv.global=202212621</v>
      </c>
    </row>
    <row r="4248" spans="1:21">
      <c r="A4248">
        <v>4247</v>
      </c>
      <c r="B4248" s="29" t="s">
        <v>4053</v>
      </c>
      <c r="C4248" s="29"/>
      <c r="D4248" s="29" t="s">
        <v>4054</v>
      </c>
      <c r="E4248" s="29"/>
      <c r="F4248" s="29" t="s">
        <v>4055</v>
      </c>
      <c r="G4248" s="29"/>
      <c r="H4248" s="29" t="s">
        <v>4056</v>
      </c>
      <c r="I4248" s="29"/>
      <c r="J4248" s="29" t="s">
        <v>4057</v>
      </c>
      <c r="K4248" s="29"/>
      <c r="L4248" s="29" t="s">
        <v>1246</v>
      </c>
      <c r="M4248" s="29"/>
      <c r="N4248" s="29" t="s">
        <v>4058</v>
      </c>
      <c r="O4248" s="29"/>
      <c r="P4248" s="29" t="s">
        <v>11571</v>
      </c>
      <c r="Q4248" t="s">
        <v>2265</v>
      </c>
      <c r="R4248" t="s">
        <v>2632</v>
      </c>
      <c r="S4248">
        <v>37</v>
      </c>
      <c r="T4248" s="43" t="str">
        <f>HYPERLINK("https://ictv.global/ictv/proposals/2021.085B.R.Tubulavirales.zip","2021.085B.R.Tubulavirales.zip")</f>
        <v>2021.085B.R.Tubulavirales.zip</v>
      </c>
      <c r="U4248" s="43" t="str">
        <f>HYPERLINK("https://ictv.global/taxonomy/taxondetails?taxnode_id=202212622","ictv.global=202212622")</f>
        <v>ictv.global=202212622</v>
      </c>
    </row>
    <row r="4249" spans="1:21">
      <c r="A4249">
        <v>4248</v>
      </c>
      <c r="B4249" s="29" t="s">
        <v>4053</v>
      </c>
      <c r="C4249" s="29"/>
      <c r="D4249" s="29" t="s">
        <v>4054</v>
      </c>
      <c r="E4249" s="29"/>
      <c r="F4249" s="29" t="s">
        <v>4055</v>
      </c>
      <c r="G4249" s="29"/>
      <c r="H4249" s="29" t="s">
        <v>4056</v>
      </c>
      <c r="I4249" s="29"/>
      <c r="J4249" s="29" t="s">
        <v>4057</v>
      </c>
      <c r="K4249" s="29"/>
      <c r="L4249" s="29" t="s">
        <v>1246</v>
      </c>
      <c r="M4249" s="29"/>
      <c r="N4249" s="29" t="s">
        <v>4060</v>
      </c>
      <c r="O4249" s="29"/>
      <c r="P4249" s="29" t="s">
        <v>11572</v>
      </c>
      <c r="Q4249" t="s">
        <v>2265</v>
      </c>
      <c r="R4249" t="s">
        <v>2635</v>
      </c>
      <c r="S4249">
        <v>37</v>
      </c>
      <c r="T4249" s="43" t="str">
        <f>HYPERLINK("https://ictv.global/ictv/proposals/2021.010B.R.Binomial_names.zip","2021.010B.R.Binomial_names.zip")</f>
        <v>2021.010B.R.Binomial_names.zip</v>
      </c>
      <c r="U4249" s="43" t="str">
        <f>HYPERLINK("https://ictv.global/taxonomy/taxondetails?taxnode_id=202203716","ictv.global=202203716")</f>
        <v>ictv.global=202203716</v>
      </c>
    </row>
    <row r="4250" spans="1:21">
      <c r="A4250">
        <v>4249</v>
      </c>
      <c r="B4250" s="29" t="s">
        <v>4053</v>
      </c>
      <c r="C4250" s="29"/>
      <c r="D4250" s="29" t="s">
        <v>4054</v>
      </c>
      <c r="E4250" s="29"/>
      <c r="F4250" s="29" t="s">
        <v>4055</v>
      </c>
      <c r="G4250" s="29"/>
      <c r="H4250" s="29" t="s">
        <v>4056</v>
      </c>
      <c r="I4250" s="29"/>
      <c r="J4250" s="29" t="s">
        <v>4057</v>
      </c>
      <c r="K4250" s="29"/>
      <c r="L4250" s="29" t="s">
        <v>1246</v>
      </c>
      <c r="M4250" s="29"/>
      <c r="N4250" s="29" t="s">
        <v>4061</v>
      </c>
      <c r="O4250" s="29"/>
      <c r="P4250" s="29" t="s">
        <v>11573</v>
      </c>
      <c r="Q4250" t="s">
        <v>2265</v>
      </c>
      <c r="R4250" t="s">
        <v>2635</v>
      </c>
      <c r="S4250">
        <v>37</v>
      </c>
      <c r="T4250" s="43" t="str">
        <f>HYPERLINK("https://ictv.global/ictv/proposals/2021.010B.R.Binomial_names.zip","2021.010B.R.Binomial_names.zip")</f>
        <v>2021.010B.R.Binomial_names.zip</v>
      </c>
      <c r="U4250" s="43" t="str">
        <f>HYPERLINK("https://ictv.global/taxonomy/taxondetails?taxnode_id=202203720","ictv.global=202203720")</f>
        <v>ictv.global=202203720</v>
      </c>
    </row>
    <row r="4251" spans="1:21">
      <c r="A4251">
        <v>4250</v>
      </c>
      <c r="B4251" s="29" t="s">
        <v>4053</v>
      </c>
      <c r="C4251" s="29"/>
      <c r="D4251" s="29" t="s">
        <v>4054</v>
      </c>
      <c r="E4251" s="29"/>
      <c r="F4251" s="29" t="s">
        <v>4055</v>
      </c>
      <c r="G4251" s="29"/>
      <c r="H4251" s="29" t="s">
        <v>4056</v>
      </c>
      <c r="I4251" s="29"/>
      <c r="J4251" s="29" t="s">
        <v>4057</v>
      </c>
      <c r="K4251" s="29"/>
      <c r="L4251" s="29" t="s">
        <v>1246</v>
      </c>
      <c r="M4251" s="29"/>
      <c r="N4251" s="29" t="s">
        <v>2397</v>
      </c>
      <c r="O4251" s="29"/>
      <c r="P4251" s="29" t="s">
        <v>11574</v>
      </c>
      <c r="Q4251" t="s">
        <v>2041</v>
      </c>
      <c r="R4251" t="s">
        <v>2635</v>
      </c>
      <c r="S4251">
        <v>37</v>
      </c>
      <c r="T4251" s="43" t="str">
        <f>HYPERLINK("https://ictv.global/ictv/proposals/2021.010B.R.Binomial_names.zip","2021.010B.R.Binomial_names.zip")</f>
        <v>2021.010B.R.Binomial_names.zip</v>
      </c>
      <c r="U4251" s="43" t="str">
        <f>HYPERLINK("https://ictv.global/taxonomy/taxondetails?taxnode_id=202203687","ictv.global=202203687")</f>
        <v>ictv.global=202203687</v>
      </c>
    </row>
    <row r="4252" spans="1:21">
      <c r="A4252">
        <v>4251</v>
      </c>
      <c r="B4252" s="29" t="s">
        <v>4053</v>
      </c>
      <c r="C4252" s="29"/>
      <c r="D4252" s="29" t="s">
        <v>4054</v>
      </c>
      <c r="E4252" s="29"/>
      <c r="F4252" s="29" t="s">
        <v>4055</v>
      </c>
      <c r="G4252" s="29"/>
      <c r="H4252" s="29" t="s">
        <v>4056</v>
      </c>
      <c r="I4252" s="29"/>
      <c r="J4252" s="29" t="s">
        <v>4057</v>
      </c>
      <c r="K4252" s="29"/>
      <c r="L4252" s="29" t="s">
        <v>1246</v>
      </c>
      <c r="M4252" s="29"/>
      <c r="N4252" s="29" t="s">
        <v>2397</v>
      </c>
      <c r="O4252" s="29"/>
      <c r="P4252" s="29" t="s">
        <v>11575</v>
      </c>
      <c r="Q4252" t="s">
        <v>2041</v>
      </c>
      <c r="R4252" t="s">
        <v>2635</v>
      </c>
      <c r="S4252">
        <v>37</v>
      </c>
      <c r="T4252" s="43" t="str">
        <f>HYPERLINK("https://ictv.global/ictv/proposals/2021.010B.R.Binomial_names.zip","2021.010B.R.Binomial_names.zip")</f>
        <v>2021.010B.R.Binomial_names.zip</v>
      </c>
      <c r="U4252" s="43" t="str">
        <f>HYPERLINK("https://ictv.global/taxonomy/taxondetails?taxnode_id=202203688","ictv.global=202203688")</f>
        <v>ictv.global=202203688</v>
      </c>
    </row>
    <row r="4253" spans="1:21">
      <c r="A4253">
        <v>4252</v>
      </c>
      <c r="B4253" s="29" t="s">
        <v>4053</v>
      </c>
      <c r="C4253" s="29"/>
      <c r="D4253" s="29" t="s">
        <v>4054</v>
      </c>
      <c r="E4253" s="29"/>
      <c r="F4253" s="29" t="s">
        <v>4055</v>
      </c>
      <c r="G4253" s="29"/>
      <c r="H4253" s="29" t="s">
        <v>4056</v>
      </c>
      <c r="I4253" s="29"/>
      <c r="J4253" s="29" t="s">
        <v>4057</v>
      </c>
      <c r="K4253" s="29"/>
      <c r="L4253" s="29" t="s">
        <v>1246</v>
      </c>
      <c r="M4253" s="29"/>
      <c r="N4253" s="29" t="s">
        <v>2397</v>
      </c>
      <c r="O4253" s="29"/>
      <c r="P4253" s="29" t="s">
        <v>11576</v>
      </c>
      <c r="Q4253" t="s">
        <v>2265</v>
      </c>
      <c r="R4253" t="s">
        <v>2632</v>
      </c>
      <c r="S4253">
        <v>37</v>
      </c>
      <c r="T4253" s="43" t="str">
        <f>HYPERLINK("https://ictv.global/ictv/proposals/2021.085B.R.Tubulavirales.zip","2021.085B.R.Tubulavirales.zip")</f>
        <v>2021.085B.R.Tubulavirales.zip</v>
      </c>
      <c r="U4253" s="43" t="str">
        <f>HYPERLINK("https://ictv.global/taxonomy/taxondetails?taxnode_id=202212614","ictv.global=202212614")</f>
        <v>ictv.global=202212614</v>
      </c>
    </row>
    <row r="4254" spans="1:21">
      <c r="A4254">
        <v>4253</v>
      </c>
      <c r="B4254" s="29" t="s">
        <v>4053</v>
      </c>
      <c r="C4254" s="29"/>
      <c r="D4254" s="29" t="s">
        <v>4054</v>
      </c>
      <c r="E4254" s="29"/>
      <c r="F4254" s="29" t="s">
        <v>4055</v>
      </c>
      <c r="G4254" s="29"/>
      <c r="H4254" s="29" t="s">
        <v>4056</v>
      </c>
      <c r="I4254" s="29"/>
      <c r="J4254" s="29" t="s">
        <v>4057</v>
      </c>
      <c r="K4254" s="29"/>
      <c r="L4254" s="29" t="s">
        <v>1246</v>
      </c>
      <c r="M4254" s="29"/>
      <c r="N4254" s="29" t="s">
        <v>2537</v>
      </c>
      <c r="O4254" s="29"/>
      <c r="P4254" s="29" t="s">
        <v>11577</v>
      </c>
      <c r="Q4254" t="s">
        <v>2265</v>
      </c>
      <c r="R4254" t="s">
        <v>2635</v>
      </c>
      <c r="S4254">
        <v>37</v>
      </c>
      <c r="T4254" s="43" t="str">
        <f t="shared" ref="T4254:T4261" si="203">HYPERLINK("https://ictv.global/ictv/proposals/2021.010B.R.Binomial_names.zip","2021.010B.R.Binomial_names.zip")</f>
        <v>2021.010B.R.Binomial_names.zip</v>
      </c>
      <c r="U4254" s="43" t="str">
        <f>HYPERLINK("https://ictv.global/taxonomy/taxondetails?taxnode_id=202207856","ictv.global=202207856")</f>
        <v>ictv.global=202207856</v>
      </c>
    </row>
    <row r="4255" spans="1:21">
      <c r="A4255">
        <v>4254</v>
      </c>
      <c r="B4255" s="29" t="s">
        <v>4053</v>
      </c>
      <c r="C4255" s="29"/>
      <c r="D4255" s="29" t="s">
        <v>4054</v>
      </c>
      <c r="E4255" s="29"/>
      <c r="F4255" s="29" t="s">
        <v>4055</v>
      </c>
      <c r="G4255" s="29"/>
      <c r="H4255" s="29" t="s">
        <v>4056</v>
      </c>
      <c r="I4255" s="29"/>
      <c r="J4255" s="29" t="s">
        <v>4057</v>
      </c>
      <c r="K4255" s="29"/>
      <c r="L4255" s="29" t="s">
        <v>1246</v>
      </c>
      <c r="M4255" s="29"/>
      <c r="N4255" s="29" t="s">
        <v>2537</v>
      </c>
      <c r="O4255" s="29"/>
      <c r="P4255" s="29" t="s">
        <v>11578</v>
      </c>
      <c r="Q4255" t="s">
        <v>2041</v>
      </c>
      <c r="R4255" t="s">
        <v>2635</v>
      </c>
      <c r="S4255">
        <v>37</v>
      </c>
      <c r="T4255" s="43" t="str">
        <f t="shared" si="203"/>
        <v>2021.010B.R.Binomial_names.zip</v>
      </c>
      <c r="U4255" s="43" t="str">
        <f>HYPERLINK("https://ictv.global/taxonomy/taxondetails?taxnode_id=202203690","ictv.global=202203690")</f>
        <v>ictv.global=202203690</v>
      </c>
    </row>
    <row r="4256" spans="1:21">
      <c r="A4256">
        <v>4255</v>
      </c>
      <c r="B4256" s="29" t="s">
        <v>4053</v>
      </c>
      <c r="C4256" s="29"/>
      <c r="D4256" s="29" t="s">
        <v>4054</v>
      </c>
      <c r="E4256" s="29"/>
      <c r="F4256" s="29" t="s">
        <v>4055</v>
      </c>
      <c r="G4256" s="29"/>
      <c r="H4256" s="29" t="s">
        <v>4056</v>
      </c>
      <c r="I4256" s="29"/>
      <c r="J4256" s="29" t="s">
        <v>4057</v>
      </c>
      <c r="K4256" s="29"/>
      <c r="L4256" s="29" t="s">
        <v>1246</v>
      </c>
      <c r="M4256" s="29"/>
      <c r="N4256" s="29" t="s">
        <v>2537</v>
      </c>
      <c r="O4256" s="29"/>
      <c r="P4256" s="29" t="s">
        <v>11579</v>
      </c>
      <c r="Q4256" t="s">
        <v>2041</v>
      </c>
      <c r="R4256" t="s">
        <v>2635</v>
      </c>
      <c r="S4256">
        <v>37</v>
      </c>
      <c r="T4256" s="43" t="str">
        <f t="shared" si="203"/>
        <v>2021.010B.R.Binomial_names.zip</v>
      </c>
      <c r="U4256" s="43" t="str">
        <f>HYPERLINK("https://ictv.global/taxonomy/taxondetails?taxnode_id=202203691","ictv.global=202203691")</f>
        <v>ictv.global=202203691</v>
      </c>
    </row>
    <row r="4257" spans="1:21">
      <c r="A4257">
        <v>4256</v>
      </c>
      <c r="B4257" s="29" t="s">
        <v>4053</v>
      </c>
      <c r="C4257" s="29"/>
      <c r="D4257" s="29" t="s">
        <v>4054</v>
      </c>
      <c r="E4257" s="29"/>
      <c r="F4257" s="29" t="s">
        <v>4055</v>
      </c>
      <c r="G4257" s="29"/>
      <c r="H4257" s="29" t="s">
        <v>4056</v>
      </c>
      <c r="I4257" s="29"/>
      <c r="J4257" s="29" t="s">
        <v>4057</v>
      </c>
      <c r="K4257" s="29"/>
      <c r="L4257" s="29" t="s">
        <v>1246</v>
      </c>
      <c r="M4257" s="29"/>
      <c r="N4257" s="29" t="s">
        <v>2537</v>
      </c>
      <c r="O4257" s="29"/>
      <c r="P4257" s="29" t="s">
        <v>11580</v>
      </c>
      <c r="Q4257" t="s">
        <v>2041</v>
      </c>
      <c r="R4257" t="s">
        <v>2635</v>
      </c>
      <c r="S4257">
        <v>37</v>
      </c>
      <c r="T4257" s="43" t="str">
        <f t="shared" si="203"/>
        <v>2021.010B.R.Binomial_names.zip</v>
      </c>
      <c r="U4257" s="43" t="str">
        <f>HYPERLINK("https://ictv.global/taxonomy/taxondetails?taxnode_id=202203692","ictv.global=202203692")</f>
        <v>ictv.global=202203692</v>
      </c>
    </row>
    <row r="4258" spans="1:21">
      <c r="A4258">
        <v>4257</v>
      </c>
      <c r="B4258" s="29" t="s">
        <v>4053</v>
      </c>
      <c r="C4258" s="29"/>
      <c r="D4258" s="29" t="s">
        <v>4054</v>
      </c>
      <c r="E4258" s="29"/>
      <c r="F4258" s="29" t="s">
        <v>4055</v>
      </c>
      <c r="G4258" s="29"/>
      <c r="H4258" s="29" t="s">
        <v>4056</v>
      </c>
      <c r="I4258" s="29"/>
      <c r="J4258" s="29" t="s">
        <v>4057</v>
      </c>
      <c r="K4258" s="29"/>
      <c r="L4258" s="29" t="s">
        <v>1246</v>
      </c>
      <c r="M4258" s="29"/>
      <c r="N4258" s="29" t="s">
        <v>4062</v>
      </c>
      <c r="O4258" s="29"/>
      <c r="P4258" s="29" t="s">
        <v>11581</v>
      </c>
      <c r="Q4258" t="s">
        <v>2265</v>
      </c>
      <c r="R4258" t="s">
        <v>2635</v>
      </c>
      <c r="S4258">
        <v>37</v>
      </c>
      <c r="T4258" s="43" t="str">
        <f t="shared" si="203"/>
        <v>2021.010B.R.Binomial_names.zip</v>
      </c>
      <c r="U4258" s="43" t="str">
        <f>HYPERLINK("https://ictv.global/taxonomy/taxondetails?taxnode_id=202203704","ictv.global=202203704")</f>
        <v>ictv.global=202203704</v>
      </c>
    </row>
    <row r="4259" spans="1:21">
      <c r="A4259">
        <v>4258</v>
      </c>
      <c r="B4259" s="29" t="s">
        <v>4053</v>
      </c>
      <c r="C4259" s="29"/>
      <c r="D4259" s="29" t="s">
        <v>4054</v>
      </c>
      <c r="E4259" s="29"/>
      <c r="F4259" s="29" t="s">
        <v>4055</v>
      </c>
      <c r="G4259" s="29"/>
      <c r="H4259" s="29" t="s">
        <v>4056</v>
      </c>
      <c r="I4259" s="29"/>
      <c r="J4259" s="29" t="s">
        <v>4057</v>
      </c>
      <c r="K4259" s="29"/>
      <c r="L4259" s="29" t="s">
        <v>1246</v>
      </c>
      <c r="M4259" s="29"/>
      <c r="N4259" s="29" t="s">
        <v>1247</v>
      </c>
      <c r="O4259" s="29"/>
      <c r="P4259" s="29" t="s">
        <v>11582</v>
      </c>
      <c r="Q4259" t="s">
        <v>2041</v>
      </c>
      <c r="R4259" t="s">
        <v>2635</v>
      </c>
      <c r="S4259">
        <v>37</v>
      </c>
      <c r="T4259" s="43" t="str">
        <f t="shared" si="203"/>
        <v>2021.010B.R.Binomial_names.zip</v>
      </c>
      <c r="U4259" s="43" t="str">
        <f>HYPERLINK("https://ictv.global/taxonomy/taxondetails?taxnode_id=202203694","ictv.global=202203694")</f>
        <v>ictv.global=202203694</v>
      </c>
    </row>
    <row r="4260" spans="1:21">
      <c r="A4260">
        <v>4259</v>
      </c>
      <c r="B4260" s="29" t="s">
        <v>4053</v>
      </c>
      <c r="C4260" s="29"/>
      <c r="D4260" s="29" t="s">
        <v>4054</v>
      </c>
      <c r="E4260" s="29"/>
      <c r="F4260" s="29" t="s">
        <v>4055</v>
      </c>
      <c r="G4260" s="29"/>
      <c r="H4260" s="29" t="s">
        <v>4056</v>
      </c>
      <c r="I4260" s="29"/>
      <c r="J4260" s="29" t="s">
        <v>4057</v>
      </c>
      <c r="K4260" s="29"/>
      <c r="L4260" s="29" t="s">
        <v>1246</v>
      </c>
      <c r="M4260" s="29"/>
      <c r="N4260" s="29" t="s">
        <v>2398</v>
      </c>
      <c r="O4260" s="29"/>
      <c r="P4260" s="29" t="s">
        <v>11583</v>
      </c>
      <c r="Q4260" t="s">
        <v>2041</v>
      </c>
      <c r="R4260" t="s">
        <v>2635</v>
      </c>
      <c r="S4260">
        <v>37</v>
      </c>
      <c r="T4260" s="43" t="str">
        <f t="shared" si="203"/>
        <v>2021.010B.R.Binomial_names.zip</v>
      </c>
      <c r="U4260" s="43" t="str">
        <f>HYPERLINK("https://ictv.global/taxonomy/taxondetails?taxnode_id=202203696","ictv.global=202203696")</f>
        <v>ictv.global=202203696</v>
      </c>
    </row>
    <row r="4261" spans="1:21">
      <c r="A4261">
        <v>4260</v>
      </c>
      <c r="B4261" s="29" t="s">
        <v>4053</v>
      </c>
      <c r="C4261" s="29"/>
      <c r="D4261" s="29" t="s">
        <v>4054</v>
      </c>
      <c r="E4261" s="29"/>
      <c r="F4261" s="29" t="s">
        <v>4055</v>
      </c>
      <c r="G4261" s="29"/>
      <c r="H4261" s="29" t="s">
        <v>4056</v>
      </c>
      <c r="I4261" s="29"/>
      <c r="J4261" s="29" t="s">
        <v>4057</v>
      </c>
      <c r="K4261" s="29"/>
      <c r="L4261" s="29" t="s">
        <v>1246</v>
      </c>
      <c r="M4261" s="29"/>
      <c r="N4261" s="29" t="s">
        <v>2398</v>
      </c>
      <c r="O4261" s="29"/>
      <c r="P4261" s="29" t="s">
        <v>11584</v>
      </c>
      <c r="Q4261" t="s">
        <v>2041</v>
      </c>
      <c r="R4261" t="s">
        <v>2635</v>
      </c>
      <c r="S4261">
        <v>37</v>
      </c>
      <c r="T4261" s="43" t="str">
        <f t="shared" si="203"/>
        <v>2021.010B.R.Binomial_names.zip</v>
      </c>
      <c r="U4261" s="43" t="str">
        <f>HYPERLINK("https://ictv.global/taxonomy/taxondetails?taxnode_id=202203697","ictv.global=202203697")</f>
        <v>ictv.global=202203697</v>
      </c>
    </row>
    <row r="4262" spans="1:21">
      <c r="A4262">
        <v>4261</v>
      </c>
      <c r="B4262" s="29" t="s">
        <v>4053</v>
      </c>
      <c r="C4262" s="29"/>
      <c r="D4262" s="29" t="s">
        <v>4054</v>
      </c>
      <c r="E4262" s="29"/>
      <c r="F4262" s="29" t="s">
        <v>4055</v>
      </c>
      <c r="G4262" s="29"/>
      <c r="H4262" s="29" t="s">
        <v>4056</v>
      </c>
      <c r="I4262" s="29"/>
      <c r="J4262" s="29" t="s">
        <v>4057</v>
      </c>
      <c r="K4262" s="29"/>
      <c r="L4262" s="29" t="s">
        <v>1246</v>
      </c>
      <c r="M4262" s="29"/>
      <c r="N4262" s="29" t="s">
        <v>2398</v>
      </c>
      <c r="O4262" s="29"/>
      <c r="P4262" s="29" t="s">
        <v>11585</v>
      </c>
      <c r="Q4262" t="s">
        <v>2265</v>
      </c>
      <c r="R4262" t="s">
        <v>2632</v>
      </c>
      <c r="S4262">
        <v>37</v>
      </c>
      <c r="T4262" s="43" t="str">
        <f>HYPERLINK("https://ictv.global/ictv/proposals/2021.085B.R.Tubulavirales.zip","2021.085B.R.Tubulavirales.zip")</f>
        <v>2021.085B.R.Tubulavirales.zip</v>
      </c>
      <c r="U4262" s="43" t="str">
        <f>HYPERLINK("https://ictv.global/taxonomy/taxondetails?taxnode_id=202212619","ictv.global=202212619")</f>
        <v>ictv.global=202212619</v>
      </c>
    </row>
    <row r="4263" spans="1:21">
      <c r="A4263">
        <v>4262</v>
      </c>
      <c r="B4263" s="29" t="s">
        <v>4053</v>
      </c>
      <c r="C4263" s="29"/>
      <c r="D4263" s="29" t="s">
        <v>4054</v>
      </c>
      <c r="E4263" s="29"/>
      <c r="F4263" s="29" t="s">
        <v>4055</v>
      </c>
      <c r="G4263" s="29"/>
      <c r="H4263" s="29" t="s">
        <v>4056</v>
      </c>
      <c r="I4263" s="29"/>
      <c r="J4263" s="29" t="s">
        <v>4057</v>
      </c>
      <c r="K4263" s="29"/>
      <c r="L4263" s="29" t="s">
        <v>1246</v>
      </c>
      <c r="M4263" s="29"/>
      <c r="N4263" s="29" t="s">
        <v>11586</v>
      </c>
      <c r="O4263" s="29"/>
      <c r="P4263" s="29" t="s">
        <v>11587</v>
      </c>
      <c r="Q4263" t="s">
        <v>2265</v>
      </c>
      <c r="R4263" t="s">
        <v>2632</v>
      </c>
      <c r="S4263">
        <v>37</v>
      </c>
      <c r="T4263" s="43" t="str">
        <f>HYPERLINK("https://ictv.global/ictv/proposals/2021.085B.R.Tubulavirales.zip","2021.085B.R.Tubulavirales.zip")</f>
        <v>2021.085B.R.Tubulavirales.zip</v>
      </c>
      <c r="U4263" s="43" t="str">
        <f>HYPERLINK("https://ictv.global/taxonomy/taxondetails?taxnode_id=202212629","ictv.global=202212629")</f>
        <v>ictv.global=202212629</v>
      </c>
    </row>
    <row r="4264" spans="1:21">
      <c r="A4264">
        <v>4263</v>
      </c>
      <c r="B4264" s="29" t="s">
        <v>4053</v>
      </c>
      <c r="C4264" s="29"/>
      <c r="D4264" s="29" t="s">
        <v>4054</v>
      </c>
      <c r="E4264" s="29"/>
      <c r="F4264" s="29" t="s">
        <v>4055</v>
      </c>
      <c r="G4264" s="29"/>
      <c r="H4264" s="29" t="s">
        <v>4056</v>
      </c>
      <c r="I4264" s="29"/>
      <c r="J4264" s="29" t="s">
        <v>4057</v>
      </c>
      <c r="K4264" s="29"/>
      <c r="L4264" s="29" t="s">
        <v>1246</v>
      </c>
      <c r="M4264" s="29"/>
      <c r="N4264" s="29" t="s">
        <v>11586</v>
      </c>
      <c r="O4264" s="29"/>
      <c r="P4264" s="29" t="s">
        <v>11588</v>
      </c>
      <c r="Q4264" t="s">
        <v>2265</v>
      </c>
      <c r="R4264" t="s">
        <v>2632</v>
      </c>
      <c r="S4264">
        <v>37</v>
      </c>
      <c r="T4264" s="43" t="str">
        <f>HYPERLINK("https://ictv.global/ictv/proposals/2021.085B.R.Tubulavirales.zip","2021.085B.R.Tubulavirales.zip")</f>
        <v>2021.085B.R.Tubulavirales.zip</v>
      </c>
      <c r="U4264" s="43" t="str">
        <f>HYPERLINK("https://ictv.global/taxonomy/taxondetails?taxnode_id=202212628","ictv.global=202212628")</f>
        <v>ictv.global=202212628</v>
      </c>
    </row>
    <row r="4265" spans="1:21">
      <c r="A4265">
        <v>4264</v>
      </c>
      <c r="B4265" s="29" t="s">
        <v>4053</v>
      </c>
      <c r="C4265" s="29"/>
      <c r="D4265" s="29" t="s">
        <v>4054</v>
      </c>
      <c r="E4265" s="29"/>
      <c r="F4265" s="29" t="s">
        <v>4055</v>
      </c>
      <c r="G4265" s="29"/>
      <c r="H4265" s="29" t="s">
        <v>4056</v>
      </c>
      <c r="I4265" s="29"/>
      <c r="J4265" s="29" t="s">
        <v>4057</v>
      </c>
      <c r="K4265" s="29"/>
      <c r="L4265" s="29" t="s">
        <v>1246</v>
      </c>
      <c r="M4265" s="29"/>
      <c r="N4265" s="29" t="s">
        <v>11586</v>
      </c>
      <c r="O4265" s="29"/>
      <c r="P4265" s="29" t="s">
        <v>11589</v>
      </c>
      <c r="Q4265" t="s">
        <v>2265</v>
      </c>
      <c r="R4265" t="s">
        <v>2632</v>
      </c>
      <c r="S4265">
        <v>37</v>
      </c>
      <c r="T4265" s="43" t="str">
        <f>HYPERLINK("https://ictv.global/ictv/proposals/2021.085B.R.Tubulavirales.zip","2021.085B.R.Tubulavirales.zip")</f>
        <v>2021.085B.R.Tubulavirales.zip</v>
      </c>
      <c r="U4265" s="43" t="str">
        <f>HYPERLINK("https://ictv.global/taxonomy/taxondetails?taxnode_id=202212626","ictv.global=202212626")</f>
        <v>ictv.global=202212626</v>
      </c>
    </row>
    <row r="4266" spans="1:21">
      <c r="A4266">
        <v>4265</v>
      </c>
      <c r="B4266" s="29" t="s">
        <v>4053</v>
      </c>
      <c r="C4266" s="29"/>
      <c r="D4266" s="29" t="s">
        <v>4054</v>
      </c>
      <c r="E4266" s="29"/>
      <c r="F4266" s="29" t="s">
        <v>4055</v>
      </c>
      <c r="G4266" s="29"/>
      <c r="H4266" s="29" t="s">
        <v>4056</v>
      </c>
      <c r="I4266" s="29"/>
      <c r="J4266" s="29" t="s">
        <v>4057</v>
      </c>
      <c r="K4266" s="29"/>
      <c r="L4266" s="29" t="s">
        <v>1246</v>
      </c>
      <c r="M4266" s="29"/>
      <c r="N4266" s="29" t="s">
        <v>11586</v>
      </c>
      <c r="O4266" s="29"/>
      <c r="P4266" s="29" t="s">
        <v>11590</v>
      </c>
      <c r="Q4266" t="s">
        <v>2265</v>
      </c>
      <c r="R4266" t="s">
        <v>2632</v>
      </c>
      <c r="S4266">
        <v>37</v>
      </c>
      <c r="T4266" s="43" t="str">
        <f>HYPERLINK("https://ictv.global/ictv/proposals/2021.085B.R.Tubulavirales.zip","2021.085B.R.Tubulavirales.zip")</f>
        <v>2021.085B.R.Tubulavirales.zip</v>
      </c>
      <c r="U4266" s="43" t="str">
        <f>HYPERLINK("https://ictv.global/taxonomy/taxondetails?taxnode_id=202212627","ictv.global=202212627")</f>
        <v>ictv.global=202212627</v>
      </c>
    </row>
    <row r="4267" spans="1:21">
      <c r="A4267">
        <v>4266</v>
      </c>
      <c r="B4267" s="29" t="s">
        <v>4053</v>
      </c>
      <c r="C4267" s="29"/>
      <c r="D4267" s="29" t="s">
        <v>4054</v>
      </c>
      <c r="E4267" s="29"/>
      <c r="F4267" s="29" t="s">
        <v>4055</v>
      </c>
      <c r="G4267" s="29"/>
      <c r="H4267" s="29" t="s">
        <v>4056</v>
      </c>
      <c r="I4267" s="29"/>
      <c r="J4267" s="29" t="s">
        <v>4057</v>
      </c>
      <c r="K4267" s="29"/>
      <c r="L4267" s="29" t="s">
        <v>1246</v>
      </c>
      <c r="M4267" s="29"/>
      <c r="N4267" s="29" t="s">
        <v>4063</v>
      </c>
      <c r="O4267" s="29"/>
      <c r="P4267" s="29" t="s">
        <v>11591</v>
      </c>
      <c r="Q4267" t="s">
        <v>2265</v>
      </c>
      <c r="R4267" t="s">
        <v>2635</v>
      </c>
      <c r="S4267">
        <v>37</v>
      </c>
      <c r="T4267" s="43" t="str">
        <f>HYPERLINK("https://ictv.global/ictv/proposals/2021.010B.R.Binomial_names.zip","2021.010B.R.Binomial_names.zip")</f>
        <v>2021.010B.R.Binomial_names.zip</v>
      </c>
      <c r="U4267" s="43" t="str">
        <f>HYPERLINK("https://ictv.global/taxonomy/taxondetails?taxnode_id=202203708","ictv.global=202203708")</f>
        <v>ictv.global=202203708</v>
      </c>
    </row>
    <row r="4268" spans="1:21">
      <c r="A4268">
        <v>4267</v>
      </c>
      <c r="B4268" s="29" t="s">
        <v>4053</v>
      </c>
      <c r="C4268" s="29"/>
      <c r="D4268" s="29" t="s">
        <v>4054</v>
      </c>
      <c r="E4268" s="29"/>
      <c r="F4268" s="29" t="s">
        <v>4055</v>
      </c>
      <c r="G4268" s="29"/>
      <c r="H4268" s="29" t="s">
        <v>4056</v>
      </c>
      <c r="I4268" s="29"/>
      <c r="J4268" s="29" t="s">
        <v>4057</v>
      </c>
      <c r="K4268" s="29"/>
      <c r="L4268" s="29" t="s">
        <v>1246</v>
      </c>
      <c r="M4268" s="29"/>
      <c r="N4268" s="29" t="s">
        <v>11592</v>
      </c>
      <c r="O4268" s="29"/>
      <c r="P4268" s="29" t="s">
        <v>11593</v>
      </c>
      <c r="Q4268" t="s">
        <v>2265</v>
      </c>
      <c r="R4268" t="s">
        <v>2632</v>
      </c>
      <c r="S4268">
        <v>37</v>
      </c>
      <c r="T4268" s="43" t="str">
        <f>HYPERLINK("https://ictv.global/ictv/proposals/2021.085B.R.Tubulavirales.zip","2021.085B.R.Tubulavirales.zip")</f>
        <v>2021.085B.R.Tubulavirales.zip</v>
      </c>
      <c r="U4268" s="43" t="str">
        <f>HYPERLINK("https://ictv.global/taxonomy/taxondetails?taxnode_id=202212631","ictv.global=202212631")</f>
        <v>ictv.global=202212631</v>
      </c>
    </row>
    <row r="4269" spans="1:21">
      <c r="A4269">
        <v>4268</v>
      </c>
      <c r="B4269" s="29" t="s">
        <v>4053</v>
      </c>
      <c r="C4269" s="29"/>
      <c r="D4269" s="29" t="s">
        <v>4054</v>
      </c>
      <c r="E4269" s="29"/>
      <c r="F4269" s="29" t="s">
        <v>4055</v>
      </c>
      <c r="G4269" s="29"/>
      <c r="H4269" s="29" t="s">
        <v>4056</v>
      </c>
      <c r="I4269" s="29"/>
      <c r="J4269" s="29" t="s">
        <v>4057</v>
      </c>
      <c r="K4269" s="29"/>
      <c r="L4269" s="29" t="s">
        <v>1246</v>
      </c>
      <c r="M4269" s="29"/>
      <c r="N4269" s="29" t="s">
        <v>4064</v>
      </c>
      <c r="O4269" s="29"/>
      <c r="P4269" s="29" t="s">
        <v>11594</v>
      </c>
      <c r="Q4269" t="s">
        <v>2265</v>
      </c>
      <c r="R4269" t="s">
        <v>2635</v>
      </c>
      <c r="S4269">
        <v>37</v>
      </c>
      <c r="T4269" s="43" t="str">
        <f>HYPERLINK("https://ictv.global/ictv/proposals/2021.010B.R.Binomial_names.zip","2021.010B.R.Binomial_names.zip")</f>
        <v>2021.010B.R.Binomial_names.zip</v>
      </c>
      <c r="U4269" s="43" t="str">
        <f>HYPERLINK("https://ictv.global/taxonomy/taxondetails?taxnode_id=202203706","ictv.global=202203706")</f>
        <v>ictv.global=202203706</v>
      </c>
    </row>
    <row r="4270" spans="1:21">
      <c r="A4270">
        <v>4269</v>
      </c>
      <c r="B4270" s="29" t="s">
        <v>4053</v>
      </c>
      <c r="C4270" s="29"/>
      <c r="D4270" s="29" t="s">
        <v>4054</v>
      </c>
      <c r="E4270" s="29"/>
      <c r="F4270" s="29" t="s">
        <v>4055</v>
      </c>
      <c r="G4270" s="29"/>
      <c r="H4270" s="29" t="s">
        <v>4056</v>
      </c>
      <c r="I4270" s="29"/>
      <c r="J4270" s="29" t="s">
        <v>4057</v>
      </c>
      <c r="K4270" s="29"/>
      <c r="L4270" s="29" t="s">
        <v>1246</v>
      </c>
      <c r="M4270" s="29"/>
      <c r="N4270" s="29" t="s">
        <v>4064</v>
      </c>
      <c r="O4270" s="29"/>
      <c r="P4270" s="29" t="s">
        <v>11595</v>
      </c>
      <c r="Q4270" t="s">
        <v>2265</v>
      </c>
      <c r="R4270" t="s">
        <v>2632</v>
      </c>
      <c r="S4270">
        <v>37</v>
      </c>
      <c r="T4270" s="43" t="str">
        <f>HYPERLINK("https://ictv.global/ictv/proposals/2021.085B.R.Tubulavirales.zip","2021.085B.R.Tubulavirales.zip")</f>
        <v>2021.085B.R.Tubulavirales.zip</v>
      </c>
      <c r="U4270" s="43" t="str">
        <f>HYPERLINK("https://ictv.global/taxonomy/taxondetails?taxnode_id=202212620","ictv.global=202212620")</f>
        <v>ictv.global=202212620</v>
      </c>
    </row>
    <row r="4271" spans="1:21">
      <c r="A4271">
        <v>4270</v>
      </c>
      <c r="B4271" s="29" t="s">
        <v>4053</v>
      </c>
      <c r="C4271" s="29"/>
      <c r="D4271" s="29" t="s">
        <v>4054</v>
      </c>
      <c r="E4271" s="29"/>
      <c r="F4271" s="29" t="s">
        <v>4055</v>
      </c>
      <c r="G4271" s="29"/>
      <c r="H4271" s="29" t="s">
        <v>4056</v>
      </c>
      <c r="I4271" s="29"/>
      <c r="J4271" s="29" t="s">
        <v>4057</v>
      </c>
      <c r="K4271" s="29"/>
      <c r="L4271" s="29" t="s">
        <v>1246</v>
      </c>
      <c r="M4271" s="29"/>
      <c r="N4271" s="29" t="s">
        <v>4065</v>
      </c>
      <c r="O4271" s="29"/>
      <c r="P4271" s="29" t="s">
        <v>11596</v>
      </c>
      <c r="Q4271" t="s">
        <v>2265</v>
      </c>
      <c r="R4271" t="s">
        <v>2635</v>
      </c>
      <c r="S4271">
        <v>37</v>
      </c>
      <c r="T4271" s="43" t="str">
        <f>HYPERLINK("https://ictv.global/ictv/proposals/2021.010B.R.Binomial_names.zip","2021.010B.R.Binomial_names.zip")</f>
        <v>2021.010B.R.Binomial_names.zip</v>
      </c>
      <c r="U4271" s="43" t="str">
        <f>HYPERLINK("https://ictv.global/taxonomy/taxondetails?taxnode_id=202203711","ictv.global=202203711")</f>
        <v>ictv.global=202203711</v>
      </c>
    </row>
    <row r="4272" spans="1:21">
      <c r="A4272">
        <v>4271</v>
      </c>
      <c r="B4272" s="29" t="s">
        <v>4053</v>
      </c>
      <c r="C4272" s="29"/>
      <c r="D4272" s="29" t="s">
        <v>4054</v>
      </c>
      <c r="E4272" s="29"/>
      <c r="F4272" s="29" t="s">
        <v>4055</v>
      </c>
      <c r="G4272" s="29"/>
      <c r="H4272" s="29" t="s">
        <v>4056</v>
      </c>
      <c r="I4272" s="29"/>
      <c r="J4272" s="29" t="s">
        <v>4057</v>
      </c>
      <c r="K4272" s="29"/>
      <c r="L4272" s="29" t="s">
        <v>1246</v>
      </c>
      <c r="M4272" s="29"/>
      <c r="N4272" s="29" t="s">
        <v>4066</v>
      </c>
      <c r="O4272" s="29"/>
      <c r="P4272" s="29" t="s">
        <v>11597</v>
      </c>
      <c r="Q4272" t="s">
        <v>2265</v>
      </c>
      <c r="R4272" t="s">
        <v>2632</v>
      </c>
      <c r="S4272">
        <v>37</v>
      </c>
      <c r="T4272" s="43" t="str">
        <f>HYPERLINK("https://ictv.global/ictv/proposals/2021.085B.R.Tubulavirales.zip","2021.085B.R.Tubulavirales.zip")</f>
        <v>2021.085B.R.Tubulavirales.zip</v>
      </c>
      <c r="U4272" s="43" t="str">
        <f>HYPERLINK("https://ictv.global/taxonomy/taxondetails?taxnode_id=202212618","ictv.global=202212618")</f>
        <v>ictv.global=202212618</v>
      </c>
    </row>
    <row r="4273" spans="1:21">
      <c r="A4273">
        <v>4272</v>
      </c>
      <c r="B4273" s="29" t="s">
        <v>4053</v>
      </c>
      <c r="C4273" s="29"/>
      <c r="D4273" s="29" t="s">
        <v>4054</v>
      </c>
      <c r="E4273" s="29"/>
      <c r="F4273" s="29" t="s">
        <v>4055</v>
      </c>
      <c r="G4273" s="29"/>
      <c r="H4273" s="29" t="s">
        <v>4056</v>
      </c>
      <c r="I4273" s="29"/>
      <c r="J4273" s="29" t="s">
        <v>4057</v>
      </c>
      <c r="K4273" s="29"/>
      <c r="L4273" s="29" t="s">
        <v>1246</v>
      </c>
      <c r="M4273" s="29"/>
      <c r="N4273" s="29" t="s">
        <v>4066</v>
      </c>
      <c r="O4273" s="29"/>
      <c r="P4273" s="29" t="s">
        <v>11598</v>
      </c>
      <c r="Q4273" t="s">
        <v>2265</v>
      </c>
      <c r="R4273" t="s">
        <v>2635</v>
      </c>
      <c r="S4273">
        <v>37</v>
      </c>
      <c r="T4273" s="43" t="str">
        <f>HYPERLINK("https://ictv.global/ictv/proposals/2021.010B.R.Binomial_names.zip","2021.010B.R.Binomial_names.zip")</f>
        <v>2021.010B.R.Binomial_names.zip</v>
      </c>
      <c r="U4273" s="43" t="str">
        <f>HYPERLINK("https://ictv.global/taxonomy/taxondetails?taxnode_id=202203709","ictv.global=202203709")</f>
        <v>ictv.global=202203709</v>
      </c>
    </row>
    <row r="4274" spans="1:21">
      <c r="A4274">
        <v>4273</v>
      </c>
      <c r="B4274" s="29" t="s">
        <v>4053</v>
      </c>
      <c r="C4274" s="29"/>
      <c r="D4274" s="29" t="s">
        <v>4054</v>
      </c>
      <c r="E4274" s="29"/>
      <c r="F4274" s="29" t="s">
        <v>4055</v>
      </c>
      <c r="G4274" s="29"/>
      <c r="H4274" s="29" t="s">
        <v>4056</v>
      </c>
      <c r="I4274" s="29"/>
      <c r="J4274" s="29" t="s">
        <v>4057</v>
      </c>
      <c r="K4274" s="29"/>
      <c r="L4274" s="29" t="s">
        <v>1246</v>
      </c>
      <c r="M4274" s="29"/>
      <c r="N4274" s="29" t="s">
        <v>2399</v>
      </c>
      <c r="O4274" s="29"/>
      <c r="P4274" s="29" t="s">
        <v>11599</v>
      </c>
      <c r="Q4274" t="s">
        <v>2041</v>
      </c>
      <c r="R4274" t="s">
        <v>2635</v>
      </c>
      <c r="S4274">
        <v>37</v>
      </c>
      <c r="T4274" s="43" t="str">
        <f>HYPERLINK("https://ictv.global/ictv/proposals/2021.010B.R.Binomial_names.zip","2021.010B.R.Binomial_names.zip")</f>
        <v>2021.010B.R.Binomial_names.zip</v>
      </c>
      <c r="U4274" s="43" t="str">
        <f>HYPERLINK("https://ictv.global/taxonomy/taxondetails?taxnode_id=202203701","ictv.global=202203701")</f>
        <v>ictv.global=202203701</v>
      </c>
    </row>
    <row r="4275" spans="1:21">
      <c r="A4275">
        <v>4274</v>
      </c>
      <c r="B4275" s="29" t="s">
        <v>4053</v>
      </c>
      <c r="C4275" s="29"/>
      <c r="D4275" s="29" t="s">
        <v>4054</v>
      </c>
      <c r="E4275" s="29"/>
      <c r="F4275" s="29" t="s">
        <v>4055</v>
      </c>
      <c r="G4275" s="29"/>
      <c r="H4275" s="29" t="s">
        <v>4056</v>
      </c>
      <c r="I4275" s="29"/>
      <c r="J4275" s="29" t="s">
        <v>4057</v>
      </c>
      <c r="K4275" s="29"/>
      <c r="L4275" s="29" t="s">
        <v>1246</v>
      </c>
      <c r="M4275" s="29"/>
      <c r="N4275" s="29" t="s">
        <v>2399</v>
      </c>
      <c r="O4275" s="29"/>
      <c r="P4275" s="29" t="s">
        <v>11600</v>
      </c>
      <c r="Q4275" t="s">
        <v>2041</v>
      </c>
      <c r="R4275" t="s">
        <v>2635</v>
      </c>
      <c r="S4275">
        <v>37</v>
      </c>
      <c r="T4275" s="43" t="str">
        <f>HYPERLINK("https://ictv.global/ictv/proposals/2021.010B.R.Binomial_names.zip","2021.010B.R.Binomial_names.zip")</f>
        <v>2021.010B.R.Binomial_names.zip</v>
      </c>
      <c r="U4275" s="43" t="str">
        <f>HYPERLINK("https://ictv.global/taxonomy/taxondetails?taxnode_id=202203702","ictv.global=202203702")</f>
        <v>ictv.global=202203702</v>
      </c>
    </row>
    <row r="4276" spans="1:21">
      <c r="A4276">
        <v>4275</v>
      </c>
      <c r="B4276" s="29" t="s">
        <v>4053</v>
      </c>
      <c r="C4276" s="29"/>
      <c r="D4276" s="29" t="s">
        <v>4054</v>
      </c>
      <c r="E4276" s="29"/>
      <c r="F4276" s="29" t="s">
        <v>4055</v>
      </c>
      <c r="G4276" s="29"/>
      <c r="H4276" s="29" t="s">
        <v>4056</v>
      </c>
      <c r="I4276" s="29"/>
      <c r="J4276" s="29" t="s">
        <v>4057</v>
      </c>
      <c r="K4276" s="29"/>
      <c r="L4276" s="29" t="s">
        <v>1246</v>
      </c>
      <c r="M4276" s="29"/>
      <c r="N4276" s="29" t="s">
        <v>4067</v>
      </c>
      <c r="O4276" s="29"/>
      <c r="P4276" s="29" t="s">
        <v>11601</v>
      </c>
      <c r="Q4276" t="s">
        <v>2265</v>
      </c>
      <c r="R4276" t="s">
        <v>2635</v>
      </c>
      <c r="S4276">
        <v>37</v>
      </c>
      <c r="T4276" s="43" t="str">
        <f>HYPERLINK("https://ictv.global/ictv/proposals/2021.010B.R.Binomial_names.zip","2021.010B.R.Binomial_names.zip")</f>
        <v>2021.010B.R.Binomial_names.zip</v>
      </c>
      <c r="U4276" s="43" t="str">
        <f>HYPERLINK("https://ictv.global/taxonomy/taxondetails?taxnode_id=202203712","ictv.global=202203712")</f>
        <v>ictv.global=202203712</v>
      </c>
    </row>
    <row r="4277" spans="1:21">
      <c r="A4277">
        <v>4276</v>
      </c>
      <c r="B4277" s="29" t="s">
        <v>4053</v>
      </c>
      <c r="C4277" s="29"/>
      <c r="D4277" s="29" t="s">
        <v>4054</v>
      </c>
      <c r="E4277" s="29"/>
      <c r="F4277" s="29" t="s">
        <v>4055</v>
      </c>
      <c r="G4277" s="29"/>
      <c r="H4277" s="29" t="s">
        <v>4056</v>
      </c>
      <c r="I4277" s="29"/>
      <c r="J4277" s="29" t="s">
        <v>4057</v>
      </c>
      <c r="K4277" s="29"/>
      <c r="L4277" s="29" t="s">
        <v>1246</v>
      </c>
      <c r="M4277" s="29"/>
      <c r="N4277" s="29" t="s">
        <v>11602</v>
      </c>
      <c r="O4277" s="29"/>
      <c r="P4277" s="29" t="s">
        <v>11603</v>
      </c>
      <c r="Q4277" t="s">
        <v>2265</v>
      </c>
      <c r="R4277" t="s">
        <v>2632</v>
      </c>
      <c r="S4277">
        <v>37</v>
      </c>
      <c r="T4277" s="43" t="str">
        <f>HYPERLINK("https://ictv.global/ictv/proposals/2021.085B.R.Tubulavirales.zip","2021.085B.R.Tubulavirales.zip")</f>
        <v>2021.085B.R.Tubulavirales.zip</v>
      </c>
      <c r="U4277" s="43" t="str">
        <f>HYPERLINK("https://ictv.global/taxonomy/taxondetails?taxnode_id=202212633","ictv.global=202212633")</f>
        <v>ictv.global=202212633</v>
      </c>
    </row>
    <row r="4278" spans="1:21">
      <c r="A4278">
        <v>4277</v>
      </c>
      <c r="B4278" s="29" t="s">
        <v>4053</v>
      </c>
      <c r="C4278" s="29"/>
      <c r="D4278" s="29" t="s">
        <v>4054</v>
      </c>
      <c r="E4278" s="29"/>
      <c r="F4278" s="29" t="s">
        <v>4055</v>
      </c>
      <c r="G4278" s="29"/>
      <c r="H4278" s="29" t="s">
        <v>4056</v>
      </c>
      <c r="I4278" s="29"/>
      <c r="J4278" s="29" t="s">
        <v>4057</v>
      </c>
      <c r="K4278" s="29"/>
      <c r="L4278" s="29" t="s">
        <v>1246</v>
      </c>
      <c r="M4278" s="29"/>
      <c r="N4278" s="29" t="s">
        <v>4068</v>
      </c>
      <c r="O4278" s="29"/>
      <c r="P4278" s="29" t="s">
        <v>11604</v>
      </c>
      <c r="Q4278" t="s">
        <v>2265</v>
      </c>
      <c r="R4278" t="s">
        <v>2635</v>
      </c>
      <c r="S4278">
        <v>37</v>
      </c>
      <c r="T4278" s="43" t="str">
        <f>HYPERLINK("https://ictv.global/ictv/proposals/2021.010B.R.Binomial_names.zip","2021.010B.R.Binomial_names.zip")</f>
        <v>2021.010B.R.Binomial_names.zip</v>
      </c>
      <c r="U4278" s="43" t="str">
        <f>HYPERLINK("https://ictv.global/taxonomy/taxondetails?taxnode_id=202203714","ictv.global=202203714")</f>
        <v>ictv.global=202203714</v>
      </c>
    </row>
    <row r="4279" spans="1:21">
      <c r="A4279">
        <v>4278</v>
      </c>
      <c r="B4279" s="29" t="s">
        <v>4053</v>
      </c>
      <c r="C4279" s="29"/>
      <c r="D4279" s="29" t="s">
        <v>4054</v>
      </c>
      <c r="E4279" s="29"/>
      <c r="F4279" s="29" t="s">
        <v>4055</v>
      </c>
      <c r="G4279" s="29"/>
      <c r="H4279" s="29" t="s">
        <v>4056</v>
      </c>
      <c r="I4279" s="29"/>
      <c r="J4279" s="29" t="s">
        <v>4057</v>
      </c>
      <c r="K4279" s="29"/>
      <c r="L4279" s="29" t="s">
        <v>1246</v>
      </c>
      <c r="M4279" s="29"/>
      <c r="N4279" s="29" t="s">
        <v>4069</v>
      </c>
      <c r="O4279" s="29"/>
      <c r="P4279" s="29" t="s">
        <v>11605</v>
      </c>
      <c r="Q4279" t="s">
        <v>2265</v>
      </c>
      <c r="R4279" t="s">
        <v>2635</v>
      </c>
      <c r="S4279">
        <v>37</v>
      </c>
      <c r="T4279" s="43" t="str">
        <f>HYPERLINK("https://ictv.global/ictv/proposals/2021.010B.R.Binomial_names.zip","2021.010B.R.Binomial_names.zip")</f>
        <v>2021.010B.R.Binomial_names.zip</v>
      </c>
      <c r="U4279" s="43" t="str">
        <f>HYPERLINK("https://ictv.global/taxonomy/taxondetails?taxnode_id=202203713","ictv.global=202203713")</f>
        <v>ictv.global=202203713</v>
      </c>
    </row>
    <row r="4280" spans="1:21">
      <c r="A4280">
        <v>4279</v>
      </c>
      <c r="B4280" s="29" t="s">
        <v>4053</v>
      </c>
      <c r="C4280" s="29"/>
      <c r="D4280" s="29" t="s">
        <v>4054</v>
      </c>
      <c r="E4280" s="29"/>
      <c r="F4280" s="29" t="s">
        <v>4055</v>
      </c>
      <c r="G4280" s="29"/>
      <c r="H4280" s="29" t="s">
        <v>4056</v>
      </c>
      <c r="I4280" s="29"/>
      <c r="J4280" s="29" t="s">
        <v>4057</v>
      </c>
      <c r="K4280" s="29"/>
      <c r="L4280" s="29" t="s">
        <v>1246</v>
      </c>
      <c r="M4280" s="29"/>
      <c r="N4280" s="29" t="s">
        <v>4070</v>
      </c>
      <c r="O4280" s="29"/>
      <c r="P4280" s="29" t="s">
        <v>11606</v>
      </c>
      <c r="Q4280" t="s">
        <v>2265</v>
      </c>
      <c r="R4280" t="s">
        <v>2635</v>
      </c>
      <c r="S4280">
        <v>37</v>
      </c>
      <c r="T4280" s="43" t="str">
        <f>HYPERLINK("https://ictv.global/ictv/proposals/2021.010B.R.Binomial_names.zip","2021.010B.R.Binomial_names.zip")</f>
        <v>2021.010B.R.Binomial_names.zip</v>
      </c>
      <c r="U4280" s="43" t="str">
        <f>HYPERLINK("https://ictv.global/taxonomy/taxondetails?taxnode_id=202203707","ictv.global=202203707")</f>
        <v>ictv.global=202203707</v>
      </c>
    </row>
    <row r="4281" spans="1:21">
      <c r="A4281">
        <v>4280</v>
      </c>
      <c r="B4281" s="29" t="s">
        <v>4053</v>
      </c>
      <c r="C4281" s="29"/>
      <c r="D4281" s="29" t="s">
        <v>4054</v>
      </c>
      <c r="E4281" s="29"/>
      <c r="F4281" s="29" t="s">
        <v>4055</v>
      </c>
      <c r="G4281" s="29"/>
      <c r="H4281" s="29" t="s">
        <v>4056</v>
      </c>
      <c r="I4281" s="29"/>
      <c r="J4281" s="29" t="s">
        <v>4057</v>
      </c>
      <c r="K4281" s="29"/>
      <c r="L4281" s="29" t="s">
        <v>1246</v>
      </c>
      <c r="M4281" s="29"/>
      <c r="N4281" s="29" t="s">
        <v>11607</v>
      </c>
      <c r="O4281" s="29"/>
      <c r="P4281" s="29" t="s">
        <v>11608</v>
      </c>
      <c r="Q4281" t="s">
        <v>2265</v>
      </c>
      <c r="R4281" t="s">
        <v>2632</v>
      </c>
      <c r="S4281">
        <v>37</v>
      </c>
      <c r="T4281" s="43" t="str">
        <f>HYPERLINK("https://ictv.global/ictv/proposals/2021.085B.R.Tubulavirales.zip","2021.085B.R.Tubulavirales.zip")</f>
        <v>2021.085B.R.Tubulavirales.zip</v>
      </c>
      <c r="U4281" s="43" t="str">
        <f>HYPERLINK("https://ictv.global/taxonomy/taxondetails?taxnode_id=202212624","ictv.global=202212624")</f>
        <v>ictv.global=202212624</v>
      </c>
    </row>
    <row r="4282" spans="1:21">
      <c r="A4282">
        <v>4281</v>
      </c>
      <c r="B4282" s="29" t="s">
        <v>4053</v>
      </c>
      <c r="C4282" s="29"/>
      <c r="D4282" s="29" t="s">
        <v>4054</v>
      </c>
      <c r="E4282" s="29"/>
      <c r="F4282" s="29" t="s">
        <v>4055</v>
      </c>
      <c r="G4282" s="29"/>
      <c r="H4282" s="29" t="s">
        <v>4056</v>
      </c>
      <c r="I4282" s="29"/>
      <c r="J4282" s="29" t="s">
        <v>4057</v>
      </c>
      <c r="K4282" s="29"/>
      <c r="L4282" s="29" t="s">
        <v>1246</v>
      </c>
      <c r="M4282" s="29"/>
      <c r="N4282" s="29" t="s">
        <v>4072</v>
      </c>
      <c r="O4282" s="29"/>
      <c r="P4282" s="29" t="s">
        <v>11609</v>
      </c>
      <c r="Q4282" t="s">
        <v>2265</v>
      </c>
      <c r="R4282" t="s">
        <v>2632</v>
      </c>
      <c r="S4282">
        <v>37</v>
      </c>
      <c r="T4282" s="43" t="str">
        <f>HYPERLINK("https://ictv.global/ictv/proposals/2021.085B.R.Tubulavirales.zip","2021.085B.R.Tubulavirales.zip")</f>
        <v>2021.085B.R.Tubulavirales.zip</v>
      </c>
      <c r="U4282" s="43" t="str">
        <f>HYPERLINK("https://ictv.global/taxonomy/taxondetails?taxnode_id=202212616","ictv.global=202212616")</f>
        <v>ictv.global=202212616</v>
      </c>
    </row>
    <row r="4283" spans="1:21">
      <c r="A4283">
        <v>4282</v>
      </c>
      <c r="B4283" s="29" t="s">
        <v>4053</v>
      </c>
      <c r="C4283" s="29"/>
      <c r="D4283" s="29" t="s">
        <v>4054</v>
      </c>
      <c r="E4283" s="29"/>
      <c r="F4283" s="29" t="s">
        <v>4055</v>
      </c>
      <c r="G4283" s="29"/>
      <c r="H4283" s="29" t="s">
        <v>4056</v>
      </c>
      <c r="I4283" s="29"/>
      <c r="J4283" s="29" t="s">
        <v>4057</v>
      </c>
      <c r="K4283" s="29"/>
      <c r="L4283" s="29" t="s">
        <v>1246</v>
      </c>
      <c r="M4283" s="29"/>
      <c r="N4283" s="29" t="s">
        <v>4072</v>
      </c>
      <c r="O4283" s="29"/>
      <c r="P4283" s="29" t="s">
        <v>11610</v>
      </c>
      <c r="Q4283" t="s">
        <v>2265</v>
      </c>
      <c r="R4283" t="s">
        <v>2635</v>
      </c>
      <c r="S4283">
        <v>37</v>
      </c>
      <c r="T4283" s="43" t="str">
        <f>HYPERLINK("https://ictv.global/ictv/proposals/2021.010B.R.Binomial_names.zip","2021.010B.R.Binomial_names.zip")</f>
        <v>2021.010B.R.Binomial_names.zip</v>
      </c>
      <c r="U4283" s="43" t="str">
        <f>HYPERLINK("https://ictv.global/taxonomy/taxondetails?taxnode_id=202203719","ictv.global=202203719")</f>
        <v>ictv.global=202203719</v>
      </c>
    </row>
    <row r="4284" spans="1:21">
      <c r="A4284">
        <v>4283</v>
      </c>
      <c r="B4284" s="29" t="s">
        <v>4053</v>
      </c>
      <c r="C4284" s="29"/>
      <c r="D4284" s="29" t="s">
        <v>4054</v>
      </c>
      <c r="E4284" s="29"/>
      <c r="F4284" s="29" t="s">
        <v>4055</v>
      </c>
      <c r="G4284" s="29"/>
      <c r="H4284" s="29" t="s">
        <v>4056</v>
      </c>
      <c r="I4284" s="29"/>
      <c r="J4284" s="29" t="s">
        <v>4057</v>
      </c>
      <c r="K4284" s="29"/>
      <c r="L4284" s="29" t="s">
        <v>1246</v>
      </c>
      <c r="M4284" s="29"/>
      <c r="N4284" s="29" t="s">
        <v>4073</v>
      </c>
      <c r="O4284" s="29"/>
      <c r="P4284" s="29" t="s">
        <v>11611</v>
      </c>
      <c r="Q4284" t="s">
        <v>2265</v>
      </c>
      <c r="R4284" t="s">
        <v>2635</v>
      </c>
      <c r="S4284">
        <v>37</v>
      </c>
      <c r="T4284" s="43" t="str">
        <f>HYPERLINK("https://ictv.global/ictv/proposals/2021.010B.R.Binomial_names.zip","2021.010B.R.Binomial_names.zip")</f>
        <v>2021.010B.R.Binomial_names.zip</v>
      </c>
      <c r="U4284" s="43" t="str">
        <f>HYPERLINK("https://ictv.global/taxonomy/taxondetails?taxnode_id=202203717","ictv.global=202203717")</f>
        <v>ictv.global=202203717</v>
      </c>
    </row>
    <row r="4285" spans="1:21">
      <c r="A4285">
        <v>4284</v>
      </c>
      <c r="B4285" s="29" t="s">
        <v>4053</v>
      </c>
      <c r="C4285" s="29"/>
      <c r="D4285" s="29" t="s">
        <v>4054</v>
      </c>
      <c r="E4285" s="29"/>
      <c r="F4285" s="29" t="s">
        <v>4055</v>
      </c>
      <c r="G4285" s="29"/>
      <c r="H4285" s="29" t="s">
        <v>4056</v>
      </c>
      <c r="I4285" s="29"/>
      <c r="J4285" s="29" t="s">
        <v>4057</v>
      </c>
      <c r="K4285" s="29"/>
      <c r="L4285" s="29" t="s">
        <v>1246</v>
      </c>
      <c r="M4285" s="29"/>
      <c r="N4285" s="29" t="s">
        <v>4074</v>
      </c>
      <c r="O4285" s="29"/>
      <c r="P4285" s="29" t="s">
        <v>11612</v>
      </c>
      <c r="Q4285" t="s">
        <v>2265</v>
      </c>
      <c r="R4285" t="s">
        <v>2632</v>
      </c>
      <c r="S4285">
        <v>37</v>
      </c>
      <c r="T4285" s="43" t="str">
        <f>HYPERLINK("https://ictv.global/ictv/proposals/2021.085B.R.Tubulavirales.zip","2021.085B.R.Tubulavirales.zip")</f>
        <v>2021.085B.R.Tubulavirales.zip</v>
      </c>
      <c r="U4285" s="43" t="str">
        <f>HYPERLINK("https://ictv.global/taxonomy/taxondetails?taxnode_id=202212615","ictv.global=202212615")</f>
        <v>ictv.global=202212615</v>
      </c>
    </row>
    <row r="4286" spans="1:21">
      <c r="A4286">
        <v>4285</v>
      </c>
      <c r="B4286" s="29" t="s">
        <v>4053</v>
      </c>
      <c r="C4286" s="29"/>
      <c r="D4286" s="29" t="s">
        <v>4054</v>
      </c>
      <c r="E4286" s="29"/>
      <c r="F4286" s="29" t="s">
        <v>4055</v>
      </c>
      <c r="G4286" s="29"/>
      <c r="H4286" s="29" t="s">
        <v>4056</v>
      </c>
      <c r="I4286" s="29"/>
      <c r="J4286" s="29" t="s">
        <v>4057</v>
      </c>
      <c r="K4286" s="29"/>
      <c r="L4286" s="29" t="s">
        <v>1246</v>
      </c>
      <c r="M4286" s="29"/>
      <c r="N4286" s="29" t="s">
        <v>4074</v>
      </c>
      <c r="O4286" s="29"/>
      <c r="P4286" s="29" t="s">
        <v>11613</v>
      </c>
      <c r="Q4286" t="s">
        <v>2265</v>
      </c>
      <c r="R4286" t="s">
        <v>2635</v>
      </c>
      <c r="S4286">
        <v>37</v>
      </c>
      <c r="T4286" s="43" t="str">
        <f>HYPERLINK("https://ictv.global/ictv/proposals/2021.010B.R.Binomial_names.zip","2021.010B.R.Binomial_names.zip")</f>
        <v>2021.010B.R.Binomial_names.zip</v>
      </c>
      <c r="U4286" s="43" t="str">
        <f>HYPERLINK("https://ictv.global/taxonomy/taxondetails?taxnode_id=202203718","ictv.global=202203718")</f>
        <v>ictv.global=202203718</v>
      </c>
    </row>
    <row r="4287" spans="1:21">
      <c r="A4287">
        <v>4286</v>
      </c>
      <c r="B4287" s="29" t="s">
        <v>4053</v>
      </c>
      <c r="C4287" s="29"/>
      <c r="D4287" s="29" t="s">
        <v>4054</v>
      </c>
      <c r="E4287" s="29"/>
      <c r="F4287" s="29" t="s">
        <v>4055</v>
      </c>
      <c r="G4287" s="29"/>
      <c r="H4287" s="29" t="s">
        <v>4056</v>
      </c>
      <c r="I4287" s="29"/>
      <c r="J4287" s="29" t="s">
        <v>4057</v>
      </c>
      <c r="K4287" s="29"/>
      <c r="L4287" s="29" t="s">
        <v>1246</v>
      </c>
      <c r="M4287" s="29"/>
      <c r="N4287" s="29" t="s">
        <v>4075</v>
      </c>
      <c r="O4287" s="29"/>
      <c r="P4287" s="29" t="s">
        <v>11614</v>
      </c>
      <c r="Q4287" t="s">
        <v>2265</v>
      </c>
      <c r="R4287" t="s">
        <v>2632</v>
      </c>
      <c r="S4287">
        <v>37</v>
      </c>
      <c r="T4287" s="43" t="str">
        <f>HYPERLINK("https://ictv.global/ictv/proposals/2021.085B.R.Tubulavirales.zip","2021.085B.R.Tubulavirales.zip")</f>
        <v>2021.085B.R.Tubulavirales.zip</v>
      </c>
      <c r="U4287" s="43" t="str">
        <f>HYPERLINK("https://ictv.global/taxonomy/taxondetails?taxnode_id=202212617","ictv.global=202212617")</f>
        <v>ictv.global=202212617</v>
      </c>
    </row>
    <row r="4288" spans="1:21">
      <c r="A4288">
        <v>4287</v>
      </c>
      <c r="B4288" s="29" t="s">
        <v>4053</v>
      </c>
      <c r="C4288" s="29"/>
      <c r="D4288" s="29" t="s">
        <v>4054</v>
      </c>
      <c r="E4288" s="29"/>
      <c r="F4288" s="29" t="s">
        <v>4055</v>
      </c>
      <c r="G4288" s="29"/>
      <c r="H4288" s="29" t="s">
        <v>4056</v>
      </c>
      <c r="I4288" s="29"/>
      <c r="J4288" s="29" t="s">
        <v>4057</v>
      </c>
      <c r="K4288" s="29"/>
      <c r="L4288" s="29" t="s">
        <v>1246</v>
      </c>
      <c r="M4288" s="29"/>
      <c r="N4288" s="29" t="s">
        <v>4075</v>
      </c>
      <c r="O4288" s="29"/>
      <c r="P4288" s="29" t="s">
        <v>11615</v>
      </c>
      <c r="Q4288" t="s">
        <v>2265</v>
      </c>
      <c r="R4288" t="s">
        <v>2635</v>
      </c>
      <c r="S4288">
        <v>37</v>
      </c>
      <c r="T4288" s="43" t="str">
        <f t="shared" ref="T4288:T4295" si="204">HYPERLINK("https://ictv.global/ictv/proposals/2021.010B.R.Binomial_names.zip","2021.010B.R.Binomial_names.zip")</f>
        <v>2021.010B.R.Binomial_names.zip</v>
      </c>
      <c r="U4288" s="43" t="str">
        <f>HYPERLINK("https://ictv.global/taxonomy/taxondetails?taxnode_id=202206876","ictv.global=202206876")</f>
        <v>ictv.global=202206876</v>
      </c>
    </row>
    <row r="4289" spans="1:21">
      <c r="A4289">
        <v>4288</v>
      </c>
      <c r="B4289" s="29" t="s">
        <v>4053</v>
      </c>
      <c r="C4289" s="29"/>
      <c r="D4289" s="29" t="s">
        <v>4054</v>
      </c>
      <c r="E4289" s="29"/>
      <c r="F4289" s="29" t="s">
        <v>4055</v>
      </c>
      <c r="G4289" s="29"/>
      <c r="H4289" s="29" t="s">
        <v>4056</v>
      </c>
      <c r="I4289" s="29"/>
      <c r="J4289" s="29" t="s">
        <v>4057</v>
      </c>
      <c r="K4289" s="29"/>
      <c r="L4289" s="29" t="s">
        <v>4804</v>
      </c>
      <c r="M4289" s="29"/>
      <c r="N4289" s="29" t="s">
        <v>4059</v>
      </c>
      <c r="O4289" s="29"/>
      <c r="P4289" s="29" t="s">
        <v>11616</v>
      </c>
      <c r="Q4289" t="s">
        <v>2265</v>
      </c>
      <c r="R4289" t="s">
        <v>2635</v>
      </c>
      <c r="S4289">
        <v>37</v>
      </c>
      <c r="T4289" s="43" t="str">
        <f t="shared" si="204"/>
        <v>2021.010B.R.Binomial_names.zip</v>
      </c>
      <c r="U4289" s="43" t="str">
        <f>HYPERLINK("https://ictv.global/taxonomy/taxondetails?taxnode_id=202203705","ictv.global=202203705")</f>
        <v>ictv.global=202203705</v>
      </c>
    </row>
    <row r="4290" spans="1:21">
      <c r="A4290">
        <v>4289</v>
      </c>
      <c r="B4290" s="29" t="s">
        <v>4053</v>
      </c>
      <c r="C4290" s="29"/>
      <c r="D4290" s="29" t="s">
        <v>4054</v>
      </c>
      <c r="E4290" s="29"/>
      <c r="F4290" s="29" t="s">
        <v>4055</v>
      </c>
      <c r="G4290" s="29"/>
      <c r="H4290" s="29" t="s">
        <v>4056</v>
      </c>
      <c r="I4290" s="29"/>
      <c r="J4290" s="29" t="s">
        <v>4057</v>
      </c>
      <c r="K4290" s="29"/>
      <c r="L4290" s="29" t="s">
        <v>4804</v>
      </c>
      <c r="M4290" s="29"/>
      <c r="N4290" s="29" t="s">
        <v>4071</v>
      </c>
      <c r="O4290" s="29"/>
      <c r="P4290" s="29" t="s">
        <v>11617</v>
      </c>
      <c r="Q4290" t="s">
        <v>2265</v>
      </c>
      <c r="R4290" t="s">
        <v>2635</v>
      </c>
      <c r="S4290">
        <v>37</v>
      </c>
      <c r="T4290" s="43" t="str">
        <f t="shared" si="204"/>
        <v>2021.010B.R.Binomial_names.zip</v>
      </c>
      <c r="U4290" s="43" t="str">
        <f>HYPERLINK("https://ictv.global/taxonomy/taxondetails?taxnode_id=202206877","ictv.global=202206877")</f>
        <v>ictv.global=202206877</v>
      </c>
    </row>
    <row r="4291" spans="1:21">
      <c r="A4291">
        <v>4290</v>
      </c>
      <c r="B4291" s="29" t="s">
        <v>4053</v>
      </c>
      <c r="C4291" s="29"/>
      <c r="D4291" s="29" t="s">
        <v>4054</v>
      </c>
      <c r="E4291" s="29"/>
      <c r="F4291" s="29" t="s">
        <v>4055</v>
      </c>
      <c r="G4291" s="29"/>
      <c r="H4291" s="29" t="s">
        <v>4056</v>
      </c>
      <c r="I4291" s="29"/>
      <c r="J4291" s="29" t="s">
        <v>4057</v>
      </c>
      <c r="K4291" s="29"/>
      <c r="L4291" s="29" t="s">
        <v>4076</v>
      </c>
      <c r="M4291" s="29"/>
      <c r="N4291" s="29" t="s">
        <v>766</v>
      </c>
      <c r="O4291" s="29"/>
      <c r="P4291" s="29" t="s">
        <v>11618</v>
      </c>
      <c r="Q4291" t="s">
        <v>2265</v>
      </c>
      <c r="R4291" t="s">
        <v>2635</v>
      </c>
      <c r="S4291">
        <v>37</v>
      </c>
      <c r="T4291" s="43" t="str">
        <f t="shared" si="204"/>
        <v>2021.010B.R.Binomial_names.zip</v>
      </c>
      <c r="U4291" s="43" t="str">
        <f>HYPERLINK("https://ictv.global/taxonomy/taxondetails?taxnode_id=202203699","ictv.global=202203699")</f>
        <v>ictv.global=202203699</v>
      </c>
    </row>
    <row r="4292" spans="1:21">
      <c r="A4292">
        <v>4291</v>
      </c>
      <c r="B4292" s="29" t="s">
        <v>4053</v>
      </c>
      <c r="C4292" s="29"/>
      <c r="D4292" s="29" t="s">
        <v>4054</v>
      </c>
      <c r="E4292" s="29"/>
      <c r="F4292" s="29" t="s">
        <v>4055</v>
      </c>
      <c r="G4292" s="29"/>
      <c r="H4292" s="29" t="s">
        <v>4056</v>
      </c>
      <c r="I4292" s="29"/>
      <c r="J4292" s="29" t="s">
        <v>4057</v>
      </c>
      <c r="K4292" s="29"/>
      <c r="L4292" s="29" t="s">
        <v>4076</v>
      </c>
      <c r="M4292" s="29"/>
      <c r="N4292" s="29" t="s">
        <v>4077</v>
      </c>
      <c r="O4292" s="29"/>
      <c r="P4292" s="29" t="s">
        <v>11619</v>
      </c>
      <c r="Q4292" t="s">
        <v>2265</v>
      </c>
      <c r="R4292" t="s">
        <v>2635</v>
      </c>
      <c r="S4292">
        <v>37</v>
      </c>
      <c r="T4292" s="43" t="str">
        <f t="shared" si="204"/>
        <v>2021.010B.R.Binomial_names.zip</v>
      </c>
      <c r="U4292" s="43" t="str">
        <f>HYPERLINK("https://ictv.global/taxonomy/taxondetails?taxnode_id=202203710","ictv.global=202203710")</f>
        <v>ictv.global=202203710</v>
      </c>
    </row>
    <row r="4293" spans="1:21">
      <c r="A4293">
        <v>4292</v>
      </c>
      <c r="B4293" s="29" t="s">
        <v>4053</v>
      </c>
      <c r="C4293" s="29"/>
      <c r="D4293" s="29" t="s">
        <v>4054</v>
      </c>
      <c r="E4293" s="29"/>
      <c r="F4293" s="29" t="s">
        <v>4055</v>
      </c>
      <c r="G4293" s="29"/>
      <c r="H4293" s="29" t="s">
        <v>4056</v>
      </c>
      <c r="I4293" s="29"/>
      <c r="J4293" s="29" t="s">
        <v>4057</v>
      </c>
      <c r="K4293" s="29"/>
      <c r="L4293" s="29" t="s">
        <v>4076</v>
      </c>
      <c r="M4293" s="29"/>
      <c r="N4293" s="29" t="s">
        <v>2400</v>
      </c>
      <c r="O4293" s="29"/>
      <c r="P4293" s="29" t="s">
        <v>11620</v>
      </c>
      <c r="Q4293" t="s">
        <v>2265</v>
      </c>
      <c r="R4293" t="s">
        <v>2635</v>
      </c>
      <c r="S4293">
        <v>37</v>
      </c>
      <c r="T4293" s="43" t="str">
        <f t="shared" si="204"/>
        <v>2021.010B.R.Binomial_names.zip</v>
      </c>
      <c r="U4293" s="43" t="str">
        <f>HYPERLINK("https://ictv.global/taxonomy/taxondetails?taxnode_id=202203722","ictv.global=202203722")</f>
        <v>ictv.global=202203722</v>
      </c>
    </row>
    <row r="4294" spans="1:21">
      <c r="A4294">
        <v>4293</v>
      </c>
      <c r="B4294" s="29" t="s">
        <v>4053</v>
      </c>
      <c r="C4294" s="29"/>
      <c r="D4294" s="29" t="s">
        <v>4054</v>
      </c>
      <c r="E4294" s="29"/>
      <c r="F4294" s="29" t="s">
        <v>4055</v>
      </c>
      <c r="G4294" s="29"/>
      <c r="H4294" s="29" t="s">
        <v>4056</v>
      </c>
      <c r="I4294" s="29"/>
      <c r="J4294" s="29" t="s">
        <v>4057</v>
      </c>
      <c r="K4294" s="29"/>
      <c r="L4294" s="29" t="s">
        <v>4076</v>
      </c>
      <c r="M4294" s="29"/>
      <c r="N4294" s="29" t="s">
        <v>2400</v>
      </c>
      <c r="O4294" s="29"/>
      <c r="P4294" s="29" t="s">
        <v>11621</v>
      </c>
      <c r="Q4294" t="s">
        <v>2265</v>
      </c>
      <c r="R4294" t="s">
        <v>2635</v>
      </c>
      <c r="S4294">
        <v>37</v>
      </c>
      <c r="T4294" s="43" t="str">
        <f t="shared" si="204"/>
        <v>2021.010B.R.Binomial_names.zip</v>
      </c>
      <c r="U4294" s="43" t="str">
        <f>HYPERLINK("https://ictv.global/taxonomy/taxondetails?taxnode_id=202203723","ictv.global=202203723")</f>
        <v>ictv.global=202203723</v>
      </c>
    </row>
    <row r="4295" spans="1:21">
      <c r="A4295">
        <v>4294</v>
      </c>
      <c r="B4295" s="29" t="s">
        <v>4053</v>
      </c>
      <c r="C4295" s="29"/>
      <c r="D4295" s="29" t="s">
        <v>4054</v>
      </c>
      <c r="E4295" s="29"/>
      <c r="F4295" s="29" t="s">
        <v>4055</v>
      </c>
      <c r="G4295" s="29"/>
      <c r="H4295" s="29" t="s">
        <v>4056</v>
      </c>
      <c r="I4295" s="29"/>
      <c r="J4295" s="29" t="s">
        <v>4057</v>
      </c>
      <c r="K4295" s="29"/>
      <c r="L4295" s="29" t="s">
        <v>4076</v>
      </c>
      <c r="M4295" s="29"/>
      <c r="N4295" s="29" t="s">
        <v>2400</v>
      </c>
      <c r="O4295" s="29"/>
      <c r="P4295" s="29" t="s">
        <v>11622</v>
      </c>
      <c r="Q4295" t="s">
        <v>2265</v>
      </c>
      <c r="R4295" t="s">
        <v>2635</v>
      </c>
      <c r="S4295">
        <v>37</v>
      </c>
      <c r="T4295" s="43" t="str">
        <f t="shared" si="204"/>
        <v>2021.010B.R.Binomial_names.zip</v>
      </c>
      <c r="U4295" s="43" t="str">
        <f>HYPERLINK("https://ictv.global/taxonomy/taxondetails?taxnode_id=202203724","ictv.global=202203724")</f>
        <v>ictv.global=202203724</v>
      </c>
    </row>
    <row r="4296" spans="1:21">
      <c r="A4296">
        <v>4295</v>
      </c>
      <c r="B4296" s="29" t="s">
        <v>4053</v>
      </c>
      <c r="C4296" s="29"/>
      <c r="D4296" s="29" t="s">
        <v>4054</v>
      </c>
      <c r="E4296" s="29"/>
      <c r="F4296" s="29" t="s">
        <v>4055</v>
      </c>
      <c r="G4296" s="29"/>
      <c r="H4296" s="29" t="s">
        <v>4056</v>
      </c>
      <c r="I4296" s="29"/>
      <c r="J4296" s="29" t="s">
        <v>4057</v>
      </c>
      <c r="K4296" s="29"/>
      <c r="L4296" s="29" t="s">
        <v>4076</v>
      </c>
      <c r="M4296" s="29"/>
      <c r="N4296" s="29" t="s">
        <v>11623</v>
      </c>
      <c r="O4296" s="29"/>
      <c r="P4296" s="29" t="s">
        <v>11624</v>
      </c>
      <c r="Q4296" t="s">
        <v>2265</v>
      </c>
      <c r="R4296" t="s">
        <v>2632</v>
      </c>
      <c r="S4296">
        <v>37</v>
      </c>
      <c r="T4296" s="43" t="str">
        <f>HYPERLINK("https://ictv.global/ictv/proposals/2021.085B.R.Tubulavirales.zip","2021.085B.R.Tubulavirales.zip")</f>
        <v>2021.085B.R.Tubulavirales.zip</v>
      </c>
      <c r="U4296" s="43" t="str">
        <f>HYPERLINK("https://ictv.global/taxonomy/taxondetails?taxnode_id=202212635","ictv.global=202212635")</f>
        <v>ictv.global=202212635</v>
      </c>
    </row>
    <row r="4297" spans="1:21">
      <c r="A4297">
        <v>4296</v>
      </c>
      <c r="B4297" s="29" t="s">
        <v>4053</v>
      </c>
      <c r="C4297" s="29"/>
      <c r="D4297" s="29" t="s">
        <v>4078</v>
      </c>
      <c r="E4297" s="29"/>
      <c r="F4297" s="29" t="s">
        <v>4079</v>
      </c>
      <c r="G4297" s="29"/>
      <c r="H4297" s="29" t="s">
        <v>4080</v>
      </c>
      <c r="I4297" s="29"/>
      <c r="J4297" s="29" t="s">
        <v>4081</v>
      </c>
      <c r="K4297" s="29"/>
      <c r="L4297" s="29" t="s">
        <v>1249</v>
      </c>
      <c r="M4297" s="29" t="s">
        <v>2272</v>
      </c>
      <c r="N4297" s="29" t="s">
        <v>3674</v>
      </c>
      <c r="O4297" s="29"/>
      <c r="P4297" s="29" t="s">
        <v>11625</v>
      </c>
      <c r="Q4297" t="s">
        <v>2041</v>
      </c>
      <c r="R4297" t="s">
        <v>2635</v>
      </c>
      <c r="S4297">
        <v>37</v>
      </c>
      <c r="T4297" s="43" t="str">
        <f t="shared" ref="T4297:T4311" si="205">HYPERLINK("https://ictv.global/ictv/proposals/2021.010B.R.Binomial_names.zip","2021.010B.R.Binomial_names.zip")</f>
        <v>2021.010B.R.Binomial_names.zip</v>
      </c>
      <c r="U4297" s="43" t="str">
        <f>HYPERLINK("https://ictv.global/taxonomy/taxondetails?taxnode_id=202203858","ictv.global=202203858")</f>
        <v>ictv.global=202203858</v>
      </c>
    </row>
    <row r="4298" spans="1:21">
      <c r="A4298">
        <v>4297</v>
      </c>
      <c r="B4298" s="29" t="s">
        <v>4053</v>
      </c>
      <c r="C4298" s="29"/>
      <c r="D4298" s="29" t="s">
        <v>4078</v>
      </c>
      <c r="E4298" s="29"/>
      <c r="F4298" s="29" t="s">
        <v>4079</v>
      </c>
      <c r="G4298" s="29"/>
      <c r="H4298" s="29" t="s">
        <v>4080</v>
      </c>
      <c r="I4298" s="29"/>
      <c r="J4298" s="29" t="s">
        <v>4081</v>
      </c>
      <c r="K4298" s="29"/>
      <c r="L4298" s="29" t="s">
        <v>1249</v>
      </c>
      <c r="M4298" s="29" t="s">
        <v>2272</v>
      </c>
      <c r="N4298" s="29" t="s">
        <v>3674</v>
      </c>
      <c r="O4298" s="29"/>
      <c r="P4298" s="29" t="s">
        <v>11626</v>
      </c>
      <c r="Q4298" t="s">
        <v>2041</v>
      </c>
      <c r="R4298" t="s">
        <v>2635</v>
      </c>
      <c r="S4298">
        <v>37</v>
      </c>
      <c r="T4298" s="43" t="str">
        <f t="shared" si="205"/>
        <v>2021.010B.R.Binomial_names.zip</v>
      </c>
      <c r="U4298" s="43" t="str">
        <f>HYPERLINK("https://ictv.global/taxonomy/taxondetails?taxnode_id=202203859","ictv.global=202203859")</f>
        <v>ictv.global=202203859</v>
      </c>
    </row>
    <row r="4299" spans="1:21">
      <c r="A4299">
        <v>4298</v>
      </c>
      <c r="B4299" s="29" t="s">
        <v>4053</v>
      </c>
      <c r="C4299" s="29"/>
      <c r="D4299" s="29" t="s">
        <v>4078</v>
      </c>
      <c r="E4299" s="29"/>
      <c r="F4299" s="29" t="s">
        <v>4079</v>
      </c>
      <c r="G4299" s="29"/>
      <c r="H4299" s="29" t="s">
        <v>4080</v>
      </c>
      <c r="I4299" s="29"/>
      <c r="J4299" s="29" t="s">
        <v>4081</v>
      </c>
      <c r="K4299" s="29"/>
      <c r="L4299" s="29" t="s">
        <v>1249</v>
      </c>
      <c r="M4299" s="29" t="s">
        <v>2272</v>
      </c>
      <c r="N4299" s="29" t="s">
        <v>3674</v>
      </c>
      <c r="O4299" s="29"/>
      <c r="P4299" s="29" t="s">
        <v>11627</v>
      </c>
      <c r="Q4299" t="s">
        <v>2041</v>
      </c>
      <c r="R4299" t="s">
        <v>2635</v>
      </c>
      <c r="S4299">
        <v>37</v>
      </c>
      <c r="T4299" s="43" t="str">
        <f t="shared" si="205"/>
        <v>2021.010B.R.Binomial_names.zip</v>
      </c>
      <c r="U4299" s="43" t="str">
        <f>HYPERLINK("https://ictv.global/taxonomy/taxondetails?taxnode_id=202203860","ictv.global=202203860")</f>
        <v>ictv.global=202203860</v>
      </c>
    </row>
    <row r="4300" spans="1:21">
      <c r="A4300">
        <v>4299</v>
      </c>
      <c r="B4300" s="29" t="s">
        <v>4053</v>
      </c>
      <c r="C4300" s="29"/>
      <c r="D4300" s="29" t="s">
        <v>4078</v>
      </c>
      <c r="E4300" s="29"/>
      <c r="F4300" s="29" t="s">
        <v>4079</v>
      </c>
      <c r="G4300" s="29"/>
      <c r="H4300" s="29" t="s">
        <v>4080</v>
      </c>
      <c r="I4300" s="29"/>
      <c r="J4300" s="29" t="s">
        <v>4081</v>
      </c>
      <c r="K4300" s="29"/>
      <c r="L4300" s="29" t="s">
        <v>1249</v>
      </c>
      <c r="M4300" s="29" t="s">
        <v>2272</v>
      </c>
      <c r="N4300" s="29" t="s">
        <v>3674</v>
      </c>
      <c r="O4300" s="29"/>
      <c r="P4300" s="29" t="s">
        <v>11628</v>
      </c>
      <c r="Q4300" t="s">
        <v>2041</v>
      </c>
      <c r="R4300" t="s">
        <v>2635</v>
      </c>
      <c r="S4300">
        <v>37</v>
      </c>
      <c r="T4300" s="43" t="str">
        <f t="shared" si="205"/>
        <v>2021.010B.R.Binomial_names.zip</v>
      </c>
      <c r="U4300" s="43" t="str">
        <f>HYPERLINK("https://ictv.global/taxonomy/taxondetails?taxnode_id=202203861","ictv.global=202203861")</f>
        <v>ictv.global=202203861</v>
      </c>
    </row>
    <row r="4301" spans="1:21">
      <c r="A4301">
        <v>4300</v>
      </c>
      <c r="B4301" s="29" t="s">
        <v>4053</v>
      </c>
      <c r="C4301" s="29"/>
      <c r="D4301" s="29" t="s">
        <v>4078</v>
      </c>
      <c r="E4301" s="29"/>
      <c r="F4301" s="29" t="s">
        <v>4079</v>
      </c>
      <c r="G4301" s="29"/>
      <c r="H4301" s="29" t="s">
        <v>4080</v>
      </c>
      <c r="I4301" s="29"/>
      <c r="J4301" s="29" t="s">
        <v>4081</v>
      </c>
      <c r="K4301" s="29"/>
      <c r="L4301" s="29" t="s">
        <v>1249</v>
      </c>
      <c r="M4301" s="29" t="s">
        <v>2272</v>
      </c>
      <c r="N4301" s="29" t="s">
        <v>3674</v>
      </c>
      <c r="O4301" s="29"/>
      <c r="P4301" s="29" t="s">
        <v>11629</v>
      </c>
      <c r="Q4301" t="s">
        <v>2041</v>
      </c>
      <c r="R4301" t="s">
        <v>2635</v>
      </c>
      <c r="S4301">
        <v>37</v>
      </c>
      <c r="T4301" s="43" t="str">
        <f t="shared" si="205"/>
        <v>2021.010B.R.Binomial_names.zip</v>
      </c>
      <c r="U4301" s="43" t="str">
        <f>HYPERLINK("https://ictv.global/taxonomy/taxondetails?taxnode_id=202203862","ictv.global=202203862")</f>
        <v>ictv.global=202203862</v>
      </c>
    </row>
    <row r="4302" spans="1:21">
      <c r="A4302">
        <v>4301</v>
      </c>
      <c r="B4302" s="29" t="s">
        <v>4053</v>
      </c>
      <c r="C4302" s="29"/>
      <c r="D4302" s="29" t="s">
        <v>4078</v>
      </c>
      <c r="E4302" s="29"/>
      <c r="F4302" s="29" t="s">
        <v>4079</v>
      </c>
      <c r="G4302" s="29"/>
      <c r="H4302" s="29" t="s">
        <v>4080</v>
      </c>
      <c r="I4302" s="29"/>
      <c r="J4302" s="29" t="s">
        <v>4081</v>
      </c>
      <c r="K4302" s="29"/>
      <c r="L4302" s="29" t="s">
        <v>1249</v>
      </c>
      <c r="M4302" s="29" t="s">
        <v>2272</v>
      </c>
      <c r="N4302" s="29" t="s">
        <v>3674</v>
      </c>
      <c r="O4302" s="29"/>
      <c r="P4302" s="29" t="s">
        <v>11630</v>
      </c>
      <c r="Q4302" t="s">
        <v>2041</v>
      </c>
      <c r="R4302" t="s">
        <v>2635</v>
      </c>
      <c r="S4302">
        <v>37</v>
      </c>
      <c r="T4302" s="43" t="str">
        <f t="shared" si="205"/>
        <v>2021.010B.R.Binomial_names.zip</v>
      </c>
      <c r="U4302" s="43" t="str">
        <f>HYPERLINK("https://ictv.global/taxonomy/taxondetails?taxnode_id=202203863","ictv.global=202203863")</f>
        <v>ictv.global=202203863</v>
      </c>
    </row>
    <row r="4303" spans="1:21">
      <c r="A4303">
        <v>4302</v>
      </c>
      <c r="B4303" s="29" t="s">
        <v>4053</v>
      </c>
      <c r="C4303" s="29"/>
      <c r="D4303" s="29" t="s">
        <v>4078</v>
      </c>
      <c r="E4303" s="29"/>
      <c r="F4303" s="29" t="s">
        <v>4079</v>
      </c>
      <c r="G4303" s="29"/>
      <c r="H4303" s="29" t="s">
        <v>4080</v>
      </c>
      <c r="I4303" s="29"/>
      <c r="J4303" s="29" t="s">
        <v>4081</v>
      </c>
      <c r="K4303" s="29"/>
      <c r="L4303" s="29" t="s">
        <v>1249</v>
      </c>
      <c r="M4303" s="29" t="s">
        <v>2272</v>
      </c>
      <c r="N4303" s="29" t="s">
        <v>3674</v>
      </c>
      <c r="O4303" s="29"/>
      <c r="P4303" s="29" t="s">
        <v>11631</v>
      </c>
      <c r="Q4303" t="s">
        <v>2041</v>
      </c>
      <c r="R4303" t="s">
        <v>2635</v>
      </c>
      <c r="S4303">
        <v>37</v>
      </c>
      <c r="T4303" s="43" t="str">
        <f t="shared" si="205"/>
        <v>2021.010B.R.Binomial_names.zip</v>
      </c>
      <c r="U4303" s="43" t="str">
        <f>HYPERLINK("https://ictv.global/taxonomy/taxondetails?taxnode_id=202203864","ictv.global=202203864")</f>
        <v>ictv.global=202203864</v>
      </c>
    </row>
    <row r="4304" spans="1:21">
      <c r="A4304">
        <v>4303</v>
      </c>
      <c r="B4304" s="29" t="s">
        <v>4053</v>
      </c>
      <c r="C4304" s="29"/>
      <c r="D4304" s="29" t="s">
        <v>4078</v>
      </c>
      <c r="E4304" s="29"/>
      <c r="F4304" s="29" t="s">
        <v>4079</v>
      </c>
      <c r="G4304" s="29"/>
      <c r="H4304" s="29" t="s">
        <v>4080</v>
      </c>
      <c r="I4304" s="29"/>
      <c r="J4304" s="29" t="s">
        <v>4081</v>
      </c>
      <c r="K4304" s="29"/>
      <c r="L4304" s="29" t="s">
        <v>1249</v>
      </c>
      <c r="M4304" s="29" t="s">
        <v>2272</v>
      </c>
      <c r="N4304" s="29" t="s">
        <v>3674</v>
      </c>
      <c r="O4304" s="29"/>
      <c r="P4304" s="29" t="s">
        <v>11632</v>
      </c>
      <c r="Q4304" t="s">
        <v>2041</v>
      </c>
      <c r="R4304" t="s">
        <v>2635</v>
      </c>
      <c r="S4304">
        <v>37</v>
      </c>
      <c r="T4304" s="43" t="str">
        <f t="shared" si="205"/>
        <v>2021.010B.R.Binomial_names.zip</v>
      </c>
      <c r="U4304" s="43" t="str">
        <f>HYPERLINK("https://ictv.global/taxonomy/taxondetails?taxnode_id=202203865","ictv.global=202203865")</f>
        <v>ictv.global=202203865</v>
      </c>
    </row>
    <row r="4305" spans="1:21">
      <c r="A4305">
        <v>4304</v>
      </c>
      <c r="B4305" s="29" t="s">
        <v>4053</v>
      </c>
      <c r="C4305" s="29"/>
      <c r="D4305" s="29" t="s">
        <v>4078</v>
      </c>
      <c r="E4305" s="29"/>
      <c r="F4305" s="29" t="s">
        <v>4079</v>
      </c>
      <c r="G4305" s="29"/>
      <c r="H4305" s="29" t="s">
        <v>4080</v>
      </c>
      <c r="I4305" s="29"/>
      <c r="J4305" s="29" t="s">
        <v>4081</v>
      </c>
      <c r="K4305" s="29"/>
      <c r="L4305" s="29" t="s">
        <v>1249</v>
      </c>
      <c r="M4305" s="29" t="s">
        <v>2272</v>
      </c>
      <c r="N4305" s="29" t="s">
        <v>3674</v>
      </c>
      <c r="O4305" s="29"/>
      <c r="P4305" s="29" t="s">
        <v>11633</v>
      </c>
      <c r="Q4305" t="s">
        <v>2041</v>
      </c>
      <c r="R4305" t="s">
        <v>2635</v>
      </c>
      <c r="S4305">
        <v>37</v>
      </c>
      <c r="T4305" s="43" t="str">
        <f t="shared" si="205"/>
        <v>2021.010B.R.Binomial_names.zip</v>
      </c>
      <c r="U4305" s="43" t="str">
        <f>HYPERLINK("https://ictv.global/taxonomy/taxondetails?taxnode_id=202203866","ictv.global=202203866")</f>
        <v>ictv.global=202203866</v>
      </c>
    </row>
    <row r="4306" spans="1:21">
      <c r="A4306">
        <v>4305</v>
      </c>
      <c r="B4306" s="29" t="s">
        <v>4053</v>
      </c>
      <c r="C4306" s="29"/>
      <c r="D4306" s="29" t="s">
        <v>4078</v>
      </c>
      <c r="E4306" s="29"/>
      <c r="F4306" s="29" t="s">
        <v>4079</v>
      </c>
      <c r="G4306" s="29"/>
      <c r="H4306" s="29" t="s">
        <v>4080</v>
      </c>
      <c r="I4306" s="29"/>
      <c r="J4306" s="29" t="s">
        <v>4081</v>
      </c>
      <c r="K4306" s="29"/>
      <c r="L4306" s="29" t="s">
        <v>1249</v>
      </c>
      <c r="M4306" s="29" t="s">
        <v>2272</v>
      </c>
      <c r="N4306" s="29" t="s">
        <v>3674</v>
      </c>
      <c r="O4306" s="29"/>
      <c r="P4306" s="29" t="s">
        <v>11634</v>
      </c>
      <c r="Q4306" t="s">
        <v>2041</v>
      </c>
      <c r="R4306" t="s">
        <v>2635</v>
      </c>
      <c r="S4306">
        <v>37</v>
      </c>
      <c r="T4306" s="43" t="str">
        <f t="shared" si="205"/>
        <v>2021.010B.R.Binomial_names.zip</v>
      </c>
      <c r="U4306" s="43" t="str">
        <f>HYPERLINK("https://ictv.global/taxonomy/taxondetails?taxnode_id=202203867","ictv.global=202203867")</f>
        <v>ictv.global=202203867</v>
      </c>
    </row>
    <row r="4307" spans="1:21">
      <c r="A4307">
        <v>4306</v>
      </c>
      <c r="B4307" s="29" t="s">
        <v>4053</v>
      </c>
      <c r="C4307" s="29"/>
      <c r="D4307" s="29" t="s">
        <v>4078</v>
      </c>
      <c r="E4307" s="29"/>
      <c r="F4307" s="29" t="s">
        <v>4079</v>
      </c>
      <c r="G4307" s="29"/>
      <c r="H4307" s="29" t="s">
        <v>4080</v>
      </c>
      <c r="I4307" s="29"/>
      <c r="J4307" s="29" t="s">
        <v>4081</v>
      </c>
      <c r="K4307" s="29"/>
      <c r="L4307" s="29" t="s">
        <v>1249</v>
      </c>
      <c r="M4307" s="29" t="s">
        <v>2272</v>
      </c>
      <c r="N4307" s="29" t="s">
        <v>3675</v>
      </c>
      <c r="O4307" s="29"/>
      <c r="P4307" s="29" t="s">
        <v>11635</v>
      </c>
      <c r="Q4307" t="s">
        <v>2041</v>
      </c>
      <c r="R4307" t="s">
        <v>2635</v>
      </c>
      <c r="S4307">
        <v>37</v>
      </c>
      <c r="T4307" s="43" t="str">
        <f t="shared" si="205"/>
        <v>2021.010B.R.Binomial_names.zip</v>
      </c>
      <c r="U4307" s="43" t="str">
        <f>HYPERLINK("https://ictv.global/taxonomy/taxondetails?taxnode_id=202203869","ictv.global=202203869")</f>
        <v>ictv.global=202203869</v>
      </c>
    </row>
    <row r="4308" spans="1:21">
      <c r="A4308">
        <v>4307</v>
      </c>
      <c r="B4308" s="29" t="s">
        <v>4053</v>
      </c>
      <c r="C4308" s="29"/>
      <c r="D4308" s="29" t="s">
        <v>4078</v>
      </c>
      <c r="E4308" s="29"/>
      <c r="F4308" s="29" t="s">
        <v>4079</v>
      </c>
      <c r="G4308" s="29"/>
      <c r="H4308" s="29" t="s">
        <v>4080</v>
      </c>
      <c r="I4308" s="29"/>
      <c r="J4308" s="29" t="s">
        <v>4081</v>
      </c>
      <c r="K4308" s="29"/>
      <c r="L4308" s="29" t="s">
        <v>1249</v>
      </c>
      <c r="M4308" s="29" t="s">
        <v>2272</v>
      </c>
      <c r="N4308" s="29" t="s">
        <v>3675</v>
      </c>
      <c r="O4308" s="29"/>
      <c r="P4308" s="29" t="s">
        <v>11636</v>
      </c>
      <c r="Q4308" t="s">
        <v>2041</v>
      </c>
      <c r="R4308" t="s">
        <v>2635</v>
      </c>
      <c r="S4308">
        <v>37</v>
      </c>
      <c r="T4308" s="43" t="str">
        <f t="shared" si="205"/>
        <v>2021.010B.R.Binomial_names.zip</v>
      </c>
      <c r="U4308" s="43" t="str">
        <f>HYPERLINK("https://ictv.global/taxonomy/taxondetails?taxnode_id=202203870","ictv.global=202203870")</f>
        <v>ictv.global=202203870</v>
      </c>
    </row>
    <row r="4309" spans="1:21">
      <c r="A4309">
        <v>4308</v>
      </c>
      <c r="B4309" s="29" t="s">
        <v>4053</v>
      </c>
      <c r="C4309" s="29"/>
      <c r="D4309" s="29" t="s">
        <v>4078</v>
      </c>
      <c r="E4309" s="29"/>
      <c r="F4309" s="29" t="s">
        <v>4079</v>
      </c>
      <c r="G4309" s="29"/>
      <c r="H4309" s="29" t="s">
        <v>4080</v>
      </c>
      <c r="I4309" s="29"/>
      <c r="J4309" s="29" t="s">
        <v>4081</v>
      </c>
      <c r="K4309" s="29"/>
      <c r="L4309" s="29" t="s">
        <v>1249</v>
      </c>
      <c r="M4309" s="29" t="s">
        <v>2272</v>
      </c>
      <c r="N4309" s="29" t="s">
        <v>3675</v>
      </c>
      <c r="O4309" s="29"/>
      <c r="P4309" s="29" t="s">
        <v>11637</v>
      </c>
      <c r="Q4309" t="s">
        <v>2041</v>
      </c>
      <c r="R4309" t="s">
        <v>2635</v>
      </c>
      <c r="S4309">
        <v>37</v>
      </c>
      <c r="T4309" s="43" t="str">
        <f t="shared" si="205"/>
        <v>2021.010B.R.Binomial_names.zip</v>
      </c>
      <c r="U4309" s="43" t="str">
        <f>HYPERLINK("https://ictv.global/taxonomy/taxondetails?taxnode_id=202203871","ictv.global=202203871")</f>
        <v>ictv.global=202203871</v>
      </c>
    </row>
    <row r="4310" spans="1:21">
      <c r="A4310">
        <v>4309</v>
      </c>
      <c r="B4310" s="29" t="s">
        <v>4053</v>
      </c>
      <c r="C4310" s="29"/>
      <c r="D4310" s="29" t="s">
        <v>4078</v>
      </c>
      <c r="E4310" s="29"/>
      <c r="F4310" s="29" t="s">
        <v>4079</v>
      </c>
      <c r="G4310" s="29"/>
      <c r="H4310" s="29" t="s">
        <v>4080</v>
      </c>
      <c r="I4310" s="29"/>
      <c r="J4310" s="29" t="s">
        <v>4081</v>
      </c>
      <c r="K4310" s="29"/>
      <c r="L4310" s="29" t="s">
        <v>1249</v>
      </c>
      <c r="M4310" s="29" t="s">
        <v>2272</v>
      </c>
      <c r="N4310" s="29" t="s">
        <v>3676</v>
      </c>
      <c r="O4310" s="29"/>
      <c r="P4310" s="29" t="s">
        <v>11638</v>
      </c>
      <c r="Q4310" t="s">
        <v>2041</v>
      </c>
      <c r="R4310" t="s">
        <v>2635</v>
      </c>
      <c r="S4310">
        <v>37</v>
      </c>
      <c r="T4310" s="43" t="str">
        <f t="shared" si="205"/>
        <v>2021.010B.R.Binomial_names.zip</v>
      </c>
      <c r="U4310" s="43" t="str">
        <f>HYPERLINK("https://ictv.global/taxonomy/taxondetails?taxnode_id=202203873","ictv.global=202203873")</f>
        <v>ictv.global=202203873</v>
      </c>
    </row>
    <row r="4311" spans="1:21">
      <c r="A4311">
        <v>4310</v>
      </c>
      <c r="B4311" s="29" t="s">
        <v>4053</v>
      </c>
      <c r="C4311" s="29"/>
      <c r="D4311" s="29" t="s">
        <v>4078</v>
      </c>
      <c r="E4311" s="29"/>
      <c r="F4311" s="29" t="s">
        <v>4079</v>
      </c>
      <c r="G4311" s="29"/>
      <c r="H4311" s="29" t="s">
        <v>4080</v>
      </c>
      <c r="I4311" s="29"/>
      <c r="J4311" s="29" t="s">
        <v>4081</v>
      </c>
      <c r="K4311" s="29"/>
      <c r="L4311" s="29" t="s">
        <v>1249</v>
      </c>
      <c r="M4311" s="29" t="s">
        <v>864</v>
      </c>
      <c r="N4311" s="29" t="s">
        <v>1418</v>
      </c>
      <c r="O4311" s="29"/>
      <c r="P4311" s="29" t="s">
        <v>11639</v>
      </c>
      <c r="Q4311" t="s">
        <v>2041</v>
      </c>
      <c r="R4311" t="s">
        <v>2635</v>
      </c>
      <c r="S4311">
        <v>37</v>
      </c>
      <c r="T4311" s="43" t="str">
        <f t="shared" si="205"/>
        <v>2021.010B.R.Binomial_names.zip</v>
      </c>
      <c r="U4311" s="43" t="str">
        <f>HYPERLINK("https://ictv.global/taxonomy/taxondetails?taxnode_id=202203877","ictv.global=202203877")</f>
        <v>ictv.global=202203877</v>
      </c>
    </row>
    <row r="4312" spans="1:21">
      <c r="A4312">
        <v>4311</v>
      </c>
      <c r="B4312" s="29" t="s">
        <v>4053</v>
      </c>
      <c r="C4312" s="29"/>
      <c r="D4312" s="29" t="s">
        <v>4078</v>
      </c>
      <c r="E4312" s="29"/>
      <c r="F4312" s="29" t="s">
        <v>4079</v>
      </c>
      <c r="G4312" s="29"/>
      <c r="H4312" s="29" t="s">
        <v>4080</v>
      </c>
      <c r="I4312" s="29"/>
      <c r="J4312" s="29" t="s">
        <v>4081</v>
      </c>
      <c r="K4312" s="29"/>
      <c r="L4312" s="29" t="s">
        <v>1249</v>
      </c>
      <c r="M4312" s="29" t="s">
        <v>864</v>
      </c>
      <c r="N4312" s="29" t="s">
        <v>1418</v>
      </c>
      <c r="O4312" s="29"/>
      <c r="P4312" s="29" t="s">
        <v>2273</v>
      </c>
      <c r="Q4312" t="s">
        <v>2041</v>
      </c>
      <c r="R4312" t="s">
        <v>6901</v>
      </c>
      <c r="S4312">
        <v>36</v>
      </c>
      <c r="T4312" s="43" t="str">
        <f>HYPERLINK("https://ictv.global/ictv/proposals/2020.001G.R.Abolish_type_species.pdf","2020.001G.R.Abolish_type_species.pdf")</f>
        <v>2020.001G.R.Abolish_type_species.pdf</v>
      </c>
      <c r="U4312" s="43" t="str">
        <f>HYPERLINK("https://ictv.global/taxonomy/taxondetails?taxnode_id=202203876","ictv.global=202203876")</f>
        <v>ictv.global=202203876</v>
      </c>
    </row>
    <row r="4313" spans="1:21">
      <c r="A4313">
        <v>4312</v>
      </c>
      <c r="B4313" s="29" t="s">
        <v>4053</v>
      </c>
      <c r="C4313" s="29"/>
      <c r="D4313" s="29" t="s">
        <v>4078</v>
      </c>
      <c r="E4313" s="29"/>
      <c r="F4313" s="29" t="s">
        <v>4079</v>
      </c>
      <c r="G4313" s="29"/>
      <c r="H4313" s="29" t="s">
        <v>4080</v>
      </c>
      <c r="I4313" s="29"/>
      <c r="J4313" s="29" t="s">
        <v>4081</v>
      </c>
      <c r="K4313" s="29"/>
      <c r="L4313" s="29" t="s">
        <v>1249</v>
      </c>
      <c r="M4313" s="29" t="s">
        <v>864</v>
      </c>
      <c r="N4313" s="29" t="s">
        <v>1419</v>
      </c>
      <c r="O4313" s="29"/>
      <c r="P4313" s="29" t="s">
        <v>11640</v>
      </c>
      <c r="Q4313" t="s">
        <v>2041</v>
      </c>
      <c r="R4313" t="s">
        <v>2635</v>
      </c>
      <c r="S4313">
        <v>37</v>
      </c>
      <c r="T4313" s="43" t="str">
        <f>HYPERLINK("https://ictv.global/ictv/proposals/2021.010B.R.Binomial_names.zip","2021.010B.R.Binomial_names.zip")</f>
        <v>2021.010B.R.Binomial_names.zip</v>
      </c>
      <c r="U4313" s="43" t="str">
        <f>HYPERLINK("https://ictv.global/taxonomy/taxondetails?taxnode_id=202203879","ictv.global=202203879")</f>
        <v>ictv.global=202203879</v>
      </c>
    </row>
    <row r="4314" spans="1:21">
      <c r="A4314">
        <v>4313</v>
      </c>
      <c r="B4314" s="29" t="s">
        <v>4053</v>
      </c>
      <c r="C4314" s="29"/>
      <c r="D4314" s="29" t="s">
        <v>4078</v>
      </c>
      <c r="E4314" s="29"/>
      <c r="F4314" s="29" t="s">
        <v>4079</v>
      </c>
      <c r="G4314" s="29"/>
      <c r="H4314" s="29" t="s">
        <v>4080</v>
      </c>
      <c r="I4314" s="29"/>
      <c r="J4314" s="29" t="s">
        <v>4081</v>
      </c>
      <c r="K4314" s="29"/>
      <c r="L4314" s="29" t="s">
        <v>1249</v>
      </c>
      <c r="M4314" s="29" t="s">
        <v>864</v>
      </c>
      <c r="N4314" s="29" t="s">
        <v>1419</v>
      </c>
      <c r="O4314" s="29"/>
      <c r="P4314" s="29" t="s">
        <v>11641</v>
      </c>
      <c r="Q4314" t="s">
        <v>2041</v>
      </c>
      <c r="R4314" t="s">
        <v>2635</v>
      </c>
      <c r="S4314">
        <v>37</v>
      </c>
      <c r="T4314" s="43" t="str">
        <f>HYPERLINK("https://ictv.global/ictv/proposals/2021.010B.R.Binomial_names.zip","2021.010B.R.Binomial_names.zip")</f>
        <v>2021.010B.R.Binomial_names.zip</v>
      </c>
      <c r="U4314" s="43" t="str">
        <f>HYPERLINK("https://ictv.global/taxonomy/taxondetails?taxnode_id=202203880","ictv.global=202203880")</f>
        <v>ictv.global=202203880</v>
      </c>
    </row>
    <row r="4315" spans="1:21">
      <c r="A4315">
        <v>4314</v>
      </c>
      <c r="B4315" s="29" t="s">
        <v>4053</v>
      </c>
      <c r="C4315" s="29"/>
      <c r="D4315" s="29" t="s">
        <v>4078</v>
      </c>
      <c r="E4315" s="29"/>
      <c r="F4315" s="29" t="s">
        <v>4079</v>
      </c>
      <c r="G4315" s="29"/>
      <c r="H4315" s="29" t="s">
        <v>4080</v>
      </c>
      <c r="I4315" s="29"/>
      <c r="J4315" s="29" t="s">
        <v>4081</v>
      </c>
      <c r="K4315" s="29"/>
      <c r="L4315" s="29" t="s">
        <v>1249</v>
      </c>
      <c r="M4315" s="29" t="s">
        <v>864</v>
      </c>
      <c r="N4315" s="29" t="s">
        <v>1419</v>
      </c>
      <c r="O4315" s="29"/>
      <c r="P4315" s="29" t="s">
        <v>11642</v>
      </c>
      <c r="Q4315" t="s">
        <v>2041</v>
      </c>
      <c r="R4315" t="s">
        <v>2635</v>
      </c>
      <c r="S4315">
        <v>37</v>
      </c>
      <c r="T4315" s="43" t="str">
        <f>HYPERLINK("https://ictv.global/ictv/proposals/2021.010B.R.Binomial_names.zip","2021.010B.R.Binomial_names.zip")</f>
        <v>2021.010B.R.Binomial_names.zip</v>
      </c>
      <c r="U4315" s="43" t="str">
        <f>HYPERLINK("https://ictv.global/taxonomy/taxondetails?taxnode_id=202203881","ictv.global=202203881")</f>
        <v>ictv.global=202203881</v>
      </c>
    </row>
    <row r="4316" spans="1:21">
      <c r="A4316">
        <v>4315</v>
      </c>
      <c r="B4316" s="29" t="s">
        <v>4053</v>
      </c>
      <c r="C4316" s="29"/>
      <c r="D4316" s="29" t="s">
        <v>4078</v>
      </c>
      <c r="E4316" s="29"/>
      <c r="F4316" s="29" t="s">
        <v>4079</v>
      </c>
      <c r="G4316" s="29"/>
      <c r="H4316" s="29" t="s">
        <v>4080</v>
      </c>
      <c r="I4316" s="29"/>
      <c r="J4316" s="29" t="s">
        <v>4081</v>
      </c>
      <c r="K4316" s="29"/>
      <c r="L4316" s="29" t="s">
        <v>1249</v>
      </c>
      <c r="M4316" s="29" t="s">
        <v>864</v>
      </c>
      <c r="N4316" s="29" t="s">
        <v>1419</v>
      </c>
      <c r="O4316" s="29"/>
      <c r="P4316" s="29" t="s">
        <v>11643</v>
      </c>
      <c r="Q4316" t="s">
        <v>2041</v>
      </c>
      <c r="R4316" t="s">
        <v>2635</v>
      </c>
      <c r="S4316">
        <v>37</v>
      </c>
      <c r="T4316" s="43" t="str">
        <f>HYPERLINK("https://ictv.global/ictv/proposals/2021.010B.R.Binomial_names.zip","2021.010B.R.Binomial_names.zip")</f>
        <v>2021.010B.R.Binomial_names.zip</v>
      </c>
      <c r="U4316" s="43" t="str">
        <f>HYPERLINK("https://ictv.global/taxonomy/taxondetails?taxnode_id=202203882","ictv.global=202203882")</f>
        <v>ictv.global=202203882</v>
      </c>
    </row>
    <row r="4317" spans="1:21">
      <c r="A4317">
        <v>4316</v>
      </c>
      <c r="B4317" s="29" t="s">
        <v>4053</v>
      </c>
      <c r="C4317" s="29"/>
      <c r="D4317" s="29" t="s">
        <v>4078</v>
      </c>
      <c r="E4317" s="29"/>
      <c r="F4317" s="29" t="s">
        <v>4079</v>
      </c>
      <c r="G4317" s="29"/>
      <c r="H4317" s="29" t="s">
        <v>4080</v>
      </c>
      <c r="I4317" s="29"/>
      <c r="J4317" s="29" t="s">
        <v>4081</v>
      </c>
      <c r="K4317" s="29"/>
      <c r="L4317" s="29" t="s">
        <v>1249</v>
      </c>
      <c r="M4317" s="29" t="s">
        <v>864</v>
      </c>
      <c r="N4317" s="29" t="s">
        <v>4805</v>
      </c>
      <c r="O4317" s="29"/>
      <c r="P4317" s="29" t="s">
        <v>4806</v>
      </c>
      <c r="Q4317" t="s">
        <v>2265</v>
      </c>
      <c r="R4317" t="s">
        <v>2632</v>
      </c>
      <c r="S4317">
        <v>36</v>
      </c>
      <c r="T4317" s="43" t="str">
        <f>HYPERLINK("https://ictv.global/ictv/proposals/2020.055B.R.Enterogokushovirus.zip","2020.055B.R.Enterogokushovirus.zip")</f>
        <v>2020.055B.R.Enterogokushovirus.zip</v>
      </c>
      <c r="U4317" s="43" t="str">
        <f>HYPERLINK("https://ictv.global/taxonomy/taxondetails?taxnode_id=202209999","ictv.global=202209999")</f>
        <v>ictv.global=202209999</v>
      </c>
    </row>
    <row r="4318" spans="1:21">
      <c r="A4318">
        <v>4317</v>
      </c>
      <c r="B4318" s="29" t="s">
        <v>4053</v>
      </c>
      <c r="C4318" s="29"/>
      <c r="D4318" s="29" t="s">
        <v>4078</v>
      </c>
      <c r="E4318" s="29"/>
      <c r="F4318" s="29" t="s">
        <v>4079</v>
      </c>
      <c r="G4318" s="29"/>
      <c r="H4318" s="29" t="s">
        <v>4080</v>
      </c>
      <c r="I4318" s="29"/>
      <c r="J4318" s="29" t="s">
        <v>4081</v>
      </c>
      <c r="K4318" s="29"/>
      <c r="L4318" s="29" t="s">
        <v>1249</v>
      </c>
      <c r="M4318" s="29" t="s">
        <v>864</v>
      </c>
      <c r="N4318" s="29" t="s">
        <v>1486</v>
      </c>
      <c r="O4318" s="29"/>
      <c r="P4318" s="29" t="s">
        <v>11644</v>
      </c>
      <c r="Q4318" t="s">
        <v>2041</v>
      </c>
      <c r="R4318" t="s">
        <v>2635</v>
      </c>
      <c r="S4318">
        <v>37</v>
      </c>
      <c r="T4318" s="43" t="str">
        <f>HYPERLINK("https://ictv.global/ictv/proposals/2021.010B.R.Binomial_names.zip","2021.010B.R.Binomial_names.zip")</f>
        <v>2021.010B.R.Binomial_names.zip</v>
      </c>
      <c r="U4318" s="43" t="str">
        <f>HYPERLINK("https://ictv.global/taxonomy/taxondetails?taxnode_id=202203884","ictv.global=202203884")</f>
        <v>ictv.global=202203884</v>
      </c>
    </row>
    <row r="4319" spans="1:21">
      <c r="A4319">
        <v>4318</v>
      </c>
      <c r="B4319" s="29" t="s">
        <v>4053</v>
      </c>
      <c r="C4319" s="29"/>
      <c r="D4319" s="29" t="s">
        <v>4082</v>
      </c>
      <c r="E4319" s="29"/>
      <c r="F4319" s="29" t="s">
        <v>4083</v>
      </c>
      <c r="G4319" s="29"/>
      <c r="H4319" s="29" t="s">
        <v>4084</v>
      </c>
      <c r="I4319" s="29"/>
      <c r="J4319" s="29" t="s">
        <v>4085</v>
      </c>
      <c r="K4319" s="29"/>
      <c r="L4319" s="29" t="s">
        <v>39</v>
      </c>
      <c r="M4319" s="29"/>
      <c r="N4319" s="29" t="s">
        <v>40</v>
      </c>
      <c r="O4319" s="29"/>
      <c r="P4319" s="29" t="s">
        <v>41</v>
      </c>
      <c r="Q4319" t="s">
        <v>2041</v>
      </c>
      <c r="R4319" t="s">
        <v>6901</v>
      </c>
      <c r="S4319">
        <v>36</v>
      </c>
      <c r="T4319" s="43" t="str">
        <f>HYPERLINK("https://ictv.global/ictv/proposals/2020.001G.R.Abolish_type_species.pdf","2020.001G.R.Abolish_type_species.pdf")</f>
        <v>2020.001G.R.Abolish_type_species.pdf</v>
      </c>
      <c r="U4319" s="43" t="str">
        <f>HYPERLINK("https://ictv.global/taxonomy/taxondetails?taxnode_id=202202744","ictv.global=202202744")</f>
        <v>ictv.global=202202744</v>
      </c>
    </row>
    <row r="4320" spans="1:21">
      <c r="A4320">
        <v>4319</v>
      </c>
      <c r="B4320" s="29" t="s">
        <v>4053</v>
      </c>
      <c r="C4320" s="29"/>
      <c r="D4320" s="29" t="s">
        <v>4082</v>
      </c>
      <c r="E4320" s="29"/>
      <c r="F4320" s="29" t="s">
        <v>4083</v>
      </c>
      <c r="G4320" s="29"/>
      <c r="H4320" s="29" t="s">
        <v>4086</v>
      </c>
      <c r="I4320" s="29"/>
      <c r="J4320" s="29" t="s">
        <v>4087</v>
      </c>
      <c r="K4320" s="29"/>
      <c r="L4320" s="29" t="s">
        <v>751</v>
      </c>
      <c r="M4320" s="29"/>
      <c r="N4320" s="29" t="s">
        <v>2314</v>
      </c>
      <c r="O4320" s="29"/>
      <c r="P4320" s="29" t="s">
        <v>11645</v>
      </c>
      <c r="Q4320" t="s">
        <v>2038</v>
      </c>
      <c r="R4320" t="s">
        <v>2635</v>
      </c>
      <c r="S4320">
        <v>37</v>
      </c>
      <c r="T4320" s="43" t="str">
        <f t="shared" ref="T4320:T4351" si="206">HYPERLINK("https://ictv.global/ictv/proposals/2021.007D.R.Polyomaviridae_2ngen_117rensp.zip","2021.007D.R.Polyomaviridae_2ngen_117rensp.zip")</f>
        <v>2021.007D.R.Polyomaviridae_2ngen_117rensp.zip</v>
      </c>
      <c r="U4320" s="43" t="str">
        <f>HYPERLINK("https://ictv.global/taxonomy/taxondetails?taxnode_id=202204412","ictv.global=202204412")</f>
        <v>ictv.global=202204412</v>
      </c>
    </row>
    <row r="4321" spans="1:21">
      <c r="A4321">
        <v>4320</v>
      </c>
      <c r="B4321" s="29" t="s">
        <v>4053</v>
      </c>
      <c r="C4321" s="29"/>
      <c r="D4321" s="29" t="s">
        <v>4082</v>
      </c>
      <c r="E4321" s="29"/>
      <c r="F4321" s="29" t="s">
        <v>4083</v>
      </c>
      <c r="G4321" s="29"/>
      <c r="H4321" s="29" t="s">
        <v>4086</v>
      </c>
      <c r="I4321" s="29"/>
      <c r="J4321" s="29" t="s">
        <v>4087</v>
      </c>
      <c r="K4321" s="29"/>
      <c r="L4321" s="29" t="s">
        <v>751</v>
      </c>
      <c r="M4321" s="29"/>
      <c r="N4321" s="29" t="s">
        <v>2314</v>
      </c>
      <c r="O4321" s="29"/>
      <c r="P4321" s="29" t="s">
        <v>11646</v>
      </c>
      <c r="Q4321" t="s">
        <v>2038</v>
      </c>
      <c r="R4321" t="s">
        <v>2635</v>
      </c>
      <c r="S4321">
        <v>37</v>
      </c>
      <c r="T4321" s="43" t="str">
        <f t="shared" si="206"/>
        <v>2021.007D.R.Polyomaviridae_2ngen_117rensp.zip</v>
      </c>
      <c r="U4321" s="43" t="str">
        <f>HYPERLINK("https://ictv.global/taxonomy/taxondetails?taxnode_id=202209582","ictv.global=202209582")</f>
        <v>ictv.global=202209582</v>
      </c>
    </row>
    <row r="4322" spans="1:21">
      <c r="A4322">
        <v>4321</v>
      </c>
      <c r="B4322" s="29" t="s">
        <v>4053</v>
      </c>
      <c r="C4322" s="29"/>
      <c r="D4322" s="29" t="s">
        <v>4082</v>
      </c>
      <c r="E4322" s="29"/>
      <c r="F4322" s="29" t="s">
        <v>4083</v>
      </c>
      <c r="G4322" s="29"/>
      <c r="H4322" s="29" t="s">
        <v>4086</v>
      </c>
      <c r="I4322" s="29"/>
      <c r="J4322" s="29" t="s">
        <v>4087</v>
      </c>
      <c r="K4322" s="29"/>
      <c r="L4322" s="29" t="s">
        <v>751</v>
      </c>
      <c r="M4322" s="29"/>
      <c r="N4322" s="29" t="s">
        <v>2314</v>
      </c>
      <c r="O4322" s="29"/>
      <c r="P4322" s="29" t="s">
        <v>11647</v>
      </c>
      <c r="Q4322" t="s">
        <v>2038</v>
      </c>
      <c r="R4322" t="s">
        <v>2635</v>
      </c>
      <c r="S4322">
        <v>37</v>
      </c>
      <c r="T4322" s="43" t="str">
        <f t="shared" si="206"/>
        <v>2021.007D.R.Polyomaviridae_2ngen_117rensp.zip</v>
      </c>
      <c r="U4322" s="43" t="str">
        <f>HYPERLINK("https://ictv.global/taxonomy/taxondetails?taxnode_id=202204415","ictv.global=202204415")</f>
        <v>ictv.global=202204415</v>
      </c>
    </row>
    <row r="4323" spans="1:21">
      <c r="A4323">
        <v>4322</v>
      </c>
      <c r="B4323" s="29" t="s">
        <v>4053</v>
      </c>
      <c r="C4323" s="29"/>
      <c r="D4323" s="29" t="s">
        <v>4082</v>
      </c>
      <c r="E4323" s="29"/>
      <c r="F4323" s="29" t="s">
        <v>4083</v>
      </c>
      <c r="G4323" s="29"/>
      <c r="H4323" s="29" t="s">
        <v>4086</v>
      </c>
      <c r="I4323" s="29"/>
      <c r="J4323" s="29" t="s">
        <v>4087</v>
      </c>
      <c r="K4323" s="29"/>
      <c r="L4323" s="29" t="s">
        <v>751</v>
      </c>
      <c r="M4323" s="29"/>
      <c r="N4323" s="29" t="s">
        <v>2314</v>
      </c>
      <c r="O4323" s="29"/>
      <c r="P4323" s="29" t="s">
        <v>11648</v>
      </c>
      <c r="Q4323" t="s">
        <v>2038</v>
      </c>
      <c r="R4323" t="s">
        <v>2635</v>
      </c>
      <c r="S4323">
        <v>37</v>
      </c>
      <c r="T4323" s="43" t="str">
        <f t="shared" si="206"/>
        <v>2021.007D.R.Polyomaviridae_2ngen_117rensp.zip</v>
      </c>
      <c r="U4323" s="43" t="str">
        <f>HYPERLINK("https://ictv.global/taxonomy/taxondetails?taxnode_id=202209587","ictv.global=202209587")</f>
        <v>ictv.global=202209587</v>
      </c>
    </row>
    <row r="4324" spans="1:21">
      <c r="A4324">
        <v>4323</v>
      </c>
      <c r="B4324" s="29" t="s">
        <v>4053</v>
      </c>
      <c r="C4324" s="29"/>
      <c r="D4324" s="29" t="s">
        <v>4082</v>
      </c>
      <c r="E4324" s="29"/>
      <c r="F4324" s="29" t="s">
        <v>4083</v>
      </c>
      <c r="G4324" s="29"/>
      <c r="H4324" s="29" t="s">
        <v>4086</v>
      </c>
      <c r="I4324" s="29"/>
      <c r="J4324" s="29" t="s">
        <v>4087</v>
      </c>
      <c r="K4324" s="29"/>
      <c r="L4324" s="29" t="s">
        <v>751</v>
      </c>
      <c r="M4324" s="29"/>
      <c r="N4324" s="29" t="s">
        <v>2314</v>
      </c>
      <c r="O4324" s="29"/>
      <c r="P4324" s="29" t="s">
        <v>11649</v>
      </c>
      <c r="Q4324" t="s">
        <v>2038</v>
      </c>
      <c r="R4324" t="s">
        <v>2635</v>
      </c>
      <c r="S4324">
        <v>37</v>
      </c>
      <c r="T4324" s="43" t="str">
        <f t="shared" si="206"/>
        <v>2021.007D.R.Polyomaviridae_2ngen_117rensp.zip</v>
      </c>
      <c r="U4324" s="43" t="str">
        <f>HYPERLINK("https://ictv.global/taxonomy/taxondetails?taxnode_id=202204416","ictv.global=202204416")</f>
        <v>ictv.global=202204416</v>
      </c>
    </row>
    <row r="4325" spans="1:21">
      <c r="A4325">
        <v>4324</v>
      </c>
      <c r="B4325" s="29" t="s">
        <v>4053</v>
      </c>
      <c r="C4325" s="29"/>
      <c r="D4325" s="29" t="s">
        <v>4082</v>
      </c>
      <c r="E4325" s="29"/>
      <c r="F4325" s="29" t="s">
        <v>4083</v>
      </c>
      <c r="G4325" s="29"/>
      <c r="H4325" s="29" t="s">
        <v>4086</v>
      </c>
      <c r="I4325" s="29"/>
      <c r="J4325" s="29" t="s">
        <v>4087</v>
      </c>
      <c r="K4325" s="29"/>
      <c r="L4325" s="29" t="s">
        <v>751</v>
      </c>
      <c r="M4325" s="29"/>
      <c r="N4325" s="29" t="s">
        <v>2314</v>
      </c>
      <c r="O4325" s="29"/>
      <c r="P4325" s="29" t="s">
        <v>11650</v>
      </c>
      <c r="Q4325" t="s">
        <v>2038</v>
      </c>
      <c r="R4325" t="s">
        <v>2635</v>
      </c>
      <c r="S4325">
        <v>37</v>
      </c>
      <c r="T4325" s="43" t="str">
        <f t="shared" si="206"/>
        <v>2021.007D.R.Polyomaviridae_2ngen_117rensp.zip</v>
      </c>
      <c r="U4325" s="43" t="str">
        <f>HYPERLINK("https://ictv.global/taxonomy/taxondetails?taxnode_id=202204417","ictv.global=202204417")</f>
        <v>ictv.global=202204417</v>
      </c>
    </row>
    <row r="4326" spans="1:21">
      <c r="A4326">
        <v>4325</v>
      </c>
      <c r="B4326" s="29" t="s">
        <v>4053</v>
      </c>
      <c r="C4326" s="29"/>
      <c r="D4326" s="29" t="s">
        <v>4082</v>
      </c>
      <c r="E4326" s="29"/>
      <c r="F4326" s="29" t="s">
        <v>4083</v>
      </c>
      <c r="G4326" s="29"/>
      <c r="H4326" s="29" t="s">
        <v>4086</v>
      </c>
      <c r="I4326" s="29"/>
      <c r="J4326" s="29" t="s">
        <v>4087</v>
      </c>
      <c r="K4326" s="29"/>
      <c r="L4326" s="29" t="s">
        <v>751</v>
      </c>
      <c r="M4326" s="29"/>
      <c r="N4326" s="29" t="s">
        <v>2314</v>
      </c>
      <c r="O4326" s="29"/>
      <c r="P4326" s="29" t="s">
        <v>11651</v>
      </c>
      <c r="Q4326" t="s">
        <v>2038</v>
      </c>
      <c r="R4326" t="s">
        <v>2635</v>
      </c>
      <c r="S4326">
        <v>37</v>
      </c>
      <c r="T4326" s="43" t="str">
        <f t="shared" si="206"/>
        <v>2021.007D.R.Polyomaviridae_2ngen_117rensp.zip</v>
      </c>
      <c r="U4326" s="43" t="str">
        <f>HYPERLINK("https://ictv.global/taxonomy/taxondetails?taxnode_id=202204418","ictv.global=202204418")</f>
        <v>ictv.global=202204418</v>
      </c>
    </row>
    <row r="4327" spans="1:21">
      <c r="A4327">
        <v>4326</v>
      </c>
      <c r="B4327" s="29" t="s">
        <v>4053</v>
      </c>
      <c r="C4327" s="29"/>
      <c r="D4327" s="29" t="s">
        <v>4082</v>
      </c>
      <c r="E4327" s="29"/>
      <c r="F4327" s="29" t="s">
        <v>4083</v>
      </c>
      <c r="G4327" s="29"/>
      <c r="H4327" s="29" t="s">
        <v>4086</v>
      </c>
      <c r="I4327" s="29"/>
      <c r="J4327" s="29" t="s">
        <v>4087</v>
      </c>
      <c r="K4327" s="29"/>
      <c r="L4327" s="29" t="s">
        <v>751</v>
      </c>
      <c r="M4327" s="29"/>
      <c r="N4327" s="29" t="s">
        <v>2314</v>
      </c>
      <c r="O4327" s="29"/>
      <c r="P4327" s="29" t="s">
        <v>11652</v>
      </c>
      <c r="Q4327" t="s">
        <v>2038</v>
      </c>
      <c r="R4327" t="s">
        <v>2635</v>
      </c>
      <c r="S4327">
        <v>37</v>
      </c>
      <c r="T4327" s="43" t="str">
        <f t="shared" si="206"/>
        <v>2021.007D.R.Polyomaviridae_2ngen_117rensp.zip</v>
      </c>
      <c r="U4327" s="43" t="str">
        <f>HYPERLINK("https://ictv.global/taxonomy/taxondetails?taxnode_id=202204420","ictv.global=202204420")</f>
        <v>ictv.global=202204420</v>
      </c>
    </row>
    <row r="4328" spans="1:21">
      <c r="A4328">
        <v>4327</v>
      </c>
      <c r="B4328" s="29" t="s">
        <v>4053</v>
      </c>
      <c r="C4328" s="29"/>
      <c r="D4328" s="29" t="s">
        <v>4082</v>
      </c>
      <c r="E4328" s="29"/>
      <c r="F4328" s="29" t="s">
        <v>4083</v>
      </c>
      <c r="G4328" s="29"/>
      <c r="H4328" s="29" t="s">
        <v>4086</v>
      </c>
      <c r="I4328" s="29"/>
      <c r="J4328" s="29" t="s">
        <v>4087</v>
      </c>
      <c r="K4328" s="29"/>
      <c r="L4328" s="29" t="s">
        <v>751</v>
      </c>
      <c r="M4328" s="29"/>
      <c r="N4328" s="29" t="s">
        <v>2314</v>
      </c>
      <c r="O4328" s="29"/>
      <c r="P4328" s="29" t="s">
        <v>11653</v>
      </c>
      <c r="Q4328" t="s">
        <v>2038</v>
      </c>
      <c r="R4328" t="s">
        <v>2635</v>
      </c>
      <c r="S4328">
        <v>37</v>
      </c>
      <c r="T4328" s="43" t="str">
        <f t="shared" si="206"/>
        <v>2021.007D.R.Polyomaviridae_2ngen_117rensp.zip</v>
      </c>
      <c r="U4328" s="43" t="str">
        <f>HYPERLINK("https://ictv.global/taxonomy/taxondetails?taxnode_id=202204421","ictv.global=202204421")</f>
        <v>ictv.global=202204421</v>
      </c>
    </row>
    <row r="4329" spans="1:21">
      <c r="A4329">
        <v>4328</v>
      </c>
      <c r="B4329" s="29" t="s">
        <v>4053</v>
      </c>
      <c r="C4329" s="29"/>
      <c r="D4329" s="29" t="s">
        <v>4082</v>
      </c>
      <c r="E4329" s="29"/>
      <c r="F4329" s="29" t="s">
        <v>4083</v>
      </c>
      <c r="G4329" s="29"/>
      <c r="H4329" s="29" t="s">
        <v>4086</v>
      </c>
      <c r="I4329" s="29"/>
      <c r="J4329" s="29" t="s">
        <v>4087</v>
      </c>
      <c r="K4329" s="29"/>
      <c r="L4329" s="29" t="s">
        <v>751</v>
      </c>
      <c r="M4329" s="29"/>
      <c r="N4329" s="29" t="s">
        <v>2314</v>
      </c>
      <c r="O4329" s="29"/>
      <c r="P4329" s="29" t="s">
        <v>11654</v>
      </c>
      <c r="Q4329" t="s">
        <v>2038</v>
      </c>
      <c r="R4329" t="s">
        <v>2635</v>
      </c>
      <c r="S4329">
        <v>37</v>
      </c>
      <c r="T4329" s="43" t="str">
        <f t="shared" si="206"/>
        <v>2021.007D.R.Polyomaviridae_2ngen_117rensp.zip</v>
      </c>
      <c r="U4329" s="43" t="str">
        <f>HYPERLINK("https://ictv.global/taxonomy/taxondetails?taxnode_id=202204422","ictv.global=202204422")</f>
        <v>ictv.global=202204422</v>
      </c>
    </row>
    <row r="4330" spans="1:21">
      <c r="A4330">
        <v>4329</v>
      </c>
      <c r="B4330" s="29" t="s">
        <v>4053</v>
      </c>
      <c r="C4330" s="29"/>
      <c r="D4330" s="29" t="s">
        <v>4082</v>
      </c>
      <c r="E4330" s="29"/>
      <c r="F4330" s="29" t="s">
        <v>4083</v>
      </c>
      <c r="G4330" s="29"/>
      <c r="H4330" s="29" t="s">
        <v>4086</v>
      </c>
      <c r="I4330" s="29"/>
      <c r="J4330" s="29" t="s">
        <v>4087</v>
      </c>
      <c r="K4330" s="29"/>
      <c r="L4330" s="29" t="s">
        <v>751</v>
      </c>
      <c r="M4330" s="29"/>
      <c r="N4330" s="29" t="s">
        <v>2314</v>
      </c>
      <c r="O4330" s="29"/>
      <c r="P4330" s="29" t="s">
        <v>11655</v>
      </c>
      <c r="Q4330" t="s">
        <v>2038</v>
      </c>
      <c r="R4330" t="s">
        <v>2635</v>
      </c>
      <c r="S4330">
        <v>37</v>
      </c>
      <c r="T4330" s="43" t="str">
        <f t="shared" si="206"/>
        <v>2021.007D.R.Polyomaviridae_2ngen_117rensp.zip</v>
      </c>
      <c r="U4330" s="43" t="str">
        <f>HYPERLINK("https://ictv.global/taxonomy/taxondetails?taxnode_id=202204428","ictv.global=202204428")</f>
        <v>ictv.global=202204428</v>
      </c>
    </row>
    <row r="4331" spans="1:21">
      <c r="A4331">
        <v>4330</v>
      </c>
      <c r="B4331" s="29" t="s">
        <v>4053</v>
      </c>
      <c r="C4331" s="29"/>
      <c r="D4331" s="29" t="s">
        <v>4082</v>
      </c>
      <c r="E4331" s="29"/>
      <c r="F4331" s="29" t="s">
        <v>4083</v>
      </c>
      <c r="G4331" s="29"/>
      <c r="H4331" s="29" t="s">
        <v>4086</v>
      </c>
      <c r="I4331" s="29"/>
      <c r="J4331" s="29" t="s">
        <v>4087</v>
      </c>
      <c r="K4331" s="29"/>
      <c r="L4331" s="29" t="s">
        <v>751</v>
      </c>
      <c r="M4331" s="29"/>
      <c r="N4331" s="29" t="s">
        <v>2314</v>
      </c>
      <c r="O4331" s="29"/>
      <c r="P4331" s="29" t="s">
        <v>11656</v>
      </c>
      <c r="Q4331" t="s">
        <v>2038</v>
      </c>
      <c r="R4331" t="s">
        <v>2635</v>
      </c>
      <c r="S4331">
        <v>37</v>
      </c>
      <c r="T4331" s="43" t="str">
        <f t="shared" si="206"/>
        <v>2021.007D.R.Polyomaviridae_2ngen_117rensp.zip</v>
      </c>
      <c r="U4331" s="43" t="str">
        <f>HYPERLINK("https://ictv.global/taxonomy/taxondetails?taxnode_id=202204429","ictv.global=202204429")</f>
        <v>ictv.global=202204429</v>
      </c>
    </row>
    <row r="4332" spans="1:21">
      <c r="A4332">
        <v>4331</v>
      </c>
      <c r="B4332" s="29" t="s">
        <v>4053</v>
      </c>
      <c r="C4332" s="29"/>
      <c r="D4332" s="29" t="s">
        <v>4082</v>
      </c>
      <c r="E4332" s="29"/>
      <c r="F4332" s="29" t="s">
        <v>4083</v>
      </c>
      <c r="G4332" s="29"/>
      <c r="H4332" s="29" t="s">
        <v>4086</v>
      </c>
      <c r="I4332" s="29"/>
      <c r="J4332" s="29" t="s">
        <v>4087</v>
      </c>
      <c r="K4332" s="29"/>
      <c r="L4332" s="29" t="s">
        <v>751</v>
      </c>
      <c r="M4332" s="29"/>
      <c r="N4332" s="29" t="s">
        <v>2314</v>
      </c>
      <c r="O4332" s="29"/>
      <c r="P4332" s="29" t="s">
        <v>11657</v>
      </c>
      <c r="Q4332" t="s">
        <v>2038</v>
      </c>
      <c r="R4332" t="s">
        <v>2635</v>
      </c>
      <c r="S4332">
        <v>37</v>
      </c>
      <c r="T4332" s="43" t="str">
        <f t="shared" si="206"/>
        <v>2021.007D.R.Polyomaviridae_2ngen_117rensp.zip</v>
      </c>
      <c r="U4332" s="43" t="str">
        <f>HYPERLINK("https://ictv.global/taxonomy/taxondetails?taxnode_id=202206343","ictv.global=202206343")</f>
        <v>ictv.global=202206343</v>
      </c>
    </row>
    <row r="4333" spans="1:21">
      <c r="A4333">
        <v>4332</v>
      </c>
      <c r="B4333" s="29" t="s">
        <v>4053</v>
      </c>
      <c r="C4333" s="29"/>
      <c r="D4333" s="29" t="s">
        <v>4082</v>
      </c>
      <c r="E4333" s="29"/>
      <c r="F4333" s="29" t="s">
        <v>4083</v>
      </c>
      <c r="G4333" s="29"/>
      <c r="H4333" s="29" t="s">
        <v>4086</v>
      </c>
      <c r="I4333" s="29"/>
      <c r="J4333" s="29" t="s">
        <v>4087</v>
      </c>
      <c r="K4333" s="29"/>
      <c r="L4333" s="29" t="s">
        <v>751</v>
      </c>
      <c r="M4333" s="29"/>
      <c r="N4333" s="29" t="s">
        <v>2314</v>
      </c>
      <c r="O4333" s="29"/>
      <c r="P4333" s="29" t="s">
        <v>11658</v>
      </c>
      <c r="Q4333" t="s">
        <v>2038</v>
      </c>
      <c r="R4333" t="s">
        <v>2635</v>
      </c>
      <c r="S4333">
        <v>37</v>
      </c>
      <c r="T4333" s="43" t="str">
        <f t="shared" si="206"/>
        <v>2021.007D.R.Polyomaviridae_2ngen_117rensp.zip</v>
      </c>
      <c r="U4333" s="43" t="str">
        <f>HYPERLINK("https://ictv.global/taxonomy/taxondetails?taxnode_id=202204430","ictv.global=202204430")</f>
        <v>ictv.global=202204430</v>
      </c>
    </row>
    <row r="4334" spans="1:21">
      <c r="A4334">
        <v>4333</v>
      </c>
      <c r="B4334" s="29" t="s">
        <v>4053</v>
      </c>
      <c r="C4334" s="29"/>
      <c r="D4334" s="29" t="s">
        <v>4082</v>
      </c>
      <c r="E4334" s="29"/>
      <c r="F4334" s="29" t="s">
        <v>4083</v>
      </c>
      <c r="G4334" s="29"/>
      <c r="H4334" s="29" t="s">
        <v>4086</v>
      </c>
      <c r="I4334" s="29"/>
      <c r="J4334" s="29" t="s">
        <v>4087</v>
      </c>
      <c r="K4334" s="29"/>
      <c r="L4334" s="29" t="s">
        <v>751</v>
      </c>
      <c r="M4334" s="29"/>
      <c r="N4334" s="29" t="s">
        <v>2314</v>
      </c>
      <c r="O4334" s="29"/>
      <c r="P4334" s="29" t="s">
        <v>11659</v>
      </c>
      <c r="Q4334" t="s">
        <v>2038</v>
      </c>
      <c r="R4334" t="s">
        <v>2635</v>
      </c>
      <c r="S4334">
        <v>37</v>
      </c>
      <c r="T4334" s="43" t="str">
        <f t="shared" si="206"/>
        <v>2021.007D.R.Polyomaviridae_2ngen_117rensp.zip</v>
      </c>
      <c r="U4334" s="43" t="str">
        <f>HYPERLINK("https://ictv.global/taxonomy/taxondetails?taxnode_id=202204431","ictv.global=202204431")</f>
        <v>ictv.global=202204431</v>
      </c>
    </row>
    <row r="4335" spans="1:21">
      <c r="A4335">
        <v>4334</v>
      </c>
      <c r="B4335" s="29" t="s">
        <v>4053</v>
      </c>
      <c r="C4335" s="29"/>
      <c r="D4335" s="29" t="s">
        <v>4082</v>
      </c>
      <c r="E4335" s="29"/>
      <c r="F4335" s="29" t="s">
        <v>4083</v>
      </c>
      <c r="G4335" s="29"/>
      <c r="H4335" s="29" t="s">
        <v>4086</v>
      </c>
      <c r="I4335" s="29"/>
      <c r="J4335" s="29" t="s">
        <v>4087</v>
      </c>
      <c r="K4335" s="29"/>
      <c r="L4335" s="29" t="s">
        <v>751</v>
      </c>
      <c r="M4335" s="29"/>
      <c r="N4335" s="29" t="s">
        <v>2314</v>
      </c>
      <c r="O4335" s="29"/>
      <c r="P4335" s="29" t="s">
        <v>11660</v>
      </c>
      <c r="Q4335" t="s">
        <v>2038</v>
      </c>
      <c r="R4335" t="s">
        <v>2635</v>
      </c>
      <c r="S4335">
        <v>37</v>
      </c>
      <c r="T4335" s="43" t="str">
        <f t="shared" si="206"/>
        <v>2021.007D.R.Polyomaviridae_2ngen_117rensp.zip</v>
      </c>
      <c r="U4335" s="43" t="str">
        <f>HYPERLINK("https://ictv.global/taxonomy/taxondetails?taxnode_id=202204425","ictv.global=202204425")</f>
        <v>ictv.global=202204425</v>
      </c>
    </row>
    <row r="4336" spans="1:21">
      <c r="A4336">
        <v>4335</v>
      </c>
      <c r="B4336" s="29" t="s">
        <v>4053</v>
      </c>
      <c r="C4336" s="29"/>
      <c r="D4336" s="29" t="s">
        <v>4082</v>
      </c>
      <c r="E4336" s="29"/>
      <c r="F4336" s="29" t="s">
        <v>4083</v>
      </c>
      <c r="G4336" s="29"/>
      <c r="H4336" s="29" t="s">
        <v>4086</v>
      </c>
      <c r="I4336" s="29"/>
      <c r="J4336" s="29" t="s">
        <v>4087</v>
      </c>
      <c r="K4336" s="29"/>
      <c r="L4336" s="29" t="s">
        <v>751</v>
      </c>
      <c r="M4336" s="29"/>
      <c r="N4336" s="29" t="s">
        <v>2314</v>
      </c>
      <c r="O4336" s="29"/>
      <c r="P4336" s="29" t="s">
        <v>11661</v>
      </c>
      <c r="Q4336" t="s">
        <v>2038</v>
      </c>
      <c r="R4336" t="s">
        <v>2635</v>
      </c>
      <c r="S4336">
        <v>37</v>
      </c>
      <c r="T4336" s="43" t="str">
        <f t="shared" si="206"/>
        <v>2021.007D.R.Polyomaviridae_2ngen_117rensp.zip</v>
      </c>
      <c r="U4336" s="43" t="str">
        <f>HYPERLINK("https://ictv.global/taxonomy/taxondetails?taxnode_id=202204424","ictv.global=202204424")</f>
        <v>ictv.global=202204424</v>
      </c>
    </row>
    <row r="4337" spans="1:21">
      <c r="A4337">
        <v>4336</v>
      </c>
      <c r="B4337" s="29" t="s">
        <v>4053</v>
      </c>
      <c r="C4337" s="29"/>
      <c r="D4337" s="29" t="s">
        <v>4082</v>
      </c>
      <c r="E4337" s="29"/>
      <c r="F4337" s="29" t="s">
        <v>4083</v>
      </c>
      <c r="G4337" s="29"/>
      <c r="H4337" s="29" t="s">
        <v>4086</v>
      </c>
      <c r="I4337" s="29"/>
      <c r="J4337" s="29" t="s">
        <v>4087</v>
      </c>
      <c r="K4337" s="29"/>
      <c r="L4337" s="29" t="s">
        <v>751</v>
      </c>
      <c r="M4337" s="29"/>
      <c r="N4337" s="29" t="s">
        <v>2314</v>
      </c>
      <c r="O4337" s="29"/>
      <c r="P4337" s="29" t="s">
        <v>11662</v>
      </c>
      <c r="Q4337" t="s">
        <v>2038</v>
      </c>
      <c r="R4337" t="s">
        <v>2635</v>
      </c>
      <c r="S4337">
        <v>37</v>
      </c>
      <c r="T4337" s="43" t="str">
        <f t="shared" si="206"/>
        <v>2021.007D.R.Polyomaviridae_2ngen_117rensp.zip</v>
      </c>
      <c r="U4337" s="43" t="str">
        <f>HYPERLINK("https://ictv.global/taxonomy/taxondetails?taxnode_id=202204432","ictv.global=202204432")</f>
        <v>ictv.global=202204432</v>
      </c>
    </row>
    <row r="4338" spans="1:21">
      <c r="A4338">
        <v>4337</v>
      </c>
      <c r="B4338" s="29" t="s">
        <v>4053</v>
      </c>
      <c r="C4338" s="29"/>
      <c r="D4338" s="29" t="s">
        <v>4082</v>
      </c>
      <c r="E4338" s="29"/>
      <c r="F4338" s="29" t="s">
        <v>4083</v>
      </c>
      <c r="G4338" s="29"/>
      <c r="H4338" s="29" t="s">
        <v>4086</v>
      </c>
      <c r="I4338" s="29"/>
      <c r="J4338" s="29" t="s">
        <v>4087</v>
      </c>
      <c r="K4338" s="29"/>
      <c r="L4338" s="29" t="s">
        <v>751</v>
      </c>
      <c r="M4338" s="29"/>
      <c r="N4338" s="29" t="s">
        <v>2314</v>
      </c>
      <c r="O4338" s="29"/>
      <c r="P4338" s="29" t="s">
        <v>11663</v>
      </c>
      <c r="Q4338" t="s">
        <v>2038</v>
      </c>
      <c r="R4338" t="s">
        <v>2635</v>
      </c>
      <c r="S4338">
        <v>37</v>
      </c>
      <c r="T4338" s="43" t="str">
        <f t="shared" si="206"/>
        <v>2021.007D.R.Polyomaviridae_2ngen_117rensp.zip</v>
      </c>
      <c r="U4338" s="43" t="str">
        <f>HYPERLINK("https://ictv.global/taxonomy/taxondetails?taxnode_id=202204441","ictv.global=202204441")</f>
        <v>ictv.global=202204441</v>
      </c>
    </row>
    <row r="4339" spans="1:21">
      <c r="A4339">
        <v>4338</v>
      </c>
      <c r="B4339" s="29" t="s">
        <v>4053</v>
      </c>
      <c r="C4339" s="29"/>
      <c r="D4339" s="29" t="s">
        <v>4082</v>
      </c>
      <c r="E4339" s="29"/>
      <c r="F4339" s="29" t="s">
        <v>4083</v>
      </c>
      <c r="G4339" s="29"/>
      <c r="H4339" s="29" t="s">
        <v>4086</v>
      </c>
      <c r="I4339" s="29"/>
      <c r="J4339" s="29" t="s">
        <v>4087</v>
      </c>
      <c r="K4339" s="29"/>
      <c r="L4339" s="29" t="s">
        <v>751</v>
      </c>
      <c r="M4339" s="29"/>
      <c r="N4339" s="29" t="s">
        <v>2314</v>
      </c>
      <c r="O4339" s="29"/>
      <c r="P4339" s="29" t="s">
        <v>11664</v>
      </c>
      <c r="Q4339" t="s">
        <v>2038</v>
      </c>
      <c r="R4339" t="s">
        <v>2635</v>
      </c>
      <c r="S4339">
        <v>37</v>
      </c>
      <c r="T4339" s="43" t="str">
        <f t="shared" si="206"/>
        <v>2021.007D.R.Polyomaviridae_2ngen_117rensp.zip</v>
      </c>
      <c r="U4339" s="43" t="str">
        <f>HYPERLINK("https://ictv.global/taxonomy/taxondetails?taxnode_id=202204434","ictv.global=202204434")</f>
        <v>ictv.global=202204434</v>
      </c>
    </row>
    <row r="4340" spans="1:21">
      <c r="A4340">
        <v>4339</v>
      </c>
      <c r="B4340" s="29" t="s">
        <v>4053</v>
      </c>
      <c r="C4340" s="29"/>
      <c r="D4340" s="29" t="s">
        <v>4082</v>
      </c>
      <c r="E4340" s="29"/>
      <c r="F4340" s="29" t="s">
        <v>4083</v>
      </c>
      <c r="G4340" s="29"/>
      <c r="H4340" s="29" t="s">
        <v>4086</v>
      </c>
      <c r="I4340" s="29"/>
      <c r="J4340" s="29" t="s">
        <v>4087</v>
      </c>
      <c r="K4340" s="29"/>
      <c r="L4340" s="29" t="s">
        <v>751</v>
      </c>
      <c r="M4340" s="29"/>
      <c r="N4340" s="29" t="s">
        <v>2314</v>
      </c>
      <c r="O4340" s="29"/>
      <c r="P4340" s="29" t="s">
        <v>11665</v>
      </c>
      <c r="Q4340" t="s">
        <v>2038</v>
      </c>
      <c r="R4340" t="s">
        <v>2635</v>
      </c>
      <c r="S4340">
        <v>37</v>
      </c>
      <c r="T4340" s="43" t="str">
        <f t="shared" si="206"/>
        <v>2021.007D.R.Polyomaviridae_2ngen_117rensp.zip</v>
      </c>
      <c r="U4340" s="43" t="str">
        <f>HYPERLINK("https://ictv.global/taxonomy/taxondetails?taxnode_id=202209586","ictv.global=202209586")</f>
        <v>ictv.global=202209586</v>
      </c>
    </row>
    <row r="4341" spans="1:21">
      <c r="A4341">
        <v>4340</v>
      </c>
      <c r="B4341" s="29" t="s">
        <v>4053</v>
      </c>
      <c r="C4341" s="29"/>
      <c r="D4341" s="29" t="s">
        <v>4082</v>
      </c>
      <c r="E4341" s="29"/>
      <c r="F4341" s="29" t="s">
        <v>4083</v>
      </c>
      <c r="G4341" s="29"/>
      <c r="H4341" s="29" t="s">
        <v>4086</v>
      </c>
      <c r="I4341" s="29"/>
      <c r="J4341" s="29" t="s">
        <v>4087</v>
      </c>
      <c r="K4341" s="29"/>
      <c r="L4341" s="29" t="s">
        <v>751</v>
      </c>
      <c r="M4341" s="29"/>
      <c r="N4341" s="29" t="s">
        <v>2314</v>
      </c>
      <c r="O4341" s="29"/>
      <c r="P4341" s="29" t="s">
        <v>11666</v>
      </c>
      <c r="Q4341" t="s">
        <v>2038</v>
      </c>
      <c r="R4341" t="s">
        <v>2635</v>
      </c>
      <c r="S4341">
        <v>37</v>
      </c>
      <c r="T4341" s="43" t="str">
        <f t="shared" si="206"/>
        <v>2021.007D.R.Polyomaviridae_2ngen_117rensp.zip</v>
      </c>
      <c r="U4341" s="43" t="str">
        <f>HYPERLINK("https://ictv.global/taxonomy/taxondetails?taxnode_id=202205904","ictv.global=202205904")</f>
        <v>ictv.global=202205904</v>
      </c>
    </row>
    <row r="4342" spans="1:21">
      <c r="A4342">
        <v>4341</v>
      </c>
      <c r="B4342" s="29" t="s">
        <v>4053</v>
      </c>
      <c r="C4342" s="29"/>
      <c r="D4342" s="29" t="s">
        <v>4082</v>
      </c>
      <c r="E4342" s="29"/>
      <c r="F4342" s="29" t="s">
        <v>4083</v>
      </c>
      <c r="G4342" s="29"/>
      <c r="H4342" s="29" t="s">
        <v>4086</v>
      </c>
      <c r="I4342" s="29"/>
      <c r="J4342" s="29" t="s">
        <v>4087</v>
      </c>
      <c r="K4342" s="29"/>
      <c r="L4342" s="29" t="s">
        <v>751</v>
      </c>
      <c r="M4342" s="29"/>
      <c r="N4342" s="29" t="s">
        <v>2314</v>
      </c>
      <c r="O4342" s="29"/>
      <c r="P4342" s="29" t="s">
        <v>11667</v>
      </c>
      <c r="Q4342" t="s">
        <v>2038</v>
      </c>
      <c r="R4342" t="s">
        <v>2635</v>
      </c>
      <c r="S4342">
        <v>37</v>
      </c>
      <c r="T4342" s="43" t="str">
        <f t="shared" si="206"/>
        <v>2021.007D.R.Polyomaviridae_2ngen_117rensp.zip</v>
      </c>
      <c r="U4342" s="43" t="str">
        <f>HYPERLINK("https://ictv.global/taxonomy/taxondetails?taxnode_id=202204442","ictv.global=202204442")</f>
        <v>ictv.global=202204442</v>
      </c>
    </row>
    <row r="4343" spans="1:21">
      <c r="A4343">
        <v>4342</v>
      </c>
      <c r="B4343" s="29" t="s">
        <v>4053</v>
      </c>
      <c r="C4343" s="29"/>
      <c r="D4343" s="29" t="s">
        <v>4082</v>
      </c>
      <c r="E4343" s="29"/>
      <c r="F4343" s="29" t="s">
        <v>4083</v>
      </c>
      <c r="G4343" s="29"/>
      <c r="H4343" s="29" t="s">
        <v>4086</v>
      </c>
      <c r="I4343" s="29"/>
      <c r="J4343" s="29" t="s">
        <v>4087</v>
      </c>
      <c r="K4343" s="29"/>
      <c r="L4343" s="29" t="s">
        <v>751</v>
      </c>
      <c r="M4343" s="29"/>
      <c r="N4343" s="29" t="s">
        <v>2314</v>
      </c>
      <c r="O4343" s="29"/>
      <c r="P4343" s="29" t="s">
        <v>11668</v>
      </c>
      <c r="Q4343" t="s">
        <v>2038</v>
      </c>
      <c r="R4343" t="s">
        <v>2635</v>
      </c>
      <c r="S4343">
        <v>37</v>
      </c>
      <c r="T4343" s="43" t="str">
        <f t="shared" si="206"/>
        <v>2021.007D.R.Polyomaviridae_2ngen_117rensp.zip</v>
      </c>
      <c r="U4343" s="43" t="str">
        <f>HYPERLINK("https://ictv.global/taxonomy/taxondetails?taxnode_id=202204443","ictv.global=202204443")</f>
        <v>ictv.global=202204443</v>
      </c>
    </row>
    <row r="4344" spans="1:21">
      <c r="A4344">
        <v>4343</v>
      </c>
      <c r="B4344" s="29" t="s">
        <v>4053</v>
      </c>
      <c r="C4344" s="29"/>
      <c r="D4344" s="29" t="s">
        <v>4082</v>
      </c>
      <c r="E4344" s="29"/>
      <c r="F4344" s="29" t="s">
        <v>4083</v>
      </c>
      <c r="G4344" s="29"/>
      <c r="H4344" s="29" t="s">
        <v>4086</v>
      </c>
      <c r="I4344" s="29"/>
      <c r="J4344" s="29" t="s">
        <v>4087</v>
      </c>
      <c r="K4344" s="29"/>
      <c r="L4344" s="29" t="s">
        <v>751</v>
      </c>
      <c r="M4344" s="29"/>
      <c r="N4344" s="29" t="s">
        <v>2314</v>
      </c>
      <c r="O4344" s="29"/>
      <c r="P4344" s="29" t="s">
        <v>11669</v>
      </c>
      <c r="Q4344" t="s">
        <v>2038</v>
      </c>
      <c r="R4344" t="s">
        <v>2635</v>
      </c>
      <c r="S4344">
        <v>37</v>
      </c>
      <c r="T4344" s="43" t="str">
        <f t="shared" si="206"/>
        <v>2021.007D.R.Polyomaviridae_2ngen_117rensp.zip</v>
      </c>
      <c r="U4344" s="43" t="str">
        <f>HYPERLINK("https://ictv.global/taxonomy/taxondetails?taxnode_id=202204444","ictv.global=202204444")</f>
        <v>ictv.global=202204444</v>
      </c>
    </row>
    <row r="4345" spans="1:21">
      <c r="A4345">
        <v>4344</v>
      </c>
      <c r="B4345" s="29" t="s">
        <v>4053</v>
      </c>
      <c r="C4345" s="29"/>
      <c r="D4345" s="29" t="s">
        <v>4082</v>
      </c>
      <c r="E4345" s="29"/>
      <c r="F4345" s="29" t="s">
        <v>4083</v>
      </c>
      <c r="G4345" s="29"/>
      <c r="H4345" s="29" t="s">
        <v>4086</v>
      </c>
      <c r="I4345" s="29"/>
      <c r="J4345" s="29" t="s">
        <v>4087</v>
      </c>
      <c r="K4345" s="29"/>
      <c r="L4345" s="29" t="s">
        <v>751</v>
      </c>
      <c r="M4345" s="29"/>
      <c r="N4345" s="29" t="s">
        <v>2314</v>
      </c>
      <c r="O4345" s="29"/>
      <c r="P4345" s="29" t="s">
        <v>11670</v>
      </c>
      <c r="Q4345" t="s">
        <v>2038</v>
      </c>
      <c r="R4345" t="s">
        <v>2635</v>
      </c>
      <c r="S4345">
        <v>37</v>
      </c>
      <c r="T4345" s="43" t="str">
        <f t="shared" si="206"/>
        <v>2021.007D.R.Polyomaviridae_2ngen_117rensp.zip</v>
      </c>
      <c r="U4345" s="43" t="str">
        <f>HYPERLINK("https://ictv.global/taxonomy/taxondetails?taxnode_id=202204445","ictv.global=202204445")</f>
        <v>ictv.global=202204445</v>
      </c>
    </row>
    <row r="4346" spans="1:21">
      <c r="A4346">
        <v>4345</v>
      </c>
      <c r="B4346" s="29" t="s">
        <v>4053</v>
      </c>
      <c r="C4346" s="29"/>
      <c r="D4346" s="29" t="s">
        <v>4082</v>
      </c>
      <c r="E4346" s="29"/>
      <c r="F4346" s="29" t="s">
        <v>4083</v>
      </c>
      <c r="G4346" s="29"/>
      <c r="H4346" s="29" t="s">
        <v>4086</v>
      </c>
      <c r="I4346" s="29"/>
      <c r="J4346" s="29" t="s">
        <v>4087</v>
      </c>
      <c r="K4346" s="29"/>
      <c r="L4346" s="29" t="s">
        <v>751</v>
      </c>
      <c r="M4346" s="29"/>
      <c r="N4346" s="29" t="s">
        <v>2314</v>
      </c>
      <c r="O4346" s="29"/>
      <c r="P4346" s="29" t="s">
        <v>11671</v>
      </c>
      <c r="Q4346" t="s">
        <v>2038</v>
      </c>
      <c r="R4346" t="s">
        <v>2635</v>
      </c>
      <c r="S4346">
        <v>37</v>
      </c>
      <c r="T4346" s="43" t="str">
        <f t="shared" si="206"/>
        <v>2021.007D.R.Polyomaviridae_2ngen_117rensp.zip</v>
      </c>
      <c r="U4346" s="43" t="str">
        <f>HYPERLINK("https://ictv.global/taxonomy/taxondetails?taxnode_id=202204446","ictv.global=202204446")</f>
        <v>ictv.global=202204446</v>
      </c>
    </row>
    <row r="4347" spans="1:21">
      <c r="A4347">
        <v>4346</v>
      </c>
      <c r="B4347" s="29" t="s">
        <v>4053</v>
      </c>
      <c r="C4347" s="29"/>
      <c r="D4347" s="29" t="s">
        <v>4082</v>
      </c>
      <c r="E4347" s="29"/>
      <c r="F4347" s="29" t="s">
        <v>4083</v>
      </c>
      <c r="G4347" s="29"/>
      <c r="H4347" s="29" t="s">
        <v>4086</v>
      </c>
      <c r="I4347" s="29"/>
      <c r="J4347" s="29" t="s">
        <v>4087</v>
      </c>
      <c r="K4347" s="29"/>
      <c r="L4347" s="29" t="s">
        <v>751</v>
      </c>
      <c r="M4347" s="29"/>
      <c r="N4347" s="29" t="s">
        <v>2314</v>
      </c>
      <c r="O4347" s="29"/>
      <c r="P4347" s="29" t="s">
        <v>11672</v>
      </c>
      <c r="Q4347" t="s">
        <v>2038</v>
      </c>
      <c r="R4347" t="s">
        <v>2635</v>
      </c>
      <c r="S4347">
        <v>37</v>
      </c>
      <c r="T4347" s="43" t="str">
        <f t="shared" si="206"/>
        <v>2021.007D.R.Polyomaviridae_2ngen_117rensp.zip</v>
      </c>
      <c r="U4347" s="43" t="str">
        <f>HYPERLINK("https://ictv.global/taxonomy/taxondetails?taxnode_id=202207113","ictv.global=202207113")</f>
        <v>ictv.global=202207113</v>
      </c>
    </row>
    <row r="4348" spans="1:21">
      <c r="A4348">
        <v>4347</v>
      </c>
      <c r="B4348" s="29" t="s">
        <v>4053</v>
      </c>
      <c r="C4348" s="29"/>
      <c r="D4348" s="29" t="s">
        <v>4082</v>
      </c>
      <c r="E4348" s="29"/>
      <c r="F4348" s="29" t="s">
        <v>4083</v>
      </c>
      <c r="G4348" s="29"/>
      <c r="H4348" s="29" t="s">
        <v>4086</v>
      </c>
      <c r="I4348" s="29"/>
      <c r="J4348" s="29" t="s">
        <v>4087</v>
      </c>
      <c r="K4348" s="29"/>
      <c r="L4348" s="29" t="s">
        <v>751</v>
      </c>
      <c r="M4348" s="29"/>
      <c r="N4348" s="29" t="s">
        <v>2314</v>
      </c>
      <c r="O4348" s="29"/>
      <c r="P4348" s="29" t="s">
        <v>11673</v>
      </c>
      <c r="Q4348" t="s">
        <v>2038</v>
      </c>
      <c r="R4348" t="s">
        <v>2635</v>
      </c>
      <c r="S4348">
        <v>37</v>
      </c>
      <c r="T4348" s="43" t="str">
        <f t="shared" si="206"/>
        <v>2021.007D.R.Polyomaviridae_2ngen_117rensp.zip</v>
      </c>
      <c r="U4348" s="43" t="str">
        <f>HYPERLINK("https://ictv.global/taxonomy/taxondetails?taxnode_id=202204437","ictv.global=202204437")</f>
        <v>ictv.global=202204437</v>
      </c>
    </row>
    <row r="4349" spans="1:21">
      <c r="A4349">
        <v>4348</v>
      </c>
      <c r="B4349" s="29" t="s">
        <v>4053</v>
      </c>
      <c r="C4349" s="29"/>
      <c r="D4349" s="29" t="s">
        <v>4082</v>
      </c>
      <c r="E4349" s="29"/>
      <c r="F4349" s="29" t="s">
        <v>4083</v>
      </c>
      <c r="G4349" s="29"/>
      <c r="H4349" s="29" t="s">
        <v>4086</v>
      </c>
      <c r="I4349" s="29"/>
      <c r="J4349" s="29" t="s">
        <v>4087</v>
      </c>
      <c r="K4349" s="29"/>
      <c r="L4349" s="29" t="s">
        <v>751</v>
      </c>
      <c r="M4349" s="29"/>
      <c r="N4349" s="29" t="s">
        <v>2314</v>
      </c>
      <c r="O4349" s="29"/>
      <c r="P4349" s="29" t="s">
        <v>11674</v>
      </c>
      <c r="Q4349" t="s">
        <v>2038</v>
      </c>
      <c r="R4349" t="s">
        <v>2635</v>
      </c>
      <c r="S4349">
        <v>37</v>
      </c>
      <c r="T4349" s="43" t="str">
        <f t="shared" si="206"/>
        <v>2021.007D.R.Polyomaviridae_2ngen_117rensp.zip</v>
      </c>
      <c r="U4349" s="43" t="str">
        <f>HYPERLINK("https://ictv.global/taxonomy/taxondetails?taxnode_id=202204423","ictv.global=202204423")</f>
        <v>ictv.global=202204423</v>
      </c>
    </row>
    <row r="4350" spans="1:21">
      <c r="A4350">
        <v>4349</v>
      </c>
      <c r="B4350" s="29" t="s">
        <v>4053</v>
      </c>
      <c r="C4350" s="29"/>
      <c r="D4350" s="29" t="s">
        <v>4082</v>
      </c>
      <c r="E4350" s="29"/>
      <c r="F4350" s="29" t="s">
        <v>4083</v>
      </c>
      <c r="G4350" s="29"/>
      <c r="H4350" s="29" t="s">
        <v>4086</v>
      </c>
      <c r="I4350" s="29"/>
      <c r="J4350" s="29" t="s">
        <v>4087</v>
      </c>
      <c r="K4350" s="29"/>
      <c r="L4350" s="29" t="s">
        <v>751</v>
      </c>
      <c r="M4350" s="29"/>
      <c r="N4350" s="29" t="s">
        <v>2314</v>
      </c>
      <c r="O4350" s="29"/>
      <c r="P4350" s="29" t="s">
        <v>11675</v>
      </c>
      <c r="Q4350" t="s">
        <v>2038</v>
      </c>
      <c r="R4350" t="s">
        <v>2635</v>
      </c>
      <c r="S4350">
        <v>37</v>
      </c>
      <c r="T4350" s="43" t="str">
        <f t="shared" si="206"/>
        <v>2021.007D.R.Polyomaviridae_2ngen_117rensp.zip</v>
      </c>
      <c r="U4350" s="43" t="str">
        <f>HYPERLINK("https://ictv.global/taxonomy/taxondetails?taxnode_id=202204438","ictv.global=202204438")</f>
        <v>ictv.global=202204438</v>
      </c>
    </row>
    <row r="4351" spans="1:21">
      <c r="A4351">
        <v>4350</v>
      </c>
      <c r="B4351" s="29" t="s">
        <v>4053</v>
      </c>
      <c r="C4351" s="29"/>
      <c r="D4351" s="29" t="s">
        <v>4082</v>
      </c>
      <c r="E4351" s="29"/>
      <c r="F4351" s="29" t="s">
        <v>4083</v>
      </c>
      <c r="G4351" s="29"/>
      <c r="H4351" s="29" t="s">
        <v>4086</v>
      </c>
      <c r="I4351" s="29"/>
      <c r="J4351" s="29" t="s">
        <v>4087</v>
      </c>
      <c r="K4351" s="29"/>
      <c r="L4351" s="29" t="s">
        <v>751</v>
      </c>
      <c r="M4351" s="29"/>
      <c r="N4351" s="29" t="s">
        <v>2314</v>
      </c>
      <c r="O4351" s="29"/>
      <c r="P4351" s="29" t="s">
        <v>11676</v>
      </c>
      <c r="Q4351" t="s">
        <v>2038</v>
      </c>
      <c r="R4351" t="s">
        <v>2635</v>
      </c>
      <c r="S4351">
        <v>37</v>
      </c>
      <c r="T4351" s="43" t="str">
        <f t="shared" si="206"/>
        <v>2021.007D.R.Polyomaviridae_2ngen_117rensp.zip</v>
      </c>
      <c r="U4351" s="43" t="str">
        <f>HYPERLINK("https://ictv.global/taxonomy/taxondetails?taxnode_id=202204447","ictv.global=202204447")</f>
        <v>ictv.global=202204447</v>
      </c>
    </row>
    <row r="4352" spans="1:21">
      <c r="A4352">
        <v>4351</v>
      </c>
      <c r="B4352" s="29" t="s">
        <v>4053</v>
      </c>
      <c r="C4352" s="29"/>
      <c r="D4352" s="29" t="s">
        <v>4082</v>
      </c>
      <c r="E4352" s="29"/>
      <c r="F4352" s="29" t="s">
        <v>4083</v>
      </c>
      <c r="G4352" s="29"/>
      <c r="H4352" s="29" t="s">
        <v>4086</v>
      </c>
      <c r="I4352" s="29"/>
      <c r="J4352" s="29" t="s">
        <v>4087</v>
      </c>
      <c r="K4352" s="29"/>
      <c r="L4352" s="29" t="s">
        <v>751</v>
      </c>
      <c r="M4352" s="29"/>
      <c r="N4352" s="29" t="s">
        <v>2314</v>
      </c>
      <c r="O4352" s="29"/>
      <c r="P4352" s="29" t="s">
        <v>11677</v>
      </c>
      <c r="Q4352" t="s">
        <v>2038</v>
      </c>
      <c r="R4352" t="s">
        <v>2635</v>
      </c>
      <c r="S4352">
        <v>37</v>
      </c>
      <c r="T4352" s="43" t="str">
        <f t="shared" ref="T4352:T4383" si="207">HYPERLINK("https://ictv.global/ictv/proposals/2021.007D.R.Polyomaviridae_2ngen_117rensp.zip","2021.007D.R.Polyomaviridae_2ngen_117rensp.zip")</f>
        <v>2021.007D.R.Polyomaviridae_2ngen_117rensp.zip</v>
      </c>
      <c r="U4352" s="43" t="str">
        <f>HYPERLINK("https://ictv.global/taxonomy/taxondetails?taxnode_id=202204426","ictv.global=202204426")</f>
        <v>ictv.global=202204426</v>
      </c>
    </row>
    <row r="4353" spans="1:21">
      <c r="A4353">
        <v>4352</v>
      </c>
      <c r="B4353" s="29" t="s">
        <v>4053</v>
      </c>
      <c r="C4353" s="29"/>
      <c r="D4353" s="29" t="s">
        <v>4082</v>
      </c>
      <c r="E4353" s="29"/>
      <c r="F4353" s="29" t="s">
        <v>4083</v>
      </c>
      <c r="G4353" s="29"/>
      <c r="H4353" s="29" t="s">
        <v>4086</v>
      </c>
      <c r="I4353" s="29"/>
      <c r="J4353" s="29" t="s">
        <v>4087</v>
      </c>
      <c r="K4353" s="29"/>
      <c r="L4353" s="29" t="s">
        <v>751</v>
      </c>
      <c r="M4353" s="29"/>
      <c r="N4353" s="29" t="s">
        <v>2314</v>
      </c>
      <c r="O4353" s="29"/>
      <c r="P4353" s="29" t="s">
        <v>11678</v>
      </c>
      <c r="Q4353" t="s">
        <v>2038</v>
      </c>
      <c r="R4353" t="s">
        <v>2635</v>
      </c>
      <c r="S4353">
        <v>37</v>
      </c>
      <c r="T4353" s="43" t="str">
        <f t="shared" si="207"/>
        <v>2021.007D.R.Polyomaviridae_2ngen_117rensp.zip</v>
      </c>
      <c r="U4353" s="43" t="str">
        <f>HYPERLINK("https://ictv.global/taxonomy/taxondetails?taxnode_id=202204413","ictv.global=202204413")</f>
        <v>ictv.global=202204413</v>
      </c>
    </row>
    <row r="4354" spans="1:21">
      <c r="A4354">
        <v>4353</v>
      </c>
      <c r="B4354" s="29" t="s">
        <v>4053</v>
      </c>
      <c r="C4354" s="29"/>
      <c r="D4354" s="29" t="s">
        <v>4082</v>
      </c>
      <c r="E4354" s="29"/>
      <c r="F4354" s="29" t="s">
        <v>4083</v>
      </c>
      <c r="G4354" s="29"/>
      <c r="H4354" s="29" t="s">
        <v>4086</v>
      </c>
      <c r="I4354" s="29"/>
      <c r="J4354" s="29" t="s">
        <v>4087</v>
      </c>
      <c r="K4354" s="29"/>
      <c r="L4354" s="29" t="s">
        <v>751</v>
      </c>
      <c r="M4354" s="29"/>
      <c r="N4354" s="29" t="s">
        <v>2314</v>
      </c>
      <c r="O4354" s="29"/>
      <c r="P4354" s="29" t="s">
        <v>11679</v>
      </c>
      <c r="Q4354" t="s">
        <v>2038</v>
      </c>
      <c r="R4354" t="s">
        <v>2635</v>
      </c>
      <c r="S4354">
        <v>37</v>
      </c>
      <c r="T4354" s="43" t="str">
        <f t="shared" si="207"/>
        <v>2021.007D.R.Polyomaviridae_2ngen_117rensp.zip</v>
      </c>
      <c r="U4354" s="43" t="str">
        <f>HYPERLINK("https://ictv.global/taxonomy/taxondetails?taxnode_id=202204433","ictv.global=202204433")</f>
        <v>ictv.global=202204433</v>
      </c>
    </row>
    <row r="4355" spans="1:21">
      <c r="A4355">
        <v>4354</v>
      </c>
      <c r="B4355" s="29" t="s">
        <v>4053</v>
      </c>
      <c r="C4355" s="29"/>
      <c r="D4355" s="29" t="s">
        <v>4082</v>
      </c>
      <c r="E4355" s="29"/>
      <c r="F4355" s="29" t="s">
        <v>4083</v>
      </c>
      <c r="G4355" s="29"/>
      <c r="H4355" s="29" t="s">
        <v>4086</v>
      </c>
      <c r="I4355" s="29"/>
      <c r="J4355" s="29" t="s">
        <v>4087</v>
      </c>
      <c r="K4355" s="29"/>
      <c r="L4355" s="29" t="s">
        <v>751</v>
      </c>
      <c r="M4355" s="29"/>
      <c r="N4355" s="29" t="s">
        <v>2314</v>
      </c>
      <c r="O4355" s="29"/>
      <c r="P4355" s="29" t="s">
        <v>11680</v>
      </c>
      <c r="Q4355" t="s">
        <v>2038</v>
      </c>
      <c r="R4355" t="s">
        <v>2635</v>
      </c>
      <c r="S4355">
        <v>37</v>
      </c>
      <c r="T4355" s="43" t="str">
        <f t="shared" si="207"/>
        <v>2021.007D.R.Polyomaviridae_2ngen_117rensp.zip</v>
      </c>
      <c r="U4355" s="43" t="str">
        <f>HYPERLINK("https://ictv.global/taxonomy/taxondetails?taxnode_id=202209583","ictv.global=202209583")</f>
        <v>ictv.global=202209583</v>
      </c>
    </row>
    <row r="4356" spans="1:21">
      <c r="A4356">
        <v>4355</v>
      </c>
      <c r="B4356" s="29" t="s">
        <v>4053</v>
      </c>
      <c r="C4356" s="29"/>
      <c r="D4356" s="29" t="s">
        <v>4082</v>
      </c>
      <c r="E4356" s="29"/>
      <c r="F4356" s="29" t="s">
        <v>4083</v>
      </c>
      <c r="G4356" s="29"/>
      <c r="H4356" s="29" t="s">
        <v>4086</v>
      </c>
      <c r="I4356" s="29"/>
      <c r="J4356" s="29" t="s">
        <v>4087</v>
      </c>
      <c r="K4356" s="29"/>
      <c r="L4356" s="29" t="s">
        <v>751</v>
      </c>
      <c r="M4356" s="29"/>
      <c r="N4356" s="29" t="s">
        <v>2314</v>
      </c>
      <c r="O4356" s="29"/>
      <c r="P4356" s="29" t="s">
        <v>11681</v>
      </c>
      <c r="Q4356" t="s">
        <v>2038</v>
      </c>
      <c r="R4356" t="s">
        <v>2635</v>
      </c>
      <c r="S4356">
        <v>37</v>
      </c>
      <c r="T4356" s="43" t="str">
        <f t="shared" si="207"/>
        <v>2021.007D.R.Polyomaviridae_2ngen_117rensp.zip</v>
      </c>
      <c r="U4356" s="43" t="str">
        <f>HYPERLINK("https://ictv.global/taxonomy/taxondetails?taxnode_id=202206344","ictv.global=202206344")</f>
        <v>ictv.global=202206344</v>
      </c>
    </row>
    <row r="4357" spans="1:21">
      <c r="A4357">
        <v>4356</v>
      </c>
      <c r="B4357" s="29" t="s">
        <v>4053</v>
      </c>
      <c r="C4357" s="29"/>
      <c r="D4357" s="29" t="s">
        <v>4082</v>
      </c>
      <c r="E4357" s="29"/>
      <c r="F4357" s="29" t="s">
        <v>4083</v>
      </c>
      <c r="G4357" s="29"/>
      <c r="H4357" s="29" t="s">
        <v>4086</v>
      </c>
      <c r="I4357" s="29"/>
      <c r="J4357" s="29" t="s">
        <v>4087</v>
      </c>
      <c r="K4357" s="29"/>
      <c r="L4357" s="29" t="s">
        <v>751</v>
      </c>
      <c r="M4357" s="29"/>
      <c r="N4357" s="29" t="s">
        <v>2314</v>
      </c>
      <c r="O4357" s="29"/>
      <c r="P4357" s="29" t="s">
        <v>11682</v>
      </c>
      <c r="Q4357" t="s">
        <v>2038</v>
      </c>
      <c r="R4357" t="s">
        <v>2635</v>
      </c>
      <c r="S4357">
        <v>37</v>
      </c>
      <c r="T4357" s="43" t="str">
        <f t="shared" si="207"/>
        <v>2021.007D.R.Polyomaviridae_2ngen_117rensp.zip</v>
      </c>
      <c r="U4357" s="43" t="str">
        <f>HYPERLINK("https://ictv.global/taxonomy/taxondetails?taxnode_id=202204435","ictv.global=202204435")</f>
        <v>ictv.global=202204435</v>
      </c>
    </row>
    <row r="4358" spans="1:21">
      <c r="A4358">
        <v>4357</v>
      </c>
      <c r="B4358" s="29" t="s">
        <v>4053</v>
      </c>
      <c r="C4358" s="29"/>
      <c r="D4358" s="29" t="s">
        <v>4082</v>
      </c>
      <c r="E4358" s="29"/>
      <c r="F4358" s="29" t="s">
        <v>4083</v>
      </c>
      <c r="G4358" s="29"/>
      <c r="H4358" s="29" t="s">
        <v>4086</v>
      </c>
      <c r="I4358" s="29"/>
      <c r="J4358" s="29" t="s">
        <v>4087</v>
      </c>
      <c r="K4358" s="29"/>
      <c r="L4358" s="29" t="s">
        <v>751</v>
      </c>
      <c r="M4358" s="29"/>
      <c r="N4358" s="29" t="s">
        <v>2314</v>
      </c>
      <c r="O4358" s="29"/>
      <c r="P4358" s="29" t="s">
        <v>11683</v>
      </c>
      <c r="Q4358" t="s">
        <v>2038</v>
      </c>
      <c r="R4358" t="s">
        <v>2635</v>
      </c>
      <c r="S4358">
        <v>37</v>
      </c>
      <c r="T4358" s="43" t="str">
        <f t="shared" si="207"/>
        <v>2021.007D.R.Polyomaviridae_2ngen_117rensp.zip</v>
      </c>
      <c r="U4358" s="43" t="str">
        <f>HYPERLINK("https://ictv.global/taxonomy/taxondetails?taxnode_id=202204440","ictv.global=202204440")</f>
        <v>ictv.global=202204440</v>
      </c>
    </row>
    <row r="4359" spans="1:21">
      <c r="A4359">
        <v>4358</v>
      </c>
      <c r="B4359" s="29" t="s">
        <v>4053</v>
      </c>
      <c r="C4359" s="29"/>
      <c r="D4359" s="29" t="s">
        <v>4082</v>
      </c>
      <c r="E4359" s="29"/>
      <c r="F4359" s="29" t="s">
        <v>4083</v>
      </c>
      <c r="G4359" s="29"/>
      <c r="H4359" s="29" t="s">
        <v>4086</v>
      </c>
      <c r="I4359" s="29"/>
      <c r="J4359" s="29" t="s">
        <v>4087</v>
      </c>
      <c r="K4359" s="29"/>
      <c r="L4359" s="29" t="s">
        <v>751</v>
      </c>
      <c r="M4359" s="29"/>
      <c r="N4359" s="29" t="s">
        <v>2314</v>
      </c>
      <c r="O4359" s="29"/>
      <c r="P4359" s="29" t="s">
        <v>11684</v>
      </c>
      <c r="Q4359" t="s">
        <v>2038</v>
      </c>
      <c r="R4359" t="s">
        <v>2635</v>
      </c>
      <c r="S4359">
        <v>37</v>
      </c>
      <c r="T4359" s="43" t="str">
        <f t="shared" si="207"/>
        <v>2021.007D.R.Polyomaviridae_2ngen_117rensp.zip</v>
      </c>
      <c r="U4359" s="43" t="str">
        <f>HYPERLINK("https://ictv.global/taxonomy/taxondetails?taxnode_id=202204439","ictv.global=202204439")</f>
        <v>ictv.global=202204439</v>
      </c>
    </row>
    <row r="4360" spans="1:21">
      <c r="A4360">
        <v>4359</v>
      </c>
      <c r="B4360" s="29" t="s">
        <v>4053</v>
      </c>
      <c r="C4360" s="29"/>
      <c r="D4360" s="29" t="s">
        <v>4082</v>
      </c>
      <c r="E4360" s="29"/>
      <c r="F4360" s="29" t="s">
        <v>4083</v>
      </c>
      <c r="G4360" s="29"/>
      <c r="H4360" s="29" t="s">
        <v>4086</v>
      </c>
      <c r="I4360" s="29"/>
      <c r="J4360" s="29" t="s">
        <v>4087</v>
      </c>
      <c r="K4360" s="29"/>
      <c r="L4360" s="29" t="s">
        <v>751</v>
      </c>
      <c r="M4360" s="29"/>
      <c r="N4360" s="29" t="s">
        <v>2314</v>
      </c>
      <c r="O4360" s="29"/>
      <c r="P4360" s="29" t="s">
        <v>11685</v>
      </c>
      <c r="Q4360" t="s">
        <v>2038</v>
      </c>
      <c r="R4360" t="s">
        <v>2635</v>
      </c>
      <c r="S4360">
        <v>37</v>
      </c>
      <c r="T4360" s="43" t="str">
        <f t="shared" si="207"/>
        <v>2021.007D.R.Polyomaviridae_2ngen_117rensp.zip</v>
      </c>
      <c r="U4360" s="43" t="str">
        <f>HYPERLINK("https://ictv.global/taxonomy/taxondetails?taxnode_id=202206345","ictv.global=202206345")</f>
        <v>ictv.global=202206345</v>
      </c>
    </row>
    <row r="4361" spans="1:21">
      <c r="A4361">
        <v>4360</v>
      </c>
      <c r="B4361" s="29" t="s">
        <v>4053</v>
      </c>
      <c r="C4361" s="29"/>
      <c r="D4361" s="29" t="s">
        <v>4082</v>
      </c>
      <c r="E4361" s="29"/>
      <c r="F4361" s="29" t="s">
        <v>4083</v>
      </c>
      <c r="G4361" s="29"/>
      <c r="H4361" s="29" t="s">
        <v>4086</v>
      </c>
      <c r="I4361" s="29"/>
      <c r="J4361" s="29" t="s">
        <v>4087</v>
      </c>
      <c r="K4361" s="29"/>
      <c r="L4361" s="29" t="s">
        <v>751</v>
      </c>
      <c r="M4361" s="29"/>
      <c r="N4361" s="29" t="s">
        <v>2314</v>
      </c>
      <c r="O4361" s="29"/>
      <c r="P4361" s="29" t="s">
        <v>11686</v>
      </c>
      <c r="Q4361" t="s">
        <v>2038</v>
      </c>
      <c r="R4361" t="s">
        <v>2635</v>
      </c>
      <c r="S4361">
        <v>37</v>
      </c>
      <c r="T4361" s="43" t="str">
        <f t="shared" si="207"/>
        <v>2021.007D.R.Polyomaviridae_2ngen_117rensp.zip</v>
      </c>
      <c r="U4361" s="43" t="str">
        <f>HYPERLINK("https://ictv.global/taxonomy/taxondetails?taxnode_id=202206346","ictv.global=202206346")</f>
        <v>ictv.global=202206346</v>
      </c>
    </row>
    <row r="4362" spans="1:21">
      <c r="A4362">
        <v>4361</v>
      </c>
      <c r="B4362" s="29" t="s">
        <v>4053</v>
      </c>
      <c r="C4362" s="29"/>
      <c r="D4362" s="29" t="s">
        <v>4082</v>
      </c>
      <c r="E4362" s="29"/>
      <c r="F4362" s="29" t="s">
        <v>4083</v>
      </c>
      <c r="G4362" s="29"/>
      <c r="H4362" s="29" t="s">
        <v>4086</v>
      </c>
      <c r="I4362" s="29"/>
      <c r="J4362" s="29" t="s">
        <v>4087</v>
      </c>
      <c r="K4362" s="29"/>
      <c r="L4362" s="29" t="s">
        <v>751</v>
      </c>
      <c r="M4362" s="29"/>
      <c r="N4362" s="29" t="s">
        <v>2314</v>
      </c>
      <c r="O4362" s="29"/>
      <c r="P4362" s="29" t="s">
        <v>11687</v>
      </c>
      <c r="Q4362" t="s">
        <v>2038</v>
      </c>
      <c r="R4362" t="s">
        <v>2635</v>
      </c>
      <c r="S4362">
        <v>37</v>
      </c>
      <c r="T4362" s="43" t="str">
        <f t="shared" si="207"/>
        <v>2021.007D.R.Polyomaviridae_2ngen_117rensp.zip</v>
      </c>
      <c r="U4362" s="43" t="str">
        <f>HYPERLINK("https://ictv.global/taxonomy/taxondetails?taxnode_id=202204448","ictv.global=202204448")</f>
        <v>ictv.global=202204448</v>
      </c>
    </row>
    <row r="4363" spans="1:21">
      <c r="A4363">
        <v>4362</v>
      </c>
      <c r="B4363" s="29" t="s">
        <v>4053</v>
      </c>
      <c r="C4363" s="29"/>
      <c r="D4363" s="29" t="s">
        <v>4082</v>
      </c>
      <c r="E4363" s="29"/>
      <c r="F4363" s="29" t="s">
        <v>4083</v>
      </c>
      <c r="G4363" s="29"/>
      <c r="H4363" s="29" t="s">
        <v>4086</v>
      </c>
      <c r="I4363" s="29"/>
      <c r="J4363" s="29" t="s">
        <v>4087</v>
      </c>
      <c r="K4363" s="29"/>
      <c r="L4363" s="29" t="s">
        <v>751</v>
      </c>
      <c r="M4363" s="29"/>
      <c r="N4363" s="29" t="s">
        <v>2314</v>
      </c>
      <c r="O4363" s="29"/>
      <c r="P4363" s="29" t="s">
        <v>11688</v>
      </c>
      <c r="Q4363" t="s">
        <v>2038</v>
      </c>
      <c r="R4363" t="s">
        <v>2635</v>
      </c>
      <c r="S4363">
        <v>37</v>
      </c>
      <c r="T4363" s="43" t="str">
        <f t="shared" si="207"/>
        <v>2021.007D.R.Polyomaviridae_2ngen_117rensp.zip</v>
      </c>
      <c r="U4363" s="43" t="str">
        <f>HYPERLINK("https://ictv.global/taxonomy/taxondetails?taxnode_id=202209585","ictv.global=202209585")</f>
        <v>ictv.global=202209585</v>
      </c>
    </row>
    <row r="4364" spans="1:21">
      <c r="A4364">
        <v>4363</v>
      </c>
      <c r="B4364" s="29" t="s">
        <v>4053</v>
      </c>
      <c r="C4364" s="29"/>
      <c r="D4364" s="29" t="s">
        <v>4082</v>
      </c>
      <c r="E4364" s="29"/>
      <c r="F4364" s="29" t="s">
        <v>4083</v>
      </c>
      <c r="G4364" s="29"/>
      <c r="H4364" s="29" t="s">
        <v>4086</v>
      </c>
      <c r="I4364" s="29"/>
      <c r="J4364" s="29" t="s">
        <v>4087</v>
      </c>
      <c r="K4364" s="29"/>
      <c r="L4364" s="29" t="s">
        <v>751</v>
      </c>
      <c r="M4364" s="29"/>
      <c r="N4364" s="29" t="s">
        <v>2314</v>
      </c>
      <c r="O4364" s="29"/>
      <c r="P4364" s="29" t="s">
        <v>11689</v>
      </c>
      <c r="Q4364" t="s">
        <v>2038</v>
      </c>
      <c r="R4364" t="s">
        <v>2635</v>
      </c>
      <c r="S4364">
        <v>37</v>
      </c>
      <c r="T4364" s="43" t="str">
        <f t="shared" si="207"/>
        <v>2021.007D.R.Polyomaviridae_2ngen_117rensp.zip</v>
      </c>
      <c r="U4364" s="43" t="str">
        <f>HYPERLINK("https://ictv.global/taxonomy/taxondetails?taxnode_id=202204427","ictv.global=202204427")</f>
        <v>ictv.global=202204427</v>
      </c>
    </row>
    <row r="4365" spans="1:21">
      <c r="A4365">
        <v>4364</v>
      </c>
      <c r="B4365" s="29" t="s">
        <v>4053</v>
      </c>
      <c r="C4365" s="29"/>
      <c r="D4365" s="29" t="s">
        <v>4082</v>
      </c>
      <c r="E4365" s="29"/>
      <c r="F4365" s="29" t="s">
        <v>4083</v>
      </c>
      <c r="G4365" s="29"/>
      <c r="H4365" s="29" t="s">
        <v>4086</v>
      </c>
      <c r="I4365" s="29"/>
      <c r="J4365" s="29" t="s">
        <v>4087</v>
      </c>
      <c r="K4365" s="29"/>
      <c r="L4365" s="29" t="s">
        <v>751</v>
      </c>
      <c r="M4365" s="29"/>
      <c r="N4365" s="29" t="s">
        <v>2314</v>
      </c>
      <c r="O4365" s="29"/>
      <c r="P4365" s="29" t="s">
        <v>11690</v>
      </c>
      <c r="Q4365" t="s">
        <v>2038</v>
      </c>
      <c r="R4365" t="s">
        <v>2635</v>
      </c>
      <c r="S4365">
        <v>37</v>
      </c>
      <c r="T4365" s="43" t="str">
        <f t="shared" si="207"/>
        <v>2021.007D.R.Polyomaviridae_2ngen_117rensp.zip</v>
      </c>
      <c r="U4365" s="43" t="str">
        <f>HYPERLINK("https://ictv.global/taxonomy/taxondetails?taxnode_id=202204414","ictv.global=202204414")</f>
        <v>ictv.global=202204414</v>
      </c>
    </row>
    <row r="4366" spans="1:21">
      <c r="A4366">
        <v>4365</v>
      </c>
      <c r="B4366" s="29" t="s">
        <v>4053</v>
      </c>
      <c r="C4366" s="29"/>
      <c r="D4366" s="29" t="s">
        <v>4082</v>
      </c>
      <c r="E4366" s="29"/>
      <c r="F4366" s="29" t="s">
        <v>4083</v>
      </c>
      <c r="G4366" s="29"/>
      <c r="H4366" s="29" t="s">
        <v>4086</v>
      </c>
      <c r="I4366" s="29"/>
      <c r="J4366" s="29" t="s">
        <v>4087</v>
      </c>
      <c r="K4366" s="29"/>
      <c r="L4366" s="29" t="s">
        <v>751</v>
      </c>
      <c r="M4366" s="29"/>
      <c r="N4366" s="29" t="s">
        <v>2314</v>
      </c>
      <c r="O4366" s="29"/>
      <c r="P4366" s="29" t="s">
        <v>11691</v>
      </c>
      <c r="Q4366" t="s">
        <v>2038</v>
      </c>
      <c r="R4366" t="s">
        <v>2635</v>
      </c>
      <c r="S4366">
        <v>37</v>
      </c>
      <c r="T4366" s="43" t="str">
        <f t="shared" si="207"/>
        <v>2021.007D.R.Polyomaviridae_2ngen_117rensp.zip</v>
      </c>
      <c r="U4366" s="43" t="str">
        <f>HYPERLINK("https://ictv.global/taxonomy/taxondetails?taxnode_id=202204419","ictv.global=202204419")</f>
        <v>ictv.global=202204419</v>
      </c>
    </row>
    <row r="4367" spans="1:21">
      <c r="A4367">
        <v>4366</v>
      </c>
      <c r="B4367" s="29" t="s">
        <v>4053</v>
      </c>
      <c r="C4367" s="29"/>
      <c r="D4367" s="29" t="s">
        <v>4082</v>
      </c>
      <c r="E4367" s="29"/>
      <c r="F4367" s="29" t="s">
        <v>4083</v>
      </c>
      <c r="G4367" s="29"/>
      <c r="H4367" s="29" t="s">
        <v>4086</v>
      </c>
      <c r="I4367" s="29"/>
      <c r="J4367" s="29" t="s">
        <v>4087</v>
      </c>
      <c r="K4367" s="29"/>
      <c r="L4367" s="29" t="s">
        <v>751</v>
      </c>
      <c r="M4367" s="29"/>
      <c r="N4367" s="29" t="s">
        <v>2314</v>
      </c>
      <c r="O4367" s="29"/>
      <c r="P4367" s="29" t="s">
        <v>11692</v>
      </c>
      <c r="Q4367" t="s">
        <v>2038</v>
      </c>
      <c r="R4367" t="s">
        <v>2635</v>
      </c>
      <c r="S4367">
        <v>37</v>
      </c>
      <c r="T4367" s="43" t="str">
        <f t="shared" si="207"/>
        <v>2021.007D.R.Polyomaviridae_2ngen_117rensp.zip</v>
      </c>
      <c r="U4367" s="43" t="str">
        <f>HYPERLINK("https://ictv.global/taxonomy/taxondetails?taxnode_id=202209584","ictv.global=202209584")</f>
        <v>ictv.global=202209584</v>
      </c>
    </row>
    <row r="4368" spans="1:21">
      <c r="A4368">
        <v>4367</v>
      </c>
      <c r="B4368" s="29" t="s">
        <v>4053</v>
      </c>
      <c r="C4368" s="29"/>
      <c r="D4368" s="29" t="s">
        <v>4082</v>
      </c>
      <c r="E4368" s="29"/>
      <c r="F4368" s="29" t="s">
        <v>4083</v>
      </c>
      <c r="G4368" s="29"/>
      <c r="H4368" s="29" t="s">
        <v>4086</v>
      </c>
      <c r="I4368" s="29"/>
      <c r="J4368" s="29" t="s">
        <v>4087</v>
      </c>
      <c r="K4368" s="29"/>
      <c r="L4368" s="29" t="s">
        <v>751</v>
      </c>
      <c r="M4368" s="29"/>
      <c r="N4368" s="29" t="s">
        <v>2314</v>
      </c>
      <c r="O4368" s="29"/>
      <c r="P4368" s="29" t="s">
        <v>11693</v>
      </c>
      <c r="Q4368" t="s">
        <v>2038</v>
      </c>
      <c r="R4368" t="s">
        <v>2635</v>
      </c>
      <c r="S4368">
        <v>37</v>
      </c>
      <c r="T4368" s="43" t="str">
        <f t="shared" si="207"/>
        <v>2021.007D.R.Polyomaviridae_2ngen_117rensp.zip</v>
      </c>
      <c r="U4368" s="43" t="str">
        <f>HYPERLINK("https://ictv.global/taxonomy/taxondetails?taxnode_id=202204436","ictv.global=202204436")</f>
        <v>ictv.global=202204436</v>
      </c>
    </row>
    <row r="4369" spans="1:21">
      <c r="A4369">
        <v>4368</v>
      </c>
      <c r="B4369" s="29" t="s">
        <v>4053</v>
      </c>
      <c r="C4369" s="29"/>
      <c r="D4369" s="29" t="s">
        <v>4082</v>
      </c>
      <c r="E4369" s="29"/>
      <c r="F4369" s="29" t="s">
        <v>4083</v>
      </c>
      <c r="G4369" s="29"/>
      <c r="H4369" s="29" t="s">
        <v>4086</v>
      </c>
      <c r="I4369" s="29"/>
      <c r="J4369" s="29" t="s">
        <v>4087</v>
      </c>
      <c r="K4369" s="29"/>
      <c r="L4369" s="29" t="s">
        <v>751</v>
      </c>
      <c r="M4369" s="29"/>
      <c r="N4369" s="29" t="s">
        <v>2314</v>
      </c>
      <c r="O4369" s="29"/>
      <c r="P4369" s="29" t="s">
        <v>11694</v>
      </c>
      <c r="Q4369" t="s">
        <v>2038</v>
      </c>
      <c r="R4369" t="s">
        <v>2635</v>
      </c>
      <c r="S4369">
        <v>37</v>
      </c>
      <c r="T4369" s="43" t="str">
        <f t="shared" si="207"/>
        <v>2021.007D.R.Polyomaviridae_2ngen_117rensp.zip</v>
      </c>
      <c r="U4369" s="43" t="str">
        <f>HYPERLINK("https://ictv.global/taxonomy/taxondetails?taxnode_id=202207114","ictv.global=202207114")</f>
        <v>ictv.global=202207114</v>
      </c>
    </row>
    <row r="4370" spans="1:21">
      <c r="A4370">
        <v>4369</v>
      </c>
      <c r="B4370" s="29" t="s">
        <v>4053</v>
      </c>
      <c r="C4370" s="29"/>
      <c r="D4370" s="29" t="s">
        <v>4082</v>
      </c>
      <c r="E4370" s="29"/>
      <c r="F4370" s="29" t="s">
        <v>4083</v>
      </c>
      <c r="G4370" s="29"/>
      <c r="H4370" s="29" t="s">
        <v>4086</v>
      </c>
      <c r="I4370" s="29"/>
      <c r="J4370" s="29" t="s">
        <v>4087</v>
      </c>
      <c r="K4370" s="29"/>
      <c r="L4370" s="29" t="s">
        <v>751</v>
      </c>
      <c r="M4370" s="29"/>
      <c r="N4370" s="29" t="s">
        <v>2314</v>
      </c>
      <c r="O4370" s="29"/>
      <c r="P4370" s="29" t="s">
        <v>11695</v>
      </c>
      <c r="Q4370" t="s">
        <v>2038</v>
      </c>
      <c r="R4370" t="s">
        <v>2635</v>
      </c>
      <c r="S4370">
        <v>37</v>
      </c>
      <c r="T4370" s="43" t="str">
        <f t="shared" si="207"/>
        <v>2021.007D.R.Polyomaviridae_2ngen_117rensp.zip</v>
      </c>
      <c r="U4370" s="43" t="str">
        <f>HYPERLINK("https://ictv.global/taxonomy/taxondetails?taxnode_id=202209588","ictv.global=202209588")</f>
        <v>ictv.global=202209588</v>
      </c>
    </row>
    <row r="4371" spans="1:21">
      <c r="A4371">
        <v>4370</v>
      </c>
      <c r="B4371" s="29" t="s">
        <v>4053</v>
      </c>
      <c r="C4371" s="29"/>
      <c r="D4371" s="29" t="s">
        <v>4082</v>
      </c>
      <c r="E4371" s="29"/>
      <c r="F4371" s="29" t="s">
        <v>4083</v>
      </c>
      <c r="G4371" s="29"/>
      <c r="H4371" s="29" t="s">
        <v>4086</v>
      </c>
      <c r="I4371" s="29"/>
      <c r="J4371" s="29" t="s">
        <v>4087</v>
      </c>
      <c r="K4371" s="29"/>
      <c r="L4371" s="29" t="s">
        <v>751</v>
      </c>
      <c r="M4371" s="29"/>
      <c r="N4371" s="29" t="s">
        <v>2315</v>
      </c>
      <c r="O4371" s="29"/>
      <c r="P4371" s="29" t="s">
        <v>11696</v>
      </c>
      <c r="Q4371" t="s">
        <v>2038</v>
      </c>
      <c r="R4371" t="s">
        <v>2635</v>
      </c>
      <c r="S4371">
        <v>37</v>
      </c>
      <c r="T4371" s="43" t="str">
        <f t="shared" si="207"/>
        <v>2021.007D.R.Polyomaviridae_2ngen_117rensp.zip</v>
      </c>
      <c r="U4371" s="43" t="str">
        <f>HYPERLINK("https://ictv.global/taxonomy/taxondetails?taxnode_id=202204451","ictv.global=202204451")</f>
        <v>ictv.global=202204451</v>
      </c>
    </row>
    <row r="4372" spans="1:21">
      <c r="A4372">
        <v>4371</v>
      </c>
      <c r="B4372" s="29" t="s">
        <v>4053</v>
      </c>
      <c r="C4372" s="29"/>
      <c r="D4372" s="29" t="s">
        <v>4082</v>
      </c>
      <c r="E4372" s="29"/>
      <c r="F4372" s="29" t="s">
        <v>4083</v>
      </c>
      <c r="G4372" s="29"/>
      <c r="H4372" s="29" t="s">
        <v>4086</v>
      </c>
      <c r="I4372" s="29"/>
      <c r="J4372" s="29" t="s">
        <v>4087</v>
      </c>
      <c r="K4372" s="29"/>
      <c r="L4372" s="29" t="s">
        <v>751</v>
      </c>
      <c r="M4372" s="29"/>
      <c r="N4372" s="29" t="s">
        <v>2315</v>
      </c>
      <c r="O4372" s="29"/>
      <c r="P4372" s="29" t="s">
        <v>11697</v>
      </c>
      <c r="Q4372" t="s">
        <v>2038</v>
      </c>
      <c r="R4372" t="s">
        <v>2635</v>
      </c>
      <c r="S4372">
        <v>37</v>
      </c>
      <c r="T4372" s="43" t="str">
        <f t="shared" si="207"/>
        <v>2021.007D.R.Polyomaviridae_2ngen_117rensp.zip</v>
      </c>
      <c r="U4372" s="43" t="str">
        <f>HYPERLINK("https://ictv.global/taxonomy/taxondetails?taxnode_id=202204452","ictv.global=202204452")</f>
        <v>ictv.global=202204452</v>
      </c>
    </row>
    <row r="4373" spans="1:21">
      <c r="A4373">
        <v>4372</v>
      </c>
      <c r="B4373" s="29" t="s">
        <v>4053</v>
      </c>
      <c r="C4373" s="29"/>
      <c r="D4373" s="29" t="s">
        <v>4082</v>
      </c>
      <c r="E4373" s="29"/>
      <c r="F4373" s="29" t="s">
        <v>4083</v>
      </c>
      <c r="G4373" s="29"/>
      <c r="H4373" s="29" t="s">
        <v>4086</v>
      </c>
      <c r="I4373" s="29"/>
      <c r="J4373" s="29" t="s">
        <v>4087</v>
      </c>
      <c r="K4373" s="29"/>
      <c r="L4373" s="29" t="s">
        <v>751</v>
      </c>
      <c r="M4373" s="29"/>
      <c r="N4373" s="29" t="s">
        <v>2315</v>
      </c>
      <c r="O4373" s="29"/>
      <c r="P4373" s="29" t="s">
        <v>11698</v>
      </c>
      <c r="Q4373" t="s">
        <v>2038</v>
      </c>
      <c r="R4373" t="s">
        <v>2635</v>
      </c>
      <c r="S4373">
        <v>37</v>
      </c>
      <c r="T4373" s="43" t="str">
        <f t="shared" si="207"/>
        <v>2021.007D.R.Polyomaviridae_2ngen_117rensp.zip</v>
      </c>
      <c r="U4373" s="43" t="str">
        <f>HYPERLINK("https://ictv.global/taxonomy/taxondetails?taxnode_id=202209593","ictv.global=202209593")</f>
        <v>ictv.global=202209593</v>
      </c>
    </row>
    <row r="4374" spans="1:21">
      <c r="A4374">
        <v>4373</v>
      </c>
      <c r="B4374" s="29" t="s">
        <v>4053</v>
      </c>
      <c r="C4374" s="29"/>
      <c r="D4374" s="29" t="s">
        <v>4082</v>
      </c>
      <c r="E4374" s="29"/>
      <c r="F4374" s="29" t="s">
        <v>4083</v>
      </c>
      <c r="G4374" s="29"/>
      <c r="H4374" s="29" t="s">
        <v>4086</v>
      </c>
      <c r="I4374" s="29"/>
      <c r="J4374" s="29" t="s">
        <v>4087</v>
      </c>
      <c r="K4374" s="29"/>
      <c r="L4374" s="29" t="s">
        <v>751</v>
      </c>
      <c r="M4374" s="29"/>
      <c r="N4374" s="29" t="s">
        <v>2315</v>
      </c>
      <c r="O4374" s="29"/>
      <c r="P4374" s="29" t="s">
        <v>11699</v>
      </c>
      <c r="Q4374" t="s">
        <v>2038</v>
      </c>
      <c r="R4374" t="s">
        <v>2635</v>
      </c>
      <c r="S4374">
        <v>37</v>
      </c>
      <c r="T4374" s="43" t="str">
        <f t="shared" si="207"/>
        <v>2021.007D.R.Polyomaviridae_2ngen_117rensp.zip</v>
      </c>
      <c r="U4374" s="43" t="str">
        <f>HYPERLINK("https://ictv.global/taxonomy/taxondetails?taxnode_id=202206347","ictv.global=202206347")</f>
        <v>ictv.global=202206347</v>
      </c>
    </row>
    <row r="4375" spans="1:21">
      <c r="A4375">
        <v>4374</v>
      </c>
      <c r="B4375" s="29" t="s">
        <v>4053</v>
      </c>
      <c r="C4375" s="29"/>
      <c r="D4375" s="29" t="s">
        <v>4082</v>
      </c>
      <c r="E4375" s="29"/>
      <c r="F4375" s="29" t="s">
        <v>4083</v>
      </c>
      <c r="G4375" s="29"/>
      <c r="H4375" s="29" t="s">
        <v>4086</v>
      </c>
      <c r="I4375" s="29"/>
      <c r="J4375" s="29" t="s">
        <v>4087</v>
      </c>
      <c r="K4375" s="29"/>
      <c r="L4375" s="29" t="s">
        <v>751</v>
      </c>
      <c r="M4375" s="29"/>
      <c r="N4375" s="29" t="s">
        <v>2315</v>
      </c>
      <c r="O4375" s="29"/>
      <c r="P4375" s="29" t="s">
        <v>11700</v>
      </c>
      <c r="Q4375" t="s">
        <v>2038</v>
      </c>
      <c r="R4375" t="s">
        <v>2635</v>
      </c>
      <c r="S4375">
        <v>37</v>
      </c>
      <c r="T4375" s="43" t="str">
        <f t="shared" si="207"/>
        <v>2021.007D.R.Polyomaviridae_2ngen_117rensp.zip</v>
      </c>
      <c r="U4375" s="43" t="str">
        <f>HYPERLINK("https://ictv.global/taxonomy/taxondetails?taxnode_id=202204453","ictv.global=202204453")</f>
        <v>ictv.global=202204453</v>
      </c>
    </row>
    <row r="4376" spans="1:21">
      <c r="A4376">
        <v>4375</v>
      </c>
      <c r="B4376" s="29" t="s">
        <v>4053</v>
      </c>
      <c r="C4376" s="29"/>
      <c r="D4376" s="29" t="s">
        <v>4082</v>
      </c>
      <c r="E4376" s="29"/>
      <c r="F4376" s="29" t="s">
        <v>4083</v>
      </c>
      <c r="G4376" s="29"/>
      <c r="H4376" s="29" t="s">
        <v>4086</v>
      </c>
      <c r="I4376" s="29"/>
      <c r="J4376" s="29" t="s">
        <v>4087</v>
      </c>
      <c r="K4376" s="29"/>
      <c r="L4376" s="29" t="s">
        <v>751</v>
      </c>
      <c r="M4376" s="29"/>
      <c r="N4376" s="29" t="s">
        <v>2315</v>
      </c>
      <c r="O4376" s="29"/>
      <c r="P4376" s="29" t="s">
        <v>11701</v>
      </c>
      <c r="Q4376" t="s">
        <v>2038</v>
      </c>
      <c r="R4376" t="s">
        <v>2635</v>
      </c>
      <c r="S4376">
        <v>37</v>
      </c>
      <c r="T4376" s="43" t="str">
        <f t="shared" si="207"/>
        <v>2021.007D.R.Polyomaviridae_2ngen_117rensp.zip</v>
      </c>
      <c r="U4376" s="43" t="str">
        <f>HYPERLINK("https://ictv.global/taxonomy/taxondetails?taxnode_id=202204455","ictv.global=202204455")</f>
        <v>ictv.global=202204455</v>
      </c>
    </row>
    <row r="4377" spans="1:21">
      <c r="A4377">
        <v>4376</v>
      </c>
      <c r="B4377" s="29" t="s">
        <v>4053</v>
      </c>
      <c r="C4377" s="29"/>
      <c r="D4377" s="29" t="s">
        <v>4082</v>
      </c>
      <c r="E4377" s="29"/>
      <c r="F4377" s="29" t="s">
        <v>4083</v>
      </c>
      <c r="G4377" s="29"/>
      <c r="H4377" s="29" t="s">
        <v>4086</v>
      </c>
      <c r="I4377" s="29"/>
      <c r="J4377" s="29" t="s">
        <v>4087</v>
      </c>
      <c r="K4377" s="29"/>
      <c r="L4377" s="29" t="s">
        <v>751</v>
      </c>
      <c r="M4377" s="29"/>
      <c r="N4377" s="29" t="s">
        <v>2315</v>
      </c>
      <c r="O4377" s="29"/>
      <c r="P4377" s="29" t="s">
        <v>11702</v>
      </c>
      <c r="Q4377" t="s">
        <v>2038</v>
      </c>
      <c r="R4377" t="s">
        <v>2635</v>
      </c>
      <c r="S4377">
        <v>37</v>
      </c>
      <c r="T4377" s="43" t="str">
        <f t="shared" si="207"/>
        <v>2021.007D.R.Polyomaviridae_2ngen_117rensp.zip</v>
      </c>
      <c r="U4377" s="43" t="str">
        <f>HYPERLINK("https://ictv.global/taxonomy/taxondetails?taxnode_id=202204463","ictv.global=202204463")</f>
        <v>ictv.global=202204463</v>
      </c>
    </row>
    <row r="4378" spans="1:21">
      <c r="A4378">
        <v>4377</v>
      </c>
      <c r="B4378" s="29" t="s">
        <v>4053</v>
      </c>
      <c r="C4378" s="29"/>
      <c r="D4378" s="29" t="s">
        <v>4082</v>
      </c>
      <c r="E4378" s="29"/>
      <c r="F4378" s="29" t="s">
        <v>4083</v>
      </c>
      <c r="G4378" s="29"/>
      <c r="H4378" s="29" t="s">
        <v>4086</v>
      </c>
      <c r="I4378" s="29"/>
      <c r="J4378" s="29" t="s">
        <v>4087</v>
      </c>
      <c r="K4378" s="29"/>
      <c r="L4378" s="29" t="s">
        <v>751</v>
      </c>
      <c r="M4378" s="29"/>
      <c r="N4378" s="29" t="s">
        <v>2315</v>
      </c>
      <c r="O4378" s="29"/>
      <c r="P4378" s="29" t="s">
        <v>11703</v>
      </c>
      <c r="Q4378" t="s">
        <v>2038</v>
      </c>
      <c r="R4378" t="s">
        <v>2635</v>
      </c>
      <c r="S4378">
        <v>37</v>
      </c>
      <c r="T4378" s="43" t="str">
        <f t="shared" si="207"/>
        <v>2021.007D.R.Polyomaviridae_2ngen_117rensp.zip</v>
      </c>
      <c r="U4378" s="43" t="str">
        <f>HYPERLINK("https://ictv.global/taxonomy/taxondetails?taxnode_id=202207115","ictv.global=202207115")</f>
        <v>ictv.global=202207115</v>
      </c>
    </row>
    <row r="4379" spans="1:21">
      <c r="A4379">
        <v>4378</v>
      </c>
      <c r="B4379" s="29" t="s">
        <v>4053</v>
      </c>
      <c r="C4379" s="29"/>
      <c r="D4379" s="29" t="s">
        <v>4082</v>
      </c>
      <c r="E4379" s="29"/>
      <c r="F4379" s="29" t="s">
        <v>4083</v>
      </c>
      <c r="G4379" s="29"/>
      <c r="H4379" s="29" t="s">
        <v>4086</v>
      </c>
      <c r="I4379" s="29"/>
      <c r="J4379" s="29" t="s">
        <v>4087</v>
      </c>
      <c r="K4379" s="29"/>
      <c r="L4379" s="29" t="s">
        <v>751</v>
      </c>
      <c r="M4379" s="29"/>
      <c r="N4379" s="29" t="s">
        <v>2315</v>
      </c>
      <c r="O4379" s="29"/>
      <c r="P4379" s="29" t="s">
        <v>11704</v>
      </c>
      <c r="Q4379" t="s">
        <v>2038</v>
      </c>
      <c r="R4379" t="s">
        <v>2635</v>
      </c>
      <c r="S4379">
        <v>37</v>
      </c>
      <c r="T4379" s="43" t="str">
        <f t="shared" si="207"/>
        <v>2021.007D.R.Polyomaviridae_2ngen_117rensp.zip</v>
      </c>
      <c r="U4379" s="43" t="str">
        <f>HYPERLINK("https://ictv.global/taxonomy/taxondetails?taxnode_id=202204458","ictv.global=202204458")</f>
        <v>ictv.global=202204458</v>
      </c>
    </row>
    <row r="4380" spans="1:21">
      <c r="A4380">
        <v>4379</v>
      </c>
      <c r="B4380" s="29" t="s">
        <v>4053</v>
      </c>
      <c r="C4380" s="29"/>
      <c r="D4380" s="29" t="s">
        <v>4082</v>
      </c>
      <c r="E4380" s="29"/>
      <c r="F4380" s="29" t="s">
        <v>4083</v>
      </c>
      <c r="G4380" s="29"/>
      <c r="H4380" s="29" t="s">
        <v>4086</v>
      </c>
      <c r="I4380" s="29"/>
      <c r="J4380" s="29" t="s">
        <v>4087</v>
      </c>
      <c r="K4380" s="29"/>
      <c r="L4380" s="29" t="s">
        <v>751</v>
      </c>
      <c r="M4380" s="29"/>
      <c r="N4380" s="29" t="s">
        <v>2315</v>
      </c>
      <c r="O4380" s="29"/>
      <c r="P4380" s="29" t="s">
        <v>11705</v>
      </c>
      <c r="Q4380" t="s">
        <v>2038</v>
      </c>
      <c r="R4380" t="s">
        <v>2635</v>
      </c>
      <c r="S4380">
        <v>37</v>
      </c>
      <c r="T4380" s="43" t="str">
        <f t="shared" si="207"/>
        <v>2021.007D.R.Polyomaviridae_2ngen_117rensp.zip</v>
      </c>
      <c r="U4380" s="43" t="str">
        <f>HYPERLINK("https://ictv.global/taxonomy/taxondetails?taxnode_id=202209590","ictv.global=202209590")</f>
        <v>ictv.global=202209590</v>
      </c>
    </row>
    <row r="4381" spans="1:21">
      <c r="A4381">
        <v>4380</v>
      </c>
      <c r="B4381" s="29" t="s">
        <v>4053</v>
      </c>
      <c r="C4381" s="29"/>
      <c r="D4381" s="29" t="s">
        <v>4082</v>
      </c>
      <c r="E4381" s="29"/>
      <c r="F4381" s="29" t="s">
        <v>4083</v>
      </c>
      <c r="G4381" s="29"/>
      <c r="H4381" s="29" t="s">
        <v>4086</v>
      </c>
      <c r="I4381" s="29"/>
      <c r="J4381" s="29" t="s">
        <v>4087</v>
      </c>
      <c r="K4381" s="29"/>
      <c r="L4381" s="29" t="s">
        <v>751</v>
      </c>
      <c r="M4381" s="29"/>
      <c r="N4381" s="29" t="s">
        <v>2315</v>
      </c>
      <c r="O4381" s="29"/>
      <c r="P4381" s="29" t="s">
        <v>11706</v>
      </c>
      <c r="Q4381" t="s">
        <v>2038</v>
      </c>
      <c r="R4381" t="s">
        <v>2635</v>
      </c>
      <c r="S4381">
        <v>37</v>
      </c>
      <c r="T4381" s="43" t="str">
        <f t="shared" si="207"/>
        <v>2021.007D.R.Polyomaviridae_2ngen_117rensp.zip</v>
      </c>
      <c r="U4381" s="43" t="str">
        <f>HYPERLINK("https://ictv.global/taxonomy/taxondetails?taxnode_id=202204459","ictv.global=202204459")</f>
        <v>ictv.global=202204459</v>
      </c>
    </row>
    <row r="4382" spans="1:21">
      <c r="A4382">
        <v>4381</v>
      </c>
      <c r="B4382" s="29" t="s">
        <v>4053</v>
      </c>
      <c r="C4382" s="29"/>
      <c r="D4382" s="29" t="s">
        <v>4082</v>
      </c>
      <c r="E4382" s="29"/>
      <c r="F4382" s="29" t="s">
        <v>4083</v>
      </c>
      <c r="G4382" s="29"/>
      <c r="H4382" s="29" t="s">
        <v>4086</v>
      </c>
      <c r="I4382" s="29"/>
      <c r="J4382" s="29" t="s">
        <v>4087</v>
      </c>
      <c r="K4382" s="29"/>
      <c r="L4382" s="29" t="s">
        <v>751</v>
      </c>
      <c r="M4382" s="29"/>
      <c r="N4382" s="29" t="s">
        <v>2315</v>
      </c>
      <c r="O4382" s="29"/>
      <c r="P4382" s="29" t="s">
        <v>11707</v>
      </c>
      <c r="Q4382" t="s">
        <v>2038</v>
      </c>
      <c r="R4382" t="s">
        <v>2635</v>
      </c>
      <c r="S4382">
        <v>37</v>
      </c>
      <c r="T4382" s="43" t="str">
        <f t="shared" si="207"/>
        <v>2021.007D.R.Polyomaviridae_2ngen_117rensp.zip</v>
      </c>
      <c r="U4382" s="43" t="str">
        <f>HYPERLINK("https://ictv.global/taxonomy/taxondetails?taxnode_id=202209591","ictv.global=202209591")</f>
        <v>ictv.global=202209591</v>
      </c>
    </row>
    <row r="4383" spans="1:21">
      <c r="A4383">
        <v>4382</v>
      </c>
      <c r="B4383" s="29" t="s">
        <v>4053</v>
      </c>
      <c r="C4383" s="29"/>
      <c r="D4383" s="29" t="s">
        <v>4082</v>
      </c>
      <c r="E4383" s="29"/>
      <c r="F4383" s="29" t="s">
        <v>4083</v>
      </c>
      <c r="G4383" s="29"/>
      <c r="H4383" s="29" t="s">
        <v>4086</v>
      </c>
      <c r="I4383" s="29"/>
      <c r="J4383" s="29" t="s">
        <v>4087</v>
      </c>
      <c r="K4383" s="29"/>
      <c r="L4383" s="29" t="s">
        <v>751</v>
      </c>
      <c r="M4383" s="29"/>
      <c r="N4383" s="29" t="s">
        <v>2315</v>
      </c>
      <c r="O4383" s="29"/>
      <c r="P4383" s="29" t="s">
        <v>11708</v>
      </c>
      <c r="Q4383" t="s">
        <v>2038</v>
      </c>
      <c r="R4383" t="s">
        <v>2635</v>
      </c>
      <c r="S4383">
        <v>37</v>
      </c>
      <c r="T4383" s="43" t="str">
        <f t="shared" si="207"/>
        <v>2021.007D.R.Polyomaviridae_2ngen_117rensp.zip</v>
      </c>
      <c r="U4383" s="43" t="str">
        <f>HYPERLINK("https://ictv.global/taxonomy/taxondetails?taxnode_id=202205905","ictv.global=202205905")</f>
        <v>ictv.global=202205905</v>
      </c>
    </row>
    <row r="4384" spans="1:21">
      <c r="A4384">
        <v>4383</v>
      </c>
      <c r="B4384" s="29" t="s">
        <v>4053</v>
      </c>
      <c r="C4384" s="29"/>
      <c r="D4384" s="29" t="s">
        <v>4082</v>
      </c>
      <c r="E4384" s="29"/>
      <c r="F4384" s="29" t="s">
        <v>4083</v>
      </c>
      <c r="G4384" s="29"/>
      <c r="H4384" s="29" t="s">
        <v>4086</v>
      </c>
      <c r="I4384" s="29"/>
      <c r="J4384" s="29" t="s">
        <v>4087</v>
      </c>
      <c r="K4384" s="29"/>
      <c r="L4384" s="29" t="s">
        <v>751</v>
      </c>
      <c r="M4384" s="29"/>
      <c r="N4384" s="29" t="s">
        <v>2315</v>
      </c>
      <c r="O4384" s="29"/>
      <c r="P4384" s="29" t="s">
        <v>11709</v>
      </c>
      <c r="Q4384" t="s">
        <v>2038</v>
      </c>
      <c r="R4384" t="s">
        <v>2635</v>
      </c>
      <c r="S4384">
        <v>37</v>
      </c>
      <c r="T4384" s="43" t="str">
        <f t="shared" ref="T4384:T4415" si="208">HYPERLINK("https://ictv.global/ictv/proposals/2021.007D.R.Polyomaviridae_2ngen_117rensp.zip","2021.007D.R.Polyomaviridae_2ngen_117rensp.zip")</f>
        <v>2021.007D.R.Polyomaviridae_2ngen_117rensp.zip</v>
      </c>
      <c r="U4384" s="43" t="str">
        <f>HYPERLINK("https://ictv.global/taxonomy/taxondetails?taxnode_id=202204464","ictv.global=202204464")</f>
        <v>ictv.global=202204464</v>
      </c>
    </row>
    <row r="4385" spans="1:21">
      <c r="A4385">
        <v>4384</v>
      </c>
      <c r="B4385" s="29" t="s">
        <v>4053</v>
      </c>
      <c r="C4385" s="29"/>
      <c r="D4385" s="29" t="s">
        <v>4082</v>
      </c>
      <c r="E4385" s="29"/>
      <c r="F4385" s="29" t="s">
        <v>4083</v>
      </c>
      <c r="G4385" s="29"/>
      <c r="H4385" s="29" t="s">
        <v>4086</v>
      </c>
      <c r="I4385" s="29"/>
      <c r="J4385" s="29" t="s">
        <v>4087</v>
      </c>
      <c r="K4385" s="29"/>
      <c r="L4385" s="29" t="s">
        <v>751</v>
      </c>
      <c r="M4385" s="29"/>
      <c r="N4385" s="29" t="s">
        <v>2315</v>
      </c>
      <c r="O4385" s="29"/>
      <c r="P4385" s="29" t="s">
        <v>11710</v>
      </c>
      <c r="Q4385" t="s">
        <v>2038</v>
      </c>
      <c r="R4385" t="s">
        <v>2635</v>
      </c>
      <c r="S4385">
        <v>37</v>
      </c>
      <c r="T4385" s="43" t="str">
        <f t="shared" si="208"/>
        <v>2021.007D.R.Polyomaviridae_2ngen_117rensp.zip</v>
      </c>
      <c r="U4385" s="43" t="str">
        <f>HYPERLINK("https://ictv.global/taxonomy/taxondetails?taxnode_id=202204468","ictv.global=202204468")</f>
        <v>ictv.global=202204468</v>
      </c>
    </row>
    <row r="4386" spans="1:21">
      <c r="A4386">
        <v>4385</v>
      </c>
      <c r="B4386" s="29" t="s">
        <v>4053</v>
      </c>
      <c r="C4386" s="29"/>
      <c r="D4386" s="29" t="s">
        <v>4082</v>
      </c>
      <c r="E4386" s="29"/>
      <c r="F4386" s="29" t="s">
        <v>4083</v>
      </c>
      <c r="G4386" s="29"/>
      <c r="H4386" s="29" t="s">
        <v>4086</v>
      </c>
      <c r="I4386" s="29"/>
      <c r="J4386" s="29" t="s">
        <v>4087</v>
      </c>
      <c r="K4386" s="29"/>
      <c r="L4386" s="29" t="s">
        <v>751</v>
      </c>
      <c r="M4386" s="29"/>
      <c r="N4386" s="29" t="s">
        <v>2315</v>
      </c>
      <c r="O4386" s="29"/>
      <c r="P4386" s="29" t="s">
        <v>11711</v>
      </c>
      <c r="Q4386" t="s">
        <v>2038</v>
      </c>
      <c r="R4386" t="s">
        <v>2635</v>
      </c>
      <c r="S4386">
        <v>37</v>
      </c>
      <c r="T4386" s="43" t="str">
        <f t="shared" si="208"/>
        <v>2021.007D.R.Polyomaviridae_2ngen_117rensp.zip</v>
      </c>
      <c r="U4386" s="43" t="str">
        <f>HYPERLINK("https://ictv.global/taxonomy/taxondetails?taxnode_id=202204467","ictv.global=202204467")</f>
        <v>ictv.global=202204467</v>
      </c>
    </row>
    <row r="4387" spans="1:21">
      <c r="A4387">
        <v>4386</v>
      </c>
      <c r="B4387" s="29" t="s">
        <v>4053</v>
      </c>
      <c r="C4387" s="29"/>
      <c r="D4387" s="29" t="s">
        <v>4082</v>
      </c>
      <c r="E4387" s="29"/>
      <c r="F4387" s="29" t="s">
        <v>4083</v>
      </c>
      <c r="G4387" s="29"/>
      <c r="H4387" s="29" t="s">
        <v>4086</v>
      </c>
      <c r="I4387" s="29"/>
      <c r="J4387" s="29" t="s">
        <v>4087</v>
      </c>
      <c r="K4387" s="29"/>
      <c r="L4387" s="29" t="s">
        <v>751</v>
      </c>
      <c r="M4387" s="29"/>
      <c r="N4387" s="29" t="s">
        <v>2315</v>
      </c>
      <c r="O4387" s="29"/>
      <c r="P4387" s="29" t="s">
        <v>11712</v>
      </c>
      <c r="Q4387" t="s">
        <v>2038</v>
      </c>
      <c r="R4387" t="s">
        <v>2635</v>
      </c>
      <c r="S4387">
        <v>37</v>
      </c>
      <c r="T4387" s="43" t="str">
        <f t="shared" si="208"/>
        <v>2021.007D.R.Polyomaviridae_2ngen_117rensp.zip</v>
      </c>
      <c r="U4387" s="43" t="str">
        <f>HYPERLINK("https://ictv.global/taxonomy/taxondetails?taxnode_id=202204465","ictv.global=202204465")</f>
        <v>ictv.global=202204465</v>
      </c>
    </row>
    <row r="4388" spans="1:21">
      <c r="A4388">
        <v>4387</v>
      </c>
      <c r="B4388" s="29" t="s">
        <v>4053</v>
      </c>
      <c r="C4388" s="29"/>
      <c r="D4388" s="29" t="s">
        <v>4082</v>
      </c>
      <c r="E4388" s="29"/>
      <c r="F4388" s="29" t="s">
        <v>4083</v>
      </c>
      <c r="G4388" s="29"/>
      <c r="H4388" s="29" t="s">
        <v>4086</v>
      </c>
      <c r="I4388" s="29"/>
      <c r="J4388" s="29" t="s">
        <v>4087</v>
      </c>
      <c r="K4388" s="29"/>
      <c r="L4388" s="29" t="s">
        <v>751</v>
      </c>
      <c r="M4388" s="29"/>
      <c r="N4388" s="29" t="s">
        <v>2315</v>
      </c>
      <c r="O4388" s="29"/>
      <c r="P4388" s="29" t="s">
        <v>11713</v>
      </c>
      <c r="Q4388" t="s">
        <v>2038</v>
      </c>
      <c r="R4388" t="s">
        <v>2635</v>
      </c>
      <c r="S4388">
        <v>37</v>
      </c>
      <c r="T4388" s="43" t="str">
        <f t="shared" si="208"/>
        <v>2021.007D.R.Polyomaviridae_2ngen_117rensp.zip</v>
      </c>
      <c r="U4388" s="43" t="str">
        <f>HYPERLINK("https://ictv.global/taxonomy/taxondetails?taxnode_id=202204466","ictv.global=202204466")</f>
        <v>ictv.global=202204466</v>
      </c>
    </row>
    <row r="4389" spans="1:21">
      <c r="A4389">
        <v>4388</v>
      </c>
      <c r="B4389" s="29" t="s">
        <v>4053</v>
      </c>
      <c r="C4389" s="29"/>
      <c r="D4389" s="29" t="s">
        <v>4082</v>
      </c>
      <c r="E4389" s="29"/>
      <c r="F4389" s="29" t="s">
        <v>4083</v>
      </c>
      <c r="G4389" s="29"/>
      <c r="H4389" s="29" t="s">
        <v>4086</v>
      </c>
      <c r="I4389" s="29"/>
      <c r="J4389" s="29" t="s">
        <v>4087</v>
      </c>
      <c r="K4389" s="29"/>
      <c r="L4389" s="29" t="s">
        <v>751</v>
      </c>
      <c r="M4389" s="29"/>
      <c r="N4389" s="29" t="s">
        <v>2315</v>
      </c>
      <c r="O4389" s="29"/>
      <c r="P4389" s="29" t="s">
        <v>11714</v>
      </c>
      <c r="Q4389" t="s">
        <v>2038</v>
      </c>
      <c r="R4389" t="s">
        <v>2635</v>
      </c>
      <c r="S4389">
        <v>37</v>
      </c>
      <c r="T4389" s="43" t="str">
        <f t="shared" si="208"/>
        <v>2021.007D.R.Polyomaviridae_2ngen_117rensp.zip</v>
      </c>
      <c r="U4389" s="43" t="str">
        <f>HYPERLINK("https://ictv.global/taxonomy/taxondetails?taxnode_id=202204470","ictv.global=202204470")</f>
        <v>ictv.global=202204470</v>
      </c>
    </row>
    <row r="4390" spans="1:21">
      <c r="A4390">
        <v>4389</v>
      </c>
      <c r="B4390" s="29" t="s">
        <v>4053</v>
      </c>
      <c r="C4390" s="29"/>
      <c r="D4390" s="29" t="s">
        <v>4082</v>
      </c>
      <c r="E4390" s="29"/>
      <c r="F4390" s="29" t="s">
        <v>4083</v>
      </c>
      <c r="G4390" s="29"/>
      <c r="H4390" s="29" t="s">
        <v>4086</v>
      </c>
      <c r="I4390" s="29"/>
      <c r="J4390" s="29" t="s">
        <v>4087</v>
      </c>
      <c r="K4390" s="29"/>
      <c r="L4390" s="29" t="s">
        <v>751</v>
      </c>
      <c r="M4390" s="29"/>
      <c r="N4390" s="29" t="s">
        <v>2315</v>
      </c>
      <c r="O4390" s="29"/>
      <c r="P4390" s="29" t="s">
        <v>11715</v>
      </c>
      <c r="Q4390" t="s">
        <v>2038</v>
      </c>
      <c r="R4390" t="s">
        <v>2635</v>
      </c>
      <c r="S4390">
        <v>37</v>
      </c>
      <c r="T4390" s="43" t="str">
        <f t="shared" si="208"/>
        <v>2021.007D.R.Polyomaviridae_2ngen_117rensp.zip</v>
      </c>
      <c r="U4390" s="43" t="str">
        <f>HYPERLINK("https://ictv.global/taxonomy/taxondetails?taxnode_id=202204471","ictv.global=202204471")</f>
        <v>ictv.global=202204471</v>
      </c>
    </row>
    <row r="4391" spans="1:21">
      <c r="A4391">
        <v>4390</v>
      </c>
      <c r="B4391" s="29" t="s">
        <v>4053</v>
      </c>
      <c r="C4391" s="29"/>
      <c r="D4391" s="29" t="s">
        <v>4082</v>
      </c>
      <c r="E4391" s="29"/>
      <c r="F4391" s="29" t="s">
        <v>4083</v>
      </c>
      <c r="G4391" s="29"/>
      <c r="H4391" s="29" t="s">
        <v>4086</v>
      </c>
      <c r="I4391" s="29"/>
      <c r="J4391" s="29" t="s">
        <v>4087</v>
      </c>
      <c r="K4391" s="29"/>
      <c r="L4391" s="29" t="s">
        <v>751</v>
      </c>
      <c r="M4391" s="29"/>
      <c r="N4391" s="29" t="s">
        <v>2315</v>
      </c>
      <c r="O4391" s="29"/>
      <c r="P4391" s="29" t="s">
        <v>11716</v>
      </c>
      <c r="Q4391" t="s">
        <v>2038</v>
      </c>
      <c r="R4391" t="s">
        <v>2635</v>
      </c>
      <c r="S4391">
        <v>37</v>
      </c>
      <c r="T4391" s="43" t="str">
        <f t="shared" si="208"/>
        <v>2021.007D.R.Polyomaviridae_2ngen_117rensp.zip</v>
      </c>
      <c r="U4391" s="43" t="str">
        <f>HYPERLINK("https://ictv.global/taxonomy/taxondetails?taxnode_id=202204472","ictv.global=202204472")</f>
        <v>ictv.global=202204472</v>
      </c>
    </row>
    <row r="4392" spans="1:21">
      <c r="A4392">
        <v>4391</v>
      </c>
      <c r="B4392" s="29" t="s">
        <v>4053</v>
      </c>
      <c r="C4392" s="29"/>
      <c r="D4392" s="29" t="s">
        <v>4082</v>
      </c>
      <c r="E4392" s="29"/>
      <c r="F4392" s="29" t="s">
        <v>4083</v>
      </c>
      <c r="G4392" s="29"/>
      <c r="H4392" s="29" t="s">
        <v>4086</v>
      </c>
      <c r="I4392" s="29"/>
      <c r="J4392" s="29" t="s">
        <v>4087</v>
      </c>
      <c r="K4392" s="29"/>
      <c r="L4392" s="29" t="s">
        <v>751</v>
      </c>
      <c r="M4392" s="29"/>
      <c r="N4392" s="29" t="s">
        <v>2315</v>
      </c>
      <c r="O4392" s="29"/>
      <c r="P4392" s="29" t="s">
        <v>11717</v>
      </c>
      <c r="Q4392" t="s">
        <v>2038</v>
      </c>
      <c r="R4392" t="s">
        <v>2635</v>
      </c>
      <c r="S4392">
        <v>37</v>
      </c>
      <c r="T4392" s="43" t="str">
        <f t="shared" si="208"/>
        <v>2021.007D.R.Polyomaviridae_2ngen_117rensp.zip</v>
      </c>
      <c r="U4392" s="43" t="str">
        <f>HYPERLINK("https://ictv.global/taxonomy/taxondetails?taxnode_id=202209589","ictv.global=202209589")</f>
        <v>ictv.global=202209589</v>
      </c>
    </row>
    <row r="4393" spans="1:21">
      <c r="A4393">
        <v>4392</v>
      </c>
      <c r="B4393" s="29" t="s">
        <v>4053</v>
      </c>
      <c r="C4393" s="29"/>
      <c r="D4393" s="29" t="s">
        <v>4082</v>
      </c>
      <c r="E4393" s="29"/>
      <c r="F4393" s="29" t="s">
        <v>4083</v>
      </c>
      <c r="G4393" s="29"/>
      <c r="H4393" s="29" t="s">
        <v>4086</v>
      </c>
      <c r="I4393" s="29"/>
      <c r="J4393" s="29" t="s">
        <v>4087</v>
      </c>
      <c r="K4393" s="29"/>
      <c r="L4393" s="29" t="s">
        <v>751</v>
      </c>
      <c r="M4393" s="29"/>
      <c r="N4393" s="29" t="s">
        <v>2315</v>
      </c>
      <c r="O4393" s="29"/>
      <c r="P4393" s="29" t="s">
        <v>11718</v>
      </c>
      <c r="Q4393" t="s">
        <v>2038</v>
      </c>
      <c r="R4393" t="s">
        <v>2635</v>
      </c>
      <c r="S4393">
        <v>37</v>
      </c>
      <c r="T4393" s="43" t="str">
        <f t="shared" si="208"/>
        <v>2021.007D.R.Polyomaviridae_2ngen_117rensp.zip</v>
      </c>
      <c r="U4393" s="43" t="str">
        <f>HYPERLINK("https://ictv.global/taxonomy/taxondetails?taxnode_id=202204474","ictv.global=202204474")</f>
        <v>ictv.global=202204474</v>
      </c>
    </row>
    <row r="4394" spans="1:21">
      <c r="A4394">
        <v>4393</v>
      </c>
      <c r="B4394" s="29" t="s">
        <v>4053</v>
      </c>
      <c r="C4394" s="29"/>
      <c r="D4394" s="29" t="s">
        <v>4082</v>
      </c>
      <c r="E4394" s="29"/>
      <c r="F4394" s="29" t="s">
        <v>4083</v>
      </c>
      <c r="G4394" s="29"/>
      <c r="H4394" s="29" t="s">
        <v>4086</v>
      </c>
      <c r="I4394" s="29"/>
      <c r="J4394" s="29" t="s">
        <v>4087</v>
      </c>
      <c r="K4394" s="29"/>
      <c r="L4394" s="29" t="s">
        <v>751</v>
      </c>
      <c r="M4394" s="29"/>
      <c r="N4394" s="29" t="s">
        <v>2315</v>
      </c>
      <c r="O4394" s="29"/>
      <c r="P4394" s="29" t="s">
        <v>11719</v>
      </c>
      <c r="Q4394" t="s">
        <v>2038</v>
      </c>
      <c r="R4394" t="s">
        <v>2635</v>
      </c>
      <c r="S4394">
        <v>37</v>
      </c>
      <c r="T4394" s="43" t="str">
        <f t="shared" si="208"/>
        <v>2021.007D.R.Polyomaviridae_2ngen_117rensp.zip</v>
      </c>
      <c r="U4394" s="43" t="str">
        <f>HYPERLINK("https://ictv.global/taxonomy/taxondetails?taxnode_id=202204475","ictv.global=202204475")</f>
        <v>ictv.global=202204475</v>
      </c>
    </row>
    <row r="4395" spans="1:21">
      <c r="A4395">
        <v>4394</v>
      </c>
      <c r="B4395" s="29" t="s">
        <v>4053</v>
      </c>
      <c r="C4395" s="29"/>
      <c r="D4395" s="29" t="s">
        <v>4082</v>
      </c>
      <c r="E4395" s="29"/>
      <c r="F4395" s="29" t="s">
        <v>4083</v>
      </c>
      <c r="G4395" s="29"/>
      <c r="H4395" s="29" t="s">
        <v>4086</v>
      </c>
      <c r="I4395" s="29"/>
      <c r="J4395" s="29" t="s">
        <v>4087</v>
      </c>
      <c r="K4395" s="29"/>
      <c r="L4395" s="29" t="s">
        <v>751</v>
      </c>
      <c r="M4395" s="29"/>
      <c r="N4395" s="29" t="s">
        <v>2315</v>
      </c>
      <c r="O4395" s="29"/>
      <c r="P4395" s="29" t="s">
        <v>11720</v>
      </c>
      <c r="Q4395" t="s">
        <v>2038</v>
      </c>
      <c r="R4395" t="s">
        <v>2635</v>
      </c>
      <c r="S4395">
        <v>37</v>
      </c>
      <c r="T4395" s="43" t="str">
        <f t="shared" si="208"/>
        <v>2021.007D.R.Polyomaviridae_2ngen_117rensp.zip</v>
      </c>
      <c r="U4395" s="43" t="str">
        <f>HYPERLINK("https://ictv.global/taxonomy/taxondetails?taxnode_id=202204462","ictv.global=202204462")</f>
        <v>ictv.global=202204462</v>
      </c>
    </row>
    <row r="4396" spans="1:21">
      <c r="A4396">
        <v>4395</v>
      </c>
      <c r="B4396" s="29" t="s">
        <v>4053</v>
      </c>
      <c r="C4396" s="29"/>
      <c r="D4396" s="29" t="s">
        <v>4082</v>
      </c>
      <c r="E4396" s="29"/>
      <c r="F4396" s="29" t="s">
        <v>4083</v>
      </c>
      <c r="G4396" s="29"/>
      <c r="H4396" s="29" t="s">
        <v>4086</v>
      </c>
      <c r="I4396" s="29"/>
      <c r="J4396" s="29" t="s">
        <v>4087</v>
      </c>
      <c r="K4396" s="29"/>
      <c r="L4396" s="29" t="s">
        <v>751</v>
      </c>
      <c r="M4396" s="29"/>
      <c r="N4396" s="29" t="s">
        <v>2315</v>
      </c>
      <c r="O4396" s="29"/>
      <c r="P4396" s="29" t="s">
        <v>11721</v>
      </c>
      <c r="Q4396" t="s">
        <v>2038</v>
      </c>
      <c r="R4396" t="s">
        <v>2635</v>
      </c>
      <c r="S4396">
        <v>37</v>
      </c>
      <c r="T4396" s="43" t="str">
        <f t="shared" si="208"/>
        <v>2021.007D.R.Polyomaviridae_2ngen_117rensp.zip</v>
      </c>
      <c r="U4396" s="43" t="str">
        <f>HYPERLINK("https://ictv.global/taxonomy/taxondetails?taxnode_id=202206348","ictv.global=202206348")</f>
        <v>ictv.global=202206348</v>
      </c>
    </row>
    <row r="4397" spans="1:21">
      <c r="A4397">
        <v>4396</v>
      </c>
      <c r="B4397" s="29" t="s">
        <v>4053</v>
      </c>
      <c r="C4397" s="29"/>
      <c r="D4397" s="29" t="s">
        <v>4082</v>
      </c>
      <c r="E4397" s="29"/>
      <c r="F4397" s="29" t="s">
        <v>4083</v>
      </c>
      <c r="G4397" s="29"/>
      <c r="H4397" s="29" t="s">
        <v>4086</v>
      </c>
      <c r="I4397" s="29"/>
      <c r="J4397" s="29" t="s">
        <v>4087</v>
      </c>
      <c r="K4397" s="29"/>
      <c r="L4397" s="29" t="s">
        <v>751</v>
      </c>
      <c r="M4397" s="29"/>
      <c r="N4397" s="29" t="s">
        <v>2315</v>
      </c>
      <c r="O4397" s="29"/>
      <c r="P4397" s="29" t="s">
        <v>11722</v>
      </c>
      <c r="Q4397" t="s">
        <v>2038</v>
      </c>
      <c r="R4397" t="s">
        <v>2635</v>
      </c>
      <c r="S4397">
        <v>37</v>
      </c>
      <c r="T4397" s="43" t="str">
        <f t="shared" si="208"/>
        <v>2021.007D.R.Polyomaviridae_2ngen_117rensp.zip</v>
      </c>
      <c r="U4397" s="43" t="str">
        <f>HYPERLINK("https://ictv.global/taxonomy/taxondetails?taxnode_id=202204476","ictv.global=202204476")</f>
        <v>ictv.global=202204476</v>
      </c>
    </row>
    <row r="4398" spans="1:21">
      <c r="A4398">
        <v>4397</v>
      </c>
      <c r="B4398" s="29" t="s">
        <v>4053</v>
      </c>
      <c r="C4398" s="29"/>
      <c r="D4398" s="29" t="s">
        <v>4082</v>
      </c>
      <c r="E4398" s="29"/>
      <c r="F4398" s="29" t="s">
        <v>4083</v>
      </c>
      <c r="G4398" s="29"/>
      <c r="H4398" s="29" t="s">
        <v>4086</v>
      </c>
      <c r="I4398" s="29"/>
      <c r="J4398" s="29" t="s">
        <v>4087</v>
      </c>
      <c r="K4398" s="29"/>
      <c r="L4398" s="29" t="s">
        <v>751</v>
      </c>
      <c r="M4398" s="29"/>
      <c r="N4398" s="29" t="s">
        <v>2315</v>
      </c>
      <c r="O4398" s="29"/>
      <c r="P4398" s="29" t="s">
        <v>11723</v>
      </c>
      <c r="Q4398" t="s">
        <v>2038</v>
      </c>
      <c r="R4398" t="s">
        <v>2635</v>
      </c>
      <c r="S4398">
        <v>37</v>
      </c>
      <c r="T4398" s="43" t="str">
        <f t="shared" si="208"/>
        <v>2021.007D.R.Polyomaviridae_2ngen_117rensp.zip</v>
      </c>
      <c r="U4398" s="43" t="str">
        <f>HYPERLINK("https://ictv.global/taxonomy/taxondetails?taxnode_id=202204477","ictv.global=202204477")</f>
        <v>ictv.global=202204477</v>
      </c>
    </row>
    <row r="4399" spans="1:21">
      <c r="A4399">
        <v>4398</v>
      </c>
      <c r="B4399" s="29" t="s">
        <v>4053</v>
      </c>
      <c r="C4399" s="29"/>
      <c r="D4399" s="29" t="s">
        <v>4082</v>
      </c>
      <c r="E4399" s="29"/>
      <c r="F4399" s="29" t="s">
        <v>4083</v>
      </c>
      <c r="G4399" s="29"/>
      <c r="H4399" s="29" t="s">
        <v>4086</v>
      </c>
      <c r="I4399" s="29"/>
      <c r="J4399" s="29" t="s">
        <v>4087</v>
      </c>
      <c r="K4399" s="29"/>
      <c r="L4399" s="29" t="s">
        <v>751</v>
      </c>
      <c r="M4399" s="29"/>
      <c r="N4399" s="29" t="s">
        <v>2315</v>
      </c>
      <c r="O4399" s="29"/>
      <c r="P4399" s="29" t="s">
        <v>11724</v>
      </c>
      <c r="Q4399" t="s">
        <v>2038</v>
      </c>
      <c r="R4399" t="s">
        <v>2635</v>
      </c>
      <c r="S4399">
        <v>37</v>
      </c>
      <c r="T4399" s="43" t="str">
        <f t="shared" si="208"/>
        <v>2021.007D.R.Polyomaviridae_2ngen_117rensp.zip</v>
      </c>
      <c r="U4399" s="43" t="str">
        <f>HYPERLINK("https://ictv.global/taxonomy/taxondetails?taxnode_id=202209592","ictv.global=202209592")</f>
        <v>ictv.global=202209592</v>
      </c>
    </row>
    <row r="4400" spans="1:21">
      <c r="A4400">
        <v>4399</v>
      </c>
      <c r="B4400" s="29" t="s">
        <v>4053</v>
      </c>
      <c r="C4400" s="29"/>
      <c r="D4400" s="29" t="s">
        <v>4082</v>
      </c>
      <c r="E4400" s="29"/>
      <c r="F4400" s="29" t="s">
        <v>4083</v>
      </c>
      <c r="G4400" s="29"/>
      <c r="H4400" s="29" t="s">
        <v>4086</v>
      </c>
      <c r="I4400" s="29"/>
      <c r="J4400" s="29" t="s">
        <v>4087</v>
      </c>
      <c r="K4400" s="29"/>
      <c r="L4400" s="29" t="s">
        <v>751</v>
      </c>
      <c r="M4400" s="29"/>
      <c r="N4400" s="29" t="s">
        <v>2315</v>
      </c>
      <c r="O4400" s="29"/>
      <c r="P4400" s="29" t="s">
        <v>11725</v>
      </c>
      <c r="Q4400" t="s">
        <v>2038</v>
      </c>
      <c r="R4400" t="s">
        <v>2635</v>
      </c>
      <c r="S4400">
        <v>37</v>
      </c>
      <c r="T4400" s="43" t="str">
        <f t="shared" si="208"/>
        <v>2021.007D.R.Polyomaviridae_2ngen_117rensp.zip</v>
      </c>
      <c r="U4400" s="43" t="str">
        <f>HYPERLINK("https://ictv.global/taxonomy/taxondetails?taxnode_id=202204450","ictv.global=202204450")</f>
        <v>ictv.global=202204450</v>
      </c>
    </row>
    <row r="4401" spans="1:21">
      <c r="A4401">
        <v>4400</v>
      </c>
      <c r="B4401" s="29" t="s">
        <v>4053</v>
      </c>
      <c r="C4401" s="29"/>
      <c r="D4401" s="29" t="s">
        <v>4082</v>
      </c>
      <c r="E4401" s="29"/>
      <c r="F4401" s="29" t="s">
        <v>4083</v>
      </c>
      <c r="G4401" s="29"/>
      <c r="H4401" s="29" t="s">
        <v>4086</v>
      </c>
      <c r="I4401" s="29"/>
      <c r="J4401" s="29" t="s">
        <v>4087</v>
      </c>
      <c r="K4401" s="29"/>
      <c r="L4401" s="29" t="s">
        <v>751</v>
      </c>
      <c r="M4401" s="29"/>
      <c r="N4401" s="29" t="s">
        <v>2315</v>
      </c>
      <c r="O4401" s="29"/>
      <c r="P4401" s="29" t="s">
        <v>11726</v>
      </c>
      <c r="Q4401" t="s">
        <v>2038</v>
      </c>
      <c r="R4401" t="s">
        <v>2635</v>
      </c>
      <c r="S4401">
        <v>37</v>
      </c>
      <c r="T4401" s="43" t="str">
        <f t="shared" si="208"/>
        <v>2021.007D.R.Polyomaviridae_2ngen_117rensp.zip</v>
      </c>
      <c r="U4401" s="43" t="str">
        <f>HYPERLINK("https://ictv.global/taxonomy/taxondetails?taxnode_id=202204454","ictv.global=202204454")</f>
        <v>ictv.global=202204454</v>
      </c>
    </row>
    <row r="4402" spans="1:21">
      <c r="A4402">
        <v>4401</v>
      </c>
      <c r="B4402" s="29" t="s">
        <v>4053</v>
      </c>
      <c r="C4402" s="29"/>
      <c r="D4402" s="29" t="s">
        <v>4082</v>
      </c>
      <c r="E4402" s="29"/>
      <c r="F4402" s="29" t="s">
        <v>4083</v>
      </c>
      <c r="G4402" s="29"/>
      <c r="H4402" s="29" t="s">
        <v>4086</v>
      </c>
      <c r="I4402" s="29"/>
      <c r="J4402" s="29" t="s">
        <v>4087</v>
      </c>
      <c r="K4402" s="29"/>
      <c r="L4402" s="29" t="s">
        <v>751</v>
      </c>
      <c r="M4402" s="29"/>
      <c r="N4402" s="29" t="s">
        <v>2315</v>
      </c>
      <c r="O4402" s="29"/>
      <c r="P4402" s="29" t="s">
        <v>11727</v>
      </c>
      <c r="Q4402" t="s">
        <v>2038</v>
      </c>
      <c r="R4402" t="s">
        <v>2635</v>
      </c>
      <c r="S4402">
        <v>37</v>
      </c>
      <c r="T4402" s="43" t="str">
        <f t="shared" si="208"/>
        <v>2021.007D.R.Polyomaviridae_2ngen_117rensp.zip</v>
      </c>
      <c r="U4402" s="43" t="str">
        <f>HYPERLINK("https://ictv.global/taxonomy/taxondetails?taxnode_id=202204456","ictv.global=202204456")</f>
        <v>ictv.global=202204456</v>
      </c>
    </row>
    <row r="4403" spans="1:21">
      <c r="A4403">
        <v>4402</v>
      </c>
      <c r="B4403" s="29" t="s">
        <v>4053</v>
      </c>
      <c r="C4403" s="29"/>
      <c r="D4403" s="29" t="s">
        <v>4082</v>
      </c>
      <c r="E4403" s="29"/>
      <c r="F4403" s="29" t="s">
        <v>4083</v>
      </c>
      <c r="G4403" s="29"/>
      <c r="H4403" s="29" t="s">
        <v>4086</v>
      </c>
      <c r="I4403" s="29"/>
      <c r="J4403" s="29" t="s">
        <v>4087</v>
      </c>
      <c r="K4403" s="29"/>
      <c r="L4403" s="29" t="s">
        <v>751</v>
      </c>
      <c r="M4403" s="29"/>
      <c r="N4403" s="29" t="s">
        <v>2315</v>
      </c>
      <c r="O4403" s="29"/>
      <c r="P4403" s="29" t="s">
        <v>11728</v>
      </c>
      <c r="Q4403" t="s">
        <v>2038</v>
      </c>
      <c r="R4403" t="s">
        <v>2635</v>
      </c>
      <c r="S4403">
        <v>37</v>
      </c>
      <c r="T4403" s="43" t="str">
        <f t="shared" si="208"/>
        <v>2021.007D.R.Polyomaviridae_2ngen_117rensp.zip</v>
      </c>
      <c r="U4403" s="43" t="str">
        <f>HYPERLINK("https://ictv.global/taxonomy/taxondetails?taxnode_id=202204460","ictv.global=202204460")</f>
        <v>ictv.global=202204460</v>
      </c>
    </row>
    <row r="4404" spans="1:21">
      <c r="A4404">
        <v>4403</v>
      </c>
      <c r="B4404" s="29" t="s">
        <v>4053</v>
      </c>
      <c r="C4404" s="29"/>
      <c r="D4404" s="29" t="s">
        <v>4082</v>
      </c>
      <c r="E4404" s="29"/>
      <c r="F4404" s="29" t="s">
        <v>4083</v>
      </c>
      <c r="G4404" s="29"/>
      <c r="H4404" s="29" t="s">
        <v>4086</v>
      </c>
      <c r="I4404" s="29"/>
      <c r="J4404" s="29" t="s">
        <v>4087</v>
      </c>
      <c r="K4404" s="29"/>
      <c r="L4404" s="29" t="s">
        <v>751</v>
      </c>
      <c r="M4404" s="29"/>
      <c r="N4404" s="29" t="s">
        <v>2315</v>
      </c>
      <c r="O4404" s="29"/>
      <c r="P4404" s="29" t="s">
        <v>11729</v>
      </c>
      <c r="Q4404" t="s">
        <v>2038</v>
      </c>
      <c r="R4404" t="s">
        <v>2635</v>
      </c>
      <c r="S4404">
        <v>37</v>
      </c>
      <c r="T4404" s="43" t="str">
        <f t="shared" si="208"/>
        <v>2021.007D.R.Polyomaviridae_2ngen_117rensp.zip</v>
      </c>
      <c r="U4404" s="43" t="str">
        <f>HYPERLINK("https://ictv.global/taxonomy/taxondetails?taxnode_id=202204469","ictv.global=202204469")</f>
        <v>ictv.global=202204469</v>
      </c>
    </row>
    <row r="4405" spans="1:21">
      <c r="A4405">
        <v>4404</v>
      </c>
      <c r="B4405" s="29" t="s">
        <v>4053</v>
      </c>
      <c r="C4405" s="29"/>
      <c r="D4405" s="29" t="s">
        <v>4082</v>
      </c>
      <c r="E4405" s="29"/>
      <c r="F4405" s="29" t="s">
        <v>4083</v>
      </c>
      <c r="G4405" s="29"/>
      <c r="H4405" s="29" t="s">
        <v>4086</v>
      </c>
      <c r="I4405" s="29"/>
      <c r="J4405" s="29" t="s">
        <v>4087</v>
      </c>
      <c r="K4405" s="29"/>
      <c r="L4405" s="29" t="s">
        <v>751</v>
      </c>
      <c r="M4405" s="29"/>
      <c r="N4405" s="29" t="s">
        <v>2315</v>
      </c>
      <c r="O4405" s="29"/>
      <c r="P4405" s="29" t="s">
        <v>11730</v>
      </c>
      <c r="Q4405" t="s">
        <v>2038</v>
      </c>
      <c r="R4405" t="s">
        <v>2635</v>
      </c>
      <c r="S4405">
        <v>37</v>
      </c>
      <c r="T4405" s="43" t="str">
        <f t="shared" si="208"/>
        <v>2021.007D.R.Polyomaviridae_2ngen_117rensp.zip</v>
      </c>
      <c r="U4405" s="43" t="str">
        <f>HYPERLINK("https://ictv.global/taxonomy/taxondetails?taxnode_id=202204473","ictv.global=202204473")</f>
        <v>ictv.global=202204473</v>
      </c>
    </row>
    <row r="4406" spans="1:21">
      <c r="A4406">
        <v>4405</v>
      </c>
      <c r="B4406" s="29" t="s">
        <v>4053</v>
      </c>
      <c r="C4406" s="29"/>
      <c r="D4406" s="29" t="s">
        <v>4082</v>
      </c>
      <c r="E4406" s="29"/>
      <c r="F4406" s="29" t="s">
        <v>4083</v>
      </c>
      <c r="G4406" s="29"/>
      <c r="H4406" s="29" t="s">
        <v>4086</v>
      </c>
      <c r="I4406" s="29"/>
      <c r="J4406" s="29" t="s">
        <v>4087</v>
      </c>
      <c r="K4406" s="29"/>
      <c r="L4406" s="29" t="s">
        <v>751</v>
      </c>
      <c r="M4406" s="29"/>
      <c r="N4406" s="29" t="s">
        <v>2315</v>
      </c>
      <c r="O4406" s="29"/>
      <c r="P4406" s="29" t="s">
        <v>11731</v>
      </c>
      <c r="Q4406" t="s">
        <v>2038</v>
      </c>
      <c r="R4406" t="s">
        <v>2635</v>
      </c>
      <c r="S4406">
        <v>37</v>
      </c>
      <c r="T4406" s="43" t="str">
        <f t="shared" si="208"/>
        <v>2021.007D.R.Polyomaviridae_2ngen_117rensp.zip</v>
      </c>
      <c r="U4406" s="43" t="str">
        <f>HYPERLINK("https://ictv.global/taxonomy/taxondetails?taxnode_id=202205906","ictv.global=202205906")</f>
        <v>ictv.global=202205906</v>
      </c>
    </row>
    <row r="4407" spans="1:21">
      <c r="A4407">
        <v>4406</v>
      </c>
      <c r="B4407" s="29" t="s">
        <v>4053</v>
      </c>
      <c r="C4407" s="29"/>
      <c r="D4407" s="29" t="s">
        <v>4082</v>
      </c>
      <c r="E4407" s="29"/>
      <c r="F4407" s="29" t="s">
        <v>4083</v>
      </c>
      <c r="G4407" s="29"/>
      <c r="H4407" s="29" t="s">
        <v>4086</v>
      </c>
      <c r="I4407" s="29"/>
      <c r="J4407" s="29" t="s">
        <v>4087</v>
      </c>
      <c r="K4407" s="29"/>
      <c r="L4407" s="29" t="s">
        <v>751</v>
      </c>
      <c r="M4407" s="29"/>
      <c r="N4407" s="29" t="s">
        <v>2315</v>
      </c>
      <c r="O4407" s="29"/>
      <c r="P4407" s="29" t="s">
        <v>11732</v>
      </c>
      <c r="Q4407" t="s">
        <v>2038</v>
      </c>
      <c r="R4407" t="s">
        <v>2635</v>
      </c>
      <c r="S4407">
        <v>37</v>
      </c>
      <c r="T4407" s="43" t="str">
        <f t="shared" si="208"/>
        <v>2021.007D.R.Polyomaviridae_2ngen_117rensp.zip</v>
      </c>
      <c r="U4407" s="43" t="str">
        <f>HYPERLINK("https://ictv.global/taxonomy/taxondetails?taxnode_id=202204457","ictv.global=202204457")</f>
        <v>ictv.global=202204457</v>
      </c>
    </row>
    <row r="4408" spans="1:21">
      <c r="A4408">
        <v>4407</v>
      </c>
      <c r="B4408" s="29" t="s">
        <v>4053</v>
      </c>
      <c r="C4408" s="29"/>
      <c r="D4408" s="29" t="s">
        <v>4082</v>
      </c>
      <c r="E4408" s="29"/>
      <c r="F4408" s="29" t="s">
        <v>4083</v>
      </c>
      <c r="G4408" s="29"/>
      <c r="H4408" s="29" t="s">
        <v>4086</v>
      </c>
      <c r="I4408" s="29"/>
      <c r="J4408" s="29" t="s">
        <v>4087</v>
      </c>
      <c r="K4408" s="29"/>
      <c r="L4408" s="29" t="s">
        <v>751</v>
      </c>
      <c r="M4408" s="29"/>
      <c r="N4408" s="29" t="s">
        <v>2315</v>
      </c>
      <c r="O4408" s="29"/>
      <c r="P4408" s="29" t="s">
        <v>11733</v>
      </c>
      <c r="Q4408" t="s">
        <v>2038</v>
      </c>
      <c r="R4408" t="s">
        <v>2635</v>
      </c>
      <c r="S4408">
        <v>37</v>
      </c>
      <c r="T4408" s="43" t="str">
        <f t="shared" si="208"/>
        <v>2021.007D.R.Polyomaviridae_2ngen_117rensp.zip</v>
      </c>
      <c r="U4408" s="43" t="str">
        <f>HYPERLINK("https://ictv.global/taxonomy/taxondetails?taxnode_id=202204461","ictv.global=202204461")</f>
        <v>ictv.global=202204461</v>
      </c>
    </row>
    <row r="4409" spans="1:21">
      <c r="A4409">
        <v>4408</v>
      </c>
      <c r="B4409" s="29" t="s">
        <v>4053</v>
      </c>
      <c r="C4409" s="29"/>
      <c r="D4409" s="29" t="s">
        <v>4082</v>
      </c>
      <c r="E4409" s="29"/>
      <c r="F4409" s="29" t="s">
        <v>4083</v>
      </c>
      <c r="G4409" s="29"/>
      <c r="H4409" s="29" t="s">
        <v>4086</v>
      </c>
      <c r="I4409" s="29"/>
      <c r="J4409" s="29" t="s">
        <v>4087</v>
      </c>
      <c r="K4409" s="29"/>
      <c r="L4409" s="29" t="s">
        <v>751</v>
      </c>
      <c r="M4409" s="29"/>
      <c r="N4409" s="29" t="s">
        <v>2315</v>
      </c>
      <c r="O4409" s="29"/>
      <c r="P4409" s="29" t="s">
        <v>11734</v>
      </c>
      <c r="Q4409" t="s">
        <v>2038</v>
      </c>
      <c r="R4409" t="s">
        <v>2635</v>
      </c>
      <c r="S4409">
        <v>37</v>
      </c>
      <c r="T4409" s="43" t="str">
        <f t="shared" si="208"/>
        <v>2021.007D.R.Polyomaviridae_2ngen_117rensp.zip</v>
      </c>
      <c r="U4409" s="43" t="str">
        <f>HYPERLINK("https://ictv.global/taxonomy/taxondetails?taxnode_id=202207116","ictv.global=202207116")</f>
        <v>ictv.global=202207116</v>
      </c>
    </row>
    <row r="4410" spans="1:21">
      <c r="A4410">
        <v>4409</v>
      </c>
      <c r="B4410" s="29" t="s">
        <v>4053</v>
      </c>
      <c r="C4410" s="29"/>
      <c r="D4410" s="29" t="s">
        <v>4082</v>
      </c>
      <c r="E4410" s="29"/>
      <c r="F4410" s="29" t="s">
        <v>4083</v>
      </c>
      <c r="G4410" s="29"/>
      <c r="H4410" s="29" t="s">
        <v>4086</v>
      </c>
      <c r="I4410" s="29"/>
      <c r="J4410" s="29" t="s">
        <v>4087</v>
      </c>
      <c r="K4410" s="29"/>
      <c r="L4410" s="29" t="s">
        <v>751</v>
      </c>
      <c r="M4410" s="29"/>
      <c r="N4410" s="29" t="s">
        <v>2315</v>
      </c>
      <c r="O4410" s="29"/>
      <c r="P4410" s="29" t="s">
        <v>11735</v>
      </c>
      <c r="Q4410" t="s">
        <v>2038</v>
      </c>
      <c r="R4410" t="s">
        <v>2635</v>
      </c>
      <c r="S4410">
        <v>37</v>
      </c>
      <c r="T4410" s="43" t="str">
        <f t="shared" si="208"/>
        <v>2021.007D.R.Polyomaviridae_2ngen_117rensp.zip</v>
      </c>
      <c r="U4410" s="43" t="str">
        <f>HYPERLINK("https://ictv.global/taxonomy/taxondetails?taxnode_id=202205907","ictv.global=202205907")</f>
        <v>ictv.global=202205907</v>
      </c>
    </row>
    <row r="4411" spans="1:21">
      <c r="A4411">
        <v>4410</v>
      </c>
      <c r="B4411" s="29" t="s">
        <v>4053</v>
      </c>
      <c r="C4411" s="29"/>
      <c r="D4411" s="29" t="s">
        <v>4082</v>
      </c>
      <c r="E4411" s="29"/>
      <c r="F4411" s="29" t="s">
        <v>4083</v>
      </c>
      <c r="G4411" s="29"/>
      <c r="H4411" s="29" t="s">
        <v>4086</v>
      </c>
      <c r="I4411" s="29"/>
      <c r="J4411" s="29" t="s">
        <v>4087</v>
      </c>
      <c r="K4411" s="29"/>
      <c r="L4411" s="29" t="s">
        <v>751</v>
      </c>
      <c r="M4411" s="29"/>
      <c r="N4411" s="29" t="s">
        <v>2315</v>
      </c>
      <c r="O4411" s="29"/>
      <c r="P4411" s="29" t="s">
        <v>11736</v>
      </c>
      <c r="Q4411" t="s">
        <v>2038</v>
      </c>
      <c r="R4411" t="s">
        <v>2635</v>
      </c>
      <c r="S4411">
        <v>37</v>
      </c>
      <c r="T4411" s="43" t="str">
        <f t="shared" si="208"/>
        <v>2021.007D.R.Polyomaviridae_2ngen_117rensp.zip</v>
      </c>
      <c r="U4411" s="43" t="str">
        <f>HYPERLINK("https://ictv.global/taxonomy/taxondetails?taxnode_id=202204478","ictv.global=202204478")</f>
        <v>ictv.global=202204478</v>
      </c>
    </row>
    <row r="4412" spans="1:21">
      <c r="A4412">
        <v>4411</v>
      </c>
      <c r="B4412" s="29" t="s">
        <v>4053</v>
      </c>
      <c r="C4412" s="29"/>
      <c r="D4412" s="29" t="s">
        <v>4082</v>
      </c>
      <c r="E4412" s="29"/>
      <c r="F4412" s="29" t="s">
        <v>4083</v>
      </c>
      <c r="G4412" s="29"/>
      <c r="H4412" s="29" t="s">
        <v>4086</v>
      </c>
      <c r="I4412" s="29"/>
      <c r="J4412" s="29" t="s">
        <v>4087</v>
      </c>
      <c r="K4412" s="29"/>
      <c r="L4412" s="29" t="s">
        <v>751</v>
      </c>
      <c r="M4412" s="29"/>
      <c r="N4412" s="29" t="s">
        <v>2316</v>
      </c>
      <c r="O4412" s="29"/>
      <c r="P4412" s="29" t="s">
        <v>11737</v>
      </c>
      <c r="Q4412" t="s">
        <v>2038</v>
      </c>
      <c r="R4412" t="s">
        <v>2635</v>
      </c>
      <c r="S4412">
        <v>37</v>
      </c>
      <c r="T4412" s="43" t="str">
        <f t="shared" si="208"/>
        <v>2021.007D.R.Polyomaviridae_2ngen_117rensp.zip</v>
      </c>
      <c r="U4412" s="43" t="str">
        <f>HYPERLINK("https://ictv.global/taxonomy/taxondetails?taxnode_id=202206349","ictv.global=202206349")</f>
        <v>ictv.global=202206349</v>
      </c>
    </row>
    <row r="4413" spans="1:21">
      <c r="A4413">
        <v>4412</v>
      </c>
      <c r="B4413" s="29" t="s">
        <v>4053</v>
      </c>
      <c r="C4413" s="29"/>
      <c r="D4413" s="29" t="s">
        <v>4082</v>
      </c>
      <c r="E4413" s="29"/>
      <c r="F4413" s="29" t="s">
        <v>4083</v>
      </c>
      <c r="G4413" s="29"/>
      <c r="H4413" s="29" t="s">
        <v>4086</v>
      </c>
      <c r="I4413" s="29"/>
      <c r="J4413" s="29" t="s">
        <v>4087</v>
      </c>
      <c r="K4413" s="29"/>
      <c r="L4413" s="29" t="s">
        <v>751</v>
      </c>
      <c r="M4413" s="29"/>
      <c r="N4413" s="29" t="s">
        <v>2316</v>
      </c>
      <c r="O4413" s="29"/>
      <c r="P4413" s="29" t="s">
        <v>11738</v>
      </c>
      <c r="Q4413" t="s">
        <v>2038</v>
      </c>
      <c r="R4413" t="s">
        <v>2635</v>
      </c>
      <c r="S4413">
        <v>37</v>
      </c>
      <c r="T4413" s="43" t="str">
        <f t="shared" si="208"/>
        <v>2021.007D.R.Polyomaviridae_2ngen_117rensp.zip</v>
      </c>
      <c r="U4413" s="43" t="str">
        <f>HYPERLINK("https://ictv.global/taxonomy/taxondetails?taxnode_id=202209594","ictv.global=202209594")</f>
        <v>ictv.global=202209594</v>
      </c>
    </row>
    <row r="4414" spans="1:21">
      <c r="A4414">
        <v>4413</v>
      </c>
      <c r="B4414" s="29" t="s">
        <v>4053</v>
      </c>
      <c r="C4414" s="29"/>
      <c r="D4414" s="29" t="s">
        <v>4082</v>
      </c>
      <c r="E4414" s="29"/>
      <c r="F4414" s="29" t="s">
        <v>4083</v>
      </c>
      <c r="G4414" s="29"/>
      <c r="H4414" s="29" t="s">
        <v>4086</v>
      </c>
      <c r="I4414" s="29"/>
      <c r="J4414" s="29" t="s">
        <v>4087</v>
      </c>
      <c r="K4414" s="29"/>
      <c r="L4414" s="29" t="s">
        <v>751</v>
      </c>
      <c r="M4414" s="29"/>
      <c r="N4414" s="29" t="s">
        <v>2316</v>
      </c>
      <c r="O4414" s="29"/>
      <c r="P4414" s="29" t="s">
        <v>11739</v>
      </c>
      <c r="Q4414" t="s">
        <v>2038</v>
      </c>
      <c r="R4414" t="s">
        <v>2635</v>
      </c>
      <c r="S4414">
        <v>37</v>
      </c>
      <c r="T4414" s="43" t="str">
        <f t="shared" si="208"/>
        <v>2021.007D.R.Polyomaviridae_2ngen_117rensp.zip</v>
      </c>
      <c r="U4414" s="43" t="str">
        <f>HYPERLINK("https://ictv.global/taxonomy/taxondetails?taxnode_id=202204482","ictv.global=202204482")</f>
        <v>ictv.global=202204482</v>
      </c>
    </row>
    <row r="4415" spans="1:21">
      <c r="A4415">
        <v>4414</v>
      </c>
      <c r="B4415" s="29" t="s">
        <v>4053</v>
      </c>
      <c r="C4415" s="29"/>
      <c r="D4415" s="29" t="s">
        <v>4082</v>
      </c>
      <c r="E4415" s="29"/>
      <c r="F4415" s="29" t="s">
        <v>4083</v>
      </c>
      <c r="G4415" s="29"/>
      <c r="H4415" s="29" t="s">
        <v>4086</v>
      </c>
      <c r="I4415" s="29"/>
      <c r="J4415" s="29" t="s">
        <v>4087</v>
      </c>
      <c r="K4415" s="29"/>
      <c r="L4415" s="29" t="s">
        <v>751</v>
      </c>
      <c r="M4415" s="29"/>
      <c r="N4415" s="29" t="s">
        <v>2316</v>
      </c>
      <c r="O4415" s="29"/>
      <c r="P4415" s="29" t="s">
        <v>11740</v>
      </c>
      <c r="Q4415" t="s">
        <v>2038</v>
      </c>
      <c r="R4415" t="s">
        <v>2635</v>
      </c>
      <c r="S4415">
        <v>37</v>
      </c>
      <c r="T4415" s="43" t="str">
        <f t="shared" si="208"/>
        <v>2021.007D.R.Polyomaviridae_2ngen_117rensp.zip</v>
      </c>
      <c r="U4415" s="43" t="str">
        <f>HYPERLINK("https://ictv.global/taxonomy/taxondetails?taxnode_id=202206350","ictv.global=202206350")</f>
        <v>ictv.global=202206350</v>
      </c>
    </row>
    <row r="4416" spans="1:21">
      <c r="A4416">
        <v>4415</v>
      </c>
      <c r="B4416" s="29" t="s">
        <v>4053</v>
      </c>
      <c r="C4416" s="29"/>
      <c r="D4416" s="29" t="s">
        <v>4082</v>
      </c>
      <c r="E4416" s="29"/>
      <c r="F4416" s="29" t="s">
        <v>4083</v>
      </c>
      <c r="G4416" s="29"/>
      <c r="H4416" s="29" t="s">
        <v>4086</v>
      </c>
      <c r="I4416" s="29"/>
      <c r="J4416" s="29" t="s">
        <v>4087</v>
      </c>
      <c r="K4416" s="29"/>
      <c r="L4416" s="29" t="s">
        <v>751</v>
      </c>
      <c r="M4416" s="29"/>
      <c r="N4416" s="29" t="s">
        <v>2316</v>
      </c>
      <c r="O4416" s="29"/>
      <c r="P4416" s="29" t="s">
        <v>11741</v>
      </c>
      <c r="Q4416" t="s">
        <v>2038</v>
      </c>
      <c r="R4416" t="s">
        <v>2635</v>
      </c>
      <c r="S4416">
        <v>37</v>
      </c>
      <c r="T4416" s="43" t="str">
        <f t="shared" ref="T4416:T4436" si="209">HYPERLINK("https://ictv.global/ictv/proposals/2021.007D.R.Polyomaviridae_2ngen_117rensp.zip","2021.007D.R.Polyomaviridae_2ngen_117rensp.zip")</f>
        <v>2021.007D.R.Polyomaviridae_2ngen_117rensp.zip</v>
      </c>
      <c r="U4416" s="43" t="str">
        <f>HYPERLINK("https://ictv.global/taxonomy/taxondetails?taxnode_id=202204481","ictv.global=202204481")</f>
        <v>ictv.global=202204481</v>
      </c>
    </row>
    <row r="4417" spans="1:21">
      <c r="A4417">
        <v>4416</v>
      </c>
      <c r="B4417" s="29" t="s">
        <v>4053</v>
      </c>
      <c r="C4417" s="29"/>
      <c r="D4417" s="29" t="s">
        <v>4082</v>
      </c>
      <c r="E4417" s="29"/>
      <c r="F4417" s="29" t="s">
        <v>4083</v>
      </c>
      <c r="G4417" s="29"/>
      <c r="H4417" s="29" t="s">
        <v>4086</v>
      </c>
      <c r="I4417" s="29"/>
      <c r="J4417" s="29" t="s">
        <v>4087</v>
      </c>
      <c r="K4417" s="29"/>
      <c r="L4417" s="29" t="s">
        <v>751</v>
      </c>
      <c r="M4417" s="29"/>
      <c r="N4417" s="29" t="s">
        <v>2316</v>
      </c>
      <c r="O4417" s="29"/>
      <c r="P4417" s="29" t="s">
        <v>11742</v>
      </c>
      <c r="Q4417" t="s">
        <v>2038</v>
      </c>
      <c r="R4417" t="s">
        <v>2635</v>
      </c>
      <c r="S4417">
        <v>37</v>
      </c>
      <c r="T4417" s="43" t="str">
        <f t="shared" si="209"/>
        <v>2021.007D.R.Polyomaviridae_2ngen_117rensp.zip</v>
      </c>
      <c r="U4417" s="43" t="str">
        <f>HYPERLINK("https://ictv.global/taxonomy/taxondetails?taxnode_id=202204480","ictv.global=202204480")</f>
        <v>ictv.global=202204480</v>
      </c>
    </row>
    <row r="4418" spans="1:21">
      <c r="A4418">
        <v>4417</v>
      </c>
      <c r="B4418" s="29" t="s">
        <v>4053</v>
      </c>
      <c r="C4418" s="29"/>
      <c r="D4418" s="29" t="s">
        <v>4082</v>
      </c>
      <c r="E4418" s="29"/>
      <c r="F4418" s="29" t="s">
        <v>4083</v>
      </c>
      <c r="G4418" s="29"/>
      <c r="H4418" s="29" t="s">
        <v>4086</v>
      </c>
      <c r="I4418" s="29"/>
      <c r="J4418" s="29" t="s">
        <v>4087</v>
      </c>
      <c r="K4418" s="29"/>
      <c r="L4418" s="29" t="s">
        <v>751</v>
      </c>
      <c r="M4418" s="29"/>
      <c r="N4418" s="29" t="s">
        <v>2316</v>
      </c>
      <c r="O4418" s="29"/>
      <c r="P4418" s="29" t="s">
        <v>11743</v>
      </c>
      <c r="Q4418" t="s">
        <v>2038</v>
      </c>
      <c r="R4418" t="s">
        <v>2635</v>
      </c>
      <c r="S4418">
        <v>37</v>
      </c>
      <c r="T4418" s="43" t="str">
        <f t="shared" si="209"/>
        <v>2021.007D.R.Polyomaviridae_2ngen_117rensp.zip</v>
      </c>
      <c r="U4418" s="43" t="str">
        <f>HYPERLINK("https://ictv.global/taxonomy/taxondetails?taxnode_id=202204483","ictv.global=202204483")</f>
        <v>ictv.global=202204483</v>
      </c>
    </row>
    <row r="4419" spans="1:21">
      <c r="A4419">
        <v>4418</v>
      </c>
      <c r="B4419" s="29" t="s">
        <v>4053</v>
      </c>
      <c r="C4419" s="29"/>
      <c r="D4419" s="29" t="s">
        <v>4082</v>
      </c>
      <c r="E4419" s="29"/>
      <c r="F4419" s="29" t="s">
        <v>4083</v>
      </c>
      <c r="G4419" s="29"/>
      <c r="H4419" s="29" t="s">
        <v>4086</v>
      </c>
      <c r="I4419" s="29"/>
      <c r="J4419" s="29" t="s">
        <v>4087</v>
      </c>
      <c r="K4419" s="29"/>
      <c r="L4419" s="29" t="s">
        <v>751</v>
      </c>
      <c r="M4419" s="29"/>
      <c r="N4419" s="29" t="s">
        <v>4807</v>
      </c>
      <c r="O4419" s="29"/>
      <c r="P4419" s="29" t="s">
        <v>11744</v>
      </c>
      <c r="Q4419" t="s">
        <v>2038</v>
      </c>
      <c r="R4419" t="s">
        <v>2635</v>
      </c>
      <c r="S4419">
        <v>37</v>
      </c>
      <c r="T4419" s="43" t="str">
        <f t="shared" si="209"/>
        <v>2021.007D.R.Polyomaviridae_2ngen_117rensp.zip</v>
      </c>
      <c r="U4419" s="43" t="str">
        <f>HYPERLINK("https://ictv.global/taxonomy/taxondetails?taxnode_id=202204493","ictv.global=202204493")</f>
        <v>ictv.global=202204493</v>
      </c>
    </row>
    <row r="4420" spans="1:21">
      <c r="A4420">
        <v>4419</v>
      </c>
      <c r="B4420" s="29" t="s">
        <v>4053</v>
      </c>
      <c r="C4420" s="29"/>
      <c r="D4420" s="29" t="s">
        <v>4082</v>
      </c>
      <c r="E4420" s="29"/>
      <c r="F4420" s="29" t="s">
        <v>4083</v>
      </c>
      <c r="G4420" s="29"/>
      <c r="H4420" s="29" t="s">
        <v>4086</v>
      </c>
      <c r="I4420" s="29"/>
      <c r="J4420" s="29" t="s">
        <v>4087</v>
      </c>
      <c r="K4420" s="29"/>
      <c r="L4420" s="29" t="s">
        <v>751</v>
      </c>
      <c r="M4420" s="29"/>
      <c r="N4420" s="29" t="s">
        <v>4807</v>
      </c>
      <c r="O4420" s="29"/>
      <c r="P4420" s="29" t="s">
        <v>11745</v>
      </c>
      <c r="Q4420" t="s">
        <v>2038</v>
      </c>
      <c r="R4420" t="s">
        <v>2635</v>
      </c>
      <c r="S4420">
        <v>37</v>
      </c>
      <c r="T4420" s="43" t="str">
        <f t="shared" si="209"/>
        <v>2021.007D.R.Polyomaviridae_2ngen_117rensp.zip</v>
      </c>
      <c r="U4420" s="43" t="str">
        <f>HYPERLINK("https://ictv.global/taxonomy/taxondetails?taxnode_id=202209597","ictv.global=202209597")</f>
        <v>ictv.global=202209597</v>
      </c>
    </row>
    <row r="4421" spans="1:21">
      <c r="A4421">
        <v>4420</v>
      </c>
      <c r="B4421" s="29" t="s">
        <v>4053</v>
      </c>
      <c r="C4421" s="29"/>
      <c r="D4421" s="29" t="s">
        <v>4082</v>
      </c>
      <c r="E4421" s="29"/>
      <c r="F4421" s="29" t="s">
        <v>4083</v>
      </c>
      <c r="G4421" s="29"/>
      <c r="H4421" s="29" t="s">
        <v>4086</v>
      </c>
      <c r="I4421" s="29"/>
      <c r="J4421" s="29" t="s">
        <v>4087</v>
      </c>
      <c r="K4421" s="29"/>
      <c r="L4421" s="29" t="s">
        <v>751</v>
      </c>
      <c r="M4421" s="29"/>
      <c r="N4421" s="29" t="s">
        <v>4807</v>
      </c>
      <c r="O4421" s="29"/>
      <c r="P4421" s="29" t="s">
        <v>11746</v>
      </c>
      <c r="Q4421" t="s">
        <v>2038</v>
      </c>
      <c r="R4421" t="s">
        <v>2635</v>
      </c>
      <c r="S4421">
        <v>37</v>
      </c>
      <c r="T4421" s="43" t="str">
        <f t="shared" si="209"/>
        <v>2021.007D.R.Polyomaviridae_2ngen_117rensp.zip</v>
      </c>
      <c r="U4421" s="43" t="str">
        <f>HYPERLINK("https://ictv.global/taxonomy/taxondetails?taxnode_id=202209596","ictv.global=202209596")</f>
        <v>ictv.global=202209596</v>
      </c>
    </row>
    <row r="4422" spans="1:21">
      <c r="A4422">
        <v>4421</v>
      </c>
      <c r="B4422" s="29" t="s">
        <v>4053</v>
      </c>
      <c r="C4422" s="29"/>
      <c r="D4422" s="29" t="s">
        <v>4082</v>
      </c>
      <c r="E4422" s="29"/>
      <c r="F4422" s="29" t="s">
        <v>4083</v>
      </c>
      <c r="G4422" s="29"/>
      <c r="H4422" s="29" t="s">
        <v>4086</v>
      </c>
      <c r="I4422" s="29"/>
      <c r="J4422" s="29" t="s">
        <v>4087</v>
      </c>
      <c r="K4422" s="29"/>
      <c r="L4422" s="29" t="s">
        <v>751</v>
      </c>
      <c r="M4422" s="29"/>
      <c r="N4422" s="29" t="s">
        <v>11747</v>
      </c>
      <c r="O4422" s="29"/>
      <c r="P4422" s="29" t="s">
        <v>11748</v>
      </c>
      <c r="Q4422" t="s">
        <v>2038</v>
      </c>
      <c r="R4422" t="s">
        <v>2633</v>
      </c>
      <c r="S4422">
        <v>37</v>
      </c>
      <c r="T4422" s="43" t="str">
        <f t="shared" si="209"/>
        <v>2021.007D.R.Polyomaviridae_2ngen_117rensp.zip</v>
      </c>
      <c r="U4422" s="43" t="str">
        <f>HYPERLINK("https://ictv.global/taxonomy/taxondetails?taxnode_id=202205910","ictv.global=202205910")</f>
        <v>ictv.global=202205910</v>
      </c>
    </row>
    <row r="4423" spans="1:21">
      <c r="A4423">
        <v>4422</v>
      </c>
      <c r="B4423" s="29" t="s">
        <v>4053</v>
      </c>
      <c r="C4423" s="29"/>
      <c r="D4423" s="29" t="s">
        <v>4082</v>
      </c>
      <c r="E4423" s="29"/>
      <c r="F4423" s="29" t="s">
        <v>4083</v>
      </c>
      <c r="G4423" s="29"/>
      <c r="H4423" s="29" t="s">
        <v>4086</v>
      </c>
      <c r="I4423" s="29"/>
      <c r="J4423" s="29" t="s">
        <v>4087</v>
      </c>
      <c r="K4423" s="29"/>
      <c r="L4423" s="29" t="s">
        <v>751</v>
      </c>
      <c r="M4423" s="29"/>
      <c r="N4423" s="29" t="s">
        <v>2317</v>
      </c>
      <c r="O4423" s="29"/>
      <c r="P4423" s="29" t="s">
        <v>11749</v>
      </c>
      <c r="Q4423" t="s">
        <v>2038</v>
      </c>
      <c r="R4423" t="s">
        <v>2635</v>
      </c>
      <c r="S4423">
        <v>37</v>
      </c>
      <c r="T4423" s="43" t="str">
        <f t="shared" si="209"/>
        <v>2021.007D.R.Polyomaviridae_2ngen_117rensp.zip</v>
      </c>
      <c r="U4423" s="43" t="str">
        <f>HYPERLINK("https://ictv.global/taxonomy/taxondetails?taxnode_id=202204485","ictv.global=202204485")</f>
        <v>ictv.global=202204485</v>
      </c>
    </row>
    <row r="4424" spans="1:21">
      <c r="A4424">
        <v>4423</v>
      </c>
      <c r="B4424" s="29" t="s">
        <v>4053</v>
      </c>
      <c r="C4424" s="29"/>
      <c r="D4424" s="29" t="s">
        <v>4082</v>
      </c>
      <c r="E4424" s="29"/>
      <c r="F4424" s="29" t="s">
        <v>4083</v>
      </c>
      <c r="G4424" s="29"/>
      <c r="H4424" s="29" t="s">
        <v>4086</v>
      </c>
      <c r="I4424" s="29"/>
      <c r="J4424" s="29" t="s">
        <v>4087</v>
      </c>
      <c r="K4424" s="29"/>
      <c r="L4424" s="29" t="s">
        <v>751</v>
      </c>
      <c r="M4424" s="29"/>
      <c r="N4424" s="29" t="s">
        <v>2317</v>
      </c>
      <c r="O4424" s="29"/>
      <c r="P4424" s="29" t="s">
        <v>11750</v>
      </c>
      <c r="Q4424" t="s">
        <v>2038</v>
      </c>
      <c r="R4424" t="s">
        <v>2635</v>
      </c>
      <c r="S4424">
        <v>37</v>
      </c>
      <c r="T4424" s="43" t="str">
        <f t="shared" si="209"/>
        <v>2021.007D.R.Polyomaviridae_2ngen_117rensp.zip</v>
      </c>
      <c r="U4424" s="43" t="str">
        <f>HYPERLINK("https://ictv.global/taxonomy/taxondetails?taxnode_id=202204486","ictv.global=202204486")</f>
        <v>ictv.global=202204486</v>
      </c>
    </row>
    <row r="4425" spans="1:21">
      <c r="A4425">
        <v>4424</v>
      </c>
      <c r="B4425" s="29" t="s">
        <v>4053</v>
      </c>
      <c r="C4425" s="29"/>
      <c r="D4425" s="29" t="s">
        <v>4082</v>
      </c>
      <c r="E4425" s="29"/>
      <c r="F4425" s="29" t="s">
        <v>4083</v>
      </c>
      <c r="G4425" s="29"/>
      <c r="H4425" s="29" t="s">
        <v>4086</v>
      </c>
      <c r="I4425" s="29"/>
      <c r="J4425" s="29" t="s">
        <v>4087</v>
      </c>
      <c r="K4425" s="29"/>
      <c r="L4425" s="29" t="s">
        <v>751</v>
      </c>
      <c r="M4425" s="29"/>
      <c r="N4425" s="29" t="s">
        <v>2317</v>
      </c>
      <c r="O4425" s="29"/>
      <c r="P4425" s="29" t="s">
        <v>11751</v>
      </c>
      <c r="Q4425" t="s">
        <v>2038</v>
      </c>
      <c r="R4425" t="s">
        <v>2635</v>
      </c>
      <c r="S4425">
        <v>37</v>
      </c>
      <c r="T4425" s="43" t="str">
        <f t="shared" si="209"/>
        <v>2021.007D.R.Polyomaviridae_2ngen_117rensp.zip</v>
      </c>
      <c r="U4425" s="43" t="str">
        <f>HYPERLINK("https://ictv.global/taxonomy/taxondetails?taxnode_id=202204487","ictv.global=202204487")</f>
        <v>ictv.global=202204487</v>
      </c>
    </row>
    <row r="4426" spans="1:21">
      <c r="A4426">
        <v>4425</v>
      </c>
      <c r="B4426" s="29" t="s">
        <v>4053</v>
      </c>
      <c r="C4426" s="29"/>
      <c r="D4426" s="29" t="s">
        <v>4082</v>
      </c>
      <c r="E4426" s="29"/>
      <c r="F4426" s="29" t="s">
        <v>4083</v>
      </c>
      <c r="G4426" s="29"/>
      <c r="H4426" s="29" t="s">
        <v>4086</v>
      </c>
      <c r="I4426" s="29"/>
      <c r="J4426" s="29" t="s">
        <v>4087</v>
      </c>
      <c r="K4426" s="29"/>
      <c r="L4426" s="29" t="s">
        <v>751</v>
      </c>
      <c r="M4426" s="29"/>
      <c r="N4426" s="29" t="s">
        <v>2317</v>
      </c>
      <c r="O4426" s="29"/>
      <c r="P4426" s="29" t="s">
        <v>11752</v>
      </c>
      <c r="Q4426" t="s">
        <v>2038</v>
      </c>
      <c r="R4426" t="s">
        <v>2635</v>
      </c>
      <c r="S4426">
        <v>37</v>
      </c>
      <c r="T4426" s="43" t="str">
        <f t="shared" si="209"/>
        <v>2021.007D.R.Polyomaviridae_2ngen_117rensp.zip</v>
      </c>
      <c r="U4426" s="43" t="str">
        <f>HYPERLINK("https://ictv.global/taxonomy/taxondetails?taxnode_id=202204488","ictv.global=202204488")</f>
        <v>ictv.global=202204488</v>
      </c>
    </row>
    <row r="4427" spans="1:21">
      <c r="A4427">
        <v>4426</v>
      </c>
      <c r="B4427" s="29" t="s">
        <v>4053</v>
      </c>
      <c r="C4427" s="29"/>
      <c r="D4427" s="29" t="s">
        <v>4082</v>
      </c>
      <c r="E4427" s="29"/>
      <c r="F4427" s="29" t="s">
        <v>4083</v>
      </c>
      <c r="G4427" s="29"/>
      <c r="H4427" s="29" t="s">
        <v>4086</v>
      </c>
      <c r="I4427" s="29"/>
      <c r="J4427" s="29" t="s">
        <v>4087</v>
      </c>
      <c r="K4427" s="29"/>
      <c r="L4427" s="29" t="s">
        <v>751</v>
      </c>
      <c r="M4427" s="29"/>
      <c r="N4427" s="29" t="s">
        <v>2317</v>
      </c>
      <c r="O4427" s="29"/>
      <c r="P4427" s="29" t="s">
        <v>11753</v>
      </c>
      <c r="Q4427" t="s">
        <v>2038</v>
      </c>
      <c r="R4427" t="s">
        <v>2635</v>
      </c>
      <c r="S4427">
        <v>37</v>
      </c>
      <c r="T4427" s="43" t="str">
        <f t="shared" si="209"/>
        <v>2021.007D.R.Polyomaviridae_2ngen_117rensp.zip</v>
      </c>
      <c r="U4427" s="43" t="str">
        <f>HYPERLINK("https://ictv.global/taxonomy/taxondetails?taxnode_id=202205908","ictv.global=202205908")</f>
        <v>ictv.global=202205908</v>
      </c>
    </row>
    <row r="4428" spans="1:21">
      <c r="A4428">
        <v>4427</v>
      </c>
      <c r="B4428" s="29" t="s">
        <v>4053</v>
      </c>
      <c r="C4428" s="29"/>
      <c r="D4428" s="29" t="s">
        <v>4082</v>
      </c>
      <c r="E4428" s="29"/>
      <c r="F4428" s="29" t="s">
        <v>4083</v>
      </c>
      <c r="G4428" s="29"/>
      <c r="H4428" s="29" t="s">
        <v>4086</v>
      </c>
      <c r="I4428" s="29"/>
      <c r="J4428" s="29" t="s">
        <v>4087</v>
      </c>
      <c r="K4428" s="29"/>
      <c r="L4428" s="29" t="s">
        <v>751</v>
      </c>
      <c r="M4428" s="29"/>
      <c r="N4428" s="29" t="s">
        <v>2317</v>
      </c>
      <c r="O4428" s="29"/>
      <c r="P4428" s="29" t="s">
        <v>11754</v>
      </c>
      <c r="Q4428" t="s">
        <v>2038</v>
      </c>
      <c r="R4428" t="s">
        <v>2635</v>
      </c>
      <c r="S4428">
        <v>37</v>
      </c>
      <c r="T4428" s="43" t="str">
        <f t="shared" si="209"/>
        <v>2021.007D.R.Polyomaviridae_2ngen_117rensp.zip</v>
      </c>
      <c r="U4428" s="43" t="str">
        <f>HYPERLINK("https://ictv.global/taxonomy/taxondetails?taxnode_id=202205909","ictv.global=202205909")</f>
        <v>ictv.global=202205909</v>
      </c>
    </row>
    <row r="4429" spans="1:21">
      <c r="A4429">
        <v>4428</v>
      </c>
      <c r="B4429" s="29" t="s">
        <v>4053</v>
      </c>
      <c r="C4429" s="29"/>
      <c r="D4429" s="29" t="s">
        <v>4082</v>
      </c>
      <c r="E4429" s="29"/>
      <c r="F4429" s="29" t="s">
        <v>4083</v>
      </c>
      <c r="G4429" s="29"/>
      <c r="H4429" s="29" t="s">
        <v>4086</v>
      </c>
      <c r="I4429" s="29"/>
      <c r="J4429" s="29" t="s">
        <v>4087</v>
      </c>
      <c r="K4429" s="29"/>
      <c r="L4429" s="29" t="s">
        <v>751</v>
      </c>
      <c r="M4429" s="29"/>
      <c r="N4429" s="29" t="s">
        <v>2317</v>
      </c>
      <c r="O4429" s="29"/>
      <c r="P4429" s="29" t="s">
        <v>11755</v>
      </c>
      <c r="Q4429" t="s">
        <v>2038</v>
      </c>
      <c r="R4429" t="s">
        <v>2635</v>
      </c>
      <c r="S4429">
        <v>37</v>
      </c>
      <c r="T4429" s="43" t="str">
        <f t="shared" si="209"/>
        <v>2021.007D.R.Polyomaviridae_2ngen_117rensp.zip</v>
      </c>
      <c r="U4429" s="43" t="str">
        <f>HYPERLINK("https://ictv.global/taxonomy/taxondetails?taxnode_id=202204489","ictv.global=202204489")</f>
        <v>ictv.global=202204489</v>
      </c>
    </row>
    <row r="4430" spans="1:21">
      <c r="A4430">
        <v>4429</v>
      </c>
      <c r="B4430" s="29" t="s">
        <v>4053</v>
      </c>
      <c r="C4430" s="29"/>
      <c r="D4430" s="29" t="s">
        <v>4082</v>
      </c>
      <c r="E4430" s="29"/>
      <c r="F4430" s="29" t="s">
        <v>4083</v>
      </c>
      <c r="G4430" s="29"/>
      <c r="H4430" s="29" t="s">
        <v>4086</v>
      </c>
      <c r="I4430" s="29"/>
      <c r="J4430" s="29" t="s">
        <v>4087</v>
      </c>
      <c r="K4430" s="29"/>
      <c r="L4430" s="29" t="s">
        <v>751</v>
      </c>
      <c r="M4430" s="29"/>
      <c r="N4430" s="29" t="s">
        <v>2317</v>
      </c>
      <c r="O4430" s="29"/>
      <c r="P4430" s="29" t="s">
        <v>11756</v>
      </c>
      <c r="Q4430" t="s">
        <v>2038</v>
      </c>
      <c r="R4430" t="s">
        <v>2635</v>
      </c>
      <c r="S4430">
        <v>37</v>
      </c>
      <c r="T4430" s="43" t="str">
        <f t="shared" si="209"/>
        <v>2021.007D.R.Polyomaviridae_2ngen_117rensp.zip</v>
      </c>
      <c r="U4430" s="43" t="str">
        <f>HYPERLINK("https://ictv.global/taxonomy/taxondetails?taxnode_id=202204490","ictv.global=202204490")</f>
        <v>ictv.global=202204490</v>
      </c>
    </row>
    <row r="4431" spans="1:21">
      <c r="A4431">
        <v>4430</v>
      </c>
      <c r="B4431" s="29" t="s">
        <v>4053</v>
      </c>
      <c r="C4431" s="29"/>
      <c r="D4431" s="29" t="s">
        <v>4082</v>
      </c>
      <c r="E4431" s="29"/>
      <c r="F4431" s="29" t="s">
        <v>4083</v>
      </c>
      <c r="G4431" s="29"/>
      <c r="H4431" s="29" t="s">
        <v>4086</v>
      </c>
      <c r="I4431" s="29"/>
      <c r="J4431" s="29" t="s">
        <v>4087</v>
      </c>
      <c r="K4431" s="29"/>
      <c r="L4431" s="29" t="s">
        <v>751</v>
      </c>
      <c r="M4431" s="29"/>
      <c r="N4431" s="29" t="s">
        <v>2317</v>
      </c>
      <c r="O4431" s="29"/>
      <c r="P4431" s="29" t="s">
        <v>11757</v>
      </c>
      <c r="Q4431" t="s">
        <v>2038</v>
      </c>
      <c r="R4431" t="s">
        <v>2635</v>
      </c>
      <c r="S4431">
        <v>37</v>
      </c>
      <c r="T4431" s="43" t="str">
        <f t="shared" si="209"/>
        <v>2021.007D.R.Polyomaviridae_2ngen_117rensp.zip</v>
      </c>
      <c r="U4431" s="43" t="str">
        <f>HYPERLINK("https://ictv.global/taxonomy/taxondetails?taxnode_id=202204491","ictv.global=202204491")</f>
        <v>ictv.global=202204491</v>
      </c>
    </row>
    <row r="4432" spans="1:21">
      <c r="A4432">
        <v>4431</v>
      </c>
      <c r="B4432" s="29" t="s">
        <v>4053</v>
      </c>
      <c r="C4432" s="29"/>
      <c r="D4432" s="29" t="s">
        <v>4082</v>
      </c>
      <c r="E4432" s="29"/>
      <c r="F4432" s="29" t="s">
        <v>4083</v>
      </c>
      <c r="G4432" s="29"/>
      <c r="H4432" s="29" t="s">
        <v>4086</v>
      </c>
      <c r="I4432" s="29"/>
      <c r="J4432" s="29" t="s">
        <v>4087</v>
      </c>
      <c r="K4432" s="29"/>
      <c r="L4432" s="29" t="s">
        <v>751</v>
      </c>
      <c r="M4432" s="29"/>
      <c r="N4432" s="29" t="s">
        <v>11758</v>
      </c>
      <c r="O4432" s="29"/>
      <c r="P4432" s="29" t="s">
        <v>11759</v>
      </c>
      <c r="Q4432" t="s">
        <v>2038</v>
      </c>
      <c r="R4432" t="s">
        <v>2633</v>
      </c>
      <c r="S4432">
        <v>37</v>
      </c>
      <c r="T4432" s="43" t="str">
        <f t="shared" si="209"/>
        <v>2021.007D.R.Polyomaviridae_2ngen_117rensp.zip</v>
      </c>
      <c r="U4432" s="43" t="str">
        <f>HYPERLINK("https://ictv.global/taxonomy/taxondetails?taxnode_id=202204494","ictv.global=202204494")</f>
        <v>ictv.global=202204494</v>
      </c>
    </row>
    <row r="4433" spans="1:21">
      <c r="A4433">
        <v>4432</v>
      </c>
      <c r="B4433" s="29" t="s">
        <v>4053</v>
      </c>
      <c r="C4433" s="29"/>
      <c r="D4433" s="29" t="s">
        <v>4082</v>
      </c>
      <c r="E4433" s="29"/>
      <c r="F4433" s="29" t="s">
        <v>4083</v>
      </c>
      <c r="G4433" s="29"/>
      <c r="H4433" s="29" t="s">
        <v>4086</v>
      </c>
      <c r="I4433" s="29"/>
      <c r="J4433" s="29" t="s">
        <v>4087</v>
      </c>
      <c r="K4433" s="29"/>
      <c r="L4433" s="29" t="s">
        <v>751</v>
      </c>
      <c r="M4433" s="29"/>
      <c r="N4433" s="29" t="s">
        <v>11758</v>
      </c>
      <c r="O4433" s="29"/>
      <c r="P4433" s="29" t="s">
        <v>11760</v>
      </c>
      <c r="Q4433" t="s">
        <v>2038</v>
      </c>
      <c r="R4433" t="s">
        <v>2633</v>
      </c>
      <c r="S4433">
        <v>37</v>
      </c>
      <c r="T4433" s="43" t="str">
        <f t="shared" si="209"/>
        <v>2021.007D.R.Polyomaviridae_2ngen_117rensp.zip</v>
      </c>
      <c r="U4433" s="43" t="str">
        <f>HYPERLINK("https://ictv.global/taxonomy/taxondetails?taxnode_id=202206351","ictv.global=202206351")</f>
        <v>ictv.global=202206351</v>
      </c>
    </row>
    <row r="4434" spans="1:21">
      <c r="A4434">
        <v>4433</v>
      </c>
      <c r="B4434" s="29" t="s">
        <v>4053</v>
      </c>
      <c r="C4434" s="29"/>
      <c r="D4434" s="29" t="s">
        <v>4082</v>
      </c>
      <c r="E4434" s="29"/>
      <c r="F4434" s="29" t="s">
        <v>4083</v>
      </c>
      <c r="G4434" s="29"/>
      <c r="H4434" s="29" t="s">
        <v>4086</v>
      </c>
      <c r="I4434" s="29"/>
      <c r="J4434" s="29" t="s">
        <v>4087</v>
      </c>
      <c r="K4434" s="29"/>
      <c r="L4434" s="29" t="s">
        <v>751</v>
      </c>
      <c r="M4434" s="29"/>
      <c r="N4434" s="29" t="s">
        <v>11758</v>
      </c>
      <c r="O4434" s="29"/>
      <c r="P4434" s="29" t="s">
        <v>11761</v>
      </c>
      <c r="Q4434" t="s">
        <v>2038</v>
      </c>
      <c r="R4434" t="s">
        <v>2633</v>
      </c>
      <c r="S4434">
        <v>37</v>
      </c>
      <c r="T4434" s="43" t="str">
        <f t="shared" si="209"/>
        <v>2021.007D.R.Polyomaviridae_2ngen_117rensp.zip</v>
      </c>
      <c r="U4434" s="43" t="str">
        <f>HYPERLINK("https://ictv.global/taxonomy/taxondetails?taxnode_id=202206352","ictv.global=202206352")</f>
        <v>ictv.global=202206352</v>
      </c>
    </row>
    <row r="4435" spans="1:21">
      <c r="A4435">
        <v>4434</v>
      </c>
      <c r="B4435" s="29" t="s">
        <v>4053</v>
      </c>
      <c r="C4435" s="29"/>
      <c r="D4435" s="29" t="s">
        <v>4082</v>
      </c>
      <c r="E4435" s="29"/>
      <c r="F4435" s="29" t="s">
        <v>4083</v>
      </c>
      <c r="G4435" s="29"/>
      <c r="H4435" s="29" t="s">
        <v>4086</v>
      </c>
      <c r="I4435" s="29"/>
      <c r="J4435" s="29" t="s">
        <v>4087</v>
      </c>
      <c r="K4435" s="29"/>
      <c r="L4435" s="29" t="s">
        <v>751</v>
      </c>
      <c r="M4435" s="29"/>
      <c r="N4435" s="29" t="s">
        <v>11758</v>
      </c>
      <c r="O4435" s="29"/>
      <c r="P4435" s="29" t="s">
        <v>11762</v>
      </c>
      <c r="Q4435" t="s">
        <v>2038</v>
      </c>
      <c r="R4435" t="s">
        <v>2633</v>
      </c>
      <c r="S4435">
        <v>37</v>
      </c>
      <c r="T4435" s="43" t="str">
        <f t="shared" si="209"/>
        <v>2021.007D.R.Polyomaviridae_2ngen_117rensp.zip</v>
      </c>
      <c r="U4435" s="43" t="str">
        <f>HYPERLINK("https://ictv.global/taxonomy/taxondetails?taxnode_id=202205911","ictv.global=202205911")</f>
        <v>ictv.global=202205911</v>
      </c>
    </row>
    <row r="4436" spans="1:21">
      <c r="A4436">
        <v>4435</v>
      </c>
      <c r="B4436" s="29" t="s">
        <v>4053</v>
      </c>
      <c r="C4436" s="29"/>
      <c r="D4436" s="29" t="s">
        <v>4082</v>
      </c>
      <c r="E4436" s="29"/>
      <c r="F4436" s="29" t="s">
        <v>4083</v>
      </c>
      <c r="G4436" s="29"/>
      <c r="H4436" s="29" t="s">
        <v>4086</v>
      </c>
      <c r="I4436" s="29"/>
      <c r="J4436" s="29" t="s">
        <v>4087</v>
      </c>
      <c r="K4436" s="29"/>
      <c r="L4436" s="29" t="s">
        <v>751</v>
      </c>
      <c r="M4436" s="29"/>
      <c r="N4436" s="29" t="s">
        <v>4808</v>
      </c>
      <c r="O4436" s="29"/>
      <c r="P4436" s="29" t="s">
        <v>11763</v>
      </c>
      <c r="Q4436" t="s">
        <v>2038</v>
      </c>
      <c r="R4436" t="s">
        <v>2635</v>
      </c>
      <c r="S4436">
        <v>37</v>
      </c>
      <c r="T4436" s="43" t="str">
        <f t="shared" si="209"/>
        <v>2021.007D.R.Polyomaviridae_2ngen_117rensp.zip</v>
      </c>
      <c r="U4436" s="43" t="str">
        <f>HYPERLINK("https://ictv.global/taxonomy/taxondetails?taxnode_id=202204495","ictv.global=202204495")</f>
        <v>ictv.global=202204495</v>
      </c>
    </row>
    <row r="4437" spans="1:21">
      <c r="A4437">
        <v>4436</v>
      </c>
      <c r="B4437" s="29" t="s">
        <v>4053</v>
      </c>
      <c r="C4437" s="29"/>
      <c r="D4437" s="29" t="s">
        <v>4082</v>
      </c>
      <c r="E4437" s="29"/>
      <c r="F4437" s="29" t="s">
        <v>4083</v>
      </c>
      <c r="G4437" s="29"/>
      <c r="H4437" s="29" t="s">
        <v>4086</v>
      </c>
      <c r="I4437" s="29"/>
      <c r="J4437" s="29" t="s">
        <v>4088</v>
      </c>
      <c r="K4437" s="29"/>
      <c r="L4437" s="29" t="s">
        <v>638</v>
      </c>
      <c r="M4437" s="29" t="s">
        <v>2930</v>
      </c>
      <c r="N4437" s="29" t="s">
        <v>639</v>
      </c>
      <c r="O4437" s="29"/>
      <c r="P4437" s="29" t="s">
        <v>64</v>
      </c>
      <c r="Q4437" t="s">
        <v>2041</v>
      </c>
      <c r="R4437" t="s">
        <v>6901</v>
      </c>
      <c r="S4437">
        <v>36</v>
      </c>
      <c r="T4437" s="43" t="str">
        <f t="shared" ref="T4437:T4447" si="210">HYPERLINK("https://ictv.global/ictv/proposals/2020.001G.R.Abolish_type_species.pdf","2020.001G.R.Abolish_type_species.pdf")</f>
        <v>2020.001G.R.Abolish_type_species.pdf</v>
      </c>
      <c r="U4437" s="43" t="str">
        <f>HYPERLINK("https://ictv.global/taxonomy/taxondetails?taxnode_id=202203974","ictv.global=202203974")</f>
        <v>ictv.global=202203974</v>
      </c>
    </row>
    <row r="4438" spans="1:21">
      <c r="A4438">
        <v>4437</v>
      </c>
      <c r="B4438" s="29" t="s">
        <v>4053</v>
      </c>
      <c r="C4438" s="29"/>
      <c r="D4438" s="29" t="s">
        <v>4082</v>
      </c>
      <c r="E4438" s="29"/>
      <c r="F4438" s="29" t="s">
        <v>4083</v>
      </c>
      <c r="G4438" s="29"/>
      <c r="H4438" s="29" t="s">
        <v>4086</v>
      </c>
      <c r="I4438" s="29"/>
      <c r="J4438" s="29" t="s">
        <v>4088</v>
      </c>
      <c r="K4438" s="29"/>
      <c r="L4438" s="29" t="s">
        <v>638</v>
      </c>
      <c r="M4438" s="29" t="s">
        <v>2930</v>
      </c>
      <c r="N4438" s="29" t="s">
        <v>639</v>
      </c>
      <c r="O4438" s="29"/>
      <c r="P4438" s="29" t="s">
        <v>70</v>
      </c>
      <c r="Q4438" t="s">
        <v>2041</v>
      </c>
      <c r="R4438" t="s">
        <v>6901</v>
      </c>
      <c r="S4438">
        <v>36</v>
      </c>
      <c r="T4438" s="43" t="str">
        <f t="shared" si="210"/>
        <v>2020.001G.R.Abolish_type_species.pdf</v>
      </c>
      <c r="U4438" s="43" t="str">
        <f>HYPERLINK("https://ictv.global/taxonomy/taxondetails?taxnode_id=202203975","ictv.global=202203975")</f>
        <v>ictv.global=202203975</v>
      </c>
    </row>
    <row r="4439" spans="1:21">
      <c r="A4439">
        <v>4438</v>
      </c>
      <c r="B4439" s="29" t="s">
        <v>4053</v>
      </c>
      <c r="C4439" s="29"/>
      <c r="D4439" s="29" t="s">
        <v>4082</v>
      </c>
      <c r="E4439" s="29"/>
      <c r="F4439" s="29" t="s">
        <v>4083</v>
      </c>
      <c r="G4439" s="29"/>
      <c r="H4439" s="29" t="s">
        <v>4086</v>
      </c>
      <c r="I4439" s="29"/>
      <c r="J4439" s="29" t="s">
        <v>4088</v>
      </c>
      <c r="K4439" s="29"/>
      <c r="L4439" s="29" t="s">
        <v>638</v>
      </c>
      <c r="M4439" s="29" t="s">
        <v>2930</v>
      </c>
      <c r="N4439" s="29" t="s">
        <v>639</v>
      </c>
      <c r="O4439" s="29"/>
      <c r="P4439" s="29" t="s">
        <v>71</v>
      </c>
      <c r="Q4439" t="s">
        <v>2041</v>
      </c>
      <c r="R4439" t="s">
        <v>6901</v>
      </c>
      <c r="S4439">
        <v>36</v>
      </c>
      <c r="T4439" s="43" t="str">
        <f t="shared" si="210"/>
        <v>2020.001G.R.Abolish_type_species.pdf</v>
      </c>
      <c r="U4439" s="43" t="str">
        <f>HYPERLINK("https://ictv.global/taxonomy/taxondetails?taxnode_id=202203976","ictv.global=202203976")</f>
        <v>ictv.global=202203976</v>
      </c>
    </row>
    <row r="4440" spans="1:21">
      <c r="A4440">
        <v>4439</v>
      </c>
      <c r="B4440" s="29" t="s">
        <v>4053</v>
      </c>
      <c r="C4440" s="29"/>
      <c r="D4440" s="29" t="s">
        <v>4082</v>
      </c>
      <c r="E4440" s="29"/>
      <c r="F4440" s="29" t="s">
        <v>4083</v>
      </c>
      <c r="G4440" s="29"/>
      <c r="H4440" s="29" t="s">
        <v>4086</v>
      </c>
      <c r="I4440" s="29"/>
      <c r="J4440" s="29" t="s">
        <v>4088</v>
      </c>
      <c r="K4440" s="29"/>
      <c r="L4440" s="29" t="s">
        <v>638</v>
      </c>
      <c r="M4440" s="29" t="s">
        <v>2930</v>
      </c>
      <c r="N4440" s="29" t="s">
        <v>639</v>
      </c>
      <c r="O4440" s="29"/>
      <c r="P4440" s="29" t="s">
        <v>72</v>
      </c>
      <c r="Q4440" t="s">
        <v>2041</v>
      </c>
      <c r="R4440" t="s">
        <v>6901</v>
      </c>
      <c r="S4440">
        <v>36</v>
      </c>
      <c r="T4440" s="43" t="str">
        <f t="shared" si="210"/>
        <v>2020.001G.R.Abolish_type_species.pdf</v>
      </c>
      <c r="U4440" s="43" t="str">
        <f>HYPERLINK("https://ictv.global/taxonomy/taxondetails?taxnode_id=202203977","ictv.global=202203977")</f>
        <v>ictv.global=202203977</v>
      </c>
    </row>
    <row r="4441" spans="1:21">
      <c r="A4441">
        <v>4440</v>
      </c>
      <c r="B4441" s="29" t="s">
        <v>4053</v>
      </c>
      <c r="C4441" s="29"/>
      <c r="D4441" s="29" t="s">
        <v>4082</v>
      </c>
      <c r="E4441" s="29"/>
      <c r="F4441" s="29" t="s">
        <v>4083</v>
      </c>
      <c r="G4441" s="29"/>
      <c r="H4441" s="29" t="s">
        <v>4086</v>
      </c>
      <c r="I4441" s="29"/>
      <c r="J4441" s="29" t="s">
        <v>4088</v>
      </c>
      <c r="K4441" s="29"/>
      <c r="L4441" s="29" t="s">
        <v>638</v>
      </c>
      <c r="M4441" s="29" t="s">
        <v>2930</v>
      </c>
      <c r="N4441" s="29" t="s">
        <v>639</v>
      </c>
      <c r="O4441" s="29"/>
      <c r="P4441" s="29" t="s">
        <v>73</v>
      </c>
      <c r="Q4441" t="s">
        <v>2041</v>
      </c>
      <c r="R4441" t="s">
        <v>6901</v>
      </c>
      <c r="S4441">
        <v>36</v>
      </c>
      <c r="T4441" s="43" t="str">
        <f t="shared" si="210"/>
        <v>2020.001G.R.Abolish_type_species.pdf</v>
      </c>
      <c r="U4441" s="43" t="str">
        <f>HYPERLINK("https://ictv.global/taxonomy/taxondetails?taxnode_id=202203978","ictv.global=202203978")</f>
        <v>ictv.global=202203978</v>
      </c>
    </row>
    <row r="4442" spans="1:21">
      <c r="A4442">
        <v>4441</v>
      </c>
      <c r="B4442" s="29" t="s">
        <v>4053</v>
      </c>
      <c r="C4442" s="29"/>
      <c r="D4442" s="29" t="s">
        <v>4082</v>
      </c>
      <c r="E4442" s="29"/>
      <c r="F4442" s="29" t="s">
        <v>4083</v>
      </c>
      <c r="G4442" s="29"/>
      <c r="H4442" s="29" t="s">
        <v>4086</v>
      </c>
      <c r="I4442" s="29"/>
      <c r="J4442" s="29" t="s">
        <v>4088</v>
      </c>
      <c r="K4442" s="29"/>
      <c r="L4442" s="29" t="s">
        <v>638</v>
      </c>
      <c r="M4442" s="29" t="s">
        <v>2930</v>
      </c>
      <c r="N4442" s="29" t="s">
        <v>639</v>
      </c>
      <c r="O4442" s="29"/>
      <c r="P4442" s="29" t="s">
        <v>74</v>
      </c>
      <c r="Q4442" t="s">
        <v>2041</v>
      </c>
      <c r="R4442" t="s">
        <v>6901</v>
      </c>
      <c r="S4442">
        <v>36</v>
      </c>
      <c r="T4442" s="43" t="str">
        <f t="shared" si="210"/>
        <v>2020.001G.R.Abolish_type_species.pdf</v>
      </c>
      <c r="U4442" s="43" t="str">
        <f>HYPERLINK("https://ictv.global/taxonomy/taxondetails?taxnode_id=202203979","ictv.global=202203979")</f>
        <v>ictv.global=202203979</v>
      </c>
    </row>
    <row r="4443" spans="1:21">
      <c r="A4443">
        <v>4442</v>
      </c>
      <c r="B4443" s="29" t="s">
        <v>4053</v>
      </c>
      <c r="C4443" s="29"/>
      <c r="D4443" s="29" t="s">
        <v>4082</v>
      </c>
      <c r="E4443" s="29"/>
      <c r="F4443" s="29" t="s">
        <v>4083</v>
      </c>
      <c r="G4443" s="29"/>
      <c r="H4443" s="29" t="s">
        <v>4086</v>
      </c>
      <c r="I4443" s="29"/>
      <c r="J4443" s="29" t="s">
        <v>4088</v>
      </c>
      <c r="K4443" s="29"/>
      <c r="L4443" s="29" t="s">
        <v>638</v>
      </c>
      <c r="M4443" s="29" t="s">
        <v>2930</v>
      </c>
      <c r="N4443" s="29" t="s">
        <v>639</v>
      </c>
      <c r="O4443" s="29"/>
      <c r="P4443" s="29" t="s">
        <v>75</v>
      </c>
      <c r="Q4443" t="s">
        <v>2041</v>
      </c>
      <c r="R4443" t="s">
        <v>6901</v>
      </c>
      <c r="S4443">
        <v>36</v>
      </c>
      <c r="T4443" s="43" t="str">
        <f t="shared" si="210"/>
        <v>2020.001G.R.Abolish_type_species.pdf</v>
      </c>
      <c r="U4443" s="43" t="str">
        <f>HYPERLINK("https://ictv.global/taxonomy/taxondetails?taxnode_id=202203980","ictv.global=202203980")</f>
        <v>ictv.global=202203980</v>
      </c>
    </row>
    <row r="4444" spans="1:21">
      <c r="A4444">
        <v>4443</v>
      </c>
      <c r="B4444" s="29" t="s">
        <v>4053</v>
      </c>
      <c r="C4444" s="29"/>
      <c r="D4444" s="29" t="s">
        <v>4082</v>
      </c>
      <c r="E4444" s="29"/>
      <c r="F4444" s="29" t="s">
        <v>4083</v>
      </c>
      <c r="G4444" s="29"/>
      <c r="H4444" s="29" t="s">
        <v>4086</v>
      </c>
      <c r="I4444" s="29"/>
      <c r="J4444" s="29" t="s">
        <v>4088</v>
      </c>
      <c r="K4444" s="29"/>
      <c r="L4444" s="29" t="s">
        <v>638</v>
      </c>
      <c r="M4444" s="29" t="s">
        <v>2930</v>
      </c>
      <c r="N4444" s="29" t="s">
        <v>639</v>
      </c>
      <c r="O4444" s="29"/>
      <c r="P4444" s="29" t="s">
        <v>76</v>
      </c>
      <c r="Q4444" t="s">
        <v>2041</v>
      </c>
      <c r="R4444" t="s">
        <v>6901</v>
      </c>
      <c r="S4444">
        <v>36</v>
      </c>
      <c r="T4444" s="43" t="str">
        <f t="shared" si="210"/>
        <v>2020.001G.R.Abolish_type_species.pdf</v>
      </c>
      <c r="U4444" s="43" t="str">
        <f>HYPERLINK("https://ictv.global/taxonomy/taxondetails?taxnode_id=202203981","ictv.global=202203981")</f>
        <v>ictv.global=202203981</v>
      </c>
    </row>
    <row r="4445" spans="1:21">
      <c r="A4445">
        <v>4444</v>
      </c>
      <c r="B4445" s="29" t="s">
        <v>4053</v>
      </c>
      <c r="C4445" s="29"/>
      <c r="D4445" s="29" t="s">
        <v>4082</v>
      </c>
      <c r="E4445" s="29"/>
      <c r="F4445" s="29" t="s">
        <v>4083</v>
      </c>
      <c r="G4445" s="29"/>
      <c r="H4445" s="29" t="s">
        <v>4086</v>
      </c>
      <c r="I4445" s="29"/>
      <c r="J4445" s="29" t="s">
        <v>4088</v>
      </c>
      <c r="K4445" s="29"/>
      <c r="L4445" s="29" t="s">
        <v>638</v>
      </c>
      <c r="M4445" s="29" t="s">
        <v>2930</v>
      </c>
      <c r="N4445" s="29" t="s">
        <v>639</v>
      </c>
      <c r="O4445" s="29"/>
      <c r="P4445" s="29" t="s">
        <v>77</v>
      </c>
      <c r="Q4445" t="s">
        <v>2041</v>
      </c>
      <c r="R4445" t="s">
        <v>6901</v>
      </c>
      <c r="S4445">
        <v>36</v>
      </c>
      <c r="T4445" s="43" t="str">
        <f t="shared" si="210"/>
        <v>2020.001G.R.Abolish_type_species.pdf</v>
      </c>
      <c r="U4445" s="43" t="str">
        <f>HYPERLINK("https://ictv.global/taxonomy/taxondetails?taxnode_id=202203982","ictv.global=202203982")</f>
        <v>ictv.global=202203982</v>
      </c>
    </row>
    <row r="4446" spans="1:21">
      <c r="A4446">
        <v>4445</v>
      </c>
      <c r="B4446" s="29" t="s">
        <v>4053</v>
      </c>
      <c r="C4446" s="29"/>
      <c r="D4446" s="29" t="s">
        <v>4082</v>
      </c>
      <c r="E4446" s="29"/>
      <c r="F4446" s="29" t="s">
        <v>4083</v>
      </c>
      <c r="G4446" s="29"/>
      <c r="H4446" s="29" t="s">
        <v>4086</v>
      </c>
      <c r="I4446" s="29"/>
      <c r="J4446" s="29" t="s">
        <v>4088</v>
      </c>
      <c r="K4446" s="29"/>
      <c r="L4446" s="29" t="s">
        <v>638</v>
      </c>
      <c r="M4446" s="29" t="s">
        <v>2930</v>
      </c>
      <c r="N4446" s="29" t="s">
        <v>639</v>
      </c>
      <c r="O4446" s="29"/>
      <c r="P4446" s="29" t="s">
        <v>65</v>
      </c>
      <c r="Q4446" t="s">
        <v>2041</v>
      </c>
      <c r="R4446" t="s">
        <v>6901</v>
      </c>
      <c r="S4446">
        <v>36</v>
      </c>
      <c r="T4446" s="43" t="str">
        <f t="shared" si="210"/>
        <v>2020.001G.R.Abolish_type_species.pdf</v>
      </c>
      <c r="U4446" s="43" t="str">
        <f>HYPERLINK("https://ictv.global/taxonomy/taxondetails?taxnode_id=202203983","ictv.global=202203983")</f>
        <v>ictv.global=202203983</v>
      </c>
    </row>
    <row r="4447" spans="1:21">
      <c r="A4447">
        <v>4446</v>
      </c>
      <c r="B4447" s="29" t="s">
        <v>4053</v>
      </c>
      <c r="C4447" s="29"/>
      <c r="D4447" s="29" t="s">
        <v>4082</v>
      </c>
      <c r="E4447" s="29"/>
      <c r="F4447" s="29" t="s">
        <v>4083</v>
      </c>
      <c r="G4447" s="29"/>
      <c r="H4447" s="29" t="s">
        <v>4086</v>
      </c>
      <c r="I4447" s="29"/>
      <c r="J4447" s="29" t="s">
        <v>4088</v>
      </c>
      <c r="K4447" s="29"/>
      <c r="L4447" s="29" t="s">
        <v>638</v>
      </c>
      <c r="M4447" s="29" t="s">
        <v>2930</v>
      </c>
      <c r="N4447" s="29" t="s">
        <v>639</v>
      </c>
      <c r="O4447" s="29"/>
      <c r="P4447" s="29" t="s">
        <v>66</v>
      </c>
      <c r="Q4447" t="s">
        <v>2041</v>
      </c>
      <c r="R4447" t="s">
        <v>6901</v>
      </c>
      <c r="S4447">
        <v>36</v>
      </c>
      <c r="T4447" s="43" t="str">
        <f t="shared" si="210"/>
        <v>2020.001G.R.Abolish_type_species.pdf</v>
      </c>
      <c r="U4447" s="43" t="str">
        <f>HYPERLINK("https://ictv.global/taxonomy/taxondetails?taxnode_id=202203984","ictv.global=202203984")</f>
        <v>ictv.global=202203984</v>
      </c>
    </row>
    <row r="4448" spans="1:21">
      <c r="A4448">
        <v>4447</v>
      </c>
      <c r="B4448" s="29" t="s">
        <v>4053</v>
      </c>
      <c r="C4448" s="29"/>
      <c r="D4448" s="29" t="s">
        <v>4082</v>
      </c>
      <c r="E4448" s="29"/>
      <c r="F4448" s="29" t="s">
        <v>4083</v>
      </c>
      <c r="G4448" s="29"/>
      <c r="H4448" s="29" t="s">
        <v>4086</v>
      </c>
      <c r="I4448" s="29"/>
      <c r="J4448" s="29" t="s">
        <v>4088</v>
      </c>
      <c r="K4448" s="29"/>
      <c r="L4448" s="29" t="s">
        <v>638</v>
      </c>
      <c r="M4448" s="29" t="s">
        <v>2930</v>
      </c>
      <c r="N4448" s="29" t="s">
        <v>639</v>
      </c>
      <c r="O4448" s="29"/>
      <c r="P4448" s="29" t="s">
        <v>67</v>
      </c>
      <c r="Q4448" t="s">
        <v>2041</v>
      </c>
      <c r="R4448" t="s">
        <v>2634</v>
      </c>
      <c r="S4448">
        <v>35</v>
      </c>
      <c r="T4448" s="43" t="str">
        <f>HYPERLINK("https://ictv.global/ictv/proposals/2019.005G.zip","2019.005G.zip")</f>
        <v>2019.005G.zip</v>
      </c>
      <c r="U4448" s="43" t="str">
        <f>HYPERLINK("https://ictv.global/taxonomy/taxondetails?taxnode_id=202203985","ictv.global=202203985")</f>
        <v>ictv.global=202203985</v>
      </c>
    </row>
    <row r="4449" spans="1:21">
      <c r="A4449">
        <v>4448</v>
      </c>
      <c r="B4449" s="29" t="s">
        <v>4053</v>
      </c>
      <c r="C4449" s="29"/>
      <c r="D4449" s="29" t="s">
        <v>4082</v>
      </c>
      <c r="E4449" s="29"/>
      <c r="F4449" s="29" t="s">
        <v>4083</v>
      </c>
      <c r="G4449" s="29"/>
      <c r="H4449" s="29" t="s">
        <v>4086</v>
      </c>
      <c r="I4449" s="29"/>
      <c r="J4449" s="29" t="s">
        <v>4088</v>
      </c>
      <c r="K4449" s="29"/>
      <c r="L4449" s="29" t="s">
        <v>638</v>
      </c>
      <c r="M4449" s="29" t="s">
        <v>2930</v>
      </c>
      <c r="N4449" s="29" t="s">
        <v>639</v>
      </c>
      <c r="O4449" s="29"/>
      <c r="P4449" s="29" t="s">
        <v>68</v>
      </c>
      <c r="Q4449" t="s">
        <v>2041</v>
      </c>
      <c r="R4449" t="s">
        <v>6901</v>
      </c>
      <c r="S4449">
        <v>36</v>
      </c>
      <c r="T4449" s="43" t="str">
        <f t="shared" ref="T4449:T4454" si="211">HYPERLINK("https://ictv.global/ictv/proposals/2020.001G.R.Abolish_type_species.pdf","2020.001G.R.Abolish_type_species.pdf")</f>
        <v>2020.001G.R.Abolish_type_species.pdf</v>
      </c>
      <c r="U4449" s="43" t="str">
        <f>HYPERLINK("https://ictv.global/taxonomy/taxondetails?taxnode_id=202203986","ictv.global=202203986")</f>
        <v>ictv.global=202203986</v>
      </c>
    </row>
    <row r="4450" spans="1:21">
      <c r="A4450">
        <v>4449</v>
      </c>
      <c r="B4450" s="29" t="s">
        <v>4053</v>
      </c>
      <c r="C4450" s="29"/>
      <c r="D4450" s="29" t="s">
        <v>4082</v>
      </c>
      <c r="E4450" s="29"/>
      <c r="F4450" s="29" t="s">
        <v>4083</v>
      </c>
      <c r="G4450" s="29"/>
      <c r="H4450" s="29" t="s">
        <v>4086</v>
      </c>
      <c r="I4450" s="29"/>
      <c r="J4450" s="29" t="s">
        <v>4088</v>
      </c>
      <c r="K4450" s="29"/>
      <c r="L4450" s="29" t="s">
        <v>638</v>
      </c>
      <c r="M4450" s="29" t="s">
        <v>2930</v>
      </c>
      <c r="N4450" s="29" t="s">
        <v>639</v>
      </c>
      <c r="O4450" s="29"/>
      <c r="P4450" s="29" t="s">
        <v>69</v>
      </c>
      <c r="Q4450" t="s">
        <v>2041</v>
      </c>
      <c r="R4450" t="s">
        <v>6901</v>
      </c>
      <c r="S4450">
        <v>36</v>
      </c>
      <c r="T4450" s="43" t="str">
        <f t="shared" si="211"/>
        <v>2020.001G.R.Abolish_type_species.pdf</v>
      </c>
      <c r="U4450" s="43" t="str">
        <f>HYPERLINK("https://ictv.global/taxonomy/taxondetails?taxnode_id=202203987","ictv.global=202203987")</f>
        <v>ictv.global=202203987</v>
      </c>
    </row>
    <row r="4451" spans="1:21">
      <c r="A4451">
        <v>4450</v>
      </c>
      <c r="B4451" s="29" t="s">
        <v>4053</v>
      </c>
      <c r="C4451" s="29"/>
      <c r="D4451" s="29" t="s">
        <v>4082</v>
      </c>
      <c r="E4451" s="29"/>
      <c r="F4451" s="29" t="s">
        <v>4083</v>
      </c>
      <c r="G4451" s="29"/>
      <c r="H4451" s="29" t="s">
        <v>4086</v>
      </c>
      <c r="I4451" s="29"/>
      <c r="J4451" s="29" t="s">
        <v>4088</v>
      </c>
      <c r="K4451" s="29"/>
      <c r="L4451" s="29" t="s">
        <v>638</v>
      </c>
      <c r="M4451" s="29" t="s">
        <v>2930</v>
      </c>
      <c r="N4451" s="29" t="s">
        <v>672</v>
      </c>
      <c r="O4451" s="29"/>
      <c r="P4451" s="29" t="s">
        <v>78</v>
      </c>
      <c r="Q4451" t="s">
        <v>2041</v>
      </c>
      <c r="R4451" t="s">
        <v>6901</v>
      </c>
      <c r="S4451">
        <v>36</v>
      </c>
      <c r="T4451" s="43" t="str">
        <f t="shared" si="211"/>
        <v>2020.001G.R.Abolish_type_species.pdf</v>
      </c>
      <c r="U4451" s="43" t="str">
        <f>HYPERLINK("https://ictv.global/taxonomy/taxondetails?taxnode_id=202203989","ictv.global=202203989")</f>
        <v>ictv.global=202203989</v>
      </c>
    </row>
    <row r="4452" spans="1:21">
      <c r="A4452">
        <v>4451</v>
      </c>
      <c r="B4452" s="29" t="s">
        <v>4053</v>
      </c>
      <c r="C4452" s="29"/>
      <c r="D4452" s="29" t="s">
        <v>4082</v>
      </c>
      <c r="E4452" s="29"/>
      <c r="F4452" s="29" t="s">
        <v>4083</v>
      </c>
      <c r="G4452" s="29"/>
      <c r="H4452" s="29" t="s">
        <v>4086</v>
      </c>
      <c r="I4452" s="29"/>
      <c r="J4452" s="29" t="s">
        <v>4088</v>
      </c>
      <c r="K4452" s="29"/>
      <c r="L4452" s="29" t="s">
        <v>638</v>
      </c>
      <c r="M4452" s="29" t="s">
        <v>2930</v>
      </c>
      <c r="N4452" s="29" t="s">
        <v>672</v>
      </c>
      <c r="O4452" s="29"/>
      <c r="P4452" s="29" t="s">
        <v>79</v>
      </c>
      <c r="Q4452" t="s">
        <v>2041</v>
      </c>
      <c r="R4452" t="s">
        <v>6901</v>
      </c>
      <c r="S4452">
        <v>36</v>
      </c>
      <c r="T4452" s="43" t="str">
        <f t="shared" si="211"/>
        <v>2020.001G.R.Abolish_type_species.pdf</v>
      </c>
      <c r="U4452" s="43" t="str">
        <f>HYPERLINK("https://ictv.global/taxonomy/taxondetails?taxnode_id=202203990","ictv.global=202203990")</f>
        <v>ictv.global=202203990</v>
      </c>
    </row>
    <row r="4453" spans="1:21">
      <c r="A4453">
        <v>4452</v>
      </c>
      <c r="B4453" s="29" t="s">
        <v>4053</v>
      </c>
      <c r="C4453" s="29"/>
      <c r="D4453" s="29" t="s">
        <v>4082</v>
      </c>
      <c r="E4453" s="29"/>
      <c r="F4453" s="29" t="s">
        <v>4083</v>
      </c>
      <c r="G4453" s="29"/>
      <c r="H4453" s="29" t="s">
        <v>4086</v>
      </c>
      <c r="I4453" s="29"/>
      <c r="J4453" s="29" t="s">
        <v>4088</v>
      </c>
      <c r="K4453" s="29"/>
      <c r="L4453" s="29" t="s">
        <v>638</v>
      </c>
      <c r="M4453" s="29" t="s">
        <v>2930</v>
      </c>
      <c r="N4453" s="29" t="s">
        <v>672</v>
      </c>
      <c r="O4453" s="29"/>
      <c r="P4453" s="29" t="s">
        <v>80</v>
      </c>
      <c r="Q4453" t="s">
        <v>2041</v>
      </c>
      <c r="R4453" t="s">
        <v>6901</v>
      </c>
      <c r="S4453">
        <v>36</v>
      </c>
      <c r="T4453" s="43" t="str">
        <f t="shared" si="211"/>
        <v>2020.001G.R.Abolish_type_species.pdf</v>
      </c>
      <c r="U4453" s="43" t="str">
        <f>HYPERLINK("https://ictv.global/taxonomy/taxondetails?taxnode_id=202203991","ictv.global=202203991")</f>
        <v>ictv.global=202203991</v>
      </c>
    </row>
    <row r="4454" spans="1:21">
      <c r="A4454">
        <v>4453</v>
      </c>
      <c r="B4454" s="29" t="s">
        <v>4053</v>
      </c>
      <c r="C4454" s="29"/>
      <c r="D4454" s="29" t="s">
        <v>4082</v>
      </c>
      <c r="E4454" s="29"/>
      <c r="F4454" s="29" t="s">
        <v>4083</v>
      </c>
      <c r="G4454" s="29"/>
      <c r="H4454" s="29" t="s">
        <v>4086</v>
      </c>
      <c r="I4454" s="29"/>
      <c r="J4454" s="29" t="s">
        <v>4088</v>
      </c>
      <c r="K4454" s="29"/>
      <c r="L4454" s="29" t="s">
        <v>638</v>
      </c>
      <c r="M4454" s="29" t="s">
        <v>2930</v>
      </c>
      <c r="N4454" s="29" t="s">
        <v>672</v>
      </c>
      <c r="O4454" s="29"/>
      <c r="P4454" s="29" t="s">
        <v>81</v>
      </c>
      <c r="Q4454" t="s">
        <v>2041</v>
      </c>
      <c r="R4454" t="s">
        <v>6901</v>
      </c>
      <c r="S4454">
        <v>36</v>
      </c>
      <c r="T4454" s="43" t="str">
        <f t="shared" si="211"/>
        <v>2020.001G.R.Abolish_type_species.pdf</v>
      </c>
      <c r="U4454" s="43" t="str">
        <f>HYPERLINK("https://ictv.global/taxonomy/taxondetails?taxnode_id=202203992","ictv.global=202203992")</f>
        <v>ictv.global=202203992</v>
      </c>
    </row>
    <row r="4455" spans="1:21">
      <c r="A4455">
        <v>4454</v>
      </c>
      <c r="B4455" s="29" t="s">
        <v>4053</v>
      </c>
      <c r="C4455" s="29"/>
      <c r="D4455" s="29" t="s">
        <v>4082</v>
      </c>
      <c r="E4455" s="29"/>
      <c r="F4455" s="29" t="s">
        <v>4083</v>
      </c>
      <c r="G4455" s="29"/>
      <c r="H4455" s="29" t="s">
        <v>4086</v>
      </c>
      <c r="I4455" s="29"/>
      <c r="J4455" s="29" t="s">
        <v>4088</v>
      </c>
      <c r="K4455" s="29"/>
      <c r="L4455" s="29" t="s">
        <v>638</v>
      </c>
      <c r="M4455" s="29" t="s">
        <v>2930</v>
      </c>
      <c r="N4455" s="29" t="s">
        <v>672</v>
      </c>
      <c r="O4455" s="29"/>
      <c r="P4455" s="29" t="s">
        <v>82</v>
      </c>
      <c r="Q4455" t="s">
        <v>2041</v>
      </c>
      <c r="R4455" t="s">
        <v>2634</v>
      </c>
      <c r="S4455">
        <v>35</v>
      </c>
      <c r="T4455" s="43" t="str">
        <f>HYPERLINK("https://ictv.global/ictv/proposals/2019.005G.zip","2019.005G.zip")</f>
        <v>2019.005G.zip</v>
      </c>
      <c r="U4455" s="43" t="str">
        <f>HYPERLINK("https://ictv.global/taxonomy/taxondetails?taxnode_id=202203993","ictv.global=202203993")</f>
        <v>ictv.global=202203993</v>
      </c>
    </row>
    <row r="4456" spans="1:21">
      <c r="A4456">
        <v>4455</v>
      </c>
      <c r="B4456" s="29" t="s">
        <v>4053</v>
      </c>
      <c r="C4456" s="29"/>
      <c r="D4456" s="29" t="s">
        <v>4082</v>
      </c>
      <c r="E4456" s="29"/>
      <c r="F4456" s="29" t="s">
        <v>4083</v>
      </c>
      <c r="G4456" s="29"/>
      <c r="H4456" s="29" t="s">
        <v>4086</v>
      </c>
      <c r="I4456" s="29"/>
      <c r="J4456" s="29" t="s">
        <v>4088</v>
      </c>
      <c r="K4456" s="29"/>
      <c r="L4456" s="29" t="s">
        <v>638</v>
      </c>
      <c r="M4456" s="29" t="s">
        <v>2930</v>
      </c>
      <c r="N4456" s="29" t="s">
        <v>672</v>
      </c>
      <c r="O4456" s="29"/>
      <c r="P4456" s="29" t="s">
        <v>83</v>
      </c>
      <c r="Q4456" t="s">
        <v>2041</v>
      </c>
      <c r="R4456" t="s">
        <v>2634</v>
      </c>
      <c r="S4456">
        <v>35</v>
      </c>
      <c r="T4456" s="43" t="str">
        <f>HYPERLINK("https://ictv.global/ictv/proposals/2019.005G.zip","2019.005G.zip")</f>
        <v>2019.005G.zip</v>
      </c>
      <c r="U4456" s="43" t="str">
        <f>HYPERLINK("https://ictv.global/taxonomy/taxondetails?taxnode_id=202203994","ictv.global=202203994")</f>
        <v>ictv.global=202203994</v>
      </c>
    </row>
    <row r="4457" spans="1:21">
      <c r="A4457">
        <v>4456</v>
      </c>
      <c r="B4457" s="29" t="s">
        <v>4053</v>
      </c>
      <c r="C4457" s="29"/>
      <c r="D4457" s="29" t="s">
        <v>4082</v>
      </c>
      <c r="E4457" s="29"/>
      <c r="F4457" s="29" t="s">
        <v>4083</v>
      </c>
      <c r="G4457" s="29"/>
      <c r="H4457" s="29" t="s">
        <v>4086</v>
      </c>
      <c r="I4457" s="29"/>
      <c r="J4457" s="29" t="s">
        <v>4088</v>
      </c>
      <c r="K4457" s="29"/>
      <c r="L4457" s="29" t="s">
        <v>638</v>
      </c>
      <c r="M4457" s="29" t="s">
        <v>2930</v>
      </c>
      <c r="N4457" s="29" t="s">
        <v>84</v>
      </c>
      <c r="O4457" s="29"/>
      <c r="P4457" s="29" t="s">
        <v>85</v>
      </c>
      <c r="Q4457" t="s">
        <v>2041</v>
      </c>
      <c r="R4457" t="s">
        <v>6901</v>
      </c>
      <c r="S4457">
        <v>36</v>
      </c>
      <c r="T4457" s="43" t="str">
        <f>HYPERLINK("https://ictv.global/ictv/proposals/2020.001G.R.Abolish_type_species.pdf","2020.001G.R.Abolish_type_species.pdf")</f>
        <v>2020.001G.R.Abolish_type_species.pdf</v>
      </c>
      <c r="U4457" s="43" t="str">
        <f>HYPERLINK("https://ictv.global/taxonomy/taxondetails?taxnode_id=202203996","ictv.global=202203996")</f>
        <v>ictv.global=202203996</v>
      </c>
    </row>
    <row r="4458" spans="1:21">
      <c r="A4458">
        <v>4457</v>
      </c>
      <c r="B4458" s="29" t="s">
        <v>4053</v>
      </c>
      <c r="C4458" s="29"/>
      <c r="D4458" s="29" t="s">
        <v>4082</v>
      </c>
      <c r="E4458" s="29"/>
      <c r="F4458" s="29" t="s">
        <v>4083</v>
      </c>
      <c r="G4458" s="29"/>
      <c r="H4458" s="29" t="s">
        <v>4086</v>
      </c>
      <c r="I4458" s="29"/>
      <c r="J4458" s="29" t="s">
        <v>4088</v>
      </c>
      <c r="K4458" s="29"/>
      <c r="L4458" s="29" t="s">
        <v>638</v>
      </c>
      <c r="M4458" s="29" t="s">
        <v>2930</v>
      </c>
      <c r="N4458" s="29" t="s">
        <v>84</v>
      </c>
      <c r="O4458" s="29"/>
      <c r="P4458" s="29" t="s">
        <v>86</v>
      </c>
      <c r="Q4458" t="s">
        <v>2041</v>
      </c>
      <c r="R4458" t="s">
        <v>2634</v>
      </c>
      <c r="S4458">
        <v>35</v>
      </c>
      <c r="T4458" s="43" t="str">
        <f>HYPERLINK("https://ictv.global/ictv/proposals/2019.005G.zip","2019.005G.zip")</f>
        <v>2019.005G.zip</v>
      </c>
      <c r="U4458" s="43" t="str">
        <f>HYPERLINK("https://ictv.global/taxonomy/taxondetails?taxnode_id=202203997","ictv.global=202203997")</f>
        <v>ictv.global=202203997</v>
      </c>
    </row>
    <row r="4459" spans="1:21">
      <c r="A4459">
        <v>4458</v>
      </c>
      <c r="B4459" s="29" t="s">
        <v>4053</v>
      </c>
      <c r="C4459" s="29"/>
      <c r="D4459" s="29" t="s">
        <v>4082</v>
      </c>
      <c r="E4459" s="29"/>
      <c r="F4459" s="29" t="s">
        <v>4083</v>
      </c>
      <c r="G4459" s="29"/>
      <c r="H4459" s="29" t="s">
        <v>4086</v>
      </c>
      <c r="I4459" s="29"/>
      <c r="J4459" s="29" t="s">
        <v>4088</v>
      </c>
      <c r="K4459" s="29"/>
      <c r="L4459" s="29" t="s">
        <v>638</v>
      </c>
      <c r="M4459" s="29" t="s">
        <v>2930</v>
      </c>
      <c r="N4459" s="29" t="s">
        <v>84</v>
      </c>
      <c r="O4459" s="29"/>
      <c r="P4459" s="29" t="s">
        <v>1886</v>
      </c>
      <c r="Q4459" t="s">
        <v>2041</v>
      </c>
      <c r="R4459" t="s">
        <v>2634</v>
      </c>
      <c r="S4459">
        <v>35</v>
      </c>
      <c r="T4459" s="43" t="str">
        <f>HYPERLINK("https://ictv.global/ictv/proposals/2019.005G.zip","2019.005G.zip")</f>
        <v>2019.005G.zip</v>
      </c>
      <c r="U4459" s="43" t="str">
        <f>HYPERLINK("https://ictv.global/taxonomy/taxondetails?taxnode_id=202203998","ictv.global=202203998")</f>
        <v>ictv.global=202203998</v>
      </c>
    </row>
    <row r="4460" spans="1:21">
      <c r="A4460">
        <v>4459</v>
      </c>
      <c r="B4460" s="29" t="s">
        <v>4053</v>
      </c>
      <c r="C4460" s="29"/>
      <c r="D4460" s="29" t="s">
        <v>4082</v>
      </c>
      <c r="E4460" s="29"/>
      <c r="F4460" s="29" t="s">
        <v>4083</v>
      </c>
      <c r="G4460" s="29"/>
      <c r="H4460" s="29" t="s">
        <v>4086</v>
      </c>
      <c r="I4460" s="29"/>
      <c r="J4460" s="29" t="s">
        <v>4088</v>
      </c>
      <c r="K4460" s="29"/>
      <c r="L4460" s="29" t="s">
        <v>638</v>
      </c>
      <c r="M4460" s="29" t="s">
        <v>2930</v>
      </c>
      <c r="N4460" s="29" t="s">
        <v>1384</v>
      </c>
      <c r="O4460" s="29"/>
      <c r="P4460" s="29" t="s">
        <v>87</v>
      </c>
      <c r="Q4460" t="s">
        <v>2041</v>
      </c>
      <c r="R4460" t="s">
        <v>6901</v>
      </c>
      <c r="S4460">
        <v>36</v>
      </c>
      <c r="T4460" s="43" t="str">
        <f>HYPERLINK("https://ictv.global/ictv/proposals/2020.001G.R.Abolish_type_species.pdf","2020.001G.R.Abolish_type_species.pdf")</f>
        <v>2020.001G.R.Abolish_type_species.pdf</v>
      </c>
      <c r="U4460" s="43" t="str">
        <f>HYPERLINK("https://ictv.global/taxonomy/taxondetails?taxnode_id=202204000","ictv.global=202204000")</f>
        <v>ictv.global=202204000</v>
      </c>
    </row>
    <row r="4461" spans="1:21">
      <c r="A4461">
        <v>4460</v>
      </c>
      <c r="B4461" s="29" t="s">
        <v>4053</v>
      </c>
      <c r="C4461" s="29"/>
      <c r="D4461" s="29" t="s">
        <v>4082</v>
      </c>
      <c r="E4461" s="29"/>
      <c r="F4461" s="29" t="s">
        <v>4083</v>
      </c>
      <c r="G4461" s="29"/>
      <c r="H4461" s="29" t="s">
        <v>4086</v>
      </c>
      <c r="I4461" s="29"/>
      <c r="J4461" s="29" t="s">
        <v>4088</v>
      </c>
      <c r="K4461" s="29"/>
      <c r="L4461" s="29" t="s">
        <v>638</v>
      </c>
      <c r="M4461" s="29" t="s">
        <v>2930</v>
      </c>
      <c r="N4461" s="29" t="s">
        <v>1384</v>
      </c>
      <c r="O4461" s="29"/>
      <c r="P4461" s="29" t="s">
        <v>88</v>
      </c>
      <c r="Q4461" t="s">
        <v>2041</v>
      </c>
      <c r="R4461" t="s">
        <v>2634</v>
      </c>
      <c r="S4461">
        <v>35</v>
      </c>
      <c r="T4461" s="43" t="str">
        <f>HYPERLINK("https://ictv.global/ictv/proposals/2019.005G.zip","2019.005G.zip")</f>
        <v>2019.005G.zip</v>
      </c>
      <c r="U4461" s="43" t="str">
        <f>HYPERLINK("https://ictv.global/taxonomy/taxondetails?taxnode_id=202204001","ictv.global=202204001")</f>
        <v>ictv.global=202204001</v>
      </c>
    </row>
    <row r="4462" spans="1:21">
      <c r="A4462">
        <v>4461</v>
      </c>
      <c r="B4462" s="29" t="s">
        <v>4053</v>
      </c>
      <c r="C4462" s="29"/>
      <c r="D4462" s="29" t="s">
        <v>4082</v>
      </c>
      <c r="E4462" s="29"/>
      <c r="F4462" s="29" t="s">
        <v>4083</v>
      </c>
      <c r="G4462" s="29"/>
      <c r="H4462" s="29" t="s">
        <v>4086</v>
      </c>
      <c r="I4462" s="29"/>
      <c r="J4462" s="29" t="s">
        <v>4088</v>
      </c>
      <c r="K4462" s="29"/>
      <c r="L4462" s="29" t="s">
        <v>638</v>
      </c>
      <c r="M4462" s="29" t="s">
        <v>2930</v>
      </c>
      <c r="N4462" s="29" t="s">
        <v>1384</v>
      </c>
      <c r="O4462" s="29"/>
      <c r="P4462" s="29" t="s">
        <v>89</v>
      </c>
      <c r="Q4462" t="s">
        <v>2041</v>
      </c>
      <c r="R4462" t="s">
        <v>2634</v>
      </c>
      <c r="S4462">
        <v>35</v>
      </c>
      <c r="T4462" s="43" t="str">
        <f>HYPERLINK("https://ictv.global/ictv/proposals/2019.005G.zip","2019.005G.zip")</f>
        <v>2019.005G.zip</v>
      </c>
      <c r="U4462" s="43" t="str">
        <f>HYPERLINK("https://ictv.global/taxonomy/taxondetails?taxnode_id=202204002","ictv.global=202204002")</f>
        <v>ictv.global=202204002</v>
      </c>
    </row>
    <row r="4463" spans="1:21">
      <c r="A4463">
        <v>4462</v>
      </c>
      <c r="B4463" s="29" t="s">
        <v>4053</v>
      </c>
      <c r="C4463" s="29"/>
      <c r="D4463" s="29" t="s">
        <v>4082</v>
      </c>
      <c r="E4463" s="29"/>
      <c r="F4463" s="29" t="s">
        <v>4083</v>
      </c>
      <c r="G4463" s="29"/>
      <c r="H4463" s="29" t="s">
        <v>4086</v>
      </c>
      <c r="I4463" s="29"/>
      <c r="J4463" s="29" t="s">
        <v>4088</v>
      </c>
      <c r="K4463" s="29"/>
      <c r="L4463" s="29" t="s">
        <v>638</v>
      </c>
      <c r="M4463" s="29" t="s">
        <v>2930</v>
      </c>
      <c r="N4463" s="29" t="s">
        <v>1384</v>
      </c>
      <c r="O4463" s="29"/>
      <c r="P4463" s="29" t="s">
        <v>90</v>
      </c>
      <c r="Q4463" t="s">
        <v>2041</v>
      </c>
      <c r="R4463" t="s">
        <v>6901</v>
      </c>
      <c r="S4463">
        <v>36</v>
      </c>
      <c r="T4463" s="43" t="str">
        <f>HYPERLINK("https://ictv.global/ictv/proposals/2020.001G.R.Abolish_type_species.pdf","2020.001G.R.Abolish_type_species.pdf")</f>
        <v>2020.001G.R.Abolish_type_species.pdf</v>
      </c>
      <c r="U4463" s="43" t="str">
        <f>HYPERLINK("https://ictv.global/taxonomy/taxondetails?taxnode_id=202204003","ictv.global=202204003")</f>
        <v>ictv.global=202204003</v>
      </c>
    </row>
    <row r="4464" spans="1:21">
      <c r="A4464">
        <v>4463</v>
      </c>
      <c r="B4464" s="29" t="s">
        <v>4053</v>
      </c>
      <c r="C4464" s="29"/>
      <c r="D4464" s="29" t="s">
        <v>4082</v>
      </c>
      <c r="E4464" s="29"/>
      <c r="F4464" s="29" t="s">
        <v>4083</v>
      </c>
      <c r="G4464" s="29"/>
      <c r="H4464" s="29" t="s">
        <v>4086</v>
      </c>
      <c r="I4464" s="29"/>
      <c r="J4464" s="29" t="s">
        <v>4088</v>
      </c>
      <c r="K4464" s="29"/>
      <c r="L4464" s="29" t="s">
        <v>638</v>
      </c>
      <c r="M4464" s="29" t="s">
        <v>2930</v>
      </c>
      <c r="N4464" s="29" t="s">
        <v>1384</v>
      </c>
      <c r="O4464" s="29"/>
      <c r="P4464" s="29" t="s">
        <v>91</v>
      </c>
      <c r="Q4464" t="s">
        <v>2041</v>
      </c>
      <c r="R4464" t="s">
        <v>2634</v>
      </c>
      <c r="S4464">
        <v>35</v>
      </c>
      <c r="T4464" s="43" t="str">
        <f>HYPERLINK("https://ictv.global/ictv/proposals/2019.005G.zip","2019.005G.zip")</f>
        <v>2019.005G.zip</v>
      </c>
      <c r="U4464" s="43" t="str">
        <f>HYPERLINK("https://ictv.global/taxonomy/taxondetails?taxnode_id=202204004","ictv.global=202204004")</f>
        <v>ictv.global=202204004</v>
      </c>
    </row>
    <row r="4465" spans="1:21">
      <c r="A4465">
        <v>4464</v>
      </c>
      <c r="B4465" s="29" t="s">
        <v>4053</v>
      </c>
      <c r="C4465" s="29"/>
      <c r="D4465" s="29" t="s">
        <v>4082</v>
      </c>
      <c r="E4465" s="29"/>
      <c r="F4465" s="29" t="s">
        <v>4083</v>
      </c>
      <c r="G4465" s="29"/>
      <c r="H4465" s="29" t="s">
        <v>4086</v>
      </c>
      <c r="I4465" s="29"/>
      <c r="J4465" s="29" t="s">
        <v>4088</v>
      </c>
      <c r="K4465" s="29"/>
      <c r="L4465" s="29" t="s">
        <v>638</v>
      </c>
      <c r="M4465" s="29" t="s">
        <v>2930</v>
      </c>
      <c r="N4465" s="29" t="s">
        <v>1384</v>
      </c>
      <c r="O4465" s="29"/>
      <c r="P4465" s="29" t="s">
        <v>1887</v>
      </c>
      <c r="Q4465" t="s">
        <v>2041</v>
      </c>
      <c r="R4465" t="s">
        <v>2634</v>
      </c>
      <c r="S4465">
        <v>35</v>
      </c>
      <c r="T4465" s="43" t="str">
        <f>HYPERLINK("https://ictv.global/ictv/proposals/2019.005G.zip","2019.005G.zip")</f>
        <v>2019.005G.zip</v>
      </c>
      <c r="U4465" s="43" t="str">
        <f>HYPERLINK("https://ictv.global/taxonomy/taxondetails?taxnode_id=202204005","ictv.global=202204005")</f>
        <v>ictv.global=202204005</v>
      </c>
    </row>
    <row r="4466" spans="1:21">
      <c r="A4466">
        <v>4465</v>
      </c>
      <c r="B4466" s="29" t="s">
        <v>4053</v>
      </c>
      <c r="C4466" s="29"/>
      <c r="D4466" s="29" t="s">
        <v>4082</v>
      </c>
      <c r="E4466" s="29"/>
      <c r="F4466" s="29" t="s">
        <v>4083</v>
      </c>
      <c r="G4466" s="29"/>
      <c r="H4466" s="29" t="s">
        <v>4086</v>
      </c>
      <c r="I4466" s="29"/>
      <c r="J4466" s="29" t="s">
        <v>4088</v>
      </c>
      <c r="K4466" s="29"/>
      <c r="L4466" s="29" t="s">
        <v>638</v>
      </c>
      <c r="M4466" s="29" t="s">
        <v>2930</v>
      </c>
      <c r="N4466" s="29" t="s">
        <v>1384</v>
      </c>
      <c r="O4466" s="29"/>
      <c r="P4466" s="29" t="s">
        <v>2931</v>
      </c>
      <c r="Q4466" t="s">
        <v>2041</v>
      </c>
      <c r="R4466" t="s">
        <v>2634</v>
      </c>
      <c r="S4466">
        <v>35</v>
      </c>
      <c r="T4466" s="43" t="str">
        <f>HYPERLINK("https://ictv.global/ictv/proposals/2019.005G.zip","2019.005G.zip")</f>
        <v>2019.005G.zip</v>
      </c>
      <c r="U4466" s="43" t="str">
        <f>HYPERLINK("https://ictv.global/taxonomy/taxondetails?taxnode_id=202205864","ictv.global=202205864")</f>
        <v>ictv.global=202205864</v>
      </c>
    </row>
    <row r="4467" spans="1:21">
      <c r="A4467">
        <v>4466</v>
      </c>
      <c r="B4467" s="29" t="s">
        <v>4053</v>
      </c>
      <c r="C4467" s="29"/>
      <c r="D4467" s="29" t="s">
        <v>4082</v>
      </c>
      <c r="E4467" s="29"/>
      <c r="F4467" s="29" t="s">
        <v>4083</v>
      </c>
      <c r="G4467" s="29"/>
      <c r="H4467" s="29" t="s">
        <v>4086</v>
      </c>
      <c r="I4467" s="29"/>
      <c r="J4467" s="29" t="s">
        <v>4088</v>
      </c>
      <c r="K4467" s="29"/>
      <c r="L4467" s="29" t="s">
        <v>638</v>
      </c>
      <c r="M4467" s="29" t="s">
        <v>2930</v>
      </c>
      <c r="N4467" s="29" t="s">
        <v>2276</v>
      </c>
      <c r="O4467" s="29"/>
      <c r="P4467" s="29" t="s">
        <v>2277</v>
      </c>
      <c r="Q4467" t="s">
        <v>2041</v>
      </c>
      <c r="R4467" t="s">
        <v>6901</v>
      </c>
      <c r="S4467">
        <v>36</v>
      </c>
      <c r="T4467" s="43" t="str">
        <f>HYPERLINK("https://ictv.global/ictv/proposals/2020.001G.R.Abolish_type_species.pdf","2020.001G.R.Abolish_type_species.pdf")</f>
        <v>2020.001G.R.Abolish_type_species.pdf</v>
      </c>
      <c r="U4467" s="43" t="str">
        <f>HYPERLINK("https://ictv.global/taxonomy/taxondetails?taxnode_id=202204007","ictv.global=202204007")</f>
        <v>ictv.global=202204007</v>
      </c>
    </row>
    <row r="4468" spans="1:21">
      <c r="A4468">
        <v>4467</v>
      </c>
      <c r="B4468" s="29" t="s">
        <v>4053</v>
      </c>
      <c r="C4468" s="29"/>
      <c r="D4468" s="29" t="s">
        <v>4082</v>
      </c>
      <c r="E4468" s="29"/>
      <c r="F4468" s="29" t="s">
        <v>4083</v>
      </c>
      <c r="G4468" s="29"/>
      <c r="H4468" s="29" t="s">
        <v>4086</v>
      </c>
      <c r="I4468" s="29"/>
      <c r="J4468" s="29" t="s">
        <v>4088</v>
      </c>
      <c r="K4468" s="29"/>
      <c r="L4468" s="29" t="s">
        <v>638</v>
      </c>
      <c r="M4468" s="29" t="s">
        <v>2930</v>
      </c>
      <c r="N4468" s="29" t="s">
        <v>92</v>
      </c>
      <c r="O4468" s="29"/>
      <c r="P4468" s="29" t="s">
        <v>93</v>
      </c>
      <c r="Q4468" t="s">
        <v>2041</v>
      </c>
      <c r="R4468" t="s">
        <v>6901</v>
      </c>
      <c r="S4468">
        <v>36</v>
      </c>
      <c r="T4468" s="43" t="str">
        <f>HYPERLINK("https://ictv.global/ictv/proposals/2020.001G.R.Abolish_type_species.pdf","2020.001G.R.Abolish_type_species.pdf")</f>
        <v>2020.001G.R.Abolish_type_species.pdf</v>
      </c>
      <c r="U4468" s="43" t="str">
        <f>HYPERLINK("https://ictv.global/taxonomy/taxondetails?taxnode_id=202204009","ictv.global=202204009")</f>
        <v>ictv.global=202204009</v>
      </c>
    </row>
    <row r="4469" spans="1:21">
      <c r="A4469">
        <v>4468</v>
      </c>
      <c r="B4469" s="29" t="s">
        <v>4053</v>
      </c>
      <c r="C4469" s="29"/>
      <c r="D4469" s="29" t="s">
        <v>4082</v>
      </c>
      <c r="E4469" s="29"/>
      <c r="F4469" s="29" t="s">
        <v>4083</v>
      </c>
      <c r="G4469" s="29"/>
      <c r="H4469" s="29" t="s">
        <v>4086</v>
      </c>
      <c r="I4469" s="29"/>
      <c r="J4469" s="29" t="s">
        <v>4088</v>
      </c>
      <c r="K4469" s="29"/>
      <c r="L4469" s="29" t="s">
        <v>638</v>
      </c>
      <c r="M4469" s="29" t="s">
        <v>2930</v>
      </c>
      <c r="N4469" s="29" t="s">
        <v>94</v>
      </c>
      <c r="O4469" s="29"/>
      <c r="P4469" s="29" t="s">
        <v>95</v>
      </c>
      <c r="Q4469" t="s">
        <v>2041</v>
      </c>
      <c r="R4469" t="s">
        <v>6901</v>
      </c>
      <c r="S4469">
        <v>36</v>
      </c>
      <c r="T4469" s="43" t="str">
        <f>HYPERLINK("https://ictv.global/ictv/proposals/2020.001G.R.Abolish_type_species.pdf","2020.001G.R.Abolish_type_species.pdf")</f>
        <v>2020.001G.R.Abolish_type_species.pdf</v>
      </c>
      <c r="U4469" s="43" t="str">
        <f>HYPERLINK("https://ictv.global/taxonomy/taxondetails?taxnode_id=202204011","ictv.global=202204011")</f>
        <v>ictv.global=202204011</v>
      </c>
    </row>
    <row r="4470" spans="1:21">
      <c r="A4470">
        <v>4469</v>
      </c>
      <c r="B4470" s="29" t="s">
        <v>4053</v>
      </c>
      <c r="C4470" s="29"/>
      <c r="D4470" s="29" t="s">
        <v>4082</v>
      </c>
      <c r="E4470" s="29"/>
      <c r="F4470" s="29" t="s">
        <v>4083</v>
      </c>
      <c r="G4470" s="29"/>
      <c r="H4470" s="29" t="s">
        <v>4086</v>
      </c>
      <c r="I4470" s="29"/>
      <c r="J4470" s="29" t="s">
        <v>4088</v>
      </c>
      <c r="K4470" s="29"/>
      <c r="L4470" s="29" t="s">
        <v>638</v>
      </c>
      <c r="M4470" s="29" t="s">
        <v>2930</v>
      </c>
      <c r="N4470" s="29" t="s">
        <v>96</v>
      </c>
      <c r="O4470" s="29"/>
      <c r="P4470" s="29" t="s">
        <v>97</v>
      </c>
      <c r="Q4470" t="s">
        <v>2041</v>
      </c>
      <c r="R4470" t="s">
        <v>6901</v>
      </c>
      <c r="S4470">
        <v>36</v>
      </c>
      <c r="T4470" s="43" t="str">
        <f>HYPERLINK("https://ictv.global/ictv/proposals/2020.001G.R.Abolish_type_species.pdf","2020.001G.R.Abolish_type_species.pdf")</f>
        <v>2020.001G.R.Abolish_type_species.pdf</v>
      </c>
      <c r="U4470" s="43" t="str">
        <f>HYPERLINK("https://ictv.global/taxonomy/taxondetails?taxnode_id=202204013","ictv.global=202204013")</f>
        <v>ictv.global=202204013</v>
      </c>
    </row>
    <row r="4471" spans="1:21">
      <c r="A4471">
        <v>4470</v>
      </c>
      <c r="B4471" s="29" t="s">
        <v>4053</v>
      </c>
      <c r="C4471" s="29"/>
      <c r="D4471" s="29" t="s">
        <v>4082</v>
      </c>
      <c r="E4471" s="29"/>
      <c r="F4471" s="29" t="s">
        <v>4083</v>
      </c>
      <c r="G4471" s="29"/>
      <c r="H4471" s="29" t="s">
        <v>4086</v>
      </c>
      <c r="I4471" s="29"/>
      <c r="J4471" s="29" t="s">
        <v>4088</v>
      </c>
      <c r="K4471" s="29"/>
      <c r="L4471" s="29" t="s">
        <v>638</v>
      </c>
      <c r="M4471" s="29" t="s">
        <v>2930</v>
      </c>
      <c r="N4471" s="29" t="s">
        <v>98</v>
      </c>
      <c r="O4471" s="29"/>
      <c r="P4471" s="29" t="s">
        <v>99</v>
      </c>
      <c r="Q4471" t="s">
        <v>2041</v>
      </c>
      <c r="R4471" t="s">
        <v>6901</v>
      </c>
      <c r="S4471">
        <v>36</v>
      </c>
      <c r="T4471" s="43" t="str">
        <f>HYPERLINK("https://ictv.global/ictv/proposals/2020.001G.R.Abolish_type_species.pdf","2020.001G.R.Abolish_type_species.pdf")</f>
        <v>2020.001G.R.Abolish_type_species.pdf</v>
      </c>
      <c r="U4471" s="43" t="str">
        <f>HYPERLINK("https://ictv.global/taxonomy/taxondetails?taxnode_id=202204015","ictv.global=202204015")</f>
        <v>ictv.global=202204015</v>
      </c>
    </row>
    <row r="4472" spans="1:21">
      <c r="A4472">
        <v>4471</v>
      </c>
      <c r="B4472" s="29" t="s">
        <v>4053</v>
      </c>
      <c r="C4472" s="29"/>
      <c r="D4472" s="29" t="s">
        <v>4082</v>
      </c>
      <c r="E4472" s="29"/>
      <c r="F4472" s="29" t="s">
        <v>4083</v>
      </c>
      <c r="G4472" s="29"/>
      <c r="H4472" s="29" t="s">
        <v>4086</v>
      </c>
      <c r="I4472" s="29"/>
      <c r="J4472" s="29" t="s">
        <v>4088</v>
      </c>
      <c r="K4472" s="29"/>
      <c r="L4472" s="29" t="s">
        <v>638</v>
      </c>
      <c r="M4472" s="29" t="s">
        <v>2930</v>
      </c>
      <c r="N4472" s="29" t="s">
        <v>98</v>
      </c>
      <c r="O4472" s="29"/>
      <c r="P4472" s="29" t="s">
        <v>1888</v>
      </c>
      <c r="Q4472" t="s">
        <v>2041</v>
      </c>
      <c r="R4472" t="s">
        <v>2634</v>
      </c>
      <c r="S4472">
        <v>35</v>
      </c>
      <c r="T4472" s="43" t="str">
        <f>HYPERLINK("https://ictv.global/ictv/proposals/2019.005G.zip","2019.005G.zip")</f>
        <v>2019.005G.zip</v>
      </c>
      <c r="U4472" s="43" t="str">
        <f>HYPERLINK("https://ictv.global/taxonomy/taxondetails?taxnode_id=202204016","ictv.global=202204016")</f>
        <v>ictv.global=202204016</v>
      </c>
    </row>
    <row r="4473" spans="1:21">
      <c r="A4473">
        <v>4472</v>
      </c>
      <c r="B4473" s="29" t="s">
        <v>4053</v>
      </c>
      <c r="C4473" s="29"/>
      <c r="D4473" s="29" t="s">
        <v>4082</v>
      </c>
      <c r="E4473" s="29"/>
      <c r="F4473" s="29" t="s">
        <v>4083</v>
      </c>
      <c r="G4473" s="29"/>
      <c r="H4473" s="29" t="s">
        <v>4086</v>
      </c>
      <c r="I4473" s="29"/>
      <c r="J4473" s="29" t="s">
        <v>4088</v>
      </c>
      <c r="K4473" s="29"/>
      <c r="L4473" s="29" t="s">
        <v>638</v>
      </c>
      <c r="M4473" s="29" t="s">
        <v>2930</v>
      </c>
      <c r="N4473" s="29" t="s">
        <v>1889</v>
      </c>
      <c r="O4473" s="29"/>
      <c r="P4473" s="29" t="s">
        <v>1890</v>
      </c>
      <c r="Q4473" t="s">
        <v>2041</v>
      </c>
      <c r="R4473" t="s">
        <v>6901</v>
      </c>
      <c r="S4473">
        <v>36</v>
      </c>
      <c r="T4473" s="43" t="str">
        <f>HYPERLINK("https://ictv.global/ictv/proposals/2020.001G.R.Abolish_type_species.pdf","2020.001G.R.Abolish_type_species.pdf")</f>
        <v>2020.001G.R.Abolish_type_species.pdf</v>
      </c>
      <c r="U4473" s="43" t="str">
        <f>HYPERLINK("https://ictv.global/taxonomy/taxondetails?taxnode_id=202204018","ictv.global=202204018")</f>
        <v>ictv.global=202204018</v>
      </c>
    </row>
    <row r="4474" spans="1:21">
      <c r="A4474">
        <v>4473</v>
      </c>
      <c r="B4474" s="29" t="s">
        <v>4053</v>
      </c>
      <c r="C4474" s="29"/>
      <c r="D4474" s="29" t="s">
        <v>4082</v>
      </c>
      <c r="E4474" s="29"/>
      <c r="F4474" s="29" t="s">
        <v>4083</v>
      </c>
      <c r="G4474" s="29"/>
      <c r="H4474" s="29" t="s">
        <v>4086</v>
      </c>
      <c r="I4474" s="29"/>
      <c r="J4474" s="29" t="s">
        <v>4088</v>
      </c>
      <c r="K4474" s="29"/>
      <c r="L4474" s="29" t="s">
        <v>638</v>
      </c>
      <c r="M4474" s="29" t="s">
        <v>2930</v>
      </c>
      <c r="N4474" s="29" t="s">
        <v>1889</v>
      </c>
      <c r="O4474" s="29"/>
      <c r="P4474" s="29" t="s">
        <v>2278</v>
      </c>
      <c r="Q4474" t="s">
        <v>2041</v>
      </c>
      <c r="R4474" t="s">
        <v>2634</v>
      </c>
      <c r="S4474">
        <v>35</v>
      </c>
      <c r="T4474" s="43" t="str">
        <f>HYPERLINK("https://ictv.global/ictv/proposals/2019.005G.zip","2019.005G.zip")</f>
        <v>2019.005G.zip</v>
      </c>
      <c r="U4474" s="43" t="str">
        <f>HYPERLINK("https://ictv.global/taxonomy/taxondetails?taxnode_id=202204019","ictv.global=202204019")</f>
        <v>ictv.global=202204019</v>
      </c>
    </row>
    <row r="4475" spans="1:21">
      <c r="A4475">
        <v>4474</v>
      </c>
      <c r="B4475" s="29" t="s">
        <v>4053</v>
      </c>
      <c r="C4475" s="29"/>
      <c r="D4475" s="29" t="s">
        <v>4082</v>
      </c>
      <c r="E4475" s="29"/>
      <c r="F4475" s="29" t="s">
        <v>4083</v>
      </c>
      <c r="G4475" s="29"/>
      <c r="H4475" s="29" t="s">
        <v>4086</v>
      </c>
      <c r="I4475" s="29"/>
      <c r="J4475" s="29" t="s">
        <v>4088</v>
      </c>
      <c r="K4475" s="29"/>
      <c r="L4475" s="29" t="s">
        <v>638</v>
      </c>
      <c r="M4475" s="29" t="s">
        <v>2930</v>
      </c>
      <c r="N4475" s="29" t="s">
        <v>1889</v>
      </c>
      <c r="O4475" s="29"/>
      <c r="P4475" s="29" t="s">
        <v>2932</v>
      </c>
      <c r="Q4475" t="s">
        <v>2041</v>
      </c>
      <c r="R4475" t="s">
        <v>2634</v>
      </c>
      <c r="S4475">
        <v>35</v>
      </c>
      <c r="T4475" s="43" t="str">
        <f>HYPERLINK("https://ictv.global/ictv/proposals/2019.005G.zip","2019.005G.zip")</f>
        <v>2019.005G.zip</v>
      </c>
      <c r="U4475" s="43" t="str">
        <f>HYPERLINK("https://ictv.global/taxonomy/taxondetails?taxnode_id=202205865","ictv.global=202205865")</f>
        <v>ictv.global=202205865</v>
      </c>
    </row>
    <row r="4476" spans="1:21">
      <c r="A4476">
        <v>4475</v>
      </c>
      <c r="B4476" s="29" t="s">
        <v>4053</v>
      </c>
      <c r="C4476" s="29"/>
      <c r="D4476" s="29" t="s">
        <v>4082</v>
      </c>
      <c r="E4476" s="29"/>
      <c r="F4476" s="29" t="s">
        <v>4083</v>
      </c>
      <c r="G4476" s="29"/>
      <c r="H4476" s="29" t="s">
        <v>4086</v>
      </c>
      <c r="I4476" s="29"/>
      <c r="J4476" s="29" t="s">
        <v>4088</v>
      </c>
      <c r="K4476" s="29"/>
      <c r="L4476" s="29" t="s">
        <v>638</v>
      </c>
      <c r="M4476" s="29" t="s">
        <v>2930</v>
      </c>
      <c r="N4476" s="29" t="s">
        <v>1889</v>
      </c>
      <c r="O4476" s="29"/>
      <c r="P4476" s="29" t="s">
        <v>2933</v>
      </c>
      <c r="Q4476" t="s">
        <v>2041</v>
      </c>
      <c r="R4476" t="s">
        <v>2634</v>
      </c>
      <c r="S4476">
        <v>35</v>
      </c>
      <c r="T4476" s="43" t="str">
        <f>HYPERLINK("https://ictv.global/ictv/proposals/2019.005G.zip","2019.005G.zip")</f>
        <v>2019.005G.zip</v>
      </c>
      <c r="U4476" s="43" t="str">
        <f>HYPERLINK("https://ictv.global/taxonomy/taxondetails?taxnode_id=202205866","ictv.global=202205866")</f>
        <v>ictv.global=202205866</v>
      </c>
    </row>
    <row r="4477" spans="1:21">
      <c r="A4477">
        <v>4476</v>
      </c>
      <c r="B4477" s="29" t="s">
        <v>4053</v>
      </c>
      <c r="C4477" s="29"/>
      <c r="D4477" s="29" t="s">
        <v>4082</v>
      </c>
      <c r="E4477" s="29"/>
      <c r="F4477" s="29" t="s">
        <v>4083</v>
      </c>
      <c r="G4477" s="29"/>
      <c r="H4477" s="29" t="s">
        <v>4086</v>
      </c>
      <c r="I4477" s="29"/>
      <c r="J4477" s="29" t="s">
        <v>4088</v>
      </c>
      <c r="K4477" s="29"/>
      <c r="L4477" s="29" t="s">
        <v>638</v>
      </c>
      <c r="M4477" s="29" t="s">
        <v>2930</v>
      </c>
      <c r="N4477" s="29" t="s">
        <v>1889</v>
      </c>
      <c r="O4477" s="29"/>
      <c r="P4477" s="29" t="s">
        <v>2934</v>
      </c>
      <c r="Q4477" t="s">
        <v>2041</v>
      </c>
      <c r="R4477" t="s">
        <v>2634</v>
      </c>
      <c r="S4477">
        <v>35</v>
      </c>
      <c r="T4477" s="43" t="str">
        <f>HYPERLINK("https://ictv.global/ictv/proposals/2019.005G.zip","2019.005G.zip")</f>
        <v>2019.005G.zip</v>
      </c>
      <c r="U4477" s="43" t="str">
        <f>HYPERLINK("https://ictv.global/taxonomy/taxondetails?taxnode_id=202205867","ictv.global=202205867")</f>
        <v>ictv.global=202205867</v>
      </c>
    </row>
    <row r="4478" spans="1:21">
      <c r="A4478">
        <v>4477</v>
      </c>
      <c r="B4478" s="29" t="s">
        <v>4053</v>
      </c>
      <c r="C4478" s="29"/>
      <c r="D4478" s="29" t="s">
        <v>4082</v>
      </c>
      <c r="E4478" s="29"/>
      <c r="F4478" s="29" t="s">
        <v>4083</v>
      </c>
      <c r="G4478" s="29"/>
      <c r="H4478" s="29" t="s">
        <v>4086</v>
      </c>
      <c r="I4478" s="29"/>
      <c r="J4478" s="29" t="s">
        <v>4088</v>
      </c>
      <c r="K4478" s="29"/>
      <c r="L4478" s="29" t="s">
        <v>638</v>
      </c>
      <c r="M4478" s="29" t="s">
        <v>2930</v>
      </c>
      <c r="N4478" s="29" t="s">
        <v>1891</v>
      </c>
      <c r="O4478" s="29"/>
      <c r="P4478" s="29" t="s">
        <v>1892</v>
      </c>
      <c r="Q4478" t="s">
        <v>2041</v>
      </c>
      <c r="R4478" t="s">
        <v>6901</v>
      </c>
      <c r="S4478">
        <v>36</v>
      </c>
      <c r="T4478" s="43" t="str">
        <f t="shared" ref="T4478:T4491" si="212">HYPERLINK("https://ictv.global/ictv/proposals/2020.001G.R.Abolish_type_species.pdf","2020.001G.R.Abolish_type_species.pdf")</f>
        <v>2020.001G.R.Abolish_type_species.pdf</v>
      </c>
      <c r="U4478" s="43" t="str">
        <f>HYPERLINK("https://ictv.global/taxonomy/taxondetails?taxnode_id=202204021","ictv.global=202204021")</f>
        <v>ictv.global=202204021</v>
      </c>
    </row>
    <row r="4479" spans="1:21">
      <c r="A4479">
        <v>4478</v>
      </c>
      <c r="B4479" s="29" t="s">
        <v>4053</v>
      </c>
      <c r="C4479" s="29"/>
      <c r="D4479" s="29" t="s">
        <v>4082</v>
      </c>
      <c r="E4479" s="29"/>
      <c r="F4479" s="29" t="s">
        <v>4083</v>
      </c>
      <c r="G4479" s="29"/>
      <c r="H4479" s="29" t="s">
        <v>4086</v>
      </c>
      <c r="I4479" s="29"/>
      <c r="J4479" s="29" t="s">
        <v>4088</v>
      </c>
      <c r="K4479" s="29"/>
      <c r="L4479" s="29" t="s">
        <v>638</v>
      </c>
      <c r="M4479" s="29" t="s">
        <v>2930</v>
      </c>
      <c r="N4479" s="29" t="s">
        <v>1893</v>
      </c>
      <c r="O4479" s="29"/>
      <c r="P4479" s="29" t="s">
        <v>1894</v>
      </c>
      <c r="Q4479" t="s">
        <v>2041</v>
      </c>
      <c r="R4479" t="s">
        <v>6901</v>
      </c>
      <c r="S4479">
        <v>36</v>
      </c>
      <c r="T4479" s="43" t="str">
        <f t="shared" si="212"/>
        <v>2020.001G.R.Abolish_type_species.pdf</v>
      </c>
      <c r="U4479" s="43" t="str">
        <f>HYPERLINK("https://ictv.global/taxonomy/taxondetails?taxnode_id=202204023","ictv.global=202204023")</f>
        <v>ictv.global=202204023</v>
      </c>
    </row>
    <row r="4480" spans="1:21">
      <c r="A4480">
        <v>4479</v>
      </c>
      <c r="B4480" s="29" t="s">
        <v>4053</v>
      </c>
      <c r="C4480" s="29"/>
      <c r="D4480" s="29" t="s">
        <v>4082</v>
      </c>
      <c r="E4480" s="29"/>
      <c r="F4480" s="29" t="s">
        <v>4083</v>
      </c>
      <c r="G4480" s="29"/>
      <c r="H4480" s="29" t="s">
        <v>4086</v>
      </c>
      <c r="I4480" s="29"/>
      <c r="J4480" s="29" t="s">
        <v>4088</v>
      </c>
      <c r="K4480" s="29"/>
      <c r="L4480" s="29" t="s">
        <v>638</v>
      </c>
      <c r="M4480" s="29" t="s">
        <v>2930</v>
      </c>
      <c r="N4480" s="29" t="s">
        <v>1895</v>
      </c>
      <c r="O4480" s="29"/>
      <c r="P4480" s="29" t="s">
        <v>1896</v>
      </c>
      <c r="Q4480" t="s">
        <v>2041</v>
      </c>
      <c r="R4480" t="s">
        <v>6901</v>
      </c>
      <c r="S4480">
        <v>36</v>
      </c>
      <c r="T4480" s="43" t="str">
        <f t="shared" si="212"/>
        <v>2020.001G.R.Abolish_type_species.pdf</v>
      </c>
      <c r="U4480" s="43" t="str">
        <f>HYPERLINK("https://ictv.global/taxonomy/taxondetails?taxnode_id=202204025","ictv.global=202204025")</f>
        <v>ictv.global=202204025</v>
      </c>
    </row>
    <row r="4481" spans="1:21">
      <c r="A4481">
        <v>4480</v>
      </c>
      <c r="B4481" s="29" t="s">
        <v>4053</v>
      </c>
      <c r="C4481" s="29"/>
      <c r="D4481" s="29" t="s">
        <v>4082</v>
      </c>
      <c r="E4481" s="29"/>
      <c r="F4481" s="29" t="s">
        <v>4083</v>
      </c>
      <c r="G4481" s="29"/>
      <c r="H4481" s="29" t="s">
        <v>4086</v>
      </c>
      <c r="I4481" s="29"/>
      <c r="J4481" s="29" t="s">
        <v>4088</v>
      </c>
      <c r="K4481" s="29"/>
      <c r="L4481" s="29" t="s">
        <v>638</v>
      </c>
      <c r="M4481" s="29" t="s">
        <v>2930</v>
      </c>
      <c r="N4481" s="29" t="s">
        <v>2357</v>
      </c>
      <c r="O4481" s="29"/>
      <c r="P4481" s="29" t="s">
        <v>2279</v>
      </c>
      <c r="Q4481" t="s">
        <v>2041</v>
      </c>
      <c r="R4481" t="s">
        <v>6901</v>
      </c>
      <c r="S4481">
        <v>36</v>
      </c>
      <c r="T4481" s="43" t="str">
        <f t="shared" si="212"/>
        <v>2020.001G.R.Abolish_type_species.pdf</v>
      </c>
      <c r="U4481" s="43" t="str">
        <f>HYPERLINK("https://ictv.global/taxonomy/taxondetails?taxnode_id=202204027","ictv.global=202204027")</f>
        <v>ictv.global=202204027</v>
      </c>
    </row>
    <row r="4482" spans="1:21">
      <c r="A4482">
        <v>4481</v>
      </c>
      <c r="B4482" s="29" t="s">
        <v>4053</v>
      </c>
      <c r="C4482" s="29"/>
      <c r="D4482" s="29" t="s">
        <v>4082</v>
      </c>
      <c r="E4482" s="29"/>
      <c r="F4482" s="29" t="s">
        <v>4083</v>
      </c>
      <c r="G4482" s="29"/>
      <c r="H4482" s="29" t="s">
        <v>4086</v>
      </c>
      <c r="I4482" s="29"/>
      <c r="J4482" s="29" t="s">
        <v>4088</v>
      </c>
      <c r="K4482" s="29"/>
      <c r="L4482" s="29" t="s">
        <v>638</v>
      </c>
      <c r="M4482" s="29" t="s">
        <v>2930</v>
      </c>
      <c r="N4482" s="29" t="s">
        <v>1897</v>
      </c>
      <c r="O4482" s="29"/>
      <c r="P4482" s="29" t="s">
        <v>1898</v>
      </c>
      <c r="Q4482" t="s">
        <v>2041</v>
      </c>
      <c r="R4482" t="s">
        <v>6901</v>
      </c>
      <c r="S4482">
        <v>36</v>
      </c>
      <c r="T4482" s="43" t="str">
        <f t="shared" si="212"/>
        <v>2020.001G.R.Abolish_type_species.pdf</v>
      </c>
      <c r="U4482" s="43" t="str">
        <f>HYPERLINK("https://ictv.global/taxonomy/taxondetails?taxnode_id=202204029","ictv.global=202204029")</f>
        <v>ictv.global=202204029</v>
      </c>
    </row>
    <row r="4483" spans="1:21">
      <c r="A4483">
        <v>4482</v>
      </c>
      <c r="B4483" s="29" t="s">
        <v>4053</v>
      </c>
      <c r="C4483" s="29"/>
      <c r="D4483" s="29" t="s">
        <v>4082</v>
      </c>
      <c r="E4483" s="29"/>
      <c r="F4483" s="29" t="s">
        <v>4083</v>
      </c>
      <c r="G4483" s="29"/>
      <c r="H4483" s="29" t="s">
        <v>4086</v>
      </c>
      <c r="I4483" s="29"/>
      <c r="J4483" s="29" t="s">
        <v>4088</v>
      </c>
      <c r="K4483" s="29"/>
      <c r="L4483" s="29" t="s">
        <v>638</v>
      </c>
      <c r="M4483" s="29" t="s">
        <v>2930</v>
      </c>
      <c r="N4483" s="29" t="s">
        <v>2280</v>
      </c>
      <c r="O4483" s="29"/>
      <c r="P4483" s="29" t="s">
        <v>2281</v>
      </c>
      <c r="Q4483" t="s">
        <v>2041</v>
      </c>
      <c r="R4483" t="s">
        <v>6901</v>
      </c>
      <c r="S4483">
        <v>36</v>
      </c>
      <c r="T4483" s="43" t="str">
        <f t="shared" si="212"/>
        <v>2020.001G.R.Abolish_type_species.pdf</v>
      </c>
      <c r="U4483" s="43" t="str">
        <f>HYPERLINK("https://ictv.global/taxonomy/taxondetails?taxnode_id=202204031","ictv.global=202204031")</f>
        <v>ictv.global=202204031</v>
      </c>
    </row>
    <row r="4484" spans="1:21">
      <c r="A4484">
        <v>4483</v>
      </c>
      <c r="B4484" s="29" t="s">
        <v>4053</v>
      </c>
      <c r="C4484" s="29"/>
      <c r="D4484" s="29" t="s">
        <v>4082</v>
      </c>
      <c r="E4484" s="29"/>
      <c r="F4484" s="29" t="s">
        <v>4083</v>
      </c>
      <c r="G4484" s="29"/>
      <c r="H4484" s="29" t="s">
        <v>4086</v>
      </c>
      <c r="I4484" s="29"/>
      <c r="J4484" s="29" t="s">
        <v>4088</v>
      </c>
      <c r="K4484" s="29"/>
      <c r="L4484" s="29" t="s">
        <v>638</v>
      </c>
      <c r="M4484" s="29" t="s">
        <v>2930</v>
      </c>
      <c r="N4484" s="29" t="s">
        <v>1899</v>
      </c>
      <c r="O4484" s="29"/>
      <c r="P4484" s="29" t="s">
        <v>1900</v>
      </c>
      <c r="Q4484" t="s">
        <v>2041</v>
      </c>
      <c r="R4484" t="s">
        <v>6901</v>
      </c>
      <c r="S4484">
        <v>36</v>
      </c>
      <c r="T4484" s="43" t="str">
        <f t="shared" si="212"/>
        <v>2020.001G.R.Abolish_type_species.pdf</v>
      </c>
      <c r="U4484" s="43" t="str">
        <f>HYPERLINK("https://ictv.global/taxonomy/taxondetails?taxnode_id=202204033","ictv.global=202204033")</f>
        <v>ictv.global=202204033</v>
      </c>
    </row>
    <row r="4485" spans="1:21">
      <c r="A4485">
        <v>4484</v>
      </c>
      <c r="B4485" s="29" t="s">
        <v>4053</v>
      </c>
      <c r="C4485" s="29"/>
      <c r="D4485" s="29" t="s">
        <v>4082</v>
      </c>
      <c r="E4485" s="29"/>
      <c r="F4485" s="29" t="s">
        <v>4083</v>
      </c>
      <c r="G4485" s="29"/>
      <c r="H4485" s="29" t="s">
        <v>4086</v>
      </c>
      <c r="I4485" s="29"/>
      <c r="J4485" s="29" t="s">
        <v>4088</v>
      </c>
      <c r="K4485" s="29"/>
      <c r="L4485" s="29" t="s">
        <v>638</v>
      </c>
      <c r="M4485" s="29" t="s">
        <v>2930</v>
      </c>
      <c r="N4485" s="29" t="s">
        <v>2282</v>
      </c>
      <c r="O4485" s="29"/>
      <c r="P4485" s="29" t="s">
        <v>2283</v>
      </c>
      <c r="Q4485" t="s">
        <v>2041</v>
      </c>
      <c r="R4485" t="s">
        <v>6901</v>
      </c>
      <c r="S4485">
        <v>36</v>
      </c>
      <c r="T4485" s="43" t="str">
        <f t="shared" si="212"/>
        <v>2020.001G.R.Abolish_type_species.pdf</v>
      </c>
      <c r="U4485" s="43" t="str">
        <f>HYPERLINK("https://ictv.global/taxonomy/taxondetails?taxnode_id=202204035","ictv.global=202204035")</f>
        <v>ictv.global=202204035</v>
      </c>
    </row>
    <row r="4486" spans="1:21">
      <c r="A4486">
        <v>4485</v>
      </c>
      <c r="B4486" s="29" t="s">
        <v>4053</v>
      </c>
      <c r="C4486" s="29"/>
      <c r="D4486" s="29" t="s">
        <v>4082</v>
      </c>
      <c r="E4486" s="29"/>
      <c r="F4486" s="29" t="s">
        <v>4083</v>
      </c>
      <c r="G4486" s="29"/>
      <c r="H4486" s="29" t="s">
        <v>4086</v>
      </c>
      <c r="I4486" s="29"/>
      <c r="J4486" s="29" t="s">
        <v>4088</v>
      </c>
      <c r="K4486" s="29"/>
      <c r="L4486" s="29" t="s">
        <v>638</v>
      </c>
      <c r="M4486" s="29" t="s">
        <v>2930</v>
      </c>
      <c r="N4486" s="29" t="s">
        <v>1901</v>
      </c>
      <c r="O4486" s="29"/>
      <c r="P4486" s="29" t="s">
        <v>1902</v>
      </c>
      <c r="Q4486" t="s">
        <v>2041</v>
      </c>
      <c r="R4486" t="s">
        <v>6901</v>
      </c>
      <c r="S4486">
        <v>36</v>
      </c>
      <c r="T4486" s="43" t="str">
        <f t="shared" si="212"/>
        <v>2020.001G.R.Abolish_type_species.pdf</v>
      </c>
      <c r="U4486" s="43" t="str">
        <f>HYPERLINK("https://ictv.global/taxonomy/taxondetails?taxnode_id=202204037","ictv.global=202204037")</f>
        <v>ictv.global=202204037</v>
      </c>
    </row>
    <row r="4487" spans="1:21">
      <c r="A4487">
        <v>4486</v>
      </c>
      <c r="B4487" s="29" t="s">
        <v>4053</v>
      </c>
      <c r="C4487" s="29"/>
      <c r="D4487" s="29" t="s">
        <v>4082</v>
      </c>
      <c r="E4487" s="29"/>
      <c r="F4487" s="29" t="s">
        <v>4083</v>
      </c>
      <c r="G4487" s="29"/>
      <c r="H4487" s="29" t="s">
        <v>4086</v>
      </c>
      <c r="I4487" s="29"/>
      <c r="J4487" s="29" t="s">
        <v>4088</v>
      </c>
      <c r="K4487" s="29"/>
      <c r="L4487" s="29" t="s">
        <v>638</v>
      </c>
      <c r="M4487" s="29" t="s">
        <v>2930</v>
      </c>
      <c r="N4487" s="29" t="s">
        <v>1903</v>
      </c>
      <c r="O4487" s="29"/>
      <c r="P4487" s="29" t="s">
        <v>1904</v>
      </c>
      <c r="Q4487" t="s">
        <v>2041</v>
      </c>
      <c r="R4487" t="s">
        <v>6901</v>
      </c>
      <c r="S4487">
        <v>36</v>
      </c>
      <c r="T4487" s="43" t="str">
        <f t="shared" si="212"/>
        <v>2020.001G.R.Abolish_type_species.pdf</v>
      </c>
      <c r="U4487" s="43" t="str">
        <f>HYPERLINK("https://ictv.global/taxonomy/taxondetails?taxnode_id=202204039","ictv.global=202204039")</f>
        <v>ictv.global=202204039</v>
      </c>
    </row>
    <row r="4488" spans="1:21">
      <c r="A4488">
        <v>4487</v>
      </c>
      <c r="B4488" s="29" t="s">
        <v>4053</v>
      </c>
      <c r="C4488" s="29"/>
      <c r="D4488" s="29" t="s">
        <v>4082</v>
      </c>
      <c r="E4488" s="29"/>
      <c r="F4488" s="29" t="s">
        <v>4083</v>
      </c>
      <c r="G4488" s="29"/>
      <c r="H4488" s="29" t="s">
        <v>4086</v>
      </c>
      <c r="I4488" s="29"/>
      <c r="J4488" s="29" t="s">
        <v>4088</v>
      </c>
      <c r="K4488" s="29"/>
      <c r="L4488" s="29" t="s">
        <v>638</v>
      </c>
      <c r="M4488" s="29" t="s">
        <v>2930</v>
      </c>
      <c r="N4488" s="29" t="s">
        <v>2284</v>
      </c>
      <c r="O4488" s="29"/>
      <c r="P4488" s="29" t="s">
        <v>2285</v>
      </c>
      <c r="Q4488" t="s">
        <v>2041</v>
      </c>
      <c r="R4488" t="s">
        <v>6901</v>
      </c>
      <c r="S4488">
        <v>36</v>
      </c>
      <c r="T4488" s="43" t="str">
        <f t="shared" si="212"/>
        <v>2020.001G.R.Abolish_type_species.pdf</v>
      </c>
      <c r="U4488" s="43" t="str">
        <f>HYPERLINK("https://ictv.global/taxonomy/taxondetails?taxnode_id=202204041","ictv.global=202204041")</f>
        <v>ictv.global=202204041</v>
      </c>
    </row>
    <row r="4489" spans="1:21">
      <c r="A4489">
        <v>4488</v>
      </c>
      <c r="B4489" s="29" t="s">
        <v>4053</v>
      </c>
      <c r="C4489" s="29"/>
      <c r="D4489" s="29" t="s">
        <v>4082</v>
      </c>
      <c r="E4489" s="29"/>
      <c r="F4489" s="29" t="s">
        <v>4083</v>
      </c>
      <c r="G4489" s="29"/>
      <c r="H4489" s="29" t="s">
        <v>4086</v>
      </c>
      <c r="I4489" s="29"/>
      <c r="J4489" s="29" t="s">
        <v>4088</v>
      </c>
      <c r="K4489" s="29"/>
      <c r="L4489" s="29" t="s">
        <v>638</v>
      </c>
      <c r="M4489" s="29" t="s">
        <v>2930</v>
      </c>
      <c r="N4489" s="29" t="s">
        <v>100</v>
      </c>
      <c r="O4489" s="29"/>
      <c r="P4489" s="29" t="s">
        <v>101</v>
      </c>
      <c r="Q4489" t="s">
        <v>2041</v>
      </c>
      <c r="R4489" t="s">
        <v>6901</v>
      </c>
      <c r="S4489">
        <v>36</v>
      </c>
      <c r="T4489" s="43" t="str">
        <f t="shared" si="212"/>
        <v>2020.001G.R.Abolish_type_species.pdf</v>
      </c>
      <c r="U4489" s="43" t="str">
        <f>HYPERLINK("https://ictv.global/taxonomy/taxondetails?taxnode_id=202204043","ictv.global=202204043")</f>
        <v>ictv.global=202204043</v>
      </c>
    </row>
    <row r="4490" spans="1:21">
      <c r="A4490">
        <v>4489</v>
      </c>
      <c r="B4490" s="29" t="s">
        <v>4053</v>
      </c>
      <c r="C4490" s="29"/>
      <c r="D4490" s="29" t="s">
        <v>4082</v>
      </c>
      <c r="E4490" s="29"/>
      <c r="F4490" s="29" t="s">
        <v>4083</v>
      </c>
      <c r="G4490" s="29"/>
      <c r="H4490" s="29" t="s">
        <v>4086</v>
      </c>
      <c r="I4490" s="29"/>
      <c r="J4490" s="29" t="s">
        <v>4088</v>
      </c>
      <c r="K4490" s="29"/>
      <c r="L4490" s="29" t="s">
        <v>638</v>
      </c>
      <c r="M4490" s="29" t="s">
        <v>2930</v>
      </c>
      <c r="N4490" s="29" t="s">
        <v>2286</v>
      </c>
      <c r="O4490" s="29"/>
      <c r="P4490" s="29" t="s">
        <v>2287</v>
      </c>
      <c r="Q4490" t="s">
        <v>2041</v>
      </c>
      <c r="R4490" t="s">
        <v>6901</v>
      </c>
      <c r="S4490">
        <v>36</v>
      </c>
      <c r="T4490" s="43" t="str">
        <f t="shared" si="212"/>
        <v>2020.001G.R.Abolish_type_species.pdf</v>
      </c>
      <c r="U4490" s="43" t="str">
        <f>HYPERLINK("https://ictv.global/taxonomy/taxondetails?taxnode_id=202204045","ictv.global=202204045")</f>
        <v>ictv.global=202204045</v>
      </c>
    </row>
    <row r="4491" spans="1:21">
      <c r="A4491">
        <v>4490</v>
      </c>
      <c r="B4491" s="29" t="s">
        <v>4053</v>
      </c>
      <c r="C4491" s="29"/>
      <c r="D4491" s="29" t="s">
        <v>4082</v>
      </c>
      <c r="E4491" s="29"/>
      <c r="F4491" s="29" t="s">
        <v>4083</v>
      </c>
      <c r="G4491" s="29"/>
      <c r="H4491" s="29" t="s">
        <v>4086</v>
      </c>
      <c r="I4491" s="29"/>
      <c r="J4491" s="29" t="s">
        <v>4088</v>
      </c>
      <c r="K4491" s="29"/>
      <c r="L4491" s="29" t="s">
        <v>638</v>
      </c>
      <c r="M4491" s="29" t="s">
        <v>2930</v>
      </c>
      <c r="N4491" s="29" t="s">
        <v>1905</v>
      </c>
      <c r="O4491" s="29"/>
      <c r="P4491" s="29" t="s">
        <v>1906</v>
      </c>
      <c r="Q4491" t="s">
        <v>2041</v>
      </c>
      <c r="R4491" t="s">
        <v>6901</v>
      </c>
      <c r="S4491">
        <v>36</v>
      </c>
      <c r="T4491" s="43" t="str">
        <f t="shared" si="212"/>
        <v>2020.001G.R.Abolish_type_species.pdf</v>
      </c>
      <c r="U4491" s="43" t="str">
        <f>HYPERLINK("https://ictv.global/taxonomy/taxondetails?taxnode_id=202204047","ictv.global=202204047")</f>
        <v>ictv.global=202204047</v>
      </c>
    </row>
    <row r="4492" spans="1:21">
      <c r="A4492">
        <v>4491</v>
      </c>
      <c r="B4492" s="29" t="s">
        <v>4053</v>
      </c>
      <c r="C4492" s="29"/>
      <c r="D4492" s="29" t="s">
        <v>4082</v>
      </c>
      <c r="E4492" s="29"/>
      <c r="F4492" s="29" t="s">
        <v>4083</v>
      </c>
      <c r="G4492" s="29"/>
      <c r="H4492" s="29" t="s">
        <v>4086</v>
      </c>
      <c r="I4492" s="29"/>
      <c r="J4492" s="29" t="s">
        <v>4088</v>
      </c>
      <c r="K4492" s="29"/>
      <c r="L4492" s="29" t="s">
        <v>638</v>
      </c>
      <c r="M4492" s="29" t="s">
        <v>2930</v>
      </c>
      <c r="N4492" s="29" t="s">
        <v>1905</v>
      </c>
      <c r="O4492" s="29"/>
      <c r="P4492" s="29" t="s">
        <v>2935</v>
      </c>
      <c r="Q4492" t="s">
        <v>2041</v>
      </c>
      <c r="R4492" t="s">
        <v>2634</v>
      </c>
      <c r="S4492">
        <v>35</v>
      </c>
      <c r="T4492" s="43" t="str">
        <f>HYPERLINK("https://ictv.global/ictv/proposals/2019.005G.zip","2019.005G.zip")</f>
        <v>2019.005G.zip</v>
      </c>
      <c r="U4492" s="43" t="str">
        <f>HYPERLINK("https://ictv.global/taxonomy/taxondetails?taxnode_id=202205868","ictv.global=202205868")</f>
        <v>ictv.global=202205868</v>
      </c>
    </row>
    <row r="4493" spans="1:21">
      <c r="A4493">
        <v>4492</v>
      </c>
      <c r="B4493" s="29" t="s">
        <v>4053</v>
      </c>
      <c r="C4493" s="29"/>
      <c r="D4493" s="29" t="s">
        <v>4082</v>
      </c>
      <c r="E4493" s="29"/>
      <c r="F4493" s="29" t="s">
        <v>4083</v>
      </c>
      <c r="G4493" s="29"/>
      <c r="H4493" s="29" t="s">
        <v>4086</v>
      </c>
      <c r="I4493" s="29"/>
      <c r="J4493" s="29" t="s">
        <v>4088</v>
      </c>
      <c r="K4493" s="29"/>
      <c r="L4493" s="29" t="s">
        <v>638</v>
      </c>
      <c r="M4493" s="29" t="s">
        <v>2930</v>
      </c>
      <c r="N4493" s="29" t="s">
        <v>102</v>
      </c>
      <c r="O4493" s="29"/>
      <c r="P4493" s="29" t="s">
        <v>103</v>
      </c>
      <c r="Q4493" t="s">
        <v>2041</v>
      </c>
      <c r="R4493" t="s">
        <v>6901</v>
      </c>
      <c r="S4493">
        <v>36</v>
      </c>
      <c r="T4493" s="43" t="str">
        <f>HYPERLINK("https://ictv.global/ictv/proposals/2020.001G.R.Abolish_type_species.pdf","2020.001G.R.Abolish_type_species.pdf")</f>
        <v>2020.001G.R.Abolish_type_species.pdf</v>
      </c>
      <c r="U4493" s="43" t="str">
        <f>HYPERLINK("https://ictv.global/taxonomy/taxondetails?taxnode_id=202204049","ictv.global=202204049")</f>
        <v>ictv.global=202204049</v>
      </c>
    </row>
    <row r="4494" spans="1:21">
      <c r="A4494">
        <v>4493</v>
      </c>
      <c r="B4494" s="29" t="s">
        <v>4053</v>
      </c>
      <c r="C4494" s="29"/>
      <c r="D4494" s="29" t="s">
        <v>4082</v>
      </c>
      <c r="E4494" s="29"/>
      <c r="F4494" s="29" t="s">
        <v>4083</v>
      </c>
      <c r="G4494" s="29"/>
      <c r="H4494" s="29" t="s">
        <v>4086</v>
      </c>
      <c r="I4494" s="29"/>
      <c r="J4494" s="29" t="s">
        <v>4088</v>
      </c>
      <c r="K4494" s="29"/>
      <c r="L4494" s="29" t="s">
        <v>638</v>
      </c>
      <c r="M4494" s="29" t="s">
        <v>2930</v>
      </c>
      <c r="N4494" s="29" t="s">
        <v>649</v>
      </c>
      <c r="O4494" s="29"/>
      <c r="P4494" s="29" t="s">
        <v>104</v>
      </c>
      <c r="Q4494" t="s">
        <v>2041</v>
      </c>
      <c r="R4494" t="s">
        <v>6901</v>
      </c>
      <c r="S4494">
        <v>36</v>
      </c>
      <c r="T4494" s="43" t="str">
        <f>HYPERLINK("https://ictv.global/ictv/proposals/2020.001G.R.Abolish_type_species.pdf","2020.001G.R.Abolish_type_species.pdf")</f>
        <v>2020.001G.R.Abolish_type_species.pdf</v>
      </c>
      <c r="U4494" s="43" t="str">
        <f>HYPERLINK("https://ictv.global/taxonomy/taxondetails?taxnode_id=202204051","ictv.global=202204051")</f>
        <v>ictv.global=202204051</v>
      </c>
    </row>
    <row r="4495" spans="1:21">
      <c r="A4495">
        <v>4494</v>
      </c>
      <c r="B4495" s="29" t="s">
        <v>4053</v>
      </c>
      <c r="C4495" s="29"/>
      <c r="D4495" s="29" t="s">
        <v>4082</v>
      </c>
      <c r="E4495" s="29"/>
      <c r="F4495" s="29" t="s">
        <v>4083</v>
      </c>
      <c r="G4495" s="29"/>
      <c r="H4495" s="29" t="s">
        <v>4086</v>
      </c>
      <c r="I4495" s="29"/>
      <c r="J4495" s="29" t="s">
        <v>4088</v>
      </c>
      <c r="K4495" s="29"/>
      <c r="L4495" s="29" t="s">
        <v>638</v>
      </c>
      <c r="M4495" s="29" t="s">
        <v>2930</v>
      </c>
      <c r="N4495" s="29" t="s">
        <v>649</v>
      </c>
      <c r="O4495" s="29"/>
      <c r="P4495" s="29" t="s">
        <v>2936</v>
      </c>
      <c r="Q4495" t="s">
        <v>2041</v>
      </c>
      <c r="R4495" t="s">
        <v>2634</v>
      </c>
      <c r="S4495">
        <v>35</v>
      </c>
      <c r="T4495" s="43" t="str">
        <f>HYPERLINK("https://ictv.global/ictv/proposals/2019.005G.zip","2019.005G.zip")</f>
        <v>2019.005G.zip</v>
      </c>
      <c r="U4495" s="43" t="str">
        <f>HYPERLINK("https://ictv.global/taxonomy/taxondetails?taxnode_id=202205869","ictv.global=202205869")</f>
        <v>ictv.global=202205869</v>
      </c>
    </row>
    <row r="4496" spans="1:21">
      <c r="A4496">
        <v>4495</v>
      </c>
      <c r="B4496" s="29" t="s">
        <v>4053</v>
      </c>
      <c r="C4496" s="29"/>
      <c r="D4496" s="29" t="s">
        <v>4082</v>
      </c>
      <c r="E4496" s="29"/>
      <c r="F4496" s="29" t="s">
        <v>4083</v>
      </c>
      <c r="G4496" s="29"/>
      <c r="H4496" s="29" t="s">
        <v>4086</v>
      </c>
      <c r="I4496" s="29"/>
      <c r="J4496" s="29" t="s">
        <v>4088</v>
      </c>
      <c r="K4496" s="29"/>
      <c r="L4496" s="29" t="s">
        <v>638</v>
      </c>
      <c r="M4496" s="29" t="s">
        <v>2930</v>
      </c>
      <c r="N4496" s="29" t="s">
        <v>710</v>
      </c>
      <c r="O4496" s="29"/>
      <c r="P4496" s="29" t="s">
        <v>105</v>
      </c>
      <c r="Q4496" t="s">
        <v>2041</v>
      </c>
      <c r="R4496" t="s">
        <v>6901</v>
      </c>
      <c r="S4496">
        <v>36</v>
      </c>
      <c r="T4496" s="43" t="str">
        <f t="shared" ref="T4496:T4501" si="213">HYPERLINK("https://ictv.global/ictv/proposals/2020.001G.R.Abolish_type_species.pdf","2020.001G.R.Abolish_type_species.pdf")</f>
        <v>2020.001G.R.Abolish_type_species.pdf</v>
      </c>
      <c r="U4496" s="43" t="str">
        <f>HYPERLINK("https://ictv.global/taxonomy/taxondetails?taxnode_id=202204053","ictv.global=202204053")</f>
        <v>ictv.global=202204053</v>
      </c>
    </row>
    <row r="4497" spans="1:21">
      <c r="A4497">
        <v>4496</v>
      </c>
      <c r="B4497" s="29" t="s">
        <v>4053</v>
      </c>
      <c r="C4497" s="29"/>
      <c r="D4497" s="29" t="s">
        <v>4082</v>
      </c>
      <c r="E4497" s="29"/>
      <c r="F4497" s="29" t="s">
        <v>4083</v>
      </c>
      <c r="G4497" s="29"/>
      <c r="H4497" s="29" t="s">
        <v>4086</v>
      </c>
      <c r="I4497" s="29"/>
      <c r="J4497" s="29" t="s">
        <v>4088</v>
      </c>
      <c r="K4497" s="29"/>
      <c r="L4497" s="29" t="s">
        <v>638</v>
      </c>
      <c r="M4497" s="29" t="s">
        <v>2930</v>
      </c>
      <c r="N4497" s="29" t="s">
        <v>711</v>
      </c>
      <c r="O4497" s="29"/>
      <c r="P4497" s="29" t="s">
        <v>106</v>
      </c>
      <c r="Q4497" t="s">
        <v>2041</v>
      </c>
      <c r="R4497" t="s">
        <v>6901</v>
      </c>
      <c r="S4497">
        <v>36</v>
      </c>
      <c r="T4497" s="43" t="str">
        <f t="shared" si="213"/>
        <v>2020.001G.R.Abolish_type_species.pdf</v>
      </c>
      <c r="U4497" s="43" t="str">
        <f>HYPERLINK("https://ictv.global/taxonomy/taxondetails?taxnode_id=202204055","ictv.global=202204055")</f>
        <v>ictv.global=202204055</v>
      </c>
    </row>
    <row r="4498" spans="1:21">
      <c r="A4498">
        <v>4497</v>
      </c>
      <c r="B4498" s="29" t="s">
        <v>4053</v>
      </c>
      <c r="C4498" s="29"/>
      <c r="D4498" s="29" t="s">
        <v>4082</v>
      </c>
      <c r="E4498" s="29"/>
      <c r="F4498" s="29" t="s">
        <v>4083</v>
      </c>
      <c r="G4498" s="29"/>
      <c r="H4498" s="29" t="s">
        <v>4086</v>
      </c>
      <c r="I4498" s="29"/>
      <c r="J4498" s="29" t="s">
        <v>4088</v>
      </c>
      <c r="K4498" s="29"/>
      <c r="L4498" s="29" t="s">
        <v>638</v>
      </c>
      <c r="M4498" s="29" t="s">
        <v>2930</v>
      </c>
      <c r="N4498" s="29" t="s">
        <v>711</v>
      </c>
      <c r="O4498" s="29"/>
      <c r="P4498" s="29" t="s">
        <v>108</v>
      </c>
      <c r="Q4498" t="s">
        <v>2041</v>
      </c>
      <c r="R4498" t="s">
        <v>6901</v>
      </c>
      <c r="S4498">
        <v>36</v>
      </c>
      <c r="T4498" s="43" t="str">
        <f t="shared" si="213"/>
        <v>2020.001G.R.Abolish_type_species.pdf</v>
      </c>
      <c r="U4498" s="43" t="str">
        <f>HYPERLINK("https://ictv.global/taxonomy/taxondetails?taxnode_id=202204056","ictv.global=202204056")</f>
        <v>ictv.global=202204056</v>
      </c>
    </row>
    <row r="4499" spans="1:21">
      <c r="A4499">
        <v>4498</v>
      </c>
      <c r="B4499" s="29" t="s">
        <v>4053</v>
      </c>
      <c r="C4499" s="29"/>
      <c r="D4499" s="29" t="s">
        <v>4082</v>
      </c>
      <c r="E4499" s="29"/>
      <c r="F4499" s="29" t="s">
        <v>4083</v>
      </c>
      <c r="G4499" s="29"/>
      <c r="H4499" s="29" t="s">
        <v>4086</v>
      </c>
      <c r="I4499" s="29"/>
      <c r="J4499" s="29" t="s">
        <v>4088</v>
      </c>
      <c r="K4499" s="29"/>
      <c r="L4499" s="29" t="s">
        <v>638</v>
      </c>
      <c r="M4499" s="29" t="s">
        <v>2930</v>
      </c>
      <c r="N4499" s="29" t="s">
        <v>711</v>
      </c>
      <c r="O4499" s="29"/>
      <c r="P4499" s="29" t="s">
        <v>109</v>
      </c>
      <c r="Q4499" t="s">
        <v>2041</v>
      </c>
      <c r="R4499" t="s">
        <v>6901</v>
      </c>
      <c r="S4499">
        <v>36</v>
      </c>
      <c r="T4499" s="43" t="str">
        <f t="shared" si="213"/>
        <v>2020.001G.R.Abolish_type_species.pdf</v>
      </c>
      <c r="U4499" s="43" t="str">
        <f>HYPERLINK("https://ictv.global/taxonomy/taxondetails?taxnode_id=202204057","ictv.global=202204057")</f>
        <v>ictv.global=202204057</v>
      </c>
    </row>
    <row r="4500" spans="1:21">
      <c r="A4500">
        <v>4499</v>
      </c>
      <c r="B4500" s="29" t="s">
        <v>4053</v>
      </c>
      <c r="C4500" s="29"/>
      <c r="D4500" s="29" t="s">
        <v>4082</v>
      </c>
      <c r="E4500" s="29"/>
      <c r="F4500" s="29" t="s">
        <v>4083</v>
      </c>
      <c r="G4500" s="29"/>
      <c r="H4500" s="29" t="s">
        <v>4086</v>
      </c>
      <c r="I4500" s="29"/>
      <c r="J4500" s="29" t="s">
        <v>4088</v>
      </c>
      <c r="K4500" s="29"/>
      <c r="L4500" s="29" t="s">
        <v>638</v>
      </c>
      <c r="M4500" s="29" t="s">
        <v>2930</v>
      </c>
      <c r="N4500" s="29" t="s">
        <v>711</v>
      </c>
      <c r="O4500" s="29"/>
      <c r="P4500" s="29" t="s">
        <v>110</v>
      </c>
      <c r="Q4500" t="s">
        <v>2041</v>
      </c>
      <c r="R4500" t="s">
        <v>6901</v>
      </c>
      <c r="S4500">
        <v>36</v>
      </c>
      <c r="T4500" s="43" t="str">
        <f t="shared" si="213"/>
        <v>2020.001G.R.Abolish_type_species.pdf</v>
      </c>
      <c r="U4500" s="43" t="str">
        <f>HYPERLINK("https://ictv.global/taxonomy/taxondetails?taxnode_id=202204058","ictv.global=202204058")</f>
        <v>ictv.global=202204058</v>
      </c>
    </row>
    <row r="4501" spans="1:21">
      <c r="A4501">
        <v>4500</v>
      </c>
      <c r="B4501" s="29" t="s">
        <v>4053</v>
      </c>
      <c r="C4501" s="29"/>
      <c r="D4501" s="29" t="s">
        <v>4082</v>
      </c>
      <c r="E4501" s="29"/>
      <c r="F4501" s="29" t="s">
        <v>4083</v>
      </c>
      <c r="G4501" s="29"/>
      <c r="H4501" s="29" t="s">
        <v>4086</v>
      </c>
      <c r="I4501" s="29"/>
      <c r="J4501" s="29" t="s">
        <v>4088</v>
      </c>
      <c r="K4501" s="29"/>
      <c r="L4501" s="29" t="s">
        <v>638</v>
      </c>
      <c r="M4501" s="29" t="s">
        <v>2930</v>
      </c>
      <c r="N4501" s="29" t="s">
        <v>711</v>
      </c>
      <c r="O4501" s="29"/>
      <c r="P4501" s="29" t="s">
        <v>111</v>
      </c>
      <c r="Q4501" t="s">
        <v>2041</v>
      </c>
      <c r="R4501" t="s">
        <v>6901</v>
      </c>
      <c r="S4501">
        <v>36</v>
      </c>
      <c r="T4501" s="43" t="str">
        <f t="shared" si="213"/>
        <v>2020.001G.R.Abolish_type_species.pdf</v>
      </c>
      <c r="U4501" s="43" t="str">
        <f>HYPERLINK("https://ictv.global/taxonomy/taxondetails?taxnode_id=202204059","ictv.global=202204059")</f>
        <v>ictv.global=202204059</v>
      </c>
    </row>
    <row r="4502" spans="1:21">
      <c r="A4502">
        <v>4501</v>
      </c>
      <c r="B4502" s="29" t="s">
        <v>4053</v>
      </c>
      <c r="C4502" s="29"/>
      <c r="D4502" s="29" t="s">
        <v>4082</v>
      </c>
      <c r="E4502" s="29"/>
      <c r="F4502" s="29" t="s">
        <v>4083</v>
      </c>
      <c r="G4502" s="29"/>
      <c r="H4502" s="29" t="s">
        <v>4086</v>
      </c>
      <c r="I4502" s="29"/>
      <c r="J4502" s="29" t="s">
        <v>4088</v>
      </c>
      <c r="K4502" s="29"/>
      <c r="L4502" s="29" t="s">
        <v>638</v>
      </c>
      <c r="M4502" s="29" t="s">
        <v>2930</v>
      </c>
      <c r="N4502" s="29" t="s">
        <v>711</v>
      </c>
      <c r="O4502" s="29"/>
      <c r="P4502" s="29" t="s">
        <v>112</v>
      </c>
      <c r="Q4502" t="s">
        <v>2041</v>
      </c>
      <c r="R4502" t="s">
        <v>2634</v>
      </c>
      <c r="S4502">
        <v>35</v>
      </c>
      <c r="T4502" s="43" t="str">
        <f t="shared" ref="T4502:T4523" si="214">HYPERLINK("https://ictv.global/ictv/proposals/2019.005G.zip","2019.005G.zip")</f>
        <v>2019.005G.zip</v>
      </c>
      <c r="U4502" s="43" t="str">
        <f>HYPERLINK("https://ictv.global/taxonomy/taxondetails?taxnode_id=202204060","ictv.global=202204060")</f>
        <v>ictv.global=202204060</v>
      </c>
    </row>
    <row r="4503" spans="1:21">
      <c r="A4503">
        <v>4502</v>
      </c>
      <c r="B4503" s="29" t="s">
        <v>4053</v>
      </c>
      <c r="C4503" s="29"/>
      <c r="D4503" s="29" t="s">
        <v>4082</v>
      </c>
      <c r="E4503" s="29"/>
      <c r="F4503" s="29" t="s">
        <v>4083</v>
      </c>
      <c r="G4503" s="29"/>
      <c r="H4503" s="29" t="s">
        <v>4086</v>
      </c>
      <c r="I4503" s="29"/>
      <c r="J4503" s="29" t="s">
        <v>4088</v>
      </c>
      <c r="K4503" s="29"/>
      <c r="L4503" s="29" t="s">
        <v>638</v>
      </c>
      <c r="M4503" s="29" t="s">
        <v>2930</v>
      </c>
      <c r="N4503" s="29" t="s">
        <v>711</v>
      </c>
      <c r="O4503" s="29"/>
      <c r="P4503" s="29" t="s">
        <v>113</v>
      </c>
      <c r="Q4503" t="s">
        <v>2041</v>
      </c>
      <c r="R4503" t="s">
        <v>2634</v>
      </c>
      <c r="S4503">
        <v>35</v>
      </c>
      <c r="T4503" s="43" t="str">
        <f t="shared" si="214"/>
        <v>2019.005G.zip</v>
      </c>
      <c r="U4503" s="43" t="str">
        <f>HYPERLINK("https://ictv.global/taxonomy/taxondetails?taxnode_id=202204061","ictv.global=202204061")</f>
        <v>ictv.global=202204061</v>
      </c>
    </row>
    <row r="4504" spans="1:21">
      <c r="A4504">
        <v>4503</v>
      </c>
      <c r="B4504" s="29" t="s">
        <v>4053</v>
      </c>
      <c r="C4504" s="29"/>
      <c r="D4504" s="29" t="s">
        <v>4082</v>
      </c>
      <c r="E4504" s="29"/>
      <c r="F4504" s="29" t="s">
        <v>4083</v>
      </c>
      <c r="G4504" s="29"/>
      <c r="H4504" s="29" t="s">
        <v>4086</v>
      </c>
      <c r="I4504" s="29"/>
      <c r="J4504" s="29" t="s">
        <v>4088</v>
      </c>
      <c r="K4504" s="29"/>
      <c r="L4504" s="29" t="s">
        <v>638</v>
      </c>
      <c r="M4504" s="29" t="s">
        <v>2930</v>
      </c>
      <c r="N4504" s="29" t="s">
        <v>711</v>
      </c>
      <c r="O4504" s="29"/>
      <c r="P4504" s="29" t="s">
        <v>114</v>
      </c>
      <c r="Q4504" t="s">
        <v>2041</v>
      </c>
      <c r="R4504" t="s">
        <v>2634</v>
      </c>
      <c r="S4504">
        <v>35</v>
      </c>
      <c r="T4504" s="43" t="str">
        <f t="shared" si="214"/>
        <v>2019.005G.zip</v>
      </c>
      <c r="U4504" s="43" t="str">
        <f>HYPERLINK("https://ictv.global/taxonomy/taxondetails?taxnode_id=202204062","ictv.global=202204062")</f>
        <v>ictv.global=202204062</v>
      </c>
    </row>
    <row r="4505" spans="1:21">
      <c r="A4505">
        <v>4504</v>
      </c>
      <c r="B4505" s="29" t="s">
        <v>4053</v>
      </c>
      <c r="C4505" s="29"/>
      <c r="D4505" s="29" t="s">
        <v>4082</v>
      </c>
      <c r="E4505" s="29"/>
      <c r="F4505" s="29" t="s">
        <v>4083</v>
      </c>
      <c r="G4505" s="29"/>
      <c r="H4505" s="29" t="s">
        <v>4086</v>
      </c>
      <c r="I4505" s="29"/>
      <c r="J4505" s="29" t="s">
        <v>4088</v>
      </c>
      <c r="K4505" s="29"/>
      <c r="L4505" s="29" t="s">
        <v>638</v>
      </c>
      <c r="M4505" s="29" t="s">
        <v>2930</v>
      </c>
      <c r="N4505" s="29" t="s">
        <v>711</v>
      </c>
      <c r="O4505" s="29"/>
      <c r="P4505" s="29" t="s">
        <v>115</v>
      </c>
      <c r="Q4505" t="s">
        <v>2041</v>
      </c>
      <c r="R4505" t="s">
        <v>2634</v>
      </c>
      <c r="S4505">
        <v>35</v>
      </c>
      <c r="T4505" s="43" t="str">
        <f t="shared" si="214"/>
        <v>2019.005G.zip</v>
      </c>
      <c r="U4505" s="43" t="str">
        <f>HYPERLINK("https://ictv.global/taxonomy/taxondetails?taxnode_id=202204063","ictv.global=202204063")</f>
        <v>ictv.global=202204063</v>
      </c>
    </row>
    <row r="4506" spans="1:21">
      <c r="A4506">
        <v>4505</v>
      </c>
      <c r="B4506" s="29" t="s">
        <v>4053</v>
      </c>
      <c r="C4506" s="29"/>
      <c r="D4506" s="29" t="s">
        <v>4082</v>
      </c>
      <c r="E4506" s="29"/>
      <c r="F4506" s="29" t="s">
        <v>4083</v>
      </c>
      <c r="G4506" s="29"/>
      <c r="H4506" s="29" t="s">
        <v>4086</v>
      </c>
      <c r="I4506" s="29"/>
      <c r="J4506" s="29" t="s">
        <v>4088</v>
      </c>
      <c r="K4506" s="29"/>
      <c r="L4506" s="29" t="s">
        <v>638</v>
      </c>
      <c r="M4506" s="29" t="s">
        <v>2930</v>
      </c>
      <c r="N4506" s="29" t="s">
        <v>711</v>
      </c>
      <c r="O4506" s="29"/>
      <c r="P4506" s="29" t="s">
        <v>107</v>
      </c>
      <c r="Q4506" t="s">
        <v>2041</v>
      </c>
      <c r="R4506" t="s">
        <v>2634</v>
      </c>
      <c r="S4506">
        <v>35</v>
      </c>
      <c r="T4506" s="43" t="str">
        <f t="shared" si="214"/>
        <v>2019.005G.zip</v>
      </c>
      <c r="U4506" s="43" t="str">
        <f>HYPERLINK("https://ictv.global/taxonomy/taxondetails?taxnode_id=202204064","ictv.global=202204064")</f>
        <v>ictv.global=202204064</v>
      </c>
    </row>
    <row r="4507" spans="1:21">
      <c r="A4507">
        <v>4506</v>
      </c>
      <c r="B4507" s="29" t="s">
        <v>4053</v>
      </c>
      <c r="C4507" s="29"/>
      <c r="D4507" s="29" t="s">
        <v>4082</v>
      </c>
      <c r="E4507" s="29"/>
      <c r="F4507" s="29" t="s">
        <v>4083</v>
      </c>
      <c r="G4507" s="29"/>
      <c r="H4507" s="29" t="s">
        <v>4086</v>
      </c>
      <c r="I4507" s="29"/>
      <c r="J4507" s="29" t="s">
        <v>4088</v>
      </c>
      <c r="K4507" s="29"/>
      <c r="L4507" s="29" t="s">
        <v>638</v>
      </c>
      <c r="M4507" s="29" t="s">
        <v>2930</v>
      </c>
      <c r="N4507" s="29" t="s">
        <v>711</v>
      </c>
      <c r="O4507" s="29"/>
      <c r="P4507" s="29" t="s">
        <v>1907</v>
      </c>
      <c r="Q4507" t="s">
        <v>2041</v>
      </c>
      <c r="R4507" t="s">
        <v>2634</v>
      </c>
      <c r="S4507">
        <v>35</v>
      </c>
      <c r="T4507" s="43" t="str">
        <f t="shared" si="214"/>
        <v>2019.005G.zip</v>
      </c>
      <c r="U4507" s="43" t="str">
        <f>HYPERLINK("https://ictv.global/taxonomy/taxondetails?taxnode_id=202204065","ictv.global=202204065")</f>
        <v>ictv.global=202204065</v>
      </c>
    </row>
    <row r="4508" spans="1:21">
      <c r="A4508">
        <v>4507</v>
      </c>
      <c r="B4508" s="29" t="s">
        <v>4053</v>
      </c>
      <c r="C4508" s="29"/>
      <c r="D4508" s="29" t="s">
        <v>4082</v>
      </c>
      <c r="E4508" s="29"/>
      <c r="F4508" s="29" t="s">
        <v>4083</v>
      </c>
      <c r="G4508" s="29"/>
      <c r="H4508" s="29" t="s">
        <v>4086</v>
      </c>
      <c r="I4508" s="29"/>
      <c r="J4508" s="29" t="s">
        <v>4088</v>
      </c>
      <c r="K4508" s="29"/>
      <c r="L4508" s="29" t="s">
        <v>638</v>
      </c>
      <c r="M4508" s="29" t="s">
        <v>2930</v>
      </c>
      <c r="N4508" s="29" t="s">
        <v>711</v>
      </c>
      <c r="O4508" s="29"/>
      <c r="P4508" s="29" t="s">
        <v>1908</v>
      </c>
      <c r="Q4508" t="s">
        <v>2041</v>
      </c>
      <c r="R4508" t="s">
        <v>2634</v>
      </c>
      <c r="S4508">
        <v>35</v>
      </c>
      <c r="T4508" s="43" t="str">
        <f t="shared" si="214"/>
        <v>2019.005G.zip</v>
      </c>
      <c r="U4508" s="43" t="str">
        <f>HYPERLINK("https://ictv.global/taxonomy/taxondetails?taxnode_id=202204066","ictv.global=202204066")</f>
        <v>ictv.global=202204066</v>
      </c>
    </row>
    <row r="4509" spans="1:21">
      <c r="A4509">
        <v>4508</v>
      </c>
      <c r="B4509" s="29" t="s">
        <v>4053</v>
      </c>
      <c r="C4509" s="29"/>
      <c r="D4509" s="29" t="s">
        <v>4082</v>
      </c>
      <c r="E4509" s="29"/>
      <c r="F4509" s="29" t="s">
        <v>4083</v>
      </c>
      <c r="G4509" s="29"/>
      <c r="H4509" s="29" t="s">
        <v>4086</v>
      </c>
      <c r="I4509" s="29"/>
      <c r="J4509" s="29" t="s">
        <v>4088</v>
      </c>
      <c r="K4509" s="29"/>
      <c r="L4509" s="29" t="s">
        <v>638</v>
      </c>
      <c r="M4509" s="29" t="s">
        <v>2930</v>
      </c>
      <c r="N4509" s="29" t="s">
        <v>711</v>
      </c>
      <c r="O4509" s="29"/>
      <c r="P4509" s="29" t="s">
        <v>1909</v>
      </c>
      <c r="Q4509" t="s">
        <v>2041</v>
      </c>
      <c r="R4509" t="s">
        <v>2634</v>
      </c>
      <c r="S4509">
        <v>35</v>
      </c>
      <c r="T4509" s="43" t="str">
        <f t="shared" si="214"/>
        <v>2019.005G.zip</v>
      </c>
      <c r="U4509" s="43" t="str">
        <f>HYPERLINK("https://ictv.global/taxonomy/taxondetails?taxnode_id=202204067","ictv.global=202204067")</f>
        <v>ictv.global=202204067</v>
      </c>
    </row>
    <row r="4510" spans="1:21">
      <c r="A4510">
        <v>4509</v>
      </c>
      <c r="B4510" s="29" t="s">
        <v>4053</v>
      </c>
      <c r="C4510" s="29"/>
      <c r="D4510" s="29" t="s">
        <v>4082</v>
      </c>
      <c r="E4510" s="29"/>
      <c r="F4510" s="29" t="s">
        <v>4083</v>
      </c>
      <c r="G4510" s="29"/>
      <c r="H4510" s="29" t="s">
        <v>4086</v>
      </c>
      <c r="I4510" s="29"/>
      <c r="J4510" s="29" t="s">
        <v>4088</v>
      </c>
      <c r="K4510" s="29"/>
      <c r="L4510" s="29" t="s">
        <v>638</v>
      </c>
      <c r="M4510" s="29" t="s">
        <v>2930</v>
      </c>
      <c r="N4510" s="29" t="s">
        <v>711</v>
      </c>
      <c r="O4510" s="29"/>
      <c r="P4510" s="29" t="s">
        <v>1910</v>
      </c>
      <c r="Q4510" t="s">
        <v>2041</v>
      </c>
      <c r="R4510" t="s">
        <v>2634</v>
      </c>
      <c r="S4510">
        <v>35</v>
      </c>
      <c r="T4510" s="43" t="str">
        <f t="shared" si="214"/>
        <v>2019.005G.zip</v>
      </c>
      <c r="U4510" s="43" t="str">
        <f>HYPERLINK("https://ictv.global/taxonomy/taxondetails?taxnode_id=202204068","ictv.global=202204068")</f>
        <v>ictv.global=202204068</v>
      </c>
    </row>
    <row r="4511" spans="1:21">
      <c r="A4511">
        <v>4510</v>
      </c>
      <c r="B4511" s="29" t="s">
        <v>4053</v>
      </c>
      <c r="C4511" s="29"/>
      <c r="D4511" s="29" t="s">
        <v>4082</v>
      </c>
      <c r="E4511" s="29"/>
      <c r="F4511" s="29" t="s">
        <v>4083</v>
      </c>
      <c r="G4511" s="29"/>
      <c r="H4511" s="29" t="s">
        <v>4086</v>
      </c>
      <c r="I4511" s="29"/>
      <c r="J4511" s="29" t="s">
        <v>4088</v>
      </c>
      <c r="K4511" s="29"/>
      <c r="L4511" s="29" t="s">
        <v>638</v>
      </c>
      <c r="M4511" s="29" t="s">
        <v>2930</v>
      </c>
      <c r="N4511" s="29" t="s">
        <v>711</v>
      </c>
      <c r="O4511" s="29"/>
      <c r="P4511" s="29" t="s">
        <v>1911</v>
      </c>
      <c r="Q4511" t="s">
        <v>2041</v>
      </c>
      <c r="R4511" t="s">
        <v>2634</v>
      </c>
      <c r="S4511">
        <v>35</v>
      </c>
      <c r="T4511" s="43" t="str">
        <f t="shared" si="214"/>
        <v>2019.005G.zip</v>
      </c>
      <c r="U4511" s="43" t="str">
        <f>HYPERLINK("https://ictv.global/taxonomy/taxondetails?taxnode_id=202204069","ictv.global=202204069")</f>
        <v>ictv.global=202204069</v>
      </c>
    </row>
    <row r="4512" spans="1:21">
      <c r="A4512">
        <v>4511</v>
      </c>
      <c r="B4512" s="29" t="s">
        <v>4053</v>
      </c>
      <c r="C4512" s="29"/>
      <c r="D4512" s="29" t="s">
        <v>4082</v>
      </c>
      <c r="E4512" s="29"/>
      <c r="F4512" s="29" t="s">
        <v>4083</v>
      </c>
      <c r="G4512" s="29"/>
      <c r="H4512" s="29" t="s">
        <v>4086</v>
      </c>
      <c r="I4512" s="29"/>
      <c r="J4512" s="29" t="s">
        <v>4088</v>
      </c>
      <c r="K4512" s="29"/>
      <c r="L4512" s="29" t="s">
        <v>638</v>
      </c>
      <c r="M4512" s="29" t="s">
        <v>2930</v>
      </c>
      <c r="N4512" s="29" t="s">
        <v>711</v>
      </c>
      <c r="O4512" s="29"/>
      <c r="P4512" s="29" t="s">
        <v>1912</v>
      </c>
      <c r="Q4512" t="s">
        <v>2041</v>
      </c>
      <c r="R4512" t="s">
        <v>2634</v>
      </c>
      <c r="S4512">
        <v>35</v>
      </c>
      <c r="T4512" s="43" t="str">
        <f t="shared" si="214"/>
        <v>2019.005G.zip</v>
      </c>
      <c r="U4512" s="43" t="str">
        <f>HYPERLINK("https://ictv.global/taxonomy/taxondetails?taxnode_id=202204070","ictv.global=202204070")</f>
        <v>ictv.global=202204070</v>
      </c>
    </row>
    <row r="4513" spans="1:21">
      <c r="A4513">
        <v>4512</v>
      </c>
      <c r="B4513" s="29" t="s">
        <v>4053</v>
      </c>
      <c r="C4513" s="29"/>
      <c r="D4513" s="29" t="s">
        <v>4082</v>
      </c>
      <c r="E4513" s="29"/>
      <c r="F4513" s="29" t="s">
        <v>4083</v>
      </c>
      <c r="G4513" s="29"/>
      <c r="H4513" s="29" t="s">
        <v>4086</v>
      </c>
      <c r="I4513" s="29"/>
      <c r="J4513" s="29" t="s">
        <v>4088</v>
      </c>
      <c r="K4513" s="29"/>
      <c r="L4513" s="29" t="s">
        <v>638</v>
      </c>
      <c r="M4513" s="29" t="s">
        <v>2930</v>
      </c>
      <c r="N4513" s="29" t="s">
        <v>711</v>
      </c>
      <c r="O4513" s="29"/>
      <c r="P4513" s="29" t="s">
        <v>1913</v>
      </c>
      <c r="Q4513" t="s">
        <v>2041</v>
      </c>
      <c r="R4513" t="s">
        <v>2634</v>
      </c>
      <c r="S4513">
        <v>35</v>
      </c>
      <c r="T4513" s="43" t="str">
        <f t="shared" si="214"/>
        <v>2019.005G.zip</v>
      </c>
      <c r="U4513" s="43" t="str">
        <f>HYPERLINK("https://ictv.global/taxonomy/taxondetails?taxnode_id=202204071","ictv.global=202204071")</f>
        <v>ictv.global=202204071</v>
      </c>
    </row>
    <row r="4514" spans="1:21">
      <c r="A4514">
        <v>4513</v>
      </c>
      <c r="B4514" s="29" t="s">
        <v>4053</v>
      </c>
      <c r="C4514" s="29"/>
      <c r="D4514" s="29" t="s">
        <v>4082</v>
      </c>
      <c r="E4514" s="29"/>
      <c r="F4514" s="29" t="s">
        <v>4083</v>
      </c>
      <c r="G4514" s="29"/>
      <c r="H4514" s="29" t="s">
        <v>4086</v>
      </c>
      <c r="I4514" s="29"/>
      <c r="J4514" s="29" t="s">
        <v>4088</v>
      </c>
      <c r="K4514" s="29"/>
      <c r="L4514" s="29" t="s">
        <v>638</v>
      </c>
      <c r="M4514" s="29" t="s">
        <v>2930</v>
      </c>
      <c r="N4514" s="29" t="s">
        <v>711</v>
      </c>
      <c r="O4514" s="29"/>
      <c r="P4514" s="29" t="s">
        <v>1914</v>
      </c>
      <c r="Q4514" t="s">
        <v>2041</v>
      </c>
      <c r="R4514" t="s">
        <v>2634</v>
      </c>
      <c r="S4514">
        <v>35</v>
      </c>
      <c r="T4514" s="43" t="str">
        <f t="shared" si="214"/>
        <v>2019.005G.zip</v>
      </c>
      <c r="U4514" s="43" t="str">
        <f>HYPERLINK("https://ictv.global/taxonomy/taxondetails?taxnode_id=202204072","ictv.global=202204072")</f>
        <v>ictv.global=202204072</v>
      </c>
    </row>
    <row r="4515" spans="1:21">
      <c r="A4515">
        <v>4514</v>
      </c>
      <c r="B4515" s="29" t="s">
        <v>4053</v>
      </c>
      <c r="C4515" s="29"/>
      <c r="D4515" s="29" t="s">
        <v>4082</v>
      </c>
      <c r="E4515" s="29"/>
      <c r="F4515" s="29" t="s">
        <v>4083</v>
      </c>
      <c r="G4515" s="29"/>
      <c r="H4515" s="29" t="s">
        <v>4086</v>
      </c>
      <c r="I4515" s="29"/>
      <c r="J4515" s="29" t="s">
        <v>4088</v>
      </c>
      <c r="K4515" s="29"/>
      <c r="L4515" s="29" t="s">
        <v>638</v>
      </c>
      <c r="M4515" s="29" t="s">
        <v>2930</v>
      </c>
      <c r="N4515" s="29" t="s">
        <v>711</v>
      </c>
      <c r="O4515" s="29"/>
      <c r="P4515" s="29" t="s">
        <v>1915</v>
      </c>
      <c r="Q4515" t="s">
        <v>2041</v>
      </c>
      <c r="R4515" t="s">
        <v>2634</v>
      </c>
      <c r="S4515">
        <v>35</v>
      </c>
      <c r="T4515" s="43" t="str">
        <f t="shared" si="214"/>
        <v>2019.005G.zip</v>
      </c>
      <c r="U4515" s="43" t="str">
        <f>HYPERLINK("https://ictv.global/taxonomy/taxondetails?taxnode_id=202204073","ictv.global=202204073")</f>
        <v>ictv.global=202204073</v>
      </c>
    </row>
    <row r="4516" spans="1:21">
      <c r="A4516">
        <v>4515</v>
      </c>
      <c r="B4516" s="29" t="s">
        <v>4053</v>
      </c>
      <c r="C4516" s="29"/>
      <c r="D4516" s="29" t="s">
        <v>4082</v>
      </c>
      <c r="E4516" s="29"/>
      <c r="F4516" s="29" t="s">
        <v>4083</v>
      </c>
      <c r="G4516" s="29"/>
      <c r="H4516" s="29" t="s">
        <v>4086</v>
      </c>
      <c r="I4516" s="29"/>
      <c r="J4516" s="29" t="s">
        <v>4088</v>
      </c>
      <c r="K4516" s="29"/>
      <c r="L4516" s="29" t="s">
        <v>638</v>
      </c>
      <c r="M4516" s="29" t="s">
        <v>2930</v>
      </c>
      <c r="N4516" s="29" t="s">
        <v>711</v>
      </c>
      <c r="O4516" s="29"/>
      <c r="P4516" s="29" t="s">
        <v>1916</v>
      </c>
      <c r="Q4516" t="s">
        <v>2041</v>
      </c>
      <c r="R4516" t="s">
        <v>2634</v>
      </c>
      <c r="S4516">
        <v>35</v>
      </c>
      <c r="T4516" s="43" t="str">
        <f t="shared" si="214"/>
        <v>2019.005G.zip</v>
      </c>
      <c r="U4516" s="43" t="str">
        <f>HYPERLINK("https://ictv.global/taxonomy/taxondetails?taxnode_id=202204074","ictv.global=202204074")</f>
        <v>ictv.global=202204074</v>
      </c>
    </row>
    <row r="4517" spans="1:21">
      <c r="A4517">
        <v>4516</v>
      </c>
      <c r="B4517" s="29" t="s">
        <v>4053</v>
      </c>
      <c r="C4517" s="29"/>
      <c r="D4517" s="29" t="s">
        <v>4082</v>
      </c>
      <c r="E4517" s="29"/>
      <c r="F4517" s="29" t="s">
        <v>4083</v>
      </c>
      <c r="G4517" s="29"/>
      <c r="H4517" s="29" t="s">
        <v>4086</v>
      </c>
      <c r="I4517" s="29"/>
      <c r="J4517" s="29" t="s">
        <v>4088</v>
      </c>
      <c r="K4517" s="29"/>
      <c r="L4517" s="29" t="s">
        <v>638</v>
      </c>
      <c r="M4517" s="29" t="s">
        <v>2930</v>
      </c>
      <c r="N4517" s="29" t="s">
        <v>711</v>
      </c>
      <c r="O4517" s="29"/>
      <c r="P4517" s="29" t="s">
        <v>2288</v>
      </c>
      <c r="Q4517" t="s">
        <v>2041</v>
      </c>
      <c r="R4517" t="s">
        <v>2634</v>
      </c>
      <c r="S4517">
        <v>35</v>
      </c>
      <c r="T4517" s="43" t="str">
        <f t="shared" si="214"/>
        <v>2019.005G.zip</v>
      </c>
      <c r="U4517" s="43" t="str">
        <f>HYPERLINK("https://ictv.global/taxonomy/taxondetails?taxnode_id=202204075","ictv.global=202204075")</f>
        <v>ictv.global=202204075</v>
      </c>
    </row>
    <row r="4518" spans="1:21">
      <c r="A4518">
        <v>4517</v>
      </c>
      <c r="B4518" s="29" t="s">
        <v>4053</v>
      </c>
      <c r="C4518" s="29"/>
      <c r="D4518" s="29" t="s">
        <v>4082</v>
      </c>
      <c r="E4518" s="29"/>
      <c r="F4518" s="29" t="s">
        <v>4083</v>
      </c>
      <c r="G4518" s="29"/>
      <c r="H4518" s="29" t="s">
        <v>4086</v>
      </c>
      <c r="I4518" s="29"/>
      <c r="J4518" s="29" t="s">
        <v>4088</v>
      </c>
      <c r="K4518" s="29"/>
      <c r="L4518" s="29" t="s">
        <v>638</v>
      </c>
      <c r="M4518" s="29" t="s">
        <v>2930</v>
      </c>
      <c r="N4518" s="29" t="s">
        <v>711</v>
      </c>
      <c r="O4518" s="29"/>
      <c r="P4518" s="29" t="s">
        <v>2289</v>
      </c>
      <c r="Q4518" t="s">
        <v>2041</v>
      </c>
      <c r="R4518" t="s">
        <v>2634</v>
      </c>
      <c r="S4518">
        <v>35</v>
      </c>
      <c r="T4518" s="43" t="str">
        <f t="shared" si="214"/>
        <v>2019.005G.zip</v>
      </c>
      <c r="U4518" s="43" t="str">
        <f>HYPERLINK("https://ictv.global/taxonomy/taxondetails?taxnode_id=202204076","ictv.global=202204076")</f>
        <v>ictv.global=202204076</v>
      </c>
    </row>
    <row r="4519" spans="1:21">
      <c r="A4519">
        <v>4518</v>
      </c>
      <c r="B4519" s="29" t="s">
        <v>4053</v>
      </c>
      <c r="C4519" s="29"/>
      <c r="D4519" s="29" t="s">
        <v>4082</v>
      </c>
      <c r="E4519" s="29"/>
      <c r="F4519" s="29" t="s">
        <v>4083</v>
      </c>
      <c r="G4519" s="29"/>
      <c r="H4519" s="29" t="s">
        <v>4086</v>
      </c>
      <c r="I4519" s="29"/>
      <c r="J4519" s="29" t="s">
        <v>4088</v>
      </c>
      <c r="K4519" s="29"/>
      <c r="L4519" s="29" t="s">
        <v>638</v>
      </c>
      <c r="M4519" s="29" t="s">
        <v>2930</v>
      </c>
      <c r="N4519" s="29" t="s">
        <v>711</v>
      </c>
      <c r="O4519" s="29"/>
      <c r="P4519" s="29" t="s">
        <v>2290</v>
      </c>
      <c r="Q4519" t="s">
        <v>2041</v>
      </c>
      <c r="R4519" t="s">
        <v>2634</v>
      </c>
      <c r="S4519">
        <v>35</v>
      </c>
      <c r="T4519" s="43" t="str">
        <f t="shared" si="214"/>
        <v>2019.005G.zip</v>
      </c>
      <c r="U4519" s="43" t="str">
        <f>HYPERLINK("https://ictv.global/taxonomy/taxondetails?taxnode_id=202204077","ictv.global=202204077")</f>
        <v>ictv.global=202204077</v>
      </c>
    </row>
    <row r="4520" spans="1:21">
      <c r="A4520">
        <v>4519</v>
      </c>
      <c r="B4520" s="29" t="s">
        <v>4053</v>
      </c>
      <c r="C4520" s="29"/>
      <c r="D4520" s="29" t="s">
        <v>4082</v>
      </c>
      <c r="E4520" s="29"/>
      <c r="F4520" s="29" t="s">
        <v>4083</v>
      </c>
      <c r="G4520" s="29"/>
      <c r="H4520" s="29" t="s">
        <v>4086</v>
      </c>
      <c r="I4520" s="29"/>
      <c r="J4520" s="29" t="s">
        <v>4088</v>
      </c>
      <c r="K4520" s="29"/>
      <c r="L4520" s="29" t="s">
        <v>638</v>
      </c>
      <c r="M4520" s="29" t="s">
        <v>2930</v>
      </c>
      <c r="N4520" s="29" t="s">
        <v>711</v>
      </c>
      <c r="O4520" s="29"/>
      <c r="P4520" s="29" t="s">
        <v>2291</v>
      </c>
      <c r="Q4520" t="s">
        <v>2041</v>
      </c>
      <c r="R4520" t="s">
        <v>2634</v>
      </c>
      <c r="S4520">
        <v>35</v>
      </c>
      <c r="T4520" s="43" t="str">
        <f t="shared" si="214"/>
        <v>2019.005G.zip</v>
      </c>
      <c r="U4520" s="43" t="str">
        <f>HYPERLINK("https://ictv.global/taxonomy/taxondetails?taxnode_id=202204078","ictv.global=202204078")</f>
        <v>ictv.global=202204078</v>
      </c>
    </row>
    <row r="4521" spans="1:21">
      <c r="A4521">
        <v>4520</v>
      </c>
      <c r="B4521" s="29" t="s">
        <v>4053</v>
      </c>
      <c r="C4521" s="29"/>
      <c r="D4521" s="29" t="s">
        <v>4082</v>
      </c>
      <c r="E4521" s="29"/>
      <c r="F4521" s="29" t="s">
        <v>4083</v>
      </c>
      <c r="G4521" s="29"/>
      <c r="H4521" s="29" t="s">
        <v>4086</v>
      </c>
      <c r="I4521" s="29"/>
      <c r="J4521" s="29" t="s">
        <v>4088</v>
      </c>
      <c r="K4521" s="29"/>
      <c r="L4521" s="29" t="s">
        <v>638</v>
      </c>
      <c r="M4521" s="29" t="s">
        <v>2930</v>
      </c>
      <c r="N4521" s="29" t="s">
        <v>711</v>
      </c>
      <c r="O4521" s="29"/>
      <c r="P4521" s="29" t="s">
        <v>2292</v>
      </c>
      <c r="Q4521" t="s">
        <v>2041</v>
      </c>
      <c r="R4521" t="s">
        <v>2634</v>
      </c>
      <c r="S4521">
        <v>35</v>
      </c>
      <c r="T4521" s="43" t="str">
        <f t="shared" si="214"/>
        <v>2019.005G.zip</v>
      </c>
      <c r="U4521" s="43" t="str">
        <f>HYPERLINK("https://ictv.global/taxonomy/taxondetails?taxnode_id=202204079","ictv.global=202204079")</f>
        <v>ictv.global=202204079</v>
      </c>
    </row>
    <row r="4522" spans="1:21">
      <c r="A4522">
        <v>4521</v>
      </c>
      <c r="B4522" s="29" t="s">
        <v>4053</v>
      </c>
      <c r="C4522" s="29"/>
      <c r="D4522" s="29" t="s">
        <v>4082</v>
      </c>
      <c r="E4522" s="29"/>
      <c r="F4522" s="29" t="s">
        <v>4083</v>
      </c>
      <c r="G4522" s="29"/>
      <c r="H4522" s="29" t="s">
        <v>4086</v>
      </c>
      <c r="I4522" s="29"/>
      <c r="J4522" s="29" t="s">
        <v>4088</v>
      </c>
      <c r="K4522" s="29"/>
      <c r="L4522" s="29" t="s">
        <v>638</v>
      </c>
      <c r="M4522" s="29" t="s">
        <v>2930</v>
      </c>
      <c r="N4522" s="29" t="s">
        <v>711</v>
      </c>
      <c r="O4522" s="29"/>
      <c r="P4522" s="29" t="s">
        <v>2293</v>
      </c>
      <c r="Q4522" t="s">
        <v>2041</v>
      </c>
      <c r="R4522" t="s">
        <v>2634</v>
      </c>
      <c r="S4522">
        <v>35</v>
      </c>
      <c r="T4522" s="43" t="str">
        <f t="shared" si="214"/>
        <v>2019.005G.zip</v>
      </c>
      <c r="U4522" s="43" t="str">
        <f>HYPERLINK("https://ictv.global/taxonomy/taxondetails?taxnode_id=202204080","ictv.global=202204080")</f>
        <v>ictv.global=202204080</v>
      </c>
    </row>
    <row r="4523" spans="1:21">
      <c r="A4523">
        <v>4522</v>
      </c>
      <c r="B4523" s="29" t="s">
        <v>4053</v>
      </c>
      <c r="C4523" s="29"/>
      <c r="D4523" s="29" t="s">
        <v>4082</v>
      </c>
      <c r="E4523" s="29"/>
      <c r="F4523" s="29" t="s">
        <v>4083</v>
      </c>
      <c r="G4523" s="29"/>
      <c r="H4523" s="29" t="s">
        <v>4086</v>
      </c>
      <c r="I4523" s="29"/>
      <c r="J4523" s="29" t="s">
        <v>4088</v>
      </c>
      <c r="K4523" s="29"/>
      <c r="L4523" s="29" t="s">
        <v>638</v>
      </c>
      <c r="M4523" s="29" t="s">
        <v>2930</v>
      </c>
      <c r="N4523" s="29" t="s">
        <v>711</v>
      </c>
      <c r="O4523" s="29"/>
      <c r="P4523" s="29" t="s">
        <v>2937</v>
      </c>
      <c r="Q4523" t="s">
        <v>2041</v>
      </c>
      <c r="R4523" t="s">
        <v>2634</v>
      </c>
      <c r="S4523">
        <v>35</v>
      </c>
      <c r="T4523" s="43" t="str">
        <f t="shared" si="214"/>
        <v>2019.005G.zip</v>
      </c>
      <c r="U4523" s="43" t="str">
        <f>HYPERLINK("https://ictv.global/taxonomy/taxondetails?taxnode_id=202205870","ictv.global=202205870")</f>
        <v>ictv.global=202205870</v>
      </c>
    </row>
    <row r="4524" spans="1:21">
      <c r="A4524">
        <v>4523</v>
      </c>
      <c r="B4524" s="29" t="s">
        <v>4053</v>
      </c>
      <c r="C4524" s="29"/>
      <c r="D4524" s="29" t="s">
        <v>4082</v>
      </c>
      <c r="E4524" s="29"/>
      <c r="F4524" s="29" t="s">
        <v>4083</v>
      </c>
      <c r="G4524" s="29"/>
      <c r="H4524" s="29" t="s">
        <v>4086</v>
      </c>
      <c r="I4524" s="29"/>
      <c r="J4524" s="29" t="s">
        <v>4088</v>
      </c>
      <c r="K4524" s="29"/>
      <c r="L4524" s="29" t="s">
        <v>638</v>
      </c>
      <c r="M4524" s="29" t="s">
        <v>2930</v>
      </c>
      <c r="N4524" s="29" t="s">
        <v>788</v>
      </c>
      <c r="O4524" s="29"/>
      <c r="P4524" s="29" t="s">
        <v>116</v>
      </c>
      <c r="Q4524" t="s">
        <v>2041</v>
      </c>
      <c r="R4524" t="s">
        <v>6901</v>
      </c>
      <c r="S4524">
        <v>36</v>
      </c>
      <c r="T4524" s="43" t="str">
        <f>HYPERLINK("https://ictv.global/ictv/proposals/2020.001G.R.Abolish_type_species.pdf","2020.001G.R.Abolish_type_species.pdf")</f>
        <v>2020.001G.R.Abolish_type_species.pdf</v>
      </c>
      <c r="U4524" s="43" t="str">
        <f>HYPERLINK("https://ictv.global/taxonomy/taxondetails?taxnode_id=202204082","ictv.global=202204082")</f>
        <v>ictv.global=202204082</v>
      </c>
    </row>
    <row r="4525" spans="1:21">
      <c r="A4525">
        <v>4524</v>
      </c>
      <c r="B4525" s="29" t="s">
        <v>4053</v>
      </c>
      <c r="C4525" s="29"/>
      <c r="D4525" s="29" t="s">
        <v>4082</v>
      </c>
      <c r="E4525" s="29"/>
      <c r="F4525" s="29" t="s">
        <v>4083</v>
      </c>
      <c r="G4525" s="29"/>
      <c r="H4525" s="29" t="s">
        <v>4086</v>
      </c>
      <c r="I4525" s="29"/>
      <c r="J4525" s="29" t="s">
        <v>4088</v>
      </c>
      <c r="K4525" s="29"/>
      <c r="L4525" s="29" t="s">
        <v>638</v>
      </c>
      <c r="M4525" s="29" t="s">
        <v>2930</v>
      </c>
      <c r="N4525" s="29" t="s">
        <v>788</v>
      </c>
      <c r="O4525" s="29"/>
      <c r="P4525" s="29" t="s">
        <v>2938</v>
      </c>
      <c r="Q4525" t="s">
        <v>2041</v>
      </c>
      <c r="R4525" t="s">
        <v>2634</v>
      </c>
      <c r="S4525">
        <v>35</v>
      </c>
      <c r="T4525" s="43" t="str">
        <f>HYPERLINK("https://ictv.global/ictv/proposals/2019.005G.zip","2019.005G.zip")</f>
        <v>2019.005G.zip</v>
      </c>
      <c r="U4525" s="43" t="str">
        <f>HYPERLINK("https://ictv.global/taxonomy/taxondetails?taxnode_id=202205871","ictv.global=202205871")</f>
        <v>ictv.global=202205871</v>
      </c>
    </row>
    <row r="4526" spans="1:21">
      <c r="A4526">
        <v>4525</v>
      </c>
      <c r="B4526" s="29" t="s">
        <v>4053</v>
      </c>
      <c r="C4526" s="29"/>
      <c r="D4526" s="29" t="s">
        <v>4082</v>
      </c>
      <c r="E4526" s="29"/>
      <c r="F4526" s="29" t="s">
        <v>4083</v>
      </c>
      <c r="G4526" s="29"/>
      <c r="H4526" s="29" t="s">
        <v>4086</v>
      </c>
      <c r="I4526" s="29"/>
      <c r="J4526" s="29" t="s">
        <v>4088</v>
      </c>
      <c r="K4526" s="29"/>
      <c r="L4526" s="29" t="s">
        <v>638</v>
      </c>
      <c r="M4526" s="29" t="s">
        <v>2930</v>
      </c>
      <c r="N4526" s="29" t="s">
        <v>852</v>
      </c>
      <c r="O4526" s="29"/>
      <c r="P4526" s="29" t="s">
        <v>117</v>
      </c>
      <c r="Q4526" t="s">
        <v>2041</v>
      </c>
      <c r="R4526" t="s">
        <v>2634</v>
      </c>
      <c r="S4526">
        <v>35</v>
      </c>
      <c r="T4526" s="43" t="str">
        <f>HYPERLINK("https://ictv.global/ictv/proposals/2019.005G.zip","2019.005G.zip")</f>
        <v>2019.005G.zip</v>
      </c>
      <c r="U4526" s="43" t="str">
        <f>HYPERLINK("https://ictv.global/taxonomy/taxondetails?taxnode_id=202204084","ictv.global=202204084")</f>
        <v>ictv.global=202204084</v>
      </c>
    </row>
    <row r="4527" spans="1:21">
      <c r="A4527">
        <v>4526</v>
      </c>
      <c r="B4527" s="29" t="s">
        <v>4053</v>
      </c>
      <c r="C4527" s="29"/>
      <c r="D4527" s="29" t="s">
        <v>4082</v>
      </c>
      <c r="E4527" s="29"/>
      <c r="F4527" s="29" t="s">
        <v>4083</v>
      </c>
      <c r="G4527" s="29"/>
      <c r="H4527" s="29" t="s">
        <v>4086</v>
      </c>
      <c r="I4527" s="29"/>
      <c r="J4527" s="29" t="s">
        <v>4088</v>
      </c>
      <c r="K4527" s="29"/>
      <c r="L4527" s="29" t="s">
        <v>638</v>
      </c>
      <c r="M4527" s="29" t="s">
        <v>2930</v>
      </c>
      <c r="N4527" s="29" t="s">
        <v>852</v>
      </c>
      <c r="O4527" s="29"/>
      <c r="P4527" s="29" t="s">
        <v>118</v>
      </c>
      <c r="Q4527" t="s">
        <v>2041</v>
      </c>
      <c r="R4527" t="s">
        <v>6901</v>
      </c>
      <c r="S4527">
        <v>36</v>
      </c>
      <c r="T4527" s="43" t="str">
        <f>HYPERLINK("https://ictv.global/ictv/proposals/2020.001G.R.Abolish_type_species.pdf","2020.001G.R.Abolish_type_species.pdf")</f>
        <v>2020.001G.R.Abolish_type_species.pdf</v>
      </c>
      <c r="U4527" s="43" t="str">
        <f>HYPERLINK("https://ictv.global/taxonomy/taxondetails?taxnode_id=202204085","ictv.global=202204085")</f>
        <v>ictv.global=202204085</v>
      </c>
    </row>
    <row r="4528" spans="1:21">
      <c r="A4528">
        <v>4527</v>
      </c>
      <c r="B4528" s="29" t="s">
        <v>4053</v>
      </c>
      <c r="C4528" s="29"/>
      <c r="D4528" s="29" t="s">
        <v>4082</v>
      </c>
      <c r="E4528" s="29"/>
      <c r="F4528" s="29" t="s">
        <v>4083</v>
      </c>
      <c r="G4528" s="29"/>
      <c r="H4528" s="29" t="s">
        <v>4086</v>
      </c>
      <c r="I4528" s="29"/>
      <c r="J4528" s="29" t="s">
        <v>4088</v>
      </c>
      <c r="K4528" s="29"/>
      <c r="L4528" s="29" t="s">
        <v>638</v>
      </c>
      <c r="M4528" s="29" t="s">
        <v>2930</v>
      </c>
      <c r="N4528" s="29" t="s">
        <v>853</v>
      </c>
      <c r="O4528" s="29"/>
      <c r="P4528" s="29" t="s">
        <v>119</v>
      </c>
      <c r="Q4528" t="s">
        <v>2041</v>
      </c>
      <c r="R4528" t="s">
        <v>2634</v>
      </c>
      <c r="S4528">
        <v>35</v>
      </c>
      <c r="T4528" s="43" t="str">
        <f>HYPERLINK("https://ictv.global/ictv/proposals/2019.005G.zip","2019.005G.zip")</f>
        <v>2019.005G.zip</v>
      </c>
      <c r="U4528" s="43" t="str">
        <f>HYPERLINK("https://ictv.global/taxonomy/taxondetails?taxnode_id=202204087","ictv.global=202204087")</f>
        <v>ictv.global=202204087</v>
      </c>
    </row>
    <row r="4529" spans="1:21">
      <c r="A4529">
        <v>4528</v>
      </c>
      <c r="B4529" s="29" t="s">
        <v>4053</v>
      </c>
      <c r="C4529" s="29"/>
      <c r="D4529" s="29" t="s">
        <v>4082</v>
      </c>
      <c r="E4529" s="29"/>
      <c r="F4529" s="29" t="s">
        <v>4083</v>
      </c>
      <c r="G4529" s="29"/>
      <c r="H4529" s="29" t="s">
        <v>4086</v>
      </c>
      <c r="I4529" s="29"/>
      <c r="J4529" s="29" t="s">
        <v>4088</v>
      </c>
      <c r="K4529" s="29"/>
      <c r="L4529" s="29" t="s">
        <v>638</v>
      </c>
      <c r="M4529" s="29" t="s">
        <v>2930</v>
      </c>
      <c r="N4529" s="29" t="s">
        <v>853</v>
      </c>
      <c r="O4529" s="29"/>
      <c r="P4529" s="29" t="s">
        <v>120</v>
      </c>
      <c r="Q4529" t="s">
        <v>2041</v>
      </c>
      <c r="R4529" t="s">
        <v>6901</v>
      </c>
      <c r="S4529">
        <v>36</v>
      </c>
      <c r="T4529" s="43" t="str">
        <f>HYPERLINK("https://ictv.global/ictv/proposals/2020.001G.R.Abolish_type_species.pdf","2020.001G.R.Abolish_type_species.pdf")</f>
        <v>2020.001G.R.Abolish_type_species.pdf</v>
      </c>
      <c r="U4529" s="43" t="str">
        <f>HYPERLINK("https://ictv.global/taxonomy/taxondetails?taxnode_id=202204088","ictv.global=202204088")</f>
        <v>ictv.global=202204088</v>
      </c>
    </row>
    <row r="4530" spans="1:21">
      <c r="A4530">
        <v>4529</v>
      </c>
      <c r="B4530" s="29" t="s">
        <v>4053</v>
      </c>
      <c r="C4530" s="29"/>
      <c r="D4530" s="29" t="s">
        <v>4082</v>
      </c>
      <c r="E4530" s="29"/>
      <c r="F4530" s="29" t="s">
        <v>4083</v>
      </c>
      <c r="G4530" s="29"/>
      <c r="H4530" s="29" t="s">
        <v>4086</v>
      </c>
      <c r="I4530" s="29"/>
      <c r="J4530" s="29" t="s">
        <v>4088</v>
      </c>
      <c r="K4530" s="29"/>
      <c r="L4530" s="29" t="s">
        <v>638</v>
      </c>
      <c r="M4530" s="29" t="s">
        <v>2930</v>
      </c>
      <c r="N4530" s="29" t="s">
        <v>853</v>
      </c>
      <c r="O4530" s="29"/>
      <c r="P4530" s="29" t="s">
        <v>121</v>
      </c>
      <c r="Q4530" t="s">
        <v>2041</v>
      </c>
      <c r="R4530" t="s">
        <v>2634</v>
      </c>
      <c r="S4530">
        <v>35</v>
      </c>
      <c r="T4530" s="43" t="str">
        <f>HYPERLINK("https://ictv.global/ictv/proposals/2019.005G.zip","2019.005G.zip")</f>
        <v>2019.005G.zip</v>
      </c>
      <c r="U4530" s="43" t="str">
        <f>HYPERLINK("https://ictv.global/taxonomy/taxondetails?taxnode_id=202204089","ictv.global=202204089")</f>
        <v>ictv.global=202204089</v>
      </c>
    </row>
    <row r="4531" spans="1:21">
      <c r="A4531">
        <v>4530</v>
      </c>
      <c r="B4531" s="29" t="s">
        <v>4053</v>
      </c>
      <c r="C4531" s="29"/>
      <c r="D4531" s="29" t="s">
        <v>4082</v>
      </c>
      <c r="E4531" s="29"/>
      <c r="F4531" s="29" t="s">
        <v>4083</v>
      </c>
      <c r="G4531" s="29"/>
      <c r="H4531" s="29" t="s">
        <v>4086</v>
      </c>
      <c r="I4531" s="29"/>
      <c r="J4531" s="29" t="s">
        <v>4088</v>
      </c>
      <c r="K4531" s="29"/>
      <c r="L4531" s="29" t="s">
        <v>638</v>
      </c>
      <c r="M4531" s="29" t="s">
        <v>2930</v>
      </c>
      <c r="N4531" s="29" t="s">
        <v>853</v>
      </c>
      <c r="O4531" s="29"/>
      <c r="P4531" s="29" t="s">
        <v>122</v>
      </c>
      <c r="Q4531" t="s">
        <v>2041</v>
      </c>
      <c r="R4531" t="s">
        <v>2634</v>
      </c>
      <c r="S4531">
        <v>35</v>
      </c>
      <c r="T4531" s="43" t="str">
        <f>HYPERLINK("https://ictv.global/ictv/proposals/2019.005G.zip","2019.005G.zip")</f>
        <v>2019.005G.zip</v>
      </c>
      <c r="U4531" s="43" t="str">
        <f>HYPERLINK("https://ictv.global/taxonomy/taxondetails?taxnode_id=202204090","ictv.global=202204090")</f>
        <v>ictv.global=202204090</v>
      </c>
    </row>
    <row r="4532" spans="1:21">
      <c r="A4532">
        <v>4531</v>
      </c>
      <c r="B4532" s="29" t="s">
        <v>4053</v>
      </c>
      <c r="C4532" s="29"/>
      <c r="D4532" s="29" t="s">
        <v>4082</v>
      </c>
      <c r="E4532" s="29"/>
      <c r="F4532" s="29" t="s">
        <v>4083</v>
      </c>
      <c r="G4532" s="29"/>
      <c r="H4532" s="29" t="s">
        <v>4086</v>
      </c>
      <c r="I4532" s="29"/>
      <c r="J4532" s="29" t="s">
        <v>4088</v>
      </c>
      <c r="K4532" s="29"/>
      <c r="L4532" s="29" t="s">
        <v>638</v>
      </c>
      <c r="M4532" s="29" t="s">
        <v>2930</v>
      </c>
      <c r="N4532" s="29" t="s">
        <v>853</v>
      </c>
      <c r="O4532" s="29"/>
      <c r="P4532" s="29" t="s">
        <v>1917</v>
      </c>
      <c r="Q4532" t="s">
        <v>2041</v>
      </c>
      <c r="R4532" t="s">
        <v>2634</v>
      </c>
      <c r="S4532">
        <v>35</v>
      </c>
      <c r="T4532" s="43" t="str">
        <f>HYPERLINK("https://ictv.global/ictv/proposals/2019.005G.zip","2019.005G.zip")</f>
        <v>2019.005G.zip</v>
      </c>
      <c r="U4532" s="43" t="str">
        <f>HYPERLINK("https://ictv.global/taxonomy/taxondetails?taxnode_id=202204091","ictv.global=202204091")</f>
        <v>ictv.global=202204091</v>
      </c>
    </row>
    <row r="4533" spans="1:21">
      <c r="A4533">
        <v>4532</v>
      </c>
      <c r="B4533" s="29" t="s">
        <v>4053</v>
      </c>
      <c r="C4533" s="29"/>
      <c r="D4533" s="29" t="s">
        <v>4082</v>
      </c>
      <c r="E4533" s="29"/>
      <c r="F4533" s="29" t="s">
        <v>4083</v>
      </c>
      <c r="G4533" s="29"/>
      <c r="H4533" s="29" t="s">
        <v>4086</v>
      </c>
      <c r="I4533" s="29"/>
      <c r="J4533" s="29" t="s">
        <v>4088</v>
      </c>
      <c r="K4533" s="29"/>
      <c r="L4533" s="29" t="s">
        <v>638</v>
      </c>
      <c r="M4533" s="29" t="s">
        <v>2930</v>
      </c>
      <c r="N4533" s="29" t="s">
        <v>854</v>
      </c>
      <c r="O4533" s="29"/>
      <c r="P4533" s="29" t="s">
        <v>123</v>
      </c>
      <c r="Q4533" t="s">
        <v>2041</v>
      </c>
      <c r="R4533" t="s">
        <v>6901</v>
      </c>
      <c r="S4533">
        <v>36</v>
      </c>
      <c r="T4533" s="43" t="str">
        <f>HYPERLINK("https://ictv.global/ictv/proposals/2020.001G.R.Abolish_type_species.pdf","2020.001G.R.Abolish_type_species.pdf")</f>
        <v>2020.001G.R.Abolish_type_species.pdf</v>
      </c>
      <c r="U4533" s="43" t="str">
        <f>HYPERLINK("https://ictv.global/taxonomy/taxondetails?taxnode_id=202204093","ictv.global=202204093")</f>
        <v>ictv.global=202204093</v>
      </c>
    </row>
    <row r="4534" spans="1:21">
      <c r="A4534">
        <v>4533</v>
      </c>
      <c r="B4534" s="29" t="s">
        <v>4053</v>
      </c>
      <c r="C4534" s="29"/>
      <c r="D4534" s="29" t="s">
        <v>4082</v>
      </c>
      <c r="E4534" s="29"/>
      <c r="F4534" s="29" t="s">
        <v>4083</v>
      </c>
      <c r="G4534" s="29"/>
      <c r="H4534" s="29" t="s">
        <v>4086</v>
      </c>
      <c r="I4534" s="29"/>
      <c r="J4534" s="29" t="s">
        <v>4088</v>
      </c>
      <c r="K4534" s="29"/>
      <c r="L4534" s="29" t="s">
        <v>638</v>
      </c>
      <c r="M4534" s="29" t="s">
        <v>2930</v>
      </c>
      <c r="N4534" s="29" t="s">
        <v>854</v>
      </c>
      <c r="O4534" s="29"/>
      <c r="P4534" s="29" t="s">
        <v>124</v>
      </c>
      <c r="Q4534" t="s">
        <v>2041</v>
      </c>
      <c r="R4534" t="s">
        <v>6901</v>
      </c>
      <c r="S4534">
        <v>36</v>
      </c>
      <c r="T4534" s="43" t="str">
        <f>HYPERLINK("https://ictv.global/ictv/proposals/2020.001G.R.Abolish_type_species.pdf","2020.001G.R.Abolish_type_species.pdf")</f>
        <v>2020.001G.R.Abolish_type_species.pdf</v>
      </c>
      <c r="U4534" s="43" t="str">
        <f>HYPERLINK("https://ictv.global/taxonomy/taxondetails?taxnode_id=202204094","ictv.global=202204094")</f>
        <v>ictv.global=202204094</v>
      </c>
    </row>
    <row r="4535" spans="1:21">
      <c r="A4535">
        <v>4534</v>
      </c>
      <c r="B4535" s="29" t="s">
        <v>4053</v>
      </c>
      <c r="C4535" s="29"/>
      <c r="D4535" s="29" t="s">
        <v>4082</v>
      </c>
      <c r="E4535" s="29"/>
      <c r="F4535" s="29" t="s">
        <v>4083</v>
      </c>
      <c r="G4535" s="29"/>
      <c r="H4535" s="29" t="s">
        <v>4086</v>
      </c>
      <c r="I4535" s="29"/>
      <c r="J4535" s="29" t="s">
        <v>4088</v>
      </c>
      <c r="K4535" s="29"/>
      <c r="L4535" s="29" t="s">
        <v>638</v>
      </c>
      <c r="M4535" s="29" t="s">
        <v>2930</v>
      </c>
      <c r="N4535" s="29" t="s">
        <v>854</v>
      </c>
      <c r="O4535" s="29"/>
      <c r="P4535" s="29" t="s">
        <v>2294</v>
      </c>
      <c r="Q4535" t="s">
        <v>2041</v>
      </c>
      <c r="R4535" t="s">
        <v>2634</v>
      </c>
      <c r="S4535">
        <v>35</v>
      </c>
      <c r="T4535" s="43" t="str">
        <f>HYPERLINK("https://ictv.global/ictv/proposals/2019.005G.zip","2019.005G.zip")</f>
        <v>2019.005G.zip</v>
      </c>
      <c r="U4535" s="43" t="str">
        <f>HYPERLINK("https://ictv.global/taxonomy/taxondetails?taxnode_id=202204095","ictv.global=202204095")</f>
        <v>ictv.global=202204095</v>
      </c>
    </row>
    <row r="4536" spans="1:21">
      <c r="A4536">
        <v>4535</v>
      </c>
      <c r="B4536" s="29" t="s">
        <v>4053</v>
      </c>
      <c r="C4536" s="29"/>
      <c r="D4536" s="29" t="s">
        <v>4082</v>
      </c>
      <c r="E4536" s="29"/>
      <c r="F4536" s="29" t="s">
        <v>4083</v>
      </c>
      <c r="G4536" s="29"/>
      <c r="H4536" s="29" t="s">
        <v>4086</v>
      </c>
      <c r="I4536" s="29"/>
      <c r="J4536" s="29" t="s">
        <v>4088</v>
      </c>
      <c r="K4536" s="29"/>
      <c r="L4536" s="29" t="s">
        <v>638</v>
      </c>
      <c r="M4536" s="29" t="s">
        <v>2930</v>
      </c>
      <c r="N4536" s="29" t="s">
        <v>855</v>
      </c>
      <c r="O4536" s="29"/>
      <c r="P4536" s="29" t="s">
        <v>125</v>
      </c>
      <c r="Q4536" t="s">
        <v>2041</v>
      </c>
      <c r="R4536" t="s">
        <v>6901</v>
      </c>
      <c r="S4536">
        <v>36</v>
      </c>
      <c r="T4536" s="43" t="str">
        <f>HYPERLINK("https://ictv.global/ictv/proposals/2020.001G.R.Abolish_type_species.pdf","2020.001G.R.Abolish_type_species.pdf")</f>
        <v>2020.001G.R.Abolish_type_species.pdf</v>
      </c>
      <c r="U4536" s="43" t="str">
        <f>HYPERLINK("https://ictv.global/taxonomy/taxondetails?taxnode_id=202204097","ictv.global=202204097")</f>
        <v>ictv.global=202204097</v>
      </c>
    </row>
    <row r="4537" spans="1:21">
      <c r="A4537">
        <v>4536</v>
      </c>
      <c r="B4537" s="29" t="s">
        <v>4053</v>
      </c>
      <c r="C4537" s="29"/>
      <c r="D4537" s="29" t="s">
        <v>4082</v>
      </c>
      <c r="E4537" s="29"/>
      <c r="F4537" s="29" t="s">
        <v>4083</v>
      </c>
      <c r="G4537" s="29"/>
      <c r="H4537" s="29" t="s">
        <v>4086</v>
      </c>
      <c r="I4537" s="29"/>
      <c r="J4537" s="29" t="s">
        <v>4088</v>
      </c>
      <c r="K4537" s="29"/>
      <c r="L4537" s="29" t="s">
        <v>638</v>
      </c>
      <c r="M4537" s="29" t="s">
        <v>2930</v>
      </c>
      <c r="N4537" s="29" t="s">
        <v>126</v>
      </c>
      <c r="O4537" s="29"/>
      <c r="P4537" s="29" t="s">
        <v>127</v>
      </c>
      <c r="Q4537" t="s">
        <v>2041</v>
      </c>
      <c r="R4537" t="s">
        <v>6901</v>
      </c>
      <c r="S4537">
        <v>36</v>
      </c>
      <c r="T4537" s="43" t="str">
        <f>HYPERLINK("https://ictv.global/ictv/proposals/2020.001G.R.Abolish_type_species.pdf","2020.001G.R.Abolish_type_species.pdf")</f>
        <v>2020.001G.R.Abolish_type_species.pdf</v>
      </c>
      <c r="U4537" s="43" t="str">
        <f>HYPERLINK("https://ictv.global/taxonomy/taxondetails?taxnode_id=202204099","ictv.global=202204099")</f>
        <v>ictv.global=202204099</v>
      </c>
    </row>
    <row r="4538" spans="1:21">
      <c r="A4538">
        <v>4537</v>
      </c>
      <c r="B4538" s="29" t="s">
        <v>4053</v>
      </c>
      <c r="C4538" s="29"/>
      <c r="D4538" s="29" t="s">
        <v>4082</v>
      </c>
      <c r="E4538" s="29"/>
      <c r="F4538" s="29" t="s">
        <v>4083</v>
      </c>
      <c r="G4538" s="29"/>
      <c r="H4538" s="29" t="s">
        <v>4086</v>
      </c>
      <c r="I4538" s="29"/>
      <c r="J4538" s="29" t="s">
        <v>4088</v>
      </c>
      <c r="K4538" s="29"/>
      <c r="L4538" s="29" t="s">
        <v>638</v>
      </c>
      <c r="M4538" s="29" t="s">
        <v>2930</v>
      </c>
      <c r="N4538" s="29" t="s">
        <v>458</v>
      </c>
      <c r="O4538" s="29"/>
      <c r="P4538" s="29" t="s">
        <v>128</v>
      </c>
      <c r="Q4538" t="s">
        <v>2041</v>
      </c>
      <c r="R4538" t="s">
        <v>6901</v>
      </c>
      <c r="S4538">
        <v>36</v>
      </c>
      <c r="T4538" s="43" t="str">
        <f>HYPERLINK("https://ictv.global/ictv/proposals/2020.001G.R.Abolish_type_species.pdf","2020.001G.R.Abolish_type_species.pdf")</f>
        <v>2020.001G.R.Abolish_type_species.pdf</v>
      </c>
      <c r="U4538" s="43" t="str">
        <f>HYPERLINK("https://ictv.global/taxonomy/taxondetails?taxnode_id=202204101","ictv.global=202204101")</f>
        <v>ictv.global=202204101</v>
      </c>
    </row>
    <row r="4539" spans="1:21">
      <c r="A4539">
        <v>4538</v>
      </c>
      <c r="B4539" s="29" t="s">
        <v>4053</v>
      </c>
      <c r="C4539" s="29"/>
      <c r="D4539" s="29" t="s">
        <v>4082</v>
      </c>
      <c r="E4539" s="29"/>
      <c r="F4539" s="29" t="s">
        <v>4083</v>
      </c>
      <c r="G4539" s="29"/>
      <c r="H4539" s="29" t="s">
        <v>4086</v>
      </c>
      <c r="I4539" s="29"/>
      <c r="J4539" s="29" t="s">
        <v>4088</v>
      </c>
      <c r="K4539" s="29"/>
      <c r="L4539" s="29" t="s">
        <v>638</v>
      </c>
      <c r="M4539" s="29" t="s">
        <v>2930</v>
      </c>
      <c r="N4539" s="29" t="s">
        <v>129</v>
      </c>
      <c r="O4539" s="29"/>
      <c r="P4539" s="29" t="s">
        <v>130</v>
      </c>
      <c r="Q4539" t="s">
        <v>2041</v>
      </c>
      <c r="R4539" t="s">
        <v>6901</v>
      </c>
      <c r="S4539">
        <v>36</v>
      </c>
      <c r="T4539" s="43" t="str">
        <f>HYPERLINK("https://ictv.global/ictv/proposals/2020.001G.R.Abolish_type_species.pdf","2020.001G.R.Abolish_type_species.pdf")</f>
        <v>2020.001G.R.Abolish_type_species.pdf</v>
      </c>
      <c r="U4539" s="43" t="str">
        <f>HYPERLINK("https://ictv.global/taxonomy/taxondetails?taxnode_id=202204103","ictv.global=202204103")</f>
        <v>ictv.global=202204103</v>
      </c>
    </row>
    <row r="4540" spans="1:21">
      <c r="A4540">
        <v>4539</v>
      </c>
      <c r="B4540" s="29" t="s">
        <v>4053</v>
      </c>
      <c r="C4540" s="29"/>
      <c r="D4540" s="29" t="s">
        <v>4082</v>
      </c>
      <c r="E4540" s="29"/>
      <c r="F4540" s="29" t="s">
        <v>4083</v>
      </c>
      <c r="G4540" s="29"/>
      <c r="H4540" s="29" t="s">
        <v>4086</v>
      </c>
      <c r="I4540" s="29"/>
      <c r="J4540" s="29" t="s">
        <v>4088</v>
      </c>
      <c r="K4540" s="29"/>
      <c r="L4540" s="29" t="s">
        <v>638</v>
      </c>
      <c r="M4540" s="29" t="s">
        <v>2930</v>
      </c>
      <c r="N4540" s="29" t="s">
        <v>856</v>
      </c>
      <c r="O4540" s="29"/>
      <c r="P4540" s="29" t="s">
        <v>131</v>
      </c>
      <c r="Q4540" t="s">
        <v>2041</v>
      </c>
      <c r="R4540" t="s">
        <v>6901</v>
      </c>
      <c r="S4540">
        <v>36</v>
      </c>
      <c r="T4540" s="43" t="str">
        <f>HYPERLINK("https://ictv.global/ictv/proposals/2020.001G.R.Abolish_type_species.pdf","2020.001G.R.Abolish_type_species.pdf")</f>
        <v>2020.001G.R.Abolish_type_species.pdf</v>
      </c>
      <c r="U4540" s="43" t="str">
        <f>HYPERLINK("https://ictv.global/taxonomy/taxondetails?taxnode_id=202204105","ictv.global=202204105")</f>
        <v>ictv.global=202204105</v>
      </c>
    </row>
    <row r="4541" spans="1:21">
      <c r="A4541">
        <v>4540</v>
      </c>
      <c r="B4541" s="29" t="s">
        <v>4053</v>
      </c>
      <c r="C4541" s="29"/>
      <c r="D4541" s="29" t="s">
        <v>4082</v>
      </c>
      <c r="E4541" s="29"/>
      <c r="F4541" s="29" t="s">
        <v>4083</v>
      </c>
      <c r="G4541" s="29"/>
      <c r="H4541" s="29" t="s">
        <v>4086</v>
      </c>
      <c r="I4541" s="29"/>
      <c r="J4541" s="29" t="s">
        <v>4088</v>
      </c>
      <c r="K4541" s="29"/>
      <c r="L4541" s="29" t="s">
        <v>638</v>
      </c>
      <c r="M4541" s="29" t="s">
        <v>2930</v>
      </c>
      <c r="N4541" s="29" t="s">
        <v>856</v>
      </c>
      <c r="O4541" s="29"/>
      <c r="P4541" s="29" t="s">
        <v>132</v>
      </c>
      <c r="Q4541" t="s">
        <v>2041</v>
      </c>
      <c r="R4541" t="s">
        <v>2634</v>
      </c>
      <c r="S4541">
        <v>35</v>
      </c>
      <c r="T4541" s="43" t="str">
        <f>HYPERLINK("https://ictv.global/ictv/proposals/2019.005G.zip","2019.005G.zip")</f>
        <v>2019.005G.zip</v>
      </c>
      <c r="U4541" s="43" t="str">
        <f>HYPERLINK("https://ictv.global/taxonomy/taxondetails?taxnode_id=202204106","ictv.global=202204106")</f>
        <v>ictv.global=202204106</v>
      </c>
    </row>
    <row r="4542" spans="1:21">
      <c r="A4542">
        <v>4541</v>
      </c>
      <c r="B4542" s="29" t="s">
        <v>4053</v>
      </c>
      <c r="C4542" s="29"/>
      <c r="D4542" s="29" t="s">
        <v>4082</v>
      </c>
      <c r="E4542" s="29"/>
      <c r="F4542" s="29" t="s">
        <v>4083</v>
      </c>
      <c r="G4542" s="29"/>
      <c r="H4542" s="29" t="s">
        <v>4086</v>
      </c>
      <c r="I4542" s="29"/>
      <c r="J4542" s="29" t="s">
        <v>4088</v>
      </c>
      <c r="K4542" s="29"/>
      <c r="L4542" s="29" t="s">
        <v>638</v>
      </c>
      <c r="M4542" s="29" t="s">
        <v>2930</v>
      </c>
      <c r="N4542" s="29" t="s">
        <v>133</v>
      </c>
      <c r="O4542" s="29"/>
      <c r="P4542" s="29" t="s">
        <v>134</v>
      </c>
      <c r="Q4542" t="s">
        <v>2041</v>
      </c>
      <c r="R4542" t="s">
        <v>6901</v>
      </c>
      <c r="S4542">
        <v>36</v>
      </c>
      <c r="T4542" s="43" t="str">
        <f>HYPERLINK("https://ictv.global/ictv/proposals/2020.001G.R.Abolish_type_species.pdf","2020.001G.R.Abolish_type_species.pdf")</f>
        <v>2020.001G.R.Abolish_type_species.pdf</v>
      </c>
      <c r="U4542" s="43" t="str">
        <f>HYPERLINK("https://ictv.global/taxonomy/taxondetails?taxnode_id=202204108","ictv.global=202204108")</f>
        <v>ictv.global=202204108</v>
      </c>
    </row>
    <row r="4543" spans="1:21">
      <c r="A4543">
        <v>4542</v>
      </c>
      <c r="B4543" s="29" t="s">
        <v>4053</v>
      </c>
      <c r="C4543" s="29"/>
      <c r="D4543" s="29" t="s">
        <v>4082</v>
      </c>
      <c r="E4543" s="29"/>
      <c r="F4543" s="29" t="s">
        <v>4083</v>
      </c>
      <c r="G4543" s="29"/>
      <c r="H4543" s="29" t="s">
        <v>4086</v>
      </c>
      <c r="I4543" s="29"/>
      <c r="J4543" s="29" t="s">
        <v>4088</v>
      </c>
      <c r="K4543" s="29"/>
      <c r="L4543" s="29" t="s">
        <v>638</v>
      </c>
      <c r="M4543" s="29" t="s">
        <v>2930</v>
      </c>
      <c r="N4543" s="29" t="s">
        <v>133</v>
      </c>
      <c r="O4543" s="29"/>
      <c r="P4543" s="29" t="s">
        <v>2939</v>
      </c>
      <c r="Q4543" t="s">
        <v>2041</v>
      </c>
      <c r="R4543" t="s">
        <v>2634</v>
      </c>
      <c r="S4543">
        <v>35</v>
      </c>
      <c r="T4543" s="43" t="str">
        <f>HYPERLINK("https://ictv.global/ictv/proposals/2019.005G.zip","2019.005G.zip")</f>
        <v>2019.005G.zip</v>
      </c>
      <c r="U4543" s="43" t="str">
        <f>HYPERLINK("https://ictv.global/taxonomy/taxondetails?taxnode_id=202205872","ictv.global=202205872")</f>
        <v>ictv.global=202205872</v>
      </c>
    </row>
    <row r="4544" spans="1:21">
      <c r="A4544">
        <v>4543</v>
      </c>
      <c r="B4544" s="29" t="s">
        <v>4053</v>
      </c>
      <c r="C4544" s="29"/>
      <c r="D4544" s="29" t="s">
        <v>4082</v>
      </c>
      <c r="E4544" s="29"/>
      <c r="F4544" s="29" t="s">
        <v>4083</v>
      </c>
      <c r="G4544" s="29"/>
      <c r="H4544" s="29" t="s">
        <v>4086</v>
      </c>
      <c r="I4544" s="29"/>
      <c r="J4544" s="29" t="s">
        <v>4088</v>
      </c>
      <c r="K4544" s="29"/>
      <c r="L4544" s="29" t="s">
        <v>638</v>
      </c>
      <c r="M4544" s="29" t="s">
        <v>2930</v>
      </c>
      <c r="N4544" s="29" t="s">
        <v>133</v>
      </c>
      <c r="O4544" s="29"/>
      <c r="P4544" s="29" t="s">
        <v>2940</v>
      </c>
      <c r="Q4544" t="s">
        <v>2041</v>
      </c>
      <c r="R4544" t="s">
        <v>2634</v>
      </c>
      <c r="S4544">
        <v>35</v>
      </c>
      <c r="T4544" s="43" t="str">
        <f>HYPERLINK("https://ictv.global/ictv/proposals/2019.005G.zip","2019.005G.zip")</f>
        <v>2019.005G.zip</v>
      </c>
      <c r="U4544" s="43" t="str">
        <f>HYPERLINK("https://ictv.global/taxonomy/taxondetails?taxnode_id=202205873","ictv.global=202205873")</f>
        <v>ictv.global=202205873</v>
      </c>
    </row>
    <row r="4545" spans="1:21">
      <c r="A4545">
        <v>4544</v>
      </c>
      <c r="B4545" s="29" t="s">
        <v>4053</v>
      </c>
      <c r="C4545" s="29"/>
      <c r="D4545" s="29" t="s">
        <v>4082</v>
      </c>
      <c r="E4545" s="29"/>
      <c r="F4545" s="29" t="s">
        <v>4083</v>
      </c>
      <c r="G4545" s="29"/>
      <c r="H4545" s="29" t="s">
        <v>4086</v>
      </c>
      <c r="I4545" s="29"/>
      <c r="J4545" s="29" t="s">
        <v>4088</v>
      </c>
      <c r="K4545" s="29"/>
      <c r="L4545" s="29" t="s">
        <v>638</v>
      </c>
      <c r="M4545" s="29" t="s">
        <v>2930</v>
      </c>
      <c r="N4545" s="29" t="s">
        <v>135</v>
      </c>
      <c r="O4545" s="29"/>
      <c r="P4545" s="29" t="s">
        <v>136</v>
      </c>
      <c r="Q4545" t="s">
        <v>2041</v>
      </c>
      <c r="R4545" t="s">
        <v>6901</v>
      </c>
      <c r="S4545">
        <v>36</v>
      </c>
      <c r="T4545" s="43" t="str">
        <f>HYPERLINK("https://ictv.global/ictv/proposals/2020.001G.R.Abolish_type_species.pdf","2020.001G.R.Abolish_type_species.pdf")</f>
        <v>2020.001G.R.Abolish_type_species.pdf</v>
      </c>
      <c r="U4545" s="43" t="str">
        <f>HYPERLINK("https://ictv.global/taxonomy/taxondetails?taxnode_id=202204110","ictv.global=202204110")</f>
        <v>ictv.global=202204110</v>
      </c>
    </row>
    <row r="4546" spans="1:21">
      <c r="A4546">
        <v>4545</v>
      </c>
      <c r="B4546" s="29" t="s">
        <v>4053</v>
      </c>
      <c r="C4546" s="29"/>
      <c r="D4546" s="29" t="s">
        <v>4082</v>
      </c>
      <c r="E4546" s="29"/>
      <c r="F4546" s="29" t="s">
        <v>4083</v>
      </c>
      <c r="G4546" s="29"/>
      <c r="H4546" s="29" t="s">
        <v>4086</v>
      </c>
      <c r="I4546" s="29"/>
      <c r="J4546" s="29" t="s">
        <v>4088</v>
      </c>
      <c r="K4546" s="29"/>
      <c r="L4546" s="29" t="s">
        <v>638</v>
      </c>
      <c r="M4546" s="29" t="s">
        <v>2930</v>
      </c>
      <c r="N4546" s="29" t="s">
        <v>135</v>
      </c>
      <c r="O4546" s="29"/>
      <c r="P4546" s="29" t="s">
        <v>2295</v>
      </c>
      <c r="Q4546" t="s">
        <v>2041</v>
      </c>
      <c r="R4546" t="s">
        <v>2634</v>
      </c>
      <c r="S4546">
        <v>35</v>
      </c>
      <c r="T4546" s="43" t="str">
        <f>HYPERLINK("https://ictv.global/ictv/proposals/2019.005G.zip","2019.005G.zip")</f>
        <v>2019.005G.zip</v>
      </c>
      <c r="U4546" s="43" t="str">
        <f>HYPERLINK("https://ictv.global/taxonomy/taxondetails?taxnode_id=202204111","ictv.global=202204111")</f>
        <v>ictv.global=202204111</v>
      </c>
    </row>
    <row r="4547" spans="1:21">
      <c r="A4547">
        <v>4546</v>
      </c>
      <c r="B4547" s="29" t="s">
        <v>4053</v>
      </c>
      <c r="C4547" s="29"/>
      <c r="D4547" s="29" t="s">
        <v>4082</v>
      </c>
      <c r="E4547" s="29"/>
      <c r="F4547" s="29" t="s">
        <v>4083</v>
      </c>
      <c r="G4547" s="29"/>
      <c r="H4547" s="29" t="s">
        <v>4086</v>
      </c>
      <c r="I4547" s="29"/>
      <c r="J4547" s="29" t="s">
        <v>4088</v>
      </c>
      <c r="K4547" s="29"/>
      <c r="L4547" s="29" t="s">
        <v>638</v>
      </c>
      <c r="M4547" s="29" t="s">
        <v>2930</v>
      </c>
      <c r="N4547" s="29" t="s">
        <v>137</v>
      </c>
      <c r="O4547" s="29"/>
      <c r="P4547" s="29" t="s">
        <v>138</v>
      </c>
      <c r="Q4547" t="s">
        <v>2041</v>
      </c>
      <c r="R4547" t="s">
        <v>6901</v>
      </c>
      <c r="S4547">
        <v>36</v>
      </c>
      <c r="T4547" s="43" t="str">
        <f>HYPERLINK("https://ictv.global/ictv/proposals/2020.001G.R.Abolish_type_species.pdf","2020.001G.R.Abolish_type_species.pdf")</f>
        <v>2020.001G.R.Abolish_type_species.pdf</v>
      </c>
      <c r="U4547" s="43" t="str">
        <f>HYPERLINK("https://ictv.global/taxonomy/taxondetails?taxnode_id=202204113","ictv.global=202204113")</f>
        <v>ictv.global=202204113</v>
      </c>
    </row>
    <row r="4548" spans="1:21">
      <c r="A4548">
        <v>4547</v>
      </c>
      <c r="B4548" s="29" t="s">
        <v>4053</v>
      </c>
      <c r="C4548" s="29"/>
      <c r="D4548" s="29" t="s">
        <v>4082</v>
      </c>
      <c r="E4548" s="29"/>
      <c r="F4548" s="29" t="s">
        <v>4083</v>
      </c>
      <c r="G4548" s="29"/>
      <c r="H4548" s="29" t="s">
        <v>4086</v>
      </c>
      <c r="I4548" s="29"/>
      <c r="J4548" s="29" t="s">
        <v>4088</v>
      </c>
      <c r="K4548" s="29"/>
      <c r="L4548" s="29" t="s">
        <v>638</v>
      </c>
      <c r="M4548" s="29" t="s">
        <v>2930</v>
      </c>
      <c r="N4548" s="29" t="s">
        <v>139</v>
      </c>
      <c r="O4548" s="29"/>
      <c r="P4548" s="29" t="s">
        <v>140</v>
      </c>
      <c r="Q4548" t="s">
        <v>2041</v>
      </c>
      <c r="R4548" t="s">
        <v>6901</v>
      </c>
      <c r="S4548">
        <v>36</v>
      </c>
      <c r="T4548" s="43" t="str">
        <f>HYPERLINK("https://ictv.global/ictv/proposals/2020.001G.R.Abolish_type_species.pdf","2020.001G.R.Abolish_type_species.pdf")</f>
        <v>2020.001G.R.Abolish_type_species.pdf</v>
      </c>
      <c r="U4548" s="43" t="str">
        <f>HYPERLINK("https://ictv.global/taxonomy/taxondetails?taxnode_id=202204115","ictv.global=202204115")</f>
        <v>ictv.global=202204115</v>
      </c>
    </row>
    <row r="4549" spans="1:21">
      <c r="A4549">
        <v>4548</v>
      </c>
      <c r="B4549" s="29" t="s">
        <v>4053</v>
      </c>
      <c r="C4549" s="29"/>
      <c r="D4549" s="29" t="s">
        <v>4082</v>
      </c>
      <c r="E4549" s="29"/>
      <c r="F4549" s="29" t="s">
        <v>4083</v>
      </c>
      <c r="G4549" s="29"/>
      <c r="H4549" s="29" t="s">
        <v>4086</v>
      </c>
      <c r="I4549" s="29"/>
      <c r="J4549" s="29" t="s">
        <v>4088</v>
      </c>
      <c r="K4549" s="29"/>
      <c r="L4549" s="29" t="s">
        <v>638</v>
      </c>
      <c r="M4549" s="29" t="s">
        <v>2930</v>
      </c>
      <c r="N4549" s="29" t="s">
        <v>139</v>
      </c>
      <c r="O4549" s="29"/>
      <c r="P4549" s="29" t="s">
        <v>1918</v>
      </c>
      <c r="Q4549" t="s">
        <v>2041</v>
      </c>
      <c r="R4549" t="s">
        <v>2634</v>
      </c>
      <c r="S4549">
        <v>35</v>
      </c>
      <c r="T4549" s="43" t="str">
        <f>HYPERLINK("https://ictv.global/ictv/proposals/2019.005G.zip","2019.005G.zip")</f>
        <v>2019.005G.zip</v>
      </c>
      <c r="U4549" s="43" t="str">
        <f>HYPERLINK("https://ictv.global/taxonomy/taxondetails?taxnode_id=202204116","ictv.global=202204116")</f>
        <v>ictv.global=202204116</v>
      </c>
    </row>
    <row r="4550" spans="1:21">
      <c r="A4550">
        <v>4549</v>
      </c>
      <c r="B4550" s="29" t="s">
        <v>4053</v>
      </c>
      <c r="C4550" s="29"/>
      <c r="D4550" s="29" t="s">
        <v>4082</v>
      </c>
      <c r="E4550" s="29"/>
      <c r="F4550" s="29" t="s">
        <v>4083</v>
      </c>
      <c r="G4550" s="29"/>
      <c r="H4550" s="29" t="s">
        <v>4086</v>
      </c>
      <c r="I4550" s="29"/>
      <c r="J4550" s="29" t="s">
        <v>4088</v>
      </c>
      <c r="K4550" s="29"/>
      <c r="L4550" s="29" t="s">
        <v>638</v>
      </c>
      <c r="M4550" s="29" t="s">
        <v>2930</v>
      </c>
      <c r="N4550" s="29" t="s">
        <v>139</v>
      </c>
      <c r="O4550" s="29"/>
      <c r="P4550" s="29" t="s">
        <v>2296</v>
      </c>
      <c r="Q4550" t="s">
        <v>2041</v>
      </c>
      <c r="R4550" t="s">
        <v>2634</v>
      </c>
      <c r="S4550">
        <v>35</v>
      </c>
      <c r="T4550" s="43" t="str">
        <f>HYPERLINK("https://ictv.global/ictv/proposals/2019.005G.zip","2019.005G.zip")</f>
        <v>2019.005G.zip</v>
      </c>
      <c r="U4550" s="43" t="str">
        <f>HYPERLINK("https://ictv.global/taxonomy/taxondetails?taxnode_id=202204117","ictv.global=202204117")</f>
        <v>ictv.global=202204117</v>
      </c>
    </row>
    <row r="4551" spans="1:21">
      <c r="A4551">
        <v>4550</v>
      </c>
      <c r="B4551" s="29" t="s">
        <v>4053</v>
      </c>
      <c r="C4551" s="29"/>
      <c r="D4551" s="29" t="s">
        <v>4082</v>
      </c>
      <c r="E4551" s="29"/>
      <c r="F4551" s="29" t="s">
        <v>4083</v>
      </c>
      <c r="G4551" s="29"/>
      <c r="H4551" s="29" t="s">
        <v>4086</v>
      </c>
      <c r="I4551" s="29"/>
      <c r="J4551" s="29" t="s">
        <v>4088</v>
      </c>
      <c r="K4551" s="29"/>
      <c r="L4551" s="29" t="s">
        <v>638</v>
      </c>
      <c r="M4551" s="29" t="s">
        <v>2930</v>
      </c>
      <c r="N4551" s="29" t="s">
        <v>139</v>
      </c>
      <c r="O4551" s="29"/>
      <c r="P4551" s="29" t="s">
        <v>2941</v>
      </c>
      <c r="Q4551" t="s">
        <v>2041</v>
      </c>
      <c r="R4551" t="s">
        <v>2634</v>
      </c>
      <c r="S4551">
        <v>35</v>
      </c>
      <c r="T4551" s="43" t="str">
        <f>HYPERLINK("https://ictv.global/ictv/proposals/2019.005G.zip","2019.005G.zip")</f>
        <v>2019.005G.zip</v>
      </c>
      <c r="U4551" s="43" t="str">
        <f>HYPERLINK("https://ictv.global/taxonomy/taxondetails?taxnode_id=202205874","ictv.global=202205874")</f>
        <v>ictv.global=202205874</v>
      </c>
    </row>
    <row r="4552" spans="1:21">
      <c r="A4552">
        <v>4551</v>
      </c>
      <c r="B4552" s="29" t="s">
        <v>4053</v>
      </c>
      <c r="C4552" s="29"/>
      <c r="D4552" s="29" t="s">
        <v>4082</v>
      </c>
      <c r="E4552" s="29"/>
      <c r="F4552" s="29" t="s">
        <v>4083</v>
      </c>
      <c r="G4552" s="29"/>
      <c r="H4552" s="29" t="s">
        <v>4086</v>
      </c>
      <c r="I4552" s="29"/>
      <c r="J4552" s="29" t="s">
        <v>4088</v>
      </c>
      <c r="K4552" s="29"/>
      <c r="L4552" s="29" t="s">
        <v>638</v>
      </c>
      <c r="M4552" s="29" t="s">
        <v>2930</v>
      </c>
      <c r="N4552" s="29" t="s">
        <v>857</v>
      </c>
      <c r="O4552" s="29"/>
      <c r="P4552" s="29" t="s">
        <v>141</v>
      </c>
      <c r="Q4552" t="s">
        <v>2041</v>
      </c>
      <c r="R4552" t="s">
        <v>6901</v>
      </c>
      <c r="S4552">
        <v>36</v>
      </c>
      <c r="T4552" s="43" t="str">
        <f t="shared" ref="T4552:T4560" si="215">HYPERLINK("https://ictv.global/ictv/proposals/2020.001G.R.Abolish_type_species.pdf","2020.001G.R.Abolish_type_species.pdf")</f>
        <v>2020.001G.R.Abolish_type_species.pdf</v>
      </c>
      <c r="U4552" s="43" t="str">
        <f>HYPERLINK("https://ictv.global/taxonomy/taxondetails?taxnode_id=202204119","ictv.global=202204119")</f>
        <v>ictv.global=202204119</v>
      </c>
    </row>
    <row r="4553" spans="1:21">
      <c r="A4553">
        <v>4552</v>
      </c>
      <c r="B4553" s="29" t="s">
        <v>4053</v>
      </c>
      <c r="C4553" s="29"/>
      <c r="D4553" s="29" t="s">
        <v>4082</v>
      </c>
      <c r="E4553" s="29"/>
      <c r="F4553" s="29" t="s">
        <v>4083</v>
      </c>
      <c r="G4553" s="29"/>
      <c r="H4553" s="29" t="s">
        <v>4086</v>
      </c>
      <c r="I4553" s="29"/>
      <c r="J4553" s="29" t="s">
        <v>4088</v>
      </c>
      <c r="K4553" s="29"/>
      <c r="L4553" s="29" t="s">
        <v>638</v>
      </c>
      <c r="M4553" s="29" t="s">
        <v>2930</v>
      </c>
      <c r="N4553" s="29" t="s">
        <v>2297</v>
      </c>
      <c r="O4553" s="29"/>
      <c r="P4553" s="29" t="s">
        <v>2298</v>
      </c>
      <c r="Q4553" t="s">
        <v>2041</v>
      </c>
      <c r="R4553" t="s">
        <v>6901</v>
      </c>
      <c r="S4553">
        <v>36</v>
      </c>
      <c r="T4553" s="43" t="str">
        <f t="shared" si="215"/>
        <v>2020.001G.R.Abolish_type_species.pdf</v>
      </c>
      <c r="U4553" s="43" t="str">
        <f>HYPERLINK("https://ictv.global/taxonomy/taxondetails?taxnode_id=202204121","ictv.global=202204121")</f>
        <v>ictv.global=202204121</v>
      </c>
    </row>
    <row r="4554" spans="1:21">
      <c r="A4554">
        <v>4553</v>
      </c>
      <c r="B4554" s="29" t="s">
        <v>4053</v>
      </c>
      <c r="C4554" s="29"/>
      <c r="D4554" s="29" t="s">
        <v>4082</v>
      </c>
      <c r="E4554" s="29"/>
      <c r="F4554" s="29" t="s">
        <v>4083</v>
      </c>
      <c r="G4554" s="29"/>
      <c r="H4554" s="29" t="s">
        <v>4086</v>
      </c>
      <c r="I4554" s="29"/>
      <c r="J4554" s="29" t="s">
        <v>4088</v>
      </c>
      <c r="K4554" s="29"/>
      <c r="L4554" s="29" t="s">
        <v>638</v>
      </c>
      <c r="M4554" s="29" t="s">
        <v>2930</v>
      </c>
      <c r="N4554" s="29" t="s">
        <v>2299</v>
      </c>
      <c r="O4554" s="29"/>
      <c r="P4554" s="29" t="s">
        <v>2300</v>
      </c>
      <c r="Q4554" t="s">
        <v>2041</v>
      </c>
      <c r="R4554" t="s">
        <v>6901</v>
      </c>
      <c r="S4554">
        <v>36</v>
      </c>
      <c r="T4554" s="43" t="str">
        <f t="shared" si="215"/>
        <v>2020.001G.R.Abolish_type_species.pdf</v>
      </c>
      <c r="U4554" s="43" t="str">
        <f>HYPERLINK("https://ictv.global/taxonomy/taxondetails?taxnode_id=202204123","ictv.global=202204123")</f>
        <v>ictv.global=202204123</v>
      </c>
    </row>
    <row r="4555" spans="1:21">
      <c r="A4555">
        <v>4554</v>
      </c>
      <c r="B4555" s="29" t="s">
        <v>4053</v>
      </c>
      <c r="C4555" s="29"/>
      <c r="D4555" s="29" t="s">
        <v>4082</v>
      </c>
      <c r="E4555" s="29"/>
      <c r="F4555" s="29" t="s">
        <v>4083</v>
      </c>
      <c r="G4555" s="29"/>
      <c r="H4555" s="29" t="s">
        <v>4086</v>
      </c>
      <c r="I4555" s="29"/>
      <c r="J4555" s="29" t="s">
        <v>4088</v>
      </c>
      <c r="K4555" s="29"/>
      <c r="L4555" s="29" t="s">
        <v>638</v>
      </c>
      <c r="M4555" s="29" t="s">
        <v>2930</v>
      </c>
      <c r="N4555" s="29" t="s">
        <v>2301</v>
      </c>
      <c r="O4555" s="29"/>
      <c r="P4555" s="29" t="s">
        <v>2302</v>
      </c>
      <c r="Q4555" t="s">
        <v>2041</v>
      </c>
      <c r="R4555" t="s">
        <v>6901</v>
      </c>
      <c r="S4555">
        <v>36</v>
      </c>
      <c r="T4555" s="43" t="str">
        <f t="shared" si="215"/>
        <v>2020.001G.R.Abolish_type_species.pdf</v>
      </c>
      <c r="U4555" s="43" t="str">
        <f>HYPERLINK("https://ictv.global/taxonomy/taxondetails?taxnode_id=202204125","ictv.global=202204125")</f>
        <v>ictv.global=202204125</v>
      </c>
    </row>
    <row r="4556" spans="1:21">
      <c r="A4556">
        <v>4555</v>
      </c>
      <c r="B4556" s="29" t="s">
        <v>4053</v>
      </c>
      <c r="C4556" s="29"/>
      <c r="D4556" s="29" t="s">
        <v>4082</v>
      </c>
      <c r="E4556" s="29"/>
      <c r="F4556" s="29" t="s">
        <v>4083</v>
      </c>
      <c r="G4556" s="29"/>
      <c r="H4556" s="29" t="s">
        <v>4086</v>
      </c>
      <c r="I4556" s="29"/>
      <c r="J4556" s="29" t="s">
        <v>4088</v>
      </c>
      <c r="K4556" s="29"/>
      <c r="L4556" s="29" t="s">
        <v>638</v>
      </c>
      <c r="M4556" s="29" t="s">
        <v>2930</v>
      </c>
      <c r="N4556" s="29" t="s">
        <v>2942</v>
      </c>
      <c r="O4556" s="29"/>
      <c r="P4556" s="29" t="s">
        <v>2943</v>
      </c>
      <c r="Q4556" t="s">
        <v>2041</v>
      </c>
      <c r="R4556" t="s">
        <v>6901</v>
      </c>
      <c r="S4556">
        <v>36</v>
      </c>
      <c r="T4556" s="43" t="str">
        <f t="shared" si="215"/>
        <v>2020.001G.R.Abolish_type_species.pdf</v>
      </c>
      <c r="U4556" s="43" t="str">
        <f>HYPERLINK("https://ictv.global/taxonomy/taxondetails?taxnode_id=202205875","ictv.global=202205875")</f>
        <v>ictv.global=202205875</v>
      </c>
    </row>
    <row r="4557" spans="1:21">
      <c r="A4557">
        <v>4556</v>
      </c>
      <c r="B4557" s="29" t="s">
        <v>4053</v>
      </c>
      <c r="C4557" s="29"/>
      <c r="D4557" s="29" t="s">
        <v>4082</v>
      </c>
      <c r="E4557" s="29"/>
      <c r="F4557" s="29" t="s">
        <v>4083</v>
      </c>
      <c r="G4557" s="29"/>
      <c r="H4557" s="29" t="s">
        <v>4086</v>
      </c>
      <c r="I4557" s="29"/>
      <c r="J4557" s="29" t="s">
        <v>4088</v>
      </c>
      <c r="K4557" s="29"/>
      <c r="L4557" s="29" t="s">
        <v>638</v>
      </c>
      <c r="M4557" s="29" t="s">
        <v>2930</v>
      </c>
      <c r="N4557" s="29" t="s">
        <v>2944</v>
      </c>
      <c r="O4557" s="29"/>
      <c r="P4557" s="29" t="s">
        <v>2945</v>
      </c>
      <c r="Q4557" t="s">
        <v>2041</v>
      </c>
      <c r="R4557" t="s">
        <v>6901</v>
      </c>
      <c r="S4557">
        <v>36</v>
      </c>
      <c r="T4557" s="43" t="str">
        <f t="shared" si="215"/>
        <v>2020.001G.R.Abolish_type_species.pdf</v>
      </c>
      <c r="U4557" s="43" t="str">
        <f>HYPERLINK("https://ictv.global/taxonomy/taxondetails?taxnode_id=202205877","ictv.global=202205877")</f>
        <v>ictv.global=202205877</v>
      </c>
    </row>
    <row r="4558" spans="1:21">
      <c r="A4558">
        <v>4557</v>
      </c>
      <c r="B4558" s="29" t="s">
        <v>4053</v>
      </c>
      <c r="C4558" s="29"/>
      <c r="D4558" s="29" t="s">
        <v>4082</v>
      </c>
      <c r="E4558" s="29"/>
      <c r="F4558" s="29" t="s">
        <v>4083</v>
      </c>
      <c r="G4558" s="29"/>
      <c r="H4558" s="29" t="s">
        <v>4086</v>
      </c>
      <c r="I4558" s="29"/>
      <c r="J4558" s="29" t="s">
        <v>4088</v>
      </c>
      <c r="K4558" s="29"/>
      <c r="L4558" s="29" t="s">
        <v>638</v>
      </c>
      <c r="M4558" s="29" t="s">
        <v>2930</v>
      </c>
      <c r="N4558" s="29" t="s">
        <v>2946</v>
      </c>
      <c r="O4558" s="29"/>
      <c r="P4558" s="29" t="s">
        <v>2947</v>
      </c>
      <c r="Q4558" t="s">
        <v>2041</v>
      </c>
      <c r="R4558" t="s">
        <v>6901</v>
      </c>
      <c r="S4558">
        <v>36</v>
      </c>
      <c r="T4558" s="43" t="str">
        <f t="shared" si="215"/>
        <v>2020.001G.R.Abolish_type_species.pdf</v>
      </c>
      <c r="U4558" s="43" t="str">
        <f>HYPERLINK("https://ictv.global/taxonomy/taxondetails?taxnode_id=202205879","ictv.global=202205879")</f>
        <v>ictv.global=202205879</v>
      </c>
    </row>
    <row r="4559" spans="1:21">
      <c r="A4559">
        <v>4558</v>
      </c>
      <c r="B4559" s="29" t="s">
        <v>4053</v>
      </c>
      <c r="C4559" s="29"/>
      <c r="D4559" s="29" t="s">
        <v>4082</v>
      </c>
      <c r="E4559" s="29"/>
      <c r="F4559" s="29" t="s">
        <v>4083</v>
      </c>
      <c r="G4559" s="29"/>
      <c r="H4559" s="29" t="s">
        <v>4086</v>
      </c>
      <c r="I4559" s="29"/>
      <c r="J4559" s="29" t="s">
        <v>4088</v>
      </c>
      <c r="K4559" s="29"/>
      <c r="L4559" s="29" t="s">
        <v>638</v>
      </c>
      <c r="M4559" s="29" t="s">
        <v>2930</v>
      </c>
      <c r="N4559" s="29" t="s">
        <v>2303</v>
      </c>
      <c r="O4559" s="29"/>
      <c r="P4559" s="29" t="s">
        <v>2304</v>
      </c>
      <c r="Q4559" t="s">
        <v>2041</v>
      </c>
      <c r="R4559" t="s">
        <v>6901</v>
      </c>
      <c r="S4559">
        <v>36</v>
      </c>
      <c r="T4559" s="43" t="str">
        <f t="shared" si="215"/>
        <v>2020.001G.R.Abolish_type_species.pdf</v>
      </c>
      <c r="U4559" s="43" t="str">
        <f>HYPERLINK("https://ictv.global/taxonomy/taxondetails?taxnode_id=202204127","ictv.global=202204127")</f>
        <v>ictv.global=202204127</v>
      </c>
    </row>
    <row r="4560" spans="1:21">
      <c r="A4560">
        <v>4559</v>
      </c>
      <c r="B4560" s="29" t="s">
        <v>4053</v>
      </c>
      <c r="C4560" s="29"/>
      <c r="D4560" s="29" t="s">
        <v>4082</v>
      </c>
      <c r="E4560" s="29"/>
      <c r="F4560" s="29" t="s">
        <v>4083</v>
      </c>
      <c r="G4560" s="29"/>
      <c r="H4560" s="29" t="s">
        <v>4086</v>
      </c>
      <c r="I4560" s="29"/>
      <c r="J4560" s="29" t="s">
        <v>4088</v>
      </c>
      <c r="K4560" s="29"/>
      <c r="L4560" s="29" t="s">
        <v>638</v>
      </c>
      <c r="M4560" s="29" t="s">
        <v>2930</v>
      </c>
      <c r="N4560" s="29" t="s">
        <v>142</v>
      </c>
      <c r="O4560" s="29"/>
      <c r="P4560" s="29" t="s">
        <v>143</v>
      </c>
      <c r="Q4560" t="s">
        <v>2041</v>
      </c>
      <c r="R4560" t="s">
        <v>6901</v>
      </c>
      <c r="S4560">
        <v>36</v>
      </c>
      <c r="T4560" s="43" t="str">
        <f t="shared" si="215"/>
        <v>2020.001G.R.Abolish_type_species.pdf</v>
      </c>
      <c r="U4560" s="43" t="str">
        <f>HYPERLINK("https://ictv.global/taxonomy/taxondetails?taxnode_id=202204129","ictv.global=202204129")</f>
        <v>ictv.global=202204129</v>
      </c>
    </row>
    <row r="4561" spans="1:21">
      <c r="A4561">
        <v>4560</v>
      </c>
      <c r="B4561" s="29" t="s">
        <v>4053</v>
      </c>
      <c r="C4561" s="29"/>
      <c r="D4561" s="29" t="s">
        <v>4082</v>
      </c>
      <c r="E4561" s="29"/>
      <c r="F4561" s="29" t="s">
        <v>4083</v>
      </c>
      <c r="G4561" s="29"/>
      <c r="H4561" s="29" t="s">
        <v>4086</v>
      </c>
      <c r="I4561" s="29"/>
      <c r="J4561" s="29" t="s">
        <v>4088</v>
      </c>
      <c r="K4561" s="29"/>
      <c r="L4561" s="29" t="s">
        <v>638</v>
      </c>
      <c r="M4561" s="29" t="s">
        <v>2930</v>
      </c>
      <c r="N4561" s="29" t="s">
        <v>142</v>
      </c>
      <c r="O4561" s="29"/>
      <c r="P4561" s="29" t="s">
        <v>144</v>
      </c>
      <c r="Q4561" t="s">
        <v>2041</v>
      </c>
      <c r="R4561" t="s">
        <v>2634</v>
      </c>
      <c r="S4561">
        <v>35</v>
      </c>
      <c r="T4561" s="43" t="str">
        <f>HYPERLINK("https://ictv.global/ictv/proposals/2019.005G.zip","2019.005G.zip")</f>
        <v>2019.005G.zip</v>
      </c>
      <c r="U4561" s="43" t="str">
        <f>HYPERLINK("https://ictv.global/taxonomy/taxondetails?taxnode_id=202204130","ictv.global=202204130")</f>
        <v>ictv.global=202204130</v>
      </c>
    </row>
    <row r="4562" spans="1:21">
      <c r="A4562">
        <v>4561</v>
      </c>
      <c r="B4562" s="29" t="s">
        <v>4053</v>
      </c>
      <c r="C4562" s="29"/>
      <c r="D4562" s="29" t="s">
        <v>4082</v>
      </c>
      <c r="E4562" s="29"/>
      <c r="F4562" s="29" t="s">
        <v>4083</v>
      </c>
      <c r="G4562" s="29"/>
      <c r="H4562" s="29" t="s">
        <v>4086</v>
      </c>
      <c r="I4562" s="29"/>
      <c r="J4562" s="29" t="s">
        <v>4088</v>
      </c>
      <c r="K4562" s="29"/>
      <c r="L4562" s="29" t="s">
        <v>638</v>
      </c>
      <c r="M4562" s="29" t="s">
        <v>2930</v>
      </c>
      <c r="N4562" s="29" t="s">
        <v>142</v>
      </c>
      <c r="O4562" s="29"/>
      <c r="P4562" s="29" t="s">
        <v>1919</v>
      </c>
      <c r="Q4562" t="s">
        <v>2041</v>
      </c>
      <c r="R4562" t="s">
        <v>2634</v>
      </c>
      <c r="S4562">
        <v>35</v>
      </c>
      <c r="T4562" s="43" t="str">
        <f>HYPERLINK("https://ictv.global/ictv/proposals/2019.005G.zip","2019.005G.zip")</f>
        <v>2019.005G.zip</v>
      </c>
      <c r="U4562" s="43" t="str">
        <f>HYPERLINK("https://ictv.global/taxonomy/taxondetails?taxnode_id=202204131","ictv.global=202204131")</f>
        <v>ictv.global=202204131</v>
      </c>
    </row>
    <row r="4563" spans="1:21">
      <c r="A4563">
        <v>4562</v>
      </c>
      <c r="B4563" s="29" t="s">
        <v>4053</v>
      </c>
      <c r="C4563" s="29"/>
      <c r="D4563" s="29" t="s">
        <v>4082</v>
      </c>
      <c r="E4563" s="29"/>
      <c r="F4563" s="29" t="s">
        <v>4083</v>
      </c>
      <c r="G4563" s="29"/>
      <c r="H4563" s="29" t="s">
        <v>4086</v>
      </c>
      <c r="I4563" s="29"/>
      <c r="J4563" s="29" t="s">
        <v>4088</v>
      </c>
      <c r="K4563" s="29"/>
      <c r="L4563" s="29" t="s">
        <v>638</v>
      </c>
      <c r="M4563" s="29" t="s">
        <v>2930</v>
      </c>
      <c r="N4563" s="29" t="s">
        <v>1234</v>
      </c>
      <c r="O4563" s="29"/>
      <c r="P4563" s="29" t="s">
        <v>145</v>
      </c>
      <c r="Q4563" t="s">
        <v>2041</v>
      </c>
      <c r="R4563" t="s">
        <v>6901</v>
      </c>
      <c r="S4563">
        <v>36</v>
      </c>
      <c r="T4563" s="43" t="str">
        <f>HYPERLINK("https://ictv.global/ictv/proposals/2020.001G.R.Abolish_type_species.pdf","2020.001G.R.Abolish_type_species.pdf")</f>
        <v>2020.001G.R.Abolish_type_species.pdf</v>
      </c>
      <c r="U4563" s="43" t="str">
        <f>HYPERLINK("https://ictv.global/taxonomy/taxondetails?taxnode_id=202204133","ictv.global=202204133")</f>
        <v>ictv.global=202204133</v>
      </c>
    </row>
    <row r="4564" spans="1:21">
      <c r="A4564">
        <v>4563</v>
      </c>
      <c r="B4564" s="29" t="s">
        <v>4053</v>
      </c>
      <c r="C4564" s="29"/>
      <c r="D4564" s="29" t="s">
        <v>4082</v>
      </c>
      <c r="E4564" s="29"/>
      <c r="F4564" s="29" t="s">
        <v>4083</v>
      </c>
      <c r="G4564" s="29"/>
      <c r="H4564" s="29" t="s">
        <v>4086</v>
      </c>
      <c r="I4564" s="29"/>
      <c r="J4564" s="29" t="s">
        <v>4088</v>
      </c>
      <c r="K4564" s="29"/>
      <c r="L4564" s="29" t="s">
        <v>638</v>
      </c>
      <c r="M4564" s="29" t="s">
        <v>2930</v>
      </c>
      <c r="N4564" s="29" t="s">
        <v>1234</v>
      </c>
      <c r="O4564" s="29"/>
      <c r="P4564" s="29" t="s">
        <v>1920</v>
      </c>
      <c r="Q4564" t="s">
        <v>2041</v>
      </c>
      <c r="R4564" t="s">
        <v>2634</v>
      </c>
      <c r="S4564">
        <v>35</v>
      </c>
      <c r="T4564" s="43" t="str">
        <f>HYPERLINK("https://ictv.global/ictv/proposals/2019.005G.zip","2019.005G.zip")</f>
        <v>2019.005G.zip</v>
      </c>
      <c r="U4564" s="43" t="str">
        <f>HYPERLINK("https://ictv.global/taxonomy/taxondetails?taxnode_id=202204134","ictv.global=202204134")</f>
        <v>ictv.global=202204134</v>
      </c>
    </row>
    <row r="4565" spans="1:21">
      <c r="A4565">
        <v>4564</v>
      </c>
      <c r="B4565" s="29" t="s">
        <v>4053</v>
      </c>
      <c r="C4565" s="29"/>
      <c r="D4565" s="29" t="s">
        <v>4082</v>
      </c>
      <c r="E4565" s="29"/>
      <c r="F4565" s="29" t="s">
        <v>4083</v>
      </c>
      <c r="G4565" s="29"/>
      <c r="H4565" s="29" t="s">
        <v>4086</v>
      </c>
      <c r="I4565" s="29"/>
      <c r="J4565" s="29" t="s">
        <v>4088</v>
      </c>
      <c r="K4565" s="29"/>
      <c r="L4565" s="29" t="s">
        <v>638</v>
      </c>
      <c r="M4565" s="29" t="s">
        <v>2930</v>
      </c>
      <c r="N4565" s="29" t="s">
        <v>1234</v>
      </c>
      <c r="O4565" s="29"/>
      <c r="P4565" s="29" t="s">
        <v>2305</v>
      </c>
      <c r="Q4565" t="s">
        <v>2041</v>
      </c>
      <c r="R4565" t="s">
        <v>2634</v>
      </c>
      <c r="S4565">
        <v>35</v>
      </c>
      <c r="T4565" s="43" t="str">
        <f>HYPERLINK("https://ictv.global/ictv/proposals/2019.005G.zip","2019.005G.zip")</f>
        <v>2019.005G.zip</v>
      </c>
      <c r="U4565" s="43" t="str">
        <f>HYPERLINK("https://ictv.global/taxonomy/taxondetails?taxnode_id=202204135","ictv.global=202204135")</f>
        <v>ictv.global=202204135</v>
      </c>
    </row>
    <row r="4566" spans="1:21">
      <c r="A4566">
        <v>4565</v>
      </c>
      <c r="B4566" s="29" t="s">
        <v>4053</v>
      </c>
      <c r="C4566" s="29"/>
      <c r="D4566" s="29" t="s">
        <v>4082</v>
      </c>
      <c r="E4566" s="29"/>
      <c r="F4566" s="29" t="s">
        <v>4083</v>
      </c>
      <c r="G4566" s="29"/>
      <c r="H4566" s="29" t="s">
        <v>4086</v>
      </c>
      <c r="I4566" s="29"/>
      <c r="J4566" s="29" t="s">
        <v>4088</v>
      </c>
      <c r="K4566" s="29"/>
      <c r="L4566" s="29" t="s">
        <v>638</v>
      </c>
      <c r="M4566" s="29" t="s">
        <v>2930</v>
      </c>
      <c r="N4566" s="29" t="s">
        <v>1234</v>
      </c>
      <c r="O4566" s="29"/>
      <c r="P4566" s="29" t="s">
        <v>2948</v>
      </c>
      <c r="Q4566" t="s">
        <v>2041</v>
      </c>
      <c r="R4566" t="s">
        <v>2634</v>
      </c>
      <c r="S4566">
        <v>35</v>
      </c>
      <c r="T4566" s="43" t="str">
        <f>HYPERLINK("https://ictv.global/ictv/proposals/2019.005G.zip","2019.005G.zip")</f>
        <v>2019.005G.zip</v>
      </c>
      <c r="U4566" s="43" t="str">
        <f>HYPERLINK("https://ictv.global/taxonomy/taxondetails?taxnode_id=202205881","ictv.global=202205881")</f>
        <v>ictv.global=202205881</v>
      </c>
    </row>
    <row r="4567" spans="1:21">
      <c r="A4567">
        <v>4566</v>
      </c>
      <c r="B4567" s="29" t="s">
        <v>4053</v>
      </c>
      <c r="C4567" s="29"/>
      <c r="D4567" s="29" t="s">
        <v>4082</v>
      </c>
      <c r="E4567" s="29"/>
      <c r="F4567" s="29" t="s">
        <v>4083</v>
      </c>
      <c r="G4567" s="29"/>
      <c r="H4567" s="29" t="s">
        <v>4086</v>
      </c>
      <c r="I4567" s="29"/>
      <c r="J4567" s="29" t="s">
        <v>4088</v>
      </c>
      <c r="K4567" s="29"/>
      <c r="L4567" s="29" t="s">
        <v>638</v>
      </c>
      <c r="M4567" s="29" t="s">
        <v>2930</v>
      </c>
      <c r="N4567" s="29" t="s">
        <v>1234</v>
      </c>
      <c r="O4567" s="29"/>
      <c r="P4567" s="29" t="s">
        <v>2949</v>
      </c>
      <c r="Q4567" t="s">
        <v>2041</v>
      </c>
      <c r="R4567" t="s">
        <v>2634</v>
      </c>
      <c r="S4567">
        <v>35</v>
      </c>
      <c r="T4567" s="43" t="str">
        <f>HYPERLINK("https://ictv.global/ictv/proposals/2019.005G.zip","2019.005G.zip")</f>
        <v>2019.005G.zip</v>
      </c>
      <c r="U4567" s="43" t="str">
        <f>HYPERLINK("https://ictv.global/taxonomy/taxondetails?taxnode_id=202205882","ictv.global=202205882")</f>
        <v>ictv.global=202205882</v>
      </c>
    </row>
    <row r="4568" spans="1:21">
      <c r="A4568">
        <v>4567</v>
      </c>
      <c r="B4568" s="29" t="s">
        <v>4053</v>
      </c>
      <c r="C4568" s="29"/>
      <c r="D4568" s="29" t="s">
        <v>4082</v>
      </c>
      <c r="E4568" s="29"/>
      <c r="F4568" s="29" t="s">
        <v>4083</v>
      </c>
      <c r="G4568" s="29"/>
      <c r="H4568" s="29" t="s">
        <v>4086</v>
      </c>
      <c r="I4568" s="29"/>
      <c r="J4568" s="29" t="s">
        <v>4088</v>
      </c>
      <c r="K4568" s="29"/>
      <c r="L4568" s="29" t="s">
        <v>638</v>
      </c>
      <c r="M4568" s="29" t="s">
        <v>2930</v>
      </c>
      <c r="N4568" s="29" t="s">
        <v>1235</v>
      </c>
      <c r="O4568" s="29"/>
      <c r="P4568" s="29" t="s">
        <v>146</v>
      </c>
      <c r="Q4568" t="s">
        <v>2041</v>
      </c>
      <c r="R4568" t="s">
        <v>6901</v>
      </c>
      <c r="S4568">
        <v>36</v>
      </c>
      <c r="T4568" s="43" t="str">
        <f>HYPERLINK("https://ictv.global/ictv/proposals/2020.001G.R.Abolish_type_species.pdf","2020.001G.R.Abolish_type_species.pdf")</f>
        <v>2020.001G.R.Abolish_type_species.pdf</v>
      </c>
      <c r="U4568" s="43" t="str">
        <f>HYPERLINK("https://ictv.global/taxonomy/taxondetails?taxnode_id=202204137","ictv.global=202204137")</f>
        <v>ictv.global=202204137</v>
      </c>
    </row>
    <row r="4569" spans="1:21">
      <c r="A4569">
        <v>4568</v>
      </c>
      <c r="B4569" s="29" t="s">
        <v>4053</v>
      </c>
      <c r="C4569" s="29"/>
      <c r="D4569" s="29" t="s">
        <v>4082</v>
      </c>
      <c r="E4569" s="29"/>
      <c r="F4569" s="29" t="s">
        <v>4083</v>
      </c>
      <c r="G4569" s="29"/>
      <c r="H4569" s="29" t="s">
        <v>4086</v>
      </c>
      <c r="I4569" s="29"/>
      <c r="J4569" s="29" t="s">
        <v>4088</v>
      </c>
      <c r="K4569" s="29"/>
      <c r="L4569" s="29" t="s">
        <v>638</v>
      </c>
      <c r="M4569" s="29" t="s">
        <v>2950</v>
      </c>
      <c r="N4569" s="29" t="s">
        <v>2951</v>
      </c>
      <c r="O4569" s="29"/>
      <c r="P4569" s="29" t="s">
        <v>2952</v>
      </c>
      <c r="Q4569" t="s">
        <v>2041</v>
      </c>
      <c r="R4569" t="s">
        <v>6901</v>
      </c>
      <c r="S4569">
        <v>36</v>
      </c>
      <c r="T4569" s="43" t="str">
        <f>HYPERLINK("https://ictv.global/ictv/proposals/2020.001G.R.Abolish_type_species.pdf","2020.001G.R.Abolish_type_species.pdf")</f>
        <v>2020.001G.R.Abolish_type_species.pdf</v>
      </c>
      <c r="U4569" s="43" t="str">
        <f>HYPERLINK("https://ictv.global/taxonomy/taxondetails?taxnode_id=202205884","ictv.global=202205884")</f>
        <v>ictv.global=202205884</v>
      </c>
    </row>
    <row r="4570" spans="1:21">
      <c r="A4570">
        <v>4569</v>
      </c>
      <c r="B4570" s="29" t="s">
        <v>4053</v>
      </c>
      <c r="C4570" s="29"/>
      <c r="D4570" s="29" t="s">
        <v>4082</v>
      </c>
      <c r="E4570" s="29"/>
      <c r="F4570" s="29" t="s">
        <v>4083</v>
      </c>
      <c r="G4570" s="29"/>
      <c r="H4570" s="29" t="s">
        <v>4089</v>
      </c>
      <c r="I4570" s="29"/>
      <c r="J4570" s="29" t="s">
        <v>4090</v>
      </c>
      <c r="K4570" s="29"/>
      <c r="L4570" s="29" t="s">
        <v>1406</v>
      </c>
      <c r="M4570" s="29" t="s">
        <v>1407</v>
      </c>
      <c r="N4570" s="29" t="s">
        <v>4091</v>
      </c>
      <c r="O4570" s="29"/>
      <c r="P4570" s="29" t="s">
        <v>11764</v>
      </c>
      <c r="Q4570" t="s">
        <v>2194</v>
      </c>
      <c r="R4570" t="s">
        <v>2635</v>
      </c>
      <c r="S4570">
        <v>38</v>
      </c>
      <c r="T4570" s="43" t="str">
        <f t="shared" ref="T4570:T4590" si="216">HYPERLINK("https://ictv.global/ictv/proposals/2022.005D.Parvoviridae_2ngen_49nsp_125rensp.zip","2022.005D.Parvoviridae_2ngen_49nsp_125rensp.zip")</f>
        <v>2022.005D.Parvoviridae_2ngen_49nsp_125rensp.zip</v>
      </c>
      <c r="U4570" s="43" t="str">
        <f>HYPERLINK("https://ictv.global/taxonomy/taxondetails?taxnode_id=202204209","ictv.global=202204209")</f>
        <v>ictv.global=202204209</v>
      </c>
    </row>
    <row r="4571" spans="1:21">
      <c r="A4571">
        <v>4570</v>
      </c>
      <c r="B4571" s="29" t="s">
        <v>4053</v>
      </c>
      <c r="C4571" s="29"/>
      <c r="D4571" s="29" t="s">
        <v>4082</v>
      </c>
      <c r="E4571" s="29"/>
      <c r="F4571" s="29" t="s">
        <v>4083</v>
      </c>
      <c r="G4571" s="29"/>
      <c r="H4571" s="29" t="s">
        <v>4089</v>
      </c>
      <c r="I4571" s="29"/>
      <c r="J4571" s="29" t="s">
        <v>4090</v>
      </c>
      <c r="K4571" s="29"/>
      <c r="L4571" s="29" t="s">
        <v>1406</v>
      </c>
      <c r="M4571" s="29" t="s">
        <v>1407</v>
      </c>
      <c r="N4571" s="29" t="s">
        <v>4091</v>
      </c>
      <c r="O4571" s="29"/>
      <c r="P4571" s="29" t="s">
        <v>11765</v>
      </c>
      <c r="Q4571" t="s">
        <v>2194</v>
      </c>
      <c r="R4571" t="s">
        <v>2632</v>
      </c>
      <c r="S4571">
        <v>38</v>
      </c>
      <c r="T4571" s="43" t="str">
        <f t="shared" si="216"/>
        <v>2022.005D.Parvoviridae_2ngen_49nsp_125rensp.zip</v>
      </c>
      <c r="U4571" s="43" t="str">
        <f>HYPERLINK("https://ictv.global/taxonomy/taxondetails?taxnode_id=202214045","ictv.global=202214045")</f>
        <v>ictv.global=202214045</v>
      </c>
    </row>
    <row r="4572" spans="1:21">
      <c r="A4572">
        <v>4571</v>
      </c>
      <c r="B4572" s="29" t="s">
        <v>4053</v>
      </c>
      <c r="C4572" s="29"/>
      <c r="D4572" s="29" t="s">
        <v>4082</v>
      </c>
      <c r="E4572" s="29"/>
      <c r="F4572" s="29" t="s">
        <v>4083</v>
      </c>
      <c r="G4572" s="29"/>
      <c r="H4572" s="29" t="s">
        <v>4089</v>
      </c>
      <c r="I4572" s="29"/>
      <c r="J4572" s="29" t="s">
        <v>4090</v>
      </c>
      <c r="K4572" s="29"/>
      <c r="L4572" s="29" t="s">
        <v>1406</v>
      </c>
      <c r="M4572" s="29" t="s">
        <v>1407</v>
      </c>
      <c r="N4572" s="29" t="s">
        <v>4091</v>
      </c>
      <c r="O4572" s="29"/>
      <c r="P4572" s="29" t="s">
        <v>11766</v>
      </c>
      <c r="Q4572" t="s">
        <v>2194</v>
      </c>
      <c r="R4572" t="s">
        <v>2635</v>
      </c>
      <c r="S4572">
        <v>38</v>
      </c>
      <c r="T4572" s="43" t="str">
        <f t="shared" si="216"/>
        <v>2022.005D.Parvoviridae_2ngen_49nsp_125rensp.zip</v>
      </c>
      <c r="U4572" s="43" t="str">
        <f>HYPERLINK("https://ictv.global/taxonomy/taxondetails?taxnode_id=202204212","ictv.global=202204212")</f>
        <v>ictv.global=202204212</v>
      </c>
    </row>
    <row r="4573" spans="1:21">
      <c r="A4573">
        <v>4572</v>
      </c>
      <c r="B4573" s="29" t="s">
        <v>4053</v>
      </c>
      <c r="C4573" s="29"/>
      <c r="D4573" s="29" t="s">
        <v>4082</v>
      </c>
      <c r="E4573" s="29"/>
      <c r="F4573" s="29" t="s">
        <v>4083</v>
      </c>
      <c r="G4573" s="29"/>
      <c r="H4573" s="29" t="s">
        <v>4089</v>
      </c>
      <c r="I4573" s="29"/>
      <c r="J4573" s="29" t="s">
        <v>4090</v>
      </c>
      <c r="K4573" s="29"/>
      <c r="L4573" s="29" t="s">
        <v>1406</v>
      </c>
      <c r="M4573" s="29" t="s">
        <v>1407</v>
      </c>
      <c r="N4573" s="29" t="s">
        <v>4091</v>
      </c>
      <c r="O4573" s="29"/>
      <c r="P4573" s="29" t="s">
        <v>11767</v>
      </c>
      <c r="Q4573" t="s">
        <v>2194</v>
      </c>
      <c r="R4573" t="s">
        <v>2635</v>
      </c>
      <c r="S4573">
        <v>38</v>
      </c>
      <c r="T4573" s="43" t="str">
        <f t="shared" si="216"/>
        <v>2022.005D.Parvoviridae_2ngen_49nsp_125rensp.zip</v>
      </c>
      <c r="U4573" s="43" t="str">
        <f>HYPERLINK("https://ictv.global/taxonomy/taxondetails?taxnode_id=202209264","ictv.global=202209264")</f>
        <v>ictv.global=202209264</v>
      </c>
    </row>
    <row r="4574" spans="1:21">
      <c r="A4574">
        <v>4573</v>
      </c>
      <c r="B4574" s="29" t="s">
        <v>4053</v>
      </c>
      <c r="C4574" s="29"/>
      <c r="D4574" s="29" t="s">
        <v>4082</v>
      </c>
      <c r="E4574" s="29"/>
      <c r="F4574" s="29" t="s">
        <v>4083</v>
      </c>
      <c r="G4574" s="29"/>
      <c r="H4574" s="29" t="s">
        <v>4089</v>
      </c>
      <c r="I4574" s="29"/>
      <c r="J4574" s="29" t="s">
        <v>4090</v>
      </c>
      <c r="K4574" s="29"/>
      <c r="L4574" s="29" t="s">
        <v>1406</v>
      </c>
      <c r="M4574" s="29" t="s">
        <v>1407</v>
      </c>
      <c r="N4574" s="29" t="s">
        <v>4092</v>
      </c>
      <c r="O4574" s="29"/>
      <c r="P4574" s="29" t="s">
        <v>11768</v>
      </c>
      <c r="Q4574" t="s">
        <v>2194</v>
      </c>
      <c r="R4574" t="s">
        <v>2635</v>
      </c>
      <c r="S4574">
        <v>38</v>
      </c>
      <c r="T4574" s="43" t="str">
        <f t="shared" si="216"/>
        <v>2022.005D.Parvoviridae_2ngen_49nsp_125rensp.zip</v>
      </c>
      <c r="U4574" s="43" t="str">
        <f>HYPERLINK("https://ictv.global/taxonomy/taxondetails?taxnode_id=202204211","ictv.global=202204211")</f>
        <v>ictv.global=202204211</v>
      </c>
    </row>
    <row r="4575" spans="1:21">
      <c r="A4575">
        <v>4574</v>
      </c>
      <c r="B4575" s="29" t="s">
        <v>4053</v>
      </c>
      <c r="C4575" s="29"/>
      <c r="D4575" s="29" t="s">
        <v>4082</v>
      </c>
      <c r="E4575" s="29"/>
      <c r="F4575" s="29" t="s">
        <v>4083</v>
      </c>
      <c r="G4575" s="29"/>
      <c r="H4575" s="29" t="s">
        <v>4089</v>
      </c>
      <c r="I4575" s="29"/>
      <c r="J4575" s="29" t="s">
        <v>4090</v>
      </c>
      <c r="K4575" s="29"/>
      <c r="L4575" s="29" t="s">
        <v>1406</v>
      </c>
      <c r="M4575" s="29" t="s">
        <v>1407</v>
      </c>
      <c r="N4575" s="29" t="s">
        <v>4092</v>
      </c>
      <c r="O4575" s="29"/>
      <c r="P4575" s="29" t="s">
        <v>11769</v>
      </c>
      <c r="Q4575" t="s">
        <v>2194</v>
      </c>
      <c r="R4575" t="s">
        <v>2632</v>
      </c>
      <c r="S4575">
        <v>38</v>
      </c>
      <c r="T4575" s="43" t="str">
        <f t="shared" si="216"/>
        <v>2022.005D.Parvoviridae_2ngen_49nsp_125rensp.zip</v>
      </c>
      <c r="U4575" s="43" t="str">
        <f>HYPERLINK("https://ictv.global/taxonomy/taxondetails?taxnode_id=202214046","ictv.global=202214046")</f>
        <v>ictv.global=202214046</v>
      </c>
    </row>
    <row r="4576" spans="1:21">
      <c r="A4576">
        <v>4575</v>
      </c>
      <c r="B4576" s="29" t="s">
        <v>4053</v>
      </c>
      <c r="C4576" s="29"/>
      <c r="D4576" s="29" t="s">
        <v>4082</v>
      </c>
      <c r="E4576" s="29"/>
      <c r="F4576" s="29" t="s">
        <v>4083</v>
      </c>
      <c r="G4576" s="29"/>
      <c r="H4576" s="29" t="s">
        <v>4089</v>
      </c>
      <c r="I4576" s="29"/>
      <c r="J4576" s="29" t="s">
        <v>4090</v>
      </c>
      <c r="K4576" s="29"/>
      <c r="L4576" s="29" t="s">
        <v>1406</v>
      </c>
      <c r="M4576" s="29" t="s">
        <v>1407</v>
      </c>
      <c r="N4576" s="29" t="s">
        <v>4092</v>
      </c>
      <c r="O4576" s="29"/>
      <c r="P4576" s="29" t="s">
        <v>11770</v>
      </c>
      <c r="Q4576" t="s">
        <v>2194</v>
      </c>
      <c r="R4576" t="s">
        <v>2632</v>
      </c>
      <c r="S4576">
        <v>38</v>
      </c>
      <c r="T4576" s="43" t="str">
        <f t="shared" si="216"/>
        <v>2022.005D.Parvoviridae_2ngen_49nsp_125rensp.zip</v>
      </c>
      <c r="U4576" s="43" t="str">
        <f>HYPERLINK("https://ictv.global/taxonomy/taxondetails?taxnode_id=202214047","ictv.global=202214047")</f>
        <v>ictv.global=202214047</v>
      </c>
    </row>
    <row r="4577" spans="1:21">
      <c r="A4577">
        <v>4576</v>
      </c>
      <c r="B4577" s="29" t="s">
        <v>4053</v>
      </c>
      <c r="C4577" s="29"/>
      <c r="D4577" s="29" t="s">
        <v>4082</v>
      </c>
      <c r="E4577" s="29"/>
      <c r="F4577" s="29" t="s">
        <v>4083</v>
      </c>
      <c r="G4577" s="29"/>
      <c r="H4577" s="29" t="s">
        <v>4089</v>
      </c>
      <c r="I4577" s="29"/>
      <c r="J4577" s="29" t="s">
        <v>4090</v>
      </c>
      <c r="K4577" s="29"/>
      <c r="L4577" s="29" t="s">
        <v>1406</v>
      </c>
      <c r="M4577" s="29" t="s">
        <v>1407</v>
      </c>
      <c r="N4577" s="29" t="s">
        <v>4092</v>
      </c>
      <c r="O4577" s="29"/>
      <c r="P4577" s="29" t="s">
        <v>11771</v>
      </c>
      <c r="Q4577" t="s">
        <v>2194</v>
      </c>
      <c r="R4577" t="s">
        <v>2632</v>
      </c>
      <c r="S4577">
        <v>38</v>
      </c>
      <c r="T4577" s="43" t="str">
        <f t="shared" si="216"/>
        <v>2022.005D.Parvoviridae_2ngen_49nsp_125rensp.zip</v>
      </c>
      <c r="U4577" s="43" t="str">
        <f>HYPERLINK("https://ictv.global/taxonomy/taxondetails?taxnode_id=202214048","ictv.global=202214048")</f>
        <v>ictv.global=202214048</v>
      </c>
    </row>
    <row r="4578" spans="1:21">
      <c r="A4578">
        <v>4577</v>
      </c>
      <c r="B4578" s="29" t="s">
        <v>4053</v>
      </c>
      <c r="C4578" s="29"/>
      <c r="D4578" s="29" t="s">
        <v>4082</v>
      </c>
      <c r="E4578" s="29"/>
      <c r="F4578" s="29" t="s">
        <v>4083</v>
      </c>
      <c r="G4578" s="29"/>
      <c r="H4578" s="29" t="s">
        <v>4089</v>
      </c>
      <c r="I4578" s="29"/>
      <c r="J4578" s="29" t="s">
        <v>4090</v>
      </c>
      <c r="K4578" s="29"/>
      <c r="L4578" s="29" t="s">
        <v>1406</v>
      </c>
      <c r="M4578" s="29" t="s">
        <v>1407</v>
      </c>
      <c r="N4578" s="29" t="s">
        <v>4092</v>
      </c>
      <c r="O4578" s="29"/>
      <c r="P4578" s="29" t="s">
        <v>11772</v>
      </c>
      <c r="Q4578" t="s">
        <v>2194</v>
      </c>
      <c r="R4578" t="s">
        <v>2632</v>
      </c>
      <c r="S4578">
        <v>38</v>
      </c>
      <c r="T4578" s="43" t="str">
        <f t="shared" si="216"/>
        <v>2022.005D.Parvoviridae_2ngen_49nsp_125rensp.zip</v>
      </c>
      <c r="U4578" s="43" t="str">
        <f>HYPERLINK("https://ictv.global/taxonomy/taxondetails?taxnode_id=202214049","ictv.global=202214049")</f>
        <v>ictv.global=202214049</v>
      </c>
    </row>
    <row r="4579" spans="1:21">
      <c r="A4579">
        <v>4578</v>
      </c>
      <c r="B4579" s="29" t="s">
        <v>4053</v>
      </c>
      <c r="C4579" s="29"/>
      <c r="D4579" s="29" t="s">
        <v>4082</v>
      </c>
      <c r="E4579" s="29"/>
      <c r="F4579" s="29" t="s">
        <v>4083</v>
      </c>
      <c r="G4579" s="29"/>
      <c r="H4579" s="29" t="s">
        <v>4089</v>
      </c>
      <c r="I4579" s="29"/>
      <c r="J4579" s="29" t="s">
        <v>4090</v>
      </c>
      <c r="K4579" s="29"/>
      <c r="L4579" s="29" t="s">
        <v>1406</v>
      </c>
      <c r="M4579" s="29" t="s">
        <v>1407</v>
      </c>
      <c r="N4579" s="29" t="s">
        <v>4809</v>
      </c>
      <c r="O4579" s="29"/>
      <c r="P4579" s="29" t="s">
        <v>11773</v>
      </c>
      <c r="Q4579" t="s">
        <v>2194</v>
      </c>
      <c r="R4579" t="s">
        <v>2635</v>
      </c>
      <c r="S4579">
        <v>38</v>
      </c>
      <c r="T4579" s="43" t="str">
        <f t="shared" si="216"/>
        <v>2022.005D.Parvoviridae_2ngen_49nsp_125rensp.zip</v>
      </c>
      <c r="U4579" s="43" t="str">
        <f>HYPERLINK("https://ictv.global/taxonomy/taxondetails?taxnode_id=202209266","ictv.global=202209266")</f>
        <v>ictv.global=202209266</v>
      </c>
    </row>
    <row r="4580" spans="1:21">
      <c r="A4580">
        <v>4579</v>
      </c>
      <c r="B4580" s="29" t="s">
        <v>4053</v>
      </c>
      <c r="C4580" s="29"/>
      <c r="D4580" s="29" t="s">
        <v>4082</v>
      </c>
      <c r="E4580" s="29"/>
      <c r="F4580" s="29" t="s">
        <v>4083</v>
      </c>
      <c r="G4580" s="29"/>
      <c r="H4580" s="29" t="s">
        <v>4089</v>
      </c>
      <c r="I4580" s="29"/>
      <c r="J4580" s="29" t="s">
        <v>4090</v>
      </c>
      <c r="K4580" s="29"/>
      <c r="L4580" s="29" t="s">
        <v>1406</v>
      </c>
      <c r="M4580" s="29" t="s">
        <v>1407</v>
      </c>
      <c r="N4580" s="29" t="s">
        <v>4809</v>
      </c>
      <c r="O4580" s="29"/>
      <c r="P4580" s="29" t="s">
        <v>11774</v>
      </c>
      <c r="Q4580" t="s">
        <v>2194</v>
      </c>
      <c r="R4580" t="s">
        <v>2632</v>
      </c>
      <c r="S4580">
        <v>38</v>
      </c>
      <c r="T4580" s="43" t="str">
        <f t="shared" si="216"/>
        <v>2022.005D.Parvoviridae_2ngen_49nsp_125rensp.zip</v>
      </c>
      <c r="U4580" s="43" t="str">
        <f>HYPERLINK("https://ictv.global/taxonomy/taxondetails?taxnode_id=202214050","ictv.global=202214050")</f>
        <v>ictv.global=202214050</v>
      </c>
    </row>
    <row r="4581" spans="1:21">
      <c r="A4581">
        <v>4580</v>
      </c>
      <c r="B4581" s="29" t="s">
        <v>4053</v>
      </c>
      <c r="C4581" s="29"/>
      <c r="D4581" s="29" t="s">
        <v>4082</v>
      </c>
      <c r="E4581" s="29"/>
      <c r="F4581" s="29" t="s">
        <v>4083</v>
      </c>
      <c r="G4581" s="29"/>
      <c r="H4581" s="29" t="s">
        <v>4089</v>
      </c>
      <c r="I4581" s="29"/>
      <c r="J4581" s="29" t="s">
        <v>4090</v>
      </c>
      <c r="K4581" s="29"/>
      <c r="L4581" s="29" t="s">
        <v>1406</v>
      </c>
      <c r="M4581" s="29" t="s">
        <v>1407</v>
      </c>
      <c r="N4581" s="29" t="s">
        <v>4809</v>
      </c>
      <c r="O4581" s="29"/>
      <c r="P4581" s="29" t="s">
        <v>11775</v>
      </c>
      <c r="Q4581" t="s">
        <v>2194</v>
      </c>
      <c r="R4581" t="s">
        <v>2632</v>
      </c>
      <c r="S4581">
        <v>38</v>
      </c>
      <c r="T4581" s="43" t="str">
        <f t="shared" si="216"/>
        <v>2022.005D.Parvoviridae_2ngen_49nsp_125rensp.zip</v>
      </c>
      <c r="U4581" s="43" t="str">
        <f>HYPERLINK("https://ictv.global/taxonomy/taxondetails?taxnode_id=202214051","ictv.global=202214051")</f>
        <v>ictv.global=202214051</v>
      </c>
    </row>
    <row r="4582" spans="1:21">
      <c r="A4582">
        <v>4581</v>
      </c>
      <c r="B4582" s="29" t="s">
        <v>4053</v>
      </c>
      <c r="C4582" s="29"/>
      <c r="D4582" s="29" t="s">
        <v>4082</v>
      </c>
      <c r="E4582" s="29"/>
      <c r="F4582" s="29" t="s">
        <v>4083</v>
      </c>
      <c r="G4582" s="29"/>
      <c r="H4582" s="29" t="s">
        <v>4089</v>
      </c>
      <c r="I4582" s="29"/>
      <c r="J4582" s="29" t="s">
        <v>4090</v>
      </c>
      <c r="K4582" s="29"/>
      <c r="L4582" s="29" t="s">
        <v>1406</v>
      </c>
      <c r="M4582" s="29" t="s">
        <v>1407</v>
      </c>
      <c r="N4582" s="29" t="s">
        <v>4093</v>
      </c>
      <c r="O4582" s="29"/>
      <c r="P4582" s="29" t="s">
        <v>11776</v>
      </c>
      <c r="Q4582" t="s">
        <v>2194</v>
      </c>
      <c r="R4582" t="s">
        <v>2635</v>
      </c>
      <c r="S4582">
        <v>38</v>
      </c>
      <c r="T4582" s="43" t="str">
        <f t="shared" si="216"/>
        <v>2022.005D.Parvoviridae_2ngen_49nsp_125rensp.zip</v>
      </c>
      <c r="U4582" s="43" t="str">
        <f>HYPERLINK("https://ictv.global/taxonomy/taxondetails?taxnode_id=202204215","ictv.global=202204215")</f>
        <v>ictv.global=202204215</v>
      </c>
    </row>
    <row r="4583" spans="1:21">
      <c r="A4583">
        <v>4582</v>
      </c>
      <c r="B4583" s="29" t="s">
        <v>4053</v>
      </c>
      <c r="C4583" s="29"/>
      <c r="D4583" s="29" t="s">
        <v>4082</v>
      </c>
      <c r="E4583" s="29"/>
      <c r="F4583" s="29" t="s">
        <v>4083</v>
      </c>
      <c r="G4583" s="29"/>
      <c r="H4583" s="29" t="s">
        <v>4089</v>
      </c>
      <c r="I4583" s="29"/>
      <c r="J4583" s="29" t="s">
        <v>4090</v>
      </c>
      <c r="K4583" s="29"/>
      <c r="L4583" s="29" t="s">
        <v>1406</v>
      </c>
      <c r="M4583" s="29" t="s">
        <v>1407</v>
      </c>
      <c r="N4583" s="29" t="s">
        <v>4093</v>
      </c>
      <c r="O4583" s="29"/>
      <c r="P4583" s="29" t="s">
        <v>11777</v>
      </c>
      <c r="Q4583" t="s">
        <v>2194</v>
      </c>
      <c r="R4583" t="s">
        <v>2635</v>
      </c>
      <c r="S4583">
        <v>38</v>
      </c>
      <c r="T4583" s="43" t="str">
        <f t="shared" si="216"/>
        <v>2022.005D.Parvoviridae_2ngen_49nsp_125rensp.zip</v>
      </c>
      <c r="U4583" s="43" t="str">
        <f>HYPERLINK("https://ictv.global/taxonomy/taxondetails?taxnode_id=202204216","ictv.global=202204216")</f>
        <v>ictv.global=202204216</v>
      </c>
    </row>
    <row r="4584" spans="1:21">
      <c r="A4584">
        <v>4583</v>
      </c>
      <c r="B4584" s="29" t="s">
        <v>4053</v>
      </c>
      <c r="C4584" s="29"/>
      <c r="D4584" s="29" t="s">
        <v>4082</v>
      </c>
      <c r="E4584" s="29"/>
      <c r="F4584" s="29" t="s">
        <v>4083</v>
      </c>
      <c r="G4584" s="29"/>
      <c r="H4584" s="29" t="s">
        <v>4089</v>
      </c>
      <c r="I4584" s="29"/>
      <c r="J4584" s="29" t="s">
        <v>4090</v>
      </c>
      <c r="K4584" s="29"/>
      <c r="L4584" s="29" t="s">
        <v>1406</v>
      </c>
      <c r="M4584" s="29" t="s">
        <v>1407</v>
      </c>
      <c r="N4584" s="29" t="s">
        <v>1937</v>
      </c>
      <c r="O4584" s="29"/>
      <c r="P4584" s="29" t="s">
        <v>11778</v>
      </c>
      <c r="Q4584" t="s">
        <v>2194</v>
      </c>
      <c r="R4584" t="s">
        <v>2632</v>
      </c>
      <c r="S4584">
        <v>38</v>
      </c>
      <c r="T4584" s="43" t="str">
        <f t="shared" si="216"/>
        <v>2022.005D.Parvoviridae_2ngen_49nsp_125rensp.zip</v>
      </c>
      <c r="U4584" s="43" t="str">
        <f>HYPERLINK("https://ictv.global/taxonomy/taxondetails?taxnode_id=202214052","ictv.global=202214052")</f>
        <v>ictv.global=202214052</v>
      </c>
    </row>
    <row r="4585" spans="1:21">
      <c r="A4585">
        <v>4584</v>
      </c>
      <c r="B4585" s="29" t="s">
        <v>4053</v>
      </c>
      <c r="C4585" s="29"/>
      <c r="D4585" s="29" t="s">
        <v>4082</v>
      </c>
      <c r="E4585" s="29"/>
      <c r="F4585" s="29" t="s">
        <v>4083</v>
      </c>
      <c r="G4585" s="29"/>
      <c r="H4585" s="29" t="s">
        <v>4089</v>
      </c>
      <c r="I4585" s="29"/>
      <c r="J4585" s="29" t="s">
        <v>4090</v>
      </c>
      <c r="K4585" s="29"/>
      <c r="L4585" s="29" t="s">
        <v>1406</v>
      </c>
      <c r="M4585" s="29" t="s">
        <v>1407</v>
      </c>
      <c r="N4585" s="29" t="s">
        <v>1937</v>
      </c>
      <c r="O4585" s="29"/>
      <c r="P4585" s="29" t="s">
        <v>11779</v>
      </c>
      <c r="Q4585" t="s">
        <v>2194</v>
      </c>
      <c r="R4585" t="s">
        <v>2632</v>
      </c>
      <c r="S4585">
        <v>38</v>
      </c>
      <c r="T4585" s="43" t="str">
        <f t="shared" si="216"/>
        <v>2022.005D.Parvoviridae_2ngen_49nsp_125rensp.zip</v>
      </c>
      <c r="U4585" s="43" t="str">
        <f>HYPERLINK("https://ictv.global/taxonomy/taxondetails?taxnode_id=202214053","ictv.global=202214053")</f>
        <v>ictv.global=202214053</v>
      </c>
    </row>
    <row r="4586" spans="1:21">
      <c r="A4586">
        <v>4585</v>
      </c>
      <c r="B4586" s="29" t="s">
        <v>4053</v>
      </c>
      <c r="C4586" s="29"/>
      <c r="D4586" s="29" t="s">
        <v>4082</v>
      </c>
      <c r="E4586" s="29"/>
      <c r="F4586" s="29" t="s">
        <v>4083</v>
      </c>
      <c r="G4586" s="29"/>
      <c r="H4586" s="29" t="s">
        <v>4089</v>
      </c>
      <c r="I4586" s="29"/>
      <c r="J4586" s="29" t="s">
        <v>4090</v>
      </c>
      <c r="K4586" s="29"/>
      <c r="L4586" s="29" t="s">
        <v>1406</v>
      </c>
      <c r="M4586" s="29" t="s">
        <v>1407</v>
      </c>
      <c r="N4586" s="29" t="s">
        <v>1937</v>
      </c>
      <c r="O4586" s="29"/>
      <c r="P4586" s="29" t="s">
        <v>11780</v>
      </c>
      <c r="Q4586" t="s">
        <v>2041</v>
      </c>
      <c r="R4586" t="s">
        <v>2635</v>
      </c>
      <c r="S4586">
        <v>38</v>
      </c>
      <c r="T4586" s="43" t="str">
        <f t="shared" si="216"/>
        <v>2022.005D.Parvoviridae_2ngen_49nsp_125rensp.zip</v>
      </c>
      <c r="U4586" s="43" t="str">
        <f>HYPERLINK("https://ictv.global/taxonomy/taxondetails?taxnode_id=202204226","ictv.global=202204226")</f>
        <v>ictv.global=202204226</v>
      </c>
    </row>
    <row r="4587" spans="1:21">
      <c r="A4587">
        <v>4586</v>
      </c>
      <c r="B4587" s="29" t="s">
        <v>4053</v>
      </c>
      <c r="C4587" s="29"/>
      <c r="D4587" s="29" t="s">
        <v>4082</v>
      </c>
      <c r="E4587" s="29"/>
      <c r="F4587" s="29" t="s">
        <v>4083</v>
      </c>
      <c r="G4587" s="29"/>
      <c r="H4587" s="29" t="s">
        <v>4089</v>
      </c>
      <c r="I4587" s="29"/>
      <c r="J4587" s="29" t="s">
        <v>4090</v>
      </c>
      <c r="K4587" s="29"/>
      <c r="L4587" s="29" t="s">
        <v>1406</v>
      </c>
      <c r="M4587" s="29" t="s">
        <v>1407</v>
      </c>
      <c r="N4587" s="29" t="s">
        <v>1937</v>
      </c>
      <c r="O4587" s="29"/>
      <c r="P4587" s="29" t="s">
        <v>11781</v>
      </c>
      <c r="Q4587" t="s">
        <v>2041</v>
      </c>
      <c r="R4587" t="s">
        <v>2635</v>
      </c>
      <c r="S4587">
        <v>38</v>
      </c>
      <c r="T4587" s="43" t="str">
        <f t="shared" si="216"/>
        <v>2022.005D.Parvoviridae_2ngen_49nsp_125rensp.zip</v>
      </c>
      <c r="U4587" s="43" t="str">
        <f>HYPERLINK("https://ictv.global/taxonomy/taxondetails?taxnode_id=202204227","ictv.global=202204227")</f>
        <v>ictv.global=202204227</v>
      </c>
    </row>
    <row r="4588" spans="1:21">
      <c r="A4588">
        <v>4587</v>
      </c>
      <c r="B4588" s="29" t="s">
        <v>4053</v>
      </c>
      <c r="C4588" s="29"/>
      <c r="D4588" s="29" t="s">
        <v>4082</v>
      </c>
      <c r="E4588" s="29"/>
      <c r="F4588" s="29" t="s">
        <v>4083</v>
      </c>
      <c r="G4588" s="29"/>
      <c r="H4588" s="29" t="s">
        <v>4089</v>
      </c>
      <c r="I4588" s="29"/>
      <c r="J4588" s="29" t="s">
        <v>4090</v>
      </c>
      <c r="K4588" s="29"/>
      <c r="L4588" s="29" t="s">
        <v>1406</v>
      </c>
      <c r="M4588" s="29" t="s">
        <v>1407</v>
      </c>
      <c r="N4588" s="29" t="s">
        <v>1937</v>
      </c>
      <c r="O4588" s="29"/>
      <c r="P4588" s="29" t="s">
        <v>11782</v>
      </c>
      <c r="Q4588" t="s">
        <v>2041</v>
      </c>
      <c r="R4588" t="s">
        <v>2635</v>
      </c>
      <c r="S4588">
        <v>38</v>
      </c>
      <c r="T4588" s="43" t="str">
        <f t="shared" si="216"/>
        <v>2022.005D.Parvoviridae_2ngen_49nsp_125rensp.zip</v>
      </c>
      <c r="U4588" s="43" t="str">
        <f>HYPERLINK("https://ictv.global/taxonomy/taxondetails?taxnode_id=202204228","ictv.global=202204228")</f>
        <v>ictv.global=202204228</v>
      </c>
    </row>
    <row r="4589" spans="1:21">
      <c r="A4589">
        <v>4588</v>
      </c>
      <c r="B4589" s="29" t="s">
        <v>4053</v>
      </c>
      <c r="C4589" s="29"/>
      <c r="D4589" s="29" t="s">
        <v>4082</v>
      </c>
      <c r="E4589" s="29"/>
      <c r="F4589" s="29" t="s">
        <v>4083</v>
      </c>
      <c r="G4589" s="29"/>
      <c r="H4589" s="29" t="s">
        <v>4089</v>
      </c>
      <c r="I4589" s="29"/>
      <c r="J4589" s="29" t="s">
        <v>4090</v>
      </c>
      <c r="K4589" s="29"/>
      <c r="L4589" s="29" t="s">
        <v>1406</v>
      </c>
      <c r="M4589" s="29" t="s">
        <v>1407</v>
      </c>
      <c r="N4589" s="29" t="s">
        <v>1937</v>
      </c>
      <c r="O4589" s="29"/>
      <c r="P4589" s="29" t="s">
        <v>11783</v>
      </c>
      <c r="Q4589" t="s">
        <v>2041</v>
      </c>
      <c r="R4589" t="s">
        <v>2635</v>
      </c>
      <c r="S4589">
        <v>38</v>
      </c>
      <c r="T4589" s="43" t="str">
        <f t="shared" si="216"/>
        <v>2022.005D.Parvoviridae_2ngen_49nsp_125rensp.zip</v>
      </c>
      <c r="U4589" s="43" t="str">
        <f>HYPERLINK("https://ictv.global/taxonomy/taxondetails?taxnode_id=202204229","ictv.global=202204229")</f>
        <v>ictv.global=202204229</v>
      </c>
    </row>
    <row r="4590" spans="1:21">
      <c r="A4590">
        <v>4589</v>
      </c>
      <c r="B4590" s="29" t="s">
        <v>4053</v>
      </c>
      <c r="C4590" s="29"/>
      <c r="D4590" s="29" t="s">
        <v>4082</v>
      </c>
      <c r="E4590" s="29"/>
      <c r="F4590" s="29" t="s">
        <v>4083</v>
      </c>
      <c r="G4590" s="29"/>
      <c r="H4590" s="29" t="s">
        <v>4089</v>
      </c>
      <c r="I4590" s="29"/>
      <c r="J4590" s="29" t="s">
        <v>4090</v>
      </c>
      <c r="K4590" s="29"/>
      <c r="L4590" s="29" t="s">
        <v>1406</v>
      </c>
      <c r="M4590" s="29" t="s">
        <v>1407</v>
      </c>
      <c r="N4590" s="29" t="s">
        <v>1937</v>
      </c>
      <c r="O4590" s="29"/>
      <c r="P4590" s="29" t="s">
        <v>11784</v>
      </c>
      <c r="Q4590" t="s">
        <v>2041</v>
      </c>
      <c r="R4590" t="s">
        <v>2635</v>
      </c>
      <c r="S4590">
        <v>38</v>
      </c>
      <c r="T4590" s="43" t="str">
        <f t="shared" si="216"/>
        <v>2022.005D.Parvoviridae_2ngen_49nsp_125rensp.zip</v>
      </c>
      <c r="U4590" s="43" t="str">
        <f>HYPERLINK("https://ictv.global/taxonomy/taxondetails?taxnode_id=202204230","ictv.global=202204230")</f>
        <v>ictv.global=202204230</v>
      </c>
    </row>
    <row r="4591" spans="1:21">
      <c r="A4591">
        <v>4590</v>
      </c>
      <c r="B4591" s="29" t="s">
        <v>4053</v>
      </c>
      <c r="C4591" s="29"/>
      <c r="D4591" s="29" t="s">
        <v>4082</v>
      </c>
      <c r="E4591" s="29"/>
      <c r="F4591" s="29" t="s">
        <v>4083</v>
      </c>
      <c r="G4591" s="29"/>
      <c r="H4591" s="29" t="s">
        <v>4089</v>
      </c>
      <c r="I4591" s="29"/>
      <c r="J4591" s="29" t="s">
        <v>4090</v>
      </c>
      <c r="K4591" s="29"/>
      <c r="L4591" s="29" t="s">
        <v>1406</v>
      </c>
      <c r="M4591" s="29" t="s">
        <v>1407</v>
      </c>
      <c r="N4591" s="29" t="s">
        <v>4094</v>
      </c>
      <c r="O4591" s="29"/>
      <c r="P4591" s="29" t="s">
        <v>4095</v>
      </c>
      <c r="Q4591" t="s">
        <v>2194</v>
      </c>
      <c r="R4591" t="s">
        <v>6901</v>
      </c>
      <c r="S4591">
        <v>36</v>
      </c>
      <c r="T4591" s="43" t="str">
        <f>HYPERLINK("https://ictv.global/ictv/proposals/2020.001G.R.Abolish_type_species.pdf","2020.001G.R.Abolish_type_species.pdf")</f>
        <v>2020.001G.R.Abolish_type_species.pdf</v>
      </c>
      <c r="U4591" s="43" t="str">
        <f>HYPERLINK("https://ictv.global/taxonomy/taxondetails?taxnode_id=202204234","ictv.global=202204234")</f>
        <v>ictv.global=202204234</v>
      </c>
    </row>
    <row r="4592" spans="1:21">
      <c r="A4592">
        <v>4591</v>
      </c>
      <c r="B4592" s="29" t="s">
        <v>4053</v>
      </c>
      <c r="C4592" s="29"/>
      <c r="D4592" s="29" t="s">
        <v>4082</v>
      </c>
      <c r="E4592" s="29"/>
      <c r="F4592" s="29" t="s">
        <v>4083</v>
      </c>
      <c r="G4592" s="29"/>
      <c r="H4592" s="29" t="s">
        <v>4089</v>
      </c>
      <c r="I4592" s="29"/>
      <c r="J4592" s="29" t="s">
        <v>4090</v>
      </c>
      <c r="K4592" s="29"/>
      <c r="L4592" s="29" t="s">
        <v>1406</v>
      </c>
      <c r="M4592" s="29" t="s">
        <v>1407</v>
      </c>
      <c r="N4592" s="29" t="s">
        <v>4810</v>
      </c>
      <c r="O4592" s="29"/>
      <c r="P4592" s="29" t="s">
        <v>11785</v>
      </c>
      <c r="Q4592" t="s">
        <v>2194</v>
      </c>
      <c r="R4592" t="s">
        <v>2635</v>
      </c>
      <c r="S4592">
        <v>38</v>
      </c>
      <c r="T4592" s="43" t="str">
        <f t="shared" ref="T4592:T4614" si="217">HYPERLINK("https://ictv.global/ictv/proposals/2022.005D.Parvoviridae_2ngen_49nsp_125rensp.zip","2022.005D.Parvoviridae_2ngen_49nsp_125rensp.zip")</f>
        <v>2022.005D.Parvoviridae_2ngen_49nsp_125rensp.zip</v>
      </c>
      <c r="U4592" s="43" t="str">
        <f>HYPERLINK("https://ictv.global/taxonomy/taxondetails?taxnode_id=202209268","ictv.global=202209268")</f>
        <v>ictv.global=202209268</v>
      </c>
    </row>
    <row r="4593" spans="1:21">
      <c r="A4593">
        <v>4592</v>
      </c>
      <c r="B4593" s="29" t="s">
        <v>4053</v>
      </c>
      <c r="C4593" s="29"/>
      <c r="D4593" s="29" t="s">
        <v>4082</v>
      </c>
      <c r="E4593" s="29"/>
      <c r="F4593" s="29" t="s">
        <v>4083</v>
      </c>
      <c r="G4593" s="29"/>
      <c r="H4593" s="29" t="s">
        <v>4089</v>
      </c>
      <c r="I4593" s="29"/>
      <c r="J4593" s="29" t="s">
        <v>4090</v>
      </c>
      <c r="K4593" s="29"/>
      <c r="L4593" s="29" t="s">
        <v>1406</v>
      </c>
      <c r="M4593" s="29" t="s">
        <v>1407</v>
      </c>
      <c r="N4593" s="29" t="s">
        <v>4810</v>
      </c>
      <c r="O4593" s="29"/>
      <c r="P4593" s="29" t="s">
        <v>11786</v>
      </c>
      <c r="Q4593" t="s">
        <v>2194</v>
      </c>
      <c r="R4593" t="s">
        <v>2632</v>
      </c>
      <c r="S4593">
        <v>38</v>
      </c>
      <c r="T4593" s="43" t="str">
        <f t="shared" si="217"/>
        <v>2022.005D.Parvoviridae_2ngen_49nsp_125rensp.zip</v>
      </c>
      <c r="U4593" s="43" t="str">
        <f>HYPERLINK("https://ictv.global/taxonomy/taxondetails?taxnode_id=202214054","ictv.global=202214054")</f>
        <v>ictv.global=202214054</v>
      </c>
    </row>
    <row r="4594" spans="1:21">
      <c r="A4594">
        <v>4593</v>
      </c>
      <c r="B4594" s="29" t="s">
        <v>4053</v>
      </c>
      <c r="C4594" s="29"/>
      <c r="D4594" s="29" t="s">
        <v>4082</v>
      </c>
      <c r="E4594" s="29"/>
      <c r="F4594" s="29" t="s">
        <v>4083</v>
      </c>
      <c r="G4594" s="29"/>
      <c r="H4594" s="29" t="s">
        <v>4089</v>
      </c>
      <c r="I4594" s="29"/>
      <c r="J4594" s="29" t="s">
        <v>4090</v>
      </c>
      <c r="K4594" s="29"/>
      <c r="L4594" s="29" t="s">
        <v>1406</v>
      </c>
      <c r="M4594" s="29" t="s">
        <v>1407</v>
      </c>
      <c r="N4594" s="29" t="s">
        <v>4096</v>
      </c>
      <c r="O4594" s="29"/>
      <c r="P4594" s="29" t="s">
        <v>11787</v>
      </c>
      <c r="Q4594" t="s">
        <v>2194</v>
      </c>
      <c r="R4594" t="s">
        <v>2635</v>
      </c>
      <c r="S4594">
        <v>38</v>
      </c>
      <c r="T4594" s="43" t="str">
        <f t="shared" si="217"/>
        <v>2022.005D.Parvoviridae_2ngen_49nsp_125rensp.zip</v>
      </c>
      <c r="U4594" s="43" t="str">
        <f>HYPERLINK("https://ictv.global/taxonomy/taxondetails?taxnode_id=202204210","ictv.global=202204210")</f>
        <v>ictv.global=202204210</v>
      </c>
    </row>
    <row r="4595" spans="1:21">
      <c r="A4595">
        <v>4594</v>
      </c>
      <c r="B4595" s="29" t="s">
        <v>4053</v>
      </c>
      <c r="C4595" s="29"/>
      <c r="D4595" s="29" t="s">
        <v>4082</v>
      </c>
      <c r="E4595" s="29"/>
      <c r="F4595" s="29" t="s">
        <v>4083</v>
      </c>
      <c r="G4595" s="29"/>
      <c r="H4595" s="29" t="s">
        <v>4089</v>
      </c>
      <c r="I4595" s="29"/>
      <c r="J4595" s="29" t="s">
        <v>4090</v>
      </c>
      <c r="K4595" s="29"/>
      <c r="L4595" s="29" t="s">
        <v>1406</v>
      </c>
      <c r="M4595" s="29" t="s">
        <v>1407</v>
      </c>
      <c r="N4595" s="29" t="s">
        <v>4096</v>
      </c>
      <c r="O4595" s="29"/>
      <c r="P4595" s="29" t="s">
        <v>11788</v>
      </c>
      <c r="Q4595" t="s">
        <v>2194</v>
      </c>
      <c r="R4595" t="s">
        <v>2632</v>
      </c>
      <c r="S4595">
        <v>38</v>
      </c>
      <c r="T4595" s="43" t="str">
        <f t="shared" si="217"/>
        <v>2022.005D.Parvoviridae_2ngen_49nsp_125rensp.zip</v>
      </c>
      <c r="U4595" s="43" t="str">
        <f>HYPERLINK("https://ictv.global/taxonomy/taxondetails?taxnode_id=202214055","ictv.global=202214055")</f>
        <v>ictv.global=202214055</v>
      </c>
    </row>
    <row r="4596" spans="1:21">
      <c r="A4596">
        <v>4595</v>
      </c>
      <c r="B4596" s="29" t="s">
        <v>4053</v>
      </c>
      <c r="C4596" s="29"/>
      <c r="D4596" s="29" t="s">
        <v>4082</v>
      </c>
      <c r="E4596" s="29"/>
      <c r="F4596" s="29" t="s">
        <v>4083</v>
      </c>
      <c r="G4596" s="29"/>
      <c r="H4596" s="29" t="s">
        <v>4089</v>
      </c>
      <c r="I4596" s="29"/>
      <c r="J4596" s="29" t="s">
        <v>4090</v>
      </c>
      <c r="K4596" s="29"/>
      <c r="L4596" s="29" t="s">
        <v>1406</v>
      </c>
      <c r="M4596" s="29" t="s">
        <v>1407</v>
      </c>
      <c r="N4596" s="29" t="s">
        <v>4098</v>
      </c>
      <c r="O4596" s="29"/>
      <c r="P4596" s="29" t="s">
        <v>11789</v>
      </c>
      <c r="Q4596" t="s">
        <v>2194</v>
      </c>
      <c r="R4596" t="s">
        <v>2635</v>
      </c>
      <c r="S4596">
        <v>38</v>
      </c>
      <c r="T4596" s="43" t="str">
        <f t="shared" si="217"/>
        <v>2022.005D.Parvoviridae_2ngen_49nsp_125rensp.zip</v>
      </c>
      <c r="U4596" s="43" t="str">
        <f>HYPERLINK("https://ictv.global/taxonomy/taxondetails?taxnode_id=202204213","ictv.global=202204213")</f>
        <v>ictv.global=202204213</v>
      </c>
    </row>
    <row r="4597" spans="1:21">
      <c r="A4597">
        <v>4596</v>
      </c>
      <c r="B4597" s="29" t="s">
        <v>4053</v>
      </c>
      <c r="C4597" s="29"/>
      <c r="D4597" s="29" t="s">
        <v>4082</v>
      </c>
      <c r="E4597" s="29"/>
      <c r="F4597" s="29" t="s">
        <v>4083</v>
      </c>
      <c r="G4597" s="29"/>
      <c r="H4597" s="29" t="s">
        <v>4089</v>
      </c>
      <c r="I4597" s="29"/>
      <c r="J4597" s="29" t="s">
        <v>4090</v>
      </c>
      <c r="K4597" s="29"/>
      <c r="L4597" s="29" t="s">
        <v>1406</v>
      </c>
      <c r="M4597" s="29" t="s">
        <v>1407</v>
      </c>
      <c r="N4597" s="29" t="s">
        <v>4098</v>
      </c>
      <c r="O4597" s="29"/>
      <c r="P4597" s="29" t="s">
        <v>11790</v>
      </c>
      <c r="Q4597" t="s">
        <v>2194</v>
      </c>
      <c r="R4597" t="s">
        <v>2632</v>
      </c>
      <c r="S4597">
        <v>38</v>
      </c>
      <c r="T4597" s="43" t="str">
        <f t="shared" si="217"/>
        <v>2022.005D.Parvoviridae_2ngen_49nsp_125rensp.zip</v>
      </c>
      <c r="U4597" s="43" t="str">
        <f>HYPERLINK("https://ictv.global/taxonomy/taxondetails?taxnode_id=202214056","ictv.global=202214056")</f>
        <v>ictv.global=202214056</v>
      </c>
    </row>
    <row r="4598" spans="1:21">
      <c r="A4598">
        <v>4597</v>
      </c>
      <c r="B4598" s="29" t="s">
        <v>4053</v>
      </c>
      <c r="C4598" s="29"/>
      <c r="D4598" s="29" t="s">
        <v>4082</v>
      </c>
      <c r="E4598" s="29"/>
      <c r="F4598" s="29" t="s">
        <v>4083</v>
      </c>
      <c r="G4598" s="29"/>
      <c r="H4598" s="29" t="s">
        <v>4089</v>
      </c>
      <c r="I4598" s="29"/>
      <c r="J4598" s="29" t="s">
        <v>4090</v>
      </c>
      <c r="K4598" s="29"/>
      <c r="L4598" s="29" t="s">
        <v>1406</v>
      </c>
      <c r="M4598" s="29" t="s">
        <v>1407</v>
      </c>
      <c r="N4598" s="29" t="s">
        <v>4098</v>
      </c>
      <c r="O4598" s="29"/>
      <c r="P4598" s="29" t="s">
        <v>11791</v>
      </c>
      <c r="Q4598" t="s">
        <v>2194</v>
      </c>
      <c r="R4598" t="s">
        <v>2635</v>
      </c>
      <c r="S4598">
        <v>38</v>
      </c>
      <c r="T4598" s="43" t="str">
        <f t="shared" si="217"/>
        <v>2022.005D.Parvoviridae_2ngen_49nsp_125rensp.zip</v>
      </c>
      <c r="U4598" s="43" t="str">
        <f>HYPERLINK("https://ictv.global/taxonomy/taxondetails?taxnode_id=202204218","ictv.global=202204218")</f>
        <v>ictv.global=202204218</v>
      </c>
    </row>
    <row r="4599" spans="1:21">
      <c r="A4599">
        <v>4598</v>
      </c>
      <c r="B4599" s="29" t="s">
        <v>4053</v>
      </c>
      <c r="C4599" s="29"/>
      <c r="D4599" s="29" t="s">
        <v>4082</v>
      </c>
      <c r="E4599" s="29"/>
      <c r="F4599" s="29" t="s">
        <v>4083</v>
      </c>
      <c r="G4599" s="29"/>
      <c r="H4599" s="29" t="s">
        <v>4089</v>
      </c>
      <c r="I4599" s="29"/>
      <c r="J4599" s="29" t="s">
        <v>4090</v>
      </c>
      <c r="K4599" s="29"/>
      <c r="L4599" s="29" t="s">
        <v>1406</v>
      </c>
      <c r="M4599" s="29" t="s">
        <v>1407</v>
      </c>
      <c r="N4599" s="29" t="s">
        <v>4099</v>
      </c>
      <c r="O4599" s="29"/>
      <c r="P4599" s="29" t="s">
        <v>11792</v>
      </c>
      <c r="Q4599" t="s">
        <v>2194</v>
      </c>
      <c r="R4599" t="s">
        <v>2635</v>
      </c>
      <c r="S4599">
        <v>38</v>
      </c>
      <c r="T4599" s="43" t="str">
        <f t="shared" si="217"/>
        <v>2022.005D.Parvoviridae_2ngen_49nsp_125rensp.zip</v>
      </c>
      <c r="U4599" s="43" t="str">
        <f>HYPERLINK("https://ictv.global/taxonomy/taxondetails?taxnode_id=202204214","ictv.global=202204214")</f>
        <v>ictv.global=202204214</v>
      </c>
    </row>
    <row r="4600" spans="1:21">
      <c r="A4600">
        <v>4599</v>
      </c>
      <c r="B4600" s="29" t="s">
        <v>4053</v>
      </c>
      <c r="C4600" s="29"/>
      <c r="D4600" s="29" t="s">
        <v>4082</v>
      </c>
      <c r="E4600" s="29"/>
      <c r="F4600" s="29" t="s">
        <v>4083</v>
      </c>
      <c r="G4600" s="29"/>
      <c r="H4600" s="29" t="s">
        <v>4089</v>
      </c>
      <c r="I4600" s="29"/>
      <c r="J4600" s="29" t="s">
        <v>4090</v>
      </c>
      <c r="K4600" s="29"/>
      <c r="L4600" s="29" t="s">
        <v>1406</v>
      </c>
      <c r="M4600" s="29" t="s">
        <v>1407</v>
      </c>
      <c r="N4600" s="29" t="s">
        <v>4099</v>
      </c>
      <c r="O4600" s="29"/>
      <c r="P4600" s="29" t="s">
        <v>11793</v>
      </c>
      <c r="Q4600" t="s">
        <v>2194</v>
      </c>
      <c r="R4600" t="s">
        <v>2635</v>
      </c>
      <c r="S4600">
        <v>38</v>
      </c>
      <c r="T4600" s="43" t="str">
        <f t="shared" si="217"/>
        <v>2022.005D.Parvoviridae_2ngen_49nsp_125rensp.zip</v>
      </c>
      <c r="U4600" s="43" t="str">
        <f>HYPERLINK("https://ictv.global/taxonomy/taxondetails?taxnode_id=202204217","ictv.global=202204217")</f>
        <v>ictv.global=202204217</v>
      </c>
    </row>
    <row r="4601" spans="1:21">
      <c r="A4601">
        <v>4600</v>
      </c>
      <c r="B4601" s="29" t="s">
        <v>4053</v>
      </c>
      <c r="C4601" s="29"/>
      <c r="D4601" s="29" t="s">
        <v>4082</v>
      </c>
      <c r="E4601" s="29"/>
      <c r="F4601" s="29" t="s">
        <v>4083</v>
      </c>
      <c r="G4601" s="29"/>
      <c r="H4601" s="29" t="s">
        <v>4089</v>
      </c>
      <c r="I4601" s="29"/>
      <c r="J4601" s="29" t="s">
        <v>4090</v>
      </c>
      <c r="K4601" s="29"/>
      <c r="L4601" s="29" t="s">
        <v>1406</v>
      </c>
      <c r="M4601" s="29" t="s">
        <v>1407</v>
      </c>
      <c r="N4601" s="29" t="s">
        <v>4099</v>
      </c>
      <c r="O4601" s="29"/>
      <c r="P4601" s="29" t="s">
        <v>11794</v>
      </c>
      <c r="Q4601" t="s">
        <v>2194</v>
      </c>
      <c r="R4601" t="s">
        <v>2632</v>
      </c>
      <c r="S4601">
        <v>38</v>
      </c>
      <c r="T4601" s="43" t="str">
        <f t="shared" si="217"/>
        <v>2022.005D.Parvoviridae_2ngen_49nsp_125rensp.zip</v>
      </c>
      <c r="U4601" s="43" t="str">
        <f>HYPERLINK("https://ictv.global/taxonomy/taxondetails?taxnode_id=202214057","ictv.global=202214057")</f>
        <v>ictv.global=202214057</v>
      </c>
    </row>
    <row r="4602" spans="1:21">
      <c r="A4602">
        <v>4601</v>
      </c>
      <c r="B4602" s="29" t="s">
        <v>4053</v>
      </c>
      <c r="C4602" s="29"/>
      <c r="D4602" s="29" t="s">
        <v>4082</v>
      </c>
      <c r="E4602" s="29"/>
      <c r="F4602" s="29" t="s">
        <v>4083</v>
      </c>
      <c r="G4602" s="29"/>
      <c r="H4602" s="29" t="s">
        <v>4089</v>
      </c>
      <c r="I4602" s="29"/>
      <c r="J4602" s="29" t="s">
        <v>4090</v>
      </c>
      <c r="K4602" s="29"/>
      <c r="L4602" s="29" t="s">
        <v>1406</v>
      </c>
      <c r="M4602" s="29" t="s">
        <v>1407</v>
      </c>
      <c r="N4602" s="29" t="s">
        <v>4099</v>
      </c>
      <c r="O4602" s="29"/>
      <c r="P4602" s="29" t="s">
        <v>11795</v>
      </c>
      <c r="Q4602" t="s">
        <v>2194</v>
      </c>
      <c r="R4602" t="s">
        <v>2632</v>
      </c>
      <c r="S4602">
        <v>38</v>
      </c>
      <c r="T4602" s="43" t="str">
        <f t="shared" si="217"/>
        <v>2022.005D.Parvoviridae_2ngen_49nsp_125rensp.zip</v>
      </c>
      <c r="U4602" s="43" t="str">
        <f>HYPERLINK("https://ictv.global/taxonomy/taxondetails?taxnode_id=202214058","ictv.global=202214058")</f>
        <v>ictv.global=202214058</v>
      </c>
    </row>
    <row r="4603" spans="1:21">
      <c r="A4603">
        <v>4602</v>
      </c>
      <c r="B4603" s="29" t="s">
        <v>4053</v>
      </c>
      <c r="C4603" s="29"/>
      <c r="D4603" s="29" t="s">
        <v>4082</v>
      </c>
      <c r="E4603" s="29"/>
      <c r="F4603" s="29" t="s">
        <v>4083</v>
      </c>
      <c r="G4603" s="29"/>
      <c r="H4603" s="29" t="s">
        <v>4089</v>
      </c>
      <c r="I4603" s="29"/>
      <c r="J4603" s="29" t="s">
        <v>4090</v>
      </c>
      <c r="K4603" s="29"/>
      <c r="L4603" s="29" t="s">
        <v>1406</v>
      </c>
      <c r="M4603" s="29" t="s">
        <v>1407</v>
      </c>
      <c r="N4603" s="29" t="s">
        <v>4099</v>
      </c>
      <c r="O4603" s="29"/>
      <c r="P4603" s="29" t="s">
        <v>11796</v>
      </c>
      <c r="Q4603" t="s">
        <v>2194</v>
      </c>
      <c r="R4603" t="s">
        <v>2635</v>
      </c>
      <c r="S4603">
        <v>38</v>
      </c>
      <c r="T4603" s="43" t="str">
        <f t="shared" si="217"/>
        <v>2022.005D.Parvoviridae_2ngen_49nsp_125rensp.zip</v>
      </c>
      <c r="U4603" s="43" t="str">
        <f>HYPERLINK("https://ictv.global/taxonomy/taxondetails?taxnode_id=202204219","ictv.global=202204219")</f>
        <v>ictv.global=202204219</v>
      </c>
    </row>
    <row r="4604" spans="1:21">
      <c r="A4604">
        <v>4603</v>
      </c>
      <c r="B4604" s="29" t="s">
        <v>4053</v>
      </c>
      <c r="C4604" s="29"/>
      <c r="D4604" s="29" t="s">
        <v>4082</v>
      </c>
      <c r="E4604" s="29"/>
      <c r="F4604" s="29" t="s">
        <v>4083</v>
      </c>
      <c r="G4604" s="29"/>
      <c r="H4604" s="29" t="s">
        <v>4089</v>
      </c>
      <c r="I4604" s="29"/>
      <c r="J4604" s="29" t="s">
        <v>4090</v>
      </c>
      <c r="K4604" s="29"/>
      <c r="L4604" s="29" t="s">
        <v>1406</v>
      </c>
      <c r="M4604" s="29" t="s">
        <v>1407</v>
      </c>
      <c r="N4604" s="29" t="s">
        <v>4811</v>
      </c>
      <c r="O4604" s="29"/>
      <c r="P4604" s="29" t="s">
        <v>11797</v>
      </c>
      <c r="Q4604" t="s">
        <v>2194</v>
      </c>
      <c r="R4604" t="s">
        <v>2632</v>
      </c>
      <c r="S4604">
        <v>38</v>
      </c>
      <c r="T4604" s="43" t="str">
        <f t="shared" si="217"/>
        <v>2022.005D.Parvoviridae_2ngen_49nsp_125rensp.zip</v>
      </c>
      <c r="U4604" s="43" t="str">
        <f>HYPERLINK("https://ictv.global/taxonomy/taxondetails?taxnode_id=202214059","ictv.global=202214059")</f>
        <v>ictv.global=202214059</v>
      </c>
    </row>
    <row r="4605" spans="1:21">
      <c r="A4605">
        <v>4604</v>
      </c>
      <c r="B4605" s="29" t="s">
        <v>4053</v>
      </c>
      <c r="C4605" s="29"/>
      <c r="D4605" s="29" t="s">
        <v>4082</v>
      </c>
      <c r="E4605" s="29"/>
      <c r="F4605" s="29" t="s">
        <v>4083</v>
      </c>
      <c r="G4605" s="29"/>
      <c r="H4605" s="29" t="s">
        <v>4089</v>
      </c>
      <c r="I4605" s="29"/>
      <c r="J4605" s="29" t="s">
        <v>4090</v>
      </c>
      <c r="K4605" s="29"/>
      <c r="L4605" s="29" t="s">
        <v>1406</v>
      </c>
      <c r="M4605" s="29" t="s">
        <v>1407</v>
      </c>
      <c r="N4605" s="29" t="s">
        <v>4811</v>
      </c>
      <c r="O4605" s="29"/>
      <c r="P4605" s="29" t="s">
        <v>11798</v>
      </c>
      <c r="Q4605" t="s">
        <v>2194</v>
      </c>
      <c r="R4605" t="s">
        <v>2632</v>
      </c>
      <c r="S4605">
        <v>38</v>
      </c>
      <c r="T4605" s="43" t="str">
        <f t="shared" si="217"/>
        <v>2022.005D.Parvoviridae_2ngen_49nsp_125rensp.zip</v>
      </c>
      <c r="U4605" s="43" t="str">
        <f>HYPERLINK("https://ictv.global/taxonomy/taxondetails?taxnode_id=202214060","ictv.global=202214060")</f>
        <v>ictv.global=202214060</v>
      </c>
    </row>
    <row r="4606" spans="1:21">
      <c r="A4606">
        <v>4605</v>
      </c>
      <c r="B4606" s="29" t="s">
        <v>4053</v>
      </c>
      <c r="C4606" s="29"/>
      <c r="D4606" s="29" t="s">
        <v>4082</v>
      </c>
      <c r="E4606" s="29"/>
      <c r="F4606" s="29" t="s">
        <v>4083</v>
      </c>
      <c r="G4606" s="29"/>
      <c r="H4606" s="29" t="s">
        <v>4089</v>
      </c>
      <c r="I4606" s="29"/>
      <c r="J4606" s="29" t="s">
        <v>4090</v>
      </c>
      <c r="K4606" s="29"/>
      <c r="L4606" s="29" t="s">
        <v>1406</v>
      </c>
      <c r="M4606" s="29" t="s">
        <v>1407</v>
      </c>
      <c r="N4606" s="29" t="s">
        <v>4811</v>
      </c>
      <c r="O4606" s="29"/>
      <c r="P4606" s="29" t="s">
        <v>11799</v>
      </c>
      <c r="Q4606" t="s">
        <v>2194</v>
      </c>
      <c r="R4606" t="s">
        <v>2635</v>
      </c>
      <c r="S4606">
        <v>38</v>
      </c>
      <c r="T4606" s="43" t="str">
        <f t="shared" si="217"/>
        <v>2022.005D.Parvoviridae_2ngen_49nsp_125rensp.zip</v>
      </c>
      <c r="U4606" s="43" t="str">
        <f>HYPERLINK("https://ictv.global/taxonomy/taxondetails?taxnode_id=202209270","ictv.global=202209270")</f>
        <v>ictv.global=202209270</v>
      </c>
    </row>
    <row r="4607" spans="1:21">
      <c r="A4607">
        <v>4606</v>
      </c>
      <c r="B4607" s="29" t="s">
        <v>4053</v>
      </c>
      <c r="C4607" s="29"/>
      <c r="D4607" s="29" t="s">
        <v>4082</v>
      </c>
      <c r="E4607" s="29"/>
      <c r="F4607" s="29" t="s">
        <v>4083</v>
      </c>
      <c r="G4607" s="29"/>
      <c r="H4607" s="29" t="s">
        <v>4089</v>
      </c>
      <c r="I4607" s="29"/>
      <c r="J4607" s="29" t="s">
        <v>4090</v>
      </c>
      <c r="K4607" s="29"/>
      <c r="L4607" s="29" t="s">
        <v>1406</v>
      </c>
      <c r="M4607" s="29" t="s">
        <v>4100</v>
      </c>
      <c r="N4607" s="29" t="s">
        <v>4101</v>
      </c>
      <c r="O4607" s="29"/>
      <c r="P4607" s="29" t="s">
        <v>11800</v>
      </c>
      <c r="Q4607" t="s">
        <v>2194</v>
      </c>
      <c r="R4607" t="s">
        <v>2635</v>
      </c>
      <c r="S4607">
        <v>38</v>
      </c>
      <c r="T4607" s="43" t="str">
        <f t="shared" si="217"/>
        <v>2022.005D.Parvoviridae_2ngen_49nsp_125rensp.zip</v>
      </c>
      <c r="U4607" s="43" t="str">
        <f>HYPERLINK("https://ictv.global/taxonomy/taxondetails?taxnode_id=202204221","ictv.global=202204221")</f>
        <v>ictv.global=202204221</v>
      </c>
    </row>
    <row r="4608" spans="1:21">
      <c r="A4608">
        <v>4607</v>
      </c>
      <c r="B4608" s="29" t="s">
        <v>4053</v>
      </c>
      <c r="C4608" s="29"/>
      <c r="D4608" s="29" t="s">
        <v>4082</v>
      </c>
      <c r="E4608" s="29"/>
      <c r="F4608" s="29" t="s">
        <v>4083</v>
      </c>
      <c r="G4608" s="29"/>
      <c r="H4608" s="29" t="s">
        <v>4089</v>
      </c>
      <c r="I4608" s="29"/>
      <c r="J4608" s="29" t="s">
        <v>4090</v>
      </c>
      <c r="K4608" s="29"/>
      <c r="L4608" s="29" t="s">
        <v>1406</v>
      </c>
      <c r="M4608" s="29" t="s">
        <v>4100</v>
      </c>
      <c r="N4608" s="29" t="s">
        <v>4101</v>
      </c>
      <c r="O4608" s="29"/>
      <c r="P4608" s="29" t="s">
        <v>11801</v>
      </c>
      <c r="Q4608" t="s">
        <v>2194</v>
      </c>
      <c r="R4608" t="s">
        <v>2635</v>
      </c>
      <c r="S4608">
        <v>38</v>
      </c>
      <c r="T4608" s="43" t="str">
        <f t="shared" si="217"/>
        <v>2022.005D.Parvoviridae_2ngen_49nsp_125rensp.zip</v>
      </c>
      <c r="U4608" s="43" t="str">
        <f>HYPERLINK("https://ictv.global/taxonomy/taxondetails?taxnode_id=202204222","ictv.global=202204222")</f>
        <v>ictv.global=202204222</v>
      </c>
    </row>
    <row r="4609" spans="1:21">
      <c r="A4609">
        <v>4608</v>
      </c>
      <c r="B4609" s="29" t="s">
        <v>4053</v>
      </c>
      <c r="C4609" s="29"/>
      <c r="D4609" s="29" t="s">
        <v>4082</v>
      </c>
      <c r="E4609" s="29"/>
      <c r="F4609" s="29" t="s">
        <v>4083</v>
      </c>
      <c r="G4609" s="29"/>
      <c r="H4609" s="29" t="s">
        <v>4089</v>
      </c>
      <c r="I4609" s="29"/>
      <c r="J4609" s="29" t="s">
        <v>4090</v>
      </c>
      <c r="K4609" s="29"/>
      <c r="L4609" s="29" t="s">
        <v>1406</v>
      </c>
      <c r="M4609" s="29" t="s">
        <v>4100</v>
      </c>
      <c r="N4609" s="29" t="s">
        <v>4102</v>
      </c>
      <c r="O4609" s="29"/>
      <c r="P4609" s="29" t="s">
        <v>11802</v>
      </c>
      <c r="Q4609" t="s">
        <v>2194</v>
      </c>
      <c r="R4609" t="s">
        <v>2632</v>
      </c>
      <c r="S4609">
        <v>38</v>
      </c>
      <c r="T4609" s="43" t="str">
        <f t="shared" si="217"/>
        <v>2022.005D.Parvoviridae_2ngen_49nsp_125rensp.zip</v>
      </c>
      <c r="U4609" s="43" t="str">
        <f>HYPERLINK("https://ictv.global/taxonomy/taxondetails?taxnode_id=202214068","ictv.global=202214068")</f>
        <v>ictv.global=202214068</v>
      </c>
    </row>
    <row r="4610" spans="1:21">
      <c r="A4610">
        <v>4609</v>
      </c>
      <c r="B4610" s="29" t="s">
        <v>4053</v>
      </c>
      <c r="C4610" s="29"/>
      <c r="D4610" s="29" t="s">
        <v>4082</v>
      </c>
      <c r="E4610" s="29"/>
      <c r="F4610" s="29" t="s">
        <v>4083</v>
      </c>
      <c r="G4610" s="29"/>
      <c r="H4610" s="29" t="s">
        <v>4089</v>
      </c>
      <c r="I4610" s="29"/>
      <c r="J4610" s="29" t="s">
        <v>4090</v>
      </c>
      <c r="K4610" s="29"/>
      <c r="L4610" s="29" t="s">
        <v>1406</v>
      </c>
      <c r="M4610" s="29" t="s">
        <v>4100</v>
      </c>
      <c r="N4610" s="29" t="s">
        <v>4102</v>
      </c>
      <c r="O4610" s="29"/>
      <c r="P4610" s="29" t="s">
        <v>11803</v>
      </c>
      <c r="Q4610" t="s">
        <v>2194</v>
      </c>
      <c r="R4610" t="s">
        <v>2632</v>
      </c>
      <c r="S4610">
        <v>38</v>
      </c>
      <c r="T4610" s="43" t="str">
        <f t="shared" si="217"/>
        <v>2022.005D.Parvoviridae_2ngen_49nsp_125rensp.zip</v>
      </c>
      <c r="U4610" s="43" t="str">
        <f>HYPERLINK("https://ictv.global/taxonomy/taxondetails?taxnode_id=202214067","ictv.global=202214067")</f>
        <v>ictv.global=202214067</v>
      </c>
    </row>
    <row r="4611" spans="1:21">
      <c r="A4611">
        <v>4610</v>
      </c>
      <c r="B4611" s="29" t="s">
        <v>4053</v>
      </c>
      <c r="C4611" s="29"/>
      <c r="D4611" s="29" t="s">
        <v>4082</v>
      </c>
      <c r="E4611" s="29"/>
      <c r="F4611" s="29" t="s">
        <v>4083</v>
      </c>
      <c r="G4611" s="29"/>
      <c r="H4611" s="29" t="s">
        <v>4089</v>
      </c>
      <c r="I4611" s="29"/>
      <c r="J4611" s="29" t="s">
        <v>4090</v>
      </c>
      <c r="K4611" s="29"/>
      <c r="L4611" s="29" t="s">
        <v>1406</v>
      </c>
      <c r="M4611" s="29" t="s">
        <v>4100</v>
      </c>
      <c r="N4611" s="29" t="s">
        <v>4102</v>
      </c>
      <c r="O4611" s="29"/>
      <c r="P4611" s="29" t="s">
        <v>11804</v>
      </c>
      <c r="Q4611" t="s">
        <v>2194</v>
      </c>
      <c r="R4611" t="s">
        <v>2632</v>
      </c>
      <c r="S4611">
        <v>38</v>
      </c>
      <c r="T4611" s="43" t="str">
        <f t="shared" si="217"/>
        <v>2022.005D.Parvoviridae_2ngen_49nsp_125rensp.zip</v>
      </c>
      <c r="U4611" s="43" t="str">
        <f>HYPERLINK("https://ictv.global/taxonomy/taxondetails?taxnode_id=202214065","ictv.global=202214065")</f>
        <v>ictv.global=202214065</v>
      </c>
    </row>
    <row r="4612" spans="1:21">
      <c r="A4612">
        <v>4611</v>
      </c>
      <c r="B4612" s="29" t="s">
        <v>4053</v>
      </c>
      <c r="C4612" s="29"/>
      <c r="D4612" s="29" t="s">
        <v>4082</v>
      </c>
      <c r="E4612" s="29"/>
      <c r="F4612" s="29" t="s">
        <v>4083</v>
      </c>
      <c r="G4612" s="29"/>
      <c r="H4612" s="29" t="s">
        <v>4089</v>
      </c>
      <c r="I4612" s="29"/>
      <c r="J4612" s="29" t="s">
        <v>4090</v>
      </c>
      <c r="K4612" s="29"/>
      <c r="L4612" s="29" t="s">
        <v>1406</v>
      </c>
      <c r="M4612" s="29" t="s">
        <v>4100</v>
      </c>
      <c r="N4612" s="29" t="s">
        <v>4102</v>
      </c>
      <c r="O4612" s="29"/>
      <c r="P4612" s="29" t="s">
        <v>11805</v>
      </c>
      <c r="Q4612" t="s">
        <v>2194</v>
      </c>
      <c r="R4612" t="s">
        <v>2632</v>
      </c>
      <c r="S4612">
        <v>38</v>
      </c>
      <c r="T4612" s="43" t="str">
        <f t="shared" si="217"/>
        <v>2022.005D.Parvoviridae_2ngen_49nsp_125rensp.zip</v>
      </c>
      <c r="U4612" s="43" t="str">
        <f>HYPERLINK("https://ictv.global/taxonomy/taxondetails?taxnode_id=202214066","ictv.global=202214066")</f>
        <v>ictv.global=202214066</v>
      </c>
    </row>
    <row r="4613" spans="1:21">
      <c r="A4613">
        <v>4612</v>
      </c>
      <c r="B4613" s="29" t="s">
        <v>4053</v>
      </c>
      <c r="C4613" s="29"/>
      <c r="D4613" s="29" t="s">
        <v>4082</v>
      </c>
      <c r="E4613" s="29"/>
      <c r="F4613" s="29" t="s">
        <v>4083</v>
      </c>
      <c r="G4613" s="29"/>
      <c r="H4613" s="29" t="s">
        <v>4089</v>
      </c>
      <c r="I4613" s="29"/>
      <c r="J4613" s="29" t="s">
        <v>4090</v>
      </c>
      <c r="K4613" s="29"/>
      <c r="L4613" s="29" t="s">
        <v>1406</v>
      </c>
      <c r="M4613" s="29" t="s">
        <v>4100</v>
      </c>
      <c r="N4613" s="29" t="s">
        <v>4102</v>
      </c>
      <c r="O4613" s="29"/>
      <c r="P4613" s="29" t="s">
        <v>11806</v>
      </c>
      <c r="Q4613" t="s">
        <v>2194</v>
      </c>
      <c r="R4613" t="s">
        <v>2632</v>
      </c>
      <c r="S4613">
        <v>38</v>
      </c>
      <c r="T4613" s="43" t="str">
        <f t="shared" si="217"/>
        <v>2022.005D.Parvoviridae_2ngen_49nsp_125rensp.zip</v>
      </c>
      <c r="U4613" s="43" t="str">
        <f>HYPERLINK("https://ictv.global/taxonomy/taxondetails?taxnode_id=202214069","ictv.global=202214069")</f>
        <v>ictv.global=202214069</v>
      </c>
    </row>
    <row r="4614" spans="1:21">
      <c r="A4614">
        <v>4613</v>
      </c>
      <c r="B4614" s="29" t="s">
        <v>4053</v>
      </c>
      <c r="C4614" s="29"/>
      <c r="D4614" s="29" t="s">
        <v>4082</v>
      </c>
      <c r="E4614" s="29"/>
      <c r="F4614" s="29" t="s">
        <v>4083</v>
      </c>
      <c r="G4614" s="29"/>
      <c r="H4614" s="29" t="s">
        <v>4089</v>
      </c>
      <c r="I4614" s="29"/>
      <c r="J4614" s="29" t="s">
        <v>4090</v>
      </c>
      <c r="K4614" s="29"/>
      <c r="L4614" s="29" t="s">
        <v>1406</v>
      </c>
      <c r="M4614" s="29" t="s">
        <v>4100</v>
      </c>
      <c r="N4614" s="29" t="s">
        <v>4102</v>
      </c>
      <c r="O4614" s="29"/>
      <c r="P4614" s="29" t="s">
        <v>11807</v>
      </c>
      <c r="Q4614" t="s">
        <v>2194</v>
      </c>
      <c r="R4614" t="s">
        <v>2632</v>
      </c>
      <c r="S4614">
        <v>38</v>
      </c>
      <c r="T4614" s="43" t="str">
        <f t="shared" si="217"/>
        <v>2022.005D.Parvoviridae_2ngen_49nsp_125rensp.zip</v>
      </c>
      <c r="U4614" s="43" t="str">
        <f>HYPERLINK("https://ictv.global/taxonomy/taxondetails?taxnode_id=202214070","ictv.global=202214070")</f>
        <v>ictv.global=202214070</v>
      </c>
    </row>
    <row r="4615" spans="1:21">
      <c r="A4615">
        <v>4614</v>
      </c>
      <c r="B4615" s="29" t="s">
        <v>4053</v>
      </c>
      <c r="C4615" s="29"/>
      <c r="D4615" s="29" t="s">
        <v>4082</v>
      </c>
      <c r="E4615" s="29"/>
      <c r="F4615" s="29" t="s">
        <v>4083</v>
      </c>
      <c r="G4615" s="29"/>
      <c r="H4615" s="29" t="s">
        <v>4089</v>
      </c>
      <c r="I4615" s="29"/>
      <c r="J4615" s="29" t="s">
        <v>4090</v>
      </c>
      <c r="K4615" s="29"/>
      <c r="L4615" s="29" t="s">
        <v>1406</v>
      </c>
      <c r="M4615" s="29" t="s">
        <v>4100</v>
      </c>
      <c r="N4615" s="29" t="s">
        <v>4102</v>
      </c>
      <c r="O4615" s="29"/>
      <c r="P4615" s="29" t="s">
        <v>11808</v>
      </c>
      <c r="Q4615" t="s">
        <v>2189</v>
      </c>
      <c r="R4615" t="s">
        <v>2632</v>
      </c>
      <c r="S4615">
        <v>38</v>
      </c>
      <c r="T4615" s="43" t="str">
        <f>HYPERLINK("https://ictv.global/ictv/proposals/2022.006D.Parvoviridae_2nsp.zip","2022.006D.Parvoviridae_2nsp.zip")</f>
        <v>2022.006D.Parvoviridae_2nsp.zip</v>
      </c>
      <c r="U4615" s="43" t="str">
        <f>HYPERLINK("https://ictv.global/taxonomy/taxondetails?taxnode_id=202214077","ictv.global=202214077")</f>
        <v>ictv.global=202214077</v>
      </c>
    </row>
    <row r="4616" spans="1:21">
      <c r="A4616">
        <v>4615</v>
      </c>
      <c r="B4616" s="29" t="s">
        <v>4053</v>
      </c>
      <c r="C4616" s="29"/>
      <c r="D4616" s="29" t="s">
        <v>4082</v>
      </c>
      <c r="E4616" s="29"/>
      <c r="F4616" s="29" t="s">
        <v>4083</v>
      </c>
      <c r="G4616" s="29"/>
      <c r="H4616" s="29" t="s">
        <v>4089</v>
      </c>
      <c r="I4616" s="29"/>
      <c r="J4616" s="29" t="s">
        <v>4090</v>
      </c>
      <c r="K4616" s="29"/>
      <c r="L4616" s="29" t="s">
        <v>1406</v>
      </c>
      <c r="M4616" s="29" t="s">
        <v>4100</v>
      </c>
      <c r="N4616" s="29" t="s">
        <v>4102</v>
      </c>
      <c r="O4616" s="29"/>
      <c r="P4616" s="29" t="s">
        <v>11809</v>
      </c>
      <c r="Q4616" t="s">
        <v>2194</v>
      </c>
      <c r="R4616" t="s">
        <v>2635</v>
      </c>
      <c r="S4616">
        <v>38</v>
      </c>
      <c r="T4616" s="43" t="str">
        <f t="shared" ref="T4616:T4647" si="218">HYPERLINK("https://ictv.global/ictv/proposals/2022.005D.Parvoviridae_2ngen_49nsp_125rensp.zip","2022.005D.Parvoviridae_2ngen_49nsp_125rensp.zip")</f>
        <v>2022.005D.Parvoviridae_2ngen_49nsp_125rensp.zip</v>
      </c>
      <c r="U4616" s="43" t="str">
        <f>HYPERLINK("https://ictv.global/taxonomy/taxondetails?taxnode_id=202207331","ictv.global=202207331")</f>
        <v>ictv.global=202207331</v>
      </c>
    </row>
    <row r="4617" spans="1:21">
      <c r="A4617">
        <v>4616</v>
      </c>
      <c r="B4617" s="29" t="s">
        <v>4053</v>
      </c>
      <c r="C4617" s="29"/>
      <c r="D4617" s="29" t="s">
        <v>4082</v>
      </c>
      <c r="E4617" s="29"/>
      <c r="F4617" s="29" t="s">
        <v>4083</v>
      </c>
      <c r="G4617" s="29"/>
      <c r="H4617" s="29" t="s">
        <v>4089</v>
      </c>
      <c r="I4617" s="29"/>
      <c r="J4617" s="29" t="s">
        <v>4090</v>
      </c>
      <c r="K4617" s="29"/>
      <c r="L4617" s="29" t="s">
        <v>1406</v>
      </c>
      <c r="M4617" s="29" t="s">
        <v>4100</v>
      </c>
      <c r="N4617" s="29" t="s">
        <v>4102</v>
      </c>
      <c r="O4617" s="29"/>
      <c r="P4617" s="29" t="s">
        <v>11810</v>
      </c>
      <c r="Q4617" t="s">
        <v>2194</v>
      </c>
      <c r="R4617" t="s">
        <v>2635</v>
      </c>
      <c r="S4617">
        <v>38</v>
      </c>
      <c r="T4617" s="43" t="str">
        <f t="shared" si="218"/>
        <v>2022.005D.Parvoviridae_2ngen_49nsp_125rensp.zip</v>
      </c>
      <c r="U4617" s="43" t="str">
        <f>HYPERLINK("https://ictv.global/taxonomy/taxondetails?taxnode_id=202209271","ictv.global=202209271")</f>
        <v>ictv.global=202209271</v>
      </c>
    </row>
    <row r="4618" spans="1:21">
      <c r="A4618">
        <v>4617</v>
      </c>
      <c r="B4618" s="29" t="s">
        <v>4053</v>
      </c>
      <c r="C4618" s="29"/>
      <c r="D4618" s="29" t="s">
        <v>4082</v>
      </c>
      <c r="E4618" s="29"/>
      <c r="F4618" s="29" t="s">
        <v>4083</v>
      </c>
      <c r="G4618" s="29"/>
      <c r="H4618" s="29" t="s">
        <v>4089</v>
      </c>
      <c r="I4618" s="29"/>
      <c r="J4618" s="29" t="s">
        <v>4090</v>
      </c>
      <c r="K4618" s="29"/>
      <c r="L4618" s="29" t="s">
        <v>1406</v>
      </c>
      <c r="M4618" s="29" t="s">
        <v>4100</v>
      </c>
      <c r="N4618" s="29" t="s">
        <v>4102</v>
      </c>
      <c r="O4618" s="29"/>
      <c r="P4618" s="29" t="s">
        <v>11811</v>
      </c>
      <c r="Q4618" t="s">
        <v>2194</v>
      </c>
      <c r="R4618" t="s">
        <v>2632</v>
      </c>
      <c r="S4618">
        <v>38</v>
      </c>
      <c r="T4618" s="43" t="str">
        <f t="shared" si="218"/>
        <v>2022.005D.Parvoviridae_2ngen_49nsp_125rensp.zip</v>
      </c>
      <c r="U4618" s="43" t="str">
        <f>HYPERLINK("https://ictv.global/taxonomy/taxondetails?taxnode_id=202214064","ictv.global=202214064")</f>
        <v>ictv.global=202214064</v>
      </c>
    </row>
    <row r="4619" spans="1:21">
      <c r="A4619">
        <v>4618</v>
      </c>
      <c r="B4619" s="29" t="s">
        <v>4053</v>
      </c>
      <c r="C4619" s="29"/>
      <c r="D4619" s="29" t="s">
        <v>4082</v>
      </c>
      <c r="E4619" s="29"/>
      <c r="F4619" s="29" t="s">
        <v>4083</v>
      </c>
      <c r="G4619" s="29"/>
      <c r="H4619" s="29" t="s">
        <v>4089</v>
      </c>
      <c r="I4619" s="29"/>
      <c r="J4619" s="29" t="s">
        <v>4090</v>
      </c>
      <c r="K4619" s="29"/>
      <c r="L4619" s="29" t="s">
        <v>1406</v>
      </c>
      <c r="M4619" s="29" t="s">
        <v>4100</v>
      </c>
      <c r="N4619" s="29" t="s">
        <v>4102</v>
      </c>
      <c r="O4619" s="29"/>
      <c r="P4619" s="29" t="s">
        <v>11812</v>
      </c>
      <c r="Q4619" t="s">
        <v>2194</v>
      </c>
      <c r="R4619" t="s">
        <v>2635</v>
      </c>
      <c r="S4619">
        <v>38</v>
      </c>
      <c r="T4619" s="43" t="str">
        <f t="shared" si="218"/>
        <v>2022.005D.Parvoviridae_2ngen_49nsp_125rensp.zip</v>
      </c>
      <c r="U4619" s="43" t="str">
        <f>HYPERLINK("https://ictv.global/taxonomy/taxondetails?taxnode_id=202207332","ictv.global=202207332")</f>
        <v>ictv.global=202207332</v>
      </c>
    </row>
    <row r="4620" spans="1:21">
      <c r="A4620">
        <v>4619</v>
      </c>
      <c r="B4620" s="29" t="s">
        <v>4053</v>
      </c>
      <c r="C4620" s="29"/>
      <c r="D4620" s="29" t="s">
        <v>4082</v>
      </c>
      <c r="E4620" s="29"/>
      <c r="F4620" s="29" t="s">
        <v>4083</v>
      </c>
      <c r="G4620" s="29"/>
      <c r="H4620" s="29" t="s">
        <v>4089</v>
      </c>
      <c r="I4620" s="29"/>
      <c r="J4620" s="29" t="s">
        <v>4090</v>
      </c>
      <c r="K4620" s="29"/>
      <c r="L4620" s="29" t="s">
        <v>1406</v>
      </c>
      <c r="M4620" s="29" t="s">
        <v>4100</v>
      </c>
      <c r="N4620" s="29" t="s">
        <v>4102</v>
      </c>
      <c r="O4620" s="29"/>
      <c r="P4620" s="29" t="s">
        <v>11813</v>
      </c>
      <c r="Q4620" t="s">
        <v>2194</v>
      </c>
      <c r="R4620" t="s">
        <v>2635</v>
      </c>
      <c r="S4620">
        <v>38</v>
      </c>
      <c r="T4620" s="43" t="str">
        <f t="shared" si="218"/>
        <v>2022.005D.Parvoviridae_2ngen_49nsp_125rensp.zip</v>
      </c>
      <c r="U4620" s="43" t="str">
        <f>HYPERLINK("https://ictv.global/taxonomy/taxondetails?taxnode_id=202209272","ictv.global=202209272")</f>
        <v>ictv.global=202209272</v>
      </c>
    </row>
    <row r="4621" spans="1:21">
      <c r="A4621">
        <v>4620</v>
      </c>
      <c r="B4621" s="29" t="s">
        <v>4053</v>
      </c>
      <c r="C4621" s="29"/>
      <c r="D4621" s="29" t="s">
        <v>4082</v>
      </c>
      <c r="E4621" s="29"/>
      <c r="F4621" s="29" t="s">
        <v>4083</v>
      </c>
      <c r="G4621" s="29"/>
      <c r="H4621" s="29" t="s">
        <v>4089</v>
      </c>
      <c r="I4621" s="29"/>
      <c r="J4621" s="29" t="s">
        <v>4090</v>
      </c>
      <c r="K4621" s="29"/>
      <c r="L4621" s="29" t="s">
        <v>1406</v>
      </c>
      <c r="M4621" s="29" t="s">
        <v>4100</v>
      </c>
      <c r="N4621" s="29" t="s">
        <v>4102</v>
      </c>
      <c r="O4621" s="29"/>
      <c r="P4621" s="29" t="s">
        <v>11814</v>
      </c>
      <c r="Q4621" t="s">
        <v>2194</v>
      </c>
      <c r="R4621" t="s">
        <v>2635</v>
      </c>
      <c r="S4621">
        <v>38</v>
      </c>
      <c r="T4621" s="43" t="str">
        <f t="shared" si="218"/>
        <v>2022.005D.Parvoviridae_2ngen_49nsp_125rensp.zip</v>
      </c>
      <c r="U4621" s="43" t="str">
        <f>HYPERLINK("https://ictv.global/taxonomy/taxondetails?taxnode_id=202209273","ictv.global=202209273")</f>
        <v>ictv.global=202209273</v>
      </c>
    </row>
    <row r="4622" spans="1:21">
      <c r="A4622">
        <v>4621</v>
      </c>
      <c r="B4622" s="29" t="s">
        <v>4053</v>
      </c>
      <c r="C4622" s="29"/>
      <c r="D4622" s="29" t="s">
        <v>4082</v>
      </c>
      <c r="E4622" s="29"/>
      <c r="F4622" s="29" t="s">
        <v>4083</v>
      </c>
      <c r="G4622" s="29"/>
      <c r="H4622" s="29" t="s">
        <v>4089</v>
      </c>
      <c r="I4622" s="29"/>
      <c r="J4622" s="29" t="s">
        <v>4090</v>
      </c>
      <c r="K4622" s="29"/>
      <c r="L4622" s="29" t="s">
        <v>1406</v>
      </c>
      <c r="M4622" s="29" t="s">
        <v>4100</v>
      </c>
      <c r="N4622" s="29" t="s">
        <v>4102</v>
      </c>
      <c r="O4622" s="29"/>
      <c r="P4622" s="29" t="s">
        <v>11815</v>
      </c>
      <c r="Q4622" t="s">
        <v>2194</v>
      </c>
      <c r="R4622" t="s">
        <v>2635</v>
      </c>
      <c r="S4622">
        <v>38</v>
      </c>
      <c r="T4622" s="43" t="str">
        <f t="shared" si="218"/>
        <v>2022.005D.Parvoviridae_2ngen_49nsp_125rensp.zip</v>
      </c>
      <c r="U4622" s="43" t="str">
        <f>HYPERLINK("https://ictv.global/taxonomy/taxondetails?taxnode_id=202209274","ictv.global=202209274")</f>
        <v>ictv.global=202209274</v>
      </c>
    </row>
    <row r="4623" spans="1:21">
      <c r="A4623">
        <v>4622</v>
      </c>
      <c r="B4623" s="29" t="s">
        <v>4053</v>
      </c>
      <c r="C4623" s="29"/>
      <c r="D4623" s="29" t="s">
        <v>4082</v>
      </c>
      <c r="E4623" s="29"/>
      <c r="F4623" s="29" t="s">
        <v>4083</v>
      </c>
      <c r="G4623" s="29"/>
      <c r="H4623" s="29" t="s">
        <v>4089</v>
      </c>
      <c r="I4623" s="29"/>
      <c r="J4623" s="29" t="s">
        <v>4090</v>
      </c>
      <c r="K4623" s="29"/>
      <c r="L4623" s="29" t="s">
        <v>1406</v>
      </c>
      <c r="M4623" s="29" t="s">
        <v>4100</v>
      </c>
      <c r="N4623" s="29" t="s">
        <v>4102</v>
      </c>
      <c r="O4623" s="29"/>
      <c r="P4623" s="29" t="s">
        <v>11816</v>
      </c>
      <c r="Q4623" t="s">
        <v>2194</v>
      </c>
      <c r="R4623" t="s">
        <v>2635</v>
      </c>
      <c r="S4623">
        <v>38</v>
      </c>
      <c r="T4623" s="43" t="str">
        <f t="shared" si="218"/>
        <v>2022.005D.Parvoviridae_2ngen_49nsp_125rensp.zip</v>
      </c>
      <c r="U4623" s="43" t="str">
        <f>HYPERLINK("https://ictv.global/taxonomy/taxondetails?taxnode_id=202207333","ictv.global=202207333")</f>
        <v>ictv.global=202207333</v>
      </c>
    </row>
    <row r="4624" spans="1:21">
      <c r="A4624">
        <v>4623</v>
      </c>
      <c r="B4624" s="29" t="s">
        <v>4053</v>
      </c>
      <c r="C4624" s="29"/>
      <c r="D4624" s="29" t="s">
        <v>4082</v>
      </c>
      <c r="E4624" s="29"/>
      <c r="F4624" s="29" t="s">
        <v>4083</v>
      </c>
      <c r="G4624" s="29"/>
      <c r="H4624" s="29" t="s">
        <v>4089</v>
      </c>
      <c r="I4624" s="29"/>
      <c r="J4624" s="29" t="s">
        <v>4090</v>
      </c>
      <c r="K4624" s="29"/>
      <c r="L4624" s="29" t="s">
        <v>1406</v>
      </c>
      <c r="M4624" s="29" t="s">
        <v>4100</v>
      </c>
      <c r="N4624" s="29" t="s">
        <v>4102</v>
      </c>
      <c r="O4624" s="29"/>
      <c r="P4624" s="29" t="s">
        <v>11817</v>
      </c>
      <c r="Q4624" t="s">
        <v>2194</v>
      </c>
      <c r="R4624" t="s">
        <v>2635</v>
      </c>
      <c r="S4624">
        <v>38</v>
      </c>
      <c r="T4624" s="43" t="str">
        <f t="shared" si="218"/>
        <v>2022.005D.Parvoviridae_2ngen_49nsp_125rensp.zip</v>
      </c>
      <c r="U4624" s="43" t="str">
        <f>HYPERLINK("https://ictv.global/taxonomy/taxondetails?taxnode_id=202207334","ictv.global=202207334")</f>
        <v>ictv.global=202207334</v>
      </c>
    </row>
    <row r="4625" spans="1:21">
      <c r="A4625">
        <v>4624</v>
      </c>
      <c r="B4625" s="29" t="s">
        <v>4053</v>
      </c>
      <c r="C4625" s="29"/>
      <c r="D4625" s="29" t="s">
        <v>4082</v>
      </c>
      <c r="E4625" s="29"/>
      <c r="F4625" s="29" t="s">
        <v>4083</v>
      </c>
      <c r="G4625" s="29"/>
      <c r="H4625" s="29" t="s">
        <v>4089</v>
      </c>
      <c r="I4625" s="29"/>
      <c r="J4625" s="29" t="s">
        <v>4090</v>
      </c>
      <c r="K4625" s="29"/>
      <c r="L4625" s="29" t="s">
        <v>1406</v>
      </c>
      <c r="M4625" s="29" t="s">
        <v>4100</v>
      </c>
      <c r="N4625" s="29" t="s">
        <v>4102</v>
      </c>
      <c r="O4625" s="29"/>
      <c r="P4625" s="29" t="s">
        <v>11818</v>
      </c>
      <c r="Q4625" t="s">
        <v>2194</v>
      </c>
      <c r="R4625" t="s">
        <v>2635</v>
      </c>
      <c r="S4625">
        <v>38</v>
      </c>
      <c r="T4625" s="43" t="str">
        <f t="shared" si="218"/>
        <v>2022.005D.Parvoviridae_2ngen_49nsp_125rensp.zip</v>
      </c>
      <c r="U4625" s="43" t="str">
        <f>HYPERLINK("https://ictv.global/taxonomy/taxondetails?taxnode_id=202207335","ictv.global=202207335")</f>
        <v>ictv.global=202207335</v>
      </c>
    </row>
    <row r="4626" spans="1:21">
      <c r="A4626">
        <v>4625</v>
      </c>
      <c r="B4626" s="29" t="s">
        <v>4053</v>
      </c>
      <c r="C4626" s="29"/>
      <c r="D4626" s="29" t="s">
        <v>4082</v>
      </c>
      <c r="E4626" s="29"/>
      <c r="F4626" s="29" t="s">
        <v>4083</v>
      </c>
      <c r="G4626" s="29"/>
      <c r="H4626" s="29" t="s">
        <v>4089</v>
      </c>
      <c r="I4626" s="29"/>
      <c r="J4626" s="29" t="s">
        <v>4090</v>
      </c>
      <c r="K4626" s="29"/>
      <c r="L4626" s="29" t="s">
        <v>1406</v>
      </c>
      <c r="M4626" s="29" t="s">
        <v>4100</v>
      </c>
      <c r="N4626" s="29" t="s">
        <v>4102</v>
      </c>
      <c r="O4626" s="29"/>
      <c r="P4626" s="29" t="s">
        <v>11819</v>
      </c>
      <c r="Q4626" t="s">
        <v>2194</v>
      </c>
      <c r="R4626" t="s">
        <v>2635</v>
      </c>
      <c r="S4626">
        <v>38</v>
      </c>
      <c r="T4626" s="43" t="str">
        <f t="shared" si="218"/>
        <v>2022.005D.Parvoviridae_2ngen_49nsp_125rensp.zip</v>
      </c>
      <c r="U4626" s="43" t="str">
        <f>HYPERLINK("https://ictv.global/taxonomy/taxondetails?taxnode_id=202209275","ictv.global=202209275")</f>
        <v>ictv.global=202209275</v>
      </c>
    </row>
    <row r="4627" spans="1:21">
      <c r="A4627">
        <v>4626</v>
      </c>
      <c r="B4627" s="29" t="s">
        <v>4053</v>
      </c>
      <c r="C4627" s="29"/>
      <c r="D4627" s="29" t="s">
        <v>4082</v>
      </c>
      <c r="E4627" s="29"/>
      <c r="F4627" s="29" t="s">
        <v>4083</v>
      </c>
      <c r="G4627" s="29"/>
      <c r="H4627" s="29" t="s">
        <v>4089</v>
      </c>
      <c r="I4627" s="29"/>
      <c r="J4627" s="29" t="s">
        <v>4090</v>
      </c>
      <c r="K4627" s="29"/>
      <c r="L4627" s="29" t="s">
        <v>1406</v>
      </c>
      <c r="M4627" s="29" t="s">
        <v>4100</v>
      </c>
      <c r="N4627" s="29" t="s">
        <v>4102</v>
      </c>
      <c r="O4627" s="29"/>
      <c r="P4627" s="29" t="s">
        <v>11820</v>
      </c>
      <c r="Q4627" t="s">
        <v>2194</v>
      </c>
      <c r="R4627" t="s">
        <v>2635</v>
      </c>
      <c r="S4627">
        <v>38</v>
      </c>
      <c r="T4627" s="43" t="str">
        <f t="shared" si="218"/>
        <v>2022.005D.Parvoviridae_2ngen_49nsp_125rensp.zip</v>
      </c>
      <c r="U4627" s="43" t="str">
        <f>HYPERLINK("https://ictv.global/taxonomy/taxondetails?taxnode_id=202209276","ictv.global=202209276")</f>
        <v>ictv.global=202209276</v>
      </c>
    </row>
    <row r="4628" spans="1:21">
      <c r="A4628">
        <v>4627</v>
      </c>
      <c r="B4628" s="29" t="s">
        <v>4053</v>
      </c>
      <c r="C4628" s="29"/>
      <c r="D4628" s="29" t="s">
        <v>4082</v>
      </c>
      <c r="E4628" s="29"/>
      <c r="F4628" s="29" t="s">
        <v>4083</v>
      </c>
      <c r="G4628" s="29"/>
      <c r="H4628" s="29" t="s">
        <v>4089</v>
      </c>
      <c r="I4628" s="29"/>
      <c r="J4628" s="29" t="s">
        <v>4090</v>
      </c>
      <c r="K4628" s="29"/>
      <c r="L4628" s="29" t="s">
        <v>1406</v>
      </c>
      <c r="M4628" s="29" t="s">
        <v>4100</v>
      </c>
      <c r="N4628" s="29" t="s">
        <v>4102</v>
      </c>
      <c r="O4628" s="29"/>
      <c r="P4628" s="29" t="s">
        <v>11821</v>
      </c>
      <c r="Q4628" t="s">
        <v>2194</v>
      </c>
      <c r="R4628" t="s">
        <v>2632</v>
      </c>
      <c r="S4628">
        <v>38</v>
      </c>
      <c r="T4628" s="43" t="str">
        <f t="shared" si="218"/>
        <v>2022.005D.Parvoviridae_2ngen_49nsp_125rensp.zip</v>
      </c>
      <c r="U4628" s="43" t="str">
        <f>HYPERLINK("https://ictv.global/taxonomy/taxondetails?taxnode_id=202214071","ictv.global=202214071")</f>
        <v>ictv.global=202214071</v>
      </c>
    </row>
    <row r="4629" spans="1:21">
      <c r="A4629">
        <v>4628</v>
      </c>
      <c r="B4629" s="29" t="s">
        <v>4053</v>
      </c>
      <c r="C4629" s="29"/>
      <c r="D4629" s="29" t="s">
        <v>4082</v>
      </c>
      <c r="E4629" s="29"/>
      <c r="F4629" s="29" t="s">
        <v>4083</v>
      </c>
      <c r="G4629" s="29"/>
      <c r="H4629" s="29" t="s">
        <v>4089</v>
      </c>
      <c r="I4629" s="29"/>
      <c r="J4629" s="29" t="s">
        <v>4090</v>
      </c>
      <c r="K4629" s="29"/>
      <c r="L4629" s="29" t="s">
        <v>1406</v>
      </c>
      <c r="M4629" s="29" t="s">
        <v>4100</v>
      </c>
      <c r="N4629" s="29" t="s">
        <v>4102</v>
      </c>
      <c r="O4629" s="29"/>
      <c r="P4629" s="29" t="s">
        <v>11822</v>
      </c>
      <c r="Q4629" t="s">
        <v>2194</v>
      </c>
      <c r="R4629" t="s">
        <v>2632</v>
      </c>
      <c r="S4629">
        <v>38</v>
      </c>
      <c r="T4629" s="43" t="str">
        <f t="shared" si="218"/>
        <v>2022.005D.Parvoviridae_2ngen_49nsp_125rensp.zip</v>
      </c>
      <c r="U4629" s="43" t="str">
        <f>HYPERLINK("https://ictv.global/taxonomy/taxondetails?taxnode_id=202214072","ictv.global=202214072")</f>
        <v>ictv.global=202214072</v>
      </c>
    </row>
    <row r="4630" spans="1:21">
      <c r="A4630">
        <v>4629</v>
      </c>
      <c r="B4630" s="29" t="s">
        <v>4053</v>
      </c>
      <c r="C4630" s="29"/>
      <c r="D4630" s="29" t="s">
        <v>4082</v>
      </c>
      <c r="E4630" s="29"/>
      <c r="F4630" s="29" t="s">
        <v>4083</v>
      </c>
      <c r="G4630" s="29"/>
      <c r="H4630" s="29" t="s">
        <v>4089</v>
      </c>
      <c r="I4630" s="29"/>
      <c r="J4630" s="29" t="s">
        <v>4090</v>
      </c>
      <c r="K4630" s="29"/>
      <c r="L4630" s="29" t="s">
        <v>1406</v>
      </c>
      <c r="M4630" s="29" t="s">
        <v>4100</v>
      </c>
      <c r="N4630" s="29" t="s">
        <v>4102</v>
      </c>
      <c r="O4630" s="29"/>
      <c r="P4630" s="29" t="s">
        <v>11823</v>
      </c>
      <c r="Q4630" t="s">
        <v>2194</v>
      </c>
      <c r="R4630" t="s">
        <v>2632</v>
      </c>
      <c r="S4630">
        <v>38</v>
      </c>
      <c r="T4630" s="43" t="str">
        <f t="shared" si="218"/>
        <v>2022.005D.Parvoviridae_2ngen_49nsp_125rensp.zip</v>
      </c>
      <c r="U4630" s="43" t="str">
        <f>HYPERLINK("https://ictv.global/taxonomy/taxondetails?taxnode_id=202214073","ictv.global=202214073")</f>
        <v>ictv.global=202214073</v>
      </c>
    </row>
    <row r="4631" spans="1:21">
      <c r="A4631">
        <v>4630</v>
      </c>
      <c r="B4631" s="29" t="s">
        <v>4053</v>
      </c>
      <c r="C4631" s="29"/>
      <c r="D4631" s="29" t="s">
        <v>4082</v>
      </c>
      <c r="E4631" s="29"/>
      <c r="F4631" s="29" t="s">
        <v>4083</v>
      </c>
      <c r="G4631" s="29"/>
      <c r="H4631" s="29" t="s">
        <v>4089</v>
      </c>
      <c r="I4631" s="29"/>
      <c r="J4631" s="29" t="s">
        <v>4090</v>
      </c>
      <c r="K4631" s="29"/>
      <c r="L4631" s="29" t="s">
        <v>1406</v>
      </c>
      <c r="M4631" s="29" t="s">
        <v>4100</v>
      </c>
      <c r="N4631" s="29" t="s">
        <v>4102</v>
      </c>
      <c r="O4631" s="29"/>
      <c r="P4631" s="29" t="s">
        <v>11824</v>
      </c>
      <c r="Q4631" t="s">
        <v>2194</v>
      </c>
      <c r="R4631" t="s">
        <v>2632</v>
      </c>
      <c r="S4631">
        <v>38</v>
      </c>
      <c r="T4631" s="43" t="str">
        <f t="shared" si="218"/>
        <v>2022.005D.Parvoviridae_2ngen_49nsp_125rensp.zip</v>
      </c>
      <c r="U4631" s="43" t="str">
        <f>HYPERLINK("https://ictv.global/taxonomy/taxondetails?taxnode_id=202214074","ictv.global=202214074")</f>
        <v>ictv.global=202214074</v>
      </c>
    </row>
    <row r="4632" spans="1:21">
      <c r="A4632">
        <v>4631</v>
      </c>
      <c r="B4632" s="29" t="s">
        <v>4053</v>
      </c>
      <c r="C4632" s="29"/>
      <c r="D4632" s="29" t="s">
        <v>4082</v>
      </c>
      <c r="E4632" s="29"/>
      <c r="F4632" s="29" t="s">
        <v>4083</v>
      </c>
      <c r="G4632" s="29"/>
      <c r="H4632" s="29" t="s">
        <v>4089</v>
      </c>
      <c r="I4632" s="29"/>
      <c r="J4632" s="29" t="s">
        <v>4090</v>
      </c>
      <c r="K4632" s="29"/>
      <c r="L4632" s="29" t="s">
        <v>1406</v>
      </c>
      <c r="M4632" s="29" t="s">
        <v>4100</v>
      </c>
      <c r="N4632" s="29" t="s">
        <v>4102</v>
      </c>
      <c r="O4632" s="29"/>
      <c r="P4632" s="29" t="s">
        <v>11825</v>
      </c>
      <c r="Q4632" t="s">
        <v>2194</v>
      </c>
      <c r="R4632" t="s">
        <v>2632</v>
      </c>
      <c r="S4632">
        <v>38</v>
      </c>
      <c r="T4632" s="43" t="str">
        <f t="shared" si="218"/>
        <v>2022.005D.Parvoviridae_2ngen_49nsp_125rensp.zip</v>
      </c>
      <c r="U4632" s="43" t="str">
        <f>HYPERLINK("https://ictv.global/taxonomy/taxondetails?taxnode_id=202214062","ictv.global=202214062")</f>
        <v>ictv.global=202214062</v>
      </c>
    </row>
    <row r="4633" spans="1:21">
      <c r="A4633">
        <v>4632</v>
      </c>
      <c r="B4633" s="29" t="s">
        <v>4053</v>
      </c>
      <c r="C4633" s="29"/>
      <c r="D4633" s="29" t="s">
        <v>4082</v>
      </c>
      <c r="E4633" s="29"/>
      <c r="F4633" s="29" t="s">
        <v>4083</v>
      </c>
      <c r="G4633" s="29"/>
      <c r="H4633" s="29" t="s">
        <v>4089</v>
      </c>
      <c r="I4633" s="29"/>
      <c r="J4633" s="29" t="s">
        <v>4090</v>
      </c>
      <c r="K4633" s="29"/>
      <c r="L4633" s="29" t="s">
        <v>1406</v>
      </c>
      <c r="M4633" s="29" t="s">
        <v>4100</v>
      </c>
      <c r="N4633" s="29" t="s">
        <v>4102</v>
      </c>
      <c r="O4633" s="29"/>
      <c r="P4633" s="29" t="s">
        <v>11826</v>
      </c>
      <c r="Q4633" t="s">
        <v>2194</v>
      </c>
      <c r="R4633" t="s">
        <v>2635</v>
      </c>
      <c r="S4633">
        <v>38</v>
      </c>
      <c r="T4633" s="43" t="str">
        <f t="shared" si="218"/>
        <v>2022.005D.Parvoviridae_2ngen_49nsp_125rensp.zip</v>
      </c>
      <c r="U4633" s="43" t="str">
        <f>HYPERLINK("https://ictv.global/taxonomy/taxondetails?taxnode_id=202209277","ictv.global=202209277")</f>
        <v>ictv.global=202209277</v>
      </c>
    </row>
    <row r="4634" spans="1:21">
      <c r="A4634">
        <v>4633</v>
      </c>
      <c r="B4634" s="29" t="s">
        <v>4053</v>
      </c>
      <c r="C4634" s="29"/>
      <c r="D4634" s="29" t="s">
        <v>4082</v>
      </c>
      <c r="E4634" s="29"/>
      <c r="F4634" s="29" t="s">
        <v>4083</v>
      </c>
      <c r="G4634" s="29"/>
      <c r="H4634" s="29" t="s">
        <v>4089</v>
      </c>
      <c r="I4634" s="29"/>
      <c r="J4634" s="29" t="s">
        <v>4090</v>
      </c>
      <c r="K4634" s="29"/>
      <c r="L4634" s="29" t="s">
        <v>1406</v>
      </c>
      <c r="M4634" s="29" t="s">
        <v>4100</v>
      </c>
      <c r="N4634" s="29" t="s">
        <v>4102</v>
      </c>
      <c r="O4634" s="29"/>
      <c r="P4634" s="29" t="s">
        <v>11827</v>
      </c>
      <c r="Q4634" t="s">
        <v>2194</v>
      </c>
      <c r="R4634" t="s">
        <v>2632</v>
      </c>
      <c r="S4634">
        <v>38</v>
      </c>
      <c r="T4634" s="43" t="str">
        <f t="shared" si="218"/>
        <v>2022.005D.Parvoviridae_2ngen_49nsp_125rensp.zip</v>
      </c>
      <c r="U4634" s="43" t="str">
        <f>HYPERLINK("https://ictv.global/taxonomy/taxondetails?taxnode_id=202214063","ictv.global=202214063")</f>
        <v>ictv.global=202214063</v>
      </c>
    </row>
    <row r="4635" spans="1:21">
      <c r="A4635">
        <v>4634</v>
      </c>
      <c r="B4635" s="29" t="s">
        <v>4053</v>
      </c>
      <c r="C4635" s="29"/>
      <c r="D4635" s="29" t="s">
        <v>4082</v>
      </c>
      <c r="E4635" s="29"/>
      <c r="F4635" s="29" t="s">
        <v>4083</v>
      </c>
      <c r="G4635" s="29"/>
      <c r="H4635" s="29" t="s">
        <v>4089</v>
      </c>
      <c r="I4635" s="29"/>
      <c r="J4635" s="29" t="s">
        <v>4090</v>
      </c>
      <c r="K4635" s="29"/>
      <c r="L4635" s="29" t="s">
        <v>1406</v>
      </c>
      <c r="M4635" s="29" t="s">
        <v>4100</v>
      </c>
      <c r="N4635" s="29" t="s">
        <v>4102</v>
      </c>
      <c r="O4635" s="29"/>
      <c r="P4635" s="29" t="s">
        <v>11828</v>
      </c>
      <c r="Q4635" t="s">
        <v>2194</v>
      </c>
      <c r="R4635" t="s">
        <v>2635</v>
      </c>
      <c r="S4635">
        <v>38</v>
      </c>
      <c r="T4635" s="43" t="str">
        <f t="shared" si="218"/>
        <v>2022.005D.Parvoviridae_2ngen_49nsp_125rensp.zip</v>
      </c>
      <c r="U4635" s="43" t="str">
        <f>HYPERLINK("https://ictv.global/taxonomy/taxondetails?taxnode_id=202209278","ictv.global=202209278")</f>
        <v>ictv.global=202209278</v>
      </c>
    </row>
    <row r="4636" spans="1:21">
      <c r="A4636">
        <v>4635</v>
      </c>
      <c r="B4636" s="29" t="s">
        <v>4053</v>
      </c>
      <c r="C4636" s="29"/>
      <c r="D4636" s="29" t="s">
        <v>4082</v>
      </c>
      <c r="E4636" s="29"/>
      <c r="F4636" s="29" t="s">
        <v>4083</v>
      </c>
      <c r="G4636" s="29"/>
      <c r="H4636" s="29" t="s">
        <v>4089</v>
      </c>
      <c r="I4636" s="29"/>
      <c r="J4636" s="29" t="s">
        <v>4090</v>
      </c>
      <c r="K4636" s="29"/>
      <c r="L4636" s="29" t="s">
        <v>1406</v>
      </c>
      <c r="M4636" s="29" t="s">
        <v>4100</v>
      </c>
      <c r="N4636" s="29" t="s">
        <v>4102</v>
      </c>
      <c r="O4636" s="29"/>
      <c r="P4636" s="29" t="s">
        <v>11829</v>
      </c>
      <c r="Q4636" t="s">
        <v>2194</v>
      </c>
      <c r="R4636" t="s">
        <v>2632</v>
      </c>
      <c r="S4636">
        <v>38</v>
      </c>
      <c r="T4636" s="43" t="str">
        <f t="shared" si="218"/>
        <v>2022.005D.Parvoviridae_2ngen_49nsp_125rensp.zip</v>
      </c>
      <c r="U4636" s="43" t="str">
        <f>HYPERLINK("https://ictv.global/taxonomy/taxondetails?taxnode_id=202214076","ictv.global=202214076")</f>
        <v>ictv.global=202214076</v>
      </c>
    </row>
    <row r="4637" spans="1:21">
      <c r="A4637">
        <v>4636</v>
      </c>
      <c r="B4637" s="29" t="s">
        <v>4053</v>
      </c>
      <c r="C4637" s="29"/>
      <c r="D4637" s="29" t="s">
        <v>4082</v>
      </c>
      <c r="E4637" s="29"/>
      <c r="F4637" s="29" t="s">
        <v>4083</v>
      </c>
      <c r="G4637" s="29"/>
      <c r="H4637" s="29" t="s">
        <v>4089</v>
      </c>
      <c r="I4637" s="29"/>
      <c r="J4637" s="29" t="s">
        <v>4090</v>
      </c>
      <c r="K4637" s="29"/>
      <c r="L4637" s="29" t="s">
        <v>1406</v>
      </c>
      <c r="M4637" s="29" t="s">
        <v>4100</v>
      </c>
      <c r="N4637" s="29" t="s">
        <v>4102</v>
      </c>
      <c r="O4637" s="29"/>
      <c r="P4637" s="29" t="s">
        <v>11830</v>
      </c>
      <c r="Q4637" t="s">
        <v>2194</v>
      </c>
      <c r="R4637" t="s">
        <v>2635</v>
      </c>
      <c r="S4637">
        <v>38</v>
      </c>
      <c r="T4637" s="43" t="str">
        <f t="shared" si="218"/>
        <v>2022.005D.Parvoviridae_2ngen_49nsp_125rensp.zip</v>
      </c>
      <c r="U4637" s="43" t="str">
        <f>HYPERLINK("https://ictv.global/taxonomy/taxondetails?taxnode_id=202207329","ictv.global=202207329")</f>
        <v>ictv.global=202207329</v>
      </c>
    </row>
    <row r="4638" spans="1:21">
      <c r="A4638">
        <v>4637</v>
      </c>
      <c r="B4638" s="29" t="s">
        <v>4053</v>
      </c>
      <c r="C4638" s="29"/>
      <c r="D4638" s="29" t="s">
        <v>4082</v>
      </c>
      <c r="E4638" s="29"/>
      <c r="F4638" s="29" t="s">
        <v>4083</v>
      </c>
      <c r="G4638" s="29"/>
      <c r="H4638" s="29" t="s">
        <v>4089</v>
      </c>
      <c r="I4638" s="29"/>
      <c r="J4638" s="29" t="s">
        <v>4090</v>
      </c>
      <c r="K4638" s="29"/>
      <c r="L4638" s="29" t="s">
        <v>1406</v>
      </c>
      <c r="M4638" s="29" t="s">
        <v>4100</v>
      </c>
      <c r="N4638" s="29" t="s">
        <v>4102</v>
      </c>
      <c r="O4638" s="29"/>
      <c r="P4638" s="29" t="s">
        <v>11831</v>
      </c>
      <c r="Q4638" t="s">
        <v>2194</v>
      </c>
      <c r="R4638" t="s">
        <v>2635</v>
      </c>
      <c r="S4638">
        <v>38</v>
      </c>
      <c r="T4638" s="43" t="str">
        <f t="shared" si="218"/>
        <v>2022.005D.Parvoviridae_2ngen_49nsp_125rensp.zip</v>
      </c>
      <c r="U4638" s="43" t="str">
        <f>HYPERLINK("https://ictv.global/taxonomy/taxondetails?taxnode_id=202207330","ictv.global=202207330")</f>
        <v>ictv.global=202207330</v>
      </c>
    </row>
    <row r="4639" spans="1:21">
      <c r="A4639">
        <v>4638</v>
      </c>
      <c r="B4639" s="29" t="s">
        <v>4053</v>
      </c>
      <c r="C4639" s="29"/>
      <c r="D4639" s="29" t="s">
        <v>4082</v>
      </c>
      <c r="E4639" s="29"/>
      <c r="F4639" s="29" t="s">
        <v>4083</v>
      </c>
      <c r="G4639" s="29"/>
      <c r="H4639" s="29" t="s">
        <v>4089</v>
      </c>
      <c r="I4639" s="29"/>
      <c r="J4639" s="29" t="s">
        <v>4090</v>
      </c>
      <c r="K4639" s="29"/>
      <c r="L4639" s="29" t="s">
        <v>1406</v>
      </c>
      <c r="M4639" s="29" t="s">
        <v>4100</v>
      </c>
      <c r="N4639" s="29" t="s">
        <v>4102</v>
      </c>
      <c r="O4639" s="29"/>
      <c r="P4639" s="29" t="s">
        <v>11832</v>
      </c>
      <c r="Q4639" t="s">
        <v>2194</v>
      </c>
      <c r="R4639" t="s">
        <v>2632</v>
      </c>
      <c r="S4639">
        <v>38</v>
      </c>
      <c r="T4639" s="43" t="str">
        <f t="shared" si="218"/>
        <v>2022.005D.Parvoviridae_2ngen_49nsp_125rensp.zip</v>
      </c>
      <c r="U4639" s="43" t="str">
        <f>HYPERLINK("https://ictv.global/taxonomy/taxondetails?taxnode_id=202214075","ictv.global=202214075")</f>
        <v>ictv.global=202214075</v>
      </c>
    </row>
    <row r="4640" spans="1:21">
      <c r="A4640">
        <v>4639</v>
      </c>
      <c r="B4640" s="29" t="s">
        <v>4053</v>
      </c>
      <c r="C4640" s="29"/>
      <c r="D4640" s="29" t="s">
        <v>4082</v>
      </c>
      <c r="E4640" s="29"/>
      <c r="F4640" s="29" t="s">
        <v>4083</v>
      </c>
      <c r="G4640" s="29"/>
      <c r="H4640" s="29" t="s">
        <v>4089</v>
      </c>
      <c r="I4640" s="29"/>
      <c r="J4640" s="29" t="s">
        <v>4090</v>
      </c>
      <c r="K4640" s="29"/>
      <c r="L4640" s="29" t="s">
        <v>1406</v>
      </c>
      <c r="M4640" s="29" t="s">
        <v>4100</v>
      </c>
      <c r="N4640" s="29" t="s">
        <v>4102</v>
      </c>
      <c r="O4640" s="29"/>
      <c r="P4640" s="29" t="s">
        <v>11833</v>
      </c>
      <c r="Q4640" t="s">
        <v>2194</v>
      </c>
      <c r="R4640" t="s">
        <v>2635</v>
      </c>
      <c r="S4640">
        <v>38</v>
      </c>
      <c r="T4640" s="43" t="str">
        <f t="shared" si="218"/>
        <v>2022.005D.Parvoviridae_2ngen_49nsp_125rensp.zip</v>
      </c>
      <c r="U4640" s="43" t="str">
        <f>HYPERLINK("https://ictv.global/taxonomy/taxondetails?taxnode_id=202207328","ictv.global=202207328")</f>
        <v>ictv.global=202207328</v>
      </c>
    </row>
    <row r="4641" spans="1:21">
      <c r="A4641">
        <v>4640</v>
      </c>
      <c r="B4641" s="29" t="s">
        <v>4053</v>
      </c>
      <c r="C4641" s="29"/>
      <c r="D4641" s="29" t="s">
        <v>4082</v>
      </c>
      <c r="E4641" s="29"/>
      <c r="F4641" s="29" t="s">
        <v>4083</v>
      </c>
      <c r="G4641" s="29"/>
      <c r="H4641" s="29" t="s">
        <v>4089</v>
      </c>
      <c r="I4641" s="29"/>
      <c r="J4641" s="29" t="s">
        <v>4090</v>
      </c>
      <c r="K4641" s="29"/>
      <c r="L4641" s="29" t="s">
        <v>1406</v>
      </c>
      <c r="M4641" s="29" t="s">
        <v>4100</v>
      </c>
      <c r="N4641" s="29" t="s">
        <v>4103</v>
      </c>
      <c r="O4641" s="29"/>
      <c r="P4641" s="29" t="s">
        <v>11834</v>
      </c>
      <c r="Q4641" t="s">
        <v>2194</v>
      </c>
      <c r="R4641" t="s">
        <v>2635</v>
      </c>
      <c r="S4641">
        <v>38</v>
      </c>
      <c r="T4641" s="43" t="str">
        <f t="shared" si="218"/>
        <v>2022.005D.Parvoviridae_2ngen_49nsp_125rensp.zip</v>
      </c>
      <c r="U4641" s="43" t="str">
        <f>HYPERLINK("https://ictv.global/taxonomy/taxondetails?taxnode_id=202204224","ictv.global=202204224")</f>
        <v>ictv.global=202204224</v>
      </c>
    </row>
    <row r="4642" spans="1:21">
      <c r="A4642">
        <v>4641</v>
      </c>
      <c r="B4642" s="29" t="s">
        <v>4053</v>
      </c>
      <c r="C4642" s="29"/>
      <c r="D4642" s="29" t="s">
        <v>4082</v>
      </c>
      <c r="E4642" s="29"/>
      <c r="F4642" s="29" t="s">
        <v>4083</v>
      </c>
      <c r="G4642" s="29"/>
      <c r="H4642" s="29" t="s">
        <v>4089</v>
      </c>
      <c r="I4642" s="29"/>
      <c r="J4642" s="29" t="s">
        <v>4090</v>
      </c>
      <c r="K4642" s="29"/>
      <c r="L4642" s="29" t="s">
        <v>1406</v>
      </c>
      <c r="M4642" s="29" t="s">
        <v>4100</v>
      </c>
      <c r="N4642" s="29" t="s">
        <v>11835</v>
      </c>
      <c r="O4642" s="29"/>
      <c r="P4642" s="29" t="s">
        <v>11836</v>
      </c>
      <c r="Q4642" t="s">
        <v>2194</v>
      </c>
      <c r="R4642" t="s">
        <v>2635</v>
      </c>
      <c r="S4642">
        <v>38</v>
      </c>
      <c r="T4642" s="43" t="str">
        <f t="shared" si="218"/>
        <v>2022.005D.Parvoviridae_2ngen_49nsp_125rensp.zip</v>
      </c>
      <c r="U4642" s="43" t="str">
        <f>HYPERLINK("https://ictv.global/taxonomy/taxondetails?taxnode_id=202207326","ictv.global=202207326")</f>
        <v>ictv.global=202207326</v>
      </c>
    </row>
    <row r="4643" spans="1:21">
      <c r="A4643">
        <v>4642</v>
      </c>
      <c r="B4643" s="29" t="s">
        <v>4053</v>
      </c>
      <c r="C4643" s="29"/>
      <c r="D4643" s="29" t="s">
        <v>4082</v>
      </c>
      <c r="E4643" s="29"/>
      <c r="F4643" s="29" t="s">
        <v>4083</v>
      </c>
      <c r="G4643" s="29"/>
      <c r="H4643" s="29" t="s">
        <v>4089</v>
      </c>
      <c r="I4643" s="29"/>
      <c r="J4643" s="29" t="s">
        <v>4090</v>
      </c>
      <c r="K4643" s="29"/>
      <c r="L4643" s="29" t="s">
        <v>1406</v>
      </c>
      <c r="M4643" s="29" t="s">
        <v>4100</v>
      </c>
      <c r="N4643" s="29" t="s">
        <v>4097</v>
      </c>
      <c r="O4643" s="29"/>
      <c r="P4643" s="29" t="s">
        <v>11837</v>
      </c>
      <c r="Q4643" t="s">
        <v>2194</v>
      </c>
      <c r="R4643" t="s">
        <v>2635</v>
      </c>
      <c r="S4643">
        <v>38</v>
      </c>
      <c r="T4643" s="43" t="str">
        <f t="shared" si="218"/>
        <v>2022.005D.Parvoviridae_2ngen_49nsp_125rensp.zip</v>
      </c>
      <c r="U4643" s="43" t="str">
        <f>HYPERLINK("https://ictv.global/taxonomy/taxondetails?taxnode_id=202204232","ictv.global=202204232")</f>
        <v>ictv.global=202204232</v>
      </c>
    </row>
    <row r="4644" spans="1:21">
      <c r="A4644">
        <v>4643</v>
      </c>
      <c r="B4644" s="29" t="s">
        <v>4053</v>
      </c>
      <c r="C4644" s="29"/>
      <c r="D4644" s="29" t="s">
        <v>4082</v>
      </c>
      <c r="E4644" s="29"/>
      <c r="F4644" s="29" t="s">
        <v>4083</v>
      </c>
      <c r="G4644" s="29"/>
      <c r="H4644" s="29" t="s">
        <v>4089</v>
      </c>
      <c r="I4644" s="29"/>
      <c r="J4644" s="29" t="s">
        <v>4090</v>
      </c>
      <c r="K4644" s="29"/>
      <c r="L4644" s="29" t="s">
        <v>1406</v>
      </c>
      <c r="M4644" s="29" t="s">
        <v>1212</v>
      </c>
      <c r="N4644" s="29" t="s">
        <v>1938</v>
      </c>
      <c r="O4644" s="29"/>
      <c r="P4644" s="29" t="s">
        <v>11838</v>
      </c>
      <c r="Q4644" t="s">
        <v>2041</v>
      </c>
      <c r="R4644" t="s">
        <v>2635</v>
      </c>
      <c r="S4644">
        <v>38</v>
      </c>
      <c r="T4644" s="43" t="str">
        <f t="shared" si="218"/>
        <v>2022.005D.Parvoviridae_2ngen_49nsp_125rensp.zip</v>
      </c>
      <c r="U4644" s="43" t="str">
        <f>HYPERLINK("https://ictv.global/taxonomy/taxondetails?taxnode_id=202204237","ictv.global=202204237")</f>
        <v>ictv.global=202204237</v>
      </c>
    </row>
    <row r="4645" spans="1:21">
      <c r="A4645">
        <v>4644</v>
      </c>
      <c r="B4645" s="29" t="s">
        <v>4053</v>
      </c>
      <c r="C4645" s="29"/>
      <c r="D4645" s="29" t="s">
        <v>4082</v>
      </c>
      <c r="E4645" s="29"/>
      <c r="F4645" s="29" t="s">
        <v>4083</v>
      </c>
      <c r="G4645" s="29"/>
      <c r="H4645" s="29" t="s">
        <v>4089</v>
      </c>
      <c r="I4645" s="29"/>
      <c r="J4645" s="29" t="s">
        <v>4090</v>
      </c>
      <c r="K4645" s="29"/>
      <c r="L4645" s="29" t="s">
        <v>1406</v>
      </c>
      <c r="M4645" s="29" t="s">
        <v>1212</v>
      </c>
      <c r="N4645" s="29" t="s">
        <v>1938</v>
      </c>
      <c r="O4645" s="29"/>
      <c r="P4645" s="29" t="s">
        <v>11839</v>
      </c>
      <c r="Q4645" t="s">
        <v>2041</v>
      </c>
      <c r="R4645" t="s">
        <v>2635</v>
      </c>
      <c r="S4645">
        <v>38</v>
      </c>
      <c r="T4645" s="43" t="str">
        <f t="shared" si="218"/>
        <v>2022.005D.Parvoviridae_2ngen_49nsp_125rensp.zip</v>
      </c>
      <c r="U4645" s="43" t="str">
        <f>HYPERLINK("https://ictv.global/taxonomy/taxondetails?taxnode_id=202204238","ictv.global=202204238")</f>
        <v>ictv.global=202204238</v>
      </c>
    </row>
    <row r="4646" spans="1:21">
      <c r="A4646">
        <v>4645</v>
      </c>
      <c r="B4646" s="29" t="s">
        <v>4053</v>
      </c>
      <c r="C4646" s="29"/>
      <c r="D4646" s="29" t="s">
        <v>4082</v>
      </c>
      <c r="E4646" s="29"/>
      <c r="F4646" s="29" t="s">
        <v>4083</v>
      </c>
      <c r="G4646" s="29"/>
      <c r="H4646" s="29" t="s">
        <v>4089</v>
      </c>
      <c r="I4646" s="29"/>
      <c r="J4646" s="29" t="s">
        <v>4090</v>
      </c>
      <c r="K4646" s="29"/>
      <c r="L4646" s="29" t="s">
        <v>1406</v>
      </c>
      <c r="M4646" s="29" t="s">
        <v>1212</v>
      </c>
      <c r="N4646" s="29" t="s">
        <v>1938</v>
      </c>
      <c r="O4646" s="29"/>
      <c r="P4646" s="29" t="s">
        <v>11840</v>
      </c>
      <c r="Q4646" t="s">
        <v>2041</v>
      </c>
      <c r="R4646" t="s">
        <v>2635</v>
      </c>
      <c r="S4646">
        <v>38</v>
      </c>
      <c r="T4646" s="43" t="str">
        <f t="shared" si="218"/>
        <v>2022.005D.Parvoviridae_2ngen_49nsp_125rensp.zip</v>
      </c>
      <c r="U4646" s="43" t="str">
        <f>HYPERLINK("https://ictv.global/taxonomy/taxondetails?taxnode_id=202205887","ictv.global=202205887")</f>
        <v>ictv.global=202205887</v>
      </c>
    </row>
    <row r="4647" spans="1:21">
      <c r="A4647">
        <v>4646</v>
      </c>
      <c r="B4647" s="29" t="s">
        <v>4053</v>
      </c>
      <c r="C4647" s="29"/>
      <c r="D4647" s="29" t="s">
        <v>4082</v>
      </c>
      <c r="E4647" s="29"/>
      <c r="F4647" s="29" t="s">
        <v>4083</v>
      </c>
      <c r="G4647" s="29"/>
      <c r="H4647" s="29" t="s">
        <v>4089</v>
      </c>
      <c r="I4647" s="29"/>
      <c r="J4647" s="29" t="s">
        <v>4090</v>
      </c>
      <c r="K4647" s="29"/>
      <c r="L4647" s="29" t="s">
        <v>1406</v>
      </c>
      <c r="M4647" s="29" t="s">
        <v>1212</v>
      </c>
      <c r="N4647" s="29" t="s">
        <v>1938</v>
      </c>
      <c r="O4647" s="29"/>
      <c r="P4647" s="29" t="s">
        <v>11841</v>
      </c>
      <c r="Q4647" t="s">
        <v>2041</v>
      </c>
      <c r="R4647" t="s">
        <v>2635</v>
      </c>
      <c r="S4647">
        <v>38</v>
      </c>
      <c r="T4647" s="43" t="str">
        <f t="shared" si="218"/>
        <v>2022.005D.Parvoviridae_2ngen_49nsp_125rensp.zip</v>
      </c>
      <c r="U4647" s="43" t="str">
        <f>HYPERLINK("https://ictv.global/taxonomy/taxondetails?taxnode_id=202205888","ictv.global=202205888")</f>
        <v>ictv.global=202205888</v>
      </c>
    </row>
    <row r="4648" spans="1:21">
      <c r="A4648">
        <v>4647</v>
      </c>
      <c r="B4648" s="29" t="s">
        <v>4053</v>
      </c>
      <c r="C4648" s="29"/>
      <c r="D4648" s="29" t="s">
        <v>4082</v>
      </c>
      <c r="E4648" s="29"/>
      <c r="F4648" s="29" t="s">
        <v>4083</v>
      </c>
      <c r="G4648" s="29"/>
      <c r="H4648" s="29" t="s">
        <v>4089</v>
      </c>
      <c r="I4648" s="29"/>
      <c r="J4648" s="29" t="s">
        <v>4090</v>
      </c>
      <c r="K4648" s="29"/>
      <c r="L4648" s="29" t="s">
        <v>1406</v>
      </c>
      <c r="M4648" s="29" t="s">
        <v>1212</v>
      </c>
      <c r="N4648" s="29" t="s">
        <v>1938</v>
      </c>
      <c r="O4648" s="29"/>
      <c r="P4648" s="29" t="s">
        <v>11842</v>
      </c>
      <c r="Q4648" t="s">
        <v>2194</v>
      </c>
      <c r="R4648" t="s">
        <v>2635</v>
      </c>
      <c r="S4648">
        <v>38</v>
      </c>
      <c r="T4648" s="43" t="str">
        <f t="shared" ref="T4648:T4679" si="219">HYPERLINK("https://ictv.global/ictv/proposals/2022.005D.Parvoviridae_2ngen_49nsp_125rensp.zip","2022.005D.Parvoviridae_2ngen_49nsp_125rensp.zip")</f>
        <v>2022.005D.Parvoviridae_2ngen_49nsp_125rensp.zip</v>
      </c>
      <c r="U4648" s="43" t="str">
        <f>HYPERLINK("https://ictv.global/taxonomy/taxondetails?taxnode_id=202207355","ictv.global=202207355")</f>
        <v>ictv.global=202207355</v>
      </c>
    </row>
    <row r="4649" spans="1:21">
      <c r="A4649">
        <v>4648</v>
      </c>
      <c r="B4649" s="29" t="s">
        <v>4053</v>
      </c>
      <c r="C4649" s="29"/>
      <c r="D4649" s="29" t="s">
        <v>4082</v>
      </c>
      <c r="E4649" s="29"/>
      <c r="F4649" s="29" t="s">
        <v>4083</v>
      </c>
      <c r="G4649" s="29"/>
      <c r="H4649" s="29" t="s">
        <v>4089</v>
      </c>
      <c r="I4649" s="29"/>
      <c r="J4649" s="29" t="s">
        <v>4090</v>
      </c>
      <c r="K4649" s="29"/>
      <c r="L4649" s="29" t="s">
        <v>1406</v>
      </c>
      <c r="M4649" s="29" t="s">
        <v>1212</v>
      </c>
      <c r="N4649" s="29" t="s">
        <v>1938</v>
      </c>
      <c r="O4649" s="29"/>
      <c r="P4649" s="29" t="s">
        <v>11843</v>
      </c>
      <c r="Q4649" t="s">
        <v>2194</v>
      </c>
      <c r="R4649" t="s">
        <v>2632</v>
      </c>
      <c r="S4649">
        <v>38</v>
      </c>
      <c r="T4649" s="43" t="str">
        <f t="shared" si="219"/>
        <v>2022.005D.Parvoviridae_2ngen_49nsp_125rensp.zip</v>
      </c>
      <c r="U4649" s="43" t="str">
        <f>HYPERLINK("https://ictv.global/taxonomy/taxondetails?taxnode_id=202214030","ictv.global=202214030")</f>
        <v>ictv.global=202214030</v>
      </c>
    </row>
    <row r="4650" spans="1:21">
      <c r="A4650">
        <v>4649</v>
      </c>
      <c r="B4650" s="29" t="s">
        <v>4053</v>
      </c>
      <c r="C4650" s="29"/>
      <c r="D4650" s="29" t="s">
        <v>4082</v>
      </c>
      <c r="E4650" s="29"/>
      <c r="F4650" s="29" t="s">
        <v>4083</v>
      </c>
      <c r="G4650" s="29"/>
      <c r="H4650" s="29" t="s">
        <v>4089</v>
      </c>
      <c r="I4650" s="29"/>
      <c r="J4650" s="29" t="s">
        <v>4090</v>
      </c>
      <c r="K4650" s="29"/>
      <c r="L4650" s="29" t="s">
        <v>1406</v>
      </c>
      <c r="M4650" s="29" t="s">
        <v>1212</v>
      </c>
      <c r="N4650" s="29" t="s">
        <v>1938</v>
      </c>
      <c r="O4650" s="29"/>
      <c r="P4650" s="29" t="s">
        <v>11844</v>
      </c>
      <c r="Q4650" t="s">
        <v>2194</v>
      </c>
      <c r="R4650" t="s">
        <v>2632</v>
      </c>
      <c r="S4650">
        <v>38</v>
      </c>
      <c r="T4650" s="43" t="str">
        <f t="shared" si="219"/>
        <v>2022.005D.Parvoviridae_2ngen_49nsp_125rensp.zip</v>
      </c>
      <c r="U4650" s="43" t="str">
        <f>HYPERLINK("https://ictv.global/taxonomy/taxondetails?taxnode_id=202214031","ictv.global=202214031")</f>
        <v>ictv.global=202214031</v>
      </c>
    </row>
    <row r="4651" spans="1:21">
      <c r="A4651">
        <v>4650</v>
      </c>
      <c r="B4651" s="29" t="s">
        <v>4053</v>
      </c>
      <c r="C4651" s="29"/>
      <c r="D4651" s="29" t="s">
        <v>4082</v>
      </c>
      <c r="E4651" s="29"/>
      <c r="F4651" s="29" t="s">
        <v>4083</v>
      </c>
      <c r="G4651" s="29"/>
      <c r="H4651" s="29" t="s">
        <v>4089</v>
      </c>
      <c r="I4651" s="29"/>
      <c r="J4651" s="29" t="s">
        <v>4090</v>
      </c>
      <c r="K4651" s="29"/>
      <c r="L4651" s="29" t="s">
        <v>1406</v>
      </c>
      <c r="M4651" s="29" t="s">
        <v>1212</v>
      </c>
      <c r="N4651" s="29" t="s">
        <v>4104</v>
      </c>
      <c r="O4651" s="29"/>
      <c r="P4651" s="29" t="s">
        <v>11845</v>
      </c>
      <c r="Q4651" t="s">
        <v>2194</v>
      </c>
      <c r="R4651" t="s">
        <v>2635</v>
      </c>
      <c r="S4651">
        <v>38</v>
      </c>
      <c r="T4651" s="43" t="str">
        <f t="shared" si="219"/>
        <v>2022.005D.Parvoviridae_2ngen_49nsp_125rensp.zip</v>
      </c>
      <c r="U4651" s="43" t="str">
        <f>HYPERLINK("https://ictv.global/taxonomy/taxondetails?taxnode_id=202207337","ictv.global=202207337")</f>
        <v>ictv.global=202207337</v>
      </c>
    </row>
    <row r="4652" spans="1:21">
      <c r="A4652">
        <v>4651</v>
      </c>
      <c r="B4652" s="29" t="s">
        <v>4053</v>
      </c>
      <c r="C4652" s="29"/>
      <c r="D4652" s="29" t="s">
        <v>4082</v>
      </c>
      <c r="E4652" s="29"/>
      <c r="F4652" s="29" t="s">
        <v>4083</v>
      </c>
      <c r="G4652" s="29"/>
      <c r="H4652" s="29" t="s">
        <v>4089</v>
      </c>
      <c r="I4652" s="29"/>
      <c r="J4652" s="29" t="s">
        <v>4090</v>
      </c>
      <c r="K4652" s="29"/>
      <c r="L4652" s="29" t="s">
        <v>1406</v>
      </c>
      <c r="M4652" s="29" t="s">
        <v>1212</v>
      </c>
      <c r="N4652" s="29" t="s">
        <v>1939</v>
      </c>
      <c r="O4652" s="29"/>
      <c r="P4652" s="29" t="s">
        <v>11846</v>
      </c>
      <c r="Q4652" t="s">
        <v>2194</v>
      </c>
      <c r="R4652" t="s">
        <v>2635</v>
      </c>
      <c r="S4652">
        <v>38</v>
      </c>
      <c r="T4652" s="43" t="str">
        <f t="shared" si="219"/>
        <v>2022.005D.Parvoviridae_2ngen_49nsp_125rensp.zip</v>
      </c>
      <c r="U4652" s="43" t="str">
        <f>HYPERLINK("https://ictv.global/taxonomy/taxondetails?taxnode_id=202209279","ictv.global=202209279")</f>
        <v>ictv.global=202209279</v>
      </c>
    </row>
    <row r="4653" spans="1:21">
      <c r="A4653">
        <v>4652</v>
      </c>
      <c r="B4653" s="29" t="s">
        <v>4053</v>
      </c>
      <c r="C4653" s="29"/>
      <c r="D4653" s="29" t="s">
        <v>4082</v>
      </c>
      <c r="E4653" s="29"/>
      <c r="F4653" s="29" t="s">
        <v>4083</v>
      </c>
      <c r="G4653" s="29"/>
      <c r="H4653" s="29" t="s">
        <v>4089</v>
      </c>
      <c r="I4653" s="29"/>
      <c r="J4653" s="29" t="s">
        <v>4090</v>
      </c>
      <c r="K4653" s="29"/>
      <c r="L4653" s="29" t="s">
        <v>1406</v>
      </c>
      <c r="M4653" s="29" t="s">
        <v>1212</v>
      </c>
      <c r="N4653" s="29" t="s">
        <v>1939</v>
      </c>
      <c r="O4653" s="29"/>
      <c r="P4653" s="29" t="s">
        <v>11847</v>
      </c>
      <c r="Q4653" t="s">
        <v>2041</v>
      </c>
      <c r="R4653" t="s">
        <v>2635</v>
      </c>
      <c r="S4653">
        <v>38</v>
      </c>
      <c r="T4653" s="43" t="str">
        <f t="shared" si="219"/>
        <v>2022.005D.Parvoviridae_2ngen_49nsp_125rensp.zip</v>
      </c>
      <c r="U4653" s="43" t="str">
        <f>HYPERLINK("https://ictv.global/taxonomy/taxondetails?taxnode_id=202204240","ictv.global=202204240")</f>
        <v>ictv.global=202204240</v>
      </c>
    </row>
    <row r="4654" spans="1:21">
      <c r="A4654">
        <v>4653</v>
      </c>
      <c r="B4654" s="29" t="s">
        <v>4053</v>
      </c>
      <c r="C4654" s="29"/>
      <c r="D4654" s="29" t="s">
        <v>4082</v>
      </c>
      <c r="E4654" s="29"/>
      <c r="F4654" s="29" t="s">
        <v>4083</v>
      </c>
      <c r="G4654" s="29"/>
      <c r="H4654" s="29" t="s">
        <v>4089</v>
      </c>
      <c r="I4654" s="29"/>
      <c r="J4654" s="29" t="s">
        <v>4090</v>
      </c>
      <c r="K4654" s="29"/>
      <c r="L4654" s="29" t="s">
        <v>1406</v>
      </c>
      <c r="M4654" s="29" t="s">
        <v>1212</v>
      </c>
      <c r="N4654" s="29" t="s">
        <v>1939</v>
      </c>
      <c r="O4654" s="29"/>
      <c r="P4654" s="29" t="s">
        <v>11848</v>
      </c>
      <c r="Q4654" t="s">
        <v>2194</v>
      </c>
      <c r="R4654" t="s">
        <v>2635</v>
      </c>
      <c r="S4654">
        <v>38</v>
      </c>
      <c r="T4654" s="43" t="str">
        <f t="shared" si="219"/>
        <v>2022.005D.Parvoviridae_2ngen_49nsp_125rensp.zip</v>
      </c>
      <c r="U4654" s="43" t="str">
        <f>HYPERLINK("https://ictv.global/taxonomy/taxondetails?taxnode_id=202207350","ictv.global=202207350")</f>
        <v>ictv.global=202207350</v>
      </c>
    </row>
    <row r="4655" spans="1:21">
      <c r="A4655">
        <v>4654</v>
      </c>
      <c r="B4655" s="29" t="s">
        <v>4053</v>
      </c>
      <c r="C4655" s="29"/>
      <c r="D4655" s="29" t="s">
        <v>4082</v>
      </c>
      <c r="E4655" s="29"/>
      <c r="F4655" s="29" t="s">
        <v>4083</v>
      </c>
      <c r="G4655" s="29"/>
      <c r="H4655" s="29" t="s">
        <v>4089</v>
      </c>
      <c r="I4655" s="29"/>
      <c r="J4655" s="29" t="s">
        <v>4090</v>
      </c>
      <c r="K4655" s="29"/>
      <c r="L4655" s="29" t="s">
        <v>1406</v>
      </c>
      <c r="M4655" s="29" t="s">
        <v>1212</v>
      </c>
      <c r="N4655" s="29" t="s">
        <v>1939</v>
      </c>
      <c r="O4655" s="29"/>
      <c r="P4655" s="29" t="s">
        <v>11849</v>
      </c>
      <c r="Q4655" t="s">
        <v>2194</v>
      </c>
      <c r="R4655" t="s">
        <v>2632</v>
      </c>
      <c r="S4655">
        <v>38</v>
      </c>
      <c r="T4655" s="43" t="str">
        <f t="shared" si="219"/>
        <v>2022.005D.Parvoviridae_2ngen_49nsp_125rensp.zip</v>
      </c>
      <c r="U4655" s="43" t="str">
        <f>HYPERLINK("https://ictv.global/taxonomy/taxondetails?taxnode_id=202214032","ictv.global=202214032")</f>
        <v>ictv.global=202214032</v>
      </c>
    </row>
    <row r="4656" spans="1:21">
      <c r="A4656">
        <v>4655</v>
      </c>
      <c r="B4656" s="29" t="s">
        <v>4053</v>
      </c>
      <c r="C4656" s="29"/>
      <c r="D4656" s="29" t="s">
        <v>4082</v>
      </c>
      <c r="E4656" s="29"/>
      <c r="F4656" s="29" t="s">
        <v>4083</v>
      </c>
      <c r="G4656" s="29"/>
      <c r="H4656" s="29" t="s">
        <v>4089</v>
      </c>
      <c r="I4656" s="29"/>
      <c r="J4656" s="29" t="s">
        <v>4090</v>
      </c>
      <c r="K4656" s="29"/>
      <c r="L4656" s="29" t="s">
        <v>1406</v>
      </c>
      <c r="M4656" s="29" t="s">
        <v>1212</v>
      </c>
      <c r="N4656" s="29" t="s">
        <v>1940</v>
      </c>
      <c r="O4656" s="29"/>
      <c r="P4656" s="29" t="s">
        <v>11850</v>
      </c>
      <c r="Q4656" t="s">
        <v>2041</v>
      </c>
      <c r="R4656" t="s">
        <v>2635</v>
      </c>
      <c r="S4656">
        <v>38</v>
      </c>
      <c r="T4656" s="43" t="str">
        <f t="shared" si="219"/>
        <v>2022.005D.Parvoviridae_2ngen_49nsp_125rensp.zip</v>
      </c>
      <c r="U4656" s="43" t="str">
        <f>HYPERLINK("https://ictv.global/taxonomy/taxondetails?taxnode_id=202204242","ictv.global=202204242")</f>
        <v>ictv.global=202204242</v>
      </c>
    </row>
    <row r="4657" spans="1:21">
      <c r="A4657">
        <v>4656</v>
      </c>
      <c r="B4657" s="29" t="s">
        <v>4053</v>
      </c>
      <c r="C4657" s="29"/>
      <c r="D4657" s="29" t="s">
        <v>4082</v>
      </c>
      <c r="E4657" s="29"/>
      <c r="F4657" s="29" t="s">
        <v>4083</v>
      </c>
      <c r="G4657" s="29"/>
      <c r="H4657" s="29" t="s">
        <v>4089</v>
      </c>
      <c r="I4657" s="29"/>
      <c r="J4657" s="29" t="s">
        <v>4090</v>
      </c>
      <c r="K4657" s="29"/>
      <c r="L4657" s="29" t="s">
        <v>1406</v>
      </c>
      <c r="M4657" s="29" t="s">
        <v>1212</v>
      </c>
      <c r="N4657" s="29" t="s">
        <v>1940</v>
      </c>
      <c r="O4657" s="29"/>
      <c r="P4657" s="29" t="s">
        <v>11851</v>
      </c>
      <c r="Q4657" t="s">
        <v>2041</v>
      </c>
      <c r="R4657" t="s">
        <v>2635</v>
      </c>
      <c r="S4657">
        <v>38</v>
      </c>
      <c r="T4657" s="43" t="str">
        <f t="shared" si="219"/>
        <v>2022.005D.Parvoviridae_2ngen_49nsp_125rensp.zip</v>
      </c>
      <c r="U4657" s="43" t="str">
        <f>HYPERLINK("https://ictv.global/taxonomy/taxondetails?taxnode_id=202204243","ictv.global=202204243")</f>
        <v>ictv.global=202204243</v>
      </c>
    </row>
    <row r="4658" spans="1:21">
      <c r="A4658">
        <v>4657</v>
      </c>
      <c r="B4658" s="29" t="s">
        <v>4053</v>
      </c>
      <c r="C4658" s="29"/>
      <c r="D4658" s="29" t="s">
        <v>4082</v>
      </c>
      <c r="E4658" s="29"/>
      <c r="F4658" s="29" t="s">
        <v>4083</v>
      </c>
      <c r="G4658" s="29"/>
      <c r="H4658" s="29" t="s">
        <v>4089</v>
      </c>
      <c r="I4658" s="29"/>
      <c r="J4658" s="29" t="s">
        <v>4090</v>
      </c>
      <c r="K4658" s="29"/>
      <c r="L4658" s="29" t="s">
        <v>1406</v>
      </c>
      <c r="M4658" s="29" t="s">
        <v>1212</v>
      </c>
      <c r="N4658" s="29" t="s">
        <v>1940</v>
      </c>
      <c r="O4658" s="29"/>
      <c r="P4658" s="29" t="s">
        <v>11852</v>
      </c>
      <c r="Q4658" t="s">
        <v>2041</v>
      </c>
      <c r="R4658" t="s">
        <v>2635</v>
      </c>
      <c r="S4658">
        <v>38</v>
      </c>
      <c r="T4658" s="43" t="str">
        <f t="shared" si="219"/>
        <v>2022.005D.Parvoviridae_2ngen_49nsp_125rensp.zip</v>
      </c>
      <c r="U4658" s="43" t="str">
        <f>HYPERLINK("https://ictv.global/taxonomy/taxondetails?taxnode_id=202204244","ictv.global=202204244")</f>
        <v>ictv.global=202204244</v>
      </c>
    </row>
    <row r="4659" spans="1:21">
      <c r="A4659">
        <v>4658</v>
      </c>
      <c r="B4659" s="29" t="s">
        <v>4053</v>
      </c>
      <c r="C4659" s="29"/>
      <c r="D4659" s="29" t="s">
        <v>4082</v>
      </c>
      <c r="E4659" s="29"/>
      <c r="F4659" s="29" t="s">
        <v>4083</v>
      </c>
      <c r="G4659" s="29"/>
      <c r="H4659" s="29" t="s">
        <v>4089</v>
      </c>
      <c r="I4659" s="29"/>
      <c r="J4659" s="29" t="s">
        <v>4090</v>
      </c>
      <c r="K4659" s="29"/>
      <c r="L4659" s="29" t="s">
        <v>1406</v>
      </c>
      <c r="M4659" s="29" t="s">
        <v>1212</v>
      </c>
      <c r="N4659" s="29" t="s">
        <v>1940</v>
      </c>
      <c r="O4659" s="29"/>
      <c r="P4659" s="29" t="s">
        <v>11853</v>
      </c>
      <c r="Q4659" t="s">
        <v>2041</v>
      </c>
      <c r="R4659" t="s">
        <v>2635</v>
      </c>
      <c r="S4659">
        <v>38</v>
      </c>
      <c r="T4659" s="43" t="str">
        <f t="shared" si="219"/>
        <v>2022.005D.Parvoviridae_2ngen_49nsp_125rensp.zip</v>
      </c>
      <c r="U4659" s="43" t="str">
        <f>HYPERLINK("https://ictv.global/taxonomy/taxondetails?taxnode_id=202205889","ictv.global=202205889")</f>
        <v>ictv.global=202205889</v>
      </c>
    </row>
    <row r="4660" spans="1:21">
      <c r="A4660">
        <v>4659</v>
      </c>
      <c r="B4660" s="29" t="s">
        <v>4053</v>
      </c>
      <c r="C4660" s="29"/>
      <c r="D4660" s="29" t="s">
        <v>4082</v>
      </c>
      <c r="E4660" s="29"/>
      <c r="F4660" s="29" t="s">
        <v>4083</v>
      </c>
      <c r="G4660" s="29"/>
      <c r="H4660" s="29" t="s">
        <v>4089</v>
      </c>
      <c r="I4660" s="29"/>
      <c r="J4660" s="29" t="s">
        <v>4090</v>
      </c>
      <c r="K4660" s="29"/>
      <c r="L4660" s="29" t="s">
        <v>1406</v>
      </c>
      <c r="M4660" s="29" t="s">
        <v>1212</v>
      </c>
      <c r="N4660" s="29" t="s">
        <v>1940</v>
      </c>
      <c r="O4660" s="29"/>
      <c r="P4660" s="29" t="s">
        <v>11854</v>
      </c>
      <c r="Q4660" t="s">
        <v>2041</v>
      </c>
      <c r="R4660" t="s">
        <v>2635</v>
      </c>
      <c r="S4660">
        <v>38</v>
      </c>
      <c r="T4660" s="43" t="str">
        <f t="shared" si="219"/>
        <v>2022.005D.Parvoviridae_2ngen_49nsp_125rensp.zip</v>
      </c>
      <c r="U4660" s="43" t="str">
        <f>HYPERLINK("https://ictv.global/taxonomy/taxondetails?taxnode_id=202205890","ictv.global=202205890")</f>
        <v>ictv.global=202205890</v>
      </c>
    </row>
    <row r="4661" spans="1:21">
      <c r="A4661">
        <v>4660</v>
      </c>
      <c r="B4661" s="29" t="s">
        <v>4053</v>
      </c>
      <c r="C4661" s="29"/>
      <c r="D4661" s="29" t="s">
        <v>4082</v>
      </c>
      <c r="E4661" s="29"/>
      <c r="F4661" s="29" t="s">
        <v>4083</v>
      </c>
      <c r="G4661" s="29"/>
      <c r="H4661" s="29" t="s">
        <v>4089</v>
      </c>
      <c r="I4661" s="29"/>
      <c r="J4661" s="29" t="s">
        <v>4090</v>
      </c>
      <c r="K4661" s="29"/>
      <c r="L4661" s="29" t="s">
        <v>1406</v>
      </c>
      <c r="M4661" s="29" t="s">
        <v>1212</v>
      </c>
      <c r="N4661" s="29" t="s">
        <v>1940</v>
      </c>
      <c r="O4661" s="29"/>
      <c r="P4661" s="29" t="s">
        <v>11855</v>
      </c>
      <c r="Q4661" t="s">
        <v>2041</v>
      </c>
      <c r="R4661" t="s">
        <v>2635</v>
      </c>
      <c r="S4661">
        <v>38</v>
      </c>
      <c r="T4661" s="43" t="str">
        <f t="shared" si="219"/>
        <v>2022.005D.Parvoviridae_2ngen_49nsp_125rensp.zip</v>
      </c>
      <c r="U4661" s="43" t="str">
        <f>HYPERLINK("https://ictv.global/taxonomy/taxondetails?taxnode_id=202205891","ictv.global=202205891")</f>
        <v>ictv.global=202205891</v>
      </c>
    </row>
    <row r="4662" spans="1:21">
      <c r="A4662">
        <v>4661</v>
      </c>
      <c r="B4662" s="29" t="s">
        <v>4053</v>
      </c>
      <c r="C4662" s="29"/>
      <c r="D4662" s="29" t="s">
        <v>4082</v>
      </c>
      <c r="E4662" s="29"/>
      <c r="F4662" s="29" t="s">
        <v>4083</v>
      </c>
      <c r="G4662" s="29"/>
      <c r="H4662" s="29" t="s">
        <v>4089</v>
      </c>
      <c r="I4662" s="29"/>
      <c r="J4662" s="29" t="s">
        <v>4090</v>
      </c>
      <c r="K4662" s="29"/>
      <c r="L4662" s="29" t="s">
        <v>1406</v>
      </c>
      <c r="M4662" s="29" t="s">
        <v>1212</v>
      </c>
      <c r="N4662" s="29" t="s">
        <v>1940</v>
      </c>
      <c r="O4662" s="29"/>
      <c r="P4662" s="29" t="s">
        <v>11856</v>
      </c>
      <c r="Q4662" t="s">
        <v>2194</v>
      </c>
      <c r="R4662" t="s">
        <v>2632</v>
      </c>
      <c r="S4662">
        <v>38</v>
      </c>
      <c r="T4662" s="43" t="str">
        <f t="shared" si="219"/>
        <v>2022.005D.Parvoviridae_2ngen_49nsp_125rensp.zip</v>
      </c>
      <c r="U4662" s="43" t="str">
        <f>HYPERLINK("https://ictv.global/taxonomy/taxondetails?taxnode_id=202214033","ictv.global=202214033")</f>
        <v>ictv.global=202214033</v>
      </c>
    </row>
    <row r="4663" spans="1:21">
      <c r="A4663">
        <v>4662</v>
      </c>
      <c r="B4663" s="29" t="s">
        <v>4053</v>
      </c>
      <c r="C4663" s="29"/>
      <c r="D4663" s="29" t="s">
        <v>4082</v>
      </c>
      <c r="E4663" s="29"/>
      <c r="F4663" s="29" t="s">
        <v>4083</v>
      </c>
      <c r="G4663" s="29"/>
      <c r="H4663" s="29" t="s">
        <v>4089</v>
      </c>
      <c r="I4663" s="29"/>
      <c r="J4663" s="29" t="s">
        <v>4090</v>
      </c>
      <c r="K4663" s="29"/>
      <c r="L4663" s="29" t="s">
        <v>1406</v>
      </c>
      <c r="M4663" s="29" t="s">
        <v>1212</v>
      </c>
      <c r="N4663" s="29" t="s">
        <v>1940</v>
      </c>
      <c r="O4663" s="29"/>
      <c r="P4663" s="29" t="s">
        <v>11857</v>
      </c>
      <c r="Q4663" t="s">
        <v>2041</v>
      </c>
      <c r="R4663" t="s">
        <v>2635</v>
      </c>
      <c r="S4663">
        <v>38</v>
      </c>
      <c r="T4663" s="43" t="str">
        <f t="shared" si="219"/>
        <v>2022.005D.Parvoviridae_2ngen_49nsp_125rensp.zip</v>
      </c>
      <c r="U4663" s="43" t="str">
        <f>HYPERLINK("https://ictv.global/taxonomy/taxondetails?taxnode_id=202205892","ictv.global=202205892")</f>
        <v>ictv.global=202205892</v>
      </c>
    </row>
    <row r="4664" spans="1:21">
      <c r="A4664">
        <v>4663</v>
      </c>
      <c r="B4664" s="29" t="s">
        <v>4053</v>
      </c>
      <c r="C4664" s="29"/>
      <c r="D4664" s="29" t="s">
        <v>4082</v>
      </c>
      <c r="E4664" s="29"/>
      <c r="F4664" s="29" t="s">
        <v>4083</v>
      </c>
      <c r="G4664" s="29"/>
      <c r="H4664" s="29" t="s">
        <v>4089</v>
      </c>
      <c r="I4664" s="29"/>
      <c r="J4664" s="29" t="s">
        <v>4090</v>
      </c>
      <c r="K4664" s="29"/>
      <c r="L4664" s="29" t="s">
        <v>1406</v>
      </c>
      <c r="M4664" s="29" t="s">
        <v>1212</v>
      </c>
      <c r="N4664" s="29" t="s">
        <v>1940</v>
      </c>
      <c r="O4664" s="29"/>
      <c r="P4664" s="29" t="s">
        <v>11858</v>
      </c>
      <c r="Q4664" t="s">
        <v>2041</v>
      </c>
      <c r="R4664" t="s">
        <v>2635</v>
      </c>
      <c r="S4664">
        <v>38</v>
      </c>
      <c r="T4664" s="43" t="str">
        <f t="shared" si="219"/>
        <v>2022.005D.Parvoviridae_2ngen_49nsp_125rensp.zip</v>
      </c>
      <c r="U4664" s="43" t="str">
        <f>HYPERLINK("https://ictv.global/taxonomy/taxondetails?taxnode_id=202205893","ictv.global=202205893")</f>
        <v>ictv.global=202205893</v>
      </c>
    </row>
    <row r="4665" spans="1:21">
      <c r="A4665">
        <v>4664</v>
      </c>
      <c r="B4665" s="29" t="s">
        <v>4053</v>
      </c>
      <c r="C4665" s="29"/>
      <c r="D4665" s="29" t="s">
        <v>4082</v>
      </c>
      <c r="E4665" s="29"/>
      <c r="F4665" s="29" t="s">
        <v>4083</v>
      </c>
      <c r="G4665" s="29"/>
      <c r="H4665" s="29" t="s">
        <v>4089</v>
      </c>
      <c r="I4665" s="29"/>
      <c r="J4665" s="29" t="s">
        <v>4090</v>
      </c>
      <c r="K4665" s="29"/>
      <c r="L4665" s="29" t="s">
        <v>1406</v>
      </c>
      <c r="M4665" s="29" t="s">
        <v>1212</v>
      </c>
      <c r="N4665" s="29" t="s">
        <v>1940</v>
      </c>
      <c r="O4665" s="29"/>
      <c r="P4665" s="29" t="s">
        <v>11859</v>
      </c>
      <c r="Q4665" t="s">
        <v>2041</v>
      </c>
      <c r="R4665" t="s">
        <v>2635</v>
      </c>
      <c r="S4665">
        <v>38</v>
      </c>
      <c r="T4665" s="43" t="str">
        <f t="shared" si="219"/>
        <v>2022.005D.Parvoviridae_2ngen_49nsp_125rensp.zip</v>
      </c>
      <c r="U4665" s="43" t="str">
        <f>HYPERLINK("https://ictv.global/taxonomy/taxondetails?taxnode_id=202205894","ictv.global=202205894")</f>
        <v>ictv.global=202205894</v>
      </c>
    </row>
    <row r="4666" spans="1:21">
      <c r="A4666">
        <v>4665</v>
      </c>
      <c r="B4666" s="29" t="s">
        <v>4053</v>
      </c>
      <c r="C4666" s="29"/>
      <c r="D4666" s="29" t="s">
        <v>4082</v>
      </c>
      <c r="E4666" s="29"/>
      <c r="F4666" s="29" t="s">
        <v>4083</v>
      </c>
      <c r="G4666" s="29"/>
      <c r="H4666" s="29" t="s">
        <v>4089</v>
      </c>
      <c r="I4666" s="29"/>
      <c r="J4666" s="29" t="s">
        <v>4090</v>
      </c>
      <c r="K4666" s="29"/>
      <c r="L4666" s="29" t="s">
        <v>1406</v>
      </c>
      <c r="M4666" s="29" t="s">
        <v>1212</v>
      </c>
      <c r="N4666" s="29" t="s">
        <v>1940</v>
      </c>
      <c r="O4666" s="29"/>
      <c r="P4666" s="29" t="s">
        <v>11860</v>
      </c>
      <c r="Q4666" t="s">
        <v>2041</v>
      </c>
      <c r="R4666" t="s">
        <v>2635</v>
      </c>
      <c r="S4666">
        <v>38</v>
      </c>
      <c r="T4666" s="43" t="str">
        <f t="shared" si="219"/>
        <v>2022.005D.Parvoviridae_2ngen_49nsp_125rensp.zip</v>
      </c>
      <c r="U4666" s="43" t="str">
        <f>HYPERLINK("https://ictv.global/taxonomy/taxondetails?taxnode_id=202205895","ictv.global=202205895")</f>
        <v>ictv.global=202205895</v>
      </c>
    </row>
    <row r="4667" spans="1:21">
      <c r="A4667">
        <v>4666</v>
      </c>
      <c r="B4667" s="29" t="s">
        <v>4053</v>
      </c>
      <c r="C4667" s="29"/>
      <c r="D4667" s="29" t="s">
        <v>4082</v>
      </c>
      <c r="E4667" s="29"/>
      <c r="F4667" s="29" t="s">
        <v>4083</v>
      </c>
      <c r="G4667" s="29"/>
      <c r="H4667" s="29" t="s">
        <v>4089</v>
      </c>
      <c r="I4667" s="29"/>
      <c r="J4667" s="29" t="s">
        <v>4090</v>
      </c>
      <c r="K4667" s="29"/>
      <c r="L4667" s="29" t="s">
        <v>1406</v>
      </c>
      <c r="M4667" s="29" t="s">
        <v>1212</v>
      </c>
      <c r="N4667" s="29" t="s">
        <v>1940</v>
      </c>
      <c r="O4667" s="29"/>
      <c r="P4667" s="29" t="s">
        <v>11861</v>
      </c>
      <c r="Q4667" t="s">
        <v>2194</v>
      </c>
      <c r="R4667" t="s">
        <v>2635</v>
      </c>
      <c r="S4667">
        <v>38</v>
      </c>
      <c r="T4667" s="43" t="str">
        <f t="shared" si="219"/>
        <v>2022.005D.Parvoviridae_2ngen_49nsp_125rensp.zip</v>
      </c>
      <c r="U4667" s="43" t="str">
        <f>HYPERLINK("https://ictv.global/taxonomy/taxondetails?taxnode_id=202209280","ictv.global=202209280")</f>
        <v>ictv.global=202209280</v>
      </c>
    </row>
    <row r="4668" spans="1:21">
      <c r="A4668">
        <v>4667</v>
      </c>
      <c r="B4668" s="29" t="s">
        <v>4053</v>
      </c>
      <c r="C4668" s="29"/>
      <c r="D4668" s="29" t="s">
        <v>4082</v>
      </c>
      <c r="E4668" s="29"/>
      <c r="F4668" s="29" t="s">
        <v>4083</v>
      </c>
      <c r="G4668" s="29"/>
      <c r="H4668" s="29" t="s">
        <v>4089</v>
      </c>
      <c r="I4668" s="29"/>
      <c r="J4668" s="29" t="s">
        <v>4090</v>
      </c>
      <c r="K4668" s="29"/>
      <c r="L4668" s="29" t="s">
        <v>1406</v>
      </c>
      <c r="M4668" s="29" t="s">
        <v>1212</v>
      </c>
      <c r="N4668" s="29" t="s">
        <v>1940</v>
      </c>
      <c r="O4668" s="29"/>
      <c r="P4668" s="29" t="s">
        <v>11862</v>
      </c>
      <c r="Q4668" t="s">
        <v>2265</v>
      </c>
      <c r="R4668" t="s">
        <v>2632</v>
      </c>
      <c r="S4668">
        <v>38</v>
      </c>
      <c r="T4668" s="43" t="str">
        <f t="shared" si="219"/>
        <v>2022.005D.Parvoviridae_2ngen_49nsp_125rensp.zip</v>
      </c>
      <c r="U4668" s="43" t="str">
        <f>HYPERLINK("https://ictv.global/taxonomy/taxondetails?taxnode_id=202214034","ictv.global=202214034")</f>
        <v>ictv.global=202214034</v>
      </c>
    </row>
    <row r="4669" spans="1:21">
      <c r="A4669">
        <v>4668</v>
      </c>
      <c r="B4669" s="29" t="s">
        <v>4053</v>
      </c>
      <c r="C4669" s="29"/>
      <c r="D4669" s="29" t="s">
        <v>4082</v>
      </c>
      <c r="E4669" s="29"/>
      <c r="F4669" s="29" t="s">
        <v>4083</v>
      </c>
      <c r="G4669" s="29"/>
      <c r="H4669" s="29" t="s">
        <v>4089</v>
      </c>
      <c r="I4669" s="29"/>
      <c r="J4669" s="29" t="s">
        <v>4090</v>
      </c>
      <c r="K4669" s="29"/>
      <c r="L4669" s="29" t="s">
        <v>1406</v>
      </c>
      <c r="M4669" s="29" t="s">
        <v>1212</v>
      </c>
      <c r="N4669" s="29" t="s">
        <v>1940</v>
      </c>
      <c r="O4669" s="29"/>
      <c r="P4669" s="29" t="s">
        <v>11863</v>
      </c>
      <c r="Q4669" t="s">
        <v>2041</v>
      </c>
      <c r="R4669" t="s">
        <v>2635</v>
      </c>
      <c r="S4669">
        <v>38</v>
      </c>
      <c r="T4669" s="43" t="str">
        <f t="shared" si="219"/>
        <v>2022.005D.Parvoviridae_2ngen_49nsp_125rensp.zip</v>
      </c>
      <c r="U4669" s="43" t="str">
        <f>HYPERLINK("https://ictv.global/taxonomy/taxondetails?taxnode_id=202205896","ictv.global=202205896")</f>
        <v>ictv.global=202205896</v>
      </c>
    </row>
    <row r="4670" spans="1:21">
      <c r="A4670">
        <v>4669</v>
      </c>
      <c r="B4670" s="29" t="s">
        <v>4053</v>
      </c>
      <c r="C4670" s="29"/>
      <c r="D4670" s="29" t="s">
        <v>4082</v>
      </c>
      <c r="E4670" s="29"/>
      <c r="F4670" s="29" t="s">
        <v>4083</v>
      </c>
      <c r="G4670" s="29"/>
      <c r="H4670" s="29" t="s">
        <v>4089</v>
      </c>
      <c r="I4670" s="29"/>
      <c r="J4670" s="29" t="s">
        <v>4090</v>
      </c>
      <c r="K4670" s="29"/>
      <c r="L4670" s="29" t="s">
        <v>1406</v>
      </c>
      <c r="M4670" s="29" t="s">
        <v>1212</v>
      </c>
      <c r="N4670" s="29" t="s">
        <v>1940</v>
      </c>
      <c r="O4670" s="29"/>
      <c r="P4670" s="29" t="s">
        <v>11864</v>
      </c>
      <c r="Q4670" t="s">
        <v>2041</v>
      </c>
      <c r="R4670" t="s">
        <v>2635</v>
      </c>
      <c r="S4670">
        <v>38</v>
      </c>
      <c r="T4670" s="43" t="str">
        <f t="shared" si="219"/>
        <v>2022.005D.Parvoviridae_2ngen_49nsp_125rensp.zip</v>
      </c>
      <c r="U4670" s="43" t="str">
        <f>HYPERLINK("https://ictv.global/taxonomy/taxondetails?taxnode_id=202204245","ictv.global=202204245")</f>
        <v>ictv.global=202204245</v>
      </c>
    </row>
    <row r="4671" spans="1:21">
      <c r="A4671">
        <v>4670</v>
      </c>
      <c r="B4671" s="29" t="s">
        <v>4053</v>
      </c>
      <c r="C4671" s="29"/>
      <c r="D4671" s="29" t="s">
        <v>4082</v>
      </c>
      <c r="E4671" s="29"/>
      <c r="F4671" s="29" t="s">
        <v>4083</v>
      </c>
      <c r="G4671" s="29"/>
      <c r="H4671" s="29" t="s">
        <v>4089</v>
      </c>
      <c r="I4671" s="29"/>
      <c r="J4671" s="29" t="s">
        <v>4090</v>
      </c>
      <c r="K4671" s="29"/>
      <c r="L4671" s="29" t="s">
        <v>1406</v>
      </c>
      <c r="M4671" s="29" t="s">
        <v>1212</v>
      </c>
      <c r="N4671" s="29" t="s">
        <v>1940</v>
      </c>
      <c r="O4671" s="29"/>
      <c r="P4671" s="29" t="s">
        <v>11865</v>
      </c>
      <c r="Q4671" t="s">
        <v>2041</v>
      </c>
      <c r="R4671" t="s">
        <v>2635</v>
      </c>
      <c r="S4671">
        <v>38</v>
      </c>
      <c r="T4671" s="43" t="str">
        <f t="shared" si="219"/>
        <v>2022.005D.Parvoviridae_2ngen_49nsp_125rensp.zip</v>
      </c>
      <c r="U4671" s="43" t="str">
        <f>HYPERLINK("https://ictv.global/taxonomy/taxondetails?taxnode_id=202204246","ictv.global=202204246")</f>
        <v>ictv.global=202204246</v>
      </c>
    </row>
    <row r="4672" spans="1:21">
      <c r="A4672">
        <v>4671</v>
      </c>
      <c r="B4672" s="29" t="s">
        <v>4053</v>
      </c>
      <c r="C4672" s="29"/>
      <c r="D4672" s="29" t="s">
        <v>4082</v>
      </c>
      <c r="E4672" s="29"/>
      <c r="F4672" s="29" t="s">
        <v>4083</v>
      </c>
      <c r="G4672" s="29"/>
      <c r="H4672" s="29" t="s">
        <v>4089</v>
      </c>
      <c r="I4672" s="29"/>
      <c r="J4672" s="29" t="s">
        <v>4090</v>
      </c>
      <c r="K4672" s="29"/>
      <c r="L4672" s="29" t="s">
        <v>1406</v>
      </c>
      <c r="M4672" s="29" t="s">
        <v>1212</v>
      </c>
      <c r="N4672" s="29" t="s">
        <v>1940</v>
      </c>
      <c r="O4672" s="29"/>
      <c r="P4672" s="29" t="s">
        <v>11866</v>
      </c>
      <c r="Q4672" t="s">
        <v>2041</v>
      </c>
      <c r="R4672" t="s">
        <v>2635</v>
      </c>
      <c r="S4672">
        <v>38</v>
      </c>
      <c r="T4672" s="43" t="str">
        <f t="shared" si="219"/>
        <v>2022.005D.Parvoviridae_2ngen_49nsp_125rensp.zip</v>
      </c>
      <c r="U4672" s="43" t="str">
        <f>HYPERLINK("https://ictv.global/taxonomy/taxondetails?taxnode_id=202204247","ictv.global=202204247")</f>
        <v>ictv.global=202204247</v>
      </c>
    </row>
    <row r="4673" spans="1:21">
      <c r="A4673">
        <v>4672</v>
      </c>
      <c r="B4673" s="29" t="s">
        <v>4053</v>
      </c>
      <c r="C4673" s="29"/>
      <c r="D4673" s="29" t="s">
        <v>4082</v>
      </c>
      <c r="E4673" s="29"/>
      <c r="F4673" s="29" t="s">
        <v>4083</v>
      </c>
      <c r="G4673" s="29"/>
      <c r="H4673" s="29" t="s">
        <v>4089</v>
      </c>
      <c r="I4673" s="29"/>
      <c r="J4673" s="29" t="s">
        <v>4090</v>
      </c>
      <c r="K4673" s="29"/>
      <c r="L4673" s="29" t="s">
        <v>1406</v>
      </c>
      <c r="M4673" s="29" t="s">
        <v>1212</v>
      </c>
      <c r="N4673" s="29" t="s">
        <v>1940</v>
      </c>
      <c r="O4673" s="29"/>
      <c r="P4673" s="29" t="s">
        <v>11867</v>
      </c>
      <c r="Q4673" t="s">
        <v>2041</v>
      </c>
      <c r="R4673" t="s">
        <v>2635</v>
      </c>
      <c r="S4673">
        <v>38</v>
      </c>
      <c r="T4673" s="43" t="str">
        <f t="shared" si="219"/>
        <v>2022.005D.Parvoviridae_2ngen_49nsp_125rensp.zip</v>
      </c>
      <c r="U4673" s="43" t="str">
        <f>HYPERLINK("https://ictv.global/taxonomy/taxondetails?taxnode_id=202204248","ictv.global=202204248")</f>
        <v>ictv.global=202204248</v>
      </c>
    </row>
    <row r="4674" spans="1:21">
      <c r="A4674">
        <v>4673</v>
      </c>
      <c r="B4674" s="29" t="s">
        <v>4053</v>
      </c>
      <c r="C4674" s="29"/>
      <c r="D4674" s="29" t="s">
        <v>4082</v>
      </c>
      <c r="E4674" s="29"/>
      <c r="F4674" s="29" t="s">
        <v>4083</v>
      </c>
      <c r="G4674" s="29"/>
      <c r="H4674" s="29" t="s">
        <v>4089</v>
      </c>
      <c r="I4674" s="29"/>
      <c r="J4674" s="29" t="s">
        <v>4090</v>
      </c>
      <c r="K4674" s="29"/>
      <c r="L4674" s="29" t="s">
        <v>1406</v>
      </c>
      <c r="M4674" s="29" t="s">
        <v>1212</v>
      </c>
      <c r="N4674" s="29" t="s">
        <v>1940</v>
      </c>
      <c r="O4674" s="29"/>
      <c r="P4674" s="29" t="s">
        <v>11868</v>
      </c>
      <c r="Q4674" t="s">
        <v>2194</v>
      </c>
      <c r="R4674" t="s">
        <v>2635</v>
      </c>
      <c r="S4674">
        <v>38</v>
      </c>
      <c r="T4674" s="43" t="str">
        <f t="shared" si="219"/>
        <v>2022.005D.Parvoviridae_2ngen_49nsp_125rensp.zip</v>
      </c>
      <c r="U4674" s="43" t="str">
        <f>HYPERLINK("https://ictv.global/taxonomy/taxondetails?taxnode_id=202209281","ictv.global=202209281")</f>
        <v>ictv.global=202209281</v>
      </c>
    </row>
    <row r="4675" spans="1:21">
      <c r="A4675">
        <v>4674</v>
      </c>
      <c r="B4675" s="29" t="s">
        <v>4053</v>
      </c>
      <c r="C4675" s="29"/>
      <c r="D4675" s="29" t="s">
        <v>4082</v>
      </c>
      <c r="E4675" s="29"/>
      <c r="F4675" s="29" t="s">
        <v>4083</v>
      </c>
      <c r="G4675" s="29"/>
      <c r="H4675" s="29" t="s">
        <v>4089</v>
      </c>
      <c r="I4675" s="29"/>
      <c r="J4675" s="29" t="s">
        <v>4090</v>
      </c>
      <c r="K4675" s="29"/>
      <c r="L4675" s="29" t="s">
        <v>1406</v>
      </c>
      <c r="M4675" s="29" t="s">
        <v>1212</v>
      </c>
      <c r="N4675" s="29" t="s">
        <v>1940</v>
      </c>
      <c r="O4675" s="29"/>
      <c r="P4675" s="29" t="s">
        <v>11869</v>
      </c>
      <c r="Q4675" t="s">
        <v>2194</v>
      </c>
      <c r="R4675" t="s">
        <v>2635</v>
      </c>
      <c r="S4675">
        <v>38</v>
      </c>
      <c r="T4675" s="43" t="str">
        <f t="shared" si="219"/>
        <v>2022.005D.Parvoviridae_2ngen_49nsp_125rensp.zip</v>
      </c>
      <c r="U4675" s="43" t="str">
        <f>HYPERLINK("https://ictv.global/taxonomy/taxondetails?taxnode_id=202207348","ictv.global=202207348")</f>
        <v>ictv.global=202207348</v>
      </c>
    </row>
    <row r="4676" spans="1:21">
      <c r="A4676">
        <v>4675</v>
      </c>
      <c r="B4676" s="29" t="s">
        <v>4053</v>
      </c>
      <c r="C4676" s="29"/>
      <c r="D4676" s="29" t="s">
        <v>4082</v>
      </c>
      <c r="E4676" s="29"/>
      <c r="F4676" s="29" t="s">
        <v>4083</v>
      </c>
      <c r="G4676" s="29"/>
      <c r="H4676" s="29" t="s">
        <v>4089</v>
      </c>
      <c r="I4676" s="29"/>
      <c r="J4676" s="29" t="s">
        <v>4090</v>
      </c>
      <c r="K4676" s="29"/>
      <c r="L4676" s="29" t="s">
        <v>1406</v>
      </c>
      <c r="M4676" s="29" t="s">
        <v>1212</v>
      </c>
      <c r="N4676" s="29" t="s">
        <v>1940</v>
      </c>
      <c r="O4676" s="29"/>
      <c r="P4676" s="29" t="s">
        <v>11870</v>
      </c>
      <c r="Q4676" t="s">
        <v>2194</v>
      </c>
      <c r="R4676" t="s">
        <v>2635</v>
      </c>
      <c r="S4676">
        <v>38</v>
      </c>
      <c r="T4676" s="43" t="str">
        <f t="shared" si="219"/>
        <v>2022.005D.Parvoviridae_2ngen_49nsp_125rensp.zip</v>
      </c>
      <c r="U4676" s="43" t="str">
        <f>HYPERLINK("https://ictv.global/taxonomy/taxondetails?taxnode_id=202207349","ictv.global=202207349")</f>
        <v>ictv.global=202207349</v>
      </c>
    </row>
    <row r="4677" spans="1:21">
      <c r="A4677">
        <v>4676</v>
      </c>
      <c r="B4677" s="29" t="s">
        <v>4053</v>
      </c>
      <c r="C4677" s="29"/>
      <c r="D4677" s="29" t="s">
        <v>4082</v>
      </c>
      <c r="E4677" s="29"/>
      <c r="F4677" s="29" t="s">
        <v>4083</v>
      </c>
      <c r="G4677" s="29"/>
      <c r="H4677" s="29" t="s">
        <v>4089</v>
      </c>
      <c r="I4677" s="29"/>
      <c r="J4677" s="29" t="s">
        <v>4090</v>
      </c>
      <c r="K4677" s="29"/>
      <c r="L4677" s="29" t="s">
        <v>1406</v>
      </c>
      <c r="M4677" s="29" t="s">
        <v>1212</v>
      </c>
      <c r="N4677" s="29" t="s">
        <v>1940</v>
      </c>
      <c r="O4677" s="29"/>
      <c r="P4677" s="29" t="s">
        <v>11871</v>
      </c>
      <c r="Q4677" t="s">
        <v>2265</v>
      </c>
      <c r="R4677" t="s">
        <v>2632</v>
      </c>
      <c r="S4677">
        <v>38</v>
      </c>
      <c r="T4677" s="43" t="str">
        <f t="shared" si="219"/>
        <v>2022.005D.Parvoviridae_2ngen_49nsp_125rensp.zip</v>
      </c>
      <c r="U4677" s="43" t="str">
        <f>HYPERLINK("https://ictv.global/taxonomy/taxondetails?taxnode_id=202214035","ictv.global=202214035")</f>
        <v>ictv.global=202214035</v>
      </c>
    </row>
    <row r="4678" spans="1:21">
      <c r="A4678">
        <v>4677</v>
      </c>
      <c r="B4678" s="29" t="s">
        <v>4053</v>
      </c>
      <c r="C4678" s="29"/>
      <c r="D4678" s="29" t="s">
        <v>4082</v>
      </c>
      <c r="E4678" s="29"/>
      <c r="F4678" s="29" t="s">
        <v>4083</v>
      </c>
      <c r="G4678" s="29"/>
      <c r="H4678" s="29" t="s">
        <v>4089</v>
      </c>
      <c r="I4678" s="29"/>
      <c r="J4678" s="29" t="s">
        <v>4090</v>
      </c>
      <c r="K4678" s="29"/>
      <c r="L4678" s="29" t="s">
        <v>1406</v>
      </c>
      <c r="M4678" s="29" t="s">
        <v>1212</v>
      </c>
      <c r="N4678" s="29" t="s">
        <v>1940</v>
      </c>
      <c r="O4678" s="29"/>
      <c r="P4678" s="29" t="s">
        <v>11872</v>
      </c>
      <c r="Q4678" t="s">
        <v>2041</v>
      </c>
      <c r="R4678" t="s">
        <v>2635</v>
      </c>
      <c r="S4678">
        <v>38</v>
      </c>
      <c r="T4678" s="43" t="str">
        <f t="shared" si="219"/>
        <v>2022.005D.Parvoviridae_2ngen_49nsp_125rensp.zip</v>
      </c>
      <c r="U4678" s="43" t="str">
        <f>HYPERLINK("https://ictv.global/taxonomy/taxondetails?taxnode_id=202204249","ictv.global=202204249")</f>
        <v>ictv.global=202204249</v>
      </c>
    </row>
    <row r="4679" spans="1:21">
      <c r="A4679">
        <v>4678</v>
      </c>
      <c r="B4679" s="29" t="s">
        <v>4053</v>
      </c>
      <c r="C4679" s="29"/>
      <c r="D4679" s="29" t="s">
        <v>4082</v>
      </c>
      <c r="E4679" s="29"/>
      <c r="F4679" s="29" t="s">
        <v>4083</v>
      </c>
      <c r="G4679" s="29"/>
      <c r="H4679" s="29" t="s">
        <v>4089</v>
      </c>
      <c r="I4679" s="29"/>
      <c r="J4679" s="29" t="s">
        <v>4090</v>
      </c>
      <c r="K4679" s="29"/>
      <c r="L4679" s="29" t="s">
        <v>1406</v>
      </c>
      <c r="M4679" s="29" t="s">
        <v>1212</v>
      </c>
      <c r="N4679" s="29" t="s">
        <v>1940</v>
      </c>
      <c r="O4679" s="29"/>
      <c r="P4679" s="29" t="s">
        <v>11873</v>
      </c>
      <c r="Q4679" t="s">
        <v>2041</v>
      </c>
      <c r="R4679" t="s">
        <v>2635</v>
      </c>
      <c r="S4679">
        <v>38</v>
      </c>
      <c r="T4679" s="43" t="str">
        <f t="shared" si="219"/>
        <v>2022.005D.Parvoviridae_2ngen_49nsp_125rensp.zip</v>
      </c>
      <c r="U4679" s="43" t="str">
        <f>HYPERLINK("https://ictv.global/taxonomy/taxondetails?taxnode_id=202204250","ictv.global=202204250")</f>
        <v>ictv.global=202204250</v>
      </c>
    </row>
    <row r="4680" spans="1:21">
      <c r="A4680">
        <v>4679</v>
      </c>
      <c r="B4680" s="29" t="s">
        <v>4053</v>
      </c>
      <c r="C4680" s="29"/>
      <c r="D4680" s="29" t="s">
        <v>4082</v>
      </c>
      <c r="E4680" s="29"/>
      <c r="F4680" s="29" t="s">
        <v>4083</v>
      </c>
      <c r="G4680" s="29"/>
      <c r="H4680" s="29" t="s">
        <v>4089</v>
      </c>
      <c r="I4680" s="29"/>
      <c r="J4680" s="29" t="s">
        <v>4090</v>
      </c>
      <c r="K4680" s="29"/>
      <c r="L4680" s="29" t="s">
        <v>1406</v>
      </c>
      <c r="M4680" s="29" t="s">
        <v>1212</v>
      </c>
      <c r="N4680" s="29" t="s">
        <v>1940</v>
      </c>
      <c r="O4680" s="29"/>
      <c r="P4680" s="29" t="s">
        <v>11874</v>
      </c>
      <c r="Q4680" t="s">
        <v>2041</v>
      </c>
      <c r="R4680" t="s">
        <v>2635</v>
      </c>
      <c r="S4680">
        <v>38</v>
      </c>
      <c r="T4680" s="43" t="str">
        <f t="shared" ref="T4680:T4697" si="220">HYPERLINK("https://ictv.global/ictv/proposals/2022.005D.Parvoviridae_2ngen_49nsp_125rensp.zip","2022.005D.Parvoviridae_2ngen_49nsp_125rensp.zip")</f>
        <v>2022.005D.Parvoviridae_2ngen_49nsp_125rensp.zip</v>
      </c>
      <c r="U4680" s="43" t="str">
        <f>HYPERLINK("https://ictv.global/taxonomy/taxondetails?taxnode_id=202204251","ictv.global=202204251")</f>
        <v>ictv.global=202204251</v>
      </c>
    </row>
    <row r="4681" spans="1:21">
      <c r="A4681">
        <v>4680</v>
      </c>
      <c r="B4681" s="29" t="s">
        <v>4053</v>
      </c>
      <c r="C4681" s="29"/>
      <c r="D4681" s="29" t="s">
        <v>4082</v>
      </c>
      <c r="E4681" s="29"/>
      <c r="F4681" s="29" t="s">
        <v>4083</v>
      </c>
      <c r="G4681" s="29"/>
      <c r="H4681" s="29" t="s">
        <v>4089</v>
      </c>
      <c r="I4681" s="29"/>
      <c r="J4681" s="29" t="s">
        <v>4090</v>
      </c>
      <c r="K4681" s="29"/>
      <c r="L4681" s="29" t="s">
        <v>1406</v>
      </c>
      <c r="M4681" s="29" t="s">
        <v>1212</v>
      </c>
      <c r="N4681" s="29" t="s">
        <v>1940</v>
      </c>
      <c r="O4681" s="29"/>
      <c r="P4681" s="29" t="s">
        <v>11875</v>
      </c>
      <c r="Q4681" t="s">
        <v>2041</v>
      </c>
      <c r="R4681" t="s">
        <v>2635</v>
      </c>
      <c r="S4681">
        <v>38</v>
      </c>
      <c r="T4681" s="43" t="str">
        <f t="shared" si="220"/>
        <v>2022.005D.Parvoviridae_2ngen_49nsp_125rensp.zip</v>
      </c>
      <c r="U4681" s="43" t="str">
        <f>HYPERLINK("https://ictv.global/taxonomy/taxondetails?taxnode_id=202204252","ictv.global=202204252")</f>
        <v>ictv.global=202204252</v>
      </c>
    </row>
    <row r="4682" spans="1:21">
      <c r="A4682">
        <v>4681</v>
      </c>
      <c r="B4682" s="29" t="s">
        <v>4053</v>
      </c>
      <c r="C4682" s="29"/>
      <c r="D4682" s="29" t="s">
        <v>4082</v>
      </c>
      <c r="E4682" s="29"/>
      <c r="F4682" s="29" t="s">
        <v>4083</v>
      </c>
      <c r="G4682" s="29"/>
      <c r="H4682" s="29" t="s">
        <v>4089</v>
      </c>
      <c r="I4682" s="29"/>
      <c r="J4682" s="29" t="s">
        <v>4090</v>
      </c>
      <c r="K4682" s="29"/>
      <c r="L4682" s="29" t="s">
        <v>1406</v>
      </c>
      <c r="M4682" s="29" t="s">
        <v>1212</v>
      </c>
      <c r="N4682" s="29" t="s">
        <v>1940</v>
      </c>
      <c r="O4682" s="29"/>
      <c r="P4682" s="29" t="s">
        <v>11876</v>
      </c>
      <c r="Q4682" t="s">
        <v>2041</v>
      </c>
      <c r="R4682" t="s">
        <v>2635</v>
      </c>
      <c r="S4682">
        <v>38</v>
      </c>
      <c r="T4682" s="43" t="str">
        <f t="shared" si="220"/>
        <v>2022.005D.Parvoviridae_2ngen_49nsp_125rensp.zip</v>
      </c>
      <c r="U4682" s="43" t="str">
        <f>HYPERLINK("https://ictv.global/taxonomy/taxondetails?taxnode_id=202204253","ictv.global=202204253")</f>
        <v>ictv.global=202204253</v>
      </c>
    </row>
    <row r="4683" spans="1:21">
      <c r="A4683">
        <v>4682</v>
      </c>
      <c r="B4683" s="29" t="s">
        <v>4053</v>
      </c>
      <c r="C4683" s="29"/>
      <c r="D4683" s="29" t="s">
        <v>4082</v>
      </c>
      <c r="E4683" s="29"/>
      <c r="F4683" s="29" t="s">
        <v>4083</v>
      </c>
      <c r="G4683" s="29"/>
      <c r="H4683" s="29" t="s">
        <v>4089</v>
      </c>
      <c r="I4683" s="29"/>
      <c r="J4683" s="29" t="s">
        <v>4090</v>
      </c>
      <c r="K4683" s="29"/>
      <c r="L4683" s="29" t="s">
        <v>1406</v>
      </c>
      <c r="M4683" s="29" t="s">
        <v>1212</v>
      </c>
      <c r="N4683" s="29" t="s">
        <v>1940</v>
      </c>
      <c r="O4683" s="29"/>
      <c r="P4683" s="29" t="s">
        <v>11877</v>
      </c>
      <c r="Q4683" t="s">
        <v>2041</v>
      </c>
      <c r="R4683" t="s">
        <v>2635</v>
      </c>
      <c r="S4683">
        <v>38</v>
      </c>
      <c r="T4683" s="43" t="str">
        <f t="shared" si="220"/>
        <v>2022.005D.Parvoviridae_2ngen_49nsp_125rensp.zip</v>
      </c>
      <c r="U4683" s="43" t="str">
        <f>HYPERLINK("https://ictv.global/taxonomy/taxondetails?taxnode_id=202205897","ictv.global=202205897")</f>
        <v>ictv.global=202205897</v>
      </c>
    </row>
    <row r="4684" spans="1:21">
      <c r="A4684">
        <v>4683</v>
      </c>
      <c r="B4684" s="29" t="s">
        <v>4053</v>
      </c>
      <c r="C4684" s="29"/>
      <c r="D4684" s="29" t="s">
        <v>4082</v>
      </c>
      <c r="E4684" s="29"/>
      <c r="F4684" s="29" t="s">
        <v>4083</v>
      </c>
      <c r="G4684" s="29"/>
      <c r="H4684" s="29" t="s">
        <v>4089</v>
      </c>
      <c r="I4684" s="29"/>
      <c r="J4684" s="29" t="s">
        <v>4090</v>
      </c>
      <c r="K4684" s="29"/>
      <c r="L4684" s="29" t="s">
        <v>1406</v>
      </c>
      <c r="M4684" s="29" t="s">
        <v>1212</v>
      </c>
      <c r="N4684" s="29" t="s">
        <v>1940</v>
      </c>
      <c r="O4684" s="29"/>
      <c r="P4684" s="29" t="s">
        <v>11878</v>
      </c>
      <c r="Q4684" t="s">
        <v>2194</v>
      </c>
      <c r="R4684" t="s">
        <v>2635</v>
      </c>
      <c r="S4684">
        <v>38</v>
      </c>
      <c r="T4684" s="43" t="str">
        <f t="shared" si="220"/>
        <v>2022.005D.Parvoviridae_2ngen_49nsp_125rensp.zip</v>
      </c>
      <c r="U4684" s="43" t="str">
        <f>HYPERLINK("https://ictv.global/taxonomy/taxondetails?taxnode_id=202207346","ictv.global=202207346")</f>
        <v>ictv.global=202207346</v>
      </c>
    </row>
    <row r="4685" spans="1:21">
      <c r="A4685">
        <v>4684</v>
      </c>
      <c r="B4685" s="29" t="s">
        <v>4053</v>
      </c>
      <c r="C4685" s="29"/>
      <c r="D4685" s="29" t="s">
        <v>4082</v>
      </c>
      <c r="E4685" s="29"/>
      <c r="F4685" s="29" t="s">
        <v>4083</v>
      </c>
      <c r="G4685" s="29"/>
      <c r="H4685" s="29" t="s">
        <v>4089</v>
      </c>
      <c r="I4685" s="29"/>
      <c r="J4685" s="29" t="s">
        <v>4090</v>
      </c>
      <c r="K4685" s="29"/>
      <c r="L4685" s="29" t="s">
        <v>1406</v>
      </c>
      <c r="M4685" s="29" t="s">
        <v>1212</v>
      </c>
      <c r="N4685" s="29" t="s">
        <v>1940</v>
      </c>
      <c r="O4685" s="29"/>
      <c r="P4685" s="29" t="s">
        <v>11879</v>
      </c>
      <c r="Q4685" t="s">
        <v>2194</v>
      </c>
      <c r="R4685" t="s">
        <v>2635</v>
      </c>
      <c r="S4685">
        <v>38</v>
      </c>
      <c r="T4685" s="43" t="str">
        <f t="shared" si="220"/>
        <v>2022.005D.Parvoviridae_2ngen_49nsp_125rensp.zip</v>
      </c>
      <c r="U4685" s="43" t="str">
        <f>HYPERLINK("https://ictv.global/taxonomy/taxondetails?taxnode_id=202207347","ictv.global=202207347")</f>
        <v>ictv.global=202207347</v>
      </c>
    </row>
    <row r="4686" spans="1:21">
      <c r="A4686">
        <v>4685</v>
      </c>
      <c r="B4686" s="29" t="s">
        <v>4053</v>
      </c>
      <c r="C4686" s="29"/>
      <c r="D4686" s="29" t="s">
        <v>4082</v>
      </c>
      <c r="E4686" s="29"/>
      <c r="F4686" s="29" t="s">
        <v>4083</v>
      </c>
      <c r="G4686" s="29"/>
      <c r="H4686" s="29" t="s">
        <v>4089</v>
      </c>
      <c r="I4686" s="29"/>
      <c r="J4686" s="29" t="s">
        <v>4090</v>
      </c>
      <c r="K4686" s="29"/>
      <c r="L4686" s="29" t="s">
        <v>1406</v>
      </c>
      <c r="M4686" s="29" t="s">
        <v>1212</v>
      </c>
      <c r="N4686" s="29" t="s">
        <v>1940</v>
      </c>
      <c r="O4686" s="29"/>
      <c r="P4686" s="29" t="s">
        <v>11880</v>
      </c>
      <c r="Q4686" t="s">
        <v>2194</v>
      </c>
      <c r="R4686" t="s">
        <v>2635</v>
      </c>
      <c r="S4686">
        <v>38</v>
      </c>
      <c r="T4686" s="43" t="str">
        <f t="shared" si="220"/>
        <v>2022.005D.Parvoviridae_2ngen_49nsp_125rensp.zip</v>
      </c>
      <c r="U4686" s="43" t="str">
        <f>HYPERLINK("https://ictv.global/taxonomy/taxondetails?taxnode_id=202209282","ictv.global=202209282")</f>
        <v>ictv.global=202209282</v>
      </c>
    </row>
    <row r="4687" spans="1:21">
      <c r="A4687">
        <v>4686</v>
      </c>
      <c r="B4687" s="29" t="s">
        <v>4053</v>
      </c>
      <c r="C4687" s="29"/>
      <c r="D4687" s="29" t="s">
        <v>4082</v>
      </c>
      <c r="E4687" s="29"/>
      <c r="F4687" s="29" t="s">
        <v>4083</v>
      </c>
      <c r="G4687" s="29"/>
      <c r="H4687" s="29" t="s">
        <v>4089</v>
      </c>
      <c r="I4687" s="29"/>
      <c r="J4687" s="29" t="s">
        <v>4090</v>
      </c>
      <c r="K4687" s="29"/>
      <c r="L4687" s="29" t="s">
        <v>1406</v>
      </c>
      <c r="M4687" s="29" t="s">
        <v>1212</v>
      </c>
      <c r="N4687" s="29" t="s">
        <v>1941</v>
      </c>
      <c r="O4687" s="29"/>
      <c r="P4687" s="29" t="s">
        <v>11881</v>
      </c>
      <c r="Q4687" t="s">
        <v>2194</v>
      </c>
      <c r="R4687" t="s">
        <v>2635</v>
      </c>
      <c r="S4687">
        <v>38</v>
      </c>
      <c r="T4687" s="43" t="str">
        <f t="shared" si="220"/>
        <v>2022.005D.Parvoviridae_2ngen_49nsp_125rensp.zip</v>
      </c>
      <c r="U4687" s="43" t="str">
        <f>HYPERLINK("https://ictv.global/taxonomy/taxondetails?taxnode_id=202207344","ictv.global=202207344")</f>
        <v>ictv.global=202207344</v>
      </c>
    </row>
    <row r="4688" spans="1:21">
      <c r="A4688">
        <v>4687</v>
      </c>
      <c r="B4688" s="29" t="s">
        <v>4053</v>
      </c>
      <c r="C4688" s="29"/>
      <c r="D4688" s="29" t="s">
        <v>4082</v>
      </c>
      <c r="E4688" s="29"/>
      <c r="F4688" s="29" t="s">
        <v>4083</v>
      </c>
      <c r="G4688" s="29"/>
      <c r="H4688" s="29" t="s">
        <v>4089</v>
      </c>
      <c r="I4688" s="29"/>
      <c r="J4688" s="29" t="s">
        <v>4090</v>
      </c>
      <c r="K4688" s="29"/>
      <c r="L4688" s="29" t="s">
        <v>1406</v>
      </c>
      <c r="M4688" s="29" t="s">
        <v>1212</v>
      </c>
      <c r="N4688" s="29" t="s">
        <v>1941</v>
      </c>
      <c r="O4688" s="29"/>
      <c r="P4688" s="29" t="s">
        <v>11882</v>
      </c>
      <c r="Q4688" t="s">
        <v>2041</v>
      </c>
      <c r="R4688" t="s">
        <v>2635</v>
      </c>
      <c r="S4688">
        <v>38</v>
      </c>
      <c r="T4688" s="43" t="str">
        <f t="shared" si="220"/>
        <v>2022.005D.Parvoviridae_2ngen_49nsp_125rensp.zip</v>
      </c>
      <c r="U4688" s="43" t="str">
        <f>HYPERLINK("https://ictv.global/taxonomy/taxondetails?taxnode_id=202204255","ictv.global=202204255")</f>
        <v>ictv.global=202204255</v>
      </c>
    </row>
    <row r="4689" spans="1:21">
      <c r="A4689">
        <v>4688</v>
      </c>
      <c r="B4689" s="29" t="s">
        <v>4053</v>
      </c>
      <c r="C4689" s="29"/>
      <c r="D4689" s="29" t="s">
        <v>4082</v>
      </c>
      <c r="E4689" s="29"/>
      <c r="F4689" s="29" t="s">
        <v>4083</v>
      </c>
      <c r="G4689" s="29"/>
      <c r="H4689" s="29" t="s">
        <v>4089</v>
      </c>
      <c r="I4689" s="29"/>
      <c r="J4689" s="29" t="s">
        <v>4090</v>
      </c>
      <c r="K4689" s="29"/>
      <c r="L4689" s="29" t="s">
        <v>1406</v>
      </c>
      <c r="M4689" s="29" t="s">
        <v>1212</v>
      </c>
      <c r="N4689" s="29" t="s">
        <v>1941</v>
      </c>
      <c r="O4689" s="29"/>
      <c r="P4689" s="29" t="s">
        <v>11883</v>
      </c>
      <c r="Q4689" t="s">
        <v>2041</v>
      </c>
      <c r="R4689" t="s">
        <v>2635</v>
      </c>
      <c r="S4689">
        <v>38</v>
      </c>
      <c r="T4689" s="43" t="str">
        <f t="shared" si="220"/>
        <v>2022.005D.Parvoviridae_2ngen_49nsp_125rensp.zip</v>
      </c>
      <c r="U4689" s="43" t="str">
        <f>HYPERLINK("https://ictv.global/taxonomy/taxondetails?taxnode_id=202204256","ictv.global=202204256")</f>
        <v>ictv.global=202204256</v>
      </c>
    </row>
    <row r="4690" spans="1:21">
      <c r="A4690">
        <v>4689</v>
      </c>
      <c r="B4690" s="29" t="s">
        <v>4053</v>
      </c>
      <c r="C4690" s="29"/>
      <c r="D4690" s="29" t="s">
        <v>4082</v>
      </c>
      <c r="E4690" s="29"/>
      <c r="F4690" s="29" t="s">
        <v>4083</v>
      </c>
      <c r="G4690" s="29"/>
      <c r="H4690" s="29" t="s">
        <v>4089</v>
      </c>
      <c r="I4690" s="29"/>
      <c r="J4690" s="29" t="s">
        <v>4090</v>
      </c>
      <c r="K4690" s="29"/>
      <c r="L4690" s="29" t="s">
        <v>1406</v>
      </c>
      <c r="M4690" s="29" t="s">
        <v>1212</v>
      </c>
      <c r="N4690" s="29" t="s">
        <v>1941</v>
      </c>
      <c r="O4690" s="29"/>
      <c r="P4690" s="29" t="s">
        <v>11884</v>
      </c>
      <c r="Q4690" t="s">
        <v>2194</v>
      </c>
      <c r="R4690" t="s">
        <v>2635</v>
      </c>
      <c r="S4690">
        <v>38</v>
      </c>
      <c r="T4690" s="43" t="str">
        <f t="shared" si="220"/>
        <v>2022.005D.Parvoviridae_2ngen_49nsp_125rensp.zip</v>
      </c>
      <c r="U4690" s="43" t="str">
        <f>HYPERLINK("https://ictv.global/taxonomy/taxondetails?taxnode_id=202207340","ictv.global=202207340")</f>
        <v>ictv.global=202207340</v>
      </c>
    </row>
    <row r="4691" spans="1:21">
      <c r="A4691">
        <v>4690</v>
      </c>
      <c r="B4691" s="29" t="s">
        <v>4053</v>
      </c>
      <c r="C4691" s="29"/>
      <c r="D4691" s="29" t="s">
        <v>4082</v>
      </c>
      <c r="E4691" s="29"/>
      <c r="F4691" s="29" t="s">
        <v>4083</v>
      </c>
      <c r="G4691" s="29"/>
      <c r="H4691" s="29" t="s">
        <v>4089</v>
      </c>
      <c r="I4691" s="29"/>
      <c r="J4691" s="29" t="s">
        <v>4090</v>
      </c>
      <c r="K4691" s="29"/>
      <c r="L4691" s="29" t="s">
        <v>1406</v>
      </c>
      <c r="M4691" s="29" t="s">
        <v>1212</v>
      </c>
      <c r="N4691" s="29" t="s">
        <v>1941</v>
      </c>
      <c r="O4691" s="29"/>
      <c r="P4691" s="29" t="s">
        <v>11885</v>
      </c>
      <c r="Q4691" t="s">
        <v>2194</v>
      </c>
      <c r="R4691" t="s">
        <v>2635</v>
      </c>
      <c r="S4691">
        <v>38</v>
      </c>
      <c r="T4691" s="43" t="str">
        <f t="shared" si="220"/>
        <v>2022.005D.Parvoviridae_2ngen_49nsp_125rensp.zip</v>
      </c>
      <c r="U4691" s="43" t="str">
        <f>HYPERLINK("https://ictv.global/taxonomy/taxondetails?taxnode_id=202207341","ictv.global=202207341")</f>
        <v>ictv.global=202207341</v>
      </c>
    </row>
    <row r="4692" spans="1:21">
      <c r="A4692">
        <v>4691</v>
      </c>
      <c r="B4692" s="29" t="s">
        <v>4053</v>
      </c>
      <c r="C4692" s="29"/>
      <c r="D4692" s="29" t="s">
        <v>4082</v>
      </c>
      <c r="E4692" s="29"/>
      <c r="F4692" s="29" t="s">
        <v>4083</v>
      </c>
      <c r="G4692" s="29"/>
      <c r="H4692" s="29" t="s">
        <v>4089</v>
      </c>
      <c r="I4692" s="29"/>
      <c r="J4692" s="29" t="s">
        <v>4090</v>
      </c>
      <c r="K4692" s="29"/>
      <c r="L4692" s="29" t="s">
        <v>1406</v>
      </c>
      <c r="M4692" s="29" t="s">
        <v>1212</v>
      </c>
      <c r="N4692" s="29" t="s">
        <v>1941</v>
      </c>
      <c r="O4692" s="29"/>
      <c r="P4692" s="29" t="s">
        <v>11886</v>
      </c>
      <c r="Q4692" t="s">
        <v>2194</v>
      </c>
      <c r="R4692" t="s">
        <v>2635</v>
      </c>
      <c r="S4692">
        <v>38</v>
      </c>
      <c r="T4692" s="43" t="str">
        <f t="shared" si="220"/>
        <v>2022.005D.Parvoviridae_2ngen_49nsp_125rensp.zip</v>
      </c>
      <c r="U4692" s="43" t="str">
        <f>HYPERLINK("https://ictv.global/taxonomy/taxondetails?taxnode_id=202207342","ictv.global=202207342")</f>
        <v>ictv.global=202207342</v>
      </c>
    </row>
    <row r="4693" spans="1:21">
      <c r="A4693">
        <v>4692</v>
      </c>
      <c r="B4693" s="29" t="s">
        <v>4053</v>
      </c>
      <c r="C4693" s="29"/>
      <c r="D4693" s="29" t="s">
        <v>4082</v>
      </c>
      <c r="E4693" s="29"/>
      <c r="F4693" s="29" t="s">
        <v>4083</v>
      </c>
      <c r="G4693" s="29"/>
      <c r="H4693" s="29" t="s">
        <v>4089</v>
      </c>
      <c r="I4693" s="29"/>
      <c r="J4693" s="29" t="s">
        <v>4090</v>
      </c>
      <c r="K4693" s="29"/>
      <c r="L4693" s="29" t="s">
        <v>1406</v>
      </c>
      <c r="M4693" s="29" t="s">
        <v>1212</v>
      </c>
      <c r="N4693" s="29" t="s">
        <v>1941</v>
      </c>
      <c r="O4693" s="29"/>
      <c r="P4693" s="29" t="s">
        <v>11887</v>
      </c>
      <c r="Q4693" t="s">
        <v>2194</v>
      </c>
      <c r="R4693" t="s">
        <v>2635</v>
      </c>
      <c r="S4693">
        <v>38</v>
      </c>
      <c r="T4693" s="43" t="str">
        <f t="shared" si="220"/>
        <v>2022.005D.Parvoviridae_2ngen_49nsp_125rensp.zip</v>
      </c>
      <c r="U4693" s="43" t="str">
        <f>HYPERLINK("https://ictv.global/taxonomy/taxondetails?taxnode_id=202207343","ictv.global=202207343")</f>
        <v>ictv.global=202207343</v>
      </c>
    </row>
    <row r="4694" spans="1:21">
      <c r="A4694">
        <v>4693</v>
      </c>
      <c r="B4694" s="29" t="s">
        <v>4053</v>
      </c>
      <c r="C4694" s="29"/>
      <c r="D4694" s="29" t="s">
        <v>4082</v>
      </c>
      <c r="E4694" s="29"/>
      <c r="F4694" s="29" t="s">
        <v>4083</v>
      </c>
      <c r="G4694" s="29"/>
      <c r="H4694" s="29" t="s">
        <v>4089</v>
      </c>
      <c r="I4694" s="29"/>
      <c r="J4694" s="29" t="s">
        <v>4090</v>
      </c>
      <c r="K4694" s="29"/>
      <c r="L4694" s="29" t="s">
        <v>1406</v>
      </c>
      <c r="M4694" s="29" t="s">
        <v>1212</v>
      </c>
      <c r="N4694" s="29" t="s">
        <v>1941</v>
      </c>
      <c r="O4694" s="29"/>
      <c r="P4694" s="29" t="s">
        <v>11888</v>
      </c>
      <c r="Q4694" t="s">
        <v>2194</v>
      </c>
      <c r="R4694" t="s">
        <v>2632</v>
      </c>
      <c r="S4694">
        <v>38</v>
      </c>
      <c r="T4694" s="43" t="str">
        <f t="shared" si="220"/>
        <v>2022.005D.Parvoviridae_2ngen_49nsp_125rensp.zip</v>
      </c>
      <c r="U4694" s="43" t="str">
        <f>HYPERLINK("https://ictv.global/taxonomy/taxondetails?taxnode_id=202214036","ictv.global=202214036")</f>
        <v>ictv.global=202214036</v>
      </c>
    </row>
    <row r="4695" spans="1:21">
      <c r="A4695">
        <v>4694</v>
      </c>
      <c r="B4695" s="29" t="s">
        <v>4053</v>
      </c>
      <c r="C4695" s="29"/>
      <c r="D4695" s="29" t="s">
        <v>4082</v>
      </c>
      <c r="E4695" s="29"/>
      <c r="F4695" s="29" t="s">
        <v>4083</v>
      </c>
      <c r="G4695" s="29"/>
      <c r="H4695" s="29" t="s">
        <v>4089</v>
      </c>
      <c r="I4695" s="29"/>
      <c r="J4695" s="29" t="s">
        <v>4090</v>
      </c>
      <c r="K4695" s="29"/>
      <c r="L4695" s="29" t="s">
        <v>1406</v>
      </c>
      <c r="M4695" s="29" t="s">
        <v>1212</v>
      </c>
      <c r="N4695" s="29" t="s">
        <v>1941</v>
      </c>
      <c r="O4695" s="29"/>
      <c r="P4695" s="29" t="s">
        <v>11889</v>
      </c>
      <c r="Q4695" t="s">
        <v>2194</v>
      </c>
      <c r="R4695" t="s">
        <v>2632</v>
      </c>
      <c r="S4695">
        <v>38</v>
      </c>
      <c r="T4695" s="43" t="str">
        <f t="shared" si="220"/>
        <v>2022.005D.Parvoviridae_2ngen_49nsp_125rensp.zip</v>
      </c>
      <c r="U4695" s="43" t="str">
        <f>HYPERLINK("https://ictv.global/taxonomy/taxondetails?taxnode_id=202214037","ictv.global=202214037")</f>
        <v>ictv.global=202214037</v>
      </c>
    </row>
    <row r="4696" spans="1:21">
      <c r="A4696">
        <v>4695</v>
      </c>
      <c r="B4696" s="29" t="s">
        <v>4053</v>
      </c>
      <c r="C4696" s="29"/>
      <c r="D4696" s="29" t="s">
        <v>4082</v>
      </c>
      <c r="E4696" s="29"/>
      <c r="F4696" s="29" t="s">
        <v>4083</v>
      </c>
      <c r="G4696" s="29"/>
      <c r="H4696" s="29" t="s">
        <v>4089</v>
      </c>
      <c r="I4696" s="29"/>
      <c r="J4696" s="29" t="s">
        <v>4090</v>
      </c>
      <c r="K4696" s="29"/>
      <c r="L4696" s="29" t="s">
        <v>1406</v>
      </c>
      <c r="M4696" s="29" t="s">
        <v>1212</v>
      </c>
      <c r="N4696" s="29" t="s">
        <v>1942</v>
      </c>
      <c r="O4696" s="29"/>
      <c r="P4696" s="29" t="s">
        <v>11890</v>
      </c>
      <c r="Q4696" t="s">
        <v>2041</v>
      </c>
      <c r="R4696" t="s">
        <v>2635</v>
      </c>
      <c r="S4696">
        <v>38</v>
      </c>
      <c r="T4696" s="43" t="str">
        <f t="shared" si="220"/>
        <v>2022.005D.Parvoviridae_2ngen_49nsp_125rensp.zip</v>
      </c>
      <c r="U4696" s="43" t="str">
        <f>HYPERLINK("https://ictv.global/taxonomy/taxondetails?taxnode_id=202204260","ictv.global=202204260")</f>
        <v>ictv.global=202204260</v>
      </c>
    </row>
    <row r="4697" spans="1:21">
      <c r="A4697">
        <v>4696</v>
      </c>
      <c r="B4697" s="29" t="s">
        <v>4053</v>
      </c>
      <c r="C4697" s="29"/>
      <c r="D4697" s="29" t="s">
        <v>4082</v>
      </c>
      <c r="E4697" s="29"/>
      <c r="F4697" s="29" t="s">
        <v>4083</v>
      </c>
      <c r="G4697" s="29"/>
      <c r="H4697" s="29" t="s">
        <v>4089</v>
      </c>
      <c r="I4697" s="29"/>
      <c r="J4697" s="29" t="s">
        <v>4090</v>
      </c>
      <c r="K4697" s="29"/>
      <c r="L4697" s="29" t="s">
        <v>1406</v>
      </c>
      <c r="M4697" s="29" t="s">
        <v>1212</v>
      </c>
      <c r="N4697" s="29" t="s">
        <v>1942</v>
      </c>
      <c r="O4697" s="29"/>
      <c r="P4697" s="29" t="s">
        <v>11891</v>
      </c>
      <c r="Q4697" t="s">
        <v>2041</v>
      </c>
      <c r="R4697" t="s">
        <v>2635</v>
      </c>
      <c r="S4697">
        <v>38</v>
      </c>
      <c r="T4697" s="43" t="str">
        <f t="shared" si="220"/>
        <v>2022.005D.Parvoviridae_2ngen_49nsp_125rensp.zip</v>
      </c>
      <c r="U4697" s="43" t="str">
        <f>HYPERLINK("https://ictv.global/taxonomy/taxondetails?taxnode_id=202204261","ictv.global=202204261")</f>
        <v>ictv.global=202204261</v>
      </c>
    </row>
    <row r="4698" spans="1:21">
      <c r="A4698">
        <v>4697</v>
      </c>
      <c r="B4698" s="29" t="s">
        <v>4053</v>
      </c>
      <c r="C4698" s="29"/>
      <c r="D4698" s="29" t="s">
        <v>4082</v>
      </c>
      <c r="E4698" s="29"/>
      <c r="F4698" s="29" t="s">
        <v>4083</v>
      </c>
      <c r="G4698" s="29"/>
      <c r="H4698" s="29" t="s">
        <v>4089</v>
      </c>
      <c r="I4698" s="29"/>
      <c r="J4698" s="29" t="s">
        <v>4090</v>
      </c>
      <c r="K4698" s="29"/>
      <c r="L4698" s="29" t="s">
        <v>1406</v>
      </c>
      <c r="M4698" s="29" t="s">
        <v>1212</v>
      </c>
      <c r="N4698" s="29" t="s">
        <v>1942</v>
      </c>
      <c r="O4698" s="29"/>
      <c r="P4698" s="29" t="s">
        <v>11892</v>
      </c>
      <c r="Q4698" t="s">
        <v>2189</v>
      </c>
      <c r="R4698" t="s">
        <v>2632</v>
      </c>
      <c r="S4698">
        <v>38</v>
      </c>
      <c r="T4698" s="43" t="str">
        <f>HYPERLINK("https://ictv.global/ictv/proposals/2022.006D.Parvoviridae_2nsp.zip","2022.006D.Parvoviridae_2nsp.zip")</f>
        <v>2022.006D.Parvoviridae_2nsp.zip</v>
      </c>
      <c r="U4698" s="43" t="str">
        <f>HYPERLINK("https://ictv.global/taxonomy/taxondetails?taxnode_id=202214078","ictv.global=202214078")</f>
        <v>ictv.global=202214078</v>
      </c>
    </row>
    <row r="4699" spans="1:21">
      <c r="A4699">
        <v>4698</v>
      </c>
      <c r="B4699" s="29" t="s">
        <v>4053</v>
      </c>
      <c r="C4699" s="29"/>
      <c r="D4699" s="29" t="s">
        <v>4082</v>
      </c>
      <c r="E4699" s="29"/>
      <c r="F4699" s="29" t="s">
        <v>4083</v>
      </c>
      <c r="G4699" s="29"/>
      <c r="H4699" s="29" t="s">
        <v>4089</v>
      </c>
      <c r="I4699" s="29"/>
      <c r="J4699" s="29" t="s">
        <v>4090</v>
      </c>
      <c r="K4699" s="29"/>
      <c r="L4699" s="29" t="s">
        <v>1406</v>
      </c>
      <c r="M4699" s="29" t="s">
        <v>1212</v>
      </c>
      <c r="N4699" s="29" t="s">
        <v>1942</v>
      </c>
      <c r="O4699" s="29"/>
      <c r="P4699" s="29" t="s">
        <v>11893</v>
      </c>
      <c r="Q4699" t="s">
        <v>2194</v>
      </c>
      <c r="R4699" t="s">
        <v>2635</v>
      </c>
      <c r="S4699">
        <v>38</v>
      </c>
      <c r="T4699" s="43" t="str">
        <f t="shared" ref="T4699:T4744" si="221">HYPERLINK("https://ictv.global/ictv/proposals/2022.005D.Parvoviridae_2ngen_49nsp_125rensp.zip","2022.005D.Parvoviridae_2ngen_49nsp_125rensp.zip")</f>
        <v>2022.005D.Parvoviridae_2ngen_49nsp_125rensp.zip</v>
      </c>
      <c r="U4699" s="43" t="str">
        <f>HYPERLINK("https://ictv.global/taxonomy/taxondetails?taxnode_id=202209283","ictv.global=202209283")</f>
        <v>ictv.global=202209283</v>
      </c>
    </row>
    <row r="4700" spans="1:21">
      <c r="A4700">
        <v>4699</v>
      </c>
      <c r="B4700" s="29" t="s">
        <v>4053</v>
      </c>
      <c r="C4700" s="29"/>
      <c r="D4700" s="29" t="s">
        <v>4082</v>
      </c>
      <c r="E4700" s="29"/>
      <c r="F4700" s="29" t="s">
        <v>4083</v>
      </c>
      <c r="G4700" s="29"/>
      <c r="H4700" s="29" t="s">
        <v>4089</v>
      </c>
      <c r="I4700" s="29"/>
      <c r="J4700" s="29" t="s">
        <v>4090</v>
      </c>
      <c r="K4700" s="29"/>
      <c r="L4700" s="29" t="s">
        <v>1406</v>
      </c>
      <c r="M4700" s="29" t="s">
        <v>1212</v>
      </c>
      <c r="N4700" s="29" t="s">
        <v>1942</v>
      </c>
      <c r="O4700" s="29"/>
      <c r="P4700" s="29" t="s">
        <v>11894</v>
      </c>
      <c r="Q4700" t="s">
        <v>2041</v>
      </c>
      <c r="R4700" t="s">
        <v>2635</v>
      </c>
      <c r="S4700">
        <v>38</v>
      </c>
      <c r="T4700" s="43" t="str">
        <f t="shared" si="221"/>
        <v>2022.005D.Parvoviridae_2ngen_49nsp_125rensp.zip</v>
      </c>
      <c r="U4700" s="43" t="str">
        <f>HYPERLINK("https://ictv.global/taxonomy/taxondetails?taxnode_id=202204262","ictv.global=202204262")</f>
        <v>ictv.global=202204262</v>
      </c>
    </row>
    <row r="4701" spans="1:21">
      <c r="A4701">
        <v>4700</v>
      </c>
      <c r="B4701" s="29" t="s">
        <v>4053</v>
      </c>
      <c r="C4701" s="29"/>
      <c r="D4701" s="29" t="s">
        <v>4082</v>
      </c>
      <c r="E4701" s="29"/>
      <c r="F4701" s="29" t="s">
        <v>4083</v>
      </c>
      <c r="G4701" s="29"/>
      <c r="H4701" s="29" t="s">
        <v>4089</v>
      </c>
      <c r="I4701" s="29"/>
      <c r="J4701" s="29" t="s">
        <v>4090</v>
      </c>
      <c r="K4701" s="29"/>
      <c r="L4701" s="29" t="s">
        <v>1406</v>
      </c>
      <c r="M4701" s="29" t="s">
        <v>1212</v>
      </c>
      <c r="N4701" s="29" t="s">
        <v>1942</v>
      </c>
      <c r="O4701" s="29"/>
      <c r="P4701" s="29" t="s">
        <v>11895</v>
      </c>
      <c r="Q4701" t="s">
        <v>2194</v>
      </c>
      <c r="R4701" t="s">
        <v>2632</v>
      </c>
      <c r="S4701">
        <v>38</v>
      </c>
      <c r="T4701" s="43" t="str">
        <f t="shared" si="221"/>
        <v>2022.005D.Parvoviridae_2ngen_49nsp_125rensp.zip</v>
      </c>
      <c r="U4701" s="43" t="str">
        <f>HYPERLINK("https://ictv.global/taxonomy/taxondetails?taxnode_id=202214038","ictv.global=202214038")</f>
        <v>ictv.global=202214038</v>
      </c>
    </row>
    <row r="4702" spans="1:21">
      <c r="A4702">
        <v>4701</v>
      </c>
      <c r="B4702" s="29" t="s">
        <v>4053</v>
      </c>
      <c r="C4702" s="29"/>
      <c r="D4702" s="29" t="s">
        <v>4082</v>
      </c>
      <c r="E4702" s="29"/>
      <c r="F4702" s="29" t="s">
        <v>4083</v>
      </c>
      <c r="G4702" s="29"/>
      <c r="H4702" s="29" t="s">
        <v>4089</v>
      </c>
      <c r="I4702" s="29"/>
      <c r="J4702" s="29" t="s">
        <v>4090</v>
      </c>
      <c r="K4702" s="29"/>
      <c r="L4702" s="29" t="s">
        <v>1406</v>
      </c>
      <c r="M4702" s="29" t="s">
        <v>1212</v>
      </c>
      <c r="N4702" s="29" t="s">
        <v>1942</v>
      </c>
      <c r="O4702" s="29"/>
      <c r="P4702" s="29" t="s">
        <v>11896</v>
      </c>
      <c r="Q4702" t="s">
        <v>2041</v>
      </c>
      <c r="R4702" t="s">
        <v>2635</v>
      </c>
      <c r="S4702">
        <v>38</v>
      </c>
      <c r="T4702" s="43" t="str">
        <f t="shared" si="221"/>
        <v>2022.005D.Parvoviridae_2ngen_49nsp_125rensp.zip</v>
      </c>
      <c r="U4702" s="43" t="str">
        <f>HYPERLINK("https://ictv.global/taxonomy/taxondetails?taxnode_id=202204259","ictv.global=202204259")</f>
        <v>ictv.global=202204259</v>
      </c>
    </row>
    <row r="4703" spans="1:21">
      <c r="A4703">
        <v>4702</v>
      </c>
      <c r="B4703" s="29" t="s">
        <v>4053</v>
      </c>
      <c r="C4703" s="29"/>
      <c r="D4703" s="29" t="s">
        <v>4082</v>
      </c>
      <c r="E4703" s="29"/>
      <c r="F4703" s="29" t="s">
        <v>4083</v>
      </c>
      <c r="G4703" s="29"/>
      <c r="H4703" s="29" t="s">
        <v>4089</v>
      </c>
      <c r="I4703" s="29"/>
      <c r="J4703" s="29" t="s">
        <v>4090</v>
      </c>
      <c r="K4703" s="29"/>
      <c r="L4703" s="29" t="s">
        <v>1406</v>
      </c>
      <c r="M4703" s="29" t="s">
        <v>1212</v>
      </c>
      <c r="N4703" s="29" t="s">
        <v>1942</v>
      </c>
      <c r="O4703" s="29"/>
      <c r="P4703" s="29" t="s">
        <v>11897</v>
      </c>
      <c r="Q4703" t="s">
        <v>2041</v>
      </c>
      <c r="R4703" t="s">
        <v>2635</v>
      </c>
      <c r="S4703">
        <v>38</v>
      </c>
      <c r="T4703" s="43" t="str">
        <f t="shared" si="221"/>
        <v>2022.005D.Parvoviridae_2ngen_49nsp_125rensp.zip</v>
      </c>
      <c r="U4703" s="43" t="str">
        <f>HYPERLINK("https://ictv.global/taxonomy/taxondetails?taxnode_id=202204263","ictv.global=202204263")</f>
        <v>ictv.global=202204263</v>
      </c>
    </row>
    <row r="4704" spans="1:21">
      <c r="A4704">
        <v>4703</v>
      </c>
      <c r="B4704" s="29" t="s">
        <v>4053</v>
      </c>
      <c r="C4704" s="29"/>
      <c r="D4704" s="29" t="s">
        <v>4082</v>
      </c>
      <c r="E4704" s="29"/>
      <c r="F4704" s="29" t="s">
        <v>4083</v>
      </c>
      <c r="G4704" s="29"/>
      <c r="H4704" s="29" t="s">
        <v>4089</v>
      </c>
      <c r="I4704" s="29"/>
      <c r="J4704" s="29" t="s">
        <v>4090</v>
      </c>
      <c r="K4704" s="29"/>
      <c r="L4704" s="29" t="s">
        <v>1406</v>
      </c>
      <c r="M4704" s="29" t="s">
        <v>1212</v>
      </c>
      <c r="N4704" s="29" t="s">
        <v>1942</v>
      </c>
      <c r="O4704" s="29"/>
      <c r="P4704" s="29" t="s">
        <v>11898</v>
      </c>
      <c r="Q4704" t="s">
        <v>2041</v>
      </c>
      <c r="R4704" t="s">
        <v>2635</v>
      </c>
      <c r="S4704">
        <v>38</v>
      </c>
      <c r="T4704" s="43" t="str">
        <f t="shared" si="221"/>
        <v>2022.005D.Parvoviridae_2ngen_49nsp_125rensp.zip</v>
      </c>
      <c r="U4704" s="43" t="str">
        <f>HYPERLINK("https://ictv.global/taxonomy/taxondetails?taxnode_id=202204258","ictv.global=202204258")</f>
        <v>ictv.global=202204258</v>
      </c>
    </row>
    <row r="4705" spans="1:21">
      <c r="A4705">
        <v>4704</v>
      </c>
      <c r="B4705" s="29" t="s">
        <v>4053</v>
      </c>
      <c r="C4705" s="29"/>
      <c r="D4705" s="29" t="s">
        <v>4082</v>
      </c>
      <c r="E4705" s="29"/>
      <c r="F4705" s="29" t="s">
        <v>4083</v>
      </c>
      <c r="G4705" s="29"/>
      <c r="H4705" s="29" t="s">
        <v>4089</v>
      </c>
      <c r="I4705" s="29"/>
      <c r="J4705" s="29" t="s">
        <v>4090</v>
      </c>
      <c r="K4705" s="29"/>
      <c r="L4705" s="29" t="s">
        <v>1406</v>
      </c>
      <c r="M4705" s="29" t="s">
        <v>1212</v>
      </c>
      <c r="N4705" s="29" t="s">
        <v>1942</v>
      </c>
      <c r="O4705" s="29"/>
      <c r="P4705" s="29" t="s">
        <v>11899</v>
      </c>
      <c r="Q4705" t="s">
        <v>2194</v>
      </c>
      <c r="R4705" t="s">
        <v>2635</v>
      </c>
      <c r="S4705">
        <v>38</v>
      </c>
      <c r="T4705" s="43" t="str">
        <f t="shared" si="221"/>
        <v>2022.005D.Parvoviridae_2ngen_49nsp_125rensp.zip</v>
      </c>
      <c r="U4705" s="43" t="str">
        <f>HYPERLINK("https://ictv.global/taxonomy/taxondetails?taxnode_id=202207353","ictv.global=202207353")</f>
        <v>ictv.global=202207353</v>
      </c>
    </row>
    <row r="4706" spans="1:21">
      <c r="A4706">
        <v>4705</v>
      </c>
      <c r="B4706" s="29" t="s">
        <v>4053</v>
      </c>
      <c r="C4706" s="29"/>
      <c r="D4706" s="29" t="s">
        <v>4082</v>
      </c>
      <c r="E4706" s="29"/>
      <c r="F4706" s="29" t="s">
        <v>4083</v>
      </c>
      <c r="G4706" s="29"/>
      <c r="H4706" s="29" t="s">
        <v>4089</v>
      </c>
      <c r="I4706" s="29"/>
      <c r="J4706" s="29" t="s">
        <v>4090</v>
      </c>
      <c r="K4706" s="29"/>
      <c r="L4706" s="29" t="s">
        <v>1406</v>
      </c>
      <c r="M4706" s="29" t="s">
        <v>1212</v>
      </c>
      <c r="N4706" s="29" t="s">
        <v>1942</v>
      </c>
      <c r="O4706" s="29"/>
      <c r="P4706" s="29" t="s">
        <v>11900</v>
      </c>
      <c r="Q4706" t="s">
        <v>2194</v>
      </c>
      <c r="R4706" t="s">
        <v>2635</v>
      </c>
      <c r="S4706">
        <v>38</v>
      </c>
      <c r="T4706" s="43" t="str">
        <f t="shared" si="221"/>
        <v>2022.005D.Parvoviridae_2ngen_49nsp_125rensp.zip</v>
      </c>
      <c r="U4706" s="43" t="str">
        <f>HYPERLINK("https://ictv.global/taxonomy/taxondetails?taxnode_id=202207354","ictv.global=202207354")</f>
        <v>ictv.global=202207354</v>
      </c>
    </row>
    <row r="4707" spans="1:21">
      <c r="A4707">
        <v>4706</v>
      </c>
      <c r="B4707" s="29" t="s">
        <v>4053</v>
      </c>
      <c r="C4707" s="29"/>
      <c r="D4707" s="29" t="s">
        <v>4082</v>
      </c>
      <c r="E4707" s="29"/>
      <c r="F4707" s="29" t="s">
        <v>4083</v>
      </c>
      <c r="G4707" s="29"/>
      <c r="H4707" s="29" t="s">
        <v>4089</v>
      </c>
      <c r="I4707" s="29"/>
      <c r="J4707" s="29" t="s">
        <v>4090</v>
      </c>
      <c r="K4707" s="29"/>
      <c r="L4707" s="29" t="s">
        <v>1406</v>
      </c>
      <c r="M4707" s="29" t="s">
        <v>1212</v>
      </c>
      <c r="N4707" s="29" t="s">
        <v>1942</v>
      </c>
      <c r="O4707" s="29"/>
      <c r="P4707" s="29" t="s">
        <v>11901</v>
      </c>
      <c r="Q4707" t="s">
        <v>2041</v>
      </c>
      <c r="R4707" t="s">
        <v>2635</v>
      </c>
      <c r="S4707">
        <v>38</v>
      </c>
      <c r="T4707" s="43" t="str">
        <f t="shared" si="221"/>
        <v>2022.005D.Parvoviridae_2ngen_49nsp_125rensp.zip</v>
      </c>
      <c r="U4707" s="43" t="str">
        <f>HYPERLINK("https://ictv.global/taxonomy/taxondetails?taxnode_id=202204264","ictv.global=202204264")</f>
        <v>ictv.global=202204264</v>
      </c>
    </row>
    <row r="4708" spans="1:21">
      <c r="A4708">
        <v>4707</v>
      </c>
      <c r="B4708" s="29" t="s">
        <v>4053</v>
      </c>
      <c r="C4708" s="29"/>
      <c r="D4708" s="29" t="s">
        <v>4082</v>
      </c>
      <c r="E4708" s="29"/>
      <c r="F4708" s="29" t="s">
        <v>4083</v>
      </c>
      <c r="G4708" s="29"/>
      <c r="H4708" s="29" t="s">
        <v>4089</v>
      </c>
      <c r="I4708" s="29"/>
      <c r="J4708" s="29" t="s">
        <v>4090</v>
      </c>
      <c r="K4708" s="29"/>
      <c r="L4708" s="29" t="s">
        <v>1406</v>
      </c>
      <c r="M4708" s="29" t="s">
        <v>1212</v>
      </c>
      <c r="N4708" s="29" t="s">
        <v>1942</v>
      </c>
      <c r="O4708" s="29"/>
      <c r="P4708" s="29" t="s">
        <v>11902</v>
      </c>
      <c r="Q4708" t="s">
        <v>2041</v>
      </c>
      <c r="R4708" t="s">
        <v>2635</v>
      </c>
      <c r="S4708">
        <v>38</v>
      </c>
      <c r="T4708" s="43" t="str">
        <f t="shared" si="221"/>
        <v>2022.005D.Parvoviridae_2ngen_49nsp_125rensp.zip</v>
      </c>
      <c r="U4708" s="43" t="str">
        <f>HYPERLINK("https://ictv.global/taxonomy/taxondetails?taxnode_id=202206425","ictv.global=202206425")</f>
        <v>ictv.global=202206425</v>
      </c>
    </row>
    <row r="4709" spans="1:21">
      <c r="A4709">
        <v>4708</v>
      </c>
      <c r="B4709" s="29" t="s">
        <v>4053</v>
      </c>
      <c r="C4709" s="29"/>
      <c r="D4709" s="29" t="s">
        <v>4082</v>
      </c>
      <c r="E4709" s="29"/>
      <c r="F4709" s="29" t="s">
        <v>4083</v>
      </c>
      <c r="G4709" s="29"/>
      <c r="H4709" s="29" t="s">
        <v>4089</v>
      </c>
      <c r="I4709" s="29"/>
      <c r="J4709" s="29" t="s">
        <v>4090</v>
      </c>
      <c r="K4709" s="29"/>
      <c r="L4709" s="29" t="s">
        <v>1406</v>
      </c>
      <c r="M4709" s="29" t="s">
        <v>1212</v>
      </c>
      <c r="N4709" s="29" t="s">
        <v>1943</v>
      </c>
      <c r="O4709" s="29"/>
      <c r="P4709" s="29" t="s">
        <v>11903</v>
      </c>
      <c r="Q4709" t="s">
        <v>2194</v>
      </c>
      <c r="R4709" t="s">
        <v>2635</v>
      </c>
      <c r="S4709">
        <v>38</v>
      </c>
      <c r="T4709" s="43" t="str">
        <f t="shared" si="221"/>
        <v>2022.005D.Parvoviridae_2ngen_49nsp_125rensp.zip</v>
      </c>
      <c r="U4709" s="43" t="str">
        <f>HYPERLINK("https://ictv.global/taxonomy/taxondetails?taxnode_id=202207345","ictv.global=202207345")</f>
        <v>ictv.global=202207345</v>
      </c>
    </row>
    <row r="4710" spans="1:21">
      <c r="A4710">
        <v>4709</v>
      </c>
      <c r="B4710" s="29" t="s">
        <v>4053</v>
      </c>
      <c r="C4710" s="29"/>
      <c r="D4710" s="29" t="s">
        <v>4082</v>
      </c>
      <c r="E4710" s="29"/>
      <c r="F4710" s="29" t="s">
        <v>4083</v>
      </c>
      <c r="G4710" s="29"/>
      <c r="H4710" s="29" t="s">
        <v>4089</v>
      </c>
      <c r="I4710" s="29"/>
      <c r="J4710" s="29" t="s">
        <v>4090</v>
      </c>
      <c r="K4710" s="29"/>
      <c r="L4710" s="29" t="s">
        <v>1406</v>
      </c>
      <c r="M4710" s="29" t="s">
        <v>1212</v>
      </c>
      <c r="N4710" s="29" t="s">
        <v>1943</v>
      </c>
      <c r="O4710" s="29"/>
      <c r="P4710" s="29" t="s">
        <v>11904</v>
      </c>
      <c r="Q4710" t="s">
        <v>2041</v>
      </c>
      <c r="R4710" t="s">
        <v>2635</v>
      </c>
      <c r="S4710">
        <v>38</v>
      </c>
      <c r="T4710" s="43" t="str">
        <f t="shared" si="221"/>
        <v>2022.005D.Parvoviridae_2ngen_49nsp_125rensp.zip</v>
      </c>
      <c r="U4710" s="43" t="str">
        <f>HYPERLINK("https://ictv.global/taxonomy/taxondetails?taxnode_id=202204266","ictv.global=202204266")</f>
        <v>ictv.global=202204266</v>
      </c>
    </row>
    <row r="4711" spans="1:21">
      <c r="A4711">
        <v>4710</v>
      </c>
      <c r="B4711" s="29" t="s">
        <v>4053</v>
      </c>
      <c r="C4711" s="29"/>
      <c r="D4711" s="29" t="s">
        <v>4082</v>
      </c>
      <c r="E4711" s="29"/>
      <c r="F4711" s="29" t="s">
        <v>4083</v>
      </c>
      <c r="G4711" s="29"/>
      <c r="H4711" s="29" t="s">
        <v>4089</v>
      </c>
      <c r="I4711" s="29"/>
      <c r="J4711" s="29" t="s">
        <v>4090</v>
      </c>
      <c r="K4711" s="29"/>
      <c r="L4711" s="29" t="s">
        <v>1406</v>
      </c>
      <c r="M4711" s="29" t="s">
        <v>1212</v>
      </c>
      <c r="N4711" s="29" t="s">
        <v>1943</v>
      </c>
      <c r="O4711" s="29"/>
      <c r="P4711" s="29" t="s">
        <v>11905</v>
      </c>
      <c r="Q4711" t="s">
        <v>2041</v>
      </c>
      <c r="R4711" t="s">
        <v>2635</v>
      </c>
      <c r="S4711">
        <v>38</v>
      </c>
      <c r="T4711" s="43" t="str">
        <f t="shared" si="221"/>
        <v>2022.005D.Parvoviridae_2ngen_49nsp_125rensp.zip</v>
      </c>
      <c r="U4711" s="43" t="str">
        <f>HYPERLINK("https://ictv.global/taxonomy/taxondetails?taxnode_id=202204267","ictv.global=202204267")</f>
        <v>ictv.global=202204267</v>
      </c>
    </row>
    <row r="4712" spans="1:21">
      <c r="A4712">
        <v>4711</v>
      </c>
      <c r="B4712" s="29" t="s">
        <v>4053</v>
      </c>
      <c r="C4712" s="29"/>
      <c r="D4712" s="29" t="s">
        <v>4082</v>
      </c>
      <c r="E4712" s="29"/>
      <c r="F4712" s="29" t="s">
        <v>4083</v>
      </c>
      <c r="G4712" s="29"/>
      <c r="H4712" s="29" t="s">
        <v>4089</v>
      </c>
      <c r="I4712" s="29"/>
      <c r="J4712" s="29" t="s">
        <v>4090</v>
      </c>
      <c r="K4712" s="29"/>
      <c r="L4712" s="29" t="s">
        <v>1406</v>
      </c>
      <c r="M4712" s="29" t="s">
        <v>1212</v>
      </c>
      <c r="N4712" s="29" t="s">
        <v>1943</v>
      </c>
      <c r="O4712" s="29"/>
      <c r="P4712" s="29" t="s">
        <v>11906</v>
      </c>
      <c r="Q4712" t="s">
        <v>2041</v>
      </c>
      <c r="R4712" t="s">
        <v>2635</v>
      </c>
      <c r="S4712">
        <v>38</v>
      </c>
      <c r="T4712" s="43" t="str">
        <f t="shared" si="221"/>
        <v>2022.005D.Parvoviridae_2ngen_49nsp_125rensp.zip</v>
      </c>
      <c r="U4712" s="43" t="str">
        <f>HYPERLINK("https://ictv.global/taxonomy/taxondetails?taxnode_id=202204268","ictv.global=202204268")</f>
        <v>ictv.global=202204268</v>
      </c>
    </row>
    <row r="4713" spans="1:21">
      <c r="A4713">
        <v>4712</v>
      </c>
      <c r="B4713" s="29" t="s">
        <v>4053</v>
      </c>
      <c r="C4713" s="29"/>
      <c r="D4713" s="29" t="s">
        <v>4082</v>
      </c>
      <c r="E4713" s="29"/>
      <c r="F4713" s="29" t="s">
        <v>4083</v>
      </c>
      <c r="G4713" s="29"/>
      <c r="H4713" s="29" t="s">
        <v>4089</v>
      </c>
      <c r="I4713" s="29"/>
      <c r="J4713" s="29" t="s">
        <v>4090</v>
      </c>
      <c r="K4713" s="29"/>
      <c r="L4713" s="29" t="s">
        <v>1406</v>
      </c>
      <c r="M4713" s="29" t="s">
        <v>1212</v>
      </c>
      <c r="N4713" s="29" t="s">
        <v>1943</v>
      </c>
      <c r="O4713" s="29"/>
      <c r="P4713" s="29" t="s">
        <v>11907</v>
      </c>
      <c r="Q4713" t="s">
        <v>2041</v>
      </c>
      <c r="R4713" t="s">
        <v>2635</v>
      </c>
      <c r="S4713">
        <v>38</v>
      </c>
      <c r="T4713" s="43" t="str">
        <f t="shared" si="221"/>
        <v>2022.005D.Parvoviridae_2ngen_49nsp_125rensp.zip</v>
      </c>
      <c r="U4713" s="43" t="str">
        <f>HYPERLINK("https://ictv.global/taxonomy/taxondetails?taxnode_id=202204269","ictv.global=202204269")</f>
        <v>ictv.global=202204269</v>
      </c>
    </row>
    <row r="4714" spans="1:21">
      <c r="A4714">
        <v>4713</v>
      </c>
      <c r="B4714" s="29" t="s">
        <v>4053</v>
      </c>
      <c r="C4714" s="29"/>
      <c r="D4714" s="29" t="s">
        <v>4082</v>
      </c>
      <c r="E4714" s="29"/>
      <c r="F4714" s="29" t="s">
        <v>4083</v>
      </c>
      <c r="G4714" s="29"/>
      <c r="H4714" s="29" t="s">
        <v>4089</v>
      </c>
      <c r="I4714" s="29"/>
      <c r="J4714" s="29" t="s">
        <v>4090</v>
      </c>
      <c r="K4714" s="29"/>
      <c r="L4714" s="29" t="s">
        <v>1406</v>
      </c>
      <c r="M4714" s="29" t="s">
        <v>1212</v>
      </c>
      <c r="N4714" s="29" t="s">
        <v>1943</v>
      </c>
      <c r="O4714" s="29"/>
      <c r="P4714" s="29" t="s">
        <v>11908</v>
      </c>
      <c r="Q4714" t="s">
        <v>2041</v>
      </c>
      <c r="R4714" t="s">
        <v>2635</v>
      </c>
      <c r="S4714">
        <v>38</v>
      </c>
      <c r="T4714" s="43" t="str">
        <f t="shared" si="221"/>
        <v>2022.005D.Parvoviridae_2ngen_49nsp_125rensp.zip</v>
      </c>
      <c r="U4714" s="43" t="str">
        <f>HYPERLINK("https://ictv.global/taxonomy/taxondetails?taxnode_id=202204270","ictv.global=202204270")</f>
        <v>ictv.global=202204270</v>
      </c>
    </row>
    <row r="4715" spans="1:21">
      <c r="A4715">
        <v>4714</v>
      </c>
      <c r="B4715" s="29" t="s">
        <v>4053</v>
      </c>
      <c r="C4715" s="29"/>
      <c r="D4715" s="29" t="s">
        <v>4082</v>
      </c>
      <c r="E4715" s="29"/>
      <c r="F4715" s="29" t="s">
        <v>4083</v>
      </c>
      <c r="G4715" s="29"/>
      <c r="H4715" s="29" t="s">
        <v>4089</v>
      </c>
      <c r="I4715" s="29"/>
      <c r="J4715" s="29" t="s">
        <v>4090</v>
      </c>
      <c r="K4715" s="29"/>
      <c r="L4715" s="29" t="s">
        <v>1406</v>
      </c>
      <c r="M4715" s="29" t="s">
        <v>1212</v>
      </c>
      <c r="N4715" s="29" t="s">
        <v>1943</v>
      </c>
      <c r="O4715" s="29"/>
      <c r="P4715" s="29" t="s">
        <v>11909</v>
      </c>
      <c r="Q4715" t="s">
        <v>2041</v>
      </c>
      <c r="R4715" t="s">
        <v>2635</v>
      </c>
      <c r="S4715">
        <v>38</v>
      </c>
      <c r="T4715" s="43" t="str">
        <f t="shared" si="221"/>
        <v>2022.005D.Parvoviridae_2ngen_49nsp_125rensp.zip</v>
      </c>
      <c r="U4715" s="43" t="str">
        <f>HYPERLINK("https://ictv.global/taxonomy/taxondetails?taxnode_id=202204271","ictv.global=202204271")</f>
        <v>ictv.global=202204271</v>
      </c>
    </row>
    <row r="4716" spans="1:21">
      <c r="A4716">
        <v>4715</v>
      </c>
      <c r="B4716" s="29" t="s">
        <v>4053</v>
      </c>
      <c r="C4716" s="29"/>
      <c r="D4716" s="29" t="s">
        <v>4082</v>
      </c>
      <c r="E4716" s="29"/>
      <c r="F4716" s="29" t="s">
        <v>4083</v>
      </c>
      <c r="G4716" s="29"/>
      <c r="H4716" s="29" t="s">
        <v>4089</v>
      </c>
      <c r="I4716" s="29"/>
      <c r="J4716" s="29" t="s">
        <v>4090</v>
      </c>
      <c r="K4716" s="29"/>
      <c r="L4716" s="29" t="s">
        <v>1406</v>
      </c>
      <c r="M4716" s="29" t="s">
        <v>1212</v>
      </c>
      <c r="N4716" s="29" t="s">
        <v>4105</v>
      </c>
      <c r="O4716" s="29"/>
      <c r="P4716" s="29" t="s">
        <v>11910</v>
      </c>
      <c r="Q4716" t="s">
        <v>2194</v>
      </c>
      <c r="R4716" t="s">
        <v>2635</v>
      </c>
      <c r="S4716">
        <v>38</v>
      </c>
      <c r="T4716" s="43" t="str">
        <f t="shared" si="221"/>
        <v>2022.005D.Parvoviridae_2ngen_49nsp_125rensp.zip</v>
      </c>
      <c r="U4716" s="43" t="str">
        <f>HYPERLINK("https://ictv.global/taxonomy/taxondetails?taxnode_id=202207339","ictv.global=202207339")</f>
        <v>ictv.global=202207339</v>
      </c>
    </row>
    <row r="4717" spans="1:21">
      <c r="A4717">
        <v>4716</v>
      </c>
      <c r="B4717" s="29" t="s">
        <v>4053</v>
      </c>
      <c r="C4717" s="29"/>
      <c r="D4717" s="29" t="s">
        <v>4082</v>
      </c>
      <c r="E4717" s="29"/>
      <c r="F4717" s="29" t="s">
        <v>4083</v>
      </c>
      <c r="G4717" s="29"/>
      <c r="H4717" s="29" t="s">
        <v>4089</v>
      </c>
      <c r="I4717" s="29"/>
      <c r="J4717" s="29" t="s">
        <v>4090</v>
      </c>
      <c r="K4717" s="29"/>
      <c r="L4717" s="29" t="s">
        <v>1406</v>
      </c>
      <c r="M4717" s="29" t="s">
        <v>1212</v>
      </c>
      <c r="N4717" s="29" t="s">
        <v>1944</v>
      </c>
      <c r="O4717" s="29"/>
      <c r="P4717" s="29" t="s">
        <v>11911</v>
      </c>
      <c r="Q4717" t="s">
        <v>2041</v>
      </c>
      <c r="R4717" t="s">
        <v>2635</v>
      </c>
      <c r="S4717">
        <v>38</v>
      </c>
      <c r="T4717" s="43" t="str">
        <f t="shared" si="221"/>
        <v>2022.005D.Parvoviridae_2ngen_49nsp_125rensp.zip</v>
      </c>
      <c r="U4717" s="43" t="str">
        <f>HYPERLINK("https://ictv.global/taxonomy/taxondetails?taxnode_id=202204273","ictv.global=202204273")</f>
        <v>ictv.global=202204273</v>
      </c>
    </row>
    <row r="4718" spans="1:21">
      <c r="A4718">
        <v>4717</v>
      </c>
      <c r="B4718" s="29" t="s">
        <v>4053</v>
      </c>
      <c r="C4718" s="29"/>
      <c r="D4718" s="29" t="s">
        <v>4082</v>
      </c>
      <c r="E4718" s="29"/>
      <c r="F4718" s="29" t="s">
        <v>4083</v>
      </c>
      <c r="G4718" s="29"/>
      <c r="H4718" s="29" t="s">
        <v>4089</v>
      </c>
      <c r="I4718" s="29"/>
      <c r="J4718" s="29" t="s">
        <v>4090</v>
      </c>
      <c r="K4718" s="29"/>
      <c r="L4718" s="29" t="s">
        <v>1406</v>
      </c>
      <c r="M4718" s="29" t="s">
        <v>1212</v>
      </c>
      <c r="N4718" s="29" t="s">
        <v>1944</v>
      </c>
      <c r="O4718" s="29"/>
      <c r="P4718" s="29" t="s">
        <v>11912</v>
      </c>
      <c r="Q4718" t="s">
        <v>2194</v>
      </c>
      <c r="R4718" t="s">
        <v>2635</v>
      </c>
      <c r="S4718">
        <v>38</v>
      </c>
      <c r="T4718" s="43" t="str">
        <f t="shared" si="221"/>
        <v>2022.005D.Parvoviridae_2ngen_49nsp_125rensp.zip</v>
      </c>
      <c r="U4718" s="43" t="str">
        <f>HYPERLINK("https://ictv.global/taxonomy/taxondetails?taxnode_id=202207352","ictv.global=202207352")</f>
        <v>ictv.global=202207352</v>
      </c>
    </row>
    <row r="4719" spans="1:21">
      <c r="A4719">
        <v>4718</v>
      </c>
      <c r="B4719" s="29" t="s">
        <v>4053</v>
      </c>
      <c r="C4719" s="29"/>
      <c r="D4719" s="29" t="s">
        <v>4082</v>
      </c>
      <c r="E4719" s="29"/>
      <c r="F4719" s="29" t="s">
        <v>4083</v>
      </c>
      <c r="G4719" s="29"/>
      <c r="H4719" s="29" t="s">
        <v>4089</v>
      </c>
      <c r="I4719" s="29"/>
      <c r="J4719" s="29" t="s">
        <v>4090</v>
      </c>
      <c r="K4719" s="29"/>
      <c r="L4719" s="29" t="s">
        <v>1406</v>
      </c>
      <c r="M4719" s="29" t="s">
        <v>1212</v>
      </c>
      <c r="N4719" s="29" t="s">
        <v>1944</v>
      </c>
      <c r="O4719" s="29"/>
      <c r="P4719" s="29" t="s">
        <v>11913</v>
      </c>
      <c r="Q4719" t="s">
        <v>2194</v>
      </c>
      <c r="R4719" t="s">
        <v>2635</v>
      </c>
      <c r="S4719">
        <v>38</v>
      </c>
      <c r="T4719" s="43" t="str">
        <f t="shared" si="221"/>
        <v>2022.005D.Parvoviridae_2ngen_49nsp_125rensp.zip</v>
      </c>
      <c r="U4719" s="43" t="str">
        <f>HYPERLINK("https://ictv.global/taxonomy/taxondetails?taxnode_id=202209284","ictv.global=202209284")</f>
        <v>ictv.global=202209284</v>
      </c>
    </row>
    <row r="4720" spans="1:21">
      <c r="A4720">
        <v>4719</v>
      </c>
      <c r="B4720" s="29" t="s">
        <v>4053</v>
      </c>
      <c r="C4720" s="29"/>
      <c r="D4720" s="29" t="s">
        <v>4082</v>
      </c>
      <c r="E4720" s="29"/>
      <c r="F4720" s="29" t="s">
        <v>4083</v>
      </c>
      <c r="G4720" s="29"/>
      <c r="H4720" s="29" t="s">
        <v>4089</v>
      </c>
      <c r="I4720" s="29"/>
      <c r="J4720" s="29" t="s">
        <v>4090</v>
      </c>
      <c r="K4720" s="29"/>
      <c r="L4720" s="29" t="s">
        <v>1406</v>
      </c>
      <c r="M4720" s="29" t="s">
        <v>1212</v>
      </c>
      <c r="N4720" s="29" t="s">
        <v>1944</v>
      </c>
      <c r="O4720" s="29"/>
      <c r="P4720" s="29" t="s">
        <v>11914</v>
      </c>
      <c r="Q4720" t="s">
        <v>2194</v>
      </c>
      <c r="R4720" t="s">
        <v>2635</v>
      </c>
      <c r="S4720">
        <v>38</v>
      </c>
      <c r="T4720" s="43" t="str">
        <f t="shared" si="221"/>
        <v>2022.005D.Parvoviridae_2ngen_49nsp_125rensp.zip</v>
      </c>
      <c r="U4720" s="43" t="str">
        <f>HYPERLINK("https://ictv.global/taxonomy/taxondetails?taxnode_id=202209285","ictv.global=202209285")</f>
        <v>ictv.global=202209285</v>
      </c>
    </row>
    <row r="4721" spans="1:21">
      <c r="A4721">
        <v>4720</v>
      </c>
      <c r="B4721" s="29" t="s">
        <v>4053</v>
      </c>
      <c r="C4721" s="29"/>
      <c r="D4721" s="29" t="s">
        <v>4082</v>
      </c>
      <c r="E4721" s="29"/>
      <c r="F4721" s="29" t="s">
        <v>4083</v>
      </c>
      <c r="G4721" s="29"/>
      <c r="H4721" s="29" t="s">
        <v>4089</v>
      </c>
      <c r="I4721" s="29"/>
      <c r="J4721" s="29" t="s">
        <v>4090</v>
      </c>
      <c r="K4721" s="29"/>
      <c r="L4721" s="29" t="s">
        <v>1406</v>
      </c>
      <c r="M4721" s="29" t="s">
        <v>1212</v>
      </c>
      <c r="N4721" s="29" t="s">
        <v>1944</v>
      </c>
      <c r="O4721" s="29"/>
      <c r="P4721" s="29" t="s">
        <v>11915</v>
      </c>
      <c r="Q4721" t="s">
        <v>2194</v>
      </c>
      <c r="R4721" t="s">
        <v>2632</v>
      </c>
      <c r="S4721">
        <v>38</v>
      </c>
      <c r="T4721" s="43" t="str">
        <f t="shared" si="221"/>
        <v>2022.005D.Parvoviridae_2ngen_49nsp_125rensp.zip</v>
      </c>
      <c r="U4721" s="43" t="str">
        <f>HYPERLINK("https://ictv.global/taxonomy/taxondetails?taxnode_id=202214040","ictv.global=202214040")</f>
        <v>ictv.global=202214040</v>
      </c>
    </row>
    <row r="4722" spans="1:21">
      <c r="A4722">
        <v>4721</v>
      </c>
      <c r="B4722" s="29" t="s">
        <v>4053</v>
      </c>
      <c r="C4722" s="29"/>
      <c r="D4722" s="29" t="s">
        <v>4082</v>
      </c>
      <c r="E4722" s="29"/>
      <c r="F4722" s="29" t="s">
        <v>4083</v>
      </c>
      <c r="G4722" s="29"/>
      <c r="H4722" s="29" t="s">
        <v>4089</v>
      </c>
      <c r="I4722" s="29"/>
      <c r="J4722" s="29" t="s">
        <v>4090</v>
      </c>
      <c r="K4722" s="29"/>
      <c r="L4722" s="29" t="s">
        <v>1406</v>
      </c>
      <c r="M4722" s="29" t="s">
        <v>1212</v>
      </c>
      <c r="N4722" s="29" t="s">
        <v>1944</v>
      </c>
      <c r="O4722" s="29"/>
      <c r="P4722" s="29" t="s">
        <v>11916</v>
      </c>
      <c r="Q4722" t="s">
        <v>2041</v>
      </c>
      <c r="R4722" t="s">
        <v>2635</v>
      </c>
      <c r="S4722">
        <v>38</v>
      </c>
      <c r="T4722" s="43" t="str">
        <f t="shared" si="221"/>
        <v>2022.005D.Parvoviridae_2ngen_49nsp_125rensp.zip</v>
      </c>
      <c r="U4722" s="43" t="str">
        <f>HYPERLINK("https://ictv.global/taxonomy/taxondetails?taxnode_id=202205898","ictv.global=202205898")</f>
        <v>ictv.global=202205898</v>
      </c>
    </row>
    <row r="4723" spans="1:21">
      <c r="A4723">
        <v>4722</v>
      </c>
      <c r="B4723" s="29" t="s">
        <v>4053</v>
      </c>
      <c r="C4723" s="29"/>
      <c r="D4723" s="29" t="s">
        <v>4082</v>
      </c>
      <c r="E4723" s="29"/>
      <c r="F4723" s="29" t="s">
        <v>4083</v>
      </c>
      <c r="G4723" s="29"/>
      <c r="H4723" s="29" t="s">
        <v>4089</v>
      </c>
      <c r="I4723" s="29"/>
      <c r="J4723" s="29" t="s">
        <v>4090</v>
      </c>
      <c r="K4723" s="29"/>
      <c r="L4723" s="29" t="s">
        <v>1406</v>
      </c>
      <c r="M4723" s="29" t="s">
        <v>1212</v>
      </c>
      <c r="N4723" s="29" t="s">
        <v>1944</v>
      </c>
      <c r="O4723" s="29"/>
      <c r="P4723" s="29" t="s">
        <v>11917</v>
      </c>
      <c r="Q4723" t="s">
        <v>2041</v>
      </c>
      <c r="R4723" t="s">
        <v>2635</v>
      </c>
      <c r="S4723">
        <v>38</v>
      </c>
      <c r="T4723" s="43" t="str">
        <f t="shared" si="221"/>
        <v>2022.005D.Parvoviridae_2ngen_49nsp_125rensp.zip</v>
      </c>
      <c r="U4723" s="43" t="str">
        <f>HYPERLINK("https://ictv.global/taxonomy/taxondetails?taxnode_id=202205899","ictv.global=202205899")</f>
        <v>ictv.global=202205899</v>
      </c>
    </row>
    <row r="4724" spans="1:21">
      <c r="A4724">
        <v>4723</v>
      </c>
      <c r="B4724" s="29" t="s">
        <v>4053</v>
      </c>
      <c r="C4724" s="29"/>
      <c r="D4724" s="29" t="s">
        <v>4082</v>
      </c>
      <c r="E4724" s="29"/>
      <c r="F4724" s="29" t="s">
        <v>4083</v>
      </c>
      <c r="G4724" s="29"/>
      <c r="H4724" s="29" t="s">
        <v>4089</v>
      </c>
      <c r="I4724" s="29"/>
      <c r="J4724" s="29" t="s">
        <v>4090</v>
      </c>
      <c r="K4724" s="29"/>
      <c r="L4724" s="29" t="s">
        <v>1406</v>
      </c>
      <c r="M4724" s="29" t="s">
        <v>1212</v>
      </c>
      <c r="N4724" s="29" t="s">
        <v>1944</v>
      </c>
      <c r="O4724" s="29"/>
      <c r="P4724" s="29" t="s">
        <v>11918</v>
      </c>
      <c r="Q4724" t="s">
        <v>2194</v>
      </c>
      <c r="R4724" t="s">
        <v>2635</v>
      </c>
      <c r="S4724">
        <v>38</v>
      </c>
      <c r="T4724" s="43" t="str">
        <f t="shared" si="221"/>
        <v>2022.005D.Parvoviridae_2ngen_49nsp_125rensp.zip</v>
      </c>
      <c r="U4724" s="43" t="str">
        <f>HYPERLINK("https://ictv.global/taxonomy/taxondetails?taxnode_id=202207351","ictv.global=202207351")</f>
        <v>ictv.global=202207351</v>
      </c>
    </row>
    <row r="4725" spans="1:21">
      <c r="A4725">
        <v>4724</v>
      </c>
      <c r="B4725" s="29" t="s">
        <v>4053</v>
      </c>
      <c r="C4725" s="29"/>
      <c r="D4725" s="29" t="s">
        <v>4082</v>
      </c>
      <c r="E4725" s="29"/>
      <c r="F4725" s="29" t="s">
        <v>4083</v>
      </c>
      <c r="G4725" s="29"/>
      <c r="H4725" s="29" t="s">
        <v>4089</v>
      </c>
      <c r="I4725" s="29"/>
      <c r="J4725" s="29" t="s">
        <v>4090</v>
      </c>
      <c r="K4725" s="29"/>
      <c r="L4725" s="29" t="s">
        <v>1406</v>
      </c>
      <c r="M4725" s="29" t="s">
        <v>1212</v>
      </c>
      <c r="N4725" s="29" t="s">
        <v>1944</v>
      </c>
      <c r="O4725" s="29"/>
      <c r="P4725" s="29" t="s">
        <v>11919</v>
      </c>
      <c r="Q4725" t="s">
        <v>2194</v>
      </c>
      <c r="R4725" t="s">
        <v>2632</v>
      </c>
      <c r="S4725">
        <v>38</v>
      </c>
      <c r="T4725" s="43" t="str">
        <f t="shared" si="221"/>
        <v>2022.005D.Parvoviridae_2ngen_49nsp_125rensp.zip</v>
      </c>
      <c r="U4725" s="43" t="str">
        <f>HYPERLINK("https://ictv.global/taxonomy/taxondetails?taxnode_id=202214039","ictv.global=202214039")</f>
        <v>ictv.global=202214039</v>
      </c>
    </row>
    <row r="4726" spans="1:21">
      <c r="A4726">
        <v>4725</v>
      </c>
      <c r="B4726" s="29" t="s">
        <v>4053</v>
      </c>
      <c r="C4726" s="29"/>
      <c r="D4726" s="29" t="s">
        <v>4082</v>
      </c>
      <c r="E4726" s="29"/>
      <c r="F4726" s="29" t="s">
        <v>4083</v>
      </c>
      <c r="G4726" s="29"/>
      <c r="H4726" s="29" t="s">
        <v>4089</v>
      </c>
      <c r="I4726" s="29"/>
      <c r="J4726" s="29" t="s">
        <v>4090</v>
      </c>
      <c r="K4726" s="29"/>
      <c r="L4726" s="29" t="s">
        <v>1406</v>
      </c>
      <c r="M4726" s="29" t="s">
        <v>1212</v>
      </c>
      <c r="N4726" s="29" t="s">
        <v>1944</v>
      </c>
      <c r="O4726" s="29"/>
      <c r="P4726" s="29" t="s">
        <v>11920</v>
      </c>
      <c r="Q4726" t="s">
        <v>2041</v>
      </c>
      <c r="R4726" t="s">
        <v>2635</v>
      </c>
      <c r="S4726">
        <v>38</v>
      </c>
      <c r="T4726" s="43" t="str">
        <f t="shared" si="221"/>
        <v>2022.005D.Parvoviridae_2ngen_49nsp_125rensp.zip</v>
      </c>
      <c r="U4726" s="43" t="str">
        <f>HYPERLINK("https://ictv.global/taxonomy/taxondetails?taxnode_id=202204274","ictv.global=202204274")</f>
        <v>ictv.global=202204274</v>
      </c>
    </row>
    <row r="4727" spans="1:21">
      <c r="A4727">
        <v>4726</v>
      </c>
      <c r="B4727" s="29" t="s">
        <v>4053</v>
      </c>
      <c r="C4727" s="29"/>
      <c r="D4727" s="29" t="s">
        <v>4082</v>
      </c>
      <c r="E4727" s="29"/>
      <c r="F4727" s="29" t="s">
        <v>4083</v>
      </c>
      <c r="G4727" s="29"/>
      <c r="H4727" s="29" t="s">
        <v>4089</v>
      </c>
      <c r="I4727" s="29"/>
      <c r="J4727" s="29" t="s">
        <v>4090</v>
      </c>
      <c r="K4727" s="29"/>
      <c r="L4727" s="29" t="s">
        <v>1406</v>
      </c>
      <c r="M4727" s="29" t="s">
        <v>1212</v>
      </c>
      <c r="N4727" s="29" t="s">
        <v>1944</v>
      </c>
      <c r="O4727" s="29"/>
      <c r="P4727" s="29" t="s">
        <v>11921</v>
      </c>
      <c r="Q4727" t="s">
        <v>2041</v>
      </c>
      <c r="R4727" t="s">
        <v>2635</v>
      </c>
      <c r="S4727">
        <v>38</v>
      </c>
      <c r="T4727" s="43" t="str">
        <f t="shared" si="221"/>
        <v>2022.005D.Parvoviridae_2ngen_49nsp_125rensp.zip</v>
      </c>
      <c r="U4727" s="43" t="str">
        <f>HYPERLINK("https://ictv.global/taxonomy/taxondetails?taxnode_id=202205900","ictv.global=202205900")</f>
        <v>ictv.global=202205900</v>
      </c>
    </row>
    <row r="4728" spans="1:21">
      <c r="A4728">
        <v>4727</v>
      </c>
      <c r="B4728" s="29" t="s">
        <v>4053</v>
      </c>
      <c r="C4728" s="29"/>
      <c r="D4728" s="29" t="s">
        <v>4082</v>
      </c>
      <c r="E4728" s="29"/>
      <c r="F4728" s="29" t="s">
        <v>4083</v>
      </c>
      <c r="G4728" s="29"/>
      <c r="H4728" s="29" t="s">
        <v>4089</v>
      </c>
      <c r="I4728" s="29"/>
      <c r="J4728" s="29" t="s">
        <v>4090</v>
      </c>
      <c r="K4728" s="29"/>
      <c r="L4728" s="29" t="s">
        <v>1406</v>
      </c>
      <c r="M4728" s="29" t="s">
        <v>1212</v>
      </c>
      <c r="N4728" s="29" t="s">
        <v>1944</v>
      </c>
      <c r="O4728" s="29"/>
      <c r="P4728" s="29" t="s">
        <v>11922</v>
      </c>
      <c r="Q4728" t="s">
        <v>2041</v>
      </c>
      <c r="R4728" t="s">
        <v>2635</v>
      </c>
      <c r="S4728">
        <v>38</v>
      </c>
      <c r="T4728" s="43" t="str">
        <f t="shared" si="221"/>
        <v>2022.005D.Parvoviridae_2ngen_49nsp_125rensp.zip</v>
      </c>
      <c r="U4728" s="43" t="str">
        <f>HYPERLINK("https://ictv.global/taxonomy/taxondetails?taxnode_id=202205901","ictv.global=202205901")</f>
        <v>ictv.global=202205901</v>
      </c>
    </row>
    <row r="4729" spans="1:21">
      <c r="A4729">
        <v>4728</v>
      </c>
      <c r="B4729" s="29" t="s">
        <v>4053</v>
      </c>
      <c r="C4729" s="29"/>
      <c r="D4729" s="29" t="s">
        <v>4082</v>
      </c>
      <c r="E4729" s="29"/>
      <c r="F4729" s="29" t="s">
        <v>4083</v>
      </c>
      <c r="G4729" s="29"/>
      <c r="H4729" s="29" t="s">
        <v>4089</v>
      </c>
      <c r="I4729" s="29"/>
      <c r="J4729" s="29" t="s">
        <v>4090</v>
      </c>
      <c r="K4729" s="29"/>
      <c r="L4729" s="29" t="s">
        <v>1406</v>
      </c>
      <c r="M4729" s="29" t="s">
        <v>1212</v>
      </c>
      <c r="N4729" s="29" t="s">
        <v>1944</v>
      </c>
      <c r="O4729" s="29"/>
      <c r="P4729" s="29" t="s">
        <v>11923</v>
      </c>
      <c r="Q4729" t="s">
        <v>2041</v>
      </c>
      <c r="R4729" t="s">
        <v>2635</v>
      </c>
      <c r="S4729">
        <v>38</v>
      </c>
      <c r="T4729" s="43" t="str">
        <f t="shared" si="221"/>
        <v>2022.005D.Parvoviridae_2ngen_49nsp_125rensp.zip</v>
      </c>
      <c r="U4729" s="43" t="str">
        <f>HYPERLINK("https://ictv.global/taxonomy/taxondetails?taxnode_id=202204275","ictv.global=202204275")</f>
        <v>ictv.global=202204275</v>
      </c>
    </row>
    <row r="4730" spans="1:21">
      <c r="A4730">
        <v>4729</v>
      </c>
      <c r="B4730" s="29" t="s">
        <v>4053</v>
      </c>
      <c r="C4730" s="29"/>
      <c r="D4730" s="29" t="s">
        <v>4082</v>
      </c>
      <c r="E4730" s="29"/>
      <c r="F4730" s="29" t="s">
        <v>4083</v>
      </c>
      <c r="G4730" s="29"/>
      <c r="H4730" s="29" t="s">
        <v>4089</v>
      </c>
      <c r="I4730" s="29"/>
      <c r="J4730" s="29" t="s">
        <v>4090</v>
      </c>
      <c r="K4730" s="29"/>
      <c r="L4730" s="29" t="s">
        <v>1406</v>
      </c>
      <c r="M4730" s="29" t="s">
        <v>1212</v>
      </c>
      <c r="N4730" s="29" t="s">
        <v>1944</v>
      </c>
      <c r="O4730" s="29"/>
      <c r="P4730" s="29" t="s">
        <v>11924</v>
      </c>
      <c r="Q4730" t="s">
        <v>2041</v>
      </c>
      <c r="R4730" t="s">
        <v>2635</v>
      </c>
      <c r="S4730">
        <v>38</v>
      </c>
      <c r="T4730" s="43" t="str">
        <f t="shared" si="221"/>
        <v>2022.005D.Parvoviridae_2ngen_49nsp_125rensp.zip</v>
      </c>
      <c r="U4730" s="43" t="str">
        <f>HYPERLINK("https://ictv.global/taxonomy/taxondetails?taxnode_id=202204276","ictv.global=202204276")</f>
        <v>ictv.global=202204276</v>
      </c>
    </row>
    <row r="4731" spans="1:21">
      <c r="A4731">
        <v>4730</v>
      </c>
      <c r="B4731" s="29" t="s">
        <v>4053</v>
      </c>
      <c r="C4731" s="29"/>
      <c r="D4731" s="29" t="s">
        <v>4082</v>
      </c>
      <c r="E4731" s="29"/>
      <c r="F4731" s="29" t="s">
        <v>4083</v>
      </c>
      <c r="G4731" s="29"/>
      <c r="H4731" s="29" t="s">
        <v>4089</v>
      </c>
      <c r="I4731" s="29"/>
      <c r="J4731" s="29" t="s">
        <v>4090</v>
      </c>
      <c r="K4731" s="29"/>
      <c r="L4731" s="29" t="s">
        <v>1406</v>
      </c>
      <c r="M4731" s="29" t="s">
        <v>1212</v>
      </c>
      <c r="N4731" s="29" t="s">
        <v>1944</v>
      </c>
      <c r="O4731" s="29"/>
      <c r="P4731" s="29" t="s">
        <v>11925</v>
      </c>
      <c r="Q4731" t="s">
        <v>2041</v>
      </c>
      <c r="R4731" t="s">
        <v>2635</v>
      </c>
      <c r="S4731">
        <v>38</v>
      </c>
      <c r="T4731" s="43" t="str">
        <f t="shared" si="221"/>
        <v>2022.005D.Parvoviridae_2ngen_49nsp_125rensp.zip</v>
      </c>
      <c r="U4731" s="43" t="str">
        <f>HYPERLINK("https://ictv.global/taxonomy/taxondetails?taxnode_id=202205902","ictv.global=202205902")</f>
        <v>ictv.global=202205902</v>
      </c>
    </row>
    <row r="4732" spans="1:21">
      <c r="A4732">
        <v>4731</v>
      </c>
      <c r="B4732" s="29" t="s">
        <v>4053</v>
      </c>
      <c r="C4732" s="29"/>
      <c r="D4732" s="29" t="s">
        <v>4082</v>
      </c>
      <c r="E4732" s="29"/>
      <c r="F4732" s="29" t="s">
        <v>4083</v>
      </c>
      <c r="G4732" s="29"/>
      <c r="H4732" s="29" t="s">
        <v>4089</v>
      </c>
      <c r="I4732" s="29"/>
      <c r="J4732" s="29" t="s">
        <v>4090</v>
      </c>
      <c r="K4732" s="29"/>
      <c r="L4732" s="29" t="s">
        <v>1406</v>
      </c>
      <c r="M4732" s="29" t="s">
        <v>1212</v>
      </c>
      <c r="N4732" s="29" t="s">
        <v>1944</v>
      </c>
      <c r="O4732" s="29"/>
      <c r="P4732" s="29" t="s">
        <v>11926</v>
      </c>
      <c r="Q4732" t="s">
        <v>2041</v>
      </c>
      <c r="R4732" t="s">
        <v>2635</v>
      </c>
      <c r="S4732">
        <v>38</v>
      </c>
      <c r="T4732" s="43" t="str">
        <f t="shared" si="221"/>
        <v>2022.005D.Parvoviridae_2ngen_49nsp_125rensp.zip</v>
      </c>
      <c r="U4732" s="43" t="str">
        <f>HYPERLINK("https://ictv.global/taxonomy/taxondetails?taxnode_id=202204277","ictv.global=202204277")</f>
        <v>ictv.global=202204277</v>
      </c>
    </row>
    <row r="4733" spans="1:21">
      <c r="A4733">
        <v>4732</v>
      </c>
      <c r="B4733" s="29" t="s">
        <v>4053</v>
      </c>
      <c r="C4733" s="29"/>
      <c r="D4733" s="29" t="s">
        <v>4082</v>
      </c>
      <c r="E4733" s="29"/>
      <c r="F4733" s="29" t="s">
        <v>4083</v>
      </c>
      <c r="G4733" s="29"/>
      <c r="H4733" s="29" t="s">
        <v>4089</v>
      </c>
      <c r="I4733" s="29"/>
      <c r="J4733" s="29" t="s">
        <v>4090</v>
      </c>
      <c r="K4733" s="29"/>
      <c r="L4733" s="29" t="s">
        <v>1406</v>
      </c>
      <c r="M4733" s="29" t="s">
        <v>1212</v>
      </c>
      <c r="N4733" s="29" t="s">
        <v>1944</v>
      </c>
      <c r="O4733" s="29"/>
      <c r="P4733" s="29" t="s">
        <v>11927</v>
      </c>
      <c r="Q4733" t="s">
        <v>2041</v>
      </c>
      <c r="R4733" t="s">
        <v>2635</v>
      </c>
      <c r="S4733">
        <v>38</v>
      </c>
      <c r="T4733" s="43" t="str">
        <f t="shared" si="221"/>
        <v>2022.005D.Parvoviridae_2ngen_49nsp_125rensp.zip</v>
      </c>
      <c r="U4733" s="43" t="str">
        <f>HYPERLINK("https://ictv.global/taxonomy/taxondetails?taxnode_id=202205903","ictv.global=202205903")</f>
        <v>ictv.global=202205903</v>
      </c>
    </row>
    <row r="4734" spans="1:21">
      <c r="A4734">
        <v>4733</v>
      </c>
      <c r="B4734" s="29" t="s">
        <v>4053</v>
      </c>
      <c r="C4734" s="29"/>
      <c r="D4734" s="29" t="s">
        <v>4082</v>
      </c>
      <c r="E4734" s="29"/>
      <c r="F4734" s="29" t="s">
        <v>4083</v>
      </c>
      <c r="G4734" s="29"/>
      <c r="H4734" s="29" t="s">
        <v>4089</v>
      </c>
      <c r="I4734" s="29"/>
      <c r="J4734" s="29" t="s">
        <v>4090</v>
      </c>
      <c r="K4734" s="29"/>
      <c r="L4734" s="29" t="s">
        <v>1406</v>
      </c>
      <c r="M4734" s="29" t="s">
        <v>1212</v>
      </c>
      <c r="N4734" s="29" t="s">
        <v>1944</v>
      </c>
      <c r="O4734" s="29"/>
      <c r="P4734" s="29" t="s">
        <v>11928</v>
      </c>
      <c r="Q4734" t="s">
        <v>2194</v>
      </c>
      <c r="R4734" t="s">
        <v>2632</v>
      </c>
      <c r="S4734">
        <v>38</v>
      </c>
      <c r="T4734" s="43" t="str">
        <f t="shared" si="221"/>
        <v>2022.005D.Parvoviridae_2ngen_49nsp_125rensp.zip</v>
      </c>
      <c r="U4734" s="43" t="str">
        <f>HYPERLINK("https://ictv.global/taxonomy/taxondetails?taxnode_id=202214041","ictv.global=202214041")</f>
        <v>ictv.global=202214041</v>
      </c>
    </row>
    <row r="4735" spans="1:21">
      <c r="A4735">
        <v>4734</v>
      </c>
      <c r="B4735" s="29" t="s">
        <v>4053</v>
      </c>
      <c r="C4735" s="29"/>
      <c r="D4735" s="29" t="s">
        <v>4082</v>
      </c>
      <c r="E4735" s="29"/>
      <c r="F4735" s="29" t="s">
        <v>4083</v>
      </c>
      <c r="G4735" s="29"/>
      <c r="H4735" s="29" t="s">
        <v>4089</v>
      </c>
      <c r="I4735" s="29"/>
      <c r="J4735" s="29" t="s">
        <v>4090</v>
      </c>
      <c r="K4735" s="29"/>
      <c r="L4735" s="29" t="s">
        <v>1406</v>
      </c>
      <c r="M4735" s="29" t="s">
        <v>1212</v>
      </c>
      <c r="N4735" s="29" t="s">
        <v>11929</v>
      </c>
      <c r="O4735" s="29"/>
      <c r="P4735" s="29" t="s">
        <v>11930</v>
      </c>
      <c r="Q4735" t="s">
        <v>2194</v>
      </c>
      <c r="R4735" t="s">
        <v>2632</v>
      </c>
      <c r="S4735">
        <v>38</v>
      </c>
      <c r="T4735" s="43" t="str">
        <f t="shared" si="221"/>
        <v>2022.005D.Parvoviridae_2ngen_49nsp_125rensp.zip</v>
      </c>
      <c r="U4735" s="43" t="str">
        <f>HYPERLINK("https://ictv.global/taxonomy/taxondetails?taxnode_id=202214044","ictv.global=202214044")</f>
        <v>ictv.global=202214044</v>
      </c>
    </row>
    <row r="4736" spans="1:21">
      <c r="A4736">
        <v>4735</v>
      </c>
      <c r="B4736" s="29" t="s">
        <v>4053</v>
      </c>
      <c r="C4736" s="29"/>
      <c r="D4736" s="29" t="s">
        <v>4082</v>
      </c>
      <c r="E4736" s="29"/>
      <c r="F4736" s="29" t="s">
        <v>4083</v>
      </c>
      <c r="G4736" s="29"/>
      <c r="H4736" s="29" t="s">
        <v>4089</v>
      </c>
      <c r="I4736" s="29"/>
      <c r="J4736" s="29" t="s">
        <v>4090</v>
      </c>
      <c r="K4736" s="29"/>
      <c r="L4736" s="29" t="s">
        <v>1406</v>
      </c>
      <c r="M4736" s="29" t="s">
        <v>1212</v>
      </c>
      <c r="N4736" s="29" t="s">
        <v>1945</v>
      </c>
      <c r="O4736" s="29"/>
      <c r="P4736" s="29" t="s">
        <v>11931</v>
      </c>
      <c r="Q4736" t="s">
        <v>2041</v>
      </c>
      <c r="R4736" t="s">
        <v>2635</v>
      </c>
      <c r="S4736">
        <v>38</v>
      </c>
      <c r="T4736" s="43" t="str">
        <f t="shared" si="221"/>
        <v>2022.005D.Parvoviridae_2ngen_49nsp_125rensp.zip</v>
      </c>
      <c r="U4736" s="43" t="str">
        <f>HYPERLINK("https://ictv.global/taxonomy/taxondetails?taxnode_id=202204279","ictv.global=202204279")</f>
        <v>ictv.global=202204279</v>
      </c>
    </row>
    <row r="4737" spans="1:21">
      <c r="A4737">
        <v>4736</v>
      </c>
      <c r="B4737" s="29" t="s">
        <v>4053</v>
      </c>
      <c r="C4737" s="29"/>
      <c r="D4737" s="29" t="s">
        <v>4082</v>
      </c>
      <c r="E4737" s="29"/>
      <c r="F4737" s="29" t="s">
        <v>4083</v>
      </c>
      <c r="G4737" s="29"/>
      <c r="H4737" s="29" t="s">
        <v>4089</v>
      </c>
      <c r="I4737" s="29"/>
      <c r="J4737" s="29" t="s">
        <v>4090</v>
      </c>
      <c r="K4737" s="29"/>
      <c r="L4737" s="29" t="s">
        <v>1406</v>
      </c>
      <c r="M4737" s="29" t="s">
        <v>1212</v>
      </c>
      <c r="N4737" s="29" t="s">
        <v>1945</v>
      </c>
      <c r="O4737" s="29"/>
      <c r="P4737" s="29" t="s">
        <v>11932</v>
      </c>
      <c r="Q4737" t="s">
        <v>2194</v>
      </c>
      <c r="R4737" t="s">
        <v>2632</v>
      </c>
      <c r="S4737">
        <v>38</v>
      </c>
      <c r="T4737" s="43" t="str">
        <f t="shared" si="221"/>
        <v>2022.005D.Parvoviridae_2ngen_49nsp_125rensp.zip</v>
      </c>
      <c r="U4737" s="43" t="str">
        <f>HYPERLINK("https://ictv.global/taxonomy/taxondetails?taxnode_id=202214042","ictv.global=202214042")</f>
        <v>ictv.global=202214042</v>
      </c>
    </row>
    <row r="4738" spans="1:21">
      <c r="A4738">
        <v>4737</v>
      </c>
      <c r="B4738" s="29" t="s">
        <v>4053</v>
      </c>
      <c r="C4738" s="29"/>
      <c r="D4738" s="29" t="s">
        <v>4082</v>
      </c>
      <c r="E4738" s="29"/>
      <c r="F4738" s="29" t="s">
        <v>4083</v>
      </c>
      <c r="G4738" s="29"/>
      <c r="H4738" s="29" t="s">
        <v>4089</v>
      </c>
      <c r="I4738" s="29"/>
      <c r="J4738" s="29" t="s">
        <v>4090</v>
      </c>
      <c r="K4738" s="29"/>
      <c r="L4738" s="29" t="s">
        <v>1406</v>
      </c>
      <c r="M4738" s="29" t="s">
        <v>1212</v>
      </c>
      <c r="N4738" s="29" t="s">
        <v>1945</v>
      </c>
      <c r="O4738" s="29"/>
      <c r="P4738" s="29" t="s">
        <v>11933</v>
      </c>
      <c r="Q4738" t="s">
        <v>2041</v>
      </c>
      <c r="R4738" t="s">
        <v>2635</v>
      </c>
      <c r="S4738">
        <v>38</v>
      </c>
      <c r="T4738" s="43" t="str">
        <f t="shared" si="221"/>
        <v>2022.005D.Parvoviridae_2ngen_49nsp_125rensp.zip</v>
      </c>
      <c r="U4738" s="43" t="str">
        <f>HYPERLINK("https://ictv.global/taxonomy/taxondetails?taxnode_id=202204280","ictv.global=202204280")</f>
        <v>ictv.global=202204280</v>
      </c>
    </row>
    <row r="4739" spans="1:21">
      <c r="A4739">
        <v>4738</v>
      </c>
      <c r="B4739" s="29" t="s">
        <v>4053</v>
      </c>
      <c r="C4739" s="29"/>
      <c r="D4739" s="29" t="s">
        <v>4082</v>
      </c>
      <c r="E4739" s="29"/>
      <c r="F4739" s="29" t="s">
        <v>4083</v>
      </c>
      <c r="G4739" s="29"/>
      <c r="H4739" s="29" t="s">
        <v>4089</v>
      </c>
      <c r="I4739" s="29"/>
      <c r="J4739" s="29" t="s">
        <v>4090</v>
      </c>
      <c r="K4739" s="29"/>
      <c r="L4739" s="29" t="s">
        <v>1406</v>
      </c>
      <c r="M4739" s="29" t="s">
        <v>1212</v>
      </c>
      <c r="N4739" s="29" t="s">
        <v>1945</v>
      </c>
      <c r="O4739" s="29"/>
      <c r="P4739" s="29" t="s">
        <v>11934</v>
      </c>
      <c r="Q4739" t="s">
        <v>2194</v>
      </c>
      <c r="R4739" t="s">
        <v>2632</v>
      </c>
      <c r="S4739">
        <v>38</v>
      </c>
      <c r="T4739" s="43" t="str">
        <f t="shared" si="221"/>
        <v>2022.005D.Parvoviridae_2ngen_49nsp_125rensp.zip</v>
      </c>
      <c r="U4739" s="43" t="str">
        <f>HYPERLINK("https://ictv.global/taxonomy/taxondetails?taxnode_id=202214043","ictv.global=202214043")</f>
        <v>ictv.global=202214043</v>
      </c>
    </row>
    <row r="4740" spans="1:21">
      <c r="A4740">
        <v>4739</v>
      </c>
      <c r="B4740" s="29" t="s">
        <v>4053</v>
      </c>
      <c r="C4740" s="29"/>
      <c r="D4740" s="29" t="s">
        <v>4082</v>
      </c>
      <c r="E4740" s="29"/>
      <c r="F4740" s="29" t="s">
        <v>4083</v>
      </c>
      <c r="G4740" s="29"/>
      <c r="H4740" s="29" t="s">
        <v>4089</v>
      </c>
      <c r="I4740" s="29"/>
      <c r="J4740" s="29" t="s">
        <v>4090</v>
      </c>
      <c r="K4740" s="29"/>
      <c r="L4740" s="29" t="s">
        <v>1406</v>
      </c>
      <c r="M4740" s="29" t="s">
        <v>1212</v>
      </c>
      <c r="N4740" s="29" t="s">
        <v>1945</v>
      </c>
      <c r="O4740" s="29"/>
      <c r="P4740" s="29" t="s">
        <v>11935</v>
      </c>
      <c r="Q4740" t="s">
        <v>2041</v>
      </c>
      <c r="R4740" t="s">
        <v>2635</v>
      </c>
      <c r="S4740">
        <v>38</v>
      </c>
      <c r="T4740" s="43" t="str">
        <f t="shared" si="221"/>
        <v>2022.005D.Parvoviridae_2ngen_49nsp_125rensp.zip</v>
      </c>
      <c r="U4740" s="43" t="str">
        <f>HYPERLINK("https://ictv.global/taxonomy/taxondetails?taxnode_id=202204281","ictv.global=202204281")</f>
        <v>ictv.global=202204281</v>
      </c>
    </row>
    <row r="4741" spans="1:21">
      <c r="A4741">
        <v>4740</v>
      </c>
      <c r="B4741" s="29" t="s">
        <v>4053</v>
      </c>
      <c r="C4741" s="29"/>
      <c r="D4741" s="29" t="s">
        <v>4082</v>
      </c>
      <c r="E4741" s="29"/>
      <c r="F4741" s="29" t="s">
        <v>4083</v>
      </c>
      <c r="G4741" s="29"/>
      <c r="H4741" s="29" t="s">
        <v>4089</v>
      </c>
      <c r="I4741" s="29"/>
      <c r="J4741" s="29" t="s">
        <v>4090</v>
      </c>
      <c r="K4741" s="29"/>
      <c r="L4741" s="29" t="s">
        <v>1406</v>
      </c>
      <c r="M4741" s="29" t="s">
        <v>1212</v>
      </c>
      <c r="N4741" s="29" t="s">
        <v>1945</v>
      </c>
      <c r="O4741" s="29"/>
      <c r="P4741" s="29" t="s">
        <v>11936</v>
      </c>
      <c r="Q4741" t="s">
        <v>2041</v>
      </c>
      <c r="R4741" t="s">
        <v>2635</v>
      </c>
      <c r="S4741">
        <v>38</v>
      </c>
      <c r="T4741" s="43" t="str">
        <f t="shared" si="221"/>
        <v>2022.005D.Parvoviridae_2ngen_49nsp_125rensp.zip</v>
      </c>
      <c r="U4741" s="43" t="str">
        <f>HYPERLINK("https://ictv.global/taxonomy/taxondetails?taxnode_id=202204282","ictv.global=202204282")</f>
        <v>ictv.global=202204282</v>
      </c>
    </row>
    <row r="4742" spans="1:21">
      <c r="A4742">
        <v>4741</v>
      </c>
      <c r="B4742" s="29" t="s">
        <v>4053</v>
      </c>
      <c r="C4742" s="29"/>
      <c r="D4742" s="29" t="s">
        <v>4082</v>
      </c>
      <c r="E4742" s="29"/>
      <c r="F4742" s="29" t="s">
        <v>4083</v>
      </c>
      <c r="G4742" s="29"/>
      <c r="H4742" s="29" t="s">
        <v>4089</v>
      </c>
      <c r="I4742" s="29"/>
      <c r="J4742" s="29" t="s">
        <v>4090</v>
      </c>
      <c r="K4742" s="29"/>
      <c r="L4742" s="29" t="s">
        <v>1406</v>
      </c>
      <c r="M4742" s="29" t="s">
        <v>1212</v>
      </c>
      <c r="N4742" s="29" t="s">
        <v>1945</v>
      </c>
      <c r="O4742" s="29"/>
      <c r="P4742" s="29" t="s">
        <v>11937</v>
      </c>
      <c r="Q4742" t="s">
        <v>2041</v>
      </c>
      <c r="R4742" t="s">
        <v>2635</v>
      </c>
      <c r="S4742">
        <v>38</v>
      </c>
      <c r="T4742" s="43" t="str">
        <f t="shared" si="221"/>
        <v>2022.005D.Parvoviridae_2ngen_49nsp_125rensp.zip</v>
      </c>
      <c r="U4742" s="43" t="str">
        <f>HYPERLINK("https://ictv.global/taxonomy/taxondetails?taxnode_id=202204283","ictv.global=202204283")</f>
        <v>ictv.global=202204283</v>
      </c>
    </row>
    <row r="4743" spans="1:21">
      <c r="A4743">
        <v>4742</v>
      </c>
      <c r="B4743" s="29" t="s">
        <v>4053</v>
      </c>
      <c r="C4743" s="29"/>
      <c r="D4743" s="29" t="s">
        <v>4082</v>
      </c>
      <c r="E4743" s="29"/>
      <c r="F4743" s="29" t="s">
        <v>4083</v>
      </c>
      <c r="G4743" s="29"/>
      <c r="H4743" s="29" t="s">
        <v>4089</v>
      </c>
      <c r="I4743" s="29"/>
      <c r="J4743" s="29" t="s">
        <v>4090</v>
      </c>
      <c r="K4743" s="29"/>
      <c r="L4743" s="29" t="s">
        <v>1406</v>
      </c>
      <c r="M4743" s="29" t="s">
        <v>1212</v>
      </c>
      <c r="N4743" s="29" t="s">
        <v>1945</v>
      </c>
      <c r="O4743" s="29"/>
      <c r="P4743" s="29" t="s">
        <v>11938</v>
      </c>
      <c r="Q4743" t="s">
        <v>2041</v>
      </c>
      <c r="R4743" t="s">
        <v>2635</v>
      </c>
      <c r="S4743">
        <v>38</v>
      </c>
      <c r="T4743" s="43" t="str">
        <f t="shared" si="221"/>
        <v>2022.005D.Parvoviridae_2ngen_49nsp_125rensp.zip</v>
      </c>
      <c r="U4743" s="43" t="str">
        <f>HYPERLINK("https://ictv.global/taxonomy/taxondetails?taxnode_id=202204284","ictv.global=202204284")</f>
        <v>ictv.global=202204284</v>
      </c>
    </row>
    <row r="4744" spans="1:21">
      <c r="A4744">
        <v>4743</v>
      </c>
      <c r="B4744" s="29" t="s">
        <v>4053</v>
      </c>
      <c r="C4744" s="29"/>
      <c r="D4744" s="29" t="s">
        <v>4082</v>
      </c>
      <c r="E4744" s="29"/>
      <c r="F4744" s="29" t="s">
        <v>4083</v>
      </c>
      <c r="G4744" s="29"/>
      <c r="H4744" s="29" t="s">
        <v>4089</v>
      </c>
      <c r="I4744" s="29"/>
      <c r="J4744" s="29" t="s">
        <v>4090</v>
      </c>
      <c r="K4744" s="29"/>
      <c r="L4744" s="29" t="s">
        <v>1406</v>
      </c>
      <c r="M4744" s="29"/>
      <c r="N4744" s="29" t="s">
        <v>11939</v>
      </c>
      <c r="O4744" s="29"/>
      <c r="P4744" s="29" t="s">
        <v>11940</v>
      </c>
      <c r="Q4744" t="s">
        <v>2194</v>
      </c>
      <c r="R4744" t="s">
        <v>2632</v>
      </c>
      <c r="S4744">
        <v>38</v>
      </c>
      <c r="T4744" s="43" t="str">
        <f t="shared" si="221"/>
        <v>2022.005D.Parvoviridae_2ngen_49nsp_125rensp.zip</v>
      </c>
      <c r="U4744" s="43" t="str">
        <f>HYPERLINK("https://ictv.global/taxonomy/taxondetails?taxnode_id=202214061","ictv.global=202214061")</f>
        <v>ictv.global=202214061</v>
      </c>
    </row>
    <row r="4745" spans="1:21">
      <c r="A4745">
        <v>4744</v>
      </c>
      <c r="B4745" s="29" t="s">
        <v>4053</v>
      </c>
      <c r="C4745" s="29"/>
      <c r="D4745" s="29" t="s">
        <v>4082</v>
      </c>
      <c r="E4745" s="29"/>
      <c r="F4745" s="29" t="s">
        <v>4106</v>
      </c>
      <c r="G4745" s="29"/>
      <c r="H4745" s="29" t="s">
        <v>4107</v>
      </c>
      <c r="I4745" s="29"/>
      <c r="J4745" s="29" t="s">
        <v>4108</v>
      </c>
      <c r="K4745" s="29"/>
      <c r="L4745" s="29" t="s">
        <v>2831</v>
      </c>
      <c r="M4745" s="29"/>
      <c r="N4745" s="29" t="s">
        <v>11941</v>
      </c>
      <c r="O4745" s="29"/>
      <c r="P4745" s="29" t="s">
        <v>11942</v>
      </c>
      <c r="Q4745" t="s">
        <v>2194</v>
      </c>
      <c r="R4745" t="s">
        <v>2632</v>
      </c>
      <c r="S4745">
        <v>38</v>
      </c>
      <c r="T4745" s="43" t="str">
        <f t="shared" ref="T4745:T4766" si="222">HYPERLINK("https://ictv.global/ictv/proposals/2022.002F.Bacilladnaviridae_reorg.zip","2022.002F.Bacilladnaviridae_reorg.zip")</f>
        <v>2022.002F.Bacilladnaviridae_reorg.zip</v>
      </c>
      <c r="U4745" s="43" t="str">
        <f>HYPERLINK("https://ictv.global/taxonomy/taxondetails?taxnode_id=202214992","ictv.global=202214992")</f>
        <v>ictv.global=202214992</v>
      </c>
    </row>
    <row r="4746" spans="1:21">
      <c r="A4746">
        <v>4745</v>
      </c>
      <c r="B4746" s="29" t="s">
        <v>4053</v>
      </c>
      <c r="C4746" s="29"/>
      <c r="D4746" s="29" t="s">
        <v>4082</v>
      </c>
      <c r="E4746" s="29"/>
      <c r="F4746" s="29" t="s">
        <v>4106</v>
      </c>
      <c r="G4746" s="29"/>
      <c r="H4746" s="29" t="s">
        <v>4107</v>
      </c>
      <c r="I4746" s="29"/>
      <c r="J4746" s="29" t="s">
        <v>4108</v>
      </c>
      <c r="K4746" s="29"/>
      <c r="L4746" s="29" t="s">
        <v>2831</v>
      </c>
      <c r="M4746" s="29"/>
      <c r="N4746" s="29" t="s">
        <v>2832</v>
      </c>
      <c r="O4746" s="29"/>
      <c r="P4746" s="29" t="s">
        <v>11943</v>
      </c>
      <c r="Q4746" t="s">
        <v>2041</v>
      </c>
      <c r="R4746" t="s">
        <v>2635</v>
      </c>
      <c r="S4746">
        <v>38</v>
      </c>
      <c r="T4746" s="43" t="str">
        <f t="shared" si="222"/>
        <v>2022.002F.Bacilladnaviridae_reorg.zip</v>
      </c>
      <c r="U4746" s="43" t="str">
        <f>HYPERLINK("https://ictv.global/taxonomy/taxondetails?taxnode_id=202205746","ictv.global=202205746")</f>
        <v>ictv.global=202205746</v>
      </c>
    </row>
    <row r="4747" spans="1:21">
      <c r="A4747">
        <v>4746</v>
      </c>
      <c r="B4747" s="29" t="s">
        <v>4053</v>
      </c>
      <c r="C4747" s="29"/>
      <c r="D4747" s="29" t="s">
        <v>4082</v>
      </c>
      <c r="E4747" s="29"/>
      <c r="F4747" s="29" t="s">
        <v>4106</v>
      </c>
      <c r="G4747" s="29"/>
      <c r="H4747" s="29" t="s">
        <v>4107</v>
      </c>
      <c r="I4747" s="29"/>
      <c r="J4747" s="29" t="s">
        <v>4108</v>
      </c>
      <c r="K4747" s="29"/>
      <c r="L4747" s="29" t="s">
        <v>2831</v>
      </c>
      <c r="M4747" s="29"/>
      <c r="N4747" s="29" t="s">
        <v>11944</v>
      </c>
      <c r="O4747" s="29"/>
      <c r="P4747" s="29" t="s">
        <v>11945</v>
      </c>
      <c r="Q4747" t="s">
        <v>2194</v>
      </c>
      <c r="R4747" t="s">
        <v>2632</v>
      </c>
      <c r="S4747">
        <v>38</v>
      </c>
      <c r="T4747" s="43" t="str">
        <f t="shared" si="222"/>
        <v>2022.002F.Bacilladnaviridae_reorg.zip</v>
      </c>
      <c r="U4747" s="43" t="str">
        <f>HYPERLINK("https://ictv.global/taxonomy/taxondetails?taxnode_id=202214995","ictv.global=202214995")</f>
        <v>ictv.global=202214995</v>
      </c>
    </row>
    <row r="4748" spans="1:21">
      <c r="A4748">
        <v>4747</v>
      </c>
      <c r="B4748" s="29" t="s">
        <v>4053</v>
      </c>
      <c r="C4748" s="29"/>
      <c r="D4748" s="29" t="s">
        <v>4082</v>
      </c>
      <c r="E4748" s="29"/>
      <c r="F4748" s="29" t="s">
        <v>4106</v>
      </c>
      <c r="G4748" s="29"/>
      <c r="H4748" s="29" t="s">
        <v>4107</v>
      </c>
      <c r="I4748" s="29"/>
      <c r="J4748" s="29" t="s">
        <v>4108</v>
      </c>
      <c r="K4748" s="29"/>
      <c r="L4748" s="29" t="s">
        <v>2831</v>
      </c>
      <c r="M4748" s="29"/>
      <c r="N4748" s="29" t="s">
        <v>2833</v>
      </c>
      <c r="O4748" s="29"/>
      <c r="P4748" s="29" t="s">
        <v>11946</v>
      </c>
      <c r="Q4748" t="s">
        <v>2041</v>
      </c>
      <c r="R4748" t="s">
        <v>2635</v>
      </c>
      <c r="S4748">
        <v>38</v>
      </c>
      <c r="T4748" s="43" t="str">
        <f t="shared" si="222"/>
        <v>2022.002F.Bacilladnaviridae_reorg.zip</v>
      </c>
      <c r="U4748" s="43" t="str">
        <f>HYPERLINK("https://ictv.global/taxonomy/taxondetails?taxnode_id=202205748","ictv.global=202205748")</f>
        <v>ictv.global=202205748</v>
      </c>
    </row>
    <row r="4749" spans="1:21">
      <c r="A4749">
        <v>4748</v>
      </c>
      <c r="B4749" s="29" t="s">
        <v>4053</v>
      </c>
      <c r="C4749" s="29"/>
      <c r="D4749" s="29" t="s">
        <v>4082</v>
      </c>
      <c r="E4749" s="29"/>
      <c r="F4749" s="29" t="s">
        <v>4106</v>
      </c>
      <c r="G4749" s="29"/>
      <c r="H4749" s="29" t="s">
        <v>4107</v>
      </c>
      <c r="I4749" s="29"/>
      <c r="J4749" s="29" t="s">
        <v>4108</v>
      </c>
      <c r="K4749" s="29"/>
      <c r="L4749" s="29" t="s">
        <v>2831</v>
      </c>
      <c r="M4749" s="29"/>
      <c r="N4749" s="29" t="s">
        <v>2833</v>
      </c>
      <c r="O4749" s="29"/>
      <c r="P4749" s="29" t="s">
        <v>11947</v>
      </c>
      <c r="Q4749" t="s">
        <v>2194</v>
      </c>
      <c r="R4749" t="s">
        <v>2632</v>
      </c>
      <c r="S4749">
        <v>38</v>
      </c>
      <c r="T4749" s="43" t="str">
        <f t="shared" si="222"/>
        <v>2022.002F.Bacilladnaviridae_reorg.zip</v>
      </c>
      <c r="U4749" s="43" t="str">
        <f>HYPERLINK("https://ictv.global/taxonomy/taxondetails?taxnode_id=202214994","ictv.global=202214994")</f>
        <v>ictv.global=202214994</v>
      </c>
    </row>
    <row r="4750" spans="1:21" s="45" customFormat="1">
      <c r="A4750" s="45">
        <v>4749</v>
      </c>
      <c r="B4750" s="46" t="s">
        <v>4053</v>
      </c>
      <c r="C4750" s="46"/>
      <c r="D4750" s="46" t="s">
        <v>4082</v>
      </c>
      <c r="E4750" s="46"/>
      <c r="F4750" s="46" t="s">
        <v>4106</v>
      </c>
      <c r="G4750" s="46"/>
      <c r="H4750" s="46" t="s">
        <v>4107</v>
      </c>
      <c r="I4750" s="46"/>
      <c r="J4750" s="46" t="s">
        <v>4108</v>
      </c>
      <c r="K4750" s="46"/>
      <c r="L4750" s="46" t="s">
        <v>2831</v>
      </c>
      <c r="M4750" s="46"/>
      <c r="N4750" s="46" t="s">
        <v>2833</v>
      </c>
      <c r="O4750" s="46"/>
      <c r="P4750" s="46" t="s">
        <v>18181</v>
      </c>
      <c r="Q4750" s="45" t="s">
        <v>2194</v>
      </c>
      <c r="R4750" s="45" t="s">
        <v>2633</v>
      </c>
      <c r="S4750" s="45">
        <v>38.200000000000003</v>
      </c>
      <c r="T4750" s="47" t="str">
        <f>HYPERLINK("https://ictv.global/ictv/proposals/2023.001F.Bacilladnaviridae_correction_2sp.zip","2023.001F.Bacilladnaviridae_correction_2sp.zip")</f>
        <v>2023.001F.Bacilladnaviridae_correction_2sp.zip</v>
      </c>
      <c r="U4750" s="47" t="str">
        <f>HYPERLINK("https://ictv.global/taxonomy/taxondetails?taxnode_id=202215004","ictv.global=202215004")</f>
        <v>ictv.global=202215004</v>
      </c>
    </row>
    <row r="4751" spans="1:21">
      <c r="A4751">
        <v>4750</v>
      </c>
      <c r="B4751" s="29" t="s">
        <v>4053</v>
      </c>
      <c r="C4751" s="29"/>
      <c r="D4751" s="29" t="s">
        <v>4082</v>
      </c>
      <c r="E4751" s="29"/>
      <c r="F4751" s="29" t="s">
        <v>4106</v>
      </c>
      <c r="G4751" s="29"/>
      <c r="H4751" s="29" t="s">
        <v>4107</v>
      </c>
      <c r="I4751" s="29"/>
      <c r="J4751" s="29" t="s">
        <v>4108</v>
      </c>
      <c r="K4751" s="29"/>
      <c r="L4751" s="29" t="s">
        <v>2831</v>
      </c>
      <c r="M4751" s="29"/>
      <c r="N4751" s="29" t="s">
        <v>2833</v>
      </c>
      <c r="O4751" s="29"/>
      <c r="P4751" s="29" t="s">
        <v>11948</v>
      </c>
      <c r="Q4751" t="s">
        <v>2194</v>
      </c>
      <c r="R4751" t="s">
        <v>2632</v>
      </c>
      <c r="S4751">
        <v>38</v>
      </c>
      <c r="T4751" s="43" t="str">
        <f t="shared" si="222"/>
        <v>2022.002F.Bacilladnaviridae_reorg.zip</v>
      </c>
      <c r="U4751" s="43" t="str">
        <f>HYPERLINK("https://ictv.global/taxonomy/taxondetails?taxnode_id=202214993","ictv.global=202214993")</f>
        <v>ictv.global=202214993</v>
      </c>
    </row>
    <row r="4752" spans="1:21">
      <c r="A4752">
        <v>4751</v>
      </c>
      <c r="B4752" s="29" t="s">
        <v>4053</v>
      </c>
      <c r="C4752" s="29"/>
      <c r="D4752" s="29" t="s">
        <v>4082</v>
      </c>
      <c r="E4752" s="29"/>
      <c r="F4752" s="29" t="s">
        <v>4106</v>
      </c>
      <c r="G4752" s="29"/>
      <c r="H4752" s="29" t="s">
        <v>4107</v>
      </c>
      <c r="I4752" s="29"/>
      <c r="J4752" s="29" t="s">
        <v>4108</v>
      </c>
      <c r="K4752" s="29"/>
      <c r="L4752" s="29" t="s">
        <v>2831</v>
      </c>
      <c r="M4752" s="29"/>
      <c r="N4752" s="29" t="s">
        <v>2834</v>
      </c>
      <c r="O4752" s="29"/>
      <c r="P4752" s="29" t="s">
        <v>11949</v>
      </c>
      <c r="Q4752" t="s">
        <v>2041</v>
      </c>
      <c r="R4752" t="s">
        <v>2635</v>
      </c>
      <c r="S4752">
        <v>38</v>
      </c>
      <c r="T4752" s="43" t="str">
        <f t="shared" si="222"/>
        <v>2022.002F.Bacilladnaviridae_reorg.zip</v>
      </c>
      <c r="U4752" s="43" t="str">
        <f>HYPERLINK("https://ictv.global/taxonomy/taxondetails?taxnode_id=202205751","ictv.global=202205751")</f>
        <v>ictv.global=202205751</v>
      </c>
    </row>
    <row r="4753" spans="1:21">
      <c r="A4753">
        <v>4752</v>
      </c>
      <c r="B4753" s="29" t="s">
        <v>4053</v>
      </c>
      <c r="C4753" s="29"/>
      <c r="D4753" s="29" t="s">
        <v>4082</v>
      </c>
      <c r="E4753" s="29"/>
      <c r="F4753" s="29" t="s">
        <v>4106</v>
      </c>
      <c r="G4753" s="29"/>
      <c r="H4753" s="29" t="s">
        <v>4107</v>
      </c>
      <c r="I4753" s="29"/>
      <c r="J4753" s="29" t="s">
        <v>4108</v>
      </c>
      <c r="K4753" s="29"/>
      <c r="L4753" s="29" t="s">
        <v>2831</v>
      </c>
      <c r="M4753" s="29"/>
      <c r="N4753" s="29" t="s">
        <v>2834</v>
      </c>
      <c r="O4753" s="29"/>
      <c r="P4753" s="29" t="s">
        <v>11950</v>
      </c>
      <c r="Q4753" t="s">
        <v>2041</v>
      </c>
      <c r="R4753" t="s">
        <v>2635</v>
      </c>
      <c r="S4753">
        <v>38</v>
      </c>
      <c r="T4753" s="43" t="str">
        <f t="shared" si="222"/>
        <v>2022.002F.Bacilladnaviridae_reorg.zip</v>
      </c>
      <c r="U4753" s="43" t="str">
        <f>HYPERLINK("https://ictv.global/taxonomy/taxondetails?taxnode_id=202205750","ictv.global=202205750")</f>
        <v>ictv.global=202205750</v>
      </c>
    </row>
    <row r="4754" spans="1:21">
      <c r="A4754">
        <v>4753</v>
      </c>
      <c r="B4754" s="29" t="s">
        <v>4053</v>
      </c>
      <c r="C4754" s="29"/>
      <c r="D4754" s="29" t="s">
        <v>4082</v>
      </c>
      <c r="E4754" s="29"/>
      <c r="F4754" s="29" t="s">
        <v>4106</v>
      </c>
      <c r="G4754" s="29"/>
      <c r="H4754" s="29" t="s">
        <v>4107</v>
      </c>
      <c r="I4754" s="29"/>
      <c r="J4754" s="29" t="s">
        <v>4108</v>
      </c>
      <c r="K4754" s="29"/>
      <c r="L4754" s="29" t="s">
        <v>2831</v>
      </c>
      <c r="M4754" s="29"/>
      <c r="N4754" s="29" t="s">
        <v>2834</v>
      </c>
      <c r="O4754" s="29"/>
      <c r="P4754" s="29" t="s">
        <v>11951</v>
      </c>
      <c r="Q4754" t="s">
        <v>2041</v>
      </c>
      <c r="R4754" t="s">
        <v>2635</v>
      </c>
      <c r="S4754">
        <v>38</v>
      </c>
      <c r="T4754" s="43" t="str">
        <f t="shared" si="222"/>
        <v>2022.002F.Bacilladnaviridae_reorg.zip</v>
      </c>
      <c r="U4754" s="43" t="str">
        <f>HYPERLINK("https://ictv.global/taxonomy/taxondetails?taxnode_id=202205339","ictv.global=202205339")</f>
        <v>ictv.global=202205339</v>
      </c>
    </row>
    <row r="4755" spans="1:21">
      <c r="A4755">
        <v>4754</v>
      </c>
      <c r="B4755" s="29" t="s">
        <v>4053</v>
      </c>
      <c r="C4755" s="29"/>
      <c r="D4755" s="29" t="s">
        <v>4082</v>
      </c>
      <c r="E4755" s="29"/>
      <c r="F4755" s="29" t="s">
        <v>4106</v>
      </c>
      <c r="G4755" s="29"/>
      <c r="H4755" s="29" t="s">
        <v>4107</v>
      </c>
      <c r="I4755" s="29"/>
      <c r="J4755" s="29" t="s">
        <v>4108</v>
      </c>
      <c r="K4755" s="29"/>
      <c r="L4755" s="29" t="s">
        <v>2831</v>
      </c>
      <c r="M4755" s="29"/>
      <c r="N4755" s="29" t="s">
        <v>2834</v>
      </c>
      <c r="O4755" s="29"/>
      <c r="P4755" s="29" t="s">
        <v>11952</v>
      </c>
      <c r="Q4755" t="s">
        <v>2041</v>
      </c>
      <c r="R4755" t="s">
        <v>2635</v>
      </c>
      <c r="S4755">
        <v>38</v>
      </c>
      <c r="T4755" s="43" t="str">
        <f t="shared" si="222"/>
        <v>2022.002F.Bacilladnaviridae_reorg.zip</v>
      </c>
      <c r="U4755" s="43" t="str">
        <f>HYPERLINK("https://ictv.global/taxonomy/taxondetails?taxnode_id=202205755","ictv.global=202205755")</f>
        <v>ictv.global=202205755</v>
      </c>
    </row>
    <row r="4756" spans="1:21">
      <c r="A4756">
        <v>4755</v>
      </c>
      <c r="B4756" s="29" t="s">
        <v>4053</v>
      </c>
      <c r="C4756" s="29"/>
      <c r="D4756" s="29" t="s">
        <v>4082</v>
      </c>
      <c r="E4756" s="29"/>
      <c r="F4756" s="29" t="s">
        <v>4106</v>
      </c>
      <c r="G4756" s="29"/>
      <c r="H4756" s="29" t="s">
        <v>4107</v>
      </c>
      <c r="I4756" s="29"/>
      <c r="J4756" s="29" t="s">
        <v>4108</v>
      </c>
      <c r="K4756" s="29"/>
      <c r="L4756" s="29" t="s">
        <v>2831</v>
      </c>
      <c r="M4756" s="29"/>
      <c r="N4756" s="29" t="s">
        <v>2834</v>
      </c>
      <c r="O4756" s="29"/>
      <c r="P4756" s="29" t="s">
        <v>11953</v>
      </c>
      <c r="Q4756" t="s">
        <v>2041</v>
      </c>
      <c r="R4756" t="s">
        <v>2635</v>
      </c>
      <c r="S4756">
        <v>38</v>
      </c>
      <c r="T4756" s="43" t="str">
        <f t="shared" si="222"/>
        <v>2022.002F.Bacilladnaviridae_reorg.zip</v>
      </c>
      <c r="U4756" s="43" t="str">
        <f>HYPERLINK("https://ictv.global/taxonomy/taxondetails?taxnode_id=202205754","ictv.global=202205754")</f>
        <v>ictv.global=202205754</v>
      </c>
    </row>
    <row r="4757" spans="1:21">
      <c r="A4757">
        <v>4756</v>
      </c>
      <c r="B4757" s="29" t="s">
        <v>4053</v>
      </c>
      <c r="C4757" s="29"/>
      <c r="D4757" s="29" t="s">
        <v>4082</v>
      </c>
      <c r="E4757" s="29"/>
      <c r="F4757" s="29" t="s">
        <v>4106</v>
      </c>
      <c r="G4757" s="29"/>
      <c r="H4757" s="29" t="s">
        <v>4107</v>
      </c>
      <c r="I4757" s="29"/>
      <c r="J4757" s="29" t="s">
        <v>4108</v>
      </c>
      <c r="K4757" s="29"/>
      <c r="L4757" s="29" t="s">
        <v>2831</v>
      </c>
      <c r="M4757" s="29"/>
      <c r="N4757" s="29" t="s">
        <v>2834</v>
      </c>
      <c r="O4757" s="29"/>
      <c r="P4757" s="29" t="s">
        <v>11954</v>
      </c>
      <c r="Q4757" t="s">
        <v>2194</v>
      </c>
      <c r="R4757" t="s">
        <v>2632</v>
      </c>
      <c r="S4757">
        <v>38</v>
      </c>
      <c r="T4757" s="43" t="str">
        <f t="shared" si="222"/>
        <v>2022.002F.Bacilladnaviridae_reorg.zip</v>
      </c>
      <c r="U4757" s="43" t="str">
        <f>HYPERLINK("https://ictv.global/taxonomy/taxondetails?taxnode_id=202214997","ictv.global=202214997")</f>
        <v>ictv.global=202214997</v>
      </c>
    </row>
    <row r="4758" spans="1:21">
      <c r="A4758">
        <v>4757</v>
      </c>
      <c r="B4758" s="29" t="s">
        <v>4053</v>
      </c>
      <c r="C4758" s="29"/>
      <c r="D4758" s="29" t="s">
        <v>4082</v>
      </c>
      <c r="E4758" s="29"/>
      <c r="F4758" s="29" t="s">
        <v>4106</v>
      </c>
      <c r="G4758" s="29"/>
      <c r="H4758" s="29" t="s">
        <v>4107</v>
      </c>
      <c r="I4758" s="29"/>
      <c r="J4758" s="29" t="s">
        <v>4108</v>
      </c>
      <c r="K4758" s="29"/>
      <c r="L4758" s="29" t="s">
        <v>2831</v>
      </c>
      <c r="M4758" s="29"/>
      <c r="N4758" s="29" t="s">
        <v>2834</v>
      </c>
      <c r="O4758" s="29"/>
      <c r="P4758" s="29" t="s">
        <v>11955</v>
      </c>
      <c r="Q4758" t="s">
        <v>2194</v>
      </c>
      <c r="R4758" t="s">
        <v>2632</v>
      </c>
      <c r="S4758">
        <v>38</v>
      </c>
      <c r="T4758" s="43" t="str">
        <f t="shared" si="222"/>
        <v>2022.002F.Bacilladnaviridae_reorg.zip</v>
      </c>
      <c r="U4758" s="43" t="str">
        <f>HYPERLINK("https://ictv.global/taxonomy/taxondetails?taxnode_id=202214996","ictv.global=202214996")</f>
        <v>ictv.global=202214996</v>
      </c>
    </row>
    <row r="4759" spans="1:21">
      <c r="A4759">
        <v>4758</v>
      </c>
      <c r="B4759" s="29" t="s">
        <v>4053</v>
      </c>
      <c r="C4759" s="29"/>
      <c r="D4759" s="29" t="s">
        <v>4082</v>
      </c>
      <c r="E4759" s="29"/>
      <c r="F4759" s="29" t="s">
        <v>4106</v>
      </c>
      <c r="G4759" s="29"/>
      <c r="H4759" s="29" t="s">
        <v>4107</v>
      </c>
      <c r="I4759" s="29"/>
      <c r="J4759" s="29" t="s">
        <v>4108</v>
      </c>
      <c r="K4759" s="29"/>
      <c r="L4759" s="29" t="s">
        <v>2831</v>
      </c>
      <c r="M4759" s="29"/>
      <c r="N4759" s="29" t="s">
        <v>2834</v>
      </c>
      <c r="O4759" s="29"/>
      <c r="P4759" s="29" t="s">
        <v>11956</v>
      </c>
      <c r="Q4759" t="s">
        <v>2041</v>
      </c>
      <c r="R4759" t="s">
        <v>2635</v>
      </c>
      <c r="S4759">
        <v>38</v>
      </c>
      <c r="T4759" s="43" t="str">
        <f t="shared" si="222"/>
        <v>2022.002F.Bacilladnaviridae_reorg.zip</v>
      </c>
      <c r="U4759" s="43" t="str">
        <f>HYPERLINK("https://ictv.global/taxonomy/taxondetails?taxnode_id=202205752","ictv.global=202205752")</f>
        <v>ictv.global=202205752</v>
      </c>
    </row>
    <row r="4760" spans="1:21">
      <c r="A4760">
        <v>4759</v>
      </c>
      <c r="B4760" s="29" t="s">
        <v>4053</v>
      </c>
      <c r="C4760" s="29"/>
      <c r="D4760" s="29" t="s">
        <v>4082</v>
      </c>
      <c r="E4760" s="29"/>
      <c r="F4760" s="29" t="s">
        <v>4106</v>
      </c>
      <c r="G4760" s="29"/>
      <c r="H4760" s="29" t="s">
        <v>4107</v>
      </c>
      <c r="I4760" s="29"/>
      <c r="J4760" s="29" t="s">
        <v>4108</v>
      </c>
      <c r="K4760" s="29"/>
      <c r="L4760" s="29" t="s">
        <v>2831</v>
      </c>
      <c r="M4760" s="29"/>
      <c r="N4760" s="29" t="s">
        <v>11957</v>
      </c>
      <c r="O4760" s="29"/>
      <c r="P4760" s="29" t="s">
        <v>11958</v>
      </c>
      <c r="Q4760" t="s">
        <v>2194</v>
      </c>
      <c r="R4760" t="s">
        <v>2632</v>
      </c>
      <c r="S4760">
        <v>38</v>
      </c>
      <c r="T4760" s="43" t="str">
        <f t="shared" si="222"/>
        <v>2022.002F.Bacilladnaviridae_reorg.zip</v>
      </c>
      <c r="U4760" s="43" t="str">
        <f>HYPERLINK("https://ictv.global/taxonomy/taxondetails?taxnode_id=202214998","ictv.global=202214998")</f>
        <v>ictv.global=202214998</v>
      </c>
    </row>
    <row r="4761" spans="1:21">
      <c r="A4761">
        <v>4760</v>
      </c>
      <c r="B4761" s="29" t="s">
        <v>4053</v>
      </c>
      <c r="C4761" s="29"/>
      <c r="D4761" s="29" t="s">
        <v>4082</v>
      </c>
      <c r="E4761" s="29"/>
      <c r="F4761" s="29" t="s">
        <v>4106</v>
      </c>
      <c r="G4761" s="29"/>
      <c r="H4761" s="29" t="s">
        <v>4107</v>
      </c>
      <c r="I4761" s="29"/>
      <c r="J4761" s="29" t="s">
        <v>4108</v>
      </c>
      <c r="K4761" s="29"/>
      <c r="L4761" s="29" t="s">
        <v>2831</v>
      </c>
      <c r="M4761" s="29"/>
      <c r="N4761" s="29" t="s">
        <v>11957</v>
      </c>
      <c r="O4761" s="29"/>
      <c r="P4761" s="29" t="s">
        <v>11959</v>
      </c>
      <c r="Q4761" t="s">
        <v>2194</v>
      </c>
      <c r="R4761" t="s">
        <v>2632</v>
      </c>
      <c r="S4761">
        <v>38</v>
      </c>
      <c r="T4761" s="43" t="str">
        <f t="shared" si="222"/>
        <v>2022.002F.Bacilladnaviridae_reorg.zip</v>
      </c>
      <c r="U4761" s="43" t="str">
        <f>HYPERLINK("https://ictv.global/taxonomy/taxondetails?taxnode_id=202215000","ictv.global=202215000")</f>
        <v>ictv.global=202215000</v>
      </c>
    </row>
    <row r="4762" spans="1:21">
      <c r="A4762">
        <v>4761</v>
      </c>
      <c r="B4762" s="29" t="s">
        <v>4053</v>
      </c>
      <c r="C4762" s="29"/>
      <c r="D4762" s="29" t="s">
        <v>4082</v>
      </c>
      <c r="E4762" s="29"/>
      <c r="F4762" s="29" t="s">
        <v>4106</v>
      </c>
      <c r="G4762" s="29"/>
      <c r="H4762" s="29" t="s">
        <v>4107</v>
      </c>
      <c r="I4762" s="29"/>
      <c r="J4762" s="29" t="s">
        <v>4108</v>
      </c>
      <c r="K4762" s="29"/>
      <c r="L4762" s="29" t="s">
        <v>2831</v>
      </c>
      <c r="M4762" s="29"/>
      <c r="N4762" s="29" t="s">
        <v>11957</v>
      </c>
      <c r="O4762" s="29"/>
      <c r="P4762" s="29" t="s">
        <v>11960</v>
      </c>
      <c r="Q4762" t="s">
        <v>2194</v>
      </c>
      <c r="R4762" t="s">
        <v>2632</v>
      </c>
      <c r="S4762">
        <v>38</v>
      </c>
      <c r="T4762" s="43" t="str">
        <f t="shared" si="222"/>
        <v>2022.002F.Bacilladnaviridae_reorg.zip</v>
      </c>
      <c r="U4762" s="43" t="str">
        <f>HYPERLINK("https://ictv.global/taxonomy/taxondetails?taxnode_id=202215001","ictv.global=202215001")</f>
        <v>ictv.global=202215001</v>
      </c>
    </row>
    <row r="4763" spans="1:21">
      <c r="A4763">
        <v>4762</v>
      </c>
      <c r="B4763" s="29" t="s">
        <v>4053</v>
      </c>
      <c r="C4763" s="29"/>
      <c r="D4763" s="29" t="s">
        <v>4082</v>
      </c>
      <c r="E4763" s="29"/>
      <c r="F4763" s="29" t="s">
        <v>4106</v>
      </c>
      <c r="G4763" s="29"/>
      <c r="H4763" s="29" t="s">
        <v>4107</v>
      </c>
      <c r="I4763" s="29"/>
      <c r="J4763" s="29" t="s">
        <v>4108</v>
      </c>
      <c r="K4763" s="29"/>
      <c r="L4763" s="29" t="s">
        <v>2831</v>
      </c>
      <c r="M4763" s="29"/>
      <c r="N4763" s="29" t="s">
        <v>11957</v>
      </c>
      <c r="O4763" s="29"/>
      <c r="P4763" s="29" t="s">
        <v>11961</v>
      </c>
      <c r="Q4763" t="s">
        <v>2194</v>
      </c>
      <c r="R4763" t="s">
        <v>2632</v>
      </c>
      <c r="S4763">
        <v>38</v>
      </c>
      <c r="T4763" s="43" t="str">
        <f t="shared" si="222"/>
        <v>2022.002F.Bacilladnaviridae_reorg.zip</v>
      </c>
      <c r="U4763" s="43" t="str">
        <f>HYPERLINK("https://ictv.global/taxonomy/taxondetails?taxnode_id=202215002","ictv.global=202215002")</f>
        <v>ictv.global=202215002</v>
      </c>
    </row>
    <row r="4764" spans="1:21">
      <c r="A4764">
        <v>4763</v>
      </c>
      <c r="B4764" s="29" t="s">
        <v>4053</v>
      </c>
      <c r="C4764" s="29"/>
      <c r="D4764" s="29" t="s">
        <v>4082</v>
      </c>
      <c r="E4764" s="29"/>
      <c r="F4764" s="29" t="s">
        <v>4106</v>
      </c>
      <c r="G4764" s="29"/>
      <c r="H4764" s="29" t="s">
        <v>4107</v>
      </c>
      <c r="I4764" s="29"/>
      <c r="J4764" s="29" t="s">
        <v>4108</v>
      </c>
      <c r="K4764" s="29"/>
      <c r="L4764" s="29" t="s">
        <v>2831</v>
      </c>
      <c r="M4764" s="29"/>
      <c r="N4764" s="29" t="s">
        <v>11962</v>
      </c>
      <c r="O4764" s="29"/>
      <c r="P4764" s="29" t="s">
        <v>11963</v>
      </c>
      <c r="Q4764" t="s">
        <v>2194</v>
      </c>
      <c r="R4764" t="s">
        <v>2632</v>
      </c>
      <c r="S4764">
        <v>38</v>
      </c>
      <c r="T4764" s="43" t="str">
        <f t="shared" si="222"/>
        <v>2022.002F.Bacilladnaviridae_reorg.zip</v>
      </c>
      <c r="U4764" s="43" t="str">
        <f>HYPERLINK("https://ictv.global/taxonomy/taxondetails?taxnode_id=202215003","ictv.global=202215003")</f>
        <v>ictv.global=202215003</v>
      </c>
    </row>
    <row r="4765" spans="1:21" s="45" customFormat="1">
      <c r="A4765" s="45">
        <v>4764</v>
      </c>
      <c r="B4765" s="46" t="s">
        <v>4053</v>
      </c>
      <c r="C4765" s="46"/>
      <c r="D4765" s="46" t="s">
        <v>4082</v>
      </c>
      <c r="E4765" s="46"/>
      <c r="F4765" s="46" t="s">
        <v>4106</v>
      </c>
      <c r="G4765" s="46"/>
      <c r="H4765" s="46" t="s">
        <v>4107</v>
      </c>
      <c r="I4765" s="46"/>
      <c r="J4765" s="46" t="s">
        <v>4108</v>
      </c>
      <c r="K4765" s="46"/>
      <c r="L4765" s="46" t="s">
        <v>2831</v>
      </c>
      <c r="M4765" s="46"/>
      <c r="N4765" s="46" t="s">
        <v>11962</v>
      </c>
      <c r="O4765" s="46"/>
      <c r="P4765" s="46" t="s">
        <v>18180</v>
      </c>
      <c r="Q4765" s="45" t="s">
        <v>2194</v>
      </c>
      <c r="R4765" s="45" t="s">
        <v>2633</v>
      </c>
      <c r="S4765" s="45">
        <v>38.200000000000003</v>
      </c>
      <c r="T4765" s="47" t="str">
        <f>HYPERLINK("https://ictv.global/ictv/proposals/2023.001F.Bacilladnaviridae_correction_2sp.zip","2023.001F.Bacilladnaviridae_correction_2sp.zip")</f>
        <v>2023.001F.Bacilladnaviridae_correction_2sp.zip</v>
      </c>
      <c r="U4765" s="47" t="str">
        <f>HYPERLINK("https://ictv.global/taxonomy/taxondetails?taxnode_id=202214999","ictv.global=202214999")</f>
        <v>ictv.global=202214999</v>
      </c>
    </row>
    <row r="4766" spans="1:21">
      <c r="A4766">
        <v>4765</v>
      </c>
      <c r="B4766" s="29" t="s">
        <v>4053</v>
      </c>
      <c r="C4766" s="29"/>
      <c r="D4766" s="29" t="s">
        <v>4082</v>
      </c>
      <c r="E4766" s="29"/>
      <c r="F4766" s="29" t="s">
        <v>4106</v>
      </c>
      <c r="G4766" s="29"/>
      <c r="H4766" s="29" t="s">
        <v>4107</v>
      </c>
      <c r="I4766" s="29"/>
      <c r="J4766" s="29" t="s">
        <v>4108</v>
      </c>
      <c r="K4766" s="29"/>
      <c r="L4766" s="29" t="s">
        <v>2831</v>
      </c>
      <c r="M4766" s="29"/>
      <c r="N4766" s="29" t="s">
        <v>11962</v>
      </c>
      <c r="O4766" s="29"/>
      <c r="P4766" s="29" t="s">
        <v>11964</v>
      </c>
      <c r="Q4766" t="s">
        <v>2194</v>
      </c>
      <c r="R4766" t="s">
        <v>2633</v>
      </c>
      <c r="S4766">
        <v>38</v>
      </c>
      <c r="T4766" s="43" t="str">
        <f t="shared" si="222"/>
        <v>2022.002F.Bacilladnaviridae_reorg.zip</v>
      </c>
      <c r="U4766" s="43" t="str">
        <f>HYPERLINK("https://ictv.global/taxonomy/taxondetails?taxnode_id=202205753","ictv.global=202205753")</f>
        <v>ictv.global=202205753</v>
      </c>
    </row>
    <row r="4767" spans="1:21">
      <c r="A4767">
        <v>4766</v>
      </c>
      <c r="B4767" s="29" t="s">
        <v>4053</v>
      </c>
      <c r="C4767" s="29"/>
      <c r="D4767" s="29" t="s">
        <v>4082</v>
      </c>
      <c r="E4767" s="29"/>
      <c r="F4767" s="29" t="s">
        <v>4106</v>
      </c>
      <c r="G4767" s="29"/>
      <c r="H4767" s="29" t="s">
        <v>4107</v>
      </c>
      <c r="I4767" s="29"/>
      <c r="J4767" s="29" t="s">
        <v>4109</v>
      </c>
      <c r="K4767" s="29"/>
      <c r="L4767" s="29" t="s">
        <v>583</v>
      </c>
      <c r="M4767" s="29"/>
      <c r="N4767" s="29" t="s">
        <v>584</v>
      </c>
      <c r="O4767" s="29"/>
      <c r="P4767" s="29" t="s">
        <v>11965</v>
      </c>
      <c r="Q4767" t="s">
        <v>2041</v>
      </c>
      <c r="R4767" t="s">
        <v>2635</v>
      </c>
      <c r="S4767">
        <v>38</v>
      </c>
      <c r="T4767" s="43" t="str">
        <f t="shared" ref="T4767:T4798" si="223">HYPERLINK("https://ictv.global/ictv/proposals/2022.009D.Circoviridae_rensp101_nsp48.zip","2022.009D.Circoviridae_rensp101_nsp48.zip")</f>
        <v>2022.009D.Circoviridae_rensp101_nsp48.zip</v>
      </c>
      <c r="U4767" s="43" t="str">
        <f>HYPERLINK("https://ictv.global/taxonomy/taxondetails?taxnode_id=202202903","ictv.global=202202903")</f>
        <v>ictv.global=202202903</v>
      </c>
    </row>
    <row r="4768" spans="1:21">
      <c r="A4768">
        <v>4767</v>
      </c>
      <c r="B4768" s="29" t="s">
        <v>4053</v>
      </c>
      <c r="C4768" s="29"/>
      <c r="D4768" s="29" t="s">
        <v>4082</v>
      </c>
      <c r="E4768" s="29"/>
      <c r="F4768" s="29" t="s">
        <v>4106</v>
      </c>
      <c r="G4768" s="29"/>
      <c r="H4768" s="29" t="s">
        <v>4107</v>
      </c>
      <c r="I4768" s="29"/>
      <c r="J4768" s="29" t="s">
        <v>4109</v>
      </c>
      <c r="K4768" s="29"/>
      <c r="L4768" s="29" t="s">
        <v>583</v>
      </c>
      <c r="M4768" s="29"/>
      <c r="N4768" s="29" t="s">
        <v>584</v>
      </c>
      <c r="O4768" s="29"/>
      <c r="P4768" s="29" t="s">
        <v>11966</v>
      </c>
      <c r="Q4768" t="s">
        <v>2041</v>
      </c>
      <c r="R4768" t="s">
        <v>2635</v>
      </c>
      <c r="S4768">
        <v>38</v>
      </c>
      <c r="T4768" s="43" t="str">
        <f t="shared" si="223"/>
        <v>2022.009D.Circoviridae_rensp101_nsp48.zip</v>
      </c>
      <c r="U4768" s="43" t="str">
        <f>HYPERLINK("https://ictv.global/taxonomy/taxondetails?taxnode_id=202202907","ictv.global=202202907")</f>
        <v>ictv.global=202202907</v>
      </c>
    </row>
    <row r="4769" spans="1:21">
      <c r="A4769">
        <v>4768</v>
      </c>
      <c r="B4769" s="29" t="s">
        <v>4053</v>
      </c>
      <c r="C4769" s="29"/>
      <c r="D4769" s="29" t="s">
        <v>4082</v>
      </c>
      <c r="E4769" s="29"/>
      <c r="F4769" s="29" t="s">
        <v>4106</v>
      </c>
      <c r="G4769" s="29"/>
      <c r="H4769" s="29" t="s">
        <v>4107</v>
      </c>
      <c r="I4769" s="29"/>
      <c r="J4769" s="29" t="s">
        <v>4109</v>
      </c>
      <c r="K4769" s="29"/>
      <c r="L4769" s="29" t="s">
        <v>583</v>
      </c>
      <c r="M4769" s="29"/>
      <c r="N4769" s="29" t="s">
        <v>584</v>
      </c>
      <c r="O4769" s="29"/>
      <c r="P4769" s="29" t="s">
        <v>11967</v>
      </c>
      <c r="Q4769" t="s">
        <v>2194</v>
      </c>
      <c r="R4769" t="s">
        <v>2635</v>
      </c>
      <c r="S4769">
        <v>38</v>
      </c>
      <c r="T4769" s="43" t="str">
        <f t="shared" si="223"/>
        <v>2022.009D.Circoviridae_rensp101_nsp48.zip</v>
      </c>
      <c r="U4769" s="43" t="str">
        <f>HYPERLINK("https://ictv.global/taxonomy/taxondetails?taxnode_id=202209254","ictv.global=202209254")</f>
        <v>ictv.global=202209254</v>
      </c>
    </row>
    <row r="4770" spans="1:21">
      <c r="A4770">
        <v>4769</v>
      </c>
      <c r="B4770" s="29" t="s">
        <v>4053</v>
      </c>
      <c r="C4770" s="29"/>
      <c r="D4770" s="29" t="s">
        <v>4082</v>
      </c>
      <c r="E4770" s="29"/>
      <c r="F4770" s="29" t="s">
        <v>4106</v>
      </c>
      <c r="G4770" s="29"/>
      <c r="H4770" s="29" t="s">
        <v>4107</v>
      </c>
      <c r="I4770" s="29"/>
      <c r="J4770" s="29" t="s">
        <v>4109</v>
      </c>
      <c r="K4770" s="29"/>
      <c r="L4770" s="29" t="s">
        <v>583</v>
      </c>
      <c r="M4770" s="29"/>
      <c r="N4770" s="29" t="s">
        <v>584</v>
      </c>
      <c r="O4770" s="29"/>
      <c r="P4770" s="29" t="s">
        <v>11968</v>
      </c>
      <c r="Q4770" t="s">
        <v>2041</v>
      </c>
      <c r="R4770" t="s">
        <v>2635</v>
      </c>
      <c r="S4770">
        <v>38</v>
      </c>
      <c r="T4770" s="43" t="str">
        <f t="shared" si="223"/>
        <v>2022.009D.Circoviridae_rensp101_nsp48.zip</v>
      </c>
      <c r="U4770" s="43" t="str">
        <f>HYPERLINK("https://ictv.global/taxonomy/taxondetails?taxnode_id=202202906","ictv.global=202202906")</f>
        <v>ictv.global=202202906</v>
      </c>
    </row>
    <row r="4771" spans="1:21">
      <c r="A4771">
        <v>4770</v>
      </c>
      <c r="B4771" s="29" t="s">
        <v>4053</v>
      </c>
      <c r="C4771" s="29"/>
      <c r="D4771" s="29" t="s">
        <v>4082</v>
      </c>
      <c r="E4771" s="29"/>
      <c r="F4771" s="29" t="s">
        <v>4106</v>
      </c>
      <c r="G4771" s="29"/>
      <c r="H4771" s="29" t="s">
        <v>4107</v>
      </c>
      <c r="I4771" s="29"/>
      <c r="J4771" s="29" t="s">
        <v>4109</v>
      </c>
      <c r="K4771" s="29"/>
      <c r="L4771" s="29" t="s">
        <v>583</v>
      </c>
      <c r="M4771" s="29"/>
      <c r="N4771" s="29" t="s">
        <v>584</v>
      </c>
      <c r="O4771" s="29"/>
      <c r="P4771" s="29" t="s">
        <v>11969</v>
      </c>
      <c r="Q4771" t="s">
        <v>2041</v>
      </c>
      <c r="R4771" t="s">
        <v>2635</v>
      </c>
      <c r="S4771">
        <v>38</v>
      </c>
      <c r="T4771" s="43" t="str">
        <f t="shared" si="223"/>
        <v>2022.009D.Circoviridae_rensp101_nsp48.zip</v>
      </c>
      <c r="U4771" s="43" t="str">
        <f>HYPERLINK("https://ictv.global/taxonomy/taxondetails?taxnode_id=202202913","ictv.global=202202913")</f>
        <v>ictv.global=202202913</v>
      </c>
    </row>
    <row r="4772" spans="1:21">
      <c r="A4772">
        <v>4771</v>
      </c>
      <c r="B4772" s="29" t="s">
        <v>4053</v>
      </c>
      <c r="C4772" s="29"/>
      <c r="D4772" s="29" t="s">
        <v>4082</v>
      </c>
      <c r="E4772" s="29"/>
      <c r="F4772" s="29" t="s">
        <v>4106</v>
      </c>
      <c r="G4772" s="29"/>
      <c r="H4772" s="29" t="s">
        <v>4107</v>
      </c>
      <c r="I4772" s="29"/>
      <c r="J4772" s="29" t="s">
        <v>4109</v>
      </c>
      <c r="K4772" s="29"/>
      <c r="L4772" s="29" t="s">
        <v>583</v>
      </c>
      <c r="M4772" s="29"/>
      <c r="N4772" s="29" t="s">
        <v>584</v>
      </c>
      <c r="O4772" s="29"/>
      <c r="P4772" s="29" t="s">
        <v>11970</v>
      </c>
      <c r="Q4772" t="s">
        <v>2041</v>
      </c>
      <c r="R4772" t="s">
        <v>2635</v>
      </c>
      <c r="S4772">
        <v>38</v>
      </c>
      <c r="T4772" s="43" t="str">
        <f t="shared" si="223"/>
        <v>2022.009D.Circoviridae_rensp101_nsp48.zip</v>
      </c>
      <c r="U4772" s="43" t="str">
        <f>HYPERLINK("https://ictv.global/taxonomy/taxondetails?taxnode_id=202202914","ictv.global=202202914")</f>
        <v>ictv.global=202202914</v>
      </c>
    </row>
    <row r="4773" spans="1:21">
      <c r="A4773">
        <v>4772</v>
      </c>
      <c r="B4773" s="29" t="s">
        <v>4053</v>
      </c>
      <c r="C4773" s="29"/>
      <c r="D4773" s="29" t="s">
        <v>4082</v>
      </c>
      <c r="E4773" s="29"/>
      <c r="F4773" s="29" t="s">
        <v>4106</v>
      </c>
      <c r="G4773" s="29"/>
      <c r="H4773" s="29" t="s">
        <v>4107</v>
      </c>
      <c r="I4773" s="29"/>
      <c r="J4773" s="29" t="s">
        <v>4109</v>
      </c>
      <c r="K4773" s="29"/>
      <c r="L4773" s="29" t="s">
        <v>583</v>
      </c>
      <c r="M4773" s="29"/>
      <c r="N4773" s="29" t="s">
        <v>584</v>
      </c>
      <c r="O4773" s="29"/>
      <c r="P4773" s="29" t="s">
        <v>11971</v>
      </c>
      <c r="Q4773" t="s">
        <v>2041</v>
      </c>
      <c r="R4773" t="s">
        <v>2635</v>
      </c>
      <c r="S4773">
        <v>38</v>
      </c>
      <c r="T4773" s="43" t="str">
        <f t="shared" si="223"/>
        <v>2022.009D.Circoviridae_rensp101_nsp48.zip</v>
      </c>
      <c r="U4773" s="43" t="str">
        <f>HYPERLINK("https://ictv.global/taxonomy/taxondetails?taxnode_id=202202917","ictv.global=202202917")</f>
        <v>ictv.global=202202917</v>
      </c>
    </row>
    <row r="4774" spans="1:21">
      <c r="A4774">
        <v>4773</v>
      </c>
      <c r="B4774" s="29" t="s">
        <v>4053</v>
      </c>
      <c r="C4774" s="29"/>
      <c r="D4774" s="29" t="s">
        <v>4082</v>
      </c>
      <c r="E4774" s="29"/>
      <c r="F4774" s="29" t="s">
        <v>4106</v>
      </c>
      <c r="G4774" s="29"/>
      <c r="H4774" s="29" t="s">
        <v>4107</v>
      </c>
      <c r="I4774" s="29"/>
      <c r="J4774" s="29" t="s">
        <v>4109</v>
      </c>
      <c r="K4774" s="29"/>
      <c r="L4774" s="29" t="s">
        <v>583</v>
      </c>
      <c r="M4774" s="29"/>
      <c r="N4774" s="29" t="s">
        <v>584</v>
      </c>
      <c r="O4774" s="29"/>
      <c r="P4774" s="29" t="s">
        <v>11972</v>
      </c>
      <c r="Q4774" t="s">
        <v>2041</v>
      </c>
      <c r="R4774" t="s">
        <v>2635</v>
      </c>
      <c r="S4774">
        <v>38</v>
      </c>
      <c r="T4774" s="43" t="str">
        <f t="shared" si="223"/>
        <v>2022.009D.Circoviridae_rensp101_nsp48.zip</v>
      </c>
      <c r="U4774" s="43" t="str">
        <f>HYPERLINK("https://ictv.global/taxonomy/taxondetails?taxnode_id=202202904","ictv.global=202202904")</f>
        <v>ictv.global=202202904</v>
      </c>
    </row>
    <row r="4775" spans="1:21">
      <c r="A4775">
        <v>4774</v>
      </c>
      <c r="B4775" s="29" t="s">
        <v>4053</v>
      </c>
      <c r="C4775" s="29"/>
      <c r="D4775" s="29" t="s">
        <v>4082</v>
      </c>
      <c r="E4775" s="29"/>
      <c r="F4775" s="29" t="s">
        <v>4106</v>
      </c>
      <c r="G4775" s="29"/>
      <c r="H4775" s="29" t="s">
        <v>4107</v>
      </c>
      <c r="I4775" s="29"/>
      <c r="J4775" s="29" t="s">
        <v>4109</v>
      </c>
      <c r="K4775" s="29"/>
      <c r="L4775" s="29" t="s">
        <v>583</v>
      </c>
      <c r="M4775" s="29"/>
      <c r="N4775" s="29" t="s">
        <v>584</v>
      </c>
      <c r="O4775" s="29"/>
      <c r="P4775" s="29" t="s">
        <v>11973</v>
      </c>
      <c r="Q4775" t="s">
        <v>2265</v>
      </c>
      <c r="R4775" t="s">
        <v>2635</v>
      </c>
      <c r="S4775">
        <v>38</v>
      </c>
      <c r="T4775" s="43" t="str">
        <f t="shared" si="223"/>
        <v>2022.009D.Circoviridae_rensp101_nsp48.zip</v>
      </c>
      <c r="U4775" s="43" t="str">
        <f>HYPERLINK("https://ictv.global/taxonomy/taxondetails?taxnode_id=202208676","ictv.global=202208676")</f>
        <v>ictv.global=202208676</v>
      </c>
    </row>
    <row r="4776" spans="1:21">
      <c r="A4776">
        <v>4775</v>
      </c>
      <c r="B4776" s="29" t="s">
        <v>4053</v>
      </c>
      <c r="C4776" s="29"/>
      <c r="D4776" s="29" t="s">
        <v>4082</v>
      </c>
      <c r="E4776" s="29"/>
      <c r="F4776" s="29" t="s">
        <v>4106</v>
      </c>
      <c r="G4776" s="29"/>
      <c r="H4776" s="29" t="s">
        <v>4107</v>
      </c>
      <c r="I4776" s="29"/>
      <c r="J4776" s="29" t="s">
        <v>4109</v>
      </c>
      <c r="K4776" s="29"/>
      <c r="L4776" s="29" t="s">
        <v>583</v>
      </c>
      <c r="M4776" s="29"/>
      <c r="N4776" s="29" t="s">
        <v>584</v>
      </c>
      <c r="O4776" s="29"/>
      <c r="P4776" s="29" t="s">
        <v>11974</v>
      </c>
      <c r="Q4776" t="s">
        <v>2265</v>
      </c>
      <c r="R4776" t="s">
        <v>2635</v>
      </c>
      <c r="S4776">
        <v>38</v>
      </c>
      <c r="T4776" s="43" t="str">
        <f t="shared" si="223"/>
        <v>2022.009D.Circoviridae_rensp101_nsp48.zip</v>
      </c>
      <c r="U4776" s="43" t="str">
        <f>HYPERLINK("https://ictv.global/taxonomy/taxondetails?taxnode_id=202208677","ictv.global=202208677")</f>
        <v>ictv.global=202208677</v>
      </c>
    </row>
    <row r="4777" spans="1:21">
      <c r="A4777">
        <v>4776</v>
      </c>
      <c r="B4777" s="29" t="s">
        <v>4053</v>
      </c>
      <c r="C4777" s="29"/>
      <c r="D4777" s="29" t="s">
        <v>4082</v>
      </c>
      <c r="E4777" s="29"/>
      <c r="F4777" s="29" t="s">
        <v>4106</v>
      </c>
      <c r="G4777" s="29"/>
      <c r="H4777" s="29" t="s">
        <v>4107</v>
      </c>
      <c r="I4777" s="29"/>
      <c r="J4777" s="29" t="s">
        <v>4109</v>
      </c>
      <c r="K4777" s="29"/>
      <c r="L4777" s="29" t="s">
        <v>583</v>
      </c>
      <c r="M4777" s="29"/>
      <c r="N4777" s="29" t="s">
        <v>584</v>
      </c>
      <c r="O4777" s="29"/>
      <c r="P4777" s="29" t="s">
        <v>11975</v>
      </c>
      <c r="Q4777" t="s">
        <v>2041</v>
      </c>
      <c r="R4777" t="s">
        <v>2635</v>
      </c>
      <c r="S4777">
        <v>38</v>
      </c>
      <c r="T4777" s="43" t="str">
        <f t="shared" si="223"/>
        <v>2022.009D.Circoviridae_rensp101_nsp48.zip</v>
      </c>
      <c r="U4777" s="43" t="str">
        <f>HYPERLINK("https://ictv.global/taxonomy/taxondetails?taxnode_id=202206568","ictv.global=202206568")</f>
        <v>ictv.global=202206568</v>
      </c>
    </row>
    <row r="4778" spans="1:21">
      <c r="A4778">
        <v>4777</v>
      </c>
      <c r="B4778" s="29" t="s">
        <v>4053</v>
      </c>
      <c r="C4778" s="29"/>
      <c r="D4778" s="29" t="s">
        <v>4082</v>
      </c>
      <c r="E4778" s="29"/>
      <c r="F4778" s="29" t="s">
        <v>4106</v>
      </c>
      <c r="G4778" s="29"/>
      <c r="H4778" s="29" t="s">
        <v>4107</v>
      </c>
      <c r="I4778" s="29"/>
      <c r="J4778" s="29" t="s">
        <v>4109</v>
      </c>
      <c r="K4778" s="29"/>
      <c r="L4778" s="29" t="s">
        <v>583</v>
      </c>
      <c r="M4778" s="29"/>
      <c r="N4778" s="29" t="s">
        <v>584</v>
      </c>
      <c r="O4778" s="29"/>
      <c r="P4778" s="29" t="s">
        <v>11976</v>
      </c>
      <c r="Q4778" t="s">
        <v>2041</v>
      </c>
      <c r="R4778" t="s">
        <v>2635</v>
      </c>
      <c r="S4778">
        <v>38</v>
      </c>
      <c r="T4778" s="43" t="str">
        <f t="shared" si="223"/>
        <v>2022.009D.Circoviridae_rensp101_nsp48.zip</v>
      </c>
      <c r="U4778" s="43" t="str">
        <f>HYPERLINK("https://ictv.global/taxonomy/taxondetails?taxnode_id=202202916","ictv.global=202202916")</f>
        <v>ictv.global=202202916</v>
      </c>
    </row>
    <row r="4779" spans="1:21">
      <c r="A4779">
        <v>4778</v>
      </c>
      <c r="B4779" s="29" t="s">
        <v>4053</v>
      </c>
      <c r="C4779" s="29"/>
      <c r="D4779" s="29" t="s">
        <v>4082</v>
      </c>
      <c r="E4779" s="29"/>
      <c r="F4779" s="29" t="s">
        <v>4106</v>
      </c>
      <c r="G4779" s="29"/>
      <c r="H4779" s="29" t="s">
        <v>4107</v>
      </c>
      <c r="I4779" s="29"/>
      <c r="J4779" s="29" t="s">
        <v>4109</v>
      </c>
      <c r="K4779" s="29"/>
      <c r="L4779" s="29" t="s">
        <v>583</v>
      </c>
      <c r="M4779" s="29"/>
      <c r="N4779" s="29" t="s">
        <v>584</v>
      </c>
      <c r="O4779" s="29"/>
      <c r="P4779" s="29" t="s">
        <v>11977</v>
      </c>
      <c r="Q4779" t="s">
        <v>2194</v>
      </c>
      <c r="R4779" t="s">
        <v>2635</v>
      </c>
      <c r="S4779">
        <v>38</v>
      </c>
      <c r="T4779" s="43" t="str">
        <f t="shared" si="223"/>
        <v>2022.009D.Circoviridae_rensp101_nsp48.zip</v>
      </c>
      <c r="U4779" s="43" t="str">
        <f>HYPERLINK("https://ictv.global/taxonomy/taxondetails?taxnode_id=202209185","ictv.global=202209185")</f>
        <v>ictv.global=202209185</v>
      </c>
    </row>
    <row r="4780" spans="1:21">
      <c r="A4780">
        <v>4779</v>
      </c>
      <c r="B4780" s="29" t="s">
        <v>4053</v>
      </c>
      <c r="C4780" s="29"/>
      <c r="D4780" s="29" t="s">
        <v>4082</v>
      </c>
      <c r="E4780" s="29"/>
      <c r="F4780" s="29" t="s">
        <v>4106</v>
      </c>
      <c r="G4780" s="29"/>
      <c r="H4780" s="29" t="s">
        <v>4107</v>
      </c>
      <c r="I4780" s="29"/>
      <c r="J4780" s="29" t="s">
        <v>4109</v>
      </c>
      <c r="K4780" s="29"/>
      <c r="L4780" s="29" t="s">
        <v>583</v>
      </c>
      <c r="M4780" s="29"/>
      <c r="N4780" s="29" t="s">
        <v>584</v>
      </c>
      <c r="O4780" s="29"/>
      <c r="P4780" s="29" t="s">
        <v>11978</v>
      </c>
      <c r="Q4780" t="s">
        <v>2041</v>
      </c>
      <c r="R4780" t="s">
        <v>2635</v>
      </c>
      <c r="S4780">
        <v>38</v>
      </c>
      <c r="T4780" s="43" t="str">
        <f t="shared" si="223"/>
        <v>2022.009D.Circoviridae_rensp101_nsp48.zip</v>
      </c>
      <c r="U4780" s="43" t="str">
        <f>HYPERLINK("https://ictv.global/taxonomy/taxondetails?taxnode_id=202202921","ictv.global=202202921")</f>
        <v>ictv.global=202202921</v>
      </c>
    </row>
    <row r="4781" spans="1:21">
      <c r="A4781">
        <v>4780</v>
      </c>
      <c r="B4781" s="29" t="s">
        <v>4053</v>
      </c>
      <c r="C4781" s="29"/>
      <c r="D4781" s="29" t="s">
        <v>4082</v>
      </c>
      <c r="E4781" s="29"/>
      <c r="F4781" s="29" t="s">
        <v>4106</v>
      </c>
      <c r="G4781" s="29"/>
      <c r="H4781" s="29" t="s">
        <v>4107</v>
      </c>
      <c r="I4781" s="29"/>
      <c r="J4781" s="29" t="s">
        <v>4109</v>
      </c>
      <c r="K4781" s="29"/>
      <c r="L4781" s="29" t="s">
        <v>583</v>
      </c>
      <c r="M4781" s="29"/>
      <c r="N4781" s="29" t="s">
        <v>584</v>
      </c>
      <c r="O4781" s="29"/>
      <c r="P4781" s="29" t="s">
        <v>11979</v>
      </c>
      <c r="Q4781" t="s">
        <v>2041</v>
      </c>
      <c r="R4781" t="s">
        <v>2635</v>
      </c>
      <c r="S4781">
        <v>38</v>
      </c>
      <c r="T4781" s="43" t="str">
        <f t="shared" si="223"/>
        <v>2022.009D.Circoviridae_rensp101_nsp48.zip</v>
      </c>
      <c r="U4781" s="43" t="str">
        <f>HYPERLINK("https://ictv.global/taxonomy/taxondetails?taxnode_id=202202918","ictv.global=202202918")</f>
        <v>ictv.global=202202918</v>
      </c>
    </row>
    <row r="4782" spans="1:21">
      <c r="A4782">
        <v>4781</v>
      </c>
      <c r="B4782" s="29" t="s">
        <v>4053</v>
      </c>
      <c r="C4782" s="29"/>
      <c r="D4782" s="29" t="s">
        <v>4082</v>
      </c>
      <c r="E4782" s="29"/>
      <c r="F4782" s="29" t="s">
        <v>4106</v>
      </c>
      <c r="G4782" s="29"/>
      <c r="H4782" s="29" t="s">
        <v>4107</v>
      </c>
      <c r="I4782" s="29"/>
      <c r="J4782" s="29" t="s">
        <v>4109</v>
      </c>
      <c r="K4782" s="29"/>
      <c r="L4782" s="29" t="s">
        <v>583</v>
      </c>
      <c r="M4782" s="29"/>
      <c r="N4782" s="29" t="s">
        <v>584</v>
      </c>
      <c r="O4782" s="29"/>
      <c r="P4782" s="29" t="s">
        <v>11980</v>
      </c>
      <c r="Q4782" t="s">
        <v>2265</v>
      </c>
      <c r="R4782" t="s">
        <v>2632</v>
      </c>
      <c r="S4782">
        <v>38</v>
      </c>
      <c r="T4782" s="43" t="str">
        <f t="shared" si="223"/>
        <v>2022.009D.Circoviridae_rensp101_nsp48.zip</v>
      </c>
      <c r="U4782" s="43" t="str">
        <f>HYPERLINK("https://ictv.global/taxonomy/taxondetails?taxnode_id=202214082","ictv.global=202214082")</f>
        <v>ictv.global=202214082</v>
      </c>
    </row>
    <row r="4783" spans="1:21">
      <c r="A4783">
        <v>4782</v>
      </c>
      <c r="B4783" s="29" t="s">
        <v>4053</v>
      </c>
      <c r="C4783" s="29"/>
      <c r="D4783" s="29" t="s">
        <v>4082</v>
      </c>
      <c r="E4783" s="29"/>
      <c r="F4783" s="29" t="s">
        <v>4106</v>
      </c>
      <c r="G4783" s="29"/>
      <c r="H4783" s="29" t="s">
        <v>4107</v>
      </c>
      <c r="I4783" s="29"/>
      <c r="J4783" s="29" t="s">
        <v>4109</v>
      </c>
      <c r="K4783" s="29"/>
      <c r="L4783" s="29" t="s">
        <v>583</v>
      </c>
      <c r="M4783" s="29"/>
      <c r="N4783" s="29" t="s">
        <v>584</v>
      </c>
      <c r="O4783" s="29"/>
      <c r="P4783" s="29" t="s">
        <v>11981</v>
      </c>
      <c r="Q4783" t="s">
        <v>2041</v>
      </c>
      <c r="R4783" t="s">
        <v>2635</v>
      </c>
      <c r="S4783">
        <v>38</v>
      </c>
      <c r="T4783" s="43" t="str">
        <f t="shared" si="223"/>
        <v>2022.009D.Circoviridae_rensp101_nsp48.zip</v>
      </c>
      <c r="U4783" s="43" t="str">
        <f>HYPERLINK("https://ictv.global/taxonomy/taxondetails?taxnode_id=202206567","ictv.global=202206567")</f>
        <v>ictv.global=202206567</v>
      </c>
    </row>
    <row r="4784" spans="1:21">
      <c r="A4784">
        <v>4783</v>
      </c>
      <c r="B4784" s="29" t="s">
        <v>4053</v>
      </c>
      <c r="C4784" s="29"/>
      <c r="D4784" s="29" t="s">
        <v>4082</v>
      </c>
      <c r="E4784" s="29"/>
      <c r="F4784" s="29" t="s">
        <v>4106</v>
      </c>
      <c r="G4784" s="29"/>
      <c r="H4784" s="29" t="s">
        <v>4107</v>
      </c>
      <c r="I4784" s="29"/>
      <c r="J4784" s="29" t="s">
        <v>4109</v>
      </c>
      <c r="K4784" s="29"/>
      <c r="L4784" s="29" t="s">
        <v>583</v>
      </c>
      <c r="M4784" s="29"/>
      <c r="N4784" s="29" t="s">
        <v>584</v>
      </c>
      <c r="O4784" s="29"/>
      <c r="P4784" s="29" t="s">
        <v>11982</v>
      </c>
      <c r="Q4784" t="s">
        <v>2041</v>
      </c>
      <c r="R4784" t="s">
        <v>2635</v>
      </c>
      <c r="S4784">
        <v>38</v>
      </c>
      <c r="T4784" s="43" t="str">
        <f t="shared" si="223"/>
        <v>2022.009D.Circoviridae_rensp101_nsp48.zip</v>
      </c>
      <c r="U4784" s="43" t="str">
        <f>HYPERLINK("https://ictv.global/taxonomy/taxondetails?taxnode_id=202202919","ictv.global=202202919")</f>
        <v>ictv.global=202202919</v>
      </c>
    </row>
    <row r="4785" spans="1:21">
      <c r="A4785">
        <v>4784</v>
      </c>
      <c r="B4785" s="29" t="s">
        <v>4053</v>
      </c>
      <c r="C4785" s="29"/>
      <c r="D4785" s="29" t="s">
        <v>4082</v>
      </c>
      <c r="E4785" s="29"/>
      <c r="F4785" s="29" t="s">
        <v>4106</v>
      </c>
      <c r="G4785" s="29"/>
      <c r="H4785" s="29" t="s">
        <v>4107</v>
      </c>
      <c r="I4785" s="29"/>
      <c r="J4785" s="29" t="s">
        <v>4109</v>
      </c>
      <c r="K4785" s="29"/>
      <c r="L4785" s="29" t="s">
        <v>583</v>
      </c>
      <c r="M4785" s="29"/>
      <c r="N4785" s="29" t="s">
        <v>584</v>
      </c>
      <c r="O4785" s="29"/>
      <c r="P4785" s="29" t="s">
        <v>11983</v>
      </c>
      <c r="Q4785" t="s">
        <v>2265</v>
      </c>
      <c r="R4785" t="s">
        <v>2635</v>
      </c>
      <c r="S4785">
        <v>38</v>
      </c>
      <c r="T4785" s="43" t="str">
        <f t="shared" si="223"/>
        <v>2022.009D.Circoviridae_rensp101_nsp48.zip</v>
      </c>
      <c r="U4785" s="43" t="str">
        <f>HYPERLINK("https://ictv.global/taxonomy/taxondetails?taxnode_id=202208678","ictv.global=202208678")</f>
        <v>ictv.global=202208678</v>
      </c>
    </row>
    <row r="4786" spans="1:21">
      <c r="A4786">
        <v>4785</v>
      </c>
      <c r="B4786" s="29" t="s">
        <v>4053</v>
      </c>
      <c r="C4786" s="29"/>
      <c r="D4786" s="29" t="s">
        <v>4082</v>
      </c>
      <c r="E4786" s="29"/>
      <c r="F4786" s="29" t="s">
        <v>4106</v>
      </c>
      <c r="G4786" s="29"/>
      <c r="H4786" s="29" t="s">
        <v>4107</v>
      </c>
      <c r="I4786" s="29"/>
      <c r="J4786" s="29" t="s">
        <v>4109</v>
      </c>
      <c r="K4786" s="29"/>
      <c r="L4786" s="29" t="s">
        <v>583</v>
      </c>
      <c r="M4786" s="29"/>
      <c r="N4786" s="29" t="s">
        <v>584</v>
      </c>
      <c r="O4786" s="29"/>
      <c r="P4786" s="29" t="s">
        <v>11984</v>
      </c>
      <c r="Q4786" t="s">
        <v>2041</v>
      </c>
      <c r="R4786" t="s">
        <v>2635</v>
      </c>
      <c r="S4786">
        <v>38</v>
      </c>
      <c r="T4786" s="43" t="str">
        <f t="shared" si="223"/>
        <v>2022.009D.Circoviridae_rensp101_nsp48.zip</v>
      </c>
      <c r="U4786" s="43" t="str">
        <f>HYPERLINK("https://ictv.global/taxonomy/taxondetails?taxnode_id=202202920","ictv.global=202202920")</f>
        <v>ictv.global=202202920</v>
      </c>
    </row>
    <row r="4787" spans="1:21">
      <c r="A4787">
        <v>4786</v>
      </c>
      <c r="B4787" s="29" t="s">
        <v>4053</v>
      </c>
      <c r="C4787" s="29"/>
      <c r="D4787" s="29" t="s">
        <v>4082</v>
      </c>
      <c r="E4787" s="29"/>
      <c r="F4787" s="29" t="s">
        <v>4106</v>
      </c>
      <c r="G4787" s="29"/>
      <c r="H4787" s="29" t="s">
        <v>4107</v>
      </c>
      <c r="I4787" s="29"/>
      <c r="J4787" s="29" t="s">
        <v>4109</v>
      </c>
      <c r="K4787" s="29"/>
      <c r="L4787" s="29" t="s">
        <v>583</v>
      </c>
      <c r="M4787" s="29"/>
      <c r="N4787" s="29" t="s">
        <v>584</v>
      </c>
      <c r="O4787" s="29"/>
      <c r="P4787" s="29" t="s">
        <v>11985</v>
      </c>
      <c r="Q4787" t="s">
        <v>2265</v>
      </c>
      <c r="R4787" t="s">
        <v>2632</v>
      </c>
      <c r="S4787">
        <v>38</v>
      </c>
      <c r="T4787" s="43" t="str">
        <f t="shared" si="223"/>
        <v>2022.009D.Circoviridae_rensp101_nsp48.zip</v>
      </c>
      <c r="U4787" s="43" t="str">
        <f>HYPERLINK("https://ictv.global/taxonomy/taxondetails?taxnode_id=202214088","ictv.global=202214088")</f>
        <v>ictv.global=202214088</v>
      </c>
    </row>
    <row r="4788" spans="1:21">
      <c r="A4788">
        <v>4787</v>
      </c>
      <c r="B4788" s="29" t="s">
        <v>4053</v>
      </c>
      <c r="C4788" s="29"/>
      <c r="D4788" s="29" t="s">
        <v>4082</v>
      </c>
      <c r="E4788" s="29"/>
      <c r="F4788" s="29" t="s">
        <v>4106</v>
      </c>
      <c r="G4788" s="29"/>
      <c r="H4788" s="29" t="s">
        <v>4107</v>
      </c>
      <c r="I4788" s="29"/>
      <c r="J4788" s="29" t="s">
        <v>4109</v>
      </c>
      <c r="K4788" s="29"/>
      <c r="L4788" s="29" t="s">
        <v>583</v>
      </c>
      <c r="M4788" s="29"/>
      <c r="N4788" s="29" t="s">
        <v>584</v>
      </c>
      <c r="O4788" s="29"/>
      <c r="P4788" s="29" t="s">
        <v>11986</v>
      </c>
      <c r="Q4788" t="s">
        <v>2041</v>
      </c>
      <c r="R4788" t="s">
        <v>2635</v>
      </c>
      <c r="S4788">
        <v>38</v>
      </c>
      <c r="T4788" s="43" t="str">
        <f t="shared" si="223"/>
        <v>2022.009D.Circoviridae_rensp101_nsp48.zip</v>
      </c>
      <c r="U4788" s="43" t="str">
        <f>HYPERLINK("https://ictv.global/taxonomy/taxondetails?taxnode_id=202206561","ictv.global=202206561")</f>
        <v>ictv.global=202206561</v>
      </c>
    </row>
    <row r="4789" spans="1:21">
      <c r="A4789">
        <v>4788</v>
      </c>
      <c r="B4789" s="29" t="s">
        <v>4053</v>
      </c>
      <c r="C4789" s="29"/>
      <c r="D4789" s="29" t="s">
        <v>4082</v>
      </c>
      <c r="E4789" s="29"/>
      <c r="F4789" s="29" t="s">
        <v>4106</v>
      </c>
      <c r="G4789" s="29"/>
      <c r="H4789" s="29" t="s">
        <v>4107</v>
      </c>
      <c r="I4789" s="29"/>
      <c r="J4789" s="29" t="s">
        <v>4109</v>
      </c>
      <c r="K4789" s="29"/>
      <c r="L4789" s="29" t="s">
        <v>583</v>
      </c>
      <c r="M4789" s="29"/>
      <c r="N4789" s="29" t="s">
        <v>584</v>
      </c>
      <c r="O4789" s="29"/>
      <c r="P4789" s="29" t="s">
        <v>11987</v>
      </c>
      <c r="Q4789" t="s">
        <v>2041</v>
      </c>
      <c r="R4789" t="s">
        <v>2635</v>
      </c>
      <c r="S4789">
        <v>38</v>
      </c>
      <c r="T4789" s="43" t="str">
        <f t="shared" si="223"/>
        <v>2022.009D.Circoviridae_rensp101_nsp48.zip</v>
      </c>
      <c r="U4789" s="43" t="str">
        <f>HYPERLINK("https://ictv.global/taxonomy/taxondetails?taxnode_id=202202915","ictv.global=202202915")</f>
        <v>ictv.global=202202915</v>
      </c>
    </row>
    <row r="4790" spans="1:21">
      <c r="A4790">
        <v>4789</v>
      </c>
      <c r="B4790" s="29" t="s">
        <v>4053</v>
      </c>
      <c r="C4790" s="29"/>
      <c r="D4790" s="29" t="s">
        <v>4082</v>
      </c>
      <c r="E4790" s="29"/>
      <c r="F4790" s="29" t="s">
        <v>4106</v>
      </c>
      <c r="G4790" s="29"/>
      <c r="H4790" s="29" t="s">
        <v>4107</v>
      </c>
      <c r="I4790" s="29"/>
      <c r="J4790" s="29" t="s">
        <v>4109</v>
      </c>
      <c r="K4790" s="29"/>
      <c r="L4790" s="29" t="s">
        <v>583</v>
      </c>
      <c r="M4790" s="29"/>
      <c r="N4790" s="29" t="s">
        <v>584</v>
      </c>
      <c r="O4790" s="29"/>
      <c r="P4790" s="29" t="s">
        <v>11988</v>
      </c>
      <c r="Q4790" t="s">
        <v>2041</v>
      </c>
      <c r="R4790" t="s">
        <v>2635</v>
      </c>
      <c r="S4790">
        <v>38</v>
      </c>
      <c r="T4790" s="43" t="str">
        <f t="shared" si="223"/>
        <v>2022.009D.Circoviridae_rensp101_nsp48.zip</v>
      </c>
      <c r="U4790" s="43" t="str">
        <f>HYPERLINK("https://ictv.global/taxonomy/taxondetails?taxnode_id=202205767","ictv.global=202205767")</f>
        <v>ictv.global=202205767</v>
      </c>
    </row>
    <row r="4791" spans="1:21">
      <c r="A4791">
        <v>4790</v>
      </c>
      <c r="B4791" s="29" t="s">
        <v>4053</v>
      </c>
      <c r="C4791" s="29"/>
      <c r="D4791" s="29" t="s">
        <v>4082</v>
      </c>
      <c r="E4791" s="29"/>
      <c r="F4791" s="29" t="s">
        <v>4106</v>
      </c>
      <c r="G4791" s="29"/>
      <c r="H4791" s="29" t="s">
        <v>4107</v>
      </c>
      <c r="I4791" s="29"/>
      <c r="J4791" s="29" t="s">
        <v>4109</v>
      </c>
      <c r="K4791" s="29"/>
      <c r="L4791" s="29" t="s">
        <v>583</v>
      </c>
      <c r="M4791" s="29"/>
      <c r="N4791" s="29" t="s">
        <v>584</v>
      </c>
      <c r="O4791" s="29"/>
      <c r="P4791" s="29" t="s">
        <v>11989</v>
      </c>
      <c r="Q4791" t="s">
        <v>2041</v>
      </c>
      <c r="R4791" t="s">
        <v>2635</v>
      </c>
      <c r="S4791">
        <v>38</v>
      </c>
      <c r="T4791" s="43" t="str">
        <f t="shared" si="223"/>
        <v>2022.009D.Circoviridae_rensp101_nsp48.zip</v>
      </c>
      <c r="U4791" s="43" t="str">
        <f>HYPERLINK("https://ictv.global/taxonomy/taxondetails?taxnode_id=202206564","ictv.global=202206564")</f>
        <v>ictv.global=202206564</v>
      </c>
    </row>
    <row r="4792" spans="1:21">
      <c r="A4792">
        <v>4791</v>
      </c>
      <c r="B4792" s="29" t="s">
        <v>4053</v>
      </c>
      <c r="C4792" s="29"/>
      <c r="D4792" s="29" t="s">
        <v>4082</v>
      </c>
      <c r="E4792" s="29"/>
      <c r="F4792" s="29" t="s">
        <v>4106</v>
      </c>
      <c r="G4792" s="29"/>
      <c r="H4792" s="29" t="s">
        <v>4107</v>
      </c>
      <c r="I4792" s="29"/>
      <c r="J4792" s="29" t="s">
        <v>4109</v>
      </c>
      <c r="K4792" s="29"/>
      <c r="L4792" s="29" t="s">
        <v>583</v>
      </c>
      <c r="M4792" s="29"/>
      <c r="N4792" s="29" t="s">
        <v>584</v>
      </c>
      <c r="O4792" s="29"/>
      <c r="P4792" s="29" t="s">
        <v>11990</v>
      </c>
      <c r="Q4792" t="s">
        <v>2041</v>
      </c>
      <c r="R4792" t="s">
        <v>2635</v>
      </c>
      <c r="S4792">
        <v>38</v>
      </c>
      <c r="T4792" s="43" t="str">
        <f t="shared" si="223"/>
        <v>2022.009D.Circoviridae_rensp101_nsp48.zip</v>
      </c>
      <c r="U4792" s="43" t="str">
        <f>HYPERLINK("https://ictv.global/taxonomy/taxondetails?taxnode_id=202202910","ictv.global=202202910")</f>
        <v>ictv.global=202202910</v>
      </c>
    </row>
    <row r="4793" spans="1:21">
      <c r="A4793">
        <v>4792</v>
      </c>
      <c r="B4793" s="29" t="s">
        <v>4053</v>
      </c>
      <c r="C4793" s="29"/>
      <c r="D4793" s="29" t="s">
        <v>4082</v>
      </c>
      <c r="E4793" s="29"/>
      <c r="F4793" s="29" t="s">
        <v>4106</v>
      </c>
      <c r="G4793" s="29"/>
      <c r="H4793" s="29" t="s">
        <v>4107</v>
      </c>
      <c r="I4793" s="29"/>
      <c r="J4793" s="29" t="s">
        <v>4109</v>
      </c>
      <c r="K4793" s="29"/>
      <c r="L4793" s="29" t="s">
        <v>583</v>
      </c>
      <c r="M4793" s="29"/>
      <c r="N4793" s="29" t="s">
        <v>584</v>
      </c>
      <c r="O4793" s="29"/>
      <c r="P4793" s="29" t="s">
        <v>11991</v>
      </c>
      <c r="Q4793" t="s">
        <v>2265</v>
      </c>
      <c r="R4793" t="s">
        <v>2632</v>
      </c>
      <c r="S4793">
        <v>38</v>
      </c>
      <c r="T4793" s="43" t="str">
        <f t="shared" si="223"/>
        <v>2022.009D.Circoviridae_rensp101_nsp48.zip</v>
      </c>
      <c r="U4793" s="43" t="str">
        <f>HYPERLINK("https://ictv.global/taxonomy/taxondetails?taxnode_id=202214083","ictv.global=202214083")</f>
        <v>ictv.global=202214083</v>
      </c>
    </row>
    <row r="4794" spans="1:21">
      <c r="A4794">
        <v>4793</v>
      </c>
      <c r="B4794" s="29" t="s">
        <v>4053</v>
      </c>
      <c r="C4794" s="29"/>
      <c r="D4794" s="29" t="s">
        <v>4082</v>
      </c>
      <c r="E4794" s="29"/>
      <c r="F4794" s="29" t="s">
        <v>4106</v>
      </c>
      <c r="G4794" s="29"/>
      <c r="H4794" s="29" t="s">
        <v>4107</v>
      </c>
      <c r="I4794" s="29"/>
      <c r="J4794" s="29" t="s">
        <v>4109</v>
      </c>
      <c r="K4794" s="29"/>
      <c r="L4794" s="29" t="s">
        <v>583</v>
      </c>
      <c r="M4794" s="29"/>
      <c r="N4794" s="29" t="s">
        <v>584</v>
      </c>
      <c r="O4794" s="29"/>
      <c r="P4794" s="29" t="s">
        <v>11992</v>
      </c>
      <c r="Q4794" t="s">
        <v>2265</v>
      </c>
      <c r="R4794" t="s">
        <v>2632</v>
      </c>
      <c r="S4794">
        <v>38</v>
      </c>
      <c r="T4794" s="43" t="str">
        <f t="shared" si="223"/>
        <v>2022.009D.Circoviridae_rensp101_nsp48.zip</v>
      </c>
      <c r="U4794" s="43" t="str">
        <f>HYPERLINK("https://ictv.global/taxonomy/taxondetails?taxnode_id=202214084","ictv.global=202214084")</f>
        <v>ictv.global=202214084</v>
      </c>
    </row>
    <row r="4795" spans="1:21">
      <c r="A4795">
        <v>4794</v>
      </c>
      <c r="B4795" s="29" t="s">
        <v>4053</v>
      </c>
      <c r="C4795" s="29"/>
      <c r="D4795" s="29" t="s">
        <v>4082</v>
      </c>
      <c r="E4795" s="29"/>
      <c r="F4795" s="29" t="s">
        <v>4106</v>
      </c>
      <c r="G4795" s="29"/>
      <c r="H4795" s="29" t="s">
        <v>4107</v>
      </c>
      <c r="I4795" s="29"/>
      <c r="J4795" s="29" t="s">
        <v>4109</v>
      </c>
      <c r="K4795" s="29"/>
      <c r="L4795" s="29" t="s">
        <v>583</v>
      </c>
      <c r="M4795" s="29"/>
      <c r="N4795" s="29" t="s">
        <v>584</v>
      </c>
      <c r="O4795" s="29"/>
      <c r="P4795" s="29" t="s">
        <v>11993</v>
      </c>
      <c r="Q4795" t="s">
        <v>2041</v>
      </c>
      <c r="R4795" t="s">
        <v>2635</v>
      </c>
      <c r="S4795">
        <v>38</v>
      </c>
      <c r="T4795" s="43" t="str">
        <f t="shared" si="223"/>
        <v>2022.009D.Circoviridae_rensp101_nsp48.zip</v>
      </c>
      <c r="U4795" s="43" t="str">
        <f>HYPERLINK("https://ictv.global/taxonomy/taxondetails?taxnode_id=202202922","ictv.global=202202922")</f>
        <v>ictv.global=202202922</v>
      </c>
    </row>
    <row r="4796" spans="1:21">
      <c r="A4796">
        <v>4795</v>
      </c>
      <c r="B4796" s="29" t="s">
        <v>4053</v>
      </c>
      <c r="C4796" s="29"/>
      <c r="D4796" s="29" t="s">
        <v>4082</v>
      </c>
      <c r="E4796" s="29"/>
      <c r="F4796" s="29" t="s">
        <v>4106</v>
      </c>
      <c r="G4796" s="29"/>
      <c r="H4796" s="29" t="s">
        <v>4107</v>
      </c>
      <c r="I4796" s="29"/>
      <c r="J4796" s="29" t="s">
        <v>4109</v>
      </c>
      <c r="K4796" s="29"/>
      <c r="L4796" s="29" t="s">
        <v>583</v>
      </c>
      <c r="M4796" s="29"/>
      <c r="N4796" s="29" t="s">
        <v>584</v>
      </c>
      <c r="O4796" s="29"/>
      <c r="P4796" s="29" t="s">
        <v>11994</v>
      </c>
      <c r="Q4796" t="s">
        <v>2265</v>
      </c>
      <c r="R4796" t="s">
        <v>2632</v>
      </c>
      <c r="S4796">
        <v>38</v>
      </c>
      <c r="T4796" s="43" t="str">
        <f t="shared" si="223"/>
        <v>2022.009D.Circoviridae_rensp101_nsp48.zip</v>
      </c>
      <c r="U4796" s="43" t="str">
        <f>HYPERLINK("https://ictv.global/taxonomy/taxondetails?taxnode_id=202214080","ictv.global=202214080")</f>
        <v>ictv.global=202214080</v>
      </c>
    </row>
    <row r="4797" spans="1:21">
      <c r="A4797">
        <v>4796</v>
      </c>
      <c r="B4797" s="29" t="s">
        <v>4053</v>
      </c>
      <c r="C4797" s="29"/>
      <c r="D4797" s="29" t="s">
        <v>4082</v>
      </c>
      <c r="E4797" s="29"/>
      <c r="F4797" s="29" t="s">
        <v>4106</v>
      </c>
      <c r="G4797" s="29"/>
      <c r="H4797" s="29" t="s">
        <v>4107</v>
      </c>
      <c r="I4797" s="29"/>
      <c r="J4797" s="29" t="s">
        <v>4109</v>
      </c>
      <c r="K4797" s="29"/>
      <c r="L4797" s="29" t="s">
        <v>583</v>
      </c>
      <c r="M4797" s="29"/>
      <c r="N4797" s="29" t="s">
        <v>584</v>
      </c>
      <c r="O4797" s="29"/>
      <c r="P4797" s="29" t="s">
        <v>11995</v>
      </c>
      <c r="Q4797" t="s">
        <v>2265</v>
      </c>
      <c r="R4797" t="s">
        <v>2632</v>
      </c>
      <c r="S4797">
        <v>38</v>
      </c>
      <c r="T4797" s="43" t="str">
        <f t="shared" si="223"/>
        <v>2022.009D.Circoviridae_rensp101_nsp48.zip</v>
      </c>
      <c r="U4797" s="43" t="str">
        <f>HYPERLINK("https://ictv.global/taxonomy/taxondetails?taxnode_id=202214081","ictv.global=202214081")</f>
        <v>ictv.global=202214081</v>
      </c>
    </row>
    <row r="4798" spans="1:21">
      <c r="A4798">
        <v>4797</v>
      </c>
      <c r="B4798" s="29" t="s">
        <v>4053</v>
      </c>
      <c r="C4798" s="29"/>
      <c r="D4798" s="29" t="s">
        <v>4082</v>
      </c>
      <c r="E4798" s="29"/>
      <c r="F4798" s="29" t="s">
        <v>4106</v>
      </c>
      <c r="G4798" s="29"/>
      <c r="H4798" s="29" t="s">
        <v>4107</v>
      </c>
      <c r="I4798" s="29"/>
      <c r="J4798" s="29" t="s">
        <v>4109</v>
      </c>
      <c r="K4798" s="29"/>
      <c r="L4798" s="29" t="s">
        <v>583</v>
      </c>
      <c r="M4798" s="29"/>
      <c r="N4798" s="29" t="s">
        <v>584</v>
      </c>
      <c r="O4798" s="29"/>
      <c r="P4798" s="29" t="s">
        <v>11996</v>
      </c>
      <c r="Q4798" t="s">
        <v>2041</v>
      </c>
      <c r="R4798" t="s">
        <v>2635</v>
      </c>
      <c r="S4798">
        <v>38</v>
      </c>
      <c r="T4798" s="43" t="str">
        <f t="shared" si="223"/>
        <v>2022.009D.Circoviridae_rensp101_nsp48.zip</v>
      </c>
      <c r="U4798" s="43" t="str">
        <f>HYPERLINK("https://ictv.global/taxonomy/taxondetails?taxnode_id=202202911","ictv.global=202202911")</f>
        <v>ictv.global=202202911</v>
      </c>
    </row>
    <row r="4799" spans="1:21">
      <c r="A4799">
        <v>4798</v>
      </c>
      <c r="B4799" s="29" t="s">
        <v>4053</v>
      </c>
      <c r="C4799" s="29"/>
      <c r="D4799" s="29" t="s">
        <v>4082</v>
      </c>
      <c r="E4799" s="29"/>
      <c r="F4799" s="29" t="s">
        <v>4106</v>
      </c>
      <c r="G4799" s="29"/>
      <c r="H4799" s="29" t="s">
        <v>4107</v>
      </c>
      <c r="I4799" s="29"/>
      <c r="J4799" s="29" t="s">
        <v>4109</v>
      </c>
      <c r="K4799" s="29"/>
      <c r="L4799" s="29" t="s">
        <v>583</v>
      </c>
      <c r="M4799" s="29"/>
      <c r="N4799" s="29" t="s">
        <v>584</v>
      </c>
      <c r="O4799" s="29"/>
      <c r="P4799" s="29" t="s">
        <v>11997</v>
      </c>
      <c r="Q4799" t="s">
        <v>2265</v>
      </c>
      <c r="R4799" t="s">
        <v>2635</v>
      </c>
      <c r="S4799">
        <v>38</v>
      </c>
      <c r="T4799" s="43" t="str">
        <f t="shared" ref="T4799:T4830" si="224">HYPERLINK("https://ictv.global/ictv/proposals/2022.009D.Circoviridae_rensp101_nsp48.zip","2022.009D.Circoviridae_rensp101_nsp48.zip")</f>
        <v>2022.009D.Circoviridae_rensp101_nsp48.zip</v>
      </c>
      <c r="U4799" s="43" t="str">
        <f>HYPERLINK("https://ictv.global/taxonomy/taxondetails?taxnode_id=202208679","ictv.global=202208679")</f>
        <v>ictv.global=202208679</v>
      </c>
    </row>
    <row r="4800" spans="1:21">
      <c r="A4800">
        <v>4799</v>
      </c>
      <c r="B4800" s="29" t="s">
        <v>4053</v>
      </c>
      <c r="C4800" s="29"/>
      <c r="D4800" s="29" t="s">
        <v>4082</v>
      </c>
      <c r="E4800" s="29"/>
      <c r="F4800" s="29" t="s">
        <v>4106</v>
      </c>
      <c r="G4800" s="29"/>
      <c r="H4800" s="29" t="s">
        <v>4107</v>
      </c>
      <c r="I4800" s="29"/>
      <c r="J4800" s="29" t="s">
        <v>4109</v>
      </c>
      <c r="K4800" s="29"/>
      <c r="L4800" s="29" t="s">
        <v>583</v>
      </c>
      <c r="M4800" s="29"/>
      <c r="N4800" s="29" t="s">
        <v>584</v>
      </c>
      <c r="O4800" s="29"/>
      <c r="P4800" s="29" t="s">
        <v>11998</v>
      </c>
      <c r="Q4800" t="s">
        <v>2265</v>
      </c>
      <c r="R4800" t="s">
        <v>2632</v>
      </c>
      <c r="S4800">
        <v>38</v>
      </c>
      <c r="T4800" s="43" t="str">
        <f t="shared" si="224"/>
        <v>2022.009D.Circoviridae_rensp101_nsp48.zip</v>
      </c>
      <c r="U4800" s="43" t="str">
        <f>HYPERLINK("https://ictv.global/taxonomy/taxondetails?taxnode_id=202214085","ictv.global=202214085")</f>
        <v>ictv.global=202214085</v>
      </c>
    </row>
    <row r="4801" spans="1:21">
      <c r="A4801">
        <v>4800</v>
      </c>
      <c r="B4801" s="29" t="s">
        <v>4053</v>
      </c>
      <c r="C4801" s="29"/>
      <c r="D4801" s="29" t="s">
        <v>4082</v>
      </c>
      <c r="E4801" s="29"/>
      <c r="F4801" s="29" t="s">
        <v>4106</v>
      </c>
      <c r="G4801" s="29"/>
      <c r="H4801" s="29" t="s">
        <v>4107</v>
      </c>
      <c r="I4801" s="29"/>
      <c r="J4801" s="29" t="s">
        <v>4109</v>
      </c>
      <c r="K4801" s="29"/>
      <c r="L4801" s="29" t="s">
        <v>583</v>
      </c>
      <c r="M4801" s="29"/>
      <c r="N4801" s="29" t="s">
        <v>584</v>
      </c>
      <c r="O4801" s="29"/>
      <c r="P4801" s="29" t="s">
        <v>11999</v>
      </c>
      <c r="Q4801" t="s">
        <v>2041</v>
      </c>
      <c r="R4801" t="s">
        <v>2635</v>
      </c>
      <c r="S4801">
        <v>38</v>
      </c>
      <c r="T4801" s="43" t="str">
        <f t="shared" si="224"/>
        <v>2022.009D.Circoviridae_rensp101_nsp48.zip</v>
      </c>
      <c r="U4801" s="43" t="str">
        <f>HYPERLINK("https://ictv.global/taxonomy/taxondetails?taxnode_id=202202912","ictv.global=202202912")</f>
        <v>ictv.global=202202912</v>
      </c>
    </row>
    <row r="4802" spans="1:21">
      <c r="A4802">
        <v>4801</v>
      </c>
      <c r="B4802" s="29" t="s">
        <v>4053</v>
      </c>
      <c r="C4802" s="29"/>
      <c r="D4802" s="29" t="s">
        <v>4082</v>
      </c>
      <c r="E4802" s="29"/>
      <c r="F4802" s="29" t="s">
        <v>4106</v>
      </c>
      <c r="G4802" s="29"/>
      <c r="H4802" s="29" t="s">
        <v>4107</v>
      </c>
      <c r="I4802" s="29"/>
      <c r="J4802" s="29" t="s">
        <v>4109</v>
      </c>
      <c r="K4802" s="29"/>
      <c r="L4802" s="29" t="s">
        <v>583</v>
      </c>
      <c r="M4802" s="29"/>
      <c r="N4802" s="29" t="s">
        <v>584</v>
      </c>
      <c r="O4802" s="29"/>
      <c r="P4802" s="29" t="s">
        <v>12000</v>
      </c>
      <c r="Q4802" t="s">
        <v>2265</v>
      </c>
      <c r="R4802" t="s">
        <v>2632</v>
      </c>
      <c r="S4802">
        <v>38</v>
      </c>
      <c r="T4802" s="43" t="str">
        <f t="shared" si="224"/>
        <v>2022.009D.Circoviridae_rensp101_nsp48.zip</v>
      </c>
      <c r="U4802" s="43" t="str">
        <f>HYPERLINK("https://ictv.global/taxonomy/taxondetails?taxnode_id=202214086","ictv.global=202214086")</f>
        <v>ictv.global=202214086</v>
      </c>
    </row>
    <row r="4803" spans="1:21">
      <c r="A4803">
        <v>4802</v>
      </c>
      <c r="B4803" s="29" t="s">
        <v>4053</v>
      </c>
      <c r="C4803" s="29"/>
      <c r="D4803" s="29" t="s">
        <v>4082</v>
      </c>
      <c r="E4803" s="29"/>
      <c r="F4803" s="29" t="s">
        <v>4106</v>
      </c>
      <c r="G4803" s="29"/>
      <c r="H4803" s="29" t="s">
        <v>4107</v>
      </c>
      <c r="I4803" s="29"/>
      <c r="J4803" s="29" t="s">
        <v>4109</v>
      </c>
      <c r="K4803" s="29"/>
      <c r="L4803" s="29" t="s">
        <v>583</v>
      </c>
      <c r="M4803" s="29"/>
      <c r="N4803" s="29" t="s">
        <v>584</v>
      </c>
      <c r="O4803" s="29"/>
      <c r="P4803" s="29" t="s">
        <v>12001</v>
      </c>
      <c r="Q4803" t="s">
        <v>2194</v>
      </c>
      <c r="R4803" t="s">
        <v>2635</v>
      </c>
      <c r="S4803">
        <v>38</v>
      </c>
      <c r="T4803" s="43" t="str">
        <f t="shared" si="224"/>
        <v>2022.009D.Circoviridae_rensp101_nsp48.zip</v>
      </c>
      <c r="U4803" s="43" t="str">
        <f>HYPERLINK("https://ictv.global/taxonomy/taxondetails?taxnode_id=202209256","ictv.global=202209256")</f>
        <v>ictv.global=202209256</v>
      </c>
    </row>
    <row r="4804" spans="1:21">
      <c r="A4804">
        <v>4803</v>
      </c>
      <c r="B4804" s="29" t="s">
        <v>4053</v>
      </c>
      <c r="C4804" s="29"/>
      <c r="D4804" s="29" t="s">
        <v>4082</v>
      </c>
      <c r="E4804" s="29"/>
      <c r="F4804" s="29" t="s">
        <v>4106</v>
      </c>
      <c r="G4804" s="29"/>
      <c r="H4804" s="29" t="s">
        <v>4107</v>
      </c>
      <c r="I4804" s="29"/>
      <c r="J4804" s="29" t="s">
        <v>4109</v>
      </c>
      <c r="K4804" s="29"/>
      <c r="L4804" s="29" t="s">
        <v>583</v>
      </c>
      <c r="M4804" s="29"/>
      <c r="N4804" s="29" t="s">
        <v>584</v>
      </c>
      <c r="O4804" s="29"/>
      <c r="P4804" s="29" t="s">
        <v>12002</v>
      </c>
      <c r="Q4804" t="s">
        <v>2041</v>
      </c>
      <c r="R4804" t="s">
        <v>2635</v>
      </c>
      <c r="S4804">
        <v>38</v>
      </c>
      <c r="T4804" s="43" t="str">
        <f t="shared" si="224"/>
        <v>2022.009D.Circoviridae_rensp101_nsp48.zip</v>
      </c>
      <c r="U4804" s="43" t="str">
        <f>HYPERLINK("https://ictv.global/taxonomy/taxondetails?taxnode_id=202206570","ictv.global=202206570")</f>
        <v>ictv.global=202206570</v>
      </c>
    </row>
    <row r="4805" spans="1:21">
      <c r="A4805">
        <v>4804</v>
      </c>
      <c r="B4805" s="29" t="s">
        <v>4053</v>
      </c>
      <c r="C4805" s="29"/>
      <c r="D4805" s="29" t="s">
        <v>4082</v>
      </c>
      <c r="E4805" s="29"/>
      <c r="F4805" s="29" t="s">
        <v>4106</v>
      </c>
      <c r="G4805" s="29"/>
      <c r="H4805" s="29" t="s">
        <v>4107</v>
      </c>
      <c r="I4805" s="29"/>
      <c r="J4805" s="29" t="s">
        <v>4109</v>
      </c>
      <c r="K4805" s="29"/>
      <c r="L4805" s="29" t="s">
        <v>583</v>
      </c>
      <c r="M4805" s="29"/>
      <c r="N4805" s="29" t="s">
        <v>584</v>
      </c>
      <c r="O4805" s="29"/>
      <c r="P4805" s="29" t="s">
        <v>12003</v>
      </c>
      <c r="Q4805" t="s">
        <v>2041</v>
      </c>
      <c r="R4805" t="s">
        <v>2635</v>
      </c>
      <c r="S4805">
        <v>38</v>
      </c>
      <c r="T4805" s="43" t="str">
        <f t="shared" si="224"/>
        <v>2022.009D.Circoviridae_rensp101_nsp48.zip</v>
      </c>
      <c r="U4805" s="43" t="str">
        <f>HYPERLINK("https://ictv.global/taxonomy/taxondetails?taxnode_id=202202923","ictv.global=202202923")</f>
        <v>ictv.global=202202923</v>
      </c>
    </row>
    <row r="4806" spans="1:21">
      <c r="A4806">
        <v>4805</v>
      </c>
      <c r="B4806" s="29" t="s">
        <v>4053</v>
      </c>
      <c r="C4806" s="29"/>
      <c r="D4806" s="29" t="s">
        <v>4082</v>
      </c>
      <c r="E4806" s="29"/>
      <c r="F4806" s="29" t="s">
        <v>4106</v>
      </c>
      <c r="G4806" s="29"/>
      <c r="H4806" s="29" t="s">
        <v>4107</v>
      </c>
      <c r="I4806" s="29"/>
      <c r="J4806" s="29" t="s">
        <v>4109</v>
      </c>
      <c r="K4806" s="29"/>
      <c r="L4806" s="29" t="s">
        <v>583</v>
      </c>
      <c r="M4806" s="29"/>
      <c r="N4806" s="29" t="s">
        <v>584</v>
      </c>
      <c r="O4806" s="29"/>
      <c r="P4806" s="29" t="s">
        <v>12004</v>
      </c>
      <c r="Q4806" t="s">
        <v>2194</v>
      </c>
      <c r="R4806" t="s">
        <v>2635</v>
      </c>
      <c r="S4806">
        <v>38</v>
      </c>
      <c r="T4806" s="43" t="str">
        <f t="shared" si="224"/>
        <v>2022.009D.Circoviridae_rensp101_nsp48.zip</v>
      </c>
      <c r="U4806" s="43" t="str">
        <f>HYPERLINK("https://ictv.global/taxonomy/taxondetails?taxnode_id=202209255","ictv.global=202209255")</f>
        <v>ictv.global=202209255</v>
      </c>
    </row>
    <row r="4807" spans="1:21">
      <c r="A4807">
        <v>4806</v>
      </c>
      <c r="B4807" s="29" t="s">
        <v>4053</v>
      </c>
      <c r="C4807" s="29"/>
      <c r="D4807" s="29" t="s">
        <v>4082</v>
      </c>
      <c r="E4807" s="29"/>
      <c r="F4807" s="29" t="s">
        <v>4106</v>
      </c>
      <c r="G4807" s="29"/>
      <c r="H4807" s="29" t="s">
        <v>4107</v>
      </c>
      <c r="I4807" s="29"/>
      <c r="J4807" s="29" t="s">
        <v>4109</v>
      </c>
      <c r="K4807" s="29"/>
      <c r="L4807" s="29" t="s">
        <v>583</v>
      </c>
      <c r="M4807" s="29"/>
      <c r="N4807" s="29" t="s">
        <v>584</v>
      </c>
      <c r="O4807" s="29"/>
      <c r="P4807" s="29" t="s">
        <v>12005</v>
      </c>
      <c r="Q4807" t="s">
        <v>2041</v>
      </c>
      <c r="R4807" t="s">
        <v>2635</v>
      </c>
      <c r="S4807">
        <v>38</v>
      </c>
      <c r="T4807" s="43" t="str">
        <f t="shared" si="224"/>
        <v>2022.009D.Circoviridae_rensp101_nsp48.zip</v>
      </c>
      <c r="U4807" s="43" t="str">
        <f>HYPERLINK("https://ictv.global/taxonomy/taxondetails?taxnode_id=202202924","ictv.global=202202924")</f>
        <v>ictv.global=202202924</v>
      </c>
    </row>
    <row r="4808" spans="1:21">
      <c r="A4808">
        <v>4807</v>
      </c>
      <c r="B4808" s="29" t="s">
        <v>4053</v>
      </c>
      <c r="C4808" s="29"/>
      <c r="D4808" s="29" t="s">
        <v>4082</v>
      </c>
      <c r="E4808" s="29"/>
      <c r="F4808" s="29" t="s">
        <v>4106</v>
      </c>
      <c r="G4808" s="29"/>
      <c r="H4808" s="29" t="s">
        <v>4107</v>
      </c>
      <c r="I4808" s="29"/>
      <c r="J4808" s="29" t="s">
        <v>4109</v>
      </c>
      <c r="K4808" s="29"/>
      <c r="L4808" s="29" t="s">
        <v>583</v>
      </c>
      <c r="M4808" s="29"/>
      <c r="N4808" s="29" t="s">
        <v>584</v>
      </c>
      <c r="O4808" s="29"/>
      <c r="P4808" s="29" t="s">
        <v>12006</v>
      </c>
      <c r="Q4808" t="s">
        <v>2041</v>
      </c>
      <c r="R4808" t="s">
        <v>2635</v>
      </c>
      <c r="S4808">
        <v>38</v>
      </c>
      <c r="T4808" s="43" t="str">
        <f t="shared" si="224"/>
        <v>2022.009D.Circoviridae_rensp101_nsp48.zip</v>
      </c>
      <c r="U4808" s="43" t="str">
        <f>HYPERLINK("https://ictv.global/taxonomy/taxondetails?taxnode_id=202202925","ictv.global=202202925")</f>
        <v>ictv.global=202202925</v>
      </c>
    </row>
    <row r="4809" spans="1:21">
      <c r="A4809">
        <v>4808</v>
      </c>
      <c r="B4809" s="29" t="s">
        <v>4053</v>
      </c>
      <c r="C4809" s="29"/>
      <c r="D4809" s="29" t="s">
        <v>4082</v>
      </c>
      <c r="E4809" s="29"/>
      <c r="F4809" s="29" t="s">
        <v>4106</v>
      </c>
      <c r="G4809" s="29"/>
      <c r="H4809" s="29" t="s">
        <v>4107</v>
      </c>
      <c r="I4809" s="29"/>
      <c r="J4809" s="29" t="s">
        <v>4109</v>
      </c>
      <c r="K4809" s="29"/>
      <c r="L4809" s="29" t="s">
        <v>583</v>
      </c>
      <c r="M4809" s="29"/>
      <c r="N4809" s="29" t="s">
        <v>584</v>
      </c>
      <c r="O4809" s="29"/>
      <c r="P4809" s="29" t="s">
        <v>12007</v>
      </c>
      <c r="Q4809" t="s">
        <v>2041</v>
      </c>
      <c r="R4809" t="s">
        <v>2635</v>
      </c>
      <c r="S4809">
        <v>38</v>
      </c>
      <c r="T4809" s="43" t="str">
        <f t="shared" si="224"/>
        <v>2022.009D.Circoviridae_rensp101_nsp48.zip</v>
      </c>
      <c r="U4809" s="43" t="str">
        <f>HYPERLINK("https://ictv.global/taxonomy/taxondetails?taxnode_id=202205768","ictv.global=202205768")</f>
        <v>ictv.global=202205768</v>
      </c>
    </row>
    <row r="4810" spans="1:21">
      <c r="A4810">
        <v>4809</v>
      </c>
      <c r="B4810" s="29" t="s">
        <v>4053</v>
      </c>
      <c r="C4810" s="29"/>
      <c r="D4810" s="29" t="s">
        <v>4082</v>
      </c>
      <c r="E4810" s="29"/>
      <c r="F4810" s="29" t="s">
        <v>4106</v>
      </c>
      <c r="G4810" s="29"/>
      <c r="H4810" s="29" t="s">
        <v>4107</v>
      </c>
      <c r="I4810" s="29"/>
      <c r="J4810" s="29" t="s">
        <v>4109</v>
      </c>
      <c r="K4810" s="29"/>
      <c r="L4810" s="29" t="s">
        <v>583</v>
      </c>
      <c r="M4810" s="29"/>
      <c r="N4810" s="29" t="s">
        <v>584</v>
      </c>
      <c r="O4810" s="29"/>
      <c r="P4810" s="29" t="s">
        <v>12008</v>
      </c>
      <c r="Q4810" t="s">
        <v>2194</v>
      </c>
      <c r="R4810" t="s">
        <v>2635</v>
      </c>
      <c r="S4810">
        <v>38</v>
      </c>
      <c r="T4810" s="43" t="str">
        <f t="shared" si="224"/>
        <v>2022.009D.Circoviridae_rensp101_nsp48.zip</v>
      </c>
      <c r="U4810" s="43" t="str">
        <f>HYPERLINK("https://ictv.global/taxonomy/taxondetails?taxnode_id=202209253","ictv.global=202209253")</f>
        <v>ictv.global=202209253</v>
      </c>
    </row>
    <row r="4811" spans="1:21">
      <c r="A4811">
        <v>4810</v>
      </c>
      <c r="B4811" s="29" t="s">
        <v>4053</v>
      </c>
      <c r="C4811" s="29"/>
      <c r="D4811" s="29" t="s">
        <v>4082</v>
      </c>
      <c r="E4811" s="29"/>
      <c r="F4811" s="29" t="s">
        <v>4106</v>
      </c>
      <c r="G4811" s="29"/>
      <c r="H4811" s="29" t="s">
        <v>4107</v>
      </c>
      <c r="I4811" s="29"/>
      <c r="J4811" s="29" t="s">
        <v>4109</v>
      </c>
      <c r="K4811" s="29"/>
      <c r="L4811" s="29" t="s">
        <v>583</v>
      </c>
      <c r="M4811" s="29"/>
      <c r="N4811" s="29" t="s">
        <v>584</v>
      </c>
      <c r="O4811" s="29"/>
      <c r="P4811" s="29" t="s">
        <v>12009</v>
      </c>
      <c r="Q4811" t="s">
        <v>2041</v>
      </c>
      <c r="R4811" t="s">
        <v>2635</v>
      </c>
      <c r="S4811">
        <v>38</v>
      </c>
      <c r="T4811" s="43" t="str">
        <f t="shared" si="224"/>
        <v>2022.009D.Circoviridae_rensp101_nsp48.zip</v>
      </c>
      <c r="U4811" s="43" t="str">
        <f>HYPERLINK("https://ictv.global/taxonomy/taxondetails?taxnode_id=202202909","ictv.global=202202909")</f>
        <v>ictv.global=202202909</v>
      </c>
    </row>
    <row r="4812" spans="1:21">
      <c r="A4812">
        <v>4811</v>
      </c>
      <c r="B4812" s="29" t="s">
        <v>4053</v>
      </c>
      <c r="C4812" s="29"/>
      <c r="D4812" s="29" t="s">
        <v>4082</v>
      </c>
      <c r="E4812" s="29"/>
      <c r="F4812" s="29" t="s">
        <v>4106</v>
      </c>
      <c r="G4812" s="29"/>
      <c r="H4812" s="29" t="s">
        <v>4107</v>
      </c>
      <c r="I4812" s="29"/>
      <c r="J4812" s="29" t="s">
        <v>4109</v>
      </c>
      <c r="K4812" s="29"/>
      <c r="L4812" s="29" t="s">
        <v>583</v>
      </c>
      <c r="M4812" s="29"/>
      <c r="N4812" s="29" t="s">
        <v>584</v>
      </c>
      <c r="O4812" s="29"/>
      <c r="P4812" s="29" t="s">
        <v>12010</v>
      </c>
      <c r="Q4812" t="s">
        <v>2041</v>
      </c>
      <c r="R4812" t="s">
        <v>2635</v>
      </c>
      <c r="S4812">
        <v>38</v>
      </c>
      <c r="T4812" s="43" t="str">
        <f t="shared" si="224"/>
        <v>2022.009D.Circoviridae_rensp101_nsp48.zip</v>
      </c>
      <c r="U4812" s="43" t="str">
        <f>HYPERLINK("https://ictv.global/taxonomy/taxondetails?taxnode_id=202202926","ictv.global=202202926")</f>
        <v>ictv.global=202202926</v>
      </c>
    </row>
    <row r="4813" spans="1:21">
      <c r="A4813">
        <v>4812</v>
      </c>
      <c r="B4813" s="29" t="s">
        <v>4053</v>
      </c>
      <c r="C4813" s="29"/>
      <c r="D4813" s="29" t="s">
        <v>4082</v>
      </c>
      <c r="E4813" s="29"/>
      <c r="F4813" s="29" t="s">
        <v>4106</v>
      </c>
      <c r="G4813" s="29"/>
      <c r="H4813" s="29" t="s">
        <v>4107</v>
      </c>
      <c r="I4813" s="29"/>
      <c r="J4813" s="29" t="s">
        <v>4109</v>
      </c>
      <c r="K4813" s="29"/>
      <c r="L4813" s="29" t="s">
        <v>583</v>
      </c>
      <c r="M4813" s="29"/>
      <c r="N4813" s="29" t="s">
        <v>584</v>
      </c>
      <c r="O4813" s="29"/>
      <c r="P4813" s="29" t="s">
        <v>12011</v>
      </c>
      <c r="Q4813" t="s">
        <v>2041</v>
      </c>
      <c r="R4813" t="s">
        <v>2635</v>
      </c>
      <c r="S4813">
        <v>38</v>
      </c>
      <c r="T4813" s="43" t="str">
        <f t="shared" si="224"/>
        <v>2022.009D.Circoviridae_rensp101_nsp48.zip</v>
      </c>
      <c r="U4813" s="43" t="str">
        <f>HYPERLINK("https://ictv.global/taxonomy/taxondetails?taxnode_id=202206565","ictv.global=202206565")</f>
        <v>ictv.global=202206565</v>
      </c>
    </row>
    <row r="4814" spans="1:21">
      <c r="A4814">
        <v>4813</v>
      </c>
      <c r="B4814" s="29" t="s">
        <v>4053</v>
      </c>
      <c r="C4814" s="29"/>
      <c r="D4814" s="29" t="s">
        <v>4082</v>
      </c>
      <c r="E4814" s="29"/>
      <c r="F4814" s="29" t="s">
        <v>4106</v>
      </c>
      <c r="G4814" s="29"/>
      <c r="H4814" s="29" t="s">
        <v>4107</v>
      </c>
      <c r="I4814" s="29"/>
      <c r="J4814" s="29" t="s">
        <v>4109</v>
      </c>
      <c r="K4814" s="29"/>
      <c r="L4814" s="29" t="s">
        <v>583</v>
      </c>
      <c r="M4814" s="29"/>
      <c r="N4814" s="29" t="s">
        <v>584</v>
      </c>
      <c r="O4814" s="29"/>
      <c r="P4814" s="29" t="s">
        <v>12012</v>
      </c>
      <c r="Q4814" t="s">
        <v>2041</v>
      </c>
      <c r="R4814" t="s">
        <v>2635</v>
      </c>
      <c r="S4814">
        <v>38</v>
      </c>
      <c r="T4814" s="43" t="str">
        <f t="shared" si="224"/>
        <v>2022.009D.Circoviridae_rensp101_nsp48.zip</v>
      </c>
      <c r="U4814" s="43" t="str">
        <f>HYPERLINK("https://ictv.global/taxonomy/taxondetails?taxnode_id=202206563","ictv.global=202206563")</f>
        <v>ictv.global=202206563</v>
      </c>
    </row>
    <row r="4815" spans="1:21">
      <c r="A4815">
        <v>4814</v>
      </c>
      <c r="B4815" s="29" t="s">
        <v>4053</v>
      </c>
      <c r="C4815" s="29"/>
      <c r="D4815" s="29" t="s">
        <v>4082</v>
      </c>
      <c r="E4815" s="29"/>
      <c r="F4815" s="29" t="s">
        <v>4106</v>
      </c>
      <c r="G4815" s="29"/>
      <c r="H4815" s="29" t="s">
        <v>4107</v>
      </c>
      <c r="I4815" s="29"/>
      <c r="J4815" s="29" t="s">
        <v>4109</v>
      </c>
      <c r="K4815" s="29"/>
      <c r="L4815" s="29" t="s">
        <v>583</v>
      </c>
      <c r="M4815" s="29"/>
      <c r="N4815" s="29" t="s">
        <v>584</v>
      </c>
      <c r="O4815" s="29"/>
      <c r="P4815" s="29" t="s">
        <v>12013</v>
      </c>
      <c r="Q4815" t="s">
        <v>2041</v>
      </c>
      <c r="R4815" t="s">
        <v>2635</v>
      </c>
      <c r="S4815">
        <v>38</v>
      </c>
      <c r="T4815" s="43" t="str">
        <f t="shared" si="224"/>
        <v>2022.009D.Circoviridae_rensp101_nsp48.zip</v>
      </c>
      <c r="U4815" s="43" t="str">
        <f>HYPERLINK("https://ictv.global/taxonomy/taxondetails?taxnode_id=202206566","ictv.global=202206566")</f>
        <v>ictv.global=202206566</v>
      </c>
    </row>
    <row r="4816" spans="1:21">
      <c r="A4816">
        <v>4815</v>
      </c>
      <c r="B4816" s="29" t="s">
        <v>4053</v>
      </c>
      <c r="C4816" s="29"/>
      <c r="D4816" s="29" t="s">
        <v>4082</v>
      </c>
      <c r="E4816" s="29"/>
      <c r="F4816" s="29" t="s">
        <v>4106</v>
      </c>
      <c r="G4816" s="29"/>
      <c r="H4816" s="29" t="s">
        <v>4107</v>
      </c>
      <c r="I4816" s="29"/>
      <c r="J4816" s="29" t="s">
        <v>4109</v>
      </c>
      <c r="K4816" s="29"/>
      <c r="L4816" s="29" t="s">
        <v>583</v>
      </c>
      <c r="M4816" s="29"/>
      <c r="N4816" s="29" t="s">
        <v>584</v>
      </c>
      <c r="O4816" s="29"/>
      <c r="P4816" s="29" t="s">
        <v>12014</v>
      </c>
      <c r="Q4816" t="s">
        <v>2041</v>
      </c>
      <c r="R4816" t="s">
        <v>2635</v>
      </c>
      <c r="S4816">
        <v>38</v>
      </c>
      <c r="T4816" s="43" t="str">
        <f t="shared" si="224"/>
        <v>2022.009D.Circoviridae_rensp101_nsp48.zip</v>
      </c>
      <c r="U4816" s="43" t="str">
        <f>HYPERLINK("https://ictv.global/taxonomy/taxondetails?taxnode_id=202202908","ictv.global=202202908")</f>
        <v>ictv.global=202202908</v>
      </c>
    </row>
    <row r="4817" spans="1:21">
      <c r="A4817">
        <v>4816</v>
      </c>
      <c r="B4817" s="29" t="s">
        <v>4053</v>
      </c>
      <c r="C4817" s="29"/>
      <c r="D4817" s="29" t="s">
        <v>4082</v>
      </c>
      <c r="E4817" s="29"/>
      <c r="F4817" s="29" t="s">
        <v>4106</v>
      </c>
      <c r="G4817" s="29"/>
      <c r="H4817" s="29" t="s">
        <v>4107</v>
      </c>
      <c r="I4817" s="29"/>
      <c r="J4817" s="29" t="s">
        <v>4109</v>
      </c>
      <c r="K4817" s="29"/>
      <c r="L4817" s="29" t="s">
        <v>583</v>
      </c>
      <c r="M4817" s="29"/>
      <c r="N4817" s="29" t="s">
        <v>584</v>
      </c>
      <c r="O4817" s="29"/>
      <c r="P4817" s="29" t="s">
        <v>12015</v>
      </c>
      <c r="Q4817" t="s">
        <v>2041</v>
      </c>
      <c r="R4817" t="s">
        <v>2635</v>
      </c>
      <c r="S4817">
        <v>38</v>
      </c>
      <c r="T4817" s="43" t="str">
        <f t="shared" si="224"/>
        <v>2022.009D.Circoviridae_rensp101_nsp48.zip</v>
      </c>
      <c r="U4817" s="43" t="str">
        <f>HYPERLINK("https://ictv.global/taxonomy/taxondetails?taxnode_id=202206562","ictv.global=202206562")</f>
        <v>ictv.global=202206562</v>
      </c>
    </row>
    <row r="4818" spans="1:21">
      <c r="A4818">
        <v>4817</v>
      </c>
      <c r="B4818" s="29" t="s">
        <v>4053</v>
      </c>
      <c r="C4818" s="29"/>
      <c r="D4818" s="29" t="s">
        <v>4082</v>
      </c>
      <c r="E4818" s="29"/>
      <c r="F4818" s="29" t="s">
        <v>4106</v>
      </c>
      <c r="G4818" s="29"/>
      <c r="H4818" s="29" t="s">
        <v>4107</v>
      </c>
      <c r="I4818" s="29"/>
      <c r="J4818" s="29" t="s">
        <v>4109</v>
      </c>
      <c r="K4818" s="29"/>
      <c r="L4818" s="29" t="s">
        <v>583</v>
      </c>
      <c r="M4818" s="29"/>
      <c r="N4818" s="29" t="s">
        <v>584</v>
      </c>
      <c r="O4818" s="29"/>
      <c r="P4818" s="29" t="s">
        <v>12016</v>
      </c>
      <c r="Q4818" t="s">
        <v>2041</v>
      </c>
      <c r="R4818" t="s">
        <v>2635</v>
      </c>
      <c r="S4818">
        <v>38</v>
      </c>
      <c r="T4818" s="43" t="str">
        <f t="shared" si="224"/>
        <v>2022.009D.Circoviridae_rensp101_nsp48.zip</v>
      </c>
      <c r="U4818" s="43" t="str">
        <f>HYPERLINK("https://ictv.global/taxonomy/taxondetails?taxnode_id=202202927","ictv.global=202202927")</f>
        <v>ictv.global=202202927</v>
      </c>
    </row>
    <row r="4819" spans="1:21">
      <c r="A4819">
        <v>4818</v>
      </c>
      <c r="B4819" s="29" t="s">
        <v>4053</v>
      </c>
      <c r="C4819" s="29"/>
      <c r="D4819" s="29" t="s">
        <v>4082</v>
      </c>
      <c r="E4819" s="29"/>
      <c r="F4819" s="29" t="s">
        <v>4106</v>
      </c>
      <c r="G4819" s="29"/>
      <c r="H4819" s="29" t="s">
        <v>4107</v>
      </c>
      <c r="I4819" s="29"/>
      <c r="J4819" s="29" t="s">
        <v>4109</v>
      </c>
      <c r="K4819" s="29"/>
      <c r="L4819" s="29" t="s">
        <v>583</v>
      </c>
      <c r="M4819" s="29"/>
      <c r="N4819" s="29" t="s">
        <v>584</v>
      </c>
      <c r="O4819" s="29"/>
      <c r="P4819" s="29" t="s">
        <v>12017</v>
      </c>
      <c r="Q4819" t="s">
        <v>2041</v>
      </c>
      <c r="R4819" t="s">
        <v>2635</v>
      </c>
      <c r="S4819">
        <v>38</v>
      </c>
      <c r="T4819" s="43" t="str">
        <f t="shared" si="224"/>
        <v>2022.009D.Circoviridae_rensp101_nsp48.zip</v>
      </c>
      <c r="U4819" s="43" t="str">
        <f>HYPERLINK("https://ictv.global/taxonomy/taxondetails?taxnode_id=202202928","ictv.global=202202928")</f>
        <v>ictv.global=202202928</v>
      </c>
    </row>
    <row r="4820" spans="1:21">
      <c r="A4820">
        <v>4819</v>
      </c>
      <c r="B4820" s="29" t="s">
        <v>4053</v>
      </c>
      <c r="C4820" s="29"/>
      <c r="D4820" s="29" t="s">
        <v>4082</v>
      </c>
      <c r="E4820" s="29"/>
      <c r="F4820" s="29" t="s">
        <v>4106</v>
      </c>
      <c r="G4820" s="29"/>
      <c r="H4820" s="29" t="s">
        <v>4107</v>
      </c>
      <c r="I4820" s="29"/>
      <c r="J4820" s="29" t="s">
        <v>4109</v>
      </c>
      <c r="K4820" s="29"/>
      <c r="L4820" s="29" t="s">
        <v>583</v>
      </c>
      <c r="M4820" s="29"/>
      <c r="N4820" s="29" t="s">
        <v>584</v>
      </c>
      <c r="O4820" s="29"/>
      <c r="P4820" s="29" t="s">
        <v>12018</v>
      </c>
      <c r="Q4820" t="s">
        <v>2265</v>
      </c>
      <c r="R4820" t="s">
        <v>2632</v>
      </c>
      <c r="S4820">
        <v>38</v>
      </c>
      <c r="T4820" s="43" t="str">
        <f t="shared" si="224"/>
        <v>2022.009D.Circoviridae_rensp101_nsp48.zip</v>
      </c>
      <c r="U4820" s="43" t="str">
        <f>HYPERLINK("https://ictv.global/taxonomy/taxondetails?taxnode_id=202214079","ictv.global=202214079")</f>
        <v>ictv.global=202214079</v>
      </c>
    </row>
    <row r="4821" spans="1:21">
      <c r="A4821">
        <v>4820</v>
      </c>
      <c r="B4821" s="29" t="s">
        <v>4053</v>
      </c>
      <c r="C4821" s="29"/>
      <c r="D4821" s="29" t="s">
        <v>4082</v>
      </c>
      <c r="E4821" s="29"/>
      <c r="F4821" s="29" t="s">
        <v>4106</v>
      </c>
      <c r="G4821" s="29"/>
      <c r="H4821" s="29" t="s">
        <v>4107</v>
      </c>
      <c r="I4821" s="29"/>
      <c r="J4821" s="29" t="s">
        <v>4109</v>
      </c>
      <c r="K4821" s="29"/>
      <c r="L4821" s="29" t="s">
        <v>583</v>
      </c>
      <c r="M4821" s="29"/>
      <c r="N4821" s="29" t="s">
        <v>584</v>
      </c>
      <c r="O4821" s="29"/>
      <c r="P4821" s="29" t="s">
        <v>12019</v>
      </c>
      <c r="Q4821" t="s">
        <v>2265</v>
      </c>
      <c r="R4821" t="s">
        <v>2632</v>
      </c>
      <c r="S4821">
        <v>38</v>
      </c>
      <c r="T4821" s="43" t="str">
        <f t="shared" si="224"/>
        <v>2022.009D.Circoviridae_rensp101_nsp48.zip</v>
      </c>
      <c r="U4821" s="43" t="str">
        <f>HYPERLINK("https://ictv.global/taxonomy/taxondetails?taxnode_id=202214087","ictv.global=202214087")</f>
        <v>ictv.global=202214087</v>
      </c>
    </row>
    <row r="4822" spans="1:21">
      <c r="A4822">
        <v>4821</v>
      </c>
      <c r="B4822" s="29" t="s">
        <v>4053</v>
      </c>
      <c r="C4822" s="29"/>
      <c r="D4822" s="29" t="s">
        <v>4082</v>
      </c>
      <c r="E4822" s="29"/>
      <c r="F4822" s="29" t="s">
        <v>4106</v>
      </c>
      <c r="G4822" s="29"/>
      <c r="H4822" s="29" t="s">
        <v>4107</v>
      </c>
      <c r="I4822" s="29"/>
      <c r="J4822" s="29" t="s">
        <v>4109</v>
      </c>
      <c r="K4822" s="29"/>
      <c r="L4822" s="29" t="s">
        <v>583</v>
      </c>
      <c r="M4822" s="29"/>
      <c r="N4822" s="29" t="s">
        <v>584</v>
      </c>
      <c r="O4822" s="29"/>
      <c r="P4822" s="29" t="s">
        <v>12020</v>
      </c>
      <c r="Q4822" t="s">
        <v>2041</v>
      </c>
      <c r="R4822" t="s">
        <v>2635</v>
      </c>
      <c r="S4822">
        <v>38</v>
      </c>
      <c r="T4822" s="43" t="str">
        <f t="shared" si="224"/>
        <v>2022.009D.Circoviridae_rensp101_nsp48.zip</v>
      </c>
      <c r="U4822" s="43" t="str">
        <f>HYPERLINK("https://ictv.global/taxonomy/taxondetails?taxnode_id=202202905","ictv.global=202202905")</f>
        <v>ictv.global=202202905</v>
      </c>
    </row>
    <row r="4823" spans="1:21">
      <c r="A4823">
        <v>4822</v>
      </c>
      <c r="B4823" s="29" t="s">
        <v>4053</v>
      </c>
      <c r="C4823" s="29"/>
      <c r="D4823" s="29" t="s">
        <v>4082</v>
      </c>
      <c r="E4823" s="29"/>
      <c r="F4823" s="29" t="s">
        <v>4106</v>
      </c>
      <c r="G4823" s="29"/>
      <c r="H4823" s="29" t="s">
        <v>4107</v>
      </c>
      <c r="I4823" s="29"/>
      <c r="J4823" s="29" t="s">
        <v>4109</v>
      </c>
      <c r="K4823" s="29"/>
      <c r="L4823" s="29" t="s">
        <v>583</v>
      </c>
      <c r="M4823" s="29"/>
      <c r="N4823" s="29" t="s">
        <v>584</v>
      </c>
      <c r="O4823" s="29"/>
      <c r="P4823" s="29" t="s">
        <v>12021</v>
      </c>
      <c r="Q4823" t="s">
        <v>2265</v>
      </c>
      <c r="R4823" t="s">
        <v>2632</v>
      </c>
      <c r="S4823">
        <v>38</v>
      </c>
      <c r="T4823" s="43" t="str">
        <f t="shared" si="224"/>
        <v>2022.009D.Circoviridae_rensp101_nsp48.zip</v>
      </c>
      <c r="U4823" s="43" t="str">
        <f>HYPERLINK("https://ictv.global/taxonomy/taxondetails?taxnode_id=202214089","ictv.global=202214089")</f>
        <v>ictv.global=202214089</v>
      </c>
    </row>
    <row r="4824" spans="1:21">
      <c r="A4824">
        <v>4823</v>
      </c>
      <c r="B4824" s="29" t="s">
        <v>4053</v>
      </c>
      <c r="C4824" s="29"/>
      <c r="D4824" s="29" t="s">
        <v>4082</v>
      </c>
      <c r="E4824" s="29"/>
      <c r="F4824" s="29" t="s">
        <v>4106</v>
      </c>
      <c r="G4824" s="29"/>
      <c r="H4824" s="29" t="s">
        <v>4107</v>
      </c>
      <c r="I4824" s="29"/>
      <c r="J4824" s="29" t="s">
        <v>4109</v>
      </c>
      <c r="K4824" s="29"/>
      <c r="L4824" s="29" t="s">
        <v>583</v>
      </c>
      <c r="M4824" s="29"/>
      <c r="N4824" s="29" t="s">
        <v>584</v>
      </c>
      <c r="O4824" s="29"/>
      <c r="P4824" s="29" t="s">
        <v>12022</v>
      </c>
      <c r="Q4824" t="s">
        <v>2194</v>
      </c>
      <c r="R4824" t="s">
        <v>2635</v>
      </c>
      <c r="S4824">
        <v>38</v>
      </c>
      <c r="T4824" s="43" t="str">
        <f t="shared" si="224"/>
        <v>2022.009D.Circoviridae_rensp101_nsp48.zip</v>
      </c>
      <c r="U4824" s="43" t="str">
        <f>HYPERLINK("https://ictv.global/taxonomy/taxondetails?taxnode_id=202209252","ictv.global=202209252")</f>
        <v>ictv.global=202209252</v>
      </c>
    </row>
    <row r="4825" spans="1:21">
      <c r="A4825">
        <v>4824</v>
      </c>
      <c r="B4825" s="29" t="s">
        <v>4053</v>
      </c>
      <c r="C4825" s="29"/>
      <c r="D4825" s="29" t="s">
        <v>4082</v>
      </c>
      <c r="E4825" s="29"/>
      <c r="F4825" s="29" t="s">
        <v>4106</v>
      </c>
      <c r="G4825" s="29"/>
      <c r="H4825" s="29" t="s">
        <v>4107</v>
      </c>
      <c r="I4825" s="29"/>
      <c r="J4825" s="29" t="s">
        <v>4109</v>
      </c>
      <c r="K4825" s="29"/>
      <c r="L4825" s="29" t="s">
        <v>583</v>
      </c>
      <c r="M4825" s="29"/>
      <c r="N4825" s="29" t="s">
        <v>584</v>
      </c>
      <c r="O4825" s="29"/>
      <c r="P4825" s="29" t="s">
        <v>12023</v>
      </c>
      <c r="Q4825" t="s">
        <v>2041</v>
      </c>
      <c r="R4825" t="s">
        <v>2635</v>
      </c>
      <c r="S4825">
        <v>38</v>
      </c>
      <c r="T4825" s="43" t="str">
        <f t="shared" si="224"/>
        <v>2022.009D.Circoviridae_rensp101_nsp48.zip</v>
      </c>
      <c r="U4825" s="43" t="str">
        <f>HYPERLINK("https://ictv.global/taxonomy/taxondetails?taxnode_id=202206569","ictv.global=202206569")</f>
        <v>ictv.global=202206569</v>
      </c>
    </row>
    <row r="4826" spans="1:21">
      <c r="A4826">
        <v>4825</v>
      </c>
      <c r="B4826" s="29" t="s">
        <v>4053</v>
      </c>
      <c r="C4826" s="29"/>
      <c r="D4826" s="29" t="s">
        <v>4082</v>
      </c>
      <c r="E4826" s="29"/>
      <c r="F4826" s="29" t="s">
        <v>4106</v>
      </c>
      <c r="G4826" s="29"/>
      <c r="H4826" s="29" t="s">
        <v>4107</v>
      </c>
      <c r="I4826" s="29"/>
      <c r="J4826" s="29" t="s">
        <v>4109</v>
      </c>
      <c r="K4826" s="29"/>
      <c r="L4826" s="29" t="s">
        <v>583</v>
      </c>
      <c r="M4826" s="29"/>
      <c r="N4826" s="29" t="s">
        <v>584</v>
      </c>
      <c r="O4826" s="29"/>
      <c r="P4826" s="29" t="s">
        <v>12024</v>
      </c>
      <c r="Q4826" t="s">
        <v>2041</v>
      </c>
      <c r="R4826" t="s">
        <v>2635</v>
      </c>
      <c r="S4826">
        <v>38</v>
      </c>
      <c r="T4826" s="43" t="str">
        <f t="shared" si="224"/>
        <v>2022.009D.Circoviridae_rensp101_nsp48.zip</v>
      </c>
      <c r="U4826" s="43" t="str">
        <f>HYPERLINK("https://ictv.global/taxonomy/taxondetails?taxnode_id=202202929","ictv.global=202202929")</f>
        <v>ictv.global=202202929</v>
      </c>
    </row>
    <row r="4827" spans="1:21">
      <c r="A4827">
        <v>4826</v>
      </c>
      <c r="B4827" s="29" t="s">
        <v>4053</v>
      </c>
      <c r="C4827" s="29"/>
      <c r="D4827" s="29" t="s">
        <v>4082</v>
      </c>
      <c r="E4827" s="29"/>
      <c r="F4827" s="29" t="s">
        <v>4106</v>
      </c>
      <c r="G4827" s="29"/>
      <c r="H4827" s="29" t="s">
        <v>4107</v>
      </c>
      <c r="I4827" s="29"/>
      <c r="J4827" s="29" t="s">
        <v>4109</v>
      </c>
      <c r="K4827" s="29"/>
      <c r="L4827" s="29" t="s">
        <v>583</v>
      </c>
      <c r="M4827" s="29"/>
      <c r="N4827" s="29" t="s">
        <v>2195</v>
      </c>
      <c r="O4827" s="29"/>
      <c r="P4827" s="29" t="s">
        <v>12025</v>
      </c>
      <c r="Q4827" t="s">
        <v>2194</v>
      </c>
      <c r="R4827" t="s">
        <v>2635</v>
      </c>
      <c r="S4827">
        <v>38</v>
      </c>
      <c r="T4827" s="43" t="str">
        <f t="shared" si="224"/>
        <v>2022.009D.Circoviridae_rensp101_nsp48.zip</v>
      </c>
      <c r="U4827" s="43" t="str">
        <f>HYPERLINK("https://ictv.global/taxonomy/taxondetails?taxnode_id=202208682","ictv.global=202208682")</f>
        <v>ictv.global=202208682</v>
      </c>
    </row>
    <row r="4828" spans="1:21">
      <c r="A4828">
        <v>4827</v>
      </c>
      <c r="B4828" s="29" t="s">
        <v>4053</v>
      </c>
      <c r="C4828" s="29"/>
      <c r="D4828" s="29" t="s">
        <v>4082</v>
      </c>
      <c r="E4828" s="29"/>
      <c r="F4828" s="29" t="s">
        <v>4106</v>
      </c>
      <c r="G4828" s="29"/>
      <c r="H4828" s="29" t="s">
        <v>4107</v>
      </c>
      <c r="I4828" s="29"/>
      <c r="J4828" s="29" t="s">
        <v>4109</v>
      </c>
      <c r="K4828" s="29"/>
      <c r="L4828" s="29" t="s">
        <v>583</v>
      </c>
      <c r="M4828" s="29"/>
      <c r="N4828" s="29" t="s">
        <v>2195</v>
      </c>
      <c r="O4828" s="29"/>
      <c r="P4828" s="29" t="s">
        <v>12026</v>
      </c>
      <c r="Q4828" t="s">
        <v>2041</v>
      </c>
      <c r="R4828" t="s">
        <v>2635</v>
      </c>
      <c r="S4828">
        <v>38</v>
      </c>
      <c r="T4828" s="43" t="str">
        <f t="shared" si="224"/>
        <v>2022.009D.Circoviridae_rensp101_nsp48.zip</v>
      </c>
      <c r="U4828" s="43" t="str">
        <f>HYPERLINK("https://ictv.global/taxonomy/taxondetails?taxnode_id=202202948","ictv.global=202202948")</f>
        <v>ictv.global=202202948</v>
      </c>
    </row>
    <row r="4829" spans="1:21">
      <c r="A4829">
        <v>4828</v>
      </c>
      <c r="B4829" s="29" t="s">
        <v>4053</v>
      </c>
      <c r="C4829" s="29"/>
      <c r="D4829" s="29" t="s">
        <v>4082</v>
      </c>
      <c r="E4829" s="29"/>
      <c r="F4829" s="29" t="s">
        <v>4106</v>
      </c>
      <c r="G4829" s="29"/>
      <c r="H4829" s="29" t="s">
        <v>4107</v>
      </c>
      <c r="I4829" s="29"/>
      <c r="J4829" s="29" t="s">
        <v>4109</v>
      </c>
      <c r="K4829" s="29"/>
      <c r="L4829" s="29" t="s">
        <v>583</v>
      </c>
      <c r="M4829" s="29"/>
      <c r="N4829" s="29" t="s">
        <v>2195</v>
      </c>
      <c r="O4829" s="29"/>
      <c r="P4829" s="29" t="s">
        <v>12027</v>
      </c>
      <c r="Q4829" t="s">
        <v>2265</v>
      </c>
      <c r="R4829" t="s">
        <v>2632</v>
      </c>
      <c r="S4829">
        <v>38</v>
      </c>
      <c r="T4829" s="43" t="str">
        <f t="shared" si="224"/>
        <v>2022.009D.Circoviridae_rensp101_nsp48.zip</v>
      </c>
      <c r="U4829" s="43" t="str">
        <f>HYPERLINK("https://ictv.global/taxonomy/taxondetails?taxnode_id=202214117","ictv.global=202214117")</f>
        <v>ictv.global=202214117</v>
      </c>
    </row>
    <row r="4830" spans="1:21">
      <c r="A4830">
        <v>4829</v>
      </c>
      <c r="B4830" s="29" t="s">
        <v>4053</v>
      </c>
      <c r="C4830" s="29"/>
      <c r="D4830" s="29" t="s">
        <v>4082</v>
      </c>
      <c r="E4830" s="29"/>
      <c r="F4830" s="29" t="s">
        <v>4106</v>
      </c>
      <c r="G4830" s="29"/>
      <c r="H4830" s="29" t="s">
        <v>4107</v>
      </c>
      <c r="I4830" s="29"/>
      <c r="J4830" s="29" t="s">
        <v>4109</v>
      </c>
      <c r="K4830" s="29"/>
      <c r="L4830" s="29" t="s">
        <v>583</v>
      </c>
      <c r="M4830" s="29"/>
      <c r="N4830" s="29" t="s">
        <v>2195</v>
      </c>
      <c r="O4830" s="29"/>
      <c r="P4830" s="29" t="s">
        <v>12028</v>
      </c>
      <c r="Q4830" t="s">
        <v>2041</v>
      </c>
      <c r="R4830" t="s">
        <v>2635</v>
      </c>
      <c r="S4830">
        <v>38</v>
      </c>
      <c r="T4830" s="43" t="str">
        <f t="shared" si="224"/>
        <v>2022.009D.Circoviridae_rensp101_nsp48.zip</v>
      </c>
      <c r="U4830" s="43" t="str">
        <f>HYPERLINK("https://ictv.global/taxonomy/taxondetails?taxnode_id=202202956","ictv.global=202202956")</f>
        <v>ictv.global=202202956</v>
      </c>
    </row>
    <row r="4831" spans="1:21">
      <c r="A4831">
        <v>4830</v>
      </c>
      <c r="B4831" s="29" t="s">
        <v>4053</v>
      </c>
      <c r="C4831" s="29"/>
      <c r="D4831" s="29" t="s">
        <v>4082</v>
      </c>
      <c r="E4831" s="29"/>
      <c r="F4831" s="29" t="s">
        <v>4106</v>
      </c>
      <c r="G4831" s="29"/>
      <c r="H4831" s="29" t="s">
        <v>4107</v>
      </c>
      <c r="I4831" s="29"/>
      <c r="J4831" s="29" t="s">
        <v>4109</v>
      </c>
      <c r="K4831" s="29"/>
      <c r="L4831" s="29" t="s">
        <v>583</v>
      </c>
      <c r="M4831" s="29"/>
      <c r="N4831" s="29" t="s">
        <v>2195</v>
      </c>
      <c r="O4831" s="29"/>
      <c r="P4831" s="29" t="s">
        <v>12029</v>
      </c>
      <c r="Q4831" t="s">
        <v>2041</v>
      </c>
      <c r="R4831" t="s">
        <v>2635</v>
      </c>
      <c r="S4831">
        <v>38</v>
      </c>
      <c r="T4831" s="43" t="str">
        <f t="shared" ref="T4831:T4862" si="225">HYPERLINK("https://ictv.global/ictv/proposals/2022.009D.Circoviridae_rensp101_nsp48.zip","2022.009D.Circoviridae_rensp101_nsp48.zip")</f>
        <v>2022.009D.Circoviridae_rensp101_nsp48.zip</v>
      </c>
      <c r="U4831" s="43" t="str">
        <f>HYPERLINK("https://ictv.global/taxonomy/taxondetails?taxnode_id=202202960","ictv.global=202202960")</f>
        <v>ictv.global=202202960</v>
      </c>
    </row>
    <row r="4832" spans="1:21">
      <c r="A4832">
        <v>4831</v>
      </c>
      <c r="B4832" s="29" t="s">
        <v>4053</v>
      </c>
      <c r="C4832" s="29"/>
      <c r="D4832" s="29" t="s">
        <v>4082</v>
      </c>
      <c r="E4832" s="29"/>
      <c r="F4832" s="29" t="s">
        <v>4106</v>
      </c>
      <c r="G4832" s="29"/>
      <c r="H4832" s="29" t="s">
        <v>4107</v>
      </c>
      <c r="I4832" s="29"/>
      <c r="J4832" s="29" t="s">
        <v>4109</v>
      </c>
      <c r="K4832" s="29"/>
      <c r="L4832" s="29" t="s">
        <v>583</v>
      </c>
      <c r="M4832" s="29"/>
      <c r="N4832" s="29" t="s">
        <v>2195</v>
      </c>
      <c r="O4832" s="29"/>
      <c r="P4832" s="29" t="s">
        <v>12030</v>
      </c>
      <c r="Q4832" t="s">
        <v>2041</v>
      </c>
      <c r="R4832" t="s">
        <v>2635</v>
      </c>
      <c r="S4832">
        <v>38</v>
      </c>
      <c r="T4832" s="43" t="str">
        <f t="shared" si="225"/>
        <v>2022.009D.Circoviridae_rensp101_nsp48.zip</v>
      </c>
      <c r="U4832" s="43" t="str">
        <f>HYPERLINK("https://ictv.global/taxonomy/taxondetails?taxnode_id=202202965","ictv.global=202202965")</f>
        <v>ictv.global=202202965</v>
      </c>
    </row>
    <row r="4833" spans="1:21">
      <c r="A4833">
        <v>4832</v>
      </c>
      <c r="B4833" s="29" t="s">
        <v>4053</v>
      </c>
      <c r="C4833" s="29"/>
      <c r="D4833" s="29" t="s">
        <v>4082</v>
      </c>
      <c r="E4833" s="29"/>
      <c r="F4833" s="29" t="s">
        <v>4106</v>
      </c>
      <c r="G4833" s="29"/>
      <c r="H4833" s="29" t="s">
        <v>4107</v>
      </c>
      <c r="I4833" s="29"/>
      <c r="J4833" s="29" t="s">
        <v>4109</v>
      </c>
      <c r="K4833" s="29"/>
      <c r="L4833" s="29" t="s">
        <v>583</v>
      </c>
      <c r="M4833" s="29"/>
      <c r="N4833" s="29" t="s">
        <v>2195</v>
      </c>
      <c r="O4833" s="29"/>
      <c r="P4833" s="29" t="s">
        <v>12031</v>
      </c>
      <c r="Q4833" t="s">
        <v>2041</v>
      </c>
      <c r="R4833" t="s">
        <v>2635</v>
      </c>
      <c r="S4833">
        <v>38</v>
      </c>
      <c r="T4833" s="43" t="str">
        <f t="shared" si="225"/>
        <v>2022.009D.Circoviridae_rensp101_nsp48.zip</v>
      </c>
      <c r="U4833" s="43" t="str">
        <f>HYPERLINK("https://ictv.global/taxonomy/taxondetails?taxnode_id=202202940","ictv.global=202202940")</f>
        <v>ictv.global=202202940</v>
      </c>
    </row>
    <row r="4834" spans="1:21">
      <c r="A4834">
        <v>4833</v>
      </c>
      <c r="B4834" s="29" t="s">
        <v>4053</v>
      </c>
      <c r="C4834" s="29"/>
      <c r="D4834" s="29" t="s">
        <v>4082</v>
      </c>
      <c r="E4834" s="29"/>
      <c r="F4834" s="29" t="s">
        <v>4106</v>
      </c>
      <c r="G4834" s="29"/>
      <c r="H4834" s="29" t="s">
        <v>4107</v>
      </c>
      <c r="I4834" s="29"/>
      <c r="J4834" s="29" t="s">
        <v>4109</v>
      </c>
      <c r="K4834" s="29"/>
      <c r="L4834" s="29" t="s">
        <v>583</v>
      </c>
      <c r="M4834" s="29"/>
      <c r="N4834" s="29" t="s">
        <v>2195</v>
      </c>
      <c r="O4834" s="29"/>
      <c r="P4834" s="29" t="s">
        <v>12032</v>
      </c>
      <c r="Q4834" t="s">
        <v>2265</v>
      </c>
      <c r="R4834" t="s">
        <v>2632</v>
      </c>
      <c r="S4834">
        <v>38</v>
      </c>
      <c r="T4834" s="43" t="str">
        <f t="shared" si="225"/>
        <v>2022.009D.Circoviridae_rensp101_nsp48.zip</v>
      </c>
      <c r="U4834" s="43" t="str">
        <f>HYPERLINK("https://ictv.global/taxonomy/taxondetails?taxnode_id=202214120","ictv.global=202214120")</f>
        <v>ictv.global=202214120</v>
      </c>
    </row>
    <row r="4835" spans="1:21">
      <c r="A4835">
        <v>4834</v>
      </c>
      <c r="B4835" s="29" t="s">
        <v>4053</v>
      </c>
      <c r="C4835" s="29"/>
      <c r="D4835" s="29" t="s">
        <v>4082</v>
      </c>
      <c r="E4835" s="29"/>
      <c r="F4835" s="29" t="s">
        <v>4106</v>
      </c>
      <c r="G4835" s="29"/>
      <c r="H4835" s="29" t="s">
        <v>4107</v>
      </c>
      <c r="I4835" s="29"/>
      <c r="J4835" s="29" t="s">
        <v>4109</v>
      </c>
      <c r="K4835" s="29"/>
      <c r="L4835" s="29" t="s">
        <v>583</v>
      </c>
      <c r="M4835" s="29"/>
      <c r="N4835" s="29" t="s">
        <v>2195</v>
      </c>
      <c r="O4835" s="29"/>
      <c r="P4835" s="29" t="s">
        <v>12033</v>
      </c>
      <c r="Q4835" t="s">
        <v>2041</v>
      </c>
      <c r="R4835" t="s">
        <v>2635</v>
      </c>
      <c r="S4835">
        <v>38</v>
      </c>
      <c r="T4835" s="43" t="str">
        <f t="shared" si="225"/>
        <v>2022.009D.Circoviridae_rensp101_nsp48.zip</v>
      </c>
      <c r="U4835" s="43" t="str">
        <f>HYPERLINK("https://ictv.global/taxonomy/taxondetails?taxnode_id=202202961","ictv.global=202202961")</f>
        <v>ictv.global=202202961</v>
      </c>
    </row>
    <row r="4836" spans="1:21">
      <c r="A4836">
        <v>4835</v>
      </c>
      <c r="B4836" s="29" t="s">
        <v>4053</v>
      </c>
      <c r="C4836" s="29"/>
      <c r="D4836" s="29" t="s">
        <v>4082</v>
      </c>
      <c r="E4836" s="29"/>
      <c r="F4836" s="29" t="s">
        <v>4106</v>
      </c>
      <c r="G4836" s="29"/>
      <c r="H4836" s="29" t="s">
        <v>4107</v>
      </c>
      <c r="I4836" s="29"/>
      <c r="J4836" s="29" t="s">
        <v>4109</v>
      </c>
      <c r="K4836" s="29"/>
      <c r="L4836" s="29" t="s">
        <v>583</v>
      </c>
      <c r="M4836" s="29"/>
      <c r="N4836" s="29" t="s">
        <v>2195</v>
      </c>
      <c r="O4836" s="29"/>
      <c r="P4836" s="29" t="s">
        <v>12034</v>
      </c>
      <c r="Q4836" t="s">
        <v>2265</v>
      </c>
      <c r="R4836" t="s">
        <v>2632</v>
      </c>
      <c r="S4836">
        <v>38</v>
      </c>
      <c r="T4836" s="43" t="str">
        <f t="shared" si="225"/>
        <v>2022.009D.Circoviridae_rensp101_nsp48.zip</v>
      </c>
      <c r="U4836" s="43" t="str">
        <f>HYPERLINK("https://ictv.global/taxonomy/taxondetails?taxnode_id=202214099","ictv.global=202214099")</f>
        <v>ictv.global=202214099</v>
      </c>
    </row>
    <row r="4837" spans="1:21">
      <c r="A4837">
        <v>4836</v>
      </c>
      <c r="B4837" s="29" t="s">
        <v>4053</v>
      </c>
      <c r="C4837" s="29"/>
      <c r="D4837" s="29" t="s">
        <v>4082</v>
      </c>
      <c r="E4837" s="29"/>
      <c r="F4837" s="29" t="s">
        <v>4106</v>
      </c>
      <c r="G4837" s="29"/>
      <c r="H4837" s="29" t="s">
        <v>4107</v>
      </c>
      <c r="I4837" s="29"/>
      <c r="J4837" s="29" t="s">
        <v>4109</v>
      </c>
      <c r="K4837" s="29"/>
      <c r="L4837" s="29" t="s">
        <v>583</v>
      </c>
      <c r="M4837" s="29"/>
      <c r="N4837" s="29" t="s">
        <v>2195</v>
      </c>
      <c r="O4837" s="29"/>
      <c r="P4837" s="29" t="s">
        <v>12035</v>
      </c>
      <c r="Q4837" t="s">
        <v>2041</v>
      </c>
      <c r="R4837" t="s">
        <v>2635</v>
      </c>
      <c r="S4837">
        <v>38</v>
      </c>
      <c r="T4837" s="43" t="str">
        <f t="shared" si="225"/>
        <v>2022.009D.Circoviridae_rensp101_nsp48.zip</v>
      </c>
      <c r="U4837" s="43" t="str">
        <f>HYPERLINK("https://ictv.global/taxonomy/taxondetails?taxnode_id=202202942","ictv.global=202202942")</f>
        <v>ictv.global=202202942</v>
      </c>
    </row>
    <row r="4838" spans="1:21">
      <c r="A4838">
        <v>4837</v>
      </c>
      <c r="B4838" s="29" t="s">
        <v>4053</v>
      </c>
      <c r="C4838" s="29"/>
      <c r="D4838" s="29" t="s">
        <v>4082</v>
      </c>
      <c r="E4838" s="29"/>
      <c r="F4838" s="29" t="s">
        <v>4106</v>
      </c>
      <c r="G4838" s="29"/>
      <c r="H4838" s="29" t="s">
        <v>4107</v>
      </c>
      <c r="I4838" s="29"/>
      <c r="J4838" s="29" t="s">
        <v>4109</v>
      </c>
      <c r="K4838" s="29"/>
      <c r="L4838" s="29" t="s">
        <v>583</v>
      </c>
      <c r="M4838" s="29"/>
      <c r="N4838" s="29" t="s">
        <v>2195</v>
      </c>
      <c r="O4838" s="29"/>
      <c r="P4838" s="29" t="s">
        <v>12036</v>
      </c>
      <c r="Q4838" t="s">
        <v>2265</v>
      </c>
      <c r="R4838" t="s">
        <v>2632</v>
      </c>
      <c r="S4838">
        <v>38</v>
      </c>
      <c r="T4838" s="43" t="str">
        <f t="shared" si="225"/>
        <v>2022.009D.Circoviridae_rensp101_nsp48.zip</v>
      </c>
      <c r="U4838" s="43" t="str">
        <f>HYPERLINK("https://ictv.global/taxonomy/taxondetails?taxnode_id=202214122","ictv.global=202214122")</f>
        <v>ictv.global=202214122</v>
      </c>
    </row>
    <row r="4839" spans="1:21">
      <c r="A4839">
        <v>4838</v>
      </c>
      <c r="B4839" s="29" t="s">
        <v>4053</v>
      </c>
      <c r="C4839" s="29"/>
      <c r="D4839" s="29" t="s">
        <v>4082</v>
      </c>
      <c r="E4839" s="29"/>
      <c r="F4839" s="29" t="s">
        <v>4106</v>
      </c>
      <c r="G4839" s="29"/>
      <c r="H4839" s="29" t="s">
        <v>4107</v>
      </c>
      <c r="I4839" s="29"/>
      <c r="J4839" s="29" t="s">
        <v>4109</v>
      </c>
      <c r="K4839" s="29"/>
      <c r="L4839" s="29" t="s">
        <v>583</v>
      </c>
      <c r="M4839" s="29"/>
      <c r="N4839" s="29" t="s">
        <v>2195</v>
      </c>
      <c r="O4839" s="29"/>
      <c r="P4839" s="29" t="s">
        <v>12037</v>
      </c>
      <c r="Q4839" t="s">
        <v>2041</v>
      </c>
      <c r="R4839" t="s">
        <v>2635</v>
      </c>
      <c r="S4839">
        <v>38</v>
      </c>
      <c r="T4839" s="43" t="str">
        <f t="shared" si="225"/>
        <v>2022.009D.Circoviridae_rensp101_nsp48.zip</v>
      </c>
      <c r="U4839" s="43" t="str">
        <f>HYPERLINK("https://ictv.global/taxonomy/taxondetails?taxnode_id=202202935","ictv.global=202202935")</f>
        <v>ictv.global=202202935</v>
      </c>
    </row>
    <row r="4840" spans="1:21">
      <c r="A4840">
        <v>4839</v>
      </c>
      <c r="B4840" s="29" t="s">
        <v>4053</v>
      </c>
      <c r="C4840" s="29"/>
      <c r="D4840" s="29" t="s">
        <v>4082</v>
      </c>
      <c r="E4840" s="29"/>
      <c r="F4840" s="29" t="s">
        <v>4106</v>
      </c>
      <c r="G4840" s="29"/>
      <c r="H4840" s="29" t="s">
        <v>4107</v>
      </c>
      <c r="I4840" s="29"/>
      <c r="J4840" s="29" t="s">
        <v>4109</v>
      </c>
      <c r="K4840" s="29"/>
      <c r="L4840" s="29" t="s">
        <v>583</v>
      </c>
      <c r="M4840" s="29"/>
      <c r="N4840" s="29" t="s">
        <v>2195</v>
      </c>
      <c r="O4840" s="29"/>
      <c r="P4840" s="29" t="s">
        <v>12038</v>
      </c>
      <c r="Q4840" t="s">
        <v>2265</v>
      </c>
      <c r="R4840" t="s">
        <v>2632</v>
      </c>
      <c r="S4840">
        <v>38</v>
      </c>
      <c r="T4840" s="43" t="str">
        <f t="shared" si="225"/>
        <v>2022.009D.Circoviridae_rensp101_nsp48.zip</v>
      </c>
      <c r="U4840" s="43" t="str">
        <f>HYPERLINK("https://ictv.global/taxonomy/taxondetails?taxnode_id=202214109","ictv.global=202214109")</f>
        <v>ictv.global=202214109</v>
      </c>
    </row>
    <row r="4841" spans="1:21">
      <c r="A4841">
        <v>4840</v>
      </c>
      <c r="B4841" s="29" t="s">
        <v>4053</v>
      </c>
      <c r="C4841" s="29"/>
      <c r="D4841" s="29" t="s">
        <v>4082</v>
      </c>
      <c r="E4841" s="29"/>
      <c r="F4841" s="29" t="s">
        <v>4106</v>
      </c>
      <c r="G4841" s="29"/>
      <c r="H4841" s="29" t="s">
        <v>4107</v>
      </c>
      <c r="I4841" s="29"/>
      <c r="J4841" s="29" t="s">
        <v>4109</v>
      </c>
      <c r="K4841" s="29"/>
      <c r="L4841" s="29" t="s">
        <v>583</v>
      </c>
      <c r="M4841" s="29"/>
      <c r="N4841" s="29" t="s">
        <v>2195</v>
      </c>
      <c r="O4841" s="29"/>
      <c r="P4841" s="29" t="s">
        <v>12039</v>
      </c>
      <c r="Q4841" t="s">
        <v>2265</v>
      </c>
      <c r="R4841" t="s">
        <v>2632</v>
      </c>
      <c r="S4841">
        <v>38</v>
      </c>
      <c r="T4841" s="43" t="str">
        <f t="shared" si="225"/>
        <v>2022.009D.Circoviridae_rensp101_nsp48.zip</v>
      </c>
      <c r="U4841" s="43" t="str">
        <f>HYPERLINK("https://ictv.global/taxonomy/taxondetails?taxnode_id=202214090","ictv.global=202214090")</f>
        <v>ictv.global=202214090</v>
      </c>
    </row>
    <row r="4842" spans="1:21">
      <c r="A4842">
        <v>4841</v>
      </c>
      <c r="B4842" s="29" t="s">
        <v>4053</v>
      </c>
      <c r="C4842" s="29"/>
      <c r="D4842" s="29" t="s">
        <v>4082</v>
      </c>
      <c r="E4842" s="29"/>
      <c r="F4842" s="29" t="s">
        <v>4106</v>
      </c>
      <c r="G4842" s="29"/>
      <c r="H4842" s="29" t="s">
        <v>4107</v>
      </c>
      <c r="I4842" s="29"/>
      <c r="J4842" s="29" t="s">
        <v>4109</v>
      </c>
      <c r="K4842" s="29"/>
      <c r="L4842" s="29" t="s">
        <v>583</v>
      </c>
      <c r="M4842" s="29"/>
      <c r="N4842" s="29" t="s">
        <v>2195</v>
      </c>
      <c r="O4842" s="29"/>
      <c r="P4842" s="29" t="s">
        <v>12040</v>
      </c>
      <c r="Q4842" t="s">
        <v>2265</v>
      </c>
      <c r="R4842" t="s">
        <v>2632</v>
      </c>
      <c r="S4842">
        <v>38</v>
      </c>
      <c r="T4842" s="43" t="str">
        <f t="shared" si="225"/>
        <v>2022.009D.Circoviridae_rensp101_nsp48.zip</v>
      </c>
      <c r="U4842" s="43" t="str">
        <f>HYPERLINK("https://ictv.global/taxonomy/taxondetails?taxnode_id=202214116","ictv.global=202214116")</f>
        <v>ictv.global=202214116</v>
      </c>
    </row>
    <row r="4843" spans="1:21">
      <c r="A4843">
        <v>4842</v>
      </c>
      <c r="B4843" s="29" t="s">
        <v>4053</v>
      </c>
      <c r="C4843" s="29"/>
      <c r="D4843" s="29" t="s">
        <v>4082</v>
      </c>
      <c r="E4843" s="29"/>
      <c r="F4843" s="29" t="s">
        <v>4106</v>
      </c>
      <c r="G4843" s="29"/>
      <c r="H4843" s="29" t="s">
        <v>4107</v>
      </c>
      <c r="I4843" s="29"/>
      <c r="J4843" s="29" t="s">
        <v>4109</v>
      </c>
      <c r="K4843" s="29"/>
      <c r="L4843" s="29" t="s">
        <v>583</v>
      </c>
      <c r="M4843" s="29"/>
      <c r="N4843" s="29" t="s">
        <v>2195</v>
      </c>
      <c r="O4843" s="29"/>
      <c r="P4843" s="29" t="s">
        <v>12041</v>
      </c>
      <c r="Q4843" t="s">
        <v>2041</v>
      </c>
      <c r="R4843" t="s">
        <v>2635</v>
      </c>
      <c r="S4843">
        <v>38</v>
      </c>
      <c r="T4843" s="43" t="str">
        <f t="shared" si="225"/>
        <v>2022.009D.Circoviridae_rensp101_nsp48.zip</v>
      </c>
      <c r="U4843" s="43" t="str">
        <f>HYPERLINK("https://ictv.global/taxonomy/taxondetails?taxnode_id=202202947","ictv.global=202202947")</f>
        <v>ictv.global=202202947</v>
      </c>
    </row>
    <row r="4844" spans="1:21">
      <c r="A4844">
        <v>4843</v>
      </c>
      <c r="B4844" s="29" t="s">
        <v>4053</v>
      </c>
      <c r="C4844" s="29"/>
      <c r="D4844" s="29" t="s">
        <v>4082</v>
      </c>
      <c r="E4844" s="29"/>
      <c r="F4844" s="29" t="s">
        <v>4106</v>
      </c>
      <c r="G4844" s="29"/>
      <c r="H4844" s="29" t="s">
        <v>4107</v>
      </c>
      <c r="I4844" s="29"/>
      <c r="J4844" s="29" t="s">
        <v>4109</v>
      </c>
      <c r="K4844" s="29"/>
      <c r="L4844" s="29" t="s">
        <v>583</v>
      </c>
      <c r="M4844" s="29"/>
      <c r="N4844" s="29" t="s">
        <v>2195</v>
      </c>
      <c r="O4844" s="29"/>
      <c r="P4844" s="29" t="s">
        <v>12042</v>
      </c>
      <c r="Q4844" t="s">
        <v>2041</v>
      </c>
      <c r="R4844" t="s">
        <v>2635</v>
      </c>
      <c r="S4844">
        <v>38</v>
      </c>
      <c r="T4844" s="43" t="str">
        <f t="shared" si="225"/>
        <v>2022.009D.Circoviridae_rensp101_nsp48.zip</v>
      </c>
      <c r="U4844" s="43" t="str">
        <f>HYPERLINK("https://ictv.global/taxonomy/taxondetails?taxnode_id=202202959","ictv.global=202202959")</f>
        <v>ictv.global=202202959</v>
      </c>
    </row>
    <row r="4845" spans="1:21">
      <c r="A4845">
        <v>4844</v>
      </c>
      <c r="B4845" s="29" t="s">
        <v>4053</v>
      </c>
      <c r="C4845" s="29"/>
      <c r="D4845" s="29" t="s">
        <v>4082</v>
      </c>
      <c r="E4845" s="29"/>
      <c r="F4845" s="29" t="s">
        <v>4106</v>
      </c>
      <c r="G4845" s="29"/>
      <c r="H4845" s="29" t="s">
        <v>4107</v>
      </c>
      <c r="I4845" s="29"/>
      <c r="J4845" s="29" t="s">
        <v>4109</v>
      </c>
      <c r="K4845" s="29"/>
      <c r="L4845" s="29" t="s">
        <v>583</v>
      </c>
      <c r="M4845" s="29"/>
      <c r="N4845" s="29" t="s">
        <v>2195</v>
      </c>
      <c r="O4845" s="29"/>
      <c r="P4845" s="29" t="s">
        <v>12043</v>
      </c>
      <c r="Q4845" t="s">
        <v>2041</v>
      </c>
      <c r="R4845" t="s">
        <v>2635</v>
      </c>
      <c r="S4845">
        <v>38</v>
      </c>
      <c r="T4845" s="43" t="str">
        <f t="shared" si="225"/>
        <v>2022.009D.Circoviridae_rensp101_nsp48.zip</v>
      </c>
      <c r="U4845" s="43" t="str">
        <f>HYPERLINK("https://ictv.global/taxonomy/taxondetails?taxnode_id=202202966","ictv.global=202202966")</f>
        <v>ictv.global=202202966</v>
      </c>
    </row>
    <row r="4846" spans="1:21">
      <c r="A4846">
        <v>4845</v>
      </c>
      <c r="B4846" s="29" t="s">
        <v>4053</v>
      </c>
      <c r="C4846" s="29"/>
      <c r="D4846" s="29" t="s">
        <v>4082</v>
      </c>
      <c r="E4846" s="29"/>
      <c r="F4846" s="29" t="s">
        <v>4106</v>
      </c>
      <c r="G4846" s="29"/>
      <c r="H4846" s="29" t="s">
        <v>4107</v>
      </c>
      <c r="I4846" s="29"/>
      <c r="J4846" s="29" t="s">
        <v>4109</v>
      </c>
      <c r="K4846" s="29"/>
      <c r="L4846" s="29" t="s">
        <v>583</v>
      </c>
      <c r="M4846" s="29"/>
      <c r="N4846" s="29" t="s">
        <v>2195</v>
      </c>
      <c r="O4846" s="29"/>
      <c r="P4846" s="29" t="s">
        <v>12044</v>
      </c>
      <c r="Q4846" t="s">
        <v>2041</v>
      </c>
      <c r="R4846" t="s">
        <v>2635</v>
      </c>
      <c r="S4846">
        <v>38</v>
      </c>
      <c r="T4846" s="43" t="str">
        <f t="shared" si="225"/>
        <v>2022.009D.Circoviridae_rensp101_nsp48.zip</v>
      </c>
      <c r="U4846" s="43" t="str">
        <f>HYPERLINK("https://ictv.global/taxonomy/taxondetails?taxnode_id=202202971","ictv.global=202202971")</f>
        <v>ictv.global=202202971</v>
      </c>
    </row>
    <row r="4847" spans="1:21">
      <c r="A4847">
        <v>4846</v>
      </c>
      <c r="B4847" s="29" t="s">
        <v>4053</v>
      </c>
      <c r="C4847" s="29"/>
      <c r="D4847" s="29" t="s">
        <v>4082</v>
      </c>
      <c r="E4847" s="29"/>
      <c r="F4847" s="29" t="s">
        <v>4106</v>
      </c>
      <c r="G4847" s="29"/>
      <c r="H4847" s="29" t="s">
        <v>4107</v>
      </c>
      <c r="I4847" s="29"/>
      <c r="J4847" s="29" t="s">
        <v>4109</v>
      </c>
      <c r="K4847" s="29"/>
      <c r="L4847" s="29" t="s">
        <v>583</v>
      </c>
      <c r="M4847" s="29"/>
      <c r="N4847" s="29" t="s">
        <v>2195</v>
      </c>
      <c r="O4847" s="29"/>
      <c r="P4847" s="29" t="s">
        <v>12045</v>
      </c>
      <c r="Q4847" t="s">
        <v>2265</v>
      </c>
      <c r="R4847" t="s">
        <v>2632</v>
      </c>
      <c r="S4847">
        <v>38</v>
      </c>
      <c r="T4847" s="43" t="str">
        <f t="shared" si="225"/>
        <v>2022.009D.Circoviridae_rensp101_nsp48.zip</v>
      </c>
      <c r="U4847" s="43" t="str">
        <f>HYPERLINK("https://ictv.global/taxonomy/taxondetails?taxnode_id=202214115","ictv.global=202214115")</f>
        <v>ictv.global=202214115</v>
      </c>
    </row>
    <row r="4848" spans="1:21">
      <c r="A4848">
        <v>4847</v>
      </c>
      <c r="B4848" s="29" t="s">
        <v>4053</v>
      </c>
      <c r="C4848" s="29"/>
      <c r="D4848" s="29" t="s">
        <v>4082</v>
      </c>
      <c r="E4848" s="29"/>
      <c r="F4848" s="29" t="s">
        <v>4106</v>
      </c>
      <c r="G4848" s="29"/>
      <c r="H4848" s="29" t="s">
        <v>4107</v>
      </c>
      <c r="I4848" s="29"/>
      <c r="J4848" s="29" t="s">
        <v>4109</v>
      </c>
      <c r="K4848" s="29"/>
      <c r="L4848" s="29" t="s">
        <v>583</v>
      </c>
      <c r="M4848" s="29"/>
      <c r="N4848" s="29" t="s">
        <v>2195</v>
      </c>
      <c r="O4848" s="29"/>
      <c r="P4848" s="29" t="s">
        <v>12046</v>
      </c>
      <c r="Q4848" t="s">
        <v>2041</v>
      </c>
      <c r="R4848" t="s">
        <v>2635</v>
      </c>
      <c r="S4848">
        <v>38</v>
      </c>
      <c r="T4848" s="43" t="str">
        <f t="shared" si="225"/>
        <v>2022.009D.Circoviridae_rensp101_nsp48.zip</v>
      </c>
      <c r="U4848" s="43" t="str">
        <f>HYPERLINK("https://ictv.global/taxonomy/taxondetails?taxnode_id=202202963","ictv.global=202202963")</f>
        <v>ictv.global=202202963</v>
      </c>
    </row>
    <row r="4849" spans="1:21">
      <c r="A4849">
        <v>4848</v>
      </c>
      <c r="B4849" s="29" t="s">
        <v>4053</v>
      </c>
      <c r="C4849" s="29"/>
      <c r="D4849" s="29" t="s">
        <v>4082</v>
      </c>
      <c r="E4849" s="29"/>
      <c r="F4849" s="29" t="s">
        <v>4106</v>
      </c>
      <c r="G4849" s="29"/>
      <c r="H4849" s="29" t="s">
        <v>4107</v>
      </c>
      <c r="I4849" s="29"/>
      <c r="J4849" s="29" t="s">
        <v>4109</v>
      </c>
      <c r="K4849" s="29"/>
      <c r="L4849" s="29" t="s">
        <v>583</v>
      </c>
      <c r="M4849" s="29"/>
      <c r="N4849" s="29" t="s">
        <v>2195</v>
      </c>
      <c r="O4849" s="29"/>
      <c r="P4849" s="29" t="s">
        <v>12047</v>
      </c>
      <c r="Q4849" t="s">
        <v>2041</v>
      </c>
      <c r="R4849" t="s">
        <v>2635</v>
      </c>
      <c r="S4849">
        <v>38</v>
      </c>
      <c r="T4849" s="43" t="str">
        <f t="shared" si="225"/>
        <v>2022.009D.Circoviridae_rensp101_nsp48.zip</v>
      </c>
      <c r="U4849" s="43" t="str">
        <f>HYPERLINK("https://ictv.global/taxonomy/taxondetails?taxnode_id=202202931","ictv.global=202202931")</f>
        <v>ictv.global=202202931</v>
      </c>
    </row>
    <row r="4850" spans="1:21">
      <c r="A4850">
        <v>4849</v>
      </c>
      <c r="B4850" s="29" t="s">
        <v>4053</v>
      </c>
      <c r="C4850" s="29"/>
      <c r="D4850" s="29" t="s">
        <v>4082</v>
      </c>
      <c r="E4850" s="29"/>
      <c r="F4850" s="29" t="s">
        <v>4106</v>
      </c>
      <c r="G4850" s="29"/>
      <c r="H4850" s="29" t="s">
        <v>4107</v>
      </c>
      <c r="I4850" s="29"/>
      <c r="J4850" s="29" t="s">
        <v>4109</v>
      </c>
      <c r="K4850" s="29"/>
      <c r="L4850" s="29" t="s">
        <v>583</v>
      </c>
      <c r="M4850" s="29"/>
      <c r="N4850" s="29" t="s">
        <v>2195</v>
      </c>
      <c r="O4850" s="29"/>
      <c r="P4850" s="29" t="s">
        <v>12048</v>
      </c>
      <c r="Q4850" t="s">
        <v>2041</v>
      </c>
      <c r="R4850" t="s">
        <v>2635</v>
      </c>
      <c r="S4850">
        <v>38</v>
      </c>
      <c r="T4850" s="43" t="str">
        <f t="shared" si="225"/>
        <v>2022.009D.Circoviridae_rensp101_nsp48.zip</v>
      </c>
      <c r="U4850" s="43" t="str">
        <f>HYPERLINK("https://ictv.global/taxonomy/taxondetails?taxnode_id=202202932","ictv.global=202202932")</f>
        <v>ictv.global=202202932</v>
      </c>
    </row>
    <row r="4851" spans="1:21">
      <c r="A4851">
        <v>4850</v>
      </c>
      <c r="B4851" s="29" t="s">
        <v>4053</v>
      </c>
      <c r="C4851" s="29"/>
      <c r="D4851" s="29" t="s">
        <v>4082</v>
      </c>
      <c r="E4851" s="29"/>
      <c r="F4851" s="29" t="s">
        <v>4106</v>
      </c>
      <c r="G4851" s="29"/>
      <c r="H4851" s="29" t="s">
        <v>4107</v>
      </c>
      <c r="I4851" s="29"/>
      <c r="J4851" s="29" t="s">
        <v>4109</v>
      </c>
      <c r="K4851" s="29"/>
      <c r="L4851" s="29" t="s">
        <v>583</v>
      </c>
      <c r="M4851" s="29"/>
      <c r="N4851" s="29" t="s">
        <v>2195</v>
      </c>
      <c r="O4851" s="29"/>
      <c r="P4851" s="29" t="s">
        <v>12049</v>
      </c>
      <c r="Q4851" t="s">
        <v>2041</v>
      </c>
      <c r="R4851" t="s">
        <v>2635</v>
      </c>
      <c r="S4851">
        <v>38</v>
      </c>
      <c r="T4851" s="43" t="str">
        <f t="shared" si="225"/>
        <v>2022.009D.Circoviridae_rensp101_nsp48.zip</v>
      </c>
      <c r="U4851" s="43" t="str">
        <f>HYPERLINK("https://ictv.global/taxonomy/taxondetails?taxnode_id=202206318","ictv.global=202206318")</f>
        <v>ictv.global=202206318</v>
      </c>
    </row>
    <row r="4852" spans="1:21">
      <c r="A4852">
        <v>4851</v>
      </c>
      <c r="B4852" s="29" t="s">
        <v>4053</v>
      </c>
      <c r="C4852" s="29"/>
      <c r="D4852" s="29" t="s">
        <v>4082</v>
      </c>
      <c r="E4852" s="29"/>
      <c r="F4852" s="29" t="s">
        <v>4106</v>
      </c>
      <c r="G4852" s="29"/>
      <c r="H4852" s="29" t="s">
        <v>4107</v>
      </c>
      <c r="I4852" s="29"/>
      <c r="J4852" s="29" t="s">
        <v>4109</v>
      </c>
      <c r="K4852" s="29"/>
      <c r="L4852" s="29" t="s">
        <v>583</v>
      </c>
      <c r="M4852" s="29"/>
      <c r="N4852" s="29" t="s">
        <v>2195</v>
      </c>
      <c r="O4852" s="29"/>
      <c r="P4852" s="29" t="s">
        <v>12050</v>
      </c>
      <c r="Q4852" t="s">
        <v>2265</v>
      </c>
      <c r="R4852" t="s">
        <v>2632</v>
      </c>
      <c r="S4852">
        <v>38</v>
      </c>
      <c r="T4852" s="43" t="str">
        <f t="shared" si="225"/>
        <v>2022.009D.Circoviridae_rensp101_nsp48.zip</v>
      </c>
      <c r="U4852" s="43" t="str">
        <f>HYPERLINK("https://ictv.global/taxonomy/taxondetails?taxnode_id=202214114","ictv.global=202214114")</f>
        <v>ictv.global=202214114</v>
      </c>
    </row>
    <row r="4853" spans="1:21">
      <c r="A4853">
        <v>4852</v>
      </c>
      <c r="B4853" s="29" t="s">
        <v>4053</v>
      </c>
      <c r="C4853" s="29"/>
      <c r="D4853" s="29" t="s">
        <v>4082</v>
      </c>
      <c r="E4853" s="29"/>
      <c r="F4853" s="29" t="s">
        <v>4106</v>
      </c>
      <c r="G4853" s="29"/>
      <c r="H4853" s="29" t="s">
        <v>4107</v>
      </c>
      <c r="I4853" s="29"/>
      <c r="J4853" s="29" t="s">
        <v>4109</v>
      </c>
      <c r="K4853" s="29"/>
      <c r="L4853" s="29" t="s">
        <v>583</v>
      </c>
      <c r="M4853" s="29"/>
      <c r="N4853" s="29" t="s">
        <v>2195</v>
      </c>
      <c r="O4853" s="29"/>
      <c r="P4853" s="29" t="s">
        <v>12051</v>
      </c>
      <c r="Q4853" t="s">
        <v>2041</v>
      </c>
      <c r="R4853" t="s">
        <v>2635</v>
      </c>
      <c r="S4853">
        <v>38</v>
      </c>
      <c r="T4853" s="43" t="str">
        <f t="shared" si="225"/>
        <v>2022.009D.Circoviridae_rensp101_nsp48.zip</v>
      </c>
      <c r="U4853" s="43" t="str">
        <f>HYPERLINK("https://ictv.global/taxonomy/taxondetails?taxnode_id=202202939","ictv.global=202202939")</f>
        <v>ictv.global=202202939</v>
      </c>
    </row>
    <row r="4854" spans="1:21">
      <c r="A4854">
        <v>4853</v>
      </c>
      <c r="B4854" s="29" t="s">
        <v>4053</v>
      </c>
      <c r="C4854" s="29"/>
      <c r="D4854" s="29" t="s">
        <v>4082</v>
      </c>
      <c r="E4854" s="29"/>
      <c r="F4854" s="29" t="s">
        <v>4106</v>
      </c>
      <c r="G4854" s="29"/>
      <c r="H4854" s="29" t="s">
        <v>4107</v>
      </c>
      <c r="I4854" s="29"/>
      <c r="J4854" s="29" t="s">
        <v>4109</v>
      </c>
      <c r="K4854" s="29"/>
      <c r="L4854" s="29" t="s">
        <v>583</v>
      </c>
      <c r="M4854" s="29"/>
      <c r="N4854" s="29" t="s">
        <v>2195</v>
      </c>
      <c r="O4854" s="29"/>
      <c r="P4854" s="29" t="s">
        <v>12052</v>
      </c>
      <c r="Q4854" t="s">
        <v>2041</v>
      </c>
      <c r="R4854" t="s">
        <v>2635</v>
      </c>
      <c r="S4854">
        <v>38</v>
      </c>
      <c r="T4854" s="43" t="str">
        <f t="shared" si="225"/>
        <v>2022.009D.Circoviridae_rensp101_nsp48.zip</v>
      </c>
      <c r="U4854" s="43" t="str">
        <f>HYPERLINK("https://ictv.global/taxonomy/taxondetails?taxnode_id=202202933","ictv.global=202202933")</f>
        <v>ictv.global=202202933</v>
      </c>
    </row>
    <row r="4855" spans="1:21">
      <c r="A4855">
        <v>4854</v>
      </c>
      <c r="B4855" s="29" t="s">
        <v>4053</v>
      </c>
      <c r="C4855" s="29"/>
      <c r="D4855" s="29" t="s">
        <v>4082</v>
      </c>
      <c r="E4855" s="29"/>
      <c r="F4855" s="29" t="s">
        <v>4106</v>
      </c>
      <c r="G4855" s="29"/>
      <c r="H4855" s="29" t="s">
        <v>4107</v>
      </c>
      <c r="I4855" s="29"/>
      <c r="J4855" s="29" t="s">
        <v>4109</v>
      </c>
      <c r="K4855" s="29"/>
      <c r="L4855" s="29" t="s">
        <v>583</v>
      </c>
      <c r="M4855" s="29"/>
      <c r="N4855" s="29" t="s">
        <v>2195</v>
      </c>
      <c r="O4855" s="29"/>
      <c r="P4855" s="29" t="s">
        <v>12053</v>
      </c>
      <c r="Q4855" t="s">
        <v>2041</v>
      </c>
      <c r="R4855" t="s">
        <v>2635</v>
      </c>
      <c r="S4855">
        <v>38</v>
      </c>
      <c r="T4855" s="43" t="str">
        <f t="shared" si="225"/>
        <v>2022.009D.Circoviridae_rensp101_nsp48.zip</v>
      </c>
      <c r="U4855" s="43" t="str">
        <f>HYPERLINK("https://ictv.global/taxonomy/taxondetails?taxnode_id=202202951","ictv.global=202202951")</f>
        <v>ictv.global=202202951</v>
      </c>
    </row>
    <row r="4856" spans="1:21">
      <c r="A4856">
        <v>4855</v>
      </c>
      <c r="B4856" s="29" t="s">
        <v>4053</v>
      </c>
      <c r="C4856" s="29"/>
      <c r="D4856" s="29" t="s">
        <v>4082</v>
      </c>
      <c r="E4856" s="29"/>
      <c r="F4856" s="29" t="s">
        <v>4106</v>
      </c>
      <c r="G4856" s="29"/>
      <c r="H4856" s="29" t="s">
        <v>4107</v>
      </c>
      <c r="I4856" s="29"/>
      <c r="J4856" s="29" t="s">
        <v>4109</v>
      </c>
      <c r="K4856" s="29"/>
      <c r="L4856" s="29" t="s">
        <v>583</v>
      </c>
      <c r="M4856" s="29"/>
      <c r="N4856" s="29" t="s">
        <v>2195</v>
      </c>
      <c r="O4856" s="29"/>
      <c r="P4856" s="29" t="s">
        <v>12054</v>
      </c>
      <c r="Q4856" t="s">
        <v>2265</v>
      </c>
      <c r="R4856" t="s">
        <v>2632</v>
      </c>
      <c r="S4856">
        <v>38</v>
      </c>
      <c r="T4856" s="43" t="str">
        <f t="shared" si="225"/>
        <v>2022.009D.Circoviridae_rensp101_nsp48.zip</v>
      </c>
      <c r="U4856" s="43" t="str">
        <f>HYPERLINK("https://ictv.global/taxonomy/taxondetails?taxnode_id=202214118","ictv.global=202214118")</f>
        <v>ictv.global=202214118</v>
      </c>
    </row>
    <row r="4857" spans="1:21">
      <c r="A4857">
        <v>4856</v>
      </c>
      <c r="B4857" s="29" t="s">
        <v>4053</v>
      </c>
      <c r="C4857" s="29"/>
      <c r="D4857" s="29" t="s">
        <v>4082</v>
      </c>
      <c r="E4857" s="29"/>
      <c r="F4857" s="29" t="s">
        <v>4106</v>
      </c>
      <c r="G4857" s="29"/>
      <c r="H4857" s="29" t="s">
        <v>4107</v>
      </c>
      <c r="I4857" s="29"/>
      <c r="J4857" s="29" t="s">
        <v>4109</v>
      </c>
      <c r="K4857" s="29"/>
      <c r="L4857" s="29" t="s">
        <v>583</v>
      </c>
      <c r="M4857" s="29"/>
      <c r="N4857" s="29" t="s">
        <v>2195</v>
      </c>
      <c r="O4857" s="29"/>
      <c r="P4857" s="29" t="s">
        <v>12055</v>
      </c>
      <c r="Q4857" t="s">
        <v>2041</v>
      </c>
      <c r="R4857" t="s">
        <v>2635</v>
      </c>
      <c r="S4857">
        <v>38</v>
      </c>
      <c r="T4857" s="43" t="str">
        <f t="shared" si="225"/>
        <v>2022.009D.Circoviridae_rensp101_nsp48.zip</v>
      </c>
      <c r="U4857" s="43" t="str">
        <f>HYPERLINK("https://ictv.global/taxonomy/taxondetails?taxnode_id=202202955","ictv.global=202202955")</f>
        <v>ictv.global=202202955</v>
      </c>
    </row>
    <row r="4858" spans="1:21">
      <c r="A4858">
        <v>4857</v>
      </c>
      <c r="B4858" s="29" t="s">
        <v>4053</v>
      </c>
      <c r="C4858" s="29"/>
      <c r="D4858" s="29" t="s">
        <v>4082</v>
      </c>
      <c r="E4858" s="29"/>
      <c r="F4858" s="29" t="s">
        <v>4106</v>
      </c>
      <c r="G4858" s="29"/>
      <c r="H4858" s="29" t="s">
        <v>4107</v>
      </c>
      <c r="I4858" s="29"/>
      <c r="J4858" s="29" t="s">
        <v>4109</v>
      </c>
      <c r="K4858" s="29"/>
      <c r="L4858" s="29" t="s">
        <v>583</v>
      </c>
      <c r="M4858" s="29"/>
      <c r="N4858" s="29" t="s">
        <v>2195</v>
      </c>
      <c r="O4858" s="29"/>
      <c r="P4858" s="29" t="s">
        <v>12056</v>
      </c>
      <c r="Q4858" t="s">
        <v>2265</v>
      </c>
      <c r="R4858" t="s">
        <v>2632</v>
      </c>
      <c r="S4858">
        <v>38</v>
      </c>
      <c r="T4858" s="43" t="str">
        <f t="shared" si="225"/>
        <v>2022.009D.Circoviridae_rensp101_nsp48.zip</v>
      </c>
      <c r="U4858" s="43" t="str">
        <f>HYPERLINK("https://ictv.global/taxonomy/taxondetails?taxnode_id=202214100","ictv.global=202214100")</f>
        <v>ictv.global=202214100</v>
      </c>
    </row>
    <row r="4859" spans="1:21">
      <c r="A4859">
        <v>4858</v>
      </c>
      <c r="B4859" s="29" t="s">
        <v>4053</v>
      </c>
      <c r="C4859" s="29"/>
      <c r="D4859" s="29" t="s">
        <v>4082</v>
      </c>
      <c r="E4859" s="29"/>
      <c r="F4859" s="29" t="s">
        <v>4106</v>
      </c>
      <c r="G4859" s="29"/>
      <c r="H4859" s="29" t="s">
        <v>4107</v>
      </c>
      <c r="I4859" s="29"/>
      <c r="J4859" s="29" t="s">
        <v>4109</v>
      </c>
      <c r="K4859" s="29"/>
      <c r="L4859" s="29" t="s">
        <v>583</v>
      </c>
      <c r="M4859" s="29"/>
      <c r="N4859" s="29" t="s">
        <v>2195</v>
      </c>
      <c r="O4859" s="29"/>
      <c r="P4859" s="29" t="s">
        <v>12057</v>
      </c>
      <c r="Q4859" t="s">
        <v>2041</v>
      </c>
      <c r="R4859" t="s">
        <v>2635</v>
      </c>
      <c r="S4859">
        <v>38</v>
      </c>
      <c r="T4859" s="43" t="str">
        <f t="shared" si="225"/>
        <v>2022.009D.Circoviridae_rensp101_nsp48.zip</v>
      </c>
      <c r="U4859" s="43" t="str">
        <f>HYPERLINK("https://ictv.global/taxonomy/taxondetails?taxnode_id=202202937","ictv.global=202202937")</f>
        <v>ictv.global=202202937</v>
      </c>
    </row>
    <row r="4860" spans="1:21">
      <c r="A4860">
        <v>4859</v>
      </c>
      <c r="B4860" s="29" t="s">
        <v>4053</v>
      </c>
      <c r="C4860" s="29"/>
      <c r="D4860" s="29" t="s">
        <v>4082</v>
      </c>
      <c r="E4860" s="29"/>
      <c r="F4860" s="29" t="s">
        <v>4106</v>
      </c>
      <c r="G4860" s="29"/>
      <c r="H4860" s="29" t="s">
        <v>4107</v>
      </c>
      <c r="I4860" s="29"/>
      <c r="J4860" s="29" t="s">
        <v>4109</v>
      </c>
      <c r="K4860" s="29"/>
      <c r="L4860" s="29" t="s">
        <v>583</v>
      </c>
      <c r="M4860" s="29"/>
      <c r="N4860" s="29" t="s">
        <v>2195</v>
      </c>
      <c r="O4860" s="29"/>
      <c r="P4860" s="29" t="s">
        <v>12058</v>
      </c>
      <c r="Q4860" t="s">
        <v>2265</v>
      </c>
      <c r="R4860" t="s">
        <v>2632</v>
      </c>
      <c r="S4860">
        <v>38</v>
      </c>
      <c r="T4860" s="43" t="str">
        <f t="shared" si="225"/>
        <v>2022.009D.Circoviridae_rensp101_nsp48.zip</v>
      </c>
      <c r="U4860" s="43" t="str">
        <f>HYPERLINK("https://ictv.global/taxonomy/taxondetails?taxnode_id=202214112","ictv.global=202214112")</f>
        <v>ictv.global=202214112</v>
      </c>
    </row>
    <row r="4861" spans="1:21">
      <c r="A4861">
        <v>4860</v>
      </c>
      <c r="B4861" s="29" t="s">
        <v>4053</v>
      </c>
      <c r="C4861" s="29"/>
      <c r="D4861" s="29" t="s">
        <v>4082</v>
      </c>
      <c r="E4861" s="29"/>
      <c r="F4861" s="29" t="s">
        <v>4106</v>
      </c>
      <c r="G4861" s="29"/>
      <c r="H4861" s="29" t="s">
        <v>4107</v>
      </c>
      <c r="I4861" s="29"/>
      <c r="J4861" s="29" t="s">
        <v>4109</v>
      </c>
      <c r="K4861" s="29"/>
      <c r="L4861" s="29" t="s">
        <v>583</v>
      </c>
      <c r="M4861" s="29"/>
      <c r="N4861" s="29" t="s">
        <v>2195</v>
      </c>
      <c r="O4861" s="29"/>
      <c r="P4861" s="29" t="s">
        <v>12059</v>
      </c>
      <c r="Q4861" t="s">
        <v>2041</v>
      </c>
      <c r="R4861" t="s">
        <v>2635</v>
      </c>
      <c r="S4861">
        <v>38</v>
      </c>
      <c r="T4861" s="43" t="str">
        <f t="shared" si="225"/>
        <v>2022.009D.Circoviridae_rensp101_nsp48.zip</v>
      </c>
      <c r="U4861" s="43" t="str">
        <f>HYPERLINK("https://ictv.global/taxonomy/taxondetails?taxnode_id=202202962","ictv.global=202202962")</f>
        <v>ictv.global=202202962</v>
      </c>
    </row>
    <row r="4862" spans="1:21">
      <c r="A4862">
        <v>4861</v>
      </c>
      <c r="B4862" s="29" t="s">
        <v>4053</v>
      </c>
      <c r="C4862" s="29"/>
      <c r="D4862" s="29" t="s">
        <v>4082</v>
      </c>
      <c r="E4862" s="29"/>
      <c r="F4862" s="29" t="s">
        <v>4106</v>
      </c>
      <c r="G4862" s="29"/>
      <c r="H4862" s="29" t="s">
        <v>4107</v>
      </c>
      <c r="I4862" s="29"/>
      <c r="J4862" s="29" t="s">
        <v>4109</v>
      </c>
      <c r="K4862" s="29"/>
      <c r="L4862" s="29" t="s">
        <v>583</v>
      </c>
      <c r="M4862" s="29"/>
      <c r="N4862" s="29" t="s">
        <v>2195</v>
      </c>
      <c r="O4862" s="29"/>
      <c r="P4862" s="29" t="s">
        <v>12060</v>
      </c>
      <c r="Q4862" t="s">
        <v>2041</v>
      </c>
      <c r="R4862" t="s">
        <v>2635</v>
      </c>
      <c r="S4862">
        <v>38</v>
      </c>
      <c r="T4862" s="43" t="str">
        <f t="shared" si="225"/>
        <v>2022.009D.Circoviridae_rensp101_nsp48.zip</v>
      </c>
      <c r="U4862" s="43" t="str">
        <f>HYPERLINK("https://ictv.global/taxonomy/taxondetails?taxnode_id=202202972","ictv.global=202202972")</f>
        <v>ictv.global=202202972</v>
      </c>
    </row>
    <row r="4863" spans="1:21">
      <c r="A4863">
        <v>4862</v>
      </c>
      <c r="B4863" s="29" t="s">
        <v>4053</v>
      </c>
      <c r="C4863" s="29"/>
      <c r="D4863" s="29" t="s">
        <v>4082</v>
      </c>
      <c r="E4863" s="29"/>
      <c r="F4863" s="29" t="s">
        <v>4106</v>
      </c>
      <c r="G4863" s="29"/>
      <c r="H4863" s="29" t="s">
        <v>4107</v>
      </c>
      <c r="I4863" s="29"/>
      <c r="J4863" s="29" t="s">
        <v>4109</v>
      </c>
      <c r="K4863" s="29"/>
      <c r="L4863" s="29" t="s">
        <v>583</v>
      </c>
      <c r="M4863" s="29"/>
      <c r="N4863" s="29" t="s">
        <v>2195</v>
      </c>
      <c r="O4863" s="29"/>
      <c r="P4863" s="29" t="s">
        <v>12061</v>
      </c>
      <c r="Q4863" t="s">
        <v>2041</v>
      </c>
      <c r="R4863" t="s">
        <v>2635</v>
      </c>
      <c r="S4863">
        <v>38</v>
      </c>
      <c r="T4863" s="43" t="str">
        <f t="shared" ref="T4863:T4894" si="226">HYPERLINK("https://ictv.global/ictv/proposals/2022.009D.Circoviridae_rensp101_nsp48.zip","2022.009D.Circoviridae_rensp101_nsp48.zip")</f>
        <v>2022.009D.Circoviridae_rensp101_nsp48.zip</v>
      </c>
      <c r="U4863" s="43" t="str">
        <f>HYPERLINK("https://ictv.global/taxonomy/taxondetails?taxnode_id=202202964","ictv.global=202202964")</f>
        <v>ictv.global=202202964</v>
      </c>
    </row>
    <row r="4864" spans="1:21">
      <c r="A4864">
        <v>4863</v>
      </c>
      <c r="B4864" s="29" t="s">
        <v>4053</v>
      </c>
      <c r="C4864" s="29"/>
      <c r="D4864" s="29" t="s">
        <v>4082</v>
      </c>
      <c r="E4864" s="29"/>
      <c r="F4864" s="29" t="s">
        <v>4106</v>
      </c>
      <c r="G4864" s="29"/>
      <c r="H4864" s="29" t="s">
        <v>4107</v>
      </c>
      <c r="I4864" s="29"/>
      <c r="J4864" s="29" t="s">
        <v>4109</v>
      </c>
      <c r="K4864" s="29"/>
      <c r="L4864" s="29" t="s">
        <v>583</v>
      </c>
      <c r="M4864" s="29"/>
      <c r="N4864" s="29" t="s">
        <v>2195</v>
      </c>
      <c r="O4864" s="29"/>
      <c r="P4864" s="29" t="s">
        <v>12062</v>
      </c>
      <c r="Q4864" t="s">
        <v>2041</v>
      </c>
      <c r="R4864" t="s">
        <v>2635</v>
      </c>
      <c r="S4864">
        <v>38</v>
      </c>
      <c r="T4864" s="43" t="str">
        <f t="shared" si="226"/>
        <v>2022.009D.Circoviridae_rensp101_nsp48.zip</v>
      </c>
      <c r="U4864" s="43" t="str">
        <f>HYPERLINK("https://ictv.global/taxonomy/taxondetails?taxnode_id=202205769","ictv.global=202205769")</f>
        <v>ictv.global=202205769</v>
      </c>
    </row>
    <row r="4865" spans="1:21">
      <c r="A4865">
        <v>4864</v>
      </c>
      <c r="B4865" s="29" t="s">
        <v>4053</v>
      </c>
      <c r="C4865" s="29"/>
      <c r="D4865" s="29" t="s">
        <v>4082</v>
      </c>
      <c r="E4865" s="29"/>
      <c r="F4865" s="29" t="s">
        <v>4106</v>
      </c>
      <c r="G4865" s="29"/>
      <c r="H4865" s="29" t="s">
        <v>4107</v>
      </c>
      <c r="I4865" s="29"/>
      <c r="J4865" s="29" t="s">
        <v>4109</v>
      </c>
      <c r="K4865" s="29"/>
      <c r="L4865" s="29" t="s">
        <v>583</v>
      </c>
      <c r="M4865" s="29"/>
      <c r="N4865" s="29" t="s">
        <v>2195</v>
      </c>
      <c r="O4865" s="29"/>
      <c r="P4865" s="29" t="s">
        <v>12063</v>
      </c>
      <c r="Q4865" t="s">
        <v>2194</v>
      </c>
      <c r="R4865" t="s">
        <v>2635</v>
      </c>
      <c r="S4865">
        <v>38</v>
      </c>
      <c r="T4865" s="43" t="str">
        <f t="shared" si="226"/>
        <v>2022.009D.Circoviridae_rensp101_nsp48.zip</v>
      </c>
      <c r="U4865" s="43" t="str">
        <f>HYPERLINK("https://ictv.global/taxonomy/taxondetails?taxnode_id=202208681","ictv.global=202208681")</f>
        <v>ictv.global=202208681</v>
      </c>
    </row>
    <row r="4866" spans="1:21">
      <c r="A4866">
        <v>4865</v>
      </c>
      <c r="B4866" s="29" t="s">
        <v>4053</v>
      </c>
      <c r="C4866" s="29"/>
      <c r="D4866" s="29" t="s">
        <v>4082</v>
      </c>
      <c r="E4866" s="29"/>
      <c r="F4866" s="29" t="s">
        <v>4106</v>
      </c>
      <c r="G4866" s="29"/>
      <c r="H4866" s="29" t="s">
        <v>4107</v>
      </c>
      <c r="I4866" s="29"/>
      <c r="J4866" s="29" t="s">
        <v>4109</v>
      </c>
      <c r="K4866" s="29"/>
      <c r="L4866" s="29" t="s">
        <v>583</v>
      </c>
      <c r="M4866" s="29"/>
      <c r="N4866" s="29" t="s">
        <v>2195</v>
      </c>
      <c r="O4866" s="29"/>
      <c r="P4866" s="29" t="s">
        <v>12064</v>
      </c>
      <c r="Q4866" t="s">
        <v>2265</v>
      </c>
      <c r="R4866" t="s">
        <v>2632</v>
      </c>
      <c r="S4866">
        <v>38</v>
      </c>
      <c r="T4866" s="43" t="str">
        <f t="shared" si="226"/>
        <v>2022.009D.Circoviridae_rensp101_nsp48.zip</v>
      </c>
      <c r="U4866" s="43" t="str">
        <f>HYPERLINK("https://ictv.global/taxonomy/taxondetails?taxnode_id=202214119","ictv.global=202214119")</f>
        <v>ictv.global=202214119</v>
      </c>
    </row>
    <row r="4867" spans="1:21">
      <c r="A4867">
        <v>4866</v>
      </c>
      <c r="B4867" s="29" t="s">
        <v>4053</v>
      </c>
      <c r="C4867" s="29"/>
      <c r="D4867" s="29" t="s">
        <v>4082</v>
      </c>
      <c r="E4867" s="29"/>
      <c r="F4867" s="29" t="s">
        <v>4106</v>
      </c>
      <c r="G4867" s="29"/>
      <c r="H4867" s="29" t="s">
        <v>4107</v>
      </c>
      <c r="I4867" s="29"/>
      <c r="J4867" s="29" t="s">
        <v>4109</v>
      </c>
      <c r="K4867" s="29"/>
      <c r="L4867" s="29" t="s">
        <v>583</v>
      </c>
      <c r="M4867" s="29"/>
      <c r="N4867" s="29" t="s">
        <v>2195</v>
      </c>
      <c r="O4867" s="29"/>
      <c r="P4867" s="29" t="s">
        <v>12065</v>
      </c>
      <c r="Q4867" t="s">
        <v>2265</v>
      </c>
      <c r="R4867" t="s">
        <v>2632</v>
      </c>
      <c r="S4867">
        <v>38</v>
      </c>
      <c r="T4867" s="43" t="str">
        <f t="shared" si="226"/>
        <v>2022.009D.Circoviridae_rensp101_nsp48.zip</v>
      </c>
      <c r="U4867" s="43" t="str">
        <f>HYPERLINK("https://ictv.global/taxonomy/taxondetails?taxnode_id=202214125","ictv.global=202214125")</f>
        <v>ictv.global=202214125</v>
      </c>
    </row>
    <row r="4868" spans="1:21">
      <c r="A4868">
        <v>4867</v>
      </c>
      <c r="B4868" s="29" t="s">
        <v>4053</v>
      </c>
      <c r="C4868" s="29"/>
      <c r="D4868" s="29" t="s">
        <v>4082</v>
      </c>
      <c r="E4868" s="29"/>
      <c r="F4868" s="29" t="s">
        <v>4106</v>
      </c>
      <c r="G4868" s="29"/>
      <c r="H4868" s="29" t="s">
        <v>4107</v>
      </c>
      <c r="I4868" s="29"/>
      <c r="J4868" s="29" t="s">
        <v>4109</v>
      </c>
      <c r="K4868" s="29"/>
      <c r="L4868" s="29" t="s">
        <v>583</v>
      </c>
      <c r="M4868" s="29"/>
      <c r="N4868" s="29" t="s">
        <v>2195</v>
      </c>
      <c r="O4868" s="29"/>
      <c r="P4868" s="29" t="s">
        <v>12066</v>
      </c>
      <c r="Q4868" t="s">
        <v>2041</v>
      </c>
      <c r="R4868" t="s">
        <v>2635</v>
      </c>
      <c r="S4868">
        <v>38</v>
      </c>
      <c r="T4868" s="43" t="str">
        <f t="shared" si="226"/>
        <v>2022.009D.Circoviridae_rensp101_nsp48.zip</v>
      </c>
      <c r="U4868" s="43" t="str">
        <f>HYPERLINK("https://ictv.global/taxonomy/taxondetails?taxnode_id=202202967","ictv.global=202202967")</f>
        <v>ictv.global=202202967</v>
      </c>
    </row>
    <row r="4869" spans="1:21">
      <c r="A4869">
        <v>4868</v>
      </c>
      <c r="B4869" s="29" t="s">
        <v>4053</v>
      </c>
      <c r="C4869" s="29"/>
      <c r="D4869" s="29" t="s">
        <v>4082</v>
      </c>
      <c r="E4869" s="29"/>
      <c r="F4869" s="29" t="s">
        <v>4106</v>
      </c>
      <c r="G4869" s="29"/>
      <c r="H4869" s="29" t="s">
        <v>4107</v>
      </c>
      <c r="I4869" s="29"/>
      <c r="J4869" s="29" t="s">
        <v>4109</v>
      </c>
      <c r="K4869" s="29"/>
      <c r="L4869" s="29" t="s">
        <v>583</v>
      </c>
      <c r="M4869" s="29"/>
      <c r="N4869" s="29" t="s">
        <v>2195</v>
      </c>
      <c r="O4869" s="29"/>
      <c r="P4869" s="29" t="s">
        <v>12067</v>
      </c>
      <c r="Q4869" t="s">
        <v>2265</v>
      </c>
      <c r="R4869" t="s">
        <v>2632</v>
      </c>
      <c r="S4869">
        <v>38</v>
      </c>
      <c r="T4869" s="43" t="str">
        <f t="shared" si="226"/>
        <v>2022.009D.Circoviridae_rensp101_nsp48.zip</v>
      </c>
      <c r="U4869" s="43" t="str">
        <f>HYPERLINK("https://ictv.global/taxonomy/taxondetails?taxnode_id=202214126","ictv.global=202214126")</f>
        <v>ictv.global=202214126</v>
      </c>
    </row>
    <row r="4870" spans="1:21">
      <c r="A4870">
        <v>4869</v>
      </c>
      <c r="B4870" s="29" t="s">
        <v>4053</v>
      </c>
      <c r="C4870" s="29"/>
      <c r="D4870" s="29" t="s">
        <v>4082</v>
      </c>
      <c r="E4870" s="29"/>
      <c r="F4870" s="29" t="s">
        <v>4106</v>
      </c>
      <c r="G4870" s="29"/>
      <c r="H4870" s="29" t="s">
        <v>4107</v>
      </c>
      <c r="I4870" s="29"/>
      <c r="J4870" s="29" t="s">
        <v>4109</v>
      </c>
      <c r="K4870" s="29"/>
      <c r="L4870" s="29" t="s">
        <v>583</v>
      </c>
      <c r="M4870" s="29"/>
      <c r="N4870" s="29" t="s">
        <v>2195</v>
      </c>
      <c r="O4870" s="29"/>
      <c r="P4870" s="29" t="s">
        <v>12068</v>
      </c>
      <c r="Q4870" t="s">
        <v>2041</v>
      </c>
      <c r="R4870" t="s">
        <v>2635</v>
      </c>
      <c r="S4870">
        <v>38</v>
      </c>
      <c r="T4870" s="43" t="str">
        <f t="shared" si="226"/>
        <v>2022.009D.Circoviridae_rensp101_nsp48.zip</v>
      </c>
      <c r="U4870" s="43" t="str">
        <f>HYPERLINK("https://ictv.global/taxonomy/taxondetails?taxnode_id=202202970","ictv.global=202202970")</f>
        <v>ictv.global=202202970</v>
      </c>
    </row>
    <row r="4871" spans="1:21">
      <c r="A4871">
        <v>4870</v>
      </c>
      <c r="B4871" s="29" t="s">
        <v>4053</v>
      </c>
      <c r="C4871" s="29"/>
      <c r="D4871" s="29" t="s">
        <v>4082</v>
      </c>
      <c r="E4871" s="29"/>
      <c r="F4871" s="29" t="s">
        <v>4106</v>
      </c>
      <c r="G4871" s="29"/>
      <c r="H4871" s="29" t="s">
        <v>4107</v>
      </c>
      <c r="I4871" s="29"/>
      <c r="J4871" s="29" t="s">
        <v>4109</v>
      </c>
      <c r="K4871" s="29"/>
      <c r="L4871" s="29" t="s">
        <v>583</v>
      </c>
      <c r="M4871" s="29"/>
      <c r="N4871" s="29" t="s">
        <v>2195</v>
      </c>
      <c r="O4871" s="29"/>
      <c r="P4871" s="29" t="s">
        <v>12069</v>
      </c>
      <c r="Q4871" t="s">
        <v>2265</v>
      </c>
      <c r="R4871" t="s">
        <v>2632</v>
      </c>
      <c r="S4871">
        <v>38</v>
      </c>
      <c r="T4871" s="43" t="str">
        <f t="shared" si="226"/>
        <v>2022.009D.Circoviridae_rensp101_nsp48.zip</v>
      </c>
      <c r="U4871" s="43" t="str">
        <f>HYPERLINK("https://ictv.global/taxonomy/taxondetails?taxnode_id=202214103","ictv.global=202214103")</f>
        <v>ictv.global=202214103</v>
      </c>
    </row>
    <row r="4872" spans="1:21">
      <c r="A4872">
        <v>4871</v>
      </c>
      <c r="B4872" s="29" t="s">
        <v>4053</v>
      </c>
      <c r="C4872" s="29"/>
      <c r="D4872" s="29" t="s">
        <v>4082</v>
      </c>
      <c r="E4872" s="29"/>
      <c r="F4872" s="29" t="s">
        <v>4106</v>
      </c>
      <c r="G4872" s="29"/>
      <c r="H4872" s="29" t="s">
        <v>4107</v>
      </c>
      <c r="I4872" s="29"/>
      <c r="J4872" s="29" t="s">
        <v>4109</v>
      </c>
      <c r="K4872" s="29"/>
      <c r="L4872" s="29" t="s">
        <v>583</v>
      </c>
      <c r="M4872" s="29"/>
      <c r="N4872" s="29" t="s">
        <v>2195</v>
      </c>
      <c r="O4872" s="29"/>
      <c r="P4872" s="29" t="s">
        <v>12070</v>
      </c>
      <c r="Q4872" t="s">
        <v>2265</v>
      </c>
      <c r="R4872" t="s">
        <v>2632</v>
      </c>
      <c r="S4872">
        <v>38</v>
      </c>
      <c r="T4872" s="43" t="str">
        <f t="shared" si="226"/>
        <v>2022.009D.Circoviridae_rensp101_nsp48.zip</v>
      </c>
      <c r="U4872" s="43" t="str">
        <f>HYPERLINK("https://ictv.global/taxonomy/taxondetails?taxnode_id=202214105","ictv.global=202214105")</f>
        <v>ictv.global=202214105</v>
      </c>
    </row>
    <row r="4873" spans="1:21">
      <c r="A4873">
        <v>4872</v>
      </c>
      <c r="B4873" s="29" t="s">
        <v>4053</v>
      </c>
      <c r="C4873" s="29"/>
      <c r="D4873" s="29" t="s">
        <v>4082</v>
      </c>
      <c r="E4873" s="29"/>
      <c r="F4873" s="29" t="s">
        <v>4106</v>
      </c>
      <c r="G4873" s="29"/>
      <c r="H4873" s="29" t="s">
        <v>4107</v>
      </c>
      <c r="I4873" s="29"/>
      <c r="J4873" s="29" t="s">
        <v>4109</v>
      </c>
      <c r="K4873" s="29"/>
      <c r="L4873" s="29" t="s">
        <v>583</v>
      </c>
      <c r="M4873" s="29"/>
      <c r="N4873" s="29" t="s">
        <v>2195</v>
      </c>
      <c r="O4873" s="29"/>
      <c r="P4873" s="29" t="s">
        <v>12071</v>
      </c>
      <c r="Q4873" t="s">
        <v>2041</v>
      </c>
      <c r="R4873" t="s">
        <v>2635</v>
      </c>
      <c r="S4873">
        <v>38</v>
      </c>
      <c r="T4873" s="43" t="str">
        <f t="shared" si="226"/>
        <v>2022.009D.Circoviridae_rensp101_nsp48.zip</v>
      </c>
      <c r="U4873" s="43" t="str">
        <f>HYPERLINK("https://ictv.global/taxonomy/taxondetails?taxnode_id=202202968","ictv.global=202202968")</f>
        <v>ictv.global=202202968</v>
      </c>
    </row>
    <row r="4874" spans="1:21">
      <c r="A4874">
        <v>4873</v>
      </c>
      <c r="B4874" s="29" t="s">
        <v>4053</v>
      </c>
      <c r="C4874" s="29"/>
      <c r="D4874" s="29" t="s">
        <v>4082</v>
      </c>
      <c r="E4874" s="29"/>
      <c r="F4874" s="29" t="s">
        <v>4106</v>
      </c>
      <c r="G4874" s="29"/>
      <c r="H4874" s="29" t="s">
        <v>4107</v>
      </c>
      <c r="I4874" s="29"/>
      <c r="J4874" s="29" t="s">
        <v>4109</v>
      </c>
      <c r="K4874" s="29"/>
      <c r="L4874" s="29" t="s">
        <v>583</v>
      </c>
      <c r="M4874" s="29"/>
      <c r="N4874" s="29" t="s">
        <v>2195</v>
      </c>
      <c r="O4874" s="29"/>
      <c r="P4874" s="29" t="s">
        <v>12072</v>
      </c>
      <c r="Q4874" t="s">
        <v>2265</v>
      </c>
      <c r="R4874" t="s">
        <v>2632</v>
      </c>
      <c r="S4874">
        <v>38</v>
      </c>
      <c r="T4874" s="43" t="str">
        <f t="shared" si="226"/>
        <v>2022.009D.Circoviridae_rensp101_nsp48.zip</v>
      </c>
      <c r="U4874" s="43" t="str">
        <f>HYPERLINK("https://ictv.global/taxonomy/taxondetails?taxnode_id=202214102","ictv.global=202214102")</f>
        <v>ictv.global=202214102</v>
      </c>
    </row>
    <row r="4875" spans="1:21">
      <c r="A4875">
        <v>4874</v>
      </c>
      <c r="B4875" s="29" t="s">
        <v>4053</v>
      </c>
      <c r="C4875" s="29"/>
      <c r="D4875" s="29" t="s">
        <v>4082</v>
      </c>
      <c r="E4875" s="29"/>
      <c r="F4875" s="29" t="s">
        <v>4106</v>
      </c>
      <c r="G4875" s="29"/>
      <c r="H4875" s="29" t="s">
        <v>4107</v>
      </c>
      <c r="I4875" s="29"/>
      <c r="J4875" s="29" t="s">
        <v>4109</v>
      </c>
      <c r="K4875" s="29"/>
      <c r="L4875" s="29" t="s">
        <v>583</v>
      </c>
      <c r="M4875" s="29"/>
      <c r="N4875" s="29" t="s">
        <v>2195</v>
      </c>
      <c r="O4875" s="29"/>
      <c r="P4875" s="29" t="s">
        <v>12073</v>
      </c>
      <c r="Q4875" t="s">
        <v>2194</v>
      </c>
      <c r="R4875" t="s">
        <v>2635</v>
      </c>
      <c r="S4875">
        <v>38</v>
      </c>
      <c r="T4875" s="43" t="str">
        <f t="shared" si="226"/>
        <v>2022.009D.Circoviridae_rensp101_nsp48.zip</v>
      </c>
      <c r="U4875" s="43" t="str">
        <f>HYPERLINK("https://ictv.global/taxonomy/taxondetails?taxnode_id=202208680","ictv.global=202208680")</f>
        <v>ictv.global=202208680</v>
      </c>
    </row>
    <row r="4876" spans="1:21">
      <c r="A4876">
        <v>4875</v>
      </c>
      <c r="B4876" s="29" t="s">
        <v>4053</v>
      </c>
      <c r="C4876" s="29"/>
      <c r="D4876" s="29" t="s">
        <v>4082</v>
      </c>
      <c r="E4876" s="29"/>
      <c r="F4876" s="29" t="s">
        <v>4106</v>
      </c>
      <c r="G4876" s="29"/>
      <c r="H4876" s="29" t="s">
        <v>4107</v>
      </c>
      <c r="I4876" s="29"/>
      <c r="J4876" s="29" t="s">
        <v>4109</v>
      </c>
      <c r="K4876" s="29"/>
      <c r="L4876" s="29" t="s">
        <v>583</v>
      </c>
      <c r="M4876" s="29"/>
      <c r="N4876" s="29" t="s">
        <v>2195</v>
      </c>
      <c r="O4876" s="29"/>
      <c r="P4876" s="29" t="s">
        <v>12074</v>
      </c>
      <c r="Q4876" t="s">
        <v>2041</v>
      </c>
      <c r="R4876" t="s">
        <v>2635</v>
      </c>
      <c r="S4876">
        <v>38</v>
      </c>
      <c r="T4876" s="43" t="str">
        <f t="shared" si="226"/>
        <v>2022.009D.Circoviridae_rensp101_nsp48.zip</v>
      </c>
      <c r="U4876" s="43" t="str">
        <f>HYPERLINK("https://ictv.global/taxonomy/taxondetails?taxnode_id=202205770","ictv.global=202205770")</f>
        <v>ictv.global=202205770</v>
      </c>
    </row>
    <row r="4877" spans="1:21">
      <c r="A4877">
        <v>4876</v>
      </c>
      <c r="B4877" s="29" t="s">
        <v>4053</v>
      </c>
      <c r="C4877" s="29"/>
      <c r="D4877" s="29" t="s">
        <v>4082</v>
      </c>
      <c r="E4877" s="29"/>
      <c r="F4877" s="29" t="s">
        <v>4106</v>
      </c>
      <c r="G4877" s="29"/>
      <c r="H4877" s="29" t="s">
        <v>4107</v>
      </c>
      <c r="I4877" s="29"/>
      <c r="J4877" s="29" t="s">
        <v>4109</v>
      </c>
      <c r="K4877" s="29"/>
      <c r="L4877" s="29" t="s">
        <v>583</v>
      </c>
      <c r="M4877" s="29"/>
      <c r="N4877" s="29" t="s">
        <v>2195</v>
      </c>
      <c r="O4877" s="29"/>
      <c r="P4877" s="29" t="s">
        <v>12075</v>
      </c>
      <c r="Q4877" t="s">
        <v>2041</v>
      </c>
      <c r="R4877" t="s">
        <v>2635</v>
      </c>
      <c r="S4877">
        <v>38</v>
      </c>
      <c r="T4877" s="43" t="str">
        <f t="shared" si="226"/>
        <v>2022.009D.Circoviridae_rensp101_nsp48.zip</v>
      </c>
      <c r="U4877" s="43" t="str">
        <f>HYPERLINK("https://ictv.global/taxonomy/taxondetails?taxnode_id=202202938","ictv.global=202202938")</f>
        <v>ictv.global=202202938</v>
      </c>
    </row>
    <row r="4878" spans="1:21">
      <c r="A4878">
        <v>4877</v>
      </c>
      <c r="B4878" s="29" t="s">
        <v>4053</v>
      </c>
      <c r="C4878" s="29"/>
      <c r="D4878" s="29" t="s">
        <v>4082</v>
      </c>
      <c r="E4878" s="29"/>
      <c r="F4878" s="29" t="s">
        <v>4106</v>
      </c>
      <c r="G4878" s="29"/>
      <c r="H4878" s="29" t="s">
        <v>4107</v>
      </c>
      <c r="I4878" s="29"/>
      <c r="J4878" s="29" t="s">
        <v>4109</v>
      </c>
      <c r="K4878" s="29"/>
      <c r="L4878" s="29" t="s">
        <v>583</v>
      </c>
      <c r="M4878" s="29"/>
      <c r="N4878" s="29" t="s">
        <v>2195</v>
      </c>
      <c r="O4878" s="29"/>
      <c r="P4878" s="29" t="s">
        <v>12076</v>
      </c>
      <c r="Q4878" t="s">
        <v>2041</v>
      </c>
      <c r="R4878" t="s">
        <v>2635</v>
      </c>
      <c r="S4878">
        <v>38</v>
      </c>
      <c r="T4878" s="43" t="str">
        <f t="shared" si="226"/>
        <v>2022.009D.Circoviridae_rensp101_nsp48.zip</v>
      </c>
      <c r="U4878" s="43" t="str">
        <f>HYPERLINK("https://ictv.global/taxonomy/taxondetails?taxnode_id=202202957","ictv.global=202202957")</f>
        <v>ictv.global=202202957</v>
      </c>
    </row>
    <row r="4879" spans="1:21">
      <c r="A4879">
        <v>4878</v>
      </c>
      <c r="B4879" s="29" t="s">
        <v>4053</v>
      </c>
      <c r="C4879" s="29"/>
      <c r="D4879" s="29" t="s">
        <v>4082</v>
      </c>
      <c r="E4879" s="29"/>
      <c r="F4879" s="29" t="s">
        <v>4106</v>
      </c>
      <c r="G4879" s="29"/>
      <c r="H4879" s="29" t="s">
        <v>4107</v>
      </c>
      <c r="I4879" s="29"/>
      <c r="J4879" s="29" t="s">
        <v>4109</v>
      </c>
      <c r="K4879" s="29"/>
      <c r="L4879" s="29" t="s">
        <v>583</v>
      </c>
      <c r="M4879" s="29"/>
      <c r="N4879" s="29" t="s">
        <v>2195</v>
      </c>
      <c r="O4879" s="29"/>
      <c r="P4879" s="29" t="s">
        <v>12077</v>
      </c>
      <c r="Q4879" t="s">
        <v>2265</v>
      </c>
      <c r="R4879" t="s">
        <v>2632</v>
      </c>
      <c r="S4879">
        <v>38</v>
      </c>
      <c r="T4879" s="43" t="str">
        <f t="shared" si="226"/>
        <v>2022.009D.Circoviridae_rensp101_nsp48.zip</v>
      </c>
      <c r="U4879" s="43" t="str">
        <f>HYPERLINK("https://ictv.global/taxonomy/taxondetails?taxnode_id=202214123","ictv.global=202214123")</f>
        <v>ictv.global=202214123</v>
      </c>
    </row>
    <row r="4880" spans="1:21">
      <c r="A4880">
        <v>4879</v>
      </c>
      <c r="B4880" s="29" t="s">
        <v>4053</v>
      </c>
      <c r="C4880" s="29"/>
      <c r="D4880" s="29" t="s">
        <v>4082</v>
      </c>
      <c r="E4880" s="29"/>
      <c r="F4880" s="29" t="s">
        <v>4106</v>
      </c>
      <c r="G4880" s="29"/>
      <c r="H4880" s="29" t="s">
        <v>4107</v>
      </c>
      <c r="I4880" s="29"/>
      <c r="J4880" s="29" t="s">
        <v>4109</v>
      </c>
      <c r="K4880" s="29"/>
      <c r="L4880" s="29" t="s">
        <v>583</v>
      </c>
      <c r="M4880" s="29"/>
      <c r="N4880" s="29" t="s">
        <v>2195</v>
      </c>
      <c r="O4880" s="29"/>
      <c r="P4880" s="29" t="s">
        <v>12078</v>
      </c>
      <c r="Q4880" t="s">
        <v>2265</v>
      </c>
      <c r="R4880" t="s">
        <v>2632</v>
      </c>
      <c r="S4880">
        <v>38</v>
      </c>
      <c r="T4880" s="43" t="str">
        <f t="shared" si="226"/>
        <v>2022.009D.Circoviridae_rensp101_nsp48.zip</v>
      </c>
      <c r="U4880" s="43" t="str">
        <f>HYPERLINK("https://ictv.global/taxonomy/taxondetails?taxnode_id=202214093","ictv.global=202214093")</f>
        <v>ictv.global=202214093</v>
      </c>
    </row>
    <row r="4881" spans="1:21">
      <c r="A4881">
        <v>4880</v>
      </c>
      <c r="B4881" s="29" t="s">
        <v>4053</v>
      </c>
      <c r="C4881" s="29"/>
      <c r="D4881" s="29" t="s">
        <v>4082</v>
      </c>
      <c r="E4881" s="29"/>
      <c r="F4881" s="29" t="s">
        <v>4106</v>
      </c>
      <c r="G4881" s="29"/>
      <c r="H4881" s="29" t="s">
        <v>4107</v>
      </c>
      <c r="I4881" s="29"/>
      <c r="J4881" s="29" t="s">
        <v>4109</v>
      </c>
      <c r="K4881" s="29"/>
      <c r="L4881" s="29" t="s">
        <v>583</v>
      </c>
      <c r="M4881" s="29"/>
      <c r="N4881" s="29" t="s">
        <v>2195</v>
      </c>
      <c r="O4881" s="29"/>
      <c r="P4881" s="29" t="s">
        <v>12079</v>
      </c>
      <c r="Q4881" t="s">
        <v>2265</v>
      </c>
      <c r="R4881" t="s">
        <v>2632</v>
      </c>
      <c r="S4881">
        <v>38</v>
      </c>
      <c r="T4881" s="43" t="str">
        <f t="shared" si="226"/>
        <v>2022.009D.Circoviridae_rensp101_nsp48.zip</v>
      </c>
      <c r="U4881" s="43" t="str">
        <f>HYPERLINK("https://ictv.global/taxonomy/taxondetails?taxnode_id=202214101","ictv.global=202214101")</f>
        <v>ictv.global=202214101</v>
      </c>
    </row>
    <row r="4882" spans="1:21">
      <c r="A4882">
        <v>4881</v>
      </c>
      <c r="B4882" s="29" t="s">
        <v>4053</v>
      </c>
      <c r="C4882" s="29"/>
      <c r="D4882" s="29" t="s">
        <v>4082</v>
      </c>
      <c r="E4882" s="29"/>
      <c r="F4882" s="29" t="s">
        <v>4106</v>
      </c>
      <c r="G4882" s="29"/>
      <c r="H4882" s="29" t="s">
        <v>4107</v>
      </c>
      <c r="I4882" s="29"/>
      <c r="J4882" s="29" t="s">
        <v>4109</v>
      </c>
      <c r="K4882" s="29"/>
      <c r="L4882" s="29" t="s">
        <v>583</v>
      </c>
      <c r="M4882" s="29"/>
      <c r="N4882" s="29" t="s">
        <v>2195</v>
      </c>
      <c r="O4882" s="29"/>
      <c r="P4882" s="29" t="s">
        <v>12080</v>
      </c>
      <c r="Q4882" t="s">
        <v>2041</v>
      </c>
      <c r="R4882" t="s">
        <v>2635</v>
      </c>
      <c r="S4882">
        <v>38</v>
      </c>
      <c r="T4882" s="43" t="str">
        <f t="shared" si="226"/>
        <v>2022.009D.Circoviridae_rensp101_nsp48.zip</v>
      </c>
      <c r="U4882" s="43" t="str">
        <f>HYPERLINK("https://ictv.global/taxonomy/taxondetails?taxnode_id=202202969","ictv.global=202202969")</f>
        <v>ictv.global=202202969</v>
      </c>
    </row>
    <row r="4883" spans="1:21">
      <c r="A4883">
        <v>4882</v>
      </c>
      <c r="B4883" s="29" t="s">
        <v>4053</v>
      </c>
      <c r="C4883" s="29"/>
      <c r="D4883" s="29" t="s">
        <v>4082</v>
      </c>
      <c r="E4883" s="29"/>
      <c r="F4883" s="29" t="s">
        <v>4106</v>
      </c>
      <c r="G4883" s="29"/>
      <c r="H4883" s="29" t="s">
        <v>4107</v>
      </c>
      <c r="I4883" s="29"/>
      <c r="J4883" s="29" t="s">
        <v>4109</v>
      </c>
      <c r="K4883" s="29"/>
      <c r="L4883" s="29" t="s">
        <v>583</v>
      </c>
      <c r="M4883" s="29"/>
      <c r="N4883" s="29" t="s">
        <v>2195</v>
      </c>
      <c r="O4883" s="29"/>
      <c r="P4883" s="29" t="s">
        <v>12081</v>
      </c>
      <c r="Q4883" t="s">
        <v>2041</v>
      </c>
      <c r="R4883" t="s">
        <v>2635</v>
      </c>
      <c r="S4883">
        <v>38</v>
      </c>
      <c r="T4883" s="43" t="str">
        <f t="shared" si="226"/>
        <v>2022.009D.Circoviridae_rensp101_nsp48.zip</v>
      </c>
      <c r="U4883" s="43" t="str">
        <f>HYPERLINK("https://ictv.global/taxonomy/taxondetails?taxnode_id=202202943","ictv.global=202202943")</f>
        <v>ictv.global=202202943</v>
      </c>
    </row>
    <row r="4884" spans="1:21">
      <c r="A4884">
        <v>4883</v>
      </c>
      <c r="B4884" s="29" t="s">
        <v>4053</v>
      </c>
      <c r="C4884" s="29"/>
      <c r="D4884" s="29" t="s">
        <v>4082</v>
      </c>
      <c r="E4884" s="29"/>
      <c r="F4884" s="29" t="s">
        <v>4106</v>
      </c>
      <c r="G4884" s="29"/>
      <c r="H4884" s="29" t="s">
        <v>4107</v>
      </c>
      <c r="I4884" s="29"/>
      <c r="J4884" s="29" t="s">
        <v>4109</v>
      </c>
      <c r="K4884" s="29"/>
      <c r="L4884" s="29" t="s">
        <v>583</v>
      </c>
      <c r="M4884" s="29"/>
      <c r="N4884" s="29" t="s">
        <v>2195</v>
      </c>
      <c r="O4884" s="29"/>
      <c r="P4884" s="29" t="s">
        <v>12082</v>
      </c>
      <c r="Q4884" t="s">
        <v>2265</v>
      </c>
      <c r="R4884" t="s">
        <v>2632</v>
      </c>
      <c r="S4884">
        <v>38</v>
      </c>
      <c r="T4884" s="43" t="str">
        <f t="shared" si="226"/>
        <v>2022.009D.Circoviridae_rensp101_nsp48.zip</v>
      </c>
      <c r="U4884" s="43" t="str">
        <f>HYPERLINK("https://ictv.global/taxonomy/taxondetails?taxnode_id=202214091","ictv.global=202214091")</f>
        <v>ictv.global=202214091</v>
      </c>
    </row>
    <row r="4885" spans="1:21">
      <c r="A4885">
        <v>4884</v>
      </c>
      <c r="B4885" s="29" t="s">
        <v>4053</v>
      </c>
      <c r="C4885" s="29"/>
      <c r="D4885" s="29" t="s">
        <v>4082</v>
      </c>
      <c r="E4885" s="29"/>
      <c r="F4885" s="29" t="s">
        <v>4106</v>
      </c>
      <c r="G4885" s="29"/>
      <c r="H4885" s="29" t="s">
        <v>4107</v>
      </c>
      <c r="I4885" s="29"/>
      <c r="J4885" s="29" t="s">
        <v>4109</v>
      </c>
      <c r="K4885" s="29"/>
      <c r="L4885" s="29" t="s">
        <v>583</v>
      </c>
      <c r="M4885" s="29"/>
      <c r="N4885" s="29" t="s">
        <v>2195</v>
      </c>
      <c r="O4885" s="29"/>
      <c r="P4885" s="29" t="s">
        <v>12083</v>
      </c>
      <c r="Q4885" t="s">
        <v>2041</v>
      </c>
      <c r="R4885" t="s">
        <v>2635</v>
      </c>
      <c r="S4885">
        <v>38</v>
      </c>
      <c r="T4885" s="43" t="str">
        <f t="shared" si="226"/>
        <v>2022.009D.Circoviridae_rensp101_nsp48.zip</v>
      </c>
      <c r="U4885" s="43" t="str">
        <f>HYPERLINK("https://ictv.global/taxonomy/taxondetails?taxnode_id=202202945","ictv.global=202202945")</f>
        <v>ictv.global=202202945</v>
      </c>
    </row>
    <row r="4886" spans="1:21">
      <c r="A4886">
        <v>4885</v>
      </c>
      <c r="B4886" s="29" t="s">
        <v>4053</v>
      </c>
      <c r="C4886" s="29"/>
      <c r="D4886" s="29" t="s">
        <v>4082</v>
      </c>
      <c r="E4886" s="29"/>
      <c r="F4886" s="29" t="s">
        <v>4106</v>
      </c>
      <c r="G4886" s="29"/>
      <c r="H4886" s="29" t="s">
        <v>4107</v>
      </c>
      <c r="I4886" s="29"/>
      <c r="J4886" s="29" t="s">
        <v>4109</v>
      </c>
      <c r="K4886" s="29"/>
      <c r="L4886" s="29" t="s">
        <v>583</v>
      </c>
      <c r="M4886" s="29"/>
      <c r="N4886" s="29" t="s">
        <v>2195</v>
      </c>
      <c r="O4886" s="29"/>
      <c r="P4886" s="29" t="s">
        <v>12084</v>
      </c>
      <c r="Q4886" t="s">
        <v>2041</v>
      </c>
      <c r="R4886" t="s">
        <v>2635</v>
      </c>
      <c r="S4886">
        <v>38</v>
      </c>
      <c r="T4886" s="43" t="str">
        <f t="shared" si="226"/>
        <v>2022.009D.Circoviridae_rensp101_nsp48.zip</v>
      </c>
      <c r="U4886" s="43" t="str">
        <f>HYPERLINK("https://ictv.global/taxonomy/taxondetails?taxnode_id=202202944","ictv.global=202202944")</f>
        <v>ictv.global=202202944</v>
      </c>
    </row>
    <row r="4887" spans="1:21">
      <c r="A4887">
        <v>4886</v>
      </c>
      <c r="B4887" s="29" t="s">
        <v>4053</v>
      </c>
      <c r="C4887" s="29"/>
      <c r="D4887" s="29" t="s">
        <v>4082</v>
      </c>
      <c r="E4887" s="29"/>
      <c r="F4887" s="29" t="s">
        <v>4106</v>
      </c>
      <c r="G4887" s="29"/>
      <c r="H4887" s="29" t="s">
        <v>4107</v>
      </c>
      <c r="I4887" s="29"/>
      <c r="J4887" s="29" t="s">
        <v>4109</v>
      </c>
      <c r="K4887" s="29"/>
      <c r="L4887" s="29" t="s">
        <v>583</v>
      </c>
      <c r="M4887" s="29"/>
      <c r="N4887" s="29" t="s">
        <v>2195</v>
      </c>
      <c r="O4887" s="29"/>
      <c r="P4887" s="29" t="s">
        <v>12085</v>
      </c>
      <c r="Q4887" t="s">
        <v>2041</v>
      </c>
      <c r="R4887" t="s">
        <v>2635</v>
      </c>
      <c r="S4887">
        <v>38</v>
      </c>
      <c r="T4887" s="43" t="str">
        <f t="shared" si="226"/>
        <v>2022.009D.Circoviridae_rensp101_nsp48.zip</v>
      </c>
      <c r="U4887" s="43" t="str">
        <f>HYPERLINK("https://ictv.global/taxonomy/taxondetails?taxnode_id=202202946","ictv.global=202202946")</f>
        <v>ictv.global=202202946</v>
      </c>
    </row>
    <row r="4888" spans="1:21">
      <c r="A4888">
        <v>4887</v>
      </c>
      <c r="B4888" s="29" t="s">
        <v>4053</v>
      </c>
      <c r="C4888" s="29"/>
      <c r="D4888" s="29" t="s">
        <v>4082</v>
      </c>
      <c r="E4888" s="29"/>
      <c r="F4888" s="29" t="s">
        <v>4106</v>
      </c>
      <c r="G4888" s="29"/>
      <c r="H4888" s="29" t="s">
        <v>4107</v>
      </c>
      <c r="I4888" s="29"/>
      <c r="J4888" s="29" t="s">
        <v>4109</v>
      </c>
      <c r="K4888" s="29"/>
      <c r="L4888" s="29" t="s">
        <v>583</v>
      </c>
      <c r="M4888" s="29"/>
      <c r="N4888" s="29" t="s">
        <v>2195</v>
      </c>
      <c r="O4888" s="29"/>
      <c r="P4888" s="29" t="s">
        <v>12086</v>
      </c>
      <c r="Q4888" t="s">
        <v>2265</v>
      </c>
      <c r="R4888" t="s">
        <v>2632</v>
      </c>
      <c r="S4888">
        <v>38</v>
      </c>
      <c r="T4888" s="43" t="str">
        <f t="shared" si="226"/>
        <v>2022.009D.Circoviridae_rensp101_nsp48.zip</v>
      </c>
      <c r="U4888" s="43" t="str">
        <f>HYPERLINK("https://ictv.global/taxonomy/taxondetails?taxnode_id=202214095","ictv.global=202214095")</f>
        <v>ictv.global=202214095</v>
      </c>
    </row>
    <row r="4889" spans="1:21">
      <c r="A4889">
        <v>4888</v>
      </c>
      <c r="B4889" s="29" t="s">
        <v>4053</v>
      </c>
      <c r="C4889" s="29"/>
      <c r="D4889" s="29" t="s">
        <v>4082</v>
      </c>
      <c r="E4889" s="29"/>
      <c r="F4889" s="29" t="s">
        <v>4106</v>
      </c>
      <c r="G4889" s="29"/>
      <c r="H4889" s="29" t="s">
        <v>4107</v>
      </c>
      <c r="I4889" s="29"/>
      <c r="J4889" s="29" t="s">
        <v>4109</v>
      </c>
      <c r="K4889" s="29"/>
      <c r="L4889" s="29" t="s">
        <v>583</v>
      </c>
      <c r="M4889" s="29"/>
      <c r="N4889" s="29" t="s">
        <v>2195</v>
      </c>
      <c r="O4889" s="29"/>
      <c r="P4889" s="29" t="s">
        <v>12087</v>
      </c>
      <c r="Q4889" t="s">
        <v>2041</v>
      </c>
      <c r="R4889" t="s">
        <v>2635</v>
      </c>
      <c r="S4889">
        <v>38</v>
      </c>
      <c r="T4889" s="43" t="str">
        <f t="shared" si="226"/>
        <v>2022.009D.Circoviridae_rensp101_nsp48.zip</v>
      </c>
      <c r="U4889" s="43" t="str">
        <f>HYPERLINK("https://ictv.global/taxonomy/taxondetails?taxnode_id=202206572","ictv.global=202206572")</f>
        <v>ictv.global=202206572</v>
      </c>
    </row>
    <row r="4890" spans="1:21">
      <c r="A4890">
        <v>4889</v>
      </c>
      <c r="B4890" s="29" t="s">
        <v>4053</v>
      </c>
      <c r="C4890" s="29"/>
      <c r="D4890" s="29" t="s">
        <v>4082</v>
      </c>
      <c r="E4890" s="29"/>
      <c r="F4890" s="29" t="s">
        <v>4106</v>
      </c>
      <c r="G4890" s="29"/>
      <c r="H4890" s="29" t="s">
        <v>4107</v>
      </c>
      <c r="I4890" s="29"/>
      <c r="J4890" s="29" t="s">
        <v>4109</v>
      </c>
      <c r="K4890" s="29"/>
      <c r="L4890" s="29" t="s">
        <v>583</v>
      </c>
      <c r="M4890" s="29"/>
      <c r="N4890" s="29" t="s">
        <v>2195</v>
      </c>
      <c r="O4890" s="29"/>
      <c r="P4890" s="29" t="s">
        <v>12088</v>
      </c>
      <c r="Q4890" t="s">
        <v>2041</v>
      </c>
      <c r="R4890" t="s">
        <v>2635</v>
      </c>
      <c r="S4890">
        <v>38</v>
      </c>
      <c r="T4890" s="43" t="str">
        <f t="shared" si="226"/>
        <v>2022.009D.Circoviridae_rensp101_nsp48.zip</v>
      </c>
      <c r="U4890" s="43" t="str">
        <f>HYPERLINK("https://ictv.global/taxonomy/taxondetails?taxnode_id=202202936","ictv.global=202202936")</f>
        <v>ictv.global=202202936</v>
      </c>
    </row>
    <row r="4891" spans="1:21">
      <c r="A4891">
        <v>4890</v>
      </c>
      <c r="B4891" s="29" t="s">
        <v>4053</v>
      </c>
      <c r="C4891" s="29"/>
      <c r="D4891" s="29" t="s">
        <v>4082</v>
      </c>
      <c r="E4891" s="29"/>
      <c r="F4891" s="29" t="s">
        <v>4106</v>
      </c>
      <c r="G4891" s="29"/>
      <c r="H4891" s="29" t="s">
        <v>4107</v>
      </c>
      <c r="I4891" s="29"/>
      <c r="J4891" s="29" t="s">
        <v>4109</v>
      </c>
      <c r="K4891" s="29"/>
      <c r="L4891" s="29" t="s">
        <v>583</v>
      </c>
      <c r="M4891" s="29"/>
      <c r="N4891" s="29" t="s">
        <v>2195</v>
      </c>
      <c r="O4891" s="29"/>
      <c r="P4891" s="29" t="s">
        <v>12089</v>
      </c>
      <c r="Q4891" t="s">
        <v>2265</v>
      </c>
      <c r="R4891" t="s">
        <v>2632</v>
      </c>
      <c r="S4891">
        <v>38</v>
      </c>
      <c r="T4891" s="43" t="str">
        <f t="shared" si="226"/>
        <v>2022.009D.Circoviridae_rensp101_nsp48.zip</v>
      </c>
      <c r="U4891" s="43" t="str">
        <f>HYPERLINK("https://ictv.global/taxonomy/taxondetails?taxnode_id=202214124","ictv.global=202214124")</f>
        <v>ictv.global=202214124</v>
      </c>
    </row>
    <row r="4892" spans="1:21">
      <c r="A4892">
        <v>4891</v>
      </c>
      <c r="B4892" s="29" t="s">
        <v>4053</v>
      </c>
      <c r="C4892" s="29"/>
      <c r="D4892" s="29" t="s">
        <v>4082</v>
      </c>
      <c r="E4892" s="29"/>
      <c r="F4892" s="29" t="s">
        <v>4106</v>
      </c>
      <c r="G4892" s="29"/>
      <c r="H4892" s="29" t="s">
        <v>4107</v>
      </c>
      <c r="I4892" s="29"/>
      <c r="J4892" s="29" t="s">
        <v>4109</v>
      </c>
      <c r="K4892" s="29"/>
      <c r="L4892" s="29" t="s">
        <v>583</v>
      </c>
      <c r="M4892" s="29"/>
      <c r="N4892" s="29" t="s">
        <v>2195</v>
      </c>
      <c r="O4892" s="29"/>
      <c r="P4892" s="29" t="s">
        <v>12090</v>
      </c>
      <c r="Q4892" t="s">
        <v>2265</v>
      </c>
      <c r="R4892" t="s">
        <v>2632</v>
      </c>
      <c r="S4892">
        <v>38</v>
      </c>
      <c r="T4892" s="43" t="str">
        <f t="shared" si="226"/>
        <v>2022.009D.Circoviridae_rensp101_nsp48.zip</v>
      </c>
      <c r="U4892" s="43" t="str">
        <f>HYPERLINK("https://ictv.global/taxonomy/taxondetails?taxnode_id=202214098","ictv.global=202214098")</f>
        <v>ictv.global=202214098</v>
      </c>
    </row>
    <row r="4893" spans="1:21">
      <c r="A4893">
        <v>4892</v>
      </c>
      <c r="B4893" s="29" t="s">
        <v>4053</v>
      </c>
      <c r="C4893" s="29"/>
      <c r="D4893" s="29" t="s">
        <v>4082</v>
      </c>
      <c r="E4893" s="29"/>
      <c r="F4893" s="29" t="s">
        <v>4106</v>
      </c>
      <c r="G4893" s="29"/>
      <c r="H4893" s="29" t="s">
        <v>4107</v>
      </c>
      <c r="I4893" s="29"/>
      <c r="J4893" s="29" t="s">
        <v>4109</v>
      </c>
      <c r="K4893" s="29"/>
      <c r="L4893" s="29" t="s">
        <v>583</v>
      </c>
      <c r="M4893" s="29"/>
      <c r="N4893" s="29" t="s">
        <v>2195</v>
      </c>
      <c r="O4893" s="29"/>
      <c r="P4893" s="29" t="s">
        <v>12091</v>
      </c>
      <c r="Q4893" t="s">
        <v>2265</v>
      </c>
      <c r="R4893" t="s">
        <v>2632</v>
      </c>
      <c r="S4893">
        <v>38</v>
      </c>
      <c r="T4893" s="43" t="str">
        <f t="shared" si="226"/>
        <v>2022.009D.Circoviridae_rensp101_nsp48.zip</v>
      </c>
      <c r="U4893" s="43" t="str">
        <f>HYPERLINK("https://ictv.global/taxonomy/taxondetails?taxnode_id=202214108","ictv.global=202214108")</f>
        <v>ictv.global=202214108</v>
      </c>
    </row>
    <row r="4894" spans="1:21">
      <c r="A4894">
        <v>4893</v>
      </c>
      <c r="B4894" s="29" t="s">
        <v>4053</v>
      </c>
      <c r="C4894" s="29"/>
      <c r="D4894" s="29" t="s">
        <v>4082</v>
      </c>
      <c r="E4894" s="29"/>
      <c r="F4894" s="29" t="s">
        <v>4106</v>
      </c>
      <c r="G4894" s="29"/>
      <c r="H4894" s="29" t="s">
        <v>4107</v>
      </c>
      <c r="I4894" s="29"/>
      <c r="J4894" s="29" t="s">
        <v>4109</v>
      </c>
      <c r="K4894" s="29"/>
      <c r="L4894" s="29" t="s">
        <v>583</v>
      </c>
      <c r="M4894" s="29"/>
      <c r="N4894" s="29" t="s">
        <v>2195</v>
      </c>
      <c r="O4894" s="29"/>
      <c r="P4894" s="29" t="s">
        <v>12092</v>
      </c>
      <c r="Q4894" t="s">
        <v>2265</v>
      </c>
      <c r="R4894" t="s">
        <v>2632</v>
      </c>
      <c r="S4894">
        <v>38</v>
      </c>
      <c r="T4894" s="43" t="str">
        <f t="shared" si="226"/>
        <v>2022.009D.Circoviridae_rensp101_nsp48.zip</v>
      </c>
      <c r="U4894" s="43" t="str">
        <f>HYPERLINK("https://ictv.global/taxonomy/taxondetails?taxnode_id=202214096","ictv.global=202214096")</f>
        <v>ictv.global=202214096</v>
      </c>
    </row>
    <row r="4895" spans="1:21">
      <c r="A4895">
        <v>4894</v>
      </c>
      <c r="B4895" s="29" t="s">
        <v>4053</v>
      </c>
      <c r="C4895" s="29"/>
      <c r="D4895" s="29" t="s">
        <v>4082</v>
      </c>
      <c r="E4895" s="29"/>
      <c r="F4895" s="29" t="s">
        <v>4106</v>
      </c>
      <c r="G4895" s="29"/>
      <c r="H4895" s="29" t="s">
        <v>4107</v>
      </c>
      <c r="I4895" s="29"/>
      <c r="J4895" s="29" t="s">
        <v>4109</v>
      </c>
      <c r="K4895" s="29"/>
      <c r="L4895" s="29" t="s">
        <v>583</v>
      </c>
      <c r="M4895" s="29"/>
      <c r="N4895" s="29" t="s">
        <v>2195</v>
      </c>
      <c r="O4895" s="29"/>
      <c r="P4895" s="29" t="s">
        <v>12093</v>
      </c>
      <c r="Q4895" t="s">
        <v>2041</v>
      </c>
      <c r="R4895" t="s">
        <v>2635</v>
      </c>
      <c r="S4895">
        <v>38</v>
      </c>
      <c r="T4895" s="43" t="str">
        <f t="shared" ref="T4895:T4915" si="227">HYPERLINK("https://ictv.global/ictv/proposals/2022.009D.Circoviridae_rensp101_nsp48.zip","2022.009D.Circoviridae_rensp101_nsp48.zip")</f>
        <v>2022.009D.Circoviridae_rensp101_nsp48.zip</v>
      </c>
      <c r="U4895" s="43" t="str">
        <f>HYPERLINK("https://ictv.global/taxonomy/taxondetails?taxnode_id=202206571","ictv.global=202206571")</f>
        <v>ictv.global=202206571</v>
      </c>
    </row>
    <row r="4896" spans="1:21">
      <c r="A4896">
        <v>4895</v>
      </c>
      <c r="B4896" s="29" t="s">
        <v>4053</v>
      </c>
      <c r="C4896" s="29"/>
      <c r="D4896" s="29" t="s">
        <v>4082</v>
      </c>
      <c r="E4896" s="29"/>
      <c r="F4896" s="29" t="s">
        <v>4106</v>
      </c>
      <c r="G4896" s="29"/>
      <c r="H4896" s="29" t="s">
        <v>4107</v>
      </c>
      <c r="I4896" s="29"/>
      <c r="J4896" s="29" t="s">
        <v>4109</v>
      </c>
      <c r="K4896" s="29"/>
      <c r="L4896" s="29" t="s">
        <v>583</v>
      </c>
      <c r="M4896" s="29"/>
      <c r="N4896" s="29" t="s">
        <v>2195</v>
      </c>
      <c r="O4896" s="29"/>
      <c r="P4896" s="29" t="s">
        <v>12094</v>
      </c>
      <c r="Q4896" t="s">
        <v>2041</v>
      </c>
      <c r="R4896" t="s">
        <v>2635</v>
      </c>
      <c r="S4896">
        <v>38</v>
      </c>
      <c r="T4896" s="43" t="str">
        <f t="shared" si="227"/>
        <v>2022.009D.Circoviridae_rensp101_nsp48.zip</v>
      </c>
      <c r="U4896" s="43" t="str">
        <f>HYPERLINK("https://ictv.global/taxonomy/taxondetails?taxnode_id=202202973","ictv.global=202202973")</f>
        <v>ictv.global=202202973</v>
      </c>
    </row>
    <row r="4897" spans="1:21">
      <c r="A4897">
        <v>4896</v>
      </c>
      <c r="B4897" s="29" t="s">
        <v>4053</v>
      </c>
      <c r="C4897" s="29"/>
      <c r="D4897" s="29" t="s">
        <v>4082</v>
      </c>
      <c r="E4897" s="29"/>
      <c r="F4897" s="29" t="s">
        <v>4106</v>
      </c>
      <c r="G4897" s="29"/>
      <c r="H4897" s="29" t="s">
        <v>4107</v>
      </c>
      <c r="I4897" s="29"/>
      <c r="J4897" s="29" t="s">
        <v>4109</v>
      </c>
      <c r="K4897" s="29"/>
      <c r="L4897" s="29" t="s">
        <v>583</v>
      </c>
      <c r="M4897" s="29"/>
      <c r="N4897" s="29" t="s">
        <v>2195</v>
      </c>
      <c r="O4897" s="29"/>
      <c r="P4897" s="29" t="s">
        <v>12095</v>
      </c>
      <c r="Q4897" t="s">
        <v>2041</v>
      </c>
      <c r="R4897" t="s">
        <v>2635</v>
      </c>
      <c r="S4897">
        <v>38</v>
      </c>
      <c r="T4897" s="43" t="str">
        <f t="shared" si="227"/>
        <v>2022.009D.Circoviridae_rensp101_nsp48.zip</v>
      </c>
      <c r="U4897" s="43" t="str">
        <f>HYPERLINK("https://ictv.global/taxonomy/taxondetails?taxnode_id=202202950","ictv.global=202202950")</f>
        <v>ictv.global=202202950</v>
      </c>
    </row>
    <row r="4898" spans="1:21">
      <c r="A4898">
        <v>4897</v>
      </c>
      <c r="B4898" s="29" t="s">
        <v>4053</v>
      </c>
      <c r="C4898" s="29"/>
      <c r="D4898" s="29" t="s">
        <v>4082</v>
      </c>
      <c r="E4898" s="29"/>
      <c r="F4898" s="29" t="s">
        <v>4106</v>
      </c>
      <c r="G4898" s="29"/>
      <c r="H4898" s="29" t="s">
        <v>4107</v>
      </c>
      <c r="I4898" s="29"/>
      <c r="J4898" s="29" t="s">
        <v>4109</v>
      </c>
      <c r="K4898" s="29"/>
      <c r="L4898" s="29" t="s">
        <v>583</v>
      </c>
      <c r="M4898" s="29"/>
      <c r="N4898" s="29" t="s">
        <v>2195</v>
      </c>
      <c r="O4898" s="29"/>
      <c r="P4898" s="29" t="s">
        <v>12096</v>
      </c>
      <c r="Q4898" t="s">
        <v>2194</v>
      </c>
      <c r="R4898" t="s">
        <v>2635</v>
      </c>
      <c r="S4898">
        <v>38</v>
      </c>
      <c r="T4898" s="43" t="str">
        <f t="shared" si="227"/>
        <v>2022.009D.Circoviridae_rensp101_nsp48.zip</v>
      </c>
      <c r="U4898" s="43" t="str">
        <f>HYPERLINK("https://ictv.global/taxonomy/taxondetails?taxnode_id=202209257","ictv.global=202209257")</f>
        <v>ictv.global=202209257</v>
      </c>
    </row>
    <row r="4899" spans="1:21">
      <c r="A4899">
        <v>4898</v>
      </c>
      <c r="B4899" s="29" t="s">
        <v>4053</v>
      </c>
      <c r="C4899" s="29"/>
      <c r="D4899" s="29" t="s">
        <v>4082</v>
      </c>
      <c r="E4899" s="29"/>
      <c r="F4899" s="29" t="s">
        <v>4106</v>
      </c>
      <c r="G4899" s="29"/>
      <c r="H4899" s="29" t="s">
        <v>4107</v>
      </c>
      <c r="I4899" s="29"/>
      <c r="J4899" s="29" t="s">
        <v>4109</v>
      </c>
      <c r="K4899" s="29"/>
      <c r="L4899" s="29" t="s">
        <v>583</v>
      </c>
      <c r="M4899" s="29"/>
      <c r="N4899" s="29" t="s">
        <v>2195</v>
      </c>
      <c r="O4899" s="29"/>
      <c r="P4899" s="29" t="s">
        <v>12097</v>
      </c>
      <c r="Q4899" t="s">
        <v>2265</v>
      </c>
      <c r="R4899" t="s">
        <v>2632</v>
      </c>
      <c r="S4899">
        <v>38</v>
      </c>
      <c r="T4899" s="43" t="str">
        <f t="shared" si="227"/>
        <v>2022.009D.Circoviridae_rensp101_nsp48.zip</v>
      </c>
      <c r="U4899" s="43" t="str">
        <f>HYPERLINK("https://ictv.global/taxonomy/taxondetails?taxnode_id=202214113","ictv.global=202214113")</f>
        <v>ictv.global=202214113</v>
      </c>
    </row>
    <row r="4900" spans="1:21">
      <c r="A4900">
        <v>4899</v>
      </c>
      <c r="B4900" s="29" t="s">
        <v>4053</v>
      </c>
      <c r="C4900" s="29"/>
      <c r="D4900" s="29" t="s">
        <v>4082</v>
      </c>
      <c r="E4900" s="29"/>
      <c r="F4900" s="29" t="s">
        <v>4106</v>
      </c>
      <c r="G4900" s="29"/>
      <c r="H4900" s="29" t="s">
        <v>4107</v>
      </c>
      <c r="I4900" s="29"/>
      <c r="J4900" s="29" t="s">
        <v>4109</v>
      </c>
      <c r="K4900" s="29"/>
      <c r="L4900" s="29" t="s">
        <v>583</v>
      </c>
      <c r="M4900" s="29"/>
      <c r="N4900" s="29" t="s">
        <v>2195</v>
      </c>
      <c r="O4900" s="29"/>
      <c r="P4900" s="29" t="s">
        <v>12098</v>
      </c>
      <c r="Q4900" t="s">
        <v>2265</v>
      </c>
      <c r="R4900" t="s">
        <v>2632</v>
      </c>
      <c r="S4900">
        <v>38</v>
      </c>
      <c r="T4900" s="43" t="str">
        <f t="shared" si="227"/>
        <v>2022.009D.Circoviridae_rensp101_nsp48.zip</v>
      </c>
      <c r="U4900" s="43" t="str">
        <f>HYPERLINK("https://ictv.global/taxonomy/taxondetails?taxnode_id=202214097","ictv.global=202214097")</f>
        <v>ictv.global=202214097</v>
      </c>
    </row>
    <row r="4901" spans="1:21">
      <c r="A4901">
        <v>4900</v>
      </c>
      <c r="B4901" s="29" t="s">
        <v>4053</v>
      </c>
      <c r="C4901" s="29"/>
      <c r="D4901" s="29" t="s">
        <v>4082</v>
      </c>
      <c r="E4901" s="29"/>
      <c r="F4901" s="29" t="s">
        <v>4106</v>
      </c>
      <c r="G4901" s="29"/>
      <c r="H4901" s="29" t="s">
        <v>4107</v>
      </c>
      <c r="I4901" s="29"/>
      <c r="J4901" s="29" t="s">
        <v>4109</v>
      </c>
      <c r="K4901" s="29"/>
      <c r="L4901" s="29" t="s">
        <v>583</v>
      </c>
      <c r="M4901" s="29"/>
      <c r="N4901" s="29" t="s">
        <v>2195</v>
      </c>
      <c r="O4901" s="29"/>
      <c r="P4901" s="29" t="s">
        <v>12099</v>
      </c>
      <c r="Q4901" t="s">
        <v>2265</v>
      </c>
      <c r="R4901" t="s">
        <v>2632</v>
      </c>
      <c r="S4901">
        <v>38</v>
      </c>
      <c r="T4901" s="43" t="str">
        <f t="shared" si="227"/>
        <v>2022.009D.Circoviridae_rensp101_nsp48.zip</v>
      </c>
      <c r="U4901" s="43" t="str">
        <f>HYPERLINK("https://ictv.global/taxonomy/taxondetails?taxnode_id=202214106","ictv.global=202214106")</f>
        <v>ictv.global=202214106</v>
      </c>
    </row>
    <row r="4902" spans="1:21">
      <c r="A4902">
        <v>4901</v>
      </c>
      <c r="B4902" s="29" t="s">
        <v>4053</v>
      </c>
      <c r="C4902" s="29"/>
      <c r="D4902" s="29" t="s">
        <v>4082</v>
      </c>
      <c r="E4902" s="29"/>
      <c r="F4902" s="29" t="s">
        <v>4106</v>
      </c>
      <c r="G4902" s="29"/>
      <c r="H4902" s="29" t="s">
        <v>4107</v>
      </c>
      <c r="I4902" s="29"/>
      <c r="J4902" s="29" t="s">
        <v>4109</v>
      </c>
      <c r="K4902" s="29"/>
      <c r="L4902" s="29" t="s">
        <v>583</v>
      </c>
      <c r="M4902" s="29"/>
      <c r="N4902" s="29" t="s">
        <v>2195</v>
      </c>
      <c r="O4902" s="29"/>
      <c r="P4902" s="29" t="s">
        <v>12100</v>
      </c>
      <c r="Q4902" t="s">
        <v>2265</v>
      </c>
      <c r="R4902" t="s">
        <v>2632</v>
      </c>
      <c r="S4902">
        <v>38</v>
      </c>
      <c r="T4902" s="43" t="str">
        <f t="shared" si="227"/>
        <v>2022.009D.Circoviridae_rensp101_nsp48.zip</v>
      </c>
      <c r="U4902" s="43" t="str">
        <f>HYPERLINK("https://ictv.global/taxonomy/taxondetails?taxnode_id=202214107","ictv.global=202214107")</f>
        <v>ictv.global=202214107</v>
      </c>
    </row>
    <row r="4903" spans="1:21">
      <c r="A4903">
        <v>4902</v>
      </c>
      <c r="B4903" s="29" t="s">
        <v>4053</v>
      </c>
      <c r="C4903" s="29"/>
      <c r="D4903" s="29" t="s">
        <v>4082</v>
      </c>
      <c r="E4903" s="29"/>
      <c r="F4903" s="29" t="s">
        <v>4106</v>
      </c>
      <c r="G4903" s="29"/>
      <c r="H4903" s="29" t="s">
        <v>4107</v>
      </c>
      <c r="I4903" s="29"/>
      <c r="J4903" s="29" t="s">
        <v>4109</v>
      </c>
      <c r="K4903" s="29"/>
      <c r="L4903" s="29" t="s">
        <v>583</v>
      </c>
      <c r="M4903" s="29"/>
      <c r="N4903" s="29" t="s">
        <v>2195</v>
      </c>
      <c r="O4903" s="29"/>
      <c r="P4903" s="29" t="s">
        <v>12101</v>
      </c>
      <c r="Q4903" t="s">
        <v>2041</v>
      </c>
      <c r="R4903" t="s">
        <v>2635</v>
      </c>
      <c r="S4903">
        <v>38</v>
      </c>
      <c r="T4903" s="43" t="str">
        <f t="shared" si="227"/>
        <v>2022.009D.Circoviridae_rensp101_nsp48.zip</v>
      </c>
      <c r="U4903" s="43" t="str">
        <f>HYPERLINK("https://ictv.global/taxonomy/taxondetails?taxnode_id=202202934","ictv.global=202202934")</f>
        <v>ictv.global=202202934</v>
      </c>
    </row>
    <row r="4904" spans="1:21">
      <c r="A4904">
        <v>4903</v>
      </c>
      <c r="B4904" s="29" t="s">
        <v>4053</v>
      </c>
      <c r="C4904" s="29"/>
      <c r="D4904" s="29" t="s">
        <v>4082</v>
      </c>
      <c r="E4904" s="29"/>
      <c r="F4904" s="29" t="s">
        <v>4106</v>
      </c>
      <c r="G4904" s="29"/>
      <c r="H4904" s="29" t="s">
        <v>4107</v>
      </c>
      <c r="I4904" s="29"/>
      <c r="J4904" s="29" t="s">
        <v>4109</v>
      </c>
      <c r="K4904" s="29"/>
      <c r="L4904" s="29" t="s">
        <v>583</v>
      </c>
      <c r="M4904" s="29"/>
      <c r="N4904" s="29" t="s">
        <v>2195</v>
      </c>
      <c r="O4904" s="29"/>
      <c r="P4904" s="29" t="s">
        <v>12102</v>
      </c>
      <c r="Q4904" t="s">
        <v>2041</v>
      </c>
      <c r="R4904" t="s">
        <v>2635</v>
      </c>
      <c r="S4904">
        <v>38</v>
      </c>
      <c r="T4904" s="43" t="str">
        <f t="shared" si="227"/>
        <v>2022.009D.Circoviridae_rensp101_nsp48.zip</v>
      </c>
      <c r="U4904" s="43" t="str">
        <f>HYPERLINK("https://ictv.global/taxonomy/taxondetails?taxnode_id=202202949","ictv.global=202202949")</f>
        <v>ictv.global=202202949</v>
      </c>
    </row>
    <row r="4905" spans="1:21">
      <c r="A4905">
        <v>4904</v>
      </c>
      <c r="B4905" s="29" t="s">
        <v>4053</v>
      </c>
      <c r="C4905" s="29"/>
      <c r="D4905" s="29" t="s">
        <v>4082</v>
      </c>
      <c r="E4905" s="29"/>
      <c r="F4905" s="29" t="s">
        <v>4106</v>
      </c>
      <c r="G4905" s="29"/>
      <c r="H4905" s="29" t="s">
        <v>4107</v>
      </c>
      <c r="I4905" s="29"/>
      <c r="J4905" s="29" t="s">
        <v>4109</v>
      </c>
      <c r="K4905" s="29"/>
      <c r="L4905" s="29" t="s">
        <v>583</v>
      </c>
      <c r="M4905" s="29"/>
      <c r="N4905" s="29" t="s">
        <v>2195</v>
      </c>
      <c r="O4905" s="29"/>
      <c r="P4905" s="29" t="s">
        <v>12103</v>
      </c>
      <c r="Q4905" t="s">
        <v>2265</v>
      </c>
      <c r="R4905" t="s">
        <v>2632</v>
      </c>
      <c r="S4905">
        <v>38</v>
      </c>
      <c r="T4905" s="43" t="str">
        <f t="shared" si="227"/>
        <v>2022.009D.Circoviridae_rensp101_nsp48.zip</v>
      </c>
      <c r="U4905" s="43" t="str">
        <f>HYPERLINK("https://ictv.global/taxonomy/taxondetails?taxnode_id=202214121","ictv.global=202214121")</f>
        <v>ictv.global=202214121</v>
      </c>
    </row>
    <row r="4906" spans="1:21">
      <c r="A4906">
        <v>4905</v>
      </c>
      <c r="B4906" s="29" t="s">
        <v>4053</v>
      </c>
      <c r="C4906" s="29"/>
      <c r="D4906" s="29" t="s">
        <v>4082</v>
      </c>
      <c r="E4906" s="29"/>
      <c r="F4906" s="29" t="s">
        <v>4106</v>
      </c>
      <c r="G4906" s="29"/>
      <c r="H4906" s="29" t="s">
        <v>4107</v>
      </c>
      <c r="I4906" s="29"/>
      <c r="J4906" s="29" t="s">
        <v>4109</v>
      </c>
      <c r="K4906" s="29"/>
      <c r="L4906" s="29" t="s">
        <v>583</v>
      </c>
      <c r="M4906" s="29"/>
      <c r="N4906" s="29" t="s">
        <v>2195</v>
      </c>
      <c r="O4906" s="29"/>
      <c r="P4906" s="29" t="s">
        <v>12104</v>
      </c>
      <c r="Q4906" t="s">
        <v>2041</v>
      </c>
      <c r="R4906" t="s">
        <v>2635</v>
      </c>
      <c r="S4906">
        <v>38</v>
      </c>
      <c r="T4906" s="43" t="str">
        <f t="shared" si="227"/>
        <v>2022.009D.Circoviridae_rensp101_nsp48.zip</v>
      </c>
      <c r="U4906" s="43" t="str">
        <f>HYPERLINK("https://ictv.global/taxonomy/taxondetails?taxnode_id=202202952","ictv.global=202202952")</f>
        <v>ictv.global=202202952</v>
      </c>
    </row>
    <row r="4907" spans="1:21">
      <c r="A4907">
        <v>4906</v>
      </c>
      <c r="B4907" s="29" t="s">
        <v>4053</v>
      </c>
      <c r="C4907" s="29"/>
      <c r="D4907" s="29" t="s">
        <v>4082</v>
      </c>
      <c r="E4907" s="29"/>
      <c r="F4907" s="29" t="s">
        <v>4106</v>
      </c>
      <c r="G4907" s="29"/>
      <c r="H4907" s="29" t="s">
        <v>4107</v>
      </c>
      <c r="I4907" s="29"/>
      <c r="J4907" s="29" t="s">
        <v>4109</v>
      </c>
      <c r="K4907" s="29"/>
      <c r="L4907" s="29" t="s">
        <v>583</v>
      </c>
      <c r="M4907" s="29"/>
      <c r="N4907" s="29" t="s">
        <v>2195</v>
      </c>
      <c r="O4907" s="29"/>
      <c r="P4907" s="29" t="s">
        <v>12105</v>
      </c>
      <c r="Q4907" t="s">
        <v>2041</v>
      </c>
      <c r="R4907" t="s">
        <v>2635</v>
      </c>
      <c r="S4907">
        <v>38</v>
      </c>
      <c r="T4907" s="43" t="str">
        <f t="shared" si="227"/>
        <v>2022.009D.Circoviridae_rensp101_nsp48.zip</v>
      </c>
      <c r="U4907" s="43" t="str">
        <f>HYPERLINK("https://ictv.global/taxonomy/taxondetails?taxnode_id=202202958","ictv.global=202202958")</f>
        <v>ictv.global=202202958</v>
      </c>
    </row>
    <row r="4908" spans="1:21">
      <c r="A4908">
        <v>4907</v>
      </c>
      <c r="B4908" s="29" t="s">
        <v>4053</v>
      </c>
      <c r="C4908" s="29"/>
      <c r="D4908" s="29" t="s">
        <v>4082</v>
      </c>
      <c r="E4908" s="29"/>
      <c r="F4908" s="29" t="s">
        <v>4106</v>
      </c>
      <c r="G4908" s="29"/>
      <c r="H4908" s="29" t="s">
        <v>4107</v>
      </c>
      <c r="I4908" s="29"/>
      <c r="J4908" s="29" t="s">
        <v>4109</v>
      </c>
      <c r="K4908" s="29"/>
      <c r="L4908" s="29" t="s">
        <v>583</v>
      </c>
      <c r="M4908" s="29"/>
      <c r="N4908" s="29" t="s">
        <v>2195</v>
      </c>
      <c r="O4908" s="29"/>
      <c r="P4908" s="29" t="s">
        <v>12106</v>
      </c>
      <c r="Q4908" t="s">
        <v>2041</v>
      </c>
      <c r="R4908" t="s">
        <v>2635</v>
      </c>
      <c r="S4908">
        <v>38</v>
      </c>
      <c r="T4908" s="43" t="str">
        <f t="shared" si="227"/>
        <v>2022.009D.Circoviridae_rensp101_nsp48.zip</v>
      </c>
      <c r="U4908" s="43" t="str">
        <f>HYPERLINK("https://ictv.global/taxonomy/taxondetails?taxnode_id=202202953","ictv.global=202202953")</f>
        <v>ictv.global=202202953</v>
      </c>
    </row>
    <row r="4909" spans="1:21">
      <c r="A4909">
        <v>4908</v>
      </c>
      <c r="B4909" s="29" t="s">
        <v>4053</v>
      </c>
      <c r="C4909" s="29"/>
      <c r="D4909" s="29" t="s">
        <v>4082</v>
      </c>
      <c r="E4909" s="29"/>
      <c r="F4909" s="29" t="s">
        <v>4106</v>
      </c>
      <c r="G4909" s="29"/>
      <c r="H4909" s="29" t="s">
        <v>4107</v>
      </c>
      <c r="I4909" s="29"/>
      <c r="J4909" s="29" t="s">
        <v>4109</v>
      </c>
      <c r="K4909" s="29"/>
      <c r="L4909" s="29" t="s">
        <v>583</v>
      </c>
      <c r="M4909" s="29"/>
      <c r="N4909" s="29" t="s">
        <v>2195</v>
      </c>
      <c r="O4909" s="29"/>
      <c r="P4909" s="29" t="s">
        <v>12107</v>
      </c>
      <c r="Q4909" t="s">
        <v>2265</v>
      </c>
      <c r="R4909" t="s">
        <v>2632</v>
      </c>
      <c r="S4909">
        <v>38</v>
      </c>
      <c r="T4909" s="43" t="str">
        <f t="shared" si="227"/>
        <v>2022.009D.Circoviridae_rensp101_nsp48.zip</v>
      </c>
      <c r="U4909" s="43" t="str">
        <f>HYPERLINK("https://ictv.global/taxonomy/taxondetails?taxnode_id=202214094","ictv.global=202214094")</f>
        <v>ictv.global=202214094</v>
      </c>
    </row>
    <row r="4910" spans="1:21">
      <c r="A4910">
        <v>4909</v>
      </c>
      <c r="B4910" s="29" t="s">
        <v>4053</v>
      </c>
      <c r="C4910" s="29"/>
      <c r="D4910" s="29" t="s">
        <v>4082</v>
      </c>
      <c r="E4910" s="29"/>
      <c r="F4910" s="29" t="s">
        <v>4106</v>
      </c>
      <c r="G4910" s="29"/>
      <c r="H4910" s="29" t="s">
        <v>4107</v>
      </c>
      <c r="I4910" s="29"/>
      <c r="J4910" s="29" t="s">
        <v>4109</v>
      </c>
      <c r="K4910" s="29"/>
      <c r="L4910" s="29" t="s">
        <v>583</v>
      </c>
      <c r="M4910" s="29"/>
      <c r="N4910" s="29" t="s">
        <v>2195</v>
      </c>
      <c r="O4910" s="29"/>
      <c r="P4910" s="29" t="s">
        <v>12108</v>
      </c>
      <c r="Q4910" t="s">
        <v>2265</v>
      </c>
      <c r="R4910" t="s">
        <v>2632</v>
      </c>
      <c r="S4910">
        <v>38</v>
      </c>
      <c r="T4910" s="43" t="str">
        <f t="shared" si="227"/>
        <v>2022.009D.Circoviridae_rensp101_nsp48.zip</v>
      </c>
      <c r="U4910" s="43" t="str">
        <f>HYPERLINK("https://ictv.global/taxonomy/taxondetails?taxnode_id=202214092","ictv.global=202214092")</f>
        <v>ictv.global=202214092</v>
      </c>
    </row>
    <row r="4911" spans="1:21">
      <c r="A4911">
        <v>4910</v>
      </c>
      <c r="B4911" s="29" t="s">
        <v>4053</v>
      </c>
      <c r="C4911" s="29"/>
      <c r="D4911" s="29" t="s">
        <v>4082</v>
      </c>
      <c r="E4911" s="29"/>
      <c r="F4911" s="29" t="s">
        <v>4106</v>
      </c>
      <c r="G4911" s="29"/>
      <c r="H4911" s="29" t="s">
        <v>4107</v>
      </c>
      <c r="I4911" s="29"/>
      <c r="J4911" s="29" t="s">
        <v>4109</v>
      </c>
      <c r="K4911" s="29"/>
      <c r="L4911" s="29" t="s">
        <v>583</v>
      </c>
      <c r="M4911" s="29"/>
      <c r="N4911" s="29" t="s">
        <v>2195</v>
      </c>
      <c r="O4911" s="29"/>
      <c r="P4911" s="29" t="s">
        <v>12109</v>
      </c>
      <c r="Q4911" t="s">
        <v>2041</v>
      </c>
      <c r="R4911" t="s">
        <v>2635</v>
      </c>
      <c r="S4911">
        <v>38</v>
      </c>
      <c r="T4911" s="43" t="str">
        <f t="shared" si="227"/>
        <v>2022.009D.Circoviridae_rensp101_nsp48.zip</v>
      </c>
      <c r="U4911" s="43" t="str">
        <f>HYPERLINK("https://ictv.global/taxonomy/taxondetails?taxnode_id=202202954","ictv.global=202202954")</f>
        <v>ictv.global=202202954</v>
      </c>
    </row>
    <row r="4912" spans="1:21">
      <c r="A4912">
        <v>4911</v>
      </c>
      <c r="B4912" s="29" t="s">
        <v>4053</v>
      </c>
      <c r="C4912" s="29"/>
      <c r="D4912" s="29" t="s">
        <v>4082</v>
      </c>
      <c r="E4912" s="29"/>
      <c r="F4912" s="29" t="s">
        <v>4106</v>
      </c>
      <c r="G4912" s="29"/>
      <c r="H4912" s="29" t="s">
        <v>4107</v>
      </c>
      <c r="I4912" s="29"/>
      <c r="J4912" s="29" t="s">
        <v>4109</v>
      </c>
      <c r="K4912" s="29"/>
      <c r="L4912" s="29" t="s">
        <v>583</v>
      </c>
      <c r="M4912" s="29"/>
      <c r="N4912" s="29" t="s">
        <v>2195</v>
      </c>
      <c r="O4912" s="29"/>
      <c r="P4912" s="29" t="s">
        <v>12110</v>
      </c>
      <c r="Q4912" t="s">
        <v>2265</v>
      </c>
      <c r="R4912" t="s">
        <v>2632</v>
      </c>
      <c r="S4912">
        <v>38</v>
      </c>
      <c r="T4912" s="43" t="str">
        <f t="shared" si="227"/>
        <v>2022.009D.Circoviridae_rensp101_nsp48.zip</v>
      </c>
      <c r="U4912" s="43" t="str">
        <f>HYPERLINK("https://ictv.global/taxonomy/taxondetails?taxnode_id=202214104","ictv.global=202214104")</f>
        <v>ictv.global=202214104</v>
      </c>
    </row>
    <row r="4913" spans="1:21">
      <c r="A4913">
        <v>4912</v>
      </c>
      <c r="B4913" s="29" t="s">
        <v>4053</v>
      </c>
      <c r="C4913" s="29"/>
      <c r="D4913" s="29" t="s">
        <v>4082</v>
      </c>
      <c r="E4913" s="29"/>
      <c r="F4913" s="29" t="s">
        <v>4106</v>
      </c>
      <c r="G4913" s="29"/>
      <c r="H4913" s="29" t="s">
        <v>4107</v>
      </c>
      <c r="I4913" s="29"/>
      <c r="J4913" s="29" t="s">
        <v>4109</v>
      </c>
      <c r="K4913" s="29"/>
      <c r="L4913" s="29" t="s">
        <v>583</v>
      </c>
      <c r="M4913" s="29"/>
      <c r="N4913" s="29" t="s">
        <v>2195</v>
      </c>
      <c r="O4913" s="29"/>
      <c r="P4913" s="29" t="s">
        <v>12111</v>
      </c>
      <c r="Q4913" t="s">
        <v>2265</v>
      </c>
      <c r="R4913" t="s">
        <v>2632</v>
      </c>
      <c r="S4913">
        <v>38</v>
      </c>
      <c r="T4913" s="43" t="str">
        <f t="shared" si="227"/>
        <v>2022.009D.Circoviridae_rensp101_nsp48.zip</v>
      </c>
      <c r="U4913" s="43" t="str">
        <f>HYPERLINK("https://ictv.global/taxonomy/taxondetails?taxnode_id=202214110","ictv.global=202214110")</f>
        <v>ictv.global=202214110</v>
      </c>
    </row>
    <row r="4914" spans="1:21">
      <c r="A4914">
        <v>4913</v>
      </c>
      <c r="B4914" s="29" t="s">
        <v>4053</v>
      </c>
      <c r="C4914" s="29"/>
      <c r="D4914" s="29" t="s">
        <v>4082</v>
      </c>
      <c r="E4914" s="29"/>
      <c r="F4914" s="29" t="s">
        <v>4106</v>
      </c>
      <c r="G4914" s="29"/>
      <c r="H4914" s="29" t="s">
        <v>4107</v>
      </c>
      <c r="I4914" s="29"/>
      <c r="J4914" s="29" t="s">
        <v>4109</v>
      </c>
      <c r="K4914" s="29"/>
      <c r="L4914" s="29" t="s">
        <v>583</v>
      </c>
      <c r="M4914" s="29"/>
      <c r="N4914" s="29" t="s">
        <v>2195</v>
      </c>
      <c r="O4914" s="29"/>
      <c r="P4914" s="29" t="s">
        <v>12112</v>
      </c>
      <c r="Q4914" t="s">
        <v>2041</v>
      </c>
      <c r="R4914" t="s">
        <v>2635</v>
      </c>
      <c r="S4914">
        <v>38</v>
      </c>
      <c r="T4914" s="43" t="str">
        <f t="shared" si="227"/>
        <v>2022.009D.Circoviridae_rensp101_nsp48.zip</v>
      </c>
      <c r="U4914" s="43" t="str">
        <f>HYPERLINK("https://ictv.global/taxonomy/taxondetails?taxnode_id=202202941","ictv.global=202202941")</f>
        <v>ictv.global=202202941</v>
      </c>
    </row>
    <row r="4915" spans="1:21">
      <c r="A4915">
        <v>4914</v>
      </c>
      <c r="B4915" s="29" t="s">
        <v>4053</v>
      </c>
      <c r="C4915" s="29"/>
      <c r="D4915" s="29" t="s">
        <v>4082</v>
      </c>
      <c r="E4915" s="29"/>
      <c r="F4915" s="29" t="s">
        <v>4106</v>
      </c>
      <c r="G4915" s="29"/>
      <c r="H4915" s="29" t="s">
        <v>4107</v>
      </c>
      <c r="I4915" s="29"/>
      <c r="J4915" s="29" t="s">
        <v>4109</v>
      </c>
      <c r="K4915" s="29"/>
      <c r="L4915" s="29" t="s">
        <v>583</v>
      </c>
      <c r="M4915" s="29"/>
      <c r="N4915" s="29" t="s">
        <v>2195</v>
      </c>
      <c r="O4915" s="29"/>
      <c r="P4915" s="29" t="s">
        <v>12113</v>
      </c>
      <c r="Q4915" t="s">
        <v>2265</v>
      </c>
      <c r="R4915" t="s">
        <v>2632</v>
      </c>
      <c r="S4915">
        <v>38</v>
      </c>
      <c r="T4915" s="43" t="str">
        <f t="shared" si="227"/>
        <v>2022.009D.Circoviridae_rensp101_nsp48.zip</v>
      </c>
      <c r="U4915" s="43" t="str">
        <f>HYPERLINK("https://ictv.global/taxonomy/taxondetails?taxnode_id=202214111","ictv.global=202214111")</f>
        <v>ictv.global=202214111</v>
      </c>
    </row>
    <row r="4916" spans="1:21">
      <c r="A4916">
        <v>4915</v>
      </c>
      <c r="B4916" s="29" t="s">
        <v>4053</v>
      </c>
      <c r="C4916" s="29"/>
      <c r="D4916" s="29" t="s">
        <v>4082</v>
      </c>
      <c r="E4916" s="29"/>
      <c r="F4916" s="29" t="s">
        <v>4106</v>
      </c>
      <c r="G4916" s="29"/>
      <c r="H4916" s="29" t="s">
        <v>4107</v>
      </c>
      <c r="I4916" s="29"/>
      <c r="J4916" s="29" t="s">
        <v>4109</v>
      </c>
      <c r="K4916" s="29"/>
      <c r="L4916" s="29" t="s">
        <v>12114</v>
      </c>
      <c r="M4916" s="29"/>
      <c r="N4916" s="29" t="s">
        <v>12115</v>
      </c>
      <c r="O4916" s="29"/>
      <c r="P4916" s="29" t="s">
        <v>12116</v>
      </c>
      <c r="Q4916" t="s">
        <v>2194</v>
      </c>
      <c r="R4916" t="s">
        <v>2632</v>
      </c>
      <c r="S4916">
        <v>37</v>
      </c>
      <c r="T4916" s="43" t="str">
        <f t="shared" ref="T4916:T4933" si="228">HYPERLINK("https://ictv.global/ictv/proposals/2021.010F.R.Cressdna_2neword_3newfam_21newgen.zip","2021.010F.R.Cressdna_2neword_3newfam_21newgen.zip")</f>
        <v>2021.010F.R.Cressdna_2neword_3newfam_21newgen.zip</v>
      </c>
      <c r="U4916" s="43" t="str">
        <f>HYPERLINK("https://ictv.global/taxonomy/taxondetails?taxnode_id=202213253","ictv.global=202213253")</f>
        <v>ictv.global=202213253</v>
      </c>
    </row>
    <row r="4917" spans="1:21">
      <c r="A4917">
        <v>4916</v>
      </c>
      <c r="B4917" s="29" t="s">
        <v>4053</v>
      </c>
      <c r="C4917" s="29"/>
      <c r="D4917" s="29" t="s">
        <v>4082</v>
      </c>
      <c r="E4917" s="29"/>
      <c r="F4917" s="29" t="s">
        <v>4106</v>
      </c>
      <c r="G4917" s="29"/>
      <c r="H4917" s="29" t="s">
        <v>4107</v>
      </c>
      <c r="I4917" s="29"/>
      <c r="J4917" s="29" t="s">
        <v>4109</v>
      </c>
      <c r="K4917" s="29"/>
      <c r="L4917" s="29" t="s">
        <v>12114</v>
      </c>
      <c r="M4917" s="29"/>
      <c r="N4917" s="29" t="s">
        <v>12115</v>
      </c>
      <c r="O4917" s="29"/>
      <c r="P4917" s="29" t="s">
        <v>12117</v>
      </c>
      <c r="Q4917" t="s">
        <v>2194</v>
      </c>
      <c r="R4917" t="s">
        <v>2632</v>
      </c>
      <c r="S4917">
        <v>37</v>
      </c>
      <c r="T4917" s="43" t="str">
        <f t="shared" si="228"/>
        <v>2021.010F.R.Cressdna_2neword_3newfam_21newgen.zip</v>
      </c>
      <c r="U4917" s="43" t="str">
        <f>HYPERLINK("https://ictv.global/taxonomy/taxondetails?taxnode_id=202213254","ictv.global=202213254")</f>
        <v>ictv.global=202213254</v>
      </c>
    </row>
    <row r="4918" spans="1:21">
      <c r="A4918">
        <v>4917</v>
      </c>
      <c r="B4918" s="29" t="s">
        <v>4053</v>
      </c>
      <c r="C4918" s="29"/>
      <c r="D4918" s="29" t="s">
        <v>4082</v>
      </c>
      <c r="E4918" s="29"/>
      <c r="F4918" s="29" t="s">
        <v>4106</v>
      </c>
      <c r="G4918" s="29"/>
      <c r="H4918" s="29" t="s">
        <v>4107</v>
      </c>
      <c r="I4918" s="29"/>
      <c r="J4918" s="29" t="s">
        <v>4109</v>
      </c>
      <c r="K4918" s="29"/>
      <c r="L4918" s="29" t="s">
        <v>12114</v>
      </c>
      <c r="M4918" s="29"/>
      <c r="N4918" s="29" t="s">
        <v>12118</v>
      </c>
      <c r="O4918" s="29"/>
      <c r="P4918" s="29" t="s">
        <v>12119</v>
      </c>
      <c r="Q4918" t="s">
        <v>2194</v>
      </c>
      <c r="R4918" t="s">
        <v>2632</v>
      </c>
      <c r="S4918">
        <v>37</v>
      </c>
      <c r="T4918" s="43" t="str">
        <f t="shared" si="228"/>
        <v>2021.010F.R.Cressdna_2neword_3newfam_21newgen.zip</v>
      </c>
      <c r="U4918" s="43" t="str">
        <f>HYPERLINK("https://ictv.global/taxonomy/taxondetails?taxnode_id=202213257","ictv.global=202213257")</f>
        <v>ictv.global=202213257</v>
      </c>
    </row>
    <row r="4919" spans="1:21">
      <c r="A4919">
        <v>4918</v>
      </c>
      <c r="B4919" s="29" t="s">
        <v>4053</v>
      </c>
      <c r="C4919" s="29"/>
      <c r="D4919" s="29" t="s">
        <v>4082</v>
      </c>
      <c r="E4919" s="29"/>
      <c r="F4919" s="29" t="s">
        <v>4106</v>
      </c>
      <c r="G4919" s="29"/>
      <c r="H4919" s="29" t="s">
        <v>4107</v>
      </c>
      <c r="I4919" s="29"/>
      <c r="J4919" s="29" t="s">
        <v>4109</v>
      </c>
      <c r="K4919" s="29"/>
      <c r="L4919" s="29" t="s">
        <v>12114</v>
      </c>
      <c r="M4919" s="29"/>
      <c r="N4919" s="29" t="s">
        <v>12118</v>
      </c>
      <c r="O4919" s="29"/>
      <c r="P4919" s="29" t="s">
        <v>12120</v>
      </c>
      <c r="Q4919" t="s">
        <v>2194</v>
      </c>
      <c r="R4919" t="s">
        <v>2632</v>
      </c>
      <c r="S4919">
        <v>37</v>
      </c>
      <c r="T4919" s="43" t="str">
        <f t="shared" si="228"/>
        <v>2021.010F.R.Cressdna_2neword_3newfam_21newgen.zip</v>
      </c>
      <c r="U4919" s="43" t="str">
        <f>HYPERLINK("https://ictv.global/taxonomy/taxondetails?taxnode_id=202213256","ictv.global=202213256")</f>
        <v>ictv.global=202213256</v>
      </c>
    </row>
    <row r="4920" spans="1:21">
      <c r="A4920">
        <v>4919</v>
      </c>
      <c r="B4920" s="29" t="s">
        <v>4053</v>
      </c>
      <c r="C4920" s="29"/>
      <c r="D4920" s="29" t="s">
        <v>4082</v>
      </c>
      <c r="E4920" s="29"/>
      <c r="F4920" s="29" t="s">
        <v>4106</v>
      </c>
      <c r="G4920" s="29"/>
      <c r="H4920" s="29" t="s">
        <v>4107</v>
      </c>
      <c r="I4920" s="29"/>
      <c r="J4920" s="29" t="s">
        <v>4109</v>
      </c>
      <c r="K4920" s="29"/>
      <c r="L4920" s="29" t="s">
        <v>12114</v>
      </c>
      <c r="M4920" s="29"/>
      <c r="N4920" s="29" t="s">
        <v>12121</v>
      </c>
      <c r="O4920" s="29"/>
      <c r="P4920" s="29" t="s">
        <v>12122</v>
      </c>
      <c r="Q4920" t="s">
        <v>2194</v>
      </c>
      <c r="R4920" t="s">
        <v>2632</v>
      </c>
      <c r="S4920">
        <v>37</v>
      </c>
      <c r="T4920" s="43" t="str">
        <f t="shared" si="228"/>
        <v>2021.010F.R.Cressdna_2neword_3newfam_21newgen.zip</v>
      </c>
      <c r="U4920" s="43" t="str">
        <f>HYPERLINK("https://ictv.global/taxonomy/taxondetails?taxnode_id=202213259","ictv.global=202213259")</f>
        <v>ictv.global=202213259</v>
      </c>
    </row>
    <row r="4921" spans="1:21">
      <c r="A4921">
        <v>4920</v>
      </c>
      <c r="B4921" s="29" t="s">
        <v>4053</v>
      </c>
      <c r="C4921" s="29"/>
      <c r="D4921" s="29" t="s">
        <v>4082</v>
      </c>
      <c r="E4921" s="29"/>
      <c r="F4921" s="29" t="s">
        <v>4106</v>
      </c>
      <c r="G4921" s="29"/>
      <c r="H4921" s="29" t="s">
        <v>4107</v>
      </c>
      <c r="I4921" s="29"/>
      <c r="J4921" s="29" t="s">
        <v>4109</v>
      </c>
      <c r="K4921" s="29"/>
      <c r="L4921" s="29" t="s">
        <v>12114</v>
      </c>
      <c r="M4921" s="29"/>
      <c r="N4921" s="29" t="s">
        <v>12123</v>
      </c>
      <c r="O4921" s="29"/>
      <c r="P4921" s="29" t="s">
        <v>12124</v>
      </c>
      <c r="Q4921" t="s">
        <v>2194</v>
      </c>
      <c r="R4921" t="s">
        <v>2632</v>
      </c>
      <c r="S4921">
        <v>37</v>
      </c>
      <c r="T4921" s="43" t="str">
        <f t="shared" si="228"/>
        <v>2021.010F.R.Cressdna_2neword_3newfam_21newgen.zip</v>
      </c>
      <c r="U4921" s="43" t="str">
        <f>HYPERLINK("https://ictv.global/taxonomy/taxondetails?taxnode_id=202213261","ictv.global=202213261")</f>
        <v>ictv.global=202213261</v>
      </c>
    </row>
    <row r="4922" spans="1:21">
      <c r="A4922">
        <v>4921</v>
      </c>
      <c r="B4922" s="29" t="s">
        <v>4053</v>
      </c>
      <c r="C4922" s="29"/>
      <c r="D4922" s="29" t="s">
        <v>4082</v>
      </c>
      <c r="E4922" s="29"/>
      <c r="F4922" s="29" t="s">
        <v>4106</v>
      </c>
      <c r="G4922" s="29"/>
      <c r="H4922" s="29" t="s">
        <v>4107</v>
      </c>
      <c r="I4922" s="29"/>
      <c r="J4922" s="29" t="s">
        <v>4109</v>
      </c>
      <c r="K4922" s="29"/>
      <c r="L4922" s="29" t="s">
        <v>12114</v>
      </c>
      <c r="M4922" s="29"/>
      <c r="N4922" s="29" t="s">
        <v>12125</v>
      </c>
      <c r="O4922" s="29"/>
      <c r="P4922" s="29" t="s">
        <v>12126</v>
      </c>
      <c r="Q4922" t="s">
        <v>2194</v>
      </c>
      <c r="R4922" t="s">
        <v>2632</v>
      </c>
      <c r="S4922">
        <v>37</v>
      </c>
      <c r="T4922" s="43" t="str">
        <f t="shared" si="228"/>
        <v>2021.010F.R.Cressdna_2neword_3newfam_21newgen.zip</v>
      </c>
      <c r="U4922" s="43" t="str">
        <f>HYPERLINK("https://ictv.global/taxonomy/taxondetails?taxnode_id=202213264","ictv.global=202213264")</f>
        <v>ictv.global=202213264</v>
      </c>
    </row>
    <row r="4923" spans="1:21">
      <c r="A4923">
        <v>4922</v>
      </c>
      <c r="B4923" s="29" t="s">
        <v>4053</v>
      </c>
      <c r="C4923" s="29"/>
      <c r="D4923" s="29" t="s">
        <v>4082</v>
      </c>
      <c r="E4923" s="29"/>
      <c r="F4923" s="29" t="s">
        <v>4106</v>
      </c>
      <c r="G4923" s="29"/>
      <c r="H4923" s="29" t="s">
        <v>4107</v>
      </c>
      <c r="I4923" s="29"/>
      <c r="J4923" s="29" t="s">
        <v>4109</v>
      </c>
      <c r="K4923" s="29"/>
      <c r="L4923" s="29" t="s">
        <v>12114</v>
      </c>
      <c r="M4923" s="29"/>
      <c r="N4923" s="29" t="s">
        <v>12125</v>
      </c>
      <c r="O4923" s="29"/>
      <c r="P4923" s="29" t="s">
        <v>12127</v>
      </c>
      <c r="Q4923" t="s">
        <v>2194</v>
      </c>
      <c r="R4923" t="s">
        <v>2632</v>
      </c>
      <c r="S4923">
        <v>37</v>
      </c>
      <c r="T4923" s="43" t="str">
        <f t="shared" si="228"/>
        <v>2021.010F.R.Cressdna_2neword_3newfam_21newgen.zip</v>
      </c>
      <c r="U4923" s="43" t="str">
        <f>HYPERLINK("https://ictv.global/taxonomy/taxondetails?taxnode_id=202213263","ictv.global=202213263")</f>
        <v>ictv.global=202213263</v>
      </c>
    </row>
    <row r="4924" spans="1:21">
      <c r="A4924">
        <v>4923</v>
      </c>
      <c r="B4924" s="29" t="s">
        <v>4053</v>
      </c>
      <c r="C4924" s="29"/>
      <c r="D4924" s="29" t="s">
        <v>4082</v>
      </c>
      <c r="E4924" s="29"/>
      <c r="F4924" s="29" t="s">
        <v>4106</v>
      </c>
      <c r="G4924" s="29"/>
      <c r="H4924" s="29" t="s">
        <v>4107</v>
      </c>
      <c r="I4924" s="29"/>
      <c r="J4924" s="29" t="s">
        <v>4109</v>
      </c>
      <c r="K4924" s="29"/>
      <c r="L4924" s="29" t="s">
        <v>12114</v>
      </c>
      <c r="M4924" s="29"/>
      <c r="N4924" s="29" t="s">
        <v>12128</v>
      </c>
      <c r="O4924" s="29"/>
      <c r="P4924" s="29" t="s">
        <v>12129</v>
      </c>
      <c r="Q4924" t="s">
        <v>2194</v>
      </c>
      <c r="R4924" t="s">
        <v>2632</v>
      </c>
      <c r="S4924">
        <v>37</v>
      </c>
      <c r="T4924" s="43" t="str">
        <f t="shared" si="228"/>
        <v>2021.010F.R.Cressdna_2neword_3newfam_21newgen.zip</v>
      </c>
      <c r="U4924" s="43" t="str">
        <f>HYPERLINK("https://ictv.global/taxonomy/taxondetails?taxnode_id=202213266","ictv.global=202213266")</f>
        <v>ictv.global=202213266</v>
      </c>
    </row>
    <row r="4925" spans="1:21">
      <c r="A4925">
        <v>4924</v>
      </c>
      <c r="B4925" s="29" t="s">
        <v>4053</v>
      </c>
      <c r="C4925" s="29"/>
      <c r="D4925" s="29" t="s">
        <v>4082</v>
      </c>
      <c r="E4925" s="29"/>
      <c r="F4925" s="29" t="s">
        <v>4106</v>
      </c>
      <c r="G4925" s="29"/>
      <c r="H4925" s="29" t="s">
        <v>4107</v>
      </c>
      <c r="I4925" s="29"/>
      <c r="J4925" s="29" t="s">
        <v>4109</v>
      </c>
      <c r="K4925" s="29"/>
      <c r="L4925" s="29" t="s">
        <v>12114</v>
      </c>
      <c r="M4925" s="29"/>
      <c r="N4925" s="29" t="s">
        <v>12130</v>
      </c>
      <c r="O4925" s="29"/>
      <c r="P4925" s="29" t="s">
        <v>12131</v>
      </c>
      <c r="Q4925" t="s">
        <v>2194</v>
      </c>
      <c r="R4925" t="s">
        <v>2632</v>
      </c>
      <c r="S4925">
        <v>37</v>
      </c>
      <c r="T4925" s="43" t="str">
        <f t="shared" si="228"/>
        <v>2021.010F.R.Cressdna_2neword_3newfam_21newgen.zip</v>
      </c>
      <c r="U4925" s="43" t="str">
        <f>HYPERLINK("https://ictv.global/taxonomy/taxondetails?taxnode_id=202213268","ictv.global=202213268")</f>
        <v>ictv.global=202213268</v>
      </c>
    </row>
    <row r="4926" spans="1:21">
      <c r="A4926">
        <v>4925</v>
      </c>
      <c r="B4926" s="29" t="s">
        <v>4053</v>
      </c>
      <c r="C4926" s="29"/>
      <c r="D4926" s="29" t="s">
        <v>4082</v>
      </c>
      <c r="E4926" s="29"/>
      <c r="F4926" s="29" t="s">
        <v>4106</v>
      </c>
      <c r="G4926" s="29"/>
      <c r="H4926" s="29" t="s">
        <v>4107</v>
      </c>
      <c r="I4926" s="29"/>
      <c r="J4926" s="29" t="s">
        <v>4109</v>
      </c>
      <c r="K4926" s="29"/>
      <c r="L4926" s="29" t="s">
        <v>12114</v>
      </c>
      <c r="M4926" s="29"/>
      <c r="N4926" s="29" t="s">
        <v>12132</v>
      </c>
      <c r="O4926" s="29"/>
      <c r="P4926" s="29" t="s">
        <v>12133</v>
      </c>
      <c r="Q4926" t="s">
        <v>2194</v>
      </c>
      <c r="R4926" t="s">
        <v>2632</v>
      </c>
      <c r="S4926">
        <v>37</v>
      </c>
      <c r="T4926" s="43" t="str">
        <f t="shared" si="228"/>
        <v>2021.010F.R.Cressdna_2neword_3newfam_21newgen.zip</v>
      </c>
      <c r="U4926" s="43" t="str">
        <f>HYPERLINK("https://ictv.global/taxonomy/taxondetails?taxnode_id=202213270","ictv.global=202213270")</f>
        <v>ictv.global=202213270</v>
      </c>
    </row>
    <row r="4927" spans="1:21">
      <c r="A4927">
        <v>4926</v>
      </c>
      <c r="B4927" s="29" t="s">
        <v>4053</v>
      </c>
      <c r="C4927" s="29"/>
      <c r="D4927" s="29" t="s">
        <v>4082</v>
      </c>
      <c r="E4927" s="29"/>
      <c r="F4927" s="29" t="s">
        <v>4106</v>
      </c>
      <c r="G4927" s="29"/>
      <c r="H4927" s="29" t="s">
        <v>4107</v>
      </c>
      <c r="I4927" s="29"/>
      <c r="J4927" s="29" t="s">
        <v>4109</v>
      </c>
      <c r="K4927" s="29"/>
      <c r="L4927" s="29" t="s">
        <v>12114</v>
      </c>
      <c r="M4927" s="29"/>
      <c r="N4927" s="29" t="s">
        <v>12134</v>
      </c>
      <c r="O4927" s="29"/>
      <c r="P4927" s="29" t="s">
        <v>12135</v>
      </c>
      <c r="Q4927" t="s">
        <v>2194</v>
      </c>
      <c r="R4927" t="s">
        <v>2632</v>
      </c>
      <c r="S4927">
        <v>37</v>
      </c>
      <c r="T4927" s="43" t="str">
        <f t="shared" si="228"/>
        <v>2021.010F.R.Cressdna_2neword_3newfam_21newgen.zip</v>
      </c>
      <c r="U4927" s="43" t="str">
        <f>HYPERLINK("https://ictv.global/taxonomy/taxondetails?taxnode_id=202213272","ictv.global=202213272")</f>
        <v>ictv.global=202213272</v>
      </c>
    </row>
    <row r="4928" spans="1:21">
      <c r="A4928">
        <v>4927</v>
      </c>
      <c r="B4928" s="29" t="s">
        <v>4053</v>
      </c>
      <c r="C4928" s="29"/>
      <c r="D4928" s="29" t="s">
        <v>4082</v>
      </c>
      <c r="E4928" s="29"/>
      <c r="F4928" s="29" t="s">
        <v>4106</v>
      </c>
      <c r="G4928" s="29"/>
      <c r="H4928" s="29" t="s">
        <v>4107</v>
      </c>
      <c r="I4928" s="29"/>
      <c r="J4928" s="29" t="s">
        <v>4109</v>
      </c>
      <c r="K4928" s="29"/>
      <c r="L4928" s="29" t="s">
        <v>12114</v>
      </c>
      <c r="M4928" s="29"/>
      <c r="N4928" s="29" t="s">
        <v>12136</v>
      </c>
      <c r="O4928" s="29"/>
      <c r="P4928" s="29" t="s">
        <v>12137</v>
      </c>
      <c r="Q4928" t="s">
        <v>2194</v>
      </c>
      <c r="R4928" t="s">
        <v>2632</v>
      </c>
      <c r="S4928">
        <v>37</v>
      </c>
      <c r="T4928" s="43" t="str">
        <f t="shared" si="228"/>
        <v>2021.010F.R.Cressdna_2neword_3newfam_21newgen.zip</v>
      </c>
      <c r="U4928" s="43" t="str">
        <f>HYPERLINK("https://ictv.global/taxonomy/taxondetails?taxnode_id=202213274","ictv.global=202213274")</f>
        <v>ictv.global=202213274</v>
      </c>
    </row>
    <row r="4929" spans="1:21">
      <c r="A4929">
        <v>4928</v>
      </c>
      <c r="B4929" s="29" t="s">
        <v>4053</v>
      </c>
      <c r="C4929" s="29"/>
      <c r="D4929" s="29" t="s">
        <v>4082</v>
      </c>
      <c r="E4929" s="29"/>
      <c r="F4929" s="29" t="s">
        <v>4106</v>
      </c>
      <c r="G4929" s="29"/>
      <c r="H4929" s="29" t="s">
        <v>4107</v>
      </c>
      <c r="I4929" s="29"/>
      <c r="J4929" s="29" t="s">
        <v>4109</v>
      </c>
      <c r="K4929" s="29"/>
      <c r="L4929" s="29" t="s">
        <v>12114</v>
      </c>
      <c r="M4929" s="29"/>
      <c r="N4929" s="29" t="s">
        <v>12138</v>
      </c>
      <c r="O4929" s="29"/>
      <c r="P4929" s="29" t="s">
        <v>12139</v>
      </c>
      <c r="Q4929" t="s">
        <v>2194</v>
      </c>
      <c r="R4929" t="s">
        <v>2632</v>
      </c>
      <c r="S4929">
        <v>37</v>
      </c>
      <c r="T4929" s="43" t="str">
        <f t="shared" si="228"/>
        <v>2021.010F.R.Cressdna_2neword_3newfam_21newgen.zip</v>
      </c>
      <c r="U4929" s="43" t="str">
        <f>HYPERLINK("https://ictv.global/taxonomy/taxondetails?taxnode_id=202213277","ictv.global=202213277")</f>
        <v>ictv.global=202213277</v>
      </c>
    </row>
    <row r="4930" spans="1:21">
      <c r="A4930">
        <v>4929</v>
      </c>
      <c r="B4930" s="29" t="s">
        <v>4053</v>
      </c>
      <c r="C4930" s="29"/>
      <c r="D4930" s="29" t="s">
        <v>4082</v>
      </c>
      <c r="E4930" s="29"/>
      <c r="F4930" s="29" t="s">
        <v>4106</v>
      </c>
      <c r="G4930" s="29"/>
      <c r="H4930" s="29" t="s">
        <v>4107</v>
      </c>
      <c r="I4930" s="29"/>
      <c r="J4930" s="29" t="s">
        <v>4109</v>
      </c>
      <c r="K4930" s="29"/>
      <c r="L4930" s="29" t="s">
        <v>12114</v>
      </c>
      <c r="M4930" s="29"/>
      <c r="N4930" s="29" t="s">
        <v>12138</v>
      </c>
      <c r="O4930" s="29"/>
      <c r="P4930" s="29" t="s">
        <v>12140</v>
      </c>
      <c r="Q4930" t="s">
        <v>2194</v>
      </c>
      <c r="R4930" t="s">
        <v>2632</v>
      </c>
      <c r="S4930">
        <v>37</v>
      </c>
      <c r="T4930" s="43" t="str">
        <f t="shared" si="228"/>
        <v>2021.010F.R.Cressdna_2neword_3newfam_21newgen.zip</v>
      </c>
      <c r="U4930" s="43" t="str">
        <f>HYPERLINK("https://ictv.global/taxonomy/taxondetails?taxnode_id=202213276","ictv.global=202213276")</f>
        <v>ictv.global=202213276</v>
      </c>
    </row>
    <row r="4931" spans="1:21">
      <c r="A4931">
        <v>4930</v>
      </c>
      <c r="B4931" s="29" t="s">
        <v>4053</v>
      </c>
      <c r="C4931" s="29"/>
      <c r="D4931" s="29" t="s">
        <v>4082</v>
      </c>
      <c r="E4931" s="29"/>
      <c r="F4931" s="29" t="s">
        <v>4106</v>
      </c>
      <c r="G4931" s="29"/>
      <c r="H4931" s="29" t="s">
        <v>4107</v>
      </c>
      <c r="I4931" s="29"/>
      <c r="J4931" s="29" t="s">
        <v>4109</v>
      </c>
      <c r="K4931" s="29"/>
      <c r="L4931" s="29" t="s">
        <v>12114</v>
      </c>
      <c r="M4931" s="29"/>
      <c r="N4931" s="29" t="s">
        <v>12138</v>
      </c>
      <c r="O4931" s="29"/>
      <c r="P4931" s="29" t="s">
        <v>12141</v>
      </c>
      <c r="Q4931" t="s">
        <v>2194</v>
      </c>
      <c r="R4931" t="s">
        <v>2632</v>
      </c>
      <c r="S4931">
        <v>37</v>
      </c>
      <c r="T4931" s="43" t="str">
        <f t="shared" si="228"/>
        <v>2021.010F.R.Cressdna_2neword_3newfam_21newgen.zip</v>
      </c>
      <c r="U4931" s="43" t="str">
        <f>HYPERLINK("https://ictv.global/taxonomy/taxondetails?taxnode_id=202213278","ictv.global=202213278")</f>
        <v>ictv.global=202213278</v>
      </c>
    </row>
    <row r="4932" spans="1:21">
      <c r="A4932">
        <v>4931</v>
      </c>
      <c r="B4932" s="29" t="s">
        <v>4053</v>
      </c>
      <c r="C4932" s="29"/>
      <c r="D4932" s="29" t="s">
        <v>4082</v>
      </c>
      <c r="E4932" s="29"/>
      <c r="F4932" s="29" t="s">
        <v>4106</v>
      </c>
      <c r="G4932" s="29"/>
      <c r="H4932" s="29" t="s">
        <v>4107</v>
      </c>
      <c r="I4932" s="29"/>
      <c r="J4932" s="29" t="s">
        <v>4109</v>
      </c>
      <c r="K4932" s="29"/>
      <c r="L4932" s="29" t="s">
        <v>12114</v>
      </c>
      <c r="M4932" s="29"/>
      <c r="N4932" s="29" t="s">
        <v>12142</v>
      </c>
      <c r="O4932" s="29"/>
      <c r="P4932" s="29" t="s">
        <v>12143</v>
      </c>
      <c r="Q4932" t="s">
        <v>2194</v>
      </c>
      <c r="R4932" t="s">
        <v>2632</v>
      </c>
      <c r="S4932">
        <v>37</v>
      </c>
      <c r="T4932" s="43" t="str">
        <f t="shared" si="228"/>
        <v>2021.010F.R.Cressdna_2neword_3newfam_21newgen.zip</v>
      </c>
      <c r="U4932" s="43" t="str">
        <f>HYPERLINK("https://ictv.global/taxonomy/taxondetails?taxnode_id=202213281","ictv.global=202213281")</f>
        <v>ictv.global=202213281</v>
      </c>
    </row>
    <row r="4933" spans="1:21">
      <c r="A4933">
        <v>4932</v>
      </c>
      <c r="B4933" s="29" t="s">
        <v>4053</v>
      </c>
      <c r="C4933" s="29"/>
      <c r="D4933" s="29" t="s">
        <v>4082</v>
      </c>
      <c r="E4933" s="29"/>
      <c r="F4933" s="29" t="s">
        <v>4106</v>
      </c>
      <c r="G4933" s="29"/>
      <c r="H4933" s="29" t="s">
        <v>4107</v>
      </c>
      <c r="I4933" s="29"/>
      <c r="J4933" s="29" t="s">
        <v>4109</v>
      </c>
      <c r="K4933" s="29"/>
      <c r="L4933" s="29" t="s">
        <v>12114</v>
      </c>
      <c r="M4933" s="29"/>
      <c r="N4933" s="29" t="s">
        <v>12142</v>
      </c>
      <c r="O4933" s="29"/>
      <c r="P4933" s="29" t="s">
        <v>12144</v>
      </c>
      <c r="Q4933" t="s">
        <v>2194</v>
      </c>
      <c r="R4933" t="s">
        <v>2632</v>
      </c>
      <c r="S4933">
        <v>37</v>
      </c>
      <c r="T4933" s="43" t="str">
        <f t="shared" si="228"/>
        <v>2021.010F.R.Cressdna_2neword_3newfam_21newgen.zip</v>
      </c>
      <c r="U4933" s="43" t="str">
        <f>HYPERLINK("https://ictv.global/taxonomy/taxondetails?taxnode_id=202213280","ictv.global=202213280")</f>
        <v>ictv.global=202213280</v>
      </c>
    </row>
    <row r="4934" spans="1:21">
      <c r="A4934">
        <v>4933</v>
      </c>
      <c r="B4934" s="29" t="s">
        <v>4053</v>
      </c>
      <c r="C4934" s="29"/>
      <c r="D4934" s="29" t="s">
        <v>4082</v>
      </c>
      <c r="E4934" s="29"/>
      <c r="F4934" s="29" t="s">
        <v>4106</v>
      </c>
      <c r="G4934" s="29"/>
      <c r="H4934" s="29" t="s">
        <v>4107</v>
      </c>
      <c r="I4934" s="29"/>
      <c r="J4934" s="29" t="s">
        <v>4110</v>
      </c>
      <c r="K4934" s="29"/>
      <c r="L4934" s="29" t="s">
        <v>2974</v>
      </c>
      <c r="M4934" s="29"/>
      <c r="N4934" s="29" t="s">
        <v>4812</v>
      </c>
      <c r="O4934" s="29"/>
      <c r="P4934" s="29" t="s">
        <v>4813</v>
      </c>
      <c r="Q4934" t="s">
        <v>2194</v>
      </c>
      <c r="R4934" t="s">
        <v>2632</v>
      </c>
      <c r="S4934">
        <v>36</v>
      </c>
      <c r="T4934" s="43" t="str">
        <f>HYPERLINK("https://ictv.global/ictv/proposals/2020.016D.R.Smacoviridae_6ngen_42nsp.zip","2020.016D.R.Smacoviridae_6ngen_42nsp.zip")</f>
        <v>2020.016D.R.Smacoviridae_6ngen_42nsp.zip</v>
      </c>
      <c r="U4934" s="43" t="str">
        <f>HYPERLINK("https://ictv.global/taxonomy/taxondetails?taxnode_id=202209507","ictv.global=202209507")</f>
        <v>ictv.global=202209507</v>
      </c>
    </row>
    <row r="4935" spans="1:21">
      <c r="A4935">
        <v>4934</v>
      </c>
      <c r="B4935" s="29" t="s">
        <v>4053</v>
      </c>
      <c r="C4935" s="29"/>
      <c r="D4935" s="29" t="s">
        <v>4082</v>
      </c>
      <c r="E4935" s="29"/>
      <c r="F4935" s="29" t="s">
        <v>4106</v>
      </c>
      <c r="G4935" s="29"/>
      <c r="H4935" s="29" t="s">
        <v>4107</v>
      </c>
      <c r="I4935" s="29"/>
      <c r="J4935" s="29" t="s">
        <v>4110</v>
      </c>
      <c r="K4935" s="29"/>
      <c r="L4935" s="29" t="s">
        <v>2974</v>
      </c>
      <c r="M4935" s="29"/>
      <c r="N4935" s="29" t="s">
        <v>4814</v>
      </c>
      <c r="O4935" s="29"/>
      <c r="P4935" s="29" t="s">
        <v>4815</v>
      </c>
      <c r="Q4935" t="s">
        <v>2194</v>
      </c>
      <c r="R4935" t="s">
        <v>2633</v>
      </c>
      <c r="S4935">
        <v>36</v>
      </c>
      <c r="T4935" s="43" t="str">
        <f>HYPERLINK("https://ictv.global/ictv/proposals/2020.016D.R.Smacoviridae_6ngen_42nsp.zip","2020.016D.R.Smacoviridae_6ngen_42nsp.zip")</f>
        <v>2020.016D.R.Smacoviridae_6ngen_42nsp.zip</v>
      </c>
      <c r="U4935" s="43" t="str">
        <f>HYPERLINK("https://ictv.global/taxonomy/taxondetails?taxnode_id=202205957","ictv.global=202205957")</f>
        <v>ictv.global=202205957</v>
      </c>
    </row>
    <row r="4936" spans="1:21">
      <c r="A4936">
        <v>4935</v>
      </c>
      <c r="B4936" s="29" t="s">
        <v>4053</v>
      </c>
      <c r="C4936" s="29"/>
      <c r="D4936" s="29" t="s">
        <v>4082</v>
      </c>
      <c r="E4936" s="29"/>
      <c r="F4936" s="29" t="s">
        <v>4106</v>
      </c>
      <c r="G4936" s="29"/>
      <c r="H4936" s="29" t="s">
        <v>4107</v>
      </c>
      <c r="I4936" s="29"/>
      <c r="J4936" s="29" t="s">
        <v>4110</v>
      </c>
      <c r="K4936" s="29"/>
      <c r="L4936" s="29" t="s">
        <v>2974</v>
      </c>
      <c r="M4936" s="29"/>
      <c r="N4936" s="29" t="s">
        <v>4816</v>
      </c>
      <c r="O4936" s="29"/>
      <c r="P4936" s="29" t="s">
        <v>4817</v>
      </c>
      <c r="Q4936" t="s">
        <v>2194</v>
      </c>
      <c r="R4936" t="s">
        <v>2633</v>
      </c>
      <c r="S4936">
        <v>36</v>
      </c>
      <c r="T4936" s="43" t="str">
        <f>HYPERLINK("https://ictv.global/ictv/proposals/2020.016D.R.Smacoviridae_6ngen_42nsp.zip","2020.016D.R.Smacoviridae_6ngen_42nsp.zip")</f>
        <v>2020.016D.R.Smacoviridae_6ngen_42nsp.zip</v>
      </c>
      <c r="U4936" s="43" t="str">
        <f>HYPERLINK("https://ictv.global/taxonomy/taxondetails?taxnode_id=202205958","ictv.global=202205958")</f>
        <v>ictv.global=202205958</v>
      </c>
    </row>
    <row r="4937" spans="1:21">
      <c r="A4937">
        <v>4936</v>
      </c>
      <c r="B4937" s="29" t="s">
        <v>4053</v>
      </c>
      <c r="C4937" s="29"/>
      <c r="D4937" s="29" t="s">
        <v>4082</v>
      </c>
      <c r="E4937" s="29"/>
      <c r="F4937" s="29" t="s">
        <v>4106</v>
      </c>
      <c r="G4937" s="29"/>
      <c r="H4937" s="29" t="s">
        <v>4107</v>
      </c>
      <c r="I4937" s="29"/>
      <c r="J4937" s="29" t="s">
        <v>4110</v>
      </c>
      <c r="K4937" s="29"/>
      <c r="L4937" s="29" t="s">
        <v>2974</v>
      </c>
      <c r="M4937" s="29"/>
      <c r="N4937" s="29" t="s">
        <v>2975</v>
      </c>
      <c r="O4937" s="29"/>
      <c r="P4937" s="29" t="s">
        <v>4818</v>
      </c>
      <c r="Q4937" t="s">
        <v>2194</v>
      </c>
      <c r="R4937" t="s">
        <v>6902</v>
      </c>
      <c r="S4937">
        <v>36</v>
      </c>
      <c r="T4937" s="43" t="str">
        <f>HYPERLINK("https://ictv.global/ictv/proposals/2020.016D.R.Smacoviridae_6ngen_42nsp.zip","2020.016D.R.Smacoviridae_6ngen_42nsp.zip;2020.001G.R.Abolish_type_species.pdf")</f>
        <v>2020.016D.R.Smacoviridae_6ngen_42nsp.zip;2020.001G.R.Abolish_type_species.pdf</v>
      </c>
      <c r="U4937" s="43" t="str">
        <f>HYPERLINK("https://ictv.global/taxonomy/taxondetails?taxnode_id=202205945","ictv.global=202205945")</f>
        <v>ictv.global=202205945</v>
      </c>
    </row>
    <row r="4938" spans="1:21">
      <c r="A4938">
        <v>4937</v>
      </c>
      <c r="B4938" s="29" t="s">
        <v>4053</v>
      </c>
      <c r="C4938" s="29"/>
      <c r="D4938" s="29" t="s">
        <v>4082</v>
      </c>
      <c r="E4938" s="29"/>
      <c r="F4938" s="29" t="s">
        <v>4106</v>
      </c>
      <c r="G4938" s="29"/>
      <c r="H4938" s="29" t="s">
        <v>4107</v>
      </c>
      <c r="I4938" s="29"/>
      <c r="J4938" s="29" t="s">
        <v>4110</v>
      </c>
      <c r="K4938" s="29"/>
      <c r="L4938" s="29" t="s">
        <v>2974</v>
      </c>
      <c r="M4938" s="29"/>
      <c r="N4938" s="29" t="s">
        <v>2975</v>
      </c>
      <c r="O4938" s="29"/>
      <c r="P4938" s="29" t="s">
        <v>4819</v>
      </c>
      <c r="Q4938" t="s">
        <v>2194</v>
      </c>
      <c r="R4938" t="s">
        <v>2635</v>
      </c>
      <c r="S4938">
        <v>36</v>
      </c>
      <c r="T4938" s="43" t="str">
        <f>HYPERLINK("https://ictv.global/ictv/proposals/2020.016D.R.Smacoviridae_6ngen_42nsp.zip","2020.016D.R.Smacoviridae_6ngen_42nsp.zip")</f>
        <v>2020.016D.R.Smacoviridae_6ngen_42nsp.zip</v>
      </c>
      <c r="U4938" s="43" t="str">
        <f>HYPERLINK("https://ictv.global/taxonomy/taxondetails?taxnode_id=202205946","ictv.global=202205946")</f>
        <v>ictv.global=202205946</v>
      </c>
    </row>
    <row r="4939" spans="1:21">
      <c r="A4939">
        <v>4938</v>
      </c>
      <c r="B4939" s="29" t="s">
        <v>4053</v>
      </c>
      <c r="C4939" s="29"/>
      <c r="D4939" s="29" t="s">
        <v>4082</v>
      </c>
      <c r="E4939" s="29"/>
      <c r="F4939" s="29" t="s">
        <v>4106</v>
      </c>
      <c r="G4939" s="29"/>
      <c r="H4939" s="29" t="s">
        <v>4107</v>
      </c>
      <c r="I4939" s="29"/>
      <c r="J4939" s="29" t="s">
        <v>4110</v>
      </c>
      <c r="K4939" s="29"/>
      <c r="L4939" s="29" t="s">
        <v>2974</v>
      </c>
      <c r="M4939" s="29"/>
      <c r="N4939" s="29" t="s">
        <v>2975</v>
      </c>
      <c r="O4939" s="29"/>
      <c r="P4939" s="29" t="s">
        <v>4820</v>
      </c>
      <c r="Q4939" t="s">
        <v>2194</v>
      </c>
      <c r="R4939" t="s">
        <v>2635</v>
      </c>
      <c r="S4939">
        <v>36</v>
      </c>
      <c r="T4939" s="43" t="str">
        <f>HYPERLINK("https://ictv.global/ictv/proposals/2020.016D.R.Smacoviridae_6ngen_42nsp.zip","2020.016D.R.Smacoviridae_6ngen_42nsp.zip")</f>
        <v>2020.016D.R.Smacoviridae_6ngen_42nsp.zip</v>
      </c>
      <c r="U4939" s="43" t="str">
        <f>HYPERLINK("https://ictv.global/taxonomy/taxondetails?taxnode_id=202205947","ictv.global=202205947")</f>
        <v>ictv.global=202205947</v>
      </c>
    </row>
    <row r="4940" spans="1:21">
      <c r="A4940">
        <v>4939</v>
      </c>
      <c r="B4940" s="29" t="s">
        <v>4053</v>
      </c>
      <c r="C4940" s="29"/>
      <c r="D4940" s="29" t="s">
        <v>4082</v>
      </c>
      <c r="E4940" s="29"/>
      <c r="F4940" s="29" t="s">
        <v>4106</v>
      </c>
      <c r="G4940" s="29"/>
      <c r="H4940" s="29" t="s">
        <v>4107</v>
      </c>
      <c r="I4940" s="29"/>
      <c r="J4940" s="29" t="s">
        <v>4110</v>
      </c>
      <c r="K4940" s="29"/>
      <c r="L4940" s="29" t="s">
        <v>2974</v>
      </c>
      <c r="M4940" s="29"/>
      <c r="N4940" s="29" t="s">
        <v>2976</v>
      </c>
      <c r="O4940" s="29"/>
      <c r="P4940" s="29" t="s">
        <v>4821</v>
      </c>
      <c r="Q4940" t="s">
        <v>2194</v>
      </c>
      <c r="R4940" t="s">
        <v>6902</v>
      </c>
      <c r="S4940">
        <v>36</v>
      </c>
      <c r="T4940" s="43" t="str">
        <f>HYPERLINK("https://ictv.global/ictv/proposals/2020.016D.R.Smacoviridae_6ngen_42nsp.zip","2020.016D.R.Smacoviridae_6ngen_42nsp.zip;2020.001G.R.Abolish_type_species.pdf")</f>
        <v>2020.016D.R.Smacoviridae_6ngen_42nsp.zip;2020.001G.R.Abolish_type_species.pdf</v>
      </c>
      <c r="U4940" s="43" t="str">
        <f>HYPERLINK("https://ictv.global/taxonomy/taxondetails?taxnode_id=202205949","ictv.global=202205949")</f>
        <v>ictv.global=202205949</v>
      </c>
    </row>
    <row r="4941" spans="1:21">
      <c r="A4941">
        <v>4940</v>
      </c>
      <c r="B4941" s="29" t="s">
        <v>4053</v>
      </c>
      <c r="C4941" s="29"/>
      <c r="D4941" s="29" t="s">
        <v>4082</v>
      </c>
      <c r="E4941" s="29"/>
      <c r="F4941" s="29" t="s">
        <v>4106</v>
      </c>
      <c r="G4941" s="29"/>
      <c r="H4941" s="29" t="s">
        <v>4107</v>
      </c>
      <c r="I4941" s="29"/>
      <c r="J4941" s="29" t="s">
        <v>4110</v>
      </c>
      <c r="K4941" s="29"/>
      <c r="L4941" s="29" t="s">
        <v>2974</v>
      </c>
      <c r="M4941" s="29"/>
      <c r="N4941" s="29" t="s">
        <v>2977</v>
      </c>
      <c r="O4941" s="29"/>
      <c r="P4941" s="29" t="s">
        <v>4822</v>
      </c>
      <c r="Q4941" t="s">
        <v>2194</v>
      </c>
      <c r="R4941" t="s">
        <v>6902</v>
      </c>
      <c r="S4941">
        <v>36</v>
      </c>
      <c r="T4941" s="43" t="str">
        <f>HYPERLINK("https://ictv.global/ictv/proposals/2020.016D.R.Smacoviridae_6ngen_42nsp.zip","2020.016D.R.Smacoviridae_6ngen_42nsp.zip;2020.001G.R.Abolish_type_species.pdf")</f>
        <v>2020.016D.R.Smacoviridae_6ngen_42nsp.zip;2020.001G.R.Abolish_type_species.pdf</v>
      </c>
      <c r="U4941" s="43" t="str">
        <f>HYPERLINK("https://ictv.global/taxonomy/taxondetails?taxnode_id=202205951","ictv.global=202205951")</f>
        <v>ictv.global=202205951</v>
      </c>
    </row>
    <row r="4942" spans="1:21">
      <c r="A4942">
        <v>4941</v>
      </c>
      <c r="B4942" s="29" t="s">
        <v>4053</v>
      </c>
      <c r="C4942" s="29"/>
      <c r="D4942" s="29" t="s">
        <v>4082</v>
      </c>
      <c r="E4942" s="29"/>
      <c r="F4942" s="29" t="s">
        <v>4106</v>
      </c>
      <c r="G4942" s="29"/>
      <c r="H4942" s="29" t="s">
        <v>4107</v>
      </c>
      <c r="I4942" s="29"/>
      <c r="J4942" s="29" t="s">
        <v>4110</v>
      </c>
      <c r="K4942" s="29"/>
      <c r="L4942" s="29" t="s">
        <v>2974</v>
      </c>
      <c r="M4942" s="29"/>
      <c r="N4942" s="29" t="s">
        <v>2978</v>
      </c>
      <c r="O4942" s="29"/>
      <c r="P4942" s="29" t="s">
        <v>4823</v>
      </c>
      <c r="Q4942" t="s">
        <v>2194</v>
      </c>
      <c r="R4942" t="s">
        <v>2635</v>
      </c>
      <c r="S4942">
        <v>36</v>
      </c>
      <c r="T4942" s="43" t="str">
        <f>HYPERLINK("https://ictv.global/ictv/proposals/2020.016D.R.Smacoviridae_6ngen_42nsp.zip","2020.016D.R.Smacoviridae_6ngen_42nsp.zip")</f>
        <v>2020.016D.R.Smacoviridae_6ngen_42nsp.zip</v>
      </c>
      <c r="U4942" s="43" t="str">
        <f>HYPERLINK("https://ictv.global/taxonomy/taxondetails?taxnode_id=202205953","ictv.global=202205953")</f>
        <v>ictv.global=202205953</v>
      </c>
    </row>
    <row r="4943" spans="1:21">
      <c r="A4943">
        <v>4942</v>
      </c>
      <c r="B4943" s="29" t="s">
        <v>4053</v>
      </c>
      <c r="C4943" s="29"/>
      <c r="D4943" s="29" t="s">
        <v>4082</v>
      </c>
      <c r="E4943" s="29"/>
      <c r="F4943" s="29" t="s">
        <v>4106</v>
      </c>
      <c r="G4943" s="29"/>
      <c r="H4943" s="29" t="s">
        <v>4107</v>
      </c>
      <c r="I4943" s="29"/>
      <c r="J4943" s="29" t="s">
        <v>4110</v>
      </c>
      <c r="K4943" s="29"/>
      <c r="L4943" s="29" t="s">
        <v>2974</v>
      </c>
      <c r="M4943" s="29"/>
      <c r="N4943" s="29" t="s">
        <v>2978</v>
      </c>
      <c r="O4943" s="29"/>
      <c r="P4943" s="29" t="s">
        <v>4824</v>
      </c>
      <c r="Q4943" t="s">
        <v>2194</v>
      </c>
      <c r="R4943" t="s">
        <v>6902</v>
      </c>
      <c r="S4943">
        <v>36</v>
      </c>
      <c r="T4943" s="43" t="str">
        <f>HYPERLINK("https://ictv.global/ictv/proposals/2020.016D.R.Smacoviridae_6ngen_42nsp.zip","2020.016D.R.Smacoviridae_6ngen_42nsp.zip;2020.001G.R.Abolish_type_species.pdf")</f>
        <v>2020.016D.R.Smacoviridae_6ngen_42nsp.zip;2020.001G.R.Abolish_type_species.pdf</v>
      </c>
      <c r="U4943" s="43" t="str">
        <f>HYPERLINK("https://ictv.global/taxonomy/taxondetails?taxnode_id=202205954","ictv.global=202205954")</f>
        <v>ictv.global=202205954</v>
      </c>
    </row>
    <row r="4944" spans="1:21">
      <c r="A4944">
        <v>4943</v>
      </c>
      <c r="B4944" s="29" t="s">
        <v>4053</v>
      </c>
      <c r="C4944" s="29"/>
      <c r="D4944" s="29" t="s">
        <v>4082</v>
      </c>
      <c r="E4944" s="29"/>
      <c r="F4944" s="29" t="s">
        <v>4106</v>
      </c>
      <c r="G4944" s="29"/>
      <c r="H4944" s="29" t="s">
        <v>4107</v>
      </c>
      <c r="I4944" s="29"/>
      <c r="J4944" s="29" t="s">
        <v>4110</v>
      </c>
      <c r="K4944" s="29"/>
      <c r="L4944" s="29" t="s">
        <v>2974</v>
      </c>
      <c r="M4944" s="29"/>
      <c r="N4944" s="29" t="s">
        <v>2978</v>
      </c>
      <c r="O4944" s="29"/>
      <c r="P4944" s="29" t="s">
        <v>4825</v>
      </c>
      <c r="Q4944" t="s">
        <v>2194</v>
      </c>
      <c r="R4944" t="s">
        <v>2635</v>
      </c>
      <c r="S4944">
        <v>36</v>
      </c>
      <c r="T4944" s="43" t="str">
        <f>HYPERLINK("https://ictv.global/ictv/proposals/2020.016D.R.Smacoviridae_6ngen_42nsp.zip","2020.016D.R.Smacoviridae_6ngen_42nsp.zip")</f>
        <v>2020.016D.R.Smacoviridae_6ngen_42nsp.zip</v>
      </c>
      <c r="U4944" s="43" t="str">
        <f>HYPERLINK("https://ictv.global/taxonomy/taxondetails?taxnode_id=202205955","ictv.global=202205955")</f>
        <v>ictv.global=202205955</v>
      </c>
    </row>
    <row r="4945" spans="1:21">
      <c r="A4945">
        <v>4944</v>
      </c>
      <c r="B4945" s="29" t="s">
        <v>4053</v>
      </c>
      <c r="C4945" s="29"/>
      <c r="D4945" s="29" t="s">
        <v>4082</v>
      </c>
      <c r="E4945" s="29"/>
      <c r="F4945" s="29" t="s">
        <v>4106</v>
      </c>
      <c r="G4945" s="29"/>
      <c r="H4945" s="29" t="s">
        <v>4107</v>
      </c>
      <c r="I4945" s="29"/>
      <c r="J4945" s="29" t="s">
        <v>4110</v>
      </c>
      <c r="K4945" s="29"/>
      <c r="L4945" s="29" t="s">
        <v>2974</v>
      </c>
      <c r="M4945" s="29"/>
      <c r="N4945" s="29" t="s">
        <v>4826</v>
      </c>
      <c r="O4945" s="29"/>
      <c r="P4945" s="29" t="s">
        <v>4827</v>
      </c>
      <c r="Q4945" t="s">
        <v>2194</v>
      </c>
      <c r="R4945" t="s">
        <v>2632</v>
      </c>
      <c r="S4945">
        <v>36</v>
      </c>
      <c r="T4945" s="43" t="str">
        <f>HYPERLINK("https://ictv.global/ictv/proposals/2020.016D.R.Smacoviridae_6ngen_42nsp.zip","2020.016D.R.Smacoviridae_6ngen_42nsp.zip")</f>
        <v>2020.016D.R.Smacoviridae_6ngen_42nsp.zip</v>
      </c>
      <c r="U4945" s="43" t="str">
        <f>HYPERLINK("https://ictv.global/taxonomy/taxondetails?taxnode_id=202209509","ictv.global=202209509")</f>
        <v>ictv.global=202209509</v>
      </c>
    </row>
    <row r="4946" spans="1:21">
      <c r="A4946">
        <v>4945</v>
      </c>
      <c r="B4946" s="29" t="s">
        <v>4053</v>
      </c>
      <c r="C4946" s="29"/>
      <c r="D4946" s="29" t="s">
        <v>4082</v>
      </c>
      <c r="E4946" s="29"/>
      <c r="F4946" s="29" t="s">
        <v>4106</v>
      </c>
      <c r="G4946" s="29"/>
      <c r="H4946" s="29" t="s">
        <v>4107</v>
      </c>
      <c r="I4946" s="29"/>
      <c r="J4946" s="29" t="s">
        <v>4110</v>
      </c>
      <c r="K4946" s="29"/>
      <c r="L4946" s="29" t="s">
        <v>2974</v>
      </c>
      <c r="M4946" s="29"/>
      <c r="N4946" s="29" t="s">
        <v>2979</v>
      </c>
      <c r="O4946" s="29"/>
      <c r="P4946" s="29" t="s">
        <v>4828</v>
      </c>
      <c r="Q4946" t="s">
        <v>2194</v>
      </c>
      <c r="R4946" t="s">
        <v>2635</v>
      </c>
      <c r="S4946">
        <v>36</v>
      </c>
      <c r="T4946" s="43" t="str">
        <f>HYPERLINK("https://ictv.global/ictv/proposals/2020.016D.R.Smacoviridae_6ngen_42nsp.zip","2020.016D.R.Smacoviridae_6ngen_42nsp.zip")</f>
        <v>2020.016D.R.Smacoviridae_6ngen_42nsp.zip</v>
      </c>
      <c r="U4946" s="43" t="str">
        <f>HYPERLINK("https://ictv.global/taxonomy/taxondetails?taxnode_id=202205959","ictv.global=202205959")</f>
        <v>ictv.global=202205959</v>
      </c>
    </row>
    <row r="4947" spans="1:21">
      <c r="A4947">
        <v>4946</v>
      </c>
      <c r="B4947" s="29" t="s">
        <v>4053</v>
      </c>
      <c r="C4947" s="29"/>
      <c r="D4947" s="29" t="s">
        <v>4082</v>
      </c>
      <c r="E4947" s="29"/>
      <c r="F4947" s="29" t="s">
        <v>4106</v>
      </c>
      <c r="G4947" s="29"/>
      <c r="H4947" s="29" t="s">
        <v>4107</v>
      </c>
      <c r="I4947" s="29"/>
      <c r="J4947" s="29" t="s">
        <v>4110</v>
      </c>
      <c r="K4947" s="29"/>
      <c r="L4947" s="29" t="s">
        <v>2974</v>
      </c>
      <c r="M4947" s="29"/>
      <c r="N4947" s="29" t="s">
        <v>2979</v>
      </c>
      <c r="O4947" s="29"/>
      <c r="P4947" s="29" t="s">
        <v>4829</v>
      </c>
      <c r="Q4947" t="s">
        <v>2194</v>
      </c>
      <c r="R4947" t="s">
        <v>2635</v>
      </c>
      <c r="S4947">
        <v>36</v>
      </c>
      <c r="T4947" s="43" t="str">
        <f>HYPERLINK("https://ictv.global/ictv/proposals/2020.016D.R.Smacoviridae_6ngen_42nsp.zip","2020.016D.R.Smacoviridae_6ngen_42nsp.zip")</f>
        <v>2020.016D.R.Smacoviridae_6ngen_42nsp.zip</v>
      </c>
      <c r="U4947" s="43" t="str">
        <f>HYPERLINK("https://ictv.global/taxonomy/taxondetails?taxnode_id=202205960","ictv.global=202205960")</f>
        <v>ictv.global=202205960</v>
      </c>
    </row>
    <row r="4948" spans="1:21">
      <c r="A4948">
        <v>4947</v>
      </c>
      <c r="B4948" s="29" t="s">
        <v>4053</v>
      </c>
      <c r="C4948" s="29"/>
      <c r="D4948" s="29" t="s">
        <v>4082</v>
      </c>
      <c r="E4948" s="29"/>
      <c r="F4948" s="29" t="s">
        <v>4106</v>
      </c>
      <c r="G4948" s="29"/>
      <c r="H4948" s="29" t="s">
        <v>4107</v>
      </c>
      <c r="I4948" s="29"/>
      <c r="J4948" s="29" t="s">
        <v>4110</v>
      </c>
      <c r="K4948" s="29"/>
      <c r="L4948" s="29" t="s">
        <v>2974</v>
      </c>
      <c r="M4948" s="29"/>
      <c r="N4948" s="29" t="s">
        <v>2979</v>
      </c>
      <c r="O4948" s="29"/>
      <c r="P4948" s="29" t="s">
        <v>4830</v>
      </c>
      <c r="Q4948" t="s">
        <v>2194</v>
      </c>
      <c r="R4948" t="s">
        <v>6902</v>
      </c>
      <c r="S4948">
        <v>36</v>
      </c>
      <c r="T4948" s="43" t="str">
        <f>HYPERLINK("https://ictv.global/ictv/proposals/2020.016D.R.Smacoviridae_6ngen_42nsp.zip","2020.016D.R.Smacoviridae_6ngen_42nsp.zip;2020.001G.R.Abolish_type_species.pdf")</f>
        <v>2020.016D.R.Smacoviridae_6ngen_42nsp.zip;2020.001G.R.Abolish_type_species.pdf</v>
      </c>
      <c r="U4948" s="43" t="str">
        <f>HYPERLINK("https://ictv.global/taxonomy/taxondetails?taxnode_id=202205961","ictv.global=202205961")</f>
        <v>ictv.global=202205961</v>
      </c>
    </row>
    <row r="4949" spans="1:21">
      <c r="A4949">
        <v>4948</v>
      </c>
      <c r="B4949" s="29" t="s">
        <v>4053</v>
      </c>
      <c r="C4949" s="29"/>
      <c r="D4949" s="29" t="s">
        <v>4082</v>
      </c>
      <c r="E4949" s="29"/>
      <c r="F4949" s="29" t="s">
        <v>4106</v>
      </c>
      <c r="G4949" s="29"/>
      <c r="H4949" s="29" t="s">
        <v>4107</v>
      </c>
      <c r="I4949" s="29"/>
      <c r="J4949" s="29" t="s">
        <v>4110</v>
      </c>
      <c r="K4949" s="29"/>
      <c r="L4949" s="29" t="s">
        <v>2974</v>
      </c>
      <c r="M4949" s="29"/>
      <c r="N4949" s="29" t="s">
        <v>2979</v>
      </c>
      <c r="O4949" s="29"/>
      <c r="P4949" s="29" t="s">
        <v>4831</v>
      </c>
      <c r="Q4949" t="s">
        <v>2194</v>
      </c>
      <c r="R4949" t="s">
        <v>2635</v>
      </c>
      <c r="S4949">
        <v>36</v>
      </c>
      <c r="T4949" s="43" t="str">
        <f t="shared" ref="T4949:T4969" si="229">HYPERLINK("https://ictv.global/ictv/proposals/2020.016D.R.Smacoviridae_6ngen_42nsp.zip","2020.016D.R.Smacoviridae_6ngen_42nsp.zip")</f>
        <v>2020.016D.R.Smacoviridae_6ngen_42nsp.zip</v>
      </c>
      <c r="U4949" s="43" t="str">
        <f>HYPERLINK("https://ictv.global/taxonomy/taxondetails?taxnode_id=202205962","ictv.global=202205962")</f>
        <v>ictv.global=202205962</v>
      </c>
    </row>
    <row r="4950" spans="1:21">
      <c r="A4950">
        <v>4949</v>
      </c>
      <c r="B4950" s="29" t="s">
        <v>4053</v>
      </c>
      <c r="C4950" s="29"/>
      <c r="D4950" s="29" t="s">
        <v>4082</v>
      </c>
      <c r="E4950" s="29"/>
      <c r="F4950" s="29" t="s">
        <v>4106</v>
      </c>
      <c r="G4950" s="29"/>
      <c r="H4950" s="29" t="s">
        <v>4107</v>
      </c>
      <c r="I4950" s="29"/>
      <c r="J4950" s="29" t="s">
        <v>4110</v>
      </c>
      <c r="K4950" s="29"/>
      <c r="L4950" s="29" t="s">
        <v>2974</v>
      </c>
      <c r="M4950" s="29"/>
      <c r="N4950" s="29" t="s">
        <v>2979</v>
      </c>
      <c r="O4950" s="29"/>
      <c r="P4950" s="29" t="s">
        <v>4832</v>
      </c>
      <c r="Q4950" t="s">
        <v>2194</v>
      </c>
      <c r="R4950" t="s">
        <v>2635</v>
      </c>
      <c r="S4950">
        <v>36</v>
      </c>
      <c r="T4950" s="43" t="str">
        <f t="shared" si="229"/>
        <v>2020.016D.R.Smacoviridae_6ngen_42nsp.zip</v>
      </c>
      <c r="U4950" s="43" t="str">
        <f>HYPERLINK("https://ictv.global/taxonomy/taxondetails?taxnode_id=202205963","ictv.global=202205963")</f>
        <v>ictv.global=202205963</v>
      </c>
    </row>
    <row r="4951" spans="1:21">
      <c r="A4951">
        <v>4950</v>
      </c>
      <c r="B4951" s="29" t="s">
        <v>4053</v>
      </c>
      <c r="C4951" s="29"/>
      <c r="D4951" s="29" t="s">
        <v>4082</v>
      </c>
      <c r="E4951" s="29"/>
      <c r="F4951" s="29" t="s">
        <v>4106</v>
      </c>
      <c r="G4951" s="29"/>
      <c r="H4951" s="29" t="s">
        <v>4107</v>
      </c>
      <c r="I4951" s="29"/>
      <c r="J4951" s="29" t="s">
        <v>4110</v>
      </c>
      <c r="K4951" s="29"/>
      <c r="L4951" s="29" t="s">
        <v>2974</v>
      </c>
      <c r="M4951" s="29"/>
      <c r="N4951" s="29" t="s">
        <v>4833</v>
      </c>
      <c r="O4951" s="29"/>
      <c r="P4951" s="29" t="s">
        <v>4834</v>
      </c>
      <c r="Q4951" t="s">
        <v>2194</v>
      </c>
      <c r="R4951" t="s">
        <v>2632</v>
      </c>
      <c r="S4951">
        <v>36</v>
      </c>
      <c r="T4951" s="43" t="str">
        <f t="shared" si="229"/>
        <v>2020.016D.R.Smacoviridae_6ngen_42nsp.zip</v>
      </c>
      <c r="U4951" s="43" t="str">
        <f>HYPERLINK("https://ictv.global/taxonomy/taxondetails?taxnode_id=202209505","ictv.global=202209505")</f>
        <v>ictv.global=202209505</v>
      </c>
    </row>
    <row r="4952" spans="1:21">
      <c r="A4952">
        <v>4951</v>
      </c>
      <c r="B4952" s="29" t="s">
        <v>4053</v>
      </c>
      <c r="C4952" s="29"/>
      <c r="D4952" s="29" t="s">
        <v>4082</v>
      </c>
      <c r="E4952" s="29"/>
      <c r="F4952" s="29" t="s">
        <v>4106</v>
      </c>
      <c r="G4952" s="29"/>
      <c r="H4952" s="29" t="s">
        <v>4107</v>
      </c>
      <c r="I4952" s="29"/>
      <c r="J4952" s="29" t="s">
        <v>4110</v>
      </c>
      <c r="K4952" s="29"/>
      <c r="L4952" s="29" t="s">
        <v>2974</v>
      </c>
      <c r="M4952" s="29"/>
      <c r="N4952" s="29" t="s">
        <v>4833</v>
      </c>
      <c r="O4952" s="29"/>
      <c r="P4952" s="29" t="s">
        <v>4835</v>
      </c>
      <c r="Q4952" t="s">
        <v>2194</v>
      </c>
      <c r="R4952" t="s">
        <v>2632</v>
      </c>
      <c r="S4952">
        <v>36</v>
      </c>
      <c r="T4952" s="43" t="str">
        <f t="shared" si="229"/>
        <v>2020.016D.R.Smacoviridae_6ngen_42nsp.zip</v>
      </c>
      <c r="U4952" s="43" t="str">
        <f>HYPERLINK("https://ictv.global/taxonomy/taxondetails?taxnode_id=202209504","ictv.global=202209504")</f>
        <v>ictv.global=202209504</v>
      </c>
    </row>
    <row r="4953" spans="1:21">
      <c r="A4953">
        <v>4952</v>
      </c>
      <c r="B4953" s="29" t="s">
        <v>4053</v>
      </c>
      <c r="C4953" s="29"/>
      <c r="D4953" s="29" t="s">
        <v>4082</v>
      </c>
      <c r="E4953" s="29"/>
      <c r="F4953" s="29" t="s">
        <v>4106</v>
      </c>
      <c r="G4953" s="29"/>
      <c r="H4953" s="29" t="s">
        <v>4107</v>
      </c>
      <c r="I4953" s="29"/>
      <c r="J4953" s="29" t="s">
        <v>4110</v>
      </c>
      <c r="K4953" s="29"/>
      <c r="L4953" s="29" t="s">
        <v>2974</v>
      </c>
      <c r="M4953" s="29"/>
      <c r="N4953" s="29" t="s">
        <v>2980</v>
      </c>
      <c r="O4953" s="29"/>
      <c r="P4953" s="29" t="s">
        <v>4836</v>
      </c>
      <c r="Q4953" t="s">
        <v>2194</v>
      </c>
      <c r="R4953" t="s">
        <v>2632</v>
      </c>
      <c r="S4953">
        <v>36</v>
      </c>
      <c r="T4953" s="43" t="str">
        <f t="shared" si="229"/>
        <v>2020.016D.R.Smacoviridae_6ngen_42nsp.zip</v>
      </c>
      <c r="U4953" s="43" t="str">
        <f>HYPERLINK("https://ictv.global/taxonomy/taxondetails?taxnode_id=202209510","ictv.global=202209510")</f>
        <v>ictv.global=202209510</v>
      </c>
    </row>
    <row r="4954" spans="1:21">
      <c r="A4954">
        <v>4953</v>
      </c>
      <c r="B4954" s="29" t="s">
        <v>4053</v>
      </c>
      <c r="C4954" s="29"/>
      <c r="D4954" s="29" t="s">
        <v>4082</v>
      </c>
      <c r="E4954" s="29"/>
      <c r="F4954" s="29" t="s">
        <v>4106</v>
      </c>
      <c r="G4954" s="29"/>
      <c r="H4954" s="29" t="s">
        <v>4107</v>
      </c>
      <c r="I4954" s="29"/>
      <c r="J4954" s="29" t="s">
        <v>4110</v>
      </c>
      <c r="K4954" s="29"/>
      <c r="L4954" s="29" t="s">
        <v>2974</v>
      </c>
      <c r="M4954" s="29"/>
      <c r="N4954" s="29" t="s">
        <v>2980</v>
      </c>
      <c r="O4954" s="29"/>
      <c r="P4954" s="29" t="s">
        <v>4837</v>
      </c>
      <c r="Q4954" t="s">
        <v>2194</v>
      </c>
      <c r="R4954" t="s">
        <v>2632</v>
      </c>
      <c r="S4954">
        <v>36</v>
      </c>
      <c r="T4954" s="43" t="str">
        <f t="shared" si="229"/>
        <v>2020.016D.R.Smacoviridae_6ngen_42nsp.zip</v>
      </c>
      <c r="U4954" s="43" t="str">
        <f>HYPERLINK("https://ictv.global/taxonomy/taxondetails?taxnode_id=202209511","ictv.global=202209511")</f>
        <v>ictv.global=202209511</v>
      </c>
    </row>
    <row r="4955" spans="1:21">
      <c r="A4955">
        <v>4954</v>
      </c>
      <c r="B4955" s="29" t="s">
        <v>4053</v>
      </c>
      <c r="C4955" s="29"/>
      <c r="D4955" s="29" t="s">
        <v>4082</v>
      </c>
      <c r="E4955" s="29"/>
      <c r="F4955" s="29" t="s">
        <v>4106</v>
      </c>
      <c r="G4955" s="29"/>
      <c r="H4955" s="29" t="s">
        <v>4107</v>
      </c>
      <c r="I4955" s="29"/>
      <c r="J4955" s="29" t="s">
        <v>4110</v>
      </c>
      <c r="K4955" s="29"/>
      <c r="L4955" s="29" t="s">
        <v>2974</v>
      </c>
      <c r="M4955" s="29"/>
      <c r="N4955" s="29" t="s">
        <v>2980</v>
      </c>
      <c r="O4955" s="29"/>
      <c r="P4955" s="29" t="s">
        <v>4838</v>
      </c>
      <c r="Q4955" t="s">
        <v>2194</v>
      </c>
      <c r="R4955" t="s">
        <v>2632</v>
      </c>
      <c r="S4955">
        <v>36</v>
      </c>
      <c r="T4955" s="43" t="str">
        <f t="shared" si="229"/>
        <v>2020.016D.R.Smacoviridae_6ngen_42nsp.zip</v>
      </c>
      <c r="U4955" s="43" t="str">
        <f>HYPERLINK("https://ictv.global/taxonomy/taxondetails?taxnode_id=202209512","ictv.global=202209512")</f>
        <v>ictv.global=202209512</v>
      </c>
    </row>
    <row r="4956" spans="1:21">
      <c r="A4956">
        <v>4955</v>
      </c>
      <c r="B4956" s="29" t="s">
        <v>4053</v>
      </c>
      <c r="C4956" s="29"/>
      <c r="D4956" s="29" t="s">
        <v>4082</v>
      </c>
      <c r="E4956" s="29"/>
      <c r="F4956" s="29" t="s">
        <v>4106</v>
      </c>
      <c r="G4956" s="29"/>
      <c r="H4956" s="29" t="s">
        <v>4107</v>
      </c>
      <c r="I4956" s="29"/>
      <c r="J4956" s="29" t="s">
        <v>4110</v>
      </c>
      <c r="K4956" s="29"/>
      <c r="L4956" s="29" t="s">
        <v>2974</v>
      </c>
      <c r="M4956" s="29"/>
      <c r="N4956" s="29" t="s">
        <v>2980</v>
      </c>
      <c r="O4956" s="29"/>
      <c r="P4956" s="29" t="s">
        <v>4839</v>
      </c>
      <c r="Q4956" t="s">
        <v>2194</v>
      </c>
      <c r="R4956" t="s">
        <v>2635</v>
      </c>
      <c r="S4956">
        <v>36</v>
      </c>
      <c r="T4956" s="43" t="str">
        <f t="shared" si="229"/>
        <v>2020.016D.R.Smacoviridae_6ngen_42nsp.zip</v>
      </c>
      <c r="U4956" s="43" t="str">
        <f>HYPERLINK("https://ictv.global/taxonomy/taxondetails?taxnode_id=202205965","ictv.global=202205965")</f>
        <v>ictv.global=202205965</v>
      </c>
    </row>
    <row r="4957" spans="1:21">
      <c r="A4957">
        <v>4956</v>
      </c>
      <c r="B4957" s="29" t="s">
        <v>4053</v>
      </c>
      <c r="C4957" s="29"/>
      <c r="D4957" s="29" t="s">
        <v>4082</v>
      </c>
      <c r="E4957" s="29"/>
      <c r="F4957" s="29" t="s">
        <v>4106</v>
      </c>
      <c r="G4957" s="29"/>
      <c r="H4957" s="29" t="s">
        <v>4107</v>
      </c>
      <c r="I4957" s="29"/>
      <c r="J4957" s="29" t="s">
        <v>4110</v>
      </c>
      <c r="K4957" s="29"/>
      <c r="L4957" s="29" t="s">
        <v>2974</v>
      </c>
      <c r="M4957" s="29"/>
      <c r="N4957" s="29" t="s">
        <v>2980</v>
      </c>
      <c r="O4957" s="29"/>
      <c r="P4957" s="29" t="s">
        <v>4840</v>
      </c>
      <c r="Q4957" t="s">
        <v>2194</v>
      </c>
      <c r="R4957" t="s">
        <v>2632</v>
      </c>
      <c r="S4957">
        <v>36</v>
      </c>
      <c r="T4957" s="43" t="str">
        <f t="shared" si="229"/>
        <v>2020.016D.R.Smacoviridae_6ngen_42nsp.zip</v>
      </c>
      <c r="U4957" s="43" t="str">
        <f>HYPERLINK("https://ictv.global/taxonomy/taxondetails?taxnode_id=202209513","ictv.global=202209513")</f>
        <v>ictv.global=202209513</v>
      </c>
    </row>
    <row r="4958" spans="1:21">
      <c r="A4958">
        <v>4957</v>
      </c>
      <c r="B4958" s="29" t="s">
        <v>4053</v>
      </c>
      <c r="C4958" s="29"/>
      <c r="D4958" s="29" t="s">
        <v>4082</v>
      </c>
      <c r="E4958" s="29"/>
      <c r="F4958" s="29" t="s">
        <v>4106</v>
      </c>
      <c r="G4958" s="29"/>
      <c r="H4958" s="29" t="s">
        <v>4107</v>
      </c>
      <c r="I4958" s="29"/>
      <c r="J4958" s="29" t="s">
        <v>4110</v>
      </c>
      <c r="K4958" s="29"/>
      <c r="L4958" s="29" t="s">
        <v>2974</v>
      </c>
      <c r="M4958" s="29"/>
      <c r="N4958" s="29" t="s">
        <v>2980</v>
      </c>
      <c r="O4958" s="29"/>
      <c r="P4958" s="29" t="s">
        <v>4841</v>
      </c>
      <c r="Q4958" t="s">
        <v>2194</v>
      </c>
      <c r="R4958" t="s">
        <v>2635</v>
      </c>
      <c r="S4958">
        <v>36</v>
      </c>
      <c r="T4958" s="43" t="str">
        <f t="shared" si="229"/>
        <v>2020.016D.R.Smacoviridae_6ngen_42nsp.zip</v>
      </c>
      <c r="U4958" s="43" t="str">
        <f>HYPERLINK("https://ictv.global/taxonomy/taxondetails?taxnode_id=202205966","ictv.global=202205966")</f>
        <v>ictv.global=202205966</v>
      </c>
    </row>
    <row r="4959" spans="1:21">
      <c r="A4959">
        <v>4958</v>
      </c>
      <c r="B4959" s="29" t="s">
        <v>4053</v>
      </c>
      <c r="C4959" s="29"/>
      <c r="D4959" s="29" t="s">
        <v>4082</v>
      </c>
      <c r="E4959" s="29"/>
      <c r="F4959" s="29" t="s">
        <v>4106</v>
      </c>
      <c r="G4959" s="29"/>
      <c r="H4959" s="29" t="s">
        <v>4107</v>
      </c>
      <c r="I4959" s="29"/>
      <c r="J4959" s="29" t="s">
        <v>4110</v>
      </c>
      <c r="K4959" s="29"/>
      <c r="L4959" s="29" t="s">
        <v>2974</v>
      </c>
      <c r="M4959" s="29"/>
      <c r="N4959" s="29" t="s">
        <v>2980</v>
      </c>
      <c r="O4959" s="29"/>
      <c r="P4959" s="29" t="s">
        <v>4842</v>
      </c>
      <c r="Q4959" t="s">
        <v>2194</v>
      </c>
      <c r="R4959" t="s">
        <v>2635</v>
      </c>
      <c r="S4959">
        <v>36</v>
      </c>
      <c r="T4959" s="43" t="str">
        <f t="shared" si="229"/>
        <v>2020.016D.R.Smacoviridae_6ngen_42nsp.zip</v>
      </c>
      <c r="U4959" s="43" t="str">
        <f>HYPERLINK("https://ictv.global/taxonomy/taxondetails?taxnode_id=202205967","ictv.global=202205967")</f>
        <v>ictv.global=202205967</v>
      </c>
    </row>
    <row r="4960" spans="1:21">
      <c r="A4960">
        <v>4959</v>
      </c>
      <c r="B4960" s="29" t="s">
        <v>4053</v>
      </c>
      <c r="C4960" s="29"/>
      <c r="D4960" s="29" t="s">
        <v>4082</v>
      </c>
      <c r="E4960" s="29"/>
      <c r="F4960" s="29" t="s">
        <v>4106</v>
      </c>
      <c r="G4960" s="29"/>
      <c r="H4960" s="29" t="s">
        <v>4107</v>
      </c>
      <c r="I4960" s="29"/>
      <c r="J4960" s="29" t="s">
        <v>4110</v>
      </c>
      <c r="K4960" s="29"/>
      <c r="L4960" s="29" t="s">
        <v>2974</v>
      </c>
      <c r="M4960" s="29"/>
      <c r="N4960" s="29" t="s">
        <v>2980</v>
      </c>
      <c r="O4960" s="29"/>
      <c r="P4960" s="29" t="s">
        <v>4843</v>
      </c>
      <c r="Q4960" t="s">
        <v>2194</v>
      </c>
      <c r="R4960" t="s">
        <v>2635</v>
      </c>
      <c r="S4960">
        <v>36</v>
      </c>
      <c r="T4960" s="43" t="str">
        <f t="shared" si="229"/>
        <v>2020.016D.R.Smacoviridae_6ngen_42nsp.zip</v>
      </c>
      <c r="U4960" s="43" t="str">
        <f>HYPERLINK("https://ictv.global/taxonomy/taxondetails?taxnode_id=202205968","ictv.global=202205968")</f>
        <v>ictv.global=202205968</v>
      </c>
    </row>
    <row r="4961" spans="1:21">
      <c r="A4961">
        <v>4960</v>
      </c>
      <c r="B4961" s="29" t="s">
        <v>4053</v>
      </c>
      <c r="C4961" s="29"/>
      <c r="D4961" s="29" t="s">
        <v>4082</v>
      </c>
      <c r="E4961" s="29"/>
      <c r="F4961" s="29" t="s">
        <v>4106</v>
      </c>
      <c r="G4961" s="29"/>
      <c r="H4961" s="29" t="s">
        <v>4107</v>
      </c>
      <c r="I4961" s="29"/>
      <c r="J4961" s="29" t="s">
        <v>4110</v>
      </c>
      <c r="K4961" s="29"/>
      <c r="L4961" s="29" t="s">
        <v>2974</v>
      </c>
      <c r="M4961" s="29"/>
      <c r="N4961" s="29" t="s">
        <v>2980</v>
      </c>
      <c r="O4961" s="29"/>
      <c r="P4961" s="29" t="s">
        <v>4844</v>
      </c>
      <c r="Q4961" t="s">
        <v>2194</v>
      </c>
      <c r="R4961" t="s">
        <v>2635</v>
      </c>
      <c r="S4961">
        <v>36</v>
      </c>
      <c r="T4961" s="43" t="str">
        <f t="shared" si="229"/>
        <v>2020.016D.R.Smacoviridae_6ngen_42nsp.zip</v>
      </c>
      <c r="U4961" s="43" t="str">
        <f>HYPERLINK("https://ictv.global/taxonomy/taxondetails?taxnode_id=202205969","ictv.global=202205969")</f>
        <v>ictv.global=202205969</v>
      </c>
    </row>
    <row r="4962" spans="1:21">
      <c r="A4962">
        <v>4961</v>
      </c>
      <c r="B4962" s="29" t="s">
        <v>4053</v>
      </c>
      <c r="C4962" s="29"/>
      <c r="D4962" s="29" t="s">
        <v>4082</v>
      </c>
      <c r="E4962" s="29"/>
      <c r="F4962" s="29" t="s">
        <v>4106</v>
      </c>
      <c r="G4962" s="29"/>
      <c r="H4962" s="29" t="s">
        <v>4107</v>
      </c>
      <c r="I4962" s="29"/>
      <c r="J4962" s="29" t="s">
        <v>4110</v>
      </c>
      <c r="K4962" s="29"/>
      <c r="L4962" s="29" t="s">
        <v>2974</v>
      </c>
      <c r="M4962" s="29"/>
      <c r="N4962" s="29" t="s">
        <v>2980</v>
      </c>
      <c r="O4962" s="29"/>
      <c r="P4962" s="29" t="s">
        <v>4845</v>
      </c>
      <c r="Q4962" t="s">
        <v>2194</v>
      </c>
      <c r="R4962" t="s">
        <v>2632</v>
      </c>
      <c r="S4962">
        <v>36</v>
      </c>
      <c r="T4962" s="43" t="str">
        <f t="shared" si="229"/>
        <v>2020.016D.R.Smacoviridae_6ngen_42nsp.zip</v>
      </c>
      <c r="U4962" s="43" t="str">
        <f>HYPERLINK("https://ictv.global/taxonomy/taxondetails?taxnode_id=202209514","ictv.global=202209514")</f>
        <v>ictv.global=202209514</v>
      </c>
    </row>
    <row r="4963" spans="1:21">
      <c r="A4963">
        <v>4962</v>
      </c>
      <c r="B4963" s="29" t="s">
        <v>4053</v>
      </c>
      <c r="C4963" s="29"/>
      <c r="D4963" s="29" t="s">
        <v>4082</v>
      </c>
      <c r="E4963" s="29"/>
      <c r="F4963" s="29" t="s">
        <v>4106</v>
      </c>
      <c r="G4963" s="29"/>
      <c r="H4963" s="29" t="s">
        <v>4107</v>
      </c>
      <c r="I4963" s="29"/>
      <c r="J4963" s="29" t="s">
        <v>4110</v>
      </c>
      <c r="K4963" s="29"/>
      <c r="L4963" s="29" t="s">
        <v>2974</v>
      </c>
      <c r="M4963" s="29"/>
      <c r="N4963" s="29" t="s">
        <v>2980</v>
      </c>
      <c r="O4963" s="29"/>
      <c r="P4963" s="29" t="s">
        <v>4846</v>
      </c>
      <c r="Q4963" t="s">
        <v>2194</v>
      </c>
      <c r="R4963" t="s">
        <v>2632</v>
      </c>
      <c r="S4963">
        <v>36</v>
      </c>
      <c r="T4963" s="43" t="str">
        <f t="shared" si="229"/>
        <v>2020.016D.R.Smacoviridae_6ngen_42nsp.zip</v>
      </c>
      <c r="U4963" s="43" t="str">
        <f>HYPERLINK("https://ictv.global/taxonomy/taxondetails?taxnode_id=202209515","ictv.global=202209515")</f>
        <v>ictv.global=202209515</v>
      </c>
    </row>
    <row r="4964" spans="1:21">
      <c r="A4964">
        <v>4963</v>
      </c>
      <c r="B4964" s="29" t="s">
        <v>4053</v>
      </c>
      <c r="C4964" s="29"/>
      <c r="D4964" s="29" t="s">
        <v>4082</v>
      </c>
      <c r="E4964" s="29"/>
      <c r="F4964" s="29" t="s">
        <v>4106</v>
      </c>
      <c r="G4964" s="29"/>
      <c r="H4964" s="29" t="s">
        <v>4107</v>
      </c>
      <c r="I4964" s="29"/>
      <c r="J4964" s="29" t="s">
        <v>4110</v>
      </c>
      <c r="K4964" s="29"/>
      <c r="L4964" s="29" t="s">
        <v>2974</v>
      </c>
      <c r="M4964" s="29"/>
      <c r="N4964" s="29" t="s">
        <v>2980</v>
      </c>
      <c r="O4964" s="29"/>
      <c r="P4964" s="29" t="s">
        <v>4847</v>
      </c>
      <c r="Q4964" t="s">
        <v>2194</v>
      </c>
      <c r="R4964" t="s">
        <v>2632</v>
      </c>
      <c r="S4964">
        <v>36</v>
      </c>
      <c r="T4964" s="43" t="str">
        <f t="shared" si="229"/>
        <v>2020.016D.R.Smacoviridae_6ngen_42nsp.zip</v>
      </c>
      <c r="U4964" s="43" t="str">
        <f>HYPERLINK("https://ictv.global/taxonomy/taxondetails?taxnode_id=202209516","ictv.global=202209516")</f>
        <v>ictv.global=202209516</v>
      </c>
    </row>
    <row r="4965" spans="1:21">
      <c r="A4965">
        <v>4964</v>
      </c>
      <c r="B4965" s="29" t="s">
        <v>4053</v>
      </c>
      <c r="C4965" s="29"/>
      <c r="D4965" s="29" t="s">
        <v>4082</v>
      </c>
      <c r="E4965" s="29"/>
      <c r="F4965" s="29" t="s">
        <v>4106</v>
      </c>
      <c r="G4965" s="29"/>
      <c r="H4965" s="29" t="s">
        <v>4107</v>
      </c>
      <c r="I4965" s="29"/>
      <c r="J4965" s="29" t="s">
        <v>4110</v>
      </c>
      <c r="K4965" s="29"/>
      <c r="L4965" s="29" t="s">
        <v>2974</v>
      </c>
      <c r="M4965" s="29"/>
      <c r="N4965" s="29" t="s">
        <v>2980</v>
      </c>
      <c r="O4965" s="29"/>
      <c r="P4965" s="29" t="s">
        <v>4848</v>
      </c>
      <c r="Q4965" t="s">
        <v>2194</v>
      </c>
      <c r="R4965" t="s">
        <v>2632</v>
      </c>
      <c r="S4965">
        <v>36</v>
      </c>
      <c r="T4965" s="43" t="str">
        <f t="shared" si="229"/>
        <v>2020.016D.R.Smacoviridae_6ngen_42nsp.zip</v>
      </c>
      <c r="U4965" s="43" t="str">
        <f>HYPERLINK("https://ictv.global/taxonomy/taxondetails?taxnode_id=202209517","ictv.global=202209517")</f>
        <v>ictv.global=202209517</v>
      </c>
    </row>
    <row r="4966" spans="1:21">
      <c r="A4966">
        <v>4965</v>
      </c>
      <c r="B4966" s="29" t="s">
        <v>4053</v>
      </c>
      <c r="C4966" s="29"/>
      <c r="D4966" s="29" t="s">
        <v>4082</v>
      </c>
      <c r="E4966" s="29"/>
      <c r="F4966" s="29" t="s">
        <v>4106</v>
      </c>
      <c r="G4966" s="29"/>
      <c r="H4966" s="29" t="s">
        <v>4107</v>
      </c>
      <c r="I4966" s="29"/>
      <c r="J4966" s="29" t="s">
        <v>4110</v>
      </c>
      <c r="K4966" s="29"/>
      <c r="L4966" s="29" t="s">
        <v>2974</v>
      </c>
      <c r="M4966" s="29"/>
      <c r="N4966" s="29" t="s">
        <v>2980</v>
      </c>
      <c r="O4966" s="29"/>
      <c r="P4966" s="29" t="s">
        <v>4849</v>
      </c>
      <c r="Q4966" t="s">
        <v>2194</v>
      </c>
      <c r="R4966" t="s">
        <v>2632</v>
      </c>
      <c r="S4966">
        <v>36</v>
      </c>
      <c r="T4966" s="43" t="str">
        <f t="shared" si="229"/>
        <v>2020.016D.R.Smacoviridae_6ngen_42nsp.zip</v>
      </c>
      <c r="U4966" s="43" t="str">
        <f>HYPERLINK("https://ictv.global/taxonomy/taxondetails?taxnode_id=202209518","ictv.global=202209518")</f>
        <v>ictv.global=202209518</v>
      </c>
    </row>
    <row r="4967" spans="1:21">
      <c r="A4967">
        <v>4966</v>
      </c>
      <c r="B4967" s="29" t="s">
        <v>4053</v>
      </c>
      <c r="C4967" s="29"/>
      <c r="D4967" s="29" t="s">
        <v>4082</v>
      </c>
      <c r="E4967" s="29"/>
      <c r="F4967" s="29" t="s">
        <v>4106</v>
      </c>
      <c r="G4967" s="29"/>
      <c r="H4967" s="29" t="s">
        <v>4107</v>
      </c>
      <c r="I4967" s="29"/>
      <c r="J4967" s="29" t="s">
        <v>4110</v>
      </c>
      <c r="K4967" s="29"/>
      <c r="L4967" s="29" t="s">
        <v>2974</v>
      </c>
      <c r="M4967" s="29"/>
      <c r="N4967" s="29" t="s">
        <v>2980</v>
      </c>
      <c r="O4967" s="29"/>
      <c r="P4967" s="29" t="s">
        <v>4850</v>
      </c>
      <c r="Q4967" t="s">
        <v>2194</v>
      </c>
      <c r="R4967" t="s">
        <v>2632</v>
      </c>
      <c r="S4967">
        <v>36</v>
      </c>
      <c r="T4967" s="43" t="str">
        <f t="shared" si="229"/>
        <v>2020.016D.R.Smacoviridae_6ngen_42nsp.zip</v>
      </c>
      <c r="U4967" s="43" t="str">
        <f>HYPERLINK("https://ictv.global/taxonomy/taxondetails?taxnode_id=202209519","ictv.global=202209519")</f>
        <v>ictv.global=202209519</v>
      </c>
    </row>
    <row r="4968" spans="1:21">
      <c r="A4968">
        <v>4967</v>
      </c>
      <c r="B4968" s="29" t="s">
        <v>4053</v>
      </c>
      <c r="C4968" s="29"/>
      <c r="D4968" s="29" t="s">
        <v>4082</v>
      </c>
      <c r="E4968" s="29"/>
      <c r="F4968" s="29" t="s">
        <v>4106</v>
      </c>
      <c r="G4968" s="29"/>
      <c r="H4968" s="29" t="s">
        <v>4107</v>
      </c>
      <c r="I4968" s="29"/>
      <c r="J4968" s="29" t="s">
        <v>4110</v>
      </c>
      <c r="K4968" s="29"/>
      <c r="L4968" s="29" t="s">
        <v>2974</v>
      </c>
      <c r="M4968" s="29"/>
      <c r="N4968" s="29" t="s">
        <v>2980</v>
      </c>
      <c r="O4968" s="29"/>
      <c r="P4968" s="29" t="s">
        <v>4851</v>
      </c>
      <c r="Q4968" t="s">
        <v>2194</v>
      </c>
      <c r="R4968" t="s">
        <v>2632</v>
      </c>
      <c r="S4968">
        <v>36</v>
      </c>
      <c r="T4968" s="43" t="str">
        <f t="shared" si="229"/>
        <v>2020.016D.R.Smacoviridae_6ngen_42nsp.zip</v>
      </c>
      <c r="U4968" s="43" t="str">
        <f>HYPERLINK("https://ictv.global/taxonomy/taxondetails?taxnode_id=202209520","ictv.global=202209520")</f>
        <v>ictv.global=202209520</v>
      </c>
    </row>
    <row r="4969" spans="1:21">
      <c r="A4969">
        <v>4968</v>
      </c>
      <c r="B4969" s="29" t="s">
        <v>4053</v>
      </c>
      <c r="C4969" s="29"/>
      <c r="D4969" s="29" t="s">
        <v>4082</v>
      </c>
      <c r="E4969" s="29"/>
      <c r="F4969" s="29" t="s">
        <v>4106</v>
      </c>
      <c r="G4969" s="29"/>
      <c r="H4969" s="29" t="s">
        <v>4107</v>
      </c>
      <c r="I4969" s="29"/>
      <c r="J4969" s="29" t="s">
        <v>4110</v>
      </c>
      <c r="K4969" s="29"/>
      <c r="L4969" s="29" t="s">
        <v>2974</v>
      </c>
      <c r="M4969" s="29"/>
      <c r="N4969" s="29" t="s">
        <v>2980</v>
      </c>
      <c r="O4969" s="29"/>
      <c r="P4969" s="29" t="s">
        <v>4852</v>
      </c>
      <c r="Q4969" t="s">
        <v>2194</v>
      </c>
      <c r="R4969" t="s">
        <v>2632</v>
      </c>
      <c r="S4969">
        <v>36</v>
      </c>
      <c r="T4969" s="43" t="str">
        <f t="shared" si="229"/>
        <v>2020.016D.R.Smacoviridae_6ngen_42nsp.zip</v>
      </c>
      <c r="U4969" s="43" t="str">
        <f>HYPERLINK("https://ictv.global/taxonomy/taxondetails?taxnode_id=202209521","ictv.global=202209521")</f>
        <v>ictv.global=202209521</v>
      </c>
    </row>
    <row r="4970" spans="1:21">
      <c r="A4970">
        <v>4969</v>
      </c>
      <c r="B4970" s="29" t="s">
        <v>4053</v>
      </c>
      <c r="C4970" s="29"/>
      <c r="D4970" s="29" t="s">
        <v>4082</v>
      </c>
      <c r="E4970" s="29"/>
      <c r="F4970" s="29" t="s">
        <v>4106</v>
      </c>
      <c r="G4970" s="29"/>
      <c r="H4970" s="29" t="s">
        <v>4107</v>
      </c>
      <c r="I4970" s="29"/>
      <c r="J4970" s="29" t="s">
        <v>4110</v>
      </c>
      <c r="K4970" s="29"/>
      <c r="L4970" s="29" t="s">
        <v>2974</v>
      </c>
      <c r="M4970" s="29"/>
      <c r="N4970" s="29" t="s">
        <v>2980</v>
      </c>
      <c r="O4970" s="29"/>
      <c r="P4970" s="29" t="s">
        <v>4853</v>
      </c>
      <c r="Q4970" t="s">
        <v>2194</v>
      </c>
      <c r="R4970" t="s">
        <v>6902</v>
      </c>
      <c r="S4970">
        <v>36</v>
      </c>
      <c r="T4970" s="43" t="str">
        <f>HYPERLINK("https://ictv.global/ictv/proposals/2020.016D.R.Smacoviridae_6ngen_42nsp.zip","2020.016D.R.Smacoviridae_6ngen_42nsp.zip;2020.001G.R.Abolish_type_species.pdf")</f>
        <v>2020.016D.R.Smacoviridae_6ngen_42nsp.zip;2020.001G.R.Abolish_type_species.pdf</v>
      </c>
      <c r="U4970" s="43" t="str">
        <f>HYPERLINK("https://ictv.global/taxonomy/taxondetails?taxnode_id=202205970","ictv.global=202205970")</f>
        <v>ictv.global=202205970</v>
      </c>
    </row>
    <row r="4971" spans="1:21">
      <c r="A4971">
        <v>4970</v>
      </c>
      <c r="B4971" s="29" t="s">
        <v>4053</v>
      </c>
      <c r="C4971" s="29"/>
      <c r="D4971" s="29" t="s">
        <v>4082</v>
      </c>
      <c r="E4971" s="29"/>
      <c r="F4971" s="29" t="s">
        <v>4106</v>
      </c>
      <c r="G4971" s="29"/>
      <c r="H4971" s="29" t="s">
        <v>4107</v>
      </c>
      <c r="I4971" s="29"/>
      <c r="J4971" s="29" t="s">
        <v>4110</v>
      </c>
      <c r="K4971" s="29"/>
      <c r="L4971" s="29" t="s">
        <v>2974</v>
      </c>
      <c r="M4971" s="29"/>
      <c r="N4971" s="29" t="s">
        <v>2980</v>
      </c>
      <c r="O4971" s="29"/>
      <c r="P4971" s="29" t="s">
        <v>4854</v>
      </c>
      <c r="Q4971" t="s">
        <v>2194</v>
      </c>
      <c r="R4971" t="s">
        <v>2635</v>
      </c>
      <c r="S4971">
        <v>36</v>
      </c>
      <c r="T4971" s="43" t="str">
        <f t="shared" ref="T4971:T5017" si="230">HYPERLINK("https://ictv.global/ictv/proposals/2020.016D.R.Smacoviridae_6ngen_42nsp.zip","2020.016D.R.Smacoviridae_6ngen_42nsp.zip")</f>
        <v>2020.016D.R.Smacoviridae_6ngen_42nsp.zip</v>
      </c>
      <c r="U4971" s="43" t="str">
        <f>HYPERLINK("https://ictv.global/taxonomy/taxondetails?taxnode_id=202205971","ictv.global=202205971")</f>
        <v>ictv.global=202205971</v>
      </c>
    </row>
    <row r="4972" spans="1:21">
      <c r="A4972">
        <v>4971</v>
      </c>
      <c r="B4972" s="29" t="s">
        <v>4053</v>
      </c>
      <c r="C4972" s="29"/>
      <c r="D4972" s="29" t="s">
        <v>4082</v>
      </c>
      <c r="E4972" s="29"/>
      <c r="F4972" s="29" t="s">
        <v>4106</v>
      </c>
      <c r="G4972" s="29"/>
      <c r="H4972" s="29" t="s">
        <v>4107</v>
      </c>
      <c r="I4972" s="29"/>
      <c r="J4972" s="29" t="s">
        <v>4110</v>
      </c>
      <c r="K4972" s="29"/>
      <c r="L4972" s="29" t="s">
        <v>2974</v>
      </c>
      <c r="M4972" s="29"/>
      <c r="N4972" s="29" t="s">
        <v>2980</v>
      </c>
      <c r="O4972" s="29"/>
      <c r="P4972" s="29" t="s">
        <v>4855</v>
      </c>
      <c r="Q4972" t="s">
        <v>2194</v>
      </c>
      <c r="R4972" t="s">
        <v>2632</v>
      </c>
      <c r="S4972">
        <v>36</v>
      </c>
      <c r="T4972" s="43" t="str">
        <f t="shared" si="230"/>
        <v>2020.016D.R.Smacoviridae_6ngen_42nsp.zip</v>
      </c>
      <c r="U4972" s="43" t="str">
        <f>HYPERLINK("https://ictv.global/taxonomy/taxondetails?taxnode_id=202209522","ictv.global=202209522")</f>
        <v>ictv.global=202209522</v>
      </c>
    </row>
    <row r="4973" spans="1:21">
      <c r="A4973">
        <v>4972</v>
      </c>
      <c r="B4973" s="29" t="s">
        <v>4053</v>
      </c>
      <c r="C4973" s="29"/>
      <c r="D4973" s="29" t="s">
        <v>4082</v>
      </c>
      <c r="E4973" s="29"/>
      <c r="F4973" s="29" t="s">
        <v>4106</v>
      </c>
      <c r="G4973" s="29"/>
      <c r="H4973" s="29" t="s">
        <v>4107</v>
      </c>
      <c r="I4973" s="29"/>
      <c r="J4973" s="29" t="s">
        <v>4110</v>
      </c>
      <c r="K4973" s="29"/>
      <c r="L4973" s="29" t="s">
        <v>2974</v>
      </c>
      <c r="M4973" s="29"/>
      <c r="N4973" s="29" t="s">
        <v>2980</v>
      </c>
      <c r="O4973" s="29"/>
      <c r="P4973" s="29" t="s">
        <v>4856</v>
      </c>
      <c r="Q4973" t="s">
        <v>2194</v>
      </c>
      <c r="R4973" t="s">
        <v>2632</v>
      </c>
      <c r="S4973">
        <v>36</v>
      </c>
      <c r="T4973" s="43" t="str">
        <f t="shared" si="230"/>
        <v>2020.016D.R.Smacoviridae_6ngen_42nsp.zip</v>
      </c>
      <c r="U4973" s="43" t="str">
        <f>HYPERLINK("https://ictv.global/taxonomy/taxondetails?taxnode_id=202209523","ictv.global=202209523")</f>
        <v>ictv.global=202209523</v>
      </c>
    </row>
    <row r="4974" spans="1:21">
      <c r="A4974">
        <v>4973</v>
      </c>
      <c r="B4974" s="29" t="s">
        <v>4053</v>
      </c>
      <c r="C4974" s="29"/>
      <c r="D4974" s="29" t="s">
        <v>4082</v>
      </c>
      <c r="E4974" s="29"/>
      <c r="F4974" s="29" t="s">
        <v>4106</v>
      </c>
      <c r="G4974" s="29"/>
      <c r="H4974" s="29" t="s">
        <v>4107</v>
      </c>
      <c r="I4974" s="29"/>
      <c r="J4974" s="29" t="s">
        <v>4110</v>
      </c>
      <c r="K4974" s="29"/>
      <c r="L4974" s="29" t="s">
        <v>2974</v>
      </c>
      <c r="M4974" s="29"/>
      <c r="N4974" s="29" t="s">
        <v>2980</v>
      </c>
      <c r="O4974" s="29"/>
      <c r="P4974" s="29" t="s">
        <v>4857</v>
      </c>
      <c r="Q4974" t="s">
        <v>2194</v>
      </c>
      <c r="R4974" t="s">
        <v>2635</v>
      </c>
      <c r="S4974">
        <v>36</v>
      </c>
      <c r="T4974" s="43" t="str">
        <f t="shared" si="230"/>
        <v>2020.016D.R.Smacoviridae_6ngen_42nsp.zip</v>
      </c>
      <c r="U4974" s="43" t="str">
        <f>HYPERLINK("https://ictv.global/taxonomy/taxondetails?taxnode_id=202205972","ictv.global=202205972")</f>
        <v>ictv.global=202205972</v>
      </c>
    </row>
    <row r="4975" spans="1:21">
      <c r="A4975">
        <v>4974</v>
      </c>
      <c r="B4975" s="29" t="s">
        <v>4053</v>
      </c>
      <c r="C4975" s="29"/>
      <c r="D4975" s="29" t="s">
        <v>4082</v>
      </c>
      <c r="E4975" s="29"/>
      <c r="F4975" s="29" t="s">
        <v>4106</v>
      </c>
      <c r="G4975" s="29"/>
      <c r="H4975" s="29" t="s">
        <v>4107</v>
      </c>
      <c r="I4975" s="29"/>
      <c r="J4975" s="29" t="s">
        <v>4110</v>
      </c>
      <c r="K4975" s="29"/>
      <c r="L4975" s="29" t="s">
        <v>2974</v>
      </c>
      <c r="M4975" s="29"/>
      <c r="N4975" s="29" t="s">
        <v>2980</v>
      </c>
      <c r="O4975" s="29"/>
      <c r="P4975" s="29" t="s">
        <v>4858</v>
      </c>
      <c r="Q4975" t="s">
        <v>2194</v>
      </c>
      <c r="R4975" t="s">
        <v>2635</v>
      </c>
      <c r="S4975">
        <v>36</v>
      </c>
      <c r="T4975" s="43" t="str">
        <f t="shared" si="230"/>
        <v>2020.016D.R.Smacoviridae_6ngen_42nsp.zip</v>
      </c>
      <c r="U4975" s="43" t="str">
        <f>HYPERLINK("https://ictv.global/taxonomy/taxondetails?taxnode_id=202205973","ictv.global=202205973")</f>
        <v>ictv.global=202205973</v>
      </c>
    </row>
    <row r="4976" spans="1:21">
      <c r="A4976">
        <v>4975</v>
      </c>
      <c r="B4976" s="29" t="s">
        <v>4053</v>
      </c>
      <c r="C4976" s="29"/>
      <c r="D4976" s="29" t="s">
        <v>4082</v>
      </c>
      <c r="E4976" s="29"/>
      <c r="F4976" s="29" t="s">
        <v>4106</v>
      </c>
      <c r="G4976" s="29"/>
      <c r="H4976" s="29" t="s">
        <v>4107</v>
      </c>
      <c r="I4976" s="29"/>
      <c r="J4976" s="29" t="s">
        <v>4110</v>
      </c>
      <c r="K4976" s="29"/>
      <c r="L4976" s="29" t="s">
        <v>2974</v>
      </c>
      <c r="M4976" s="29"/>
      <c r="N4976" s="29" t="s">
        <v>2980</v>
      </c>
      <c r="O4976" s="29"/>
      <c r="P4976" s="29" t="s">
        <v>4859</v>
      </c>
      <c r="Q4976" t="s">
        <v>2194</v>
      </c>
      <c r="R4976" t="s">
        <v>2635</v>
      </c>
      <c r="S4976">
        <v>36</v>
      </c>
      <c r="T4976" s="43" t="str">
        <f t="shared" si="230"/>
        <v>2020.016D.R.Smacoviridae_6ngen_42nsp.zip</v>
      </c>
      <c r="U4976" s="43" t="str">
        <f>HYPERLINK("https://ictv.global/taxonomy/taxondetails?taxnode_id=202205974","ictv.global=202205974")</f>
        <v>ictv.global=202205974</v>
      </c>
    </row>
    <row r="4977" spans="1:21">
      <c r="A4977">
        <v>4976</v>
      </c>
      <c r="B4977" s="29" t="s">
        <v>4053</v>
      </c>
      <c r="C4977" s="29"/>
      <c r="D4977" s="29" t="s">
        <v>4082</v>
      </c>
      <c r="E4977" s="29"/>
      <c r="F4977" s="29" t="s">
        <v>4106</v>
      </c>
      <c r="G4977" s="29"/>
      <c r="H4977" s="29" t="s">
        <v>4107</v>
      </c>
      <c r="I4977" s="29"/>
      <c r="J4977" s="29" t="s">
        <v>4110</v>
      </c>
      <c r="K4977" s="29"/>
      <c r="L4977" s="29" t="s">
        <v>2974</v>
      </c>
      <c r="M4977" s="29"/>
      <c r="N4977" s="29" t="s">
        <v>2980</v>
      </c>
      <c r="O4977" s="29"/>
      <c r="P4977" s="29" t="s">
        <v>4860</v>
      </c>
      <c r="Q4977" t="s">
        <v>2194</v>
      </c>
      <c r="R4977" t="s">
        <v>2635</v>
      </c>
      <c r="S4977">
        <v>36</v>
      </c>
      <c r="T4977" s="43" t="str">
        <f t="shared" si="230"/>
        <v>2020.016D.R.Smacoviridae_6ngen_42nsp.zip</v>
      </c>
      <c r="U4977" s="43" t="str">
        <f>HYPERLINK("https://ictv.global/taxonomy/taxondetails?taxnode_id=202205975","ictv.global=202205975")</f>
        <v>ictv.global=202205975</v>
      </c>
    </row>
    <row r="4978" spans="1:21">
      <c r="A4978">
        <v>4977</v>
      </c>
      <c r="B4978" s="29" t="s">
        <v>4053</v>
      </c>
      <c r="C4978" s="29"/>
      <c r="D4978" s="29" t="s">
        <v>4082</v>
      </c>
      <c r="E4978" s="29"/>
      <c r="F4978" s="29" t="s">
        <v>4106</v>
      </c>
      <c r="G4978" s="29"/>
      <c r="H4978" s="29" t="s">
        <v>4107</v>
      </c>
      <c r="I4978" s="29"/>
      <c r="J4978" s="29" t="s">
        <v>4110</v>
      </c>
      <c r="K4978" s="29"/>
      <c r="L4978" s="29" t="s">
        <v>2974</v>
      </c>
      <c r="M4978" s="29"/>
      <c r="N4978" s="29" t="s">
        <v>2980</v>
      </c>
      <c r="O4978" s="29"/>
      <c r="P4978" s="29" t="s">
        <v>4861</v>
      </c>
      <c r="Q4978" t="s">
        <v>2194</v>
      </c>
      <c r="R4978" t="s">
        <v>2632</v>
      </c>
      <c r="S4978">
        <v>36</v>
      </c>
      <c r="T4978" s="43" t="str">
        <f t="shared" si="230"/>
        <v>2020.016D.R.Smacoviridae_6ngen_42nsp.zip</v>
      </c>
      <c r="U4978" s="43" t="str">
        <f>HYPERLINK("https://ictv.global/taxonomy/taxondetails?taxnode_id=202209524","ictv.global=202209524")</f>
        <v>ictv.global=202209524</v>
      </c>
    </row>
    <row r="4979" spans="1:21">
      <c r="A4979">
        <v>4978</v>
      </c>
      <c r="B4979" s="29" t="s">
        <v>4053</v>
      </c>
      <c r="C4979" s="29"/>
      <c r="D4979" s="29" t="s">
        <v>4082</v>
      </c>
      <c r="E4979" s="29"/>
      <c r="F4979" s="29" t="s">
        <v>4106</v>
      </c>
      <c r="G4979" s="29"/>
      <c r="H4979" s="29" t="s">
        <v>4107</v>
      </c>
      <c r="I4979" s="29"/>
      <c r="J4979" s="29" t="s">
        <v>4110</v>
      </c>
      <c r="K4979" s="29"/>
      <c r="L4979" s="29" t="s">
        <v>2974</v>
      </c>
      <c r="M4979" s="29"/>
      <c r="N4979" s="29" t="s">
        <v>2980</v>
      </c>
      <c r="O4979" s="29"/>
      <c r="P4979" s="29" t="s">
        <v>4862</v>
      </c>
      <c r="Q4979" t="s">
        <v>2194</v>
      </c>
      <c r="R4979" t="s">
        <v>2632</v>
      </c>
      <c r="S4979">
        <v>36</v>
      </c>
      <c r="T4979" s="43" t="str">
        <f t="shared" si="230"/>
        <v>2020.016D.R.Smacoviridae_6ngen_42nsp.zip</v>
      </c>
      <c r="U4979" s="43" t="str">
        <f>HYPERLINK("https://ictv.global/taxonomy/taxondetails?taxnode_id=202209525","ictv.global=202209525")</f>
        <v>ictv.global=202209525</v>
      </c>
    </row>
    <row r="4980" spans="1:21">
      <c r="A4980">
        <v>4979</v>
      </c>
      <c r="B4980" s="29" t="s">
        <v>4053</v>
      </c>
      <c r="C4980" s="29"/>
      <c r="D4980" s="29" t="s">
        <v>4082</v>
      </c>
      <c r="E4980" s="29"/>
      <c r="F4980" s="29" t="s">
        <v>4106</v>
      </c>
      <c r="G4980" s="29"/>
      <c r="H4980" s="29" t="s">
        <v>4107</v>
      </c>
      <c r="I4980" s="29"/>
      <c r="J4980" s="29" t="s">
        <v>4110</v>
      </c>
      <c r="K4980" s="29"/>
      <c r="L4980" s="29" t="s">
        <v>2974</v>
      </c>
      <c r="M4980" s="29"/>
      <c r="N4980" s="29" t="s">
        <v>2980</v>
      </c>
      <c r="O4980" s="29"/>
      <c r="P4980" s="29" t="s">
        <v>4863</v>
      </c>
      <c r="Q4980" t="s">
        <v>2194</v>
      </c>
      <c r="R4980" t="s">
        <v>2635</v>
      </c>
      <c r="S4980">
        <v>36</v>
      </c>
      <c r="T4980" s="43" t="str">
        <f t="shared" si="230"/>
        <v>2020.016D.R.Smacoviridae_6ngen_42nsp.zip</v>
      </c>
      <c r="U4980" s="43" t="str">
        <f>HYPERLINK("https://ictv.global/taxonomy/taxondetails?taxnode_id=202205976","ictv.global=202205976")</f>
        <v>ictv.global=202205976</v>
      </c>
    </row>
    <row r="4981" spans="1:21">
      <c r="A4981">
        <v>4980</v>
      </c>
      <c r="B4981" s="29" t="s">
        <v>4053</v>
      </c>
      <c r="C4981" s="29"/>
      <c r="D4981" s="29" t="s">
        <v>4082</v>
      </c>
      <c r="E4981" s="29"/>
      <c r="F4981" s="29" t="s">
        <v>4106</v>
      </c>
      <c r="G4981" s="29"/>
      <c r="H4981" s="29" t="s">
        <v>4107</v>
      </c>
      <c r="I4981" s="29"/>
      <c r="J4981" s="29" t="s">
        <v>4110</v>
      </c>
      <c r="K4981" s="29"/>
      <c r="L4981" s="29" t="s">
        <v>2974</v>
      </c>
      <c r="M4981" s="29"/>
      <c r="N4981" s="29" t="s">
        <v>2980</v>
      </c>
      <c r="O4981" s="29"/>
      <c r="P4981" s="29" t="s">
        <v>4864</v>
      </c>
      <c r="Q4981" t="s">
        <v>2194</v>
      </c>
      <c r="R4981" t="s">
        <v>2632</v>
      </c>
      <c r="S4981">
        <v>36</v>
      </c>
      <c r="T4981" s="43" t="str">
        <f t="shared" si="230"/>
        <v>2020.016D.R.Smacoviridae_6ngen_42nsp.zip</v>
      </c>
      <c r="U4981" s="43" t="str">
        <f>HYPERLINK("https://ictv.global/taxonomy/taxondetails?taxnode_id=202209526","ictv.global=202209526")</f>
        <v>ictv.global=202209526</v>
      </c>
    </row>
    <row r="4982" spans="1:21">
      <c r="A4982">
        <v>4981</v>
      </c>
      <c r="B4982" s="29" t="s">
        <v>4053</v>
      </c>
      <c r="C4982" s="29"/>
      <c r="D4982" s="29" t="s">
        <v>4082</v>
      </c>
      <c r="E4982" s="29"/>
      <c r="F4982" s="29" t="s">
        <v>4106</v>
      </c>
      <c r="G4982" s="29"/>
      <c r="H4982" s="29" t="s">
        <v>4107</v>
      </c>
      <c r="I4982" s="29"/>
      <c r="J4982" s="29" t="s">
        <v>4110</v>
      </c>
      <c r="K4982" s="29"/>
      <c r="L4982" s="29" t="s">
        <v>2974</v>
      </c>
      <c r="M4982" s="29"/>
      <c r="N4982" s="29" t="s">
        <v>2980</v>
      </c>
      <c r="O4982" s="29"/>
      <c r="P4982" s="29" t="s">
        <v>4865</v>
      </c>
      <c r="Q4982" t="s">
        <v>2194</v>
      </c>
      <c r="R4982" t="s">
        <v>2632</v>
      </c>
      <c r="S4982">
        <v>36</v>
      </c>
      <c r="T4982" s="43" t="str">
        <f t="shared" si="230"/>
        <v>2020.016D.R.Smacoviridae_6ngen_42nsp.zip</v>
      </c>
      <c r="U4982" s="43" t="str">
        <f>HYPERLINK("https://ictv.global/taxonomy/taxondetails?taxnode_id=202209527","ictv.global=202209527")</f>
        <v>ictv.global=202209527</v>
      </c>
    </row>
    <row r="4983" spans="1:21">
      <c r="A4983">
        <v>4982</v>
      </c>
      <c r="B4983" s="29" t="s">
        <v>4053</v>
      </c>
      <c r="C4983" s="29"/>
      <c r="D4983" s="29" t="s">
        <v>4082</v>
      </c>
      <c r="E4983" s="29"/>
      <c r="F4983" s="29" t="s">
        <v>4106</v>
      </c>
      <c r="G4983" s="29"/>
      <c r="H4983" s="29" t="s">
        <v>4107</v>
      </c>
      <c r="I4983" s="29"/>
      <c r="J4983" s="29" t="s">
        <v>4110</v>
      </c>
      <c r="K4983" s="29"/>
      <c r="L4983" s="29" t="s">
        <v>2974</v>
      </c>
      <c r="M4983" s="29"/>
      <c r="N4983" s="29" t="s">
        <v>2980</v>
      </c>
      <c r="O4983" s="29"/>
      <c r="P4983" s="29" t="s">
        <v>4866</v>
      </c>
      <c r="Q4983" t="s">
        <v>2194</v>
      </c>
      <c r="R4983" t="s">
        <v>2632</v>
      </c>
      <c r="S4983">
        <v>36</v>
      </c>
      <c r="T4983" s="43" t="str">
        <f t="shared" si="230"/>
        <v>2020.016D.R.Smacoviridae_6ngen_42nsp.zip</v>
      </c>
      <c r="U4983" s="43" t="str">
        <f>HYPERLINK("https://ictv.global/taxonomy/taxondetails?taxnode_id=202209528","ictv.global=202209528")</f>
        <v>ictv.global=202209528</v>
      </c>
    </row>
    <row r="4984" spans="1:21">
      <c r="A4984">
        <v>4983</v>
      </c>
      <c r="B4984" s="29" t="s">
        <v>4053</v>
      </c>
      <c r="C4984" s="29"/>
      <c r="D4984" s="29" t="s">
        <v>4082</v>
      </c>
      <c r="E4984" s="29"/>
      <c r="F4984" s="29" t="s">
        <v>4106</v>
      </c>
      <c r="G4984" s="29"/>
      <c r="H4984" s="29" t="s">
        <v>4107</v>
      </c>
      <c r="I4984" s="29"/>
      <c r="J4984" s="29" t="s">
        <v>4110</v>
      </c>
      <c r="K4984" s="29"/>
      <c r="L4984" s="29" t="s">
        <v>2974</v>
      </c>
      <c r="M4984" s="29"/>
      <c r="N4984" s="29" t="s">
        <v>2980</v>
      </c>
      <c r="O4984" s="29"/>
      <c r="P4984" s="29" t="s">
        <v>4867</v>
      </c>
      <c r="Q4984" t="s">
        <v>2194</v>
      </c>
      <c r="R4984" t="s">
        <v>2632</v>
      </c>
      <c r="S4984">
        <v>36</v>
      </c>
      <c r="T4984" s="43" t="str">
        <f t="shared" si="230"/>
        <v>2020.016D.R.Smacoviridae_6ngen_42nsp.zip</v>
      </c>
      <c r="U4984" s="43" t="str">
        <f>HYPERLINK("https://ictv.global/taxonomy/taxondetails?taxnode_id=202209529","ictv.global=202209529")</f>
        <v>ictv.global=202209529</v>
      </c>
    </row>
    <row r="4985" spans="1:21">
      <c r="A4985">
        <v>4984</v>
      </c>
      <c r="B4985" s="29" t="s">
        <v>4053</v>
      </c>
      <c r="C4985" s="29"/>
      <c r="D4985" s="29" t="s">
        <v>4082</v>
      </c>
      <c r="E4985" s="29"/>
      <c r="F4985" s="29" t="s">
        <v>4106</v>
      </c>
      <c r="G4985" s="29"/>
      <c r="H4985" s="29" t="s">
        <v>4107</v>
      </c>
      <c r="I4985" s="29"/>
      <c r="J4985" s="29" t="s">
        <v>4110</v>
      </c>
      <c r="K4985" s="29"/>
      <c r="L4985" s="29" t="s">
        <v>2974</v>
      </c>
      <c r="M4985" s="29"/>
      <c r="N4985" s="29" t="s">
        <v>2980</v>
      </c>
      <c r="O4985" s="29"/>
      <c r="P4985" s="29" t="s">
        <v>4868</v>
      </c>
      <c r="Q4985" t="s">
        <v>2194</v>
      </c>
      <c r="R4985" t="s">
        <v>2632</v>
      </c>
      <c r="S4985">
        <v>36</v>
      </c>
      <c r="T4985" s="43" t="str">
        <f t="shared" si="230"/>
        <v>2020.016D.R.Smacoviridae_6ngen_42nsp.zip</v>
      </c>
      <c r="U4985" s="43" t="str">
        <f>HYPERLINK("https://ictv.global/taxonomy/taxondetails?taxnode_id=202209530","ictv.global=202209530")</f>
        <v>ictv.global=202209530</v>
      </c>
    </row>
    <row r="4986" spans="1:21">
      <c r="A4986">
        <v>4985</v>
      </c>
      <c r="B4986" s="29" t="s">
        <v>4053</v>
      </c>
      <c r="C4986" s="29"/>
      <c r="D4986" s="29" t="s">
        <v>4082</v>
      </c>
      <c r="E4986" s="29"/>
      <c r="F4986" s="29" t="s">
        <v>4106</v>
      </c>
      <c r="G4986" s="29"/>
      <c r="H4986" s="29" t="s">
        <v>4107</v>
      </c>
      <c r="I4986" s="29"/>
      <c r="J4986" s="29" t="s">
        <v>4110</v>
      </c>
      <c r="K4986" s="29"/>
      <c r="L4986" s="29" t="s">
        <v>2974</v>
      </c>
      <c r="M4986" s="29"/>
      <c r="N4986" s="29" t="s">
        <v>2980</v>
      </c>
      <c r="O4986" s="29"/>
      <c r="P4986" s="29" t="s">
        <v>4869</v>
      </c>
      <c r="Q4986" t="s">
        <v>2194</v>
      </c>
      <c r="R4986" t="s">
        <v>2632</v>
      </c>
      <c r="S4986">
        <v>36</v>
      </c>
      <c r="T4986" s="43" t="str">
        <f t="shared" si="230"/>
        <v>2020.016D.R.Smacoviridae_6ngen_42nsp.zip</v>
      </c>
      <c r="U4986" s="43" t="str">
        <f>HYPERLINK("https://ictv.global/taxonomy/taxondetails?taxnode_id=202209531","ictv.global=202209531")</f>
        <v>ictv.global=202209531</v>
      </c>
    </row>
    <row r="4987" spans="1:21">
      <c r="A4987">
        <v>4986</v>
      </c>
      <c r="B4987" s="29" t="s">
        <v>4053</v>
      </c>
      <c r="C4987" s="29"/>
      <c r="D4987" s="29" t="s">
        <v>4082</v>
      </c>
      <c r="E4987" s="29"/>
      <c r="F4987" s="29" t="s">
        <v>4106</v>
      </c>
      <c r="G4987" s="29"/>
      <c r="H4987" s="29" t="s">
        <v>4107</v>
      </c>
      <c r="I4987" s="29"/>
      <c r="J4987" s="29" t="s">
        <v>4110</v>
      </c>
      <c r="K4987" s="29"/>
      <c r="L4987" s="29" t="s">
        <v>2974</v>
      </c>
      <c r="M4987" s="29"/>
      <c r="N4987" s="29" t="s">
        <v>2980</v>
      </c>
      <c r="O4987" s="29"/>
      <c r="P4987" s="29" t="s">
        <v>4870</v>
      </c>
      <c r="Q4987" t="s">
        <v>2194</v>
      </c>
      <c r="R4987" t="s">
        <v>2632</v>
      </c>
      <c r="S4987">
        <v>36</v>
      </c>
      <c r="T4987" s="43" t="str">
        <f t="shared" si="230"/>
        <v>2020.016D.R.Smacoviridae_6ngen_42nsp.zip</v>
      </c>
      <c r="U4987" s="43" t="str">
        <f>HYPERLINK("https://ictv.global/taxonomy/taxondetails?taxnode_id=202209532","ictv.global=202209532")</f>
        <v>ictv.global=202209532</v>
      </c>
    </row>
    <row r="4988" spans="1:21">
      <c r="A4988">
        <v>4987</v>
      </c>
      <c r="B4988" s="29" t="s">
        <v>4053</v>
      </c>
      <c r="C4988" s="29"/>
      <c r="D4988" s="29" t="s">
        <v>4082</v>
      </c>
      <c r="E4988" s="29"/>
      <c r="F4988" s="29" t="s">
        <v>4106</v>
      </c>
      <c r="G4988" s="29"/>
      <c r="H4988" s="29" t="s">
        <v>4107</v>
      </c>
      <c r="I4988" s="29"/>
      <c r="J4988" s="29" t="s">
        <v>4110</v>
      </c>
      <c r="K4988" s="29"/>
      <c r="L4988" s="29" t="s">
        <v>2974</v>
      </c>
      <c r="M4988" s="29"/>
      <c r="N4988" s="29" t="s">
        <v>2980</v>
      </c>
      <c r="O4988" s="29"/>
      <c r="P4988" s="29" t="s">
        <v>4871</v>
      </c>
      <c r="Q4988" t="s">
        <v>2194</v>
      </c>
      <c r="R4988" t="s">
        <v>2632</v>
      </c>
      <c r="S4988">
        <v>36</v>
      </c>
      <c r="T4988" s="43" t="str">
        <f t="shared" si="230"/>
        <v>2020.016D.R.Smacoviridae_6ngen_42nsp.zip</v>
      </c>
      <c r="U4988" s="43" t="str">
        <f>HYPERLINK("https://ictv.global/taxonomy/taxondetails?taxnode_id=202209533","ictv.global=202209533")</f>
        <v>ictv.global=202209533</v>
      </c>
    </row>
    <row r="4989" spans="1:21">
      <c r="A4989">
        <v>4988</v>
      </c>
      <c r="B4989" s="29" t="s">
        <v>4053</v>
      </c>
      <c r="C4989" s="29"/>
      <c r="D4989" s="29" t="s">
        <v>4082</v>
      </c>
      <c r="E4989" s="29"/>
      <c r="F4989" s="29" t="s">
        <v>4106</v>
      </c>
      <c r="G4989" s="29"/>
      <c r="H4989" s="29" t="s">
        <v>4107</v>
      </c>
      <c r="I4989" s="29"/>
      <c r="J4989" s="29" t="s">
        <v>4110</v>
      </c>
      <c r="K4989" s="29"/>
      <c r="L4989" s="29" t="s">
        <v>2974</v>
      </c>
      <c r="M4989" s="29"/>
      <c r="N4989" s="29" t="s">
        <v>2980</v>
      </c>
      <c r="O4989" s="29"/>
      <c r="P4989" s="29" t="s">
        <v>4872</v>
      </c>
      <c r="Q4989" t="s">
        <v>2194</v>
      </c>
      <c r="R4989" t="s">
        <v>2632</v>
      </c>
      <c r="S4989">
        <v>36</v>
      </c>
      <c r="T4989" s="43" t="str">
        <f t="shared" si="230"/>
        <v>2020.016D.R.Smacoviridae_6ngen_42nsp.zip</v>
      </c>
      <c r="U4989" s="43" t="str">
        <f>HYPERLINK("https://ictv.global/taxonomy/taxondetails?taxnode_id=202209534","ictv.global=202209534")</f>
        <v>ictv.global=202209534</v>
      </c>
    </row>
    <row r="4990" spans="1:21">
      <c r="A4990">
        <v>4989</v>
      </c>
      <c r="B4990" s="29" t="s">
        <v>4053</v>
      </c>
      <c r="C4990" s="29"/>
      <c r="D4990" s="29" t="s">
        <v>4082</v>
      </c>
      <c r="E4990" s="29"/>
      <c r="F4990" s="29" t="s">
        <v>4106</v>
      </c>
      <c r="G4990" s="29"/>
      <c r="H4990" s="29" t="s">
        <v>4107</v>
      </c>
      <c r="I4990" s="29"/>
      <c r="J4990" s="29" t="s">
        <v>4110</v>
      </c>
      <c r="K4990" s="29"/>
      <c r="L4990" s="29" t="s">
        <v>2974</v>
      </c>
      <c r="M4990" s="29"/>
      <c r="N4990" s="29" t="s">
        <v>2980</v>
      </c>
      <c r="O4990" s="29"/>
      <c r="P4990" s="29" t="s">
        <v>4873</v>
      </c>
      <c r="Q4990" t="s">
        <v>2194</v>
      </c>
      <c r="R4990" t="s">
        <v>2632</v>
      </c>
      <c r="S4990">
        <v>36</v>
      </c>
      <c r="T4990" s="43" t="str">
        <f t="shared" si="230"/>
        <v>2020.016D.R.Smacoviridae_6ngen_42nsp.zip</v>
      </c>
      <c r="U4990" s="43" t="str">
        <f>HYPERLINK("https://ictv.global/taxonomy/taxondetails?taxnode_id=202209535","ictv.global=202209535")</f>
        <v>ictv.global=202209535</v>
      </c>
    </row>
    <row r="4991" spans="1:21">
      <c r="A4991">
        <v>4990</v>
      </c>
      <c r="B4991" s="29" t="s">
        <v>4053</v>
      </c>
      <c r="C4991" s="29"/>
      <c r="D4991" s="29" t="s">
        <v>4082</v>
      </c>
      <c r="E4991" s="29"/>
      <c r="F4991" s="29" t="s">
        <v>4106</v>
      </c>
      <c r="G4991" s="29"/>
      <c r="H4991" s="29" t="s">
        <v>4107</v>
      </c>
      <c r="I4991" s="29"/>
      <c r="J4991" s="29" t="s">
        <v>4110</v>
      </c>
      <c r="K4991" s="29"/>
      <c r="L4991" s="29" t="s">
        <v>2974</v>
      </c>
      <c r="M4991" s="29"/>
      <c r="N4991" s="29" t="s">
        <v>2980</v>
      </c>
      <c r="O4991" s="29"/>
      <c r="P4991" s="29" t="s">
        <v>4874</v>
      </c>
      <c r="Q4991" t="s">
        <v>2194</v>
      </c>
      <c r="R4991" t="s">
        <v>2635</v>
      </c>
      <c r="S4991">
        <v>36</v>
      </c>
      <c r="T4991" s="43" t="str">
        <f t="shared" si="230"/>
        <v>2020.016D.R.Smacoviridae_6ngen_42nsp.zip</v>
      </c>
      <c r="U4991" s="43" t="str">
        <f>HYPERLINK("https://ictv.global/taxonomy/taxondetails?taxnode_id=202205977","ictv.global=202205977")</f>
        <v>ictv.global=202205977</v>
      </c>
    </row>
    <row r="4992" spans="1:21">
      <c r="A4992">
        <v>4991</v>
      </c>
      <c r="B4992" s="29" t="s">
        <v>4053</v>
      </c>
      <c r="C4992" s="29"/>
      <c r="D4992" s="29" t="s">
        <v>4082</v>
      </c>
      <c r="E4992" s="29"/>
      <c r="F4992" s="29" t="s">
        <v>4106</v>
      </c>
      <c r="G4992" s="29"/>
      <c r="H4992" s="29" t="s">
        <v>4107</v>
      </c>
      <c r="I4992" s="29"/>
      <c r="J4992" s="29" t="s">
        <v>4110</v>
      </c>
      <c r="K4992" s="29"/>
      <c r="L4992" s="29" t="s">
        <v>2974</v>
      </c>
      <c r="M4992" s="29"/>
      <c r="N4992" s="29" t="s">
        <v>2980</v>
      </c>
      <c r="O4992" s="29"/>
      <c r="P4992" s="29" t="s">
        <v>4875</v>
      </c>
      <c r="Q4992" t="s">
        <v>2194</v>
      </c>
      <c r="R4992" t="s">
        <v>2635</v>
      </c>
      <c r="S4992">
        <v>36</v>
      </c>
      <c r="T4992" s="43" t="str">
        <f t="shared" si="230"/>
        <v>2020.016D.R.Smacoviridae_6ngen_42nsp.zip</v>
      </c>
      <c r="U4992" s="43" t="str">
        <f>HYPERLINK("https://ictv.global/taxonomy/taxondetails?taxnode_id=202205979","ictv.global=202205979")</f>
        <v>ictv.global=202205979</v>
      </c>
    </row>
    <row r="4993" spans="1:21">
      <c r="A4993">
        <v>4992</v>
      </c>
      <c r="B4993" s="29" t="s">
        <v>4053</v>
      </c>
      <c r="C4993" s="29"/>
      <c r="D4993" s="29" t="s">
        <v>4082</v>
      </c>
      <c r="E4993" s="29"/>
      <c r="F4993" s="29" t="s">
        <v>4106</v>
      </c>
      <c r="G4993" s="29"/>
      <c r="H4993" s="29" t="s">
        <v>4107</v>
      </c>
      <c r="I4993" s="29"/>
      <c r="J4993" s="29" t="s">
        <v>4110</v>
      </c>
      <c r="K4993" s="29"/>
      <c r="L4993" s="29" t="s">
        <v>2974</v>
      </c>
      <c r="M4993" s="29"/>
      <c r="N4993" s="29" t="s">
        <v>2980</v>
      </c>
      <c r="O4993" s="29"/>
      <c r="P4993" s="29" t="s">
        <v>4876</v>
      </c>
      <c r="Q4993" t="s">
        <v>2194</v>
      </c>
      <c r="R4993" t="s">
        <v>2635</v>
      </c>
      <c r="S4993">
        <v>36</v>
      </c>
      <c r="T4993" s="43" t="str">
        <f t="shared" si="230"/>
        <v>2020.016D.R.Smacoviridae_6ngen_42nsp.zip</v>
      </c>
      <c r="U4993" s="43" t="str">
        <f>HYPERLINK("https://ictv.global/taxonomy/taxondetails?taxnode_id=202205980","ictv.global=202205980")</f>
        <v>ictv.global=202205980</v>
      </c>
    </row>
    <row r="4994" spans="1:21">
      <c r="A4994">
        <v>4993</v>
      </c>
      <c r="B4994" s="29" t="s">
        <v>4053</v>
      </c>
      <c r="C4994" s="29"/>
      <c r="D4994" s="29" t="s">
        <v>4082</v>
      </c>
      <c r="E4994" s="29"/>
      <c r="F4994" s="29" t="s">
        <v>4106</v>
      </c>
      <c r="G4994" s="29"/>
      <c r="H4994" s="29" t="s">
        <v>4107</v>
      </c>
      <c r="I4994" s="29"/>
      <c r="J4994" s="29" t="s">
        <v>4110</v>
      </c>
      <c r="K4994" s="29"/>
      <c r="L4994" s="29" t="s">
        <v>2974</v>
      </c>
      <c r="M4994" s="29"/>
      <c r="N4994" s="29" t="s">
        <v>2980</v>
      </c>
      <c r="O4994" s="29"/>
      <c r="P4994" s="29" t="s">
        <v>4877</v>
      </c>
      <c r="Q4994" t="s">
        <v>2194</v>
      </c>
      <c r="R4994" t="s">
        <v>2635</v>
      </c>
      <c r="S4994">
        <v>36</v>
      </c>
      <c r="T4994" s="43" t="str">
        <f t="shared" si="230"/>
        <v>2020.016D.R.Smacoviridae_6ngen_42nsp.zip</v>
      </c>
      <c r="U4994" s="43" t="str">
        <f>HYPERLINK("https://ictv.global/taxonomy/taxondetails?taxnode_id=202205981","ictv.global=202205981")</f>
        <v>ictv.global=202205981</v>
      </c>
    </row>
    <row r="4995" spans="1:21">
      <c r="A4995">
        <v>4994</v>
      </c>
      <c r="B4995" s="29" t="s">
        <v>4053</v>
      </c>
      <c r="C4995" s="29"/>
      <c r="D4995" s="29" t="s">
        <v>4082</v>
      </c>
      <c r="E4995" s="29"/>
      <c r="F4995" s="29" t="s">
        <v>4106</v>
      </c>
      <c r="G4995" s="29"/>
      <c r="H4995" s="29" t="s">
        <v>4107</v>
      </c>
      <c r="I4995" s="29"/>
      <c r="J4995" s="29" t="s">
        <v>4110</v>
      </c>
      <c r="K4995" s="29"/>
      <c r="L4995" s="29" t="s">
        <v>2974</v>
      </c>
      <c r="M4995" s="29"/>
      <c r="N4995" s="29" t="s">
        <v>2980</v>
      </c>
      <c r="O4995" s="29"/>
      <c r="P4995" s="29" t="s">
        <v>4878</v>
      </c>
      <c r="Q4995" t="s">
        <v>2194</v>
      </c>
      <c r="R4995" t="s">
        <v>2635</v>
      </c>
      <c r="S4995">
        <v>36</v>
      </c>
      <c r="T4995" s="43" t="str">
        <f t="shared" si="230"/>
        <v>2020.016D.R.Smacoviridae_6ngen_42nsp.zip</v>
      </c>
      <c r="U4995" s="43" t="str">
        <f>HYPERLINK("https://ictv.global/taxonomy/taxondetails?taxnode_id=202205982","ictv.global=202205982")</f>
        <v>ictv.global=202205982</v>
      </c>
    </row>
    <row r="4996" spans="1:21">
      <c r="A4996">
        <v>4995</v>
      </c>
      <c r="B4996" s="29" t="s">
        <v>4053</v>
      </c>
      <c r="C4996" s="29"/>
      <c r="D4996" s="29" t="s">
        <v>4082</v>
      </c>
      <c r="E4996" s="29"/>
      <c r="F4996" s="29" t="s">
        <v>4106</v>
      </c>
      <c r="G4996" s="29"/>
      <c r="H4996" s="29" t="s">
        <v>4107</v>
      </c>
      <c r="I4996" s="29"/>
      <c r="J4996" s="29" t="s">
        <v>4110</v>
      </c>
      <c r="K4996" s="29"/>
      <c r="L4996" s="29" t="s">
        <v>2974</v>
      </c>
      <c r="M4996" s="29"/>
      <c r="N4996" s="29" t="s">
        <v>2980</v>
      </c>
      <c r="O4996" s="29"/>
      <c r="P4996" s="29" t="s">
        <v>4879</v>
      </c>
      <c r="Q4996" t="s">
        <v>2194</v>
      </c>
      <c r="R4996" t="s">
        <v>2635</v>
      </c>
      <c r="S4996">
        <v>36</v>
      </c>
      <c r="T4996" s="43" t="str">
        <f t="shared" si="230"/>
        <v>2020.016D.R.Smacoviridae_6ngen_42nsp.zip</v>
      </c>
      <c r="U4996" s="43" t="str">
        <f>HYPERLINK("https://ictv.global/taxonomy/taxondetails?taxnode_id=202205983","ictv.global=202205983")</f>
        <v>ictv.global=202205983</v>
      </c>
    </row>
    <row r="4997" spans="1:21">
      <c r="A4997">
        <v>4996</v>
      </c>
      <c r="B4997" s="29" t="s">
        <v>4053</v>
      </c>
      <c r="C4997" s="29"/>
      <c r="D4997" s="29" t="s">
        <v>4082</v>
      </c>
      <c r="E4997" s="29"/>
      <c r="F4997" s="29" t="s">
        <v>4106</v>
      </c>
      <c r="G4997" s="29"/>
      <c r="H4997" s="29" t="s">
        <v>4107</v>
      </c>
      <c r="I4997" s="29"/>
      <c r="J4997" s="29" t="s">
        <v>4110</v>
      </c>
      <c r="K4997" s="29"/>
      <c r="L4997" s="29" t="s">
        <v>2974</v>
      </c>
      <c r="M4997" s="29"/>
      <c r="N4997" s="29" t="s">
        <v>2980</v>
      </c>
      <c r="O4997" s="29"/>
      <c r="P4997" s="29" t="s">
        <v>4880</v>
      </c>
      <c r="Q4997" t="s">
        <v>2194</v>
      </c>
      <c r="R4997" t="s">
        <v>2635</v>
      </c>
      <c r="S4997">
        <v>36</v>
      </c>
      <c r="T4997" s="43" t="str">
        <f t="shared" si="230"/>
        <v>2020.016D.R.Smacoviridae_6ngen_42nsp.zip</v>
      </c>
      <c r="U4997" s="43" t="str">
        <f>HYPERLINK("https://ictv.global/taxonomy/taxondetails?taxnode_id=202205984","ictv.global=202205984")</f>
        <v>ictv.global=202205984</v>
      </c>
    </row>
    <row r="4998" spans="1:21">
      <c r="A4998">
        <v>4997</v>
      </c>
      <c r="B4998" s="29" t="s">
        <v>4053</v>
      </c>
      <c r="C4998" s="29"/>
      <c r="D4998" s="29" t="s">
        <v>4082</v>
      </c>
      <c r="E4998" s="29"/>
      <c r="F4998" s="29" t="s">
        <v>4106</v>
      </c>
      <c r="G4998" s="29"/>
      <c r="H4998" s="29" t="s">
        <v>4107</v>
      </c>
      <c r="I4998" s="29"/>
      <c r="J4998" s="29" t="s">
        <v>4110</v>
      </c>
      <c r="K4998" s="29"/>
      <c r="L4998" s="29" t="s">
        <v>2974</v>
      </c>
      <c r="M4998" s="29"/>
      <c r="N4998" s="29" t="s">
        <v>2980</v>
      </c>
      <c r="O4998" s="29"/>
      <c r="P4998" s="29" t="s">
        <v>4881</v>
      </c>
      <c r="Q4998" t="s">
        <v>2194</v>
      </c>
      <c r="R4998" t="s">
        <v>2635</v>
      </c>
      <c r="S4998">
        <v>36</v>
      </c>
      <c r="T4998" s="43" t="str">
        <f t="shared" si="230"/>
        <v>2020.016D.R.Smacoviridae_6ngen_42nsp.zip</v>
      </c>
      <c r="U4998" s="43" t="str">
        <f>HYPERLINK("https://ictv.global/taxonomy/taxondetails?taxnode_id=202205985","ictv.global=202205985")</f>
        <v>ictv.global=202205985</v>
      </c>
    </row>
    <row r="4999" spans="1:21">
      <c r="A4999">
        <v>4998</v>
      </c>
      <c r="B4999" s="29" t="s">
        <v>4053</v>
      </c>
      <c r="C4999" s="29"/>
      <c r="D4999" s="29" t="s">
        <v>4082</v>
      </c>
      <c r="E4999" s="29"/>
      <c r="F4999" s="29" t="s">
        <v>4106</v>
      </c>
      <c r="G4999" s="29"/>
      <c r="H4999" s="29" t="s">
        <v>4107</v>
      </c>
      <c r="I4999" s="29"/>
      <c r="J4999" s="29" t="s">
        <v>4110</v>
      </c>
      <c r="K4999" s="29"/>
      <c r="L4999" s="29" t="s">
        <v>2974</v>
      </c>
      <c r="M4999" s="29"/>
      <c r="N4999" s="29" t="s">
        <v>2980</v>
      </c>
      <c r="O4999" s="29"/>
      <c r="P4999" s="29" t="s">
        <v>4882</v>
      </c>
      <c r="Q4999" t="s">
        <v>2194</v>
      </c>
      <c r="R4999" t="s">
        <v>2635</v>
      </c>
      <c r="S4999">
        <v>36</v>
      </c>
      <c r="T4999" s="43" t="str">
        <f t="shared" si="230"/>
        <v>2020.016D.R.Smacoviridae_6ngen_42nsp.zip</v>
      </c>
      <c r="U4999" s="43" t="str">
        <f>HYPERLINK("https://ictv.global/taxonomy/taxondetails?taxnode_id=202205986","ictv.global=202205986")</f>
        <v>ictv.global=202205986</v>
      </c>
    </row>
    <row r="5000" spans="1:21">
      <c r="A5000">
        <v>4999</v>
      </c>
      <c r="B5000" s="29" t="s">
        <v>4053</v>
      </c>
      <c r="C5000" s="29"/>
      <c r="D5000" s="29" t="s">
        <v>4082</v>
      </c>
      <c r="E5000" s="29"/>
      <c r="F5000" s="29" t="s">
        <v>4106</v>
      </c>
      <c r="G5000" s="29"/>
      <c r="H5000" s="29" t="s">
        <v>4107</v>
      </c>
      <c r="I5000" s="29"/>
      <c r="J5000" s="29" t="s">
        <v>4110</v>
      </c>
      <c r="K5000" s="29"/>
      <c r="L5000" s="29" t="s">
        <v>2974</v>
      </c>
      <c r="M5000" s="29"/>
      <c r="N5000" s="29" t="s">
        <v>2980</v>
      </c>
      <c r="O5000" s="29"/>
      <c r="P5000" s="29" t="s">
        <v>4883</v>
      </c>
      <c r="Q5000" t="s">
        <v>2194</v>
      </c>
      <c r="R5000" t="s">
        <v>2635</v>
      </c>
      <c r="S5000">
        <v>36</v>
      </c>
      <c r="T5000" s="43" t="str">
        <f t="shared" si="230"/>
        <v>2020.016D.R.Smacoviridae_6ngen_42nsp.zip</v>
      </c>
      <c r="U5000" s="43" t="str">
        <f>HYPERLINK("https://ictv.global/taxonomy/taxondetails?taxnode_id=202205978","ictv.global=202205978")</f>
        <v>ictv.global=202205978</v>
      </c>
    </row>
    <row r="5001" spans="1:21">
      <c r="A5001">
        <v>5000</v>
      </c>
      <c r="B5001" s="29" t="s">
        <v>4053</v>
      </c>
      <c r="C5001" s="29"/>
      <c r="D5001" s="29" t="s">
        <v>4082</v>
      </c>
      <c r="E5001" s="29"/>
      <c r="F5001" s="29" t="s">
        <v>4106</v>
      </c>
      <c r="G5001" s="29"/>
      <c r="H5001" s="29" t="s">
        <v>4107</v>
      </c>
      <c r="I5001" s="29"/>
      <c r="J5001" s="29" t="s">
        <v>4110</v>
      </c>
      <c r="K5001" s="29"/>
      <c r="L5001" s="29" t="s">
        <v>2974</v>
      </c>
      <c r="M5001" s="29"/>
      <c r="N5001" s="29" t="s">
        <v>2980</v>
      </c>
      <c r="O5001" s="29"/>
      <c r="P5001" s="29" t="s">
        <v>4884</v>
      </c>
      <c r="Q5001" t="s">
        <v>2194</v>
      </c>
      <c r="R5001" t="s">
        <v>2632</v>
      </c>
      <c r="S5001">
        <v>36</v>
      </c>
      <c r="T5001" s="43" t="str">
        <f t="shared" si="230"/>
        <v>2020.016D.R.Smacoviridae_6ngen_42nsp.zip</v>
      </c>
      <c r="U5001" s="43" t="str">
        <f>HYPERLINK("https://ictv.global/taxonomy/taxondetails?taxnode_id=202209536","ictv.global=202209536")</f>
        <v>ictv.global=202209536</v>
      </c>
    </row>
    <row r="5002" spans="1:21">
      <c r="A5002">
        <v>5001</v>
      </c>
      <c r="B5002" s="29" t="s">
        <v>4053</v>
      </c>
      <c r="C5002" s="29"/>
      <c r="D5002" s="29" t="s">
        <v>4082</v>
      </c>
      <c r="E5002" s="29"/>
      <c r="F5002" s="29" t="s">
        <v>4106</v>
      </c>
      <c r="G5002" s="29"/>
      <c r="H5002" s="29" t="s">
        <v>4107</v>
      </c>
      <c r="I5002" s="29"/>
      <c r="J5002" s="29" t="s">
        <v>4110</v>
      </c>
      <c r="K5002" s="29"/>
      <c r="L5002" s="29" t="s">
        <v>2974</v>
      </c>
      <c r="M5002" s="29"/>
      <c r="N5002" s="29" t="s">
        <v>2980</v>
      </c>
      <c r="O5002" s="29"/>
      <c r="P5002" s="29" t="s">
        <v>4885</v>
      </c>
      <c r="Q5002" t="s">
        <v>2194</v>
      </c>
      <c r="R5002" t="s">
        <v>2632</v>
      </c>
      <c r="S5002">
        <v>36</v>
      </c>
      <c r="T5002" s="43" t="str">
        <f t="shared" si="230"/>
        <v>2020.016D.R.Smacoviridae_6ngen_42nsp.zip</v>
      </c>
      <c r="U5002" s="43" t="str">
        <f>HYPERLINK("https://ictv.global/taxonomy/taxondetails?taxnode_id=202209537","ictv.global=202209537")</f>
        <v>ictv.global=202209537</v>
      </c>
    </row>
    <row r="5003" spans="1:21">
      <c r="A5003">
        <v>5002</v>
      </c>
      <c r="B5003" s="29" t="s">
        <v>4053</v>
      </c>
      <c r="C5003" s="29"/>
      <c r="D5003" s="29" t="s">
        <v>4082</v>
      </c>
      <c r="E5003" s="29"/>
      <c r="F5003" s="29" t="s">
        <v>4106</v>
      </c>
      <c r="G5003" s="29"/>
      <c r="H5003" s="29" t="s">
        <v>4107</v>
      </c>
      <c r="I5003" s="29"/>
      <c r="J5003" s="29" t="s">
        <v>4110</v>
      </c>
      <c r="K5003" s="29"/>
      <c r="L5003" s="29" t="s">
        <v>2974</v>
      </c>
      <c r="M5003" s="29"/>
      <c r="N5003" s="29" t="s">
        <v>2980</v>
      </c>
      <c r="O5003" s="29"/>
      <c r="P5003" s="29" t="s">
        <v>4886</v>
      </c>
      <c r="Q5003" t="s">
        <v>2194</v>
      </c>
      <c r="R5003" t="s">
        <v>2632</v>
      </c>
      <c r="S5003">
        <v>36</v>
      </c>
      <c r="T5003" s="43" t="str">
        <f t="shared" si="230"/>
        <v>2020.016D.R.Smacoviridae_6ngen_42nsp.zip</v>
      </c>
      <c r="U5003" s="43" t="str">
        <f>HYPERLINK("https://ictv.global/taxonomy/taxondetails?taxnode_id=202209538","ictv.global=202209538")</f>
        <v>ictv.global=202209538</v>
      </c>
    </row>
    <row r="5004" spans="1:21">
      <c r="A5004">
        <v>5003</v>
      </c>
      <c r="B5004" s="29" t="s">
        <v>4053</v>
      </c>
      <c r="C5004" s="29"/>
      <c r="D5004" s="29" t="s">
        <v>4082</v>
      </c>
      <c r="E5004" s="29"/>
      <c r="F5004" s="29" t="s">
        <v>4106</v>
      </c>
      <c r="G5004" s="29"/>
      <c r="H5004" s="29" t="s">
        <v>4107</v>
      </c>
      <c r="I5004" s="29"/>
      <c r="J5004" s="29" t="s">
        <v>4110</v>
      </c>
      <c r="K5004" s="29"/>
      <c r="L5004" s="29" t="s">
        <v>2974</v>
      </c>
      <c r="M5004" s="29"/>
      <c r="N5004" s="29" t="s">
        <v>2980</v>
      </c>
      <c r="O5004" s="29"/>
      <c r="P5004" s="29" t="s">
        <v>4887</v>
      </c>
      <c r="Q5004" t="s">
        <v>2194</v>
      </c>
      <c r="R5004" t="s">
        <v>2632</v>
      </c>
      <c r="S5004">
        <v>36</v>
      </c>
      <c r="T5004" s="43" t="str">
        <f t="shared" si="230"/>
        <v>2020.016D.R.Smacoviridae_6ngen_42nsp.zip</v>
      </c>
      <c r="U5004" s="43" t="str">
        <f>HYPERLINK("https://ictv.global/taxonomy/taxondetails?taxnode_id=202209539","ictv.global=202209539")</f>
        <v>ictv.global=202209539</v>
      </c>
    </row>
    <row r="5005" spans="1:21">
      <c r="A5005">
        <v>5004</v>
      </c>
      <c r="B5005" s="29" t="s">
        <v>4053</v>
      </c>
      <c r="C5005" s="29"/>
      <c r="D5005" s="29" t="s">
        <v>4082</v>
      </c>
      <c r="E5005" s="29"/>
      <c r="F5005" s="29" t="s">
        <v>4106</v>
      </c>
      <c r="G5005" s="29"/>
      <c r="H5005" s="29" t="s">
        <v>4107</v>
      </c>
      <c r="I5005" s="29"/>
      <c r="J5005" s="29" t="s">
        <v>4110</v>
      </c>
      <c r="K5005" s="29"/>
      <c r="L5005" s="29" t="s">
        <v>2974</v>
      </c>
      <c r="M5005" s="29"/>
      <c r="N5005" s="29" t="s">
        <v>2980</v>
      </c>
      <c r="O5005" s="29"/>
      <c r="P5005" s="29" t="s">
        <v>4888</v>
      </c>
      <c r="Q5005" t="s">
        <v>2194</v>
      </c>
      <c r="R5005" t="s">
        <v>2632</v>
      </c>
      <c r="S5005">
        <v>36</v>
      </c>
      <c r="T5005" s="43" t="str">
        <f t="shared" si="230"/>
        <v>2020.016D.R.Smacoviridae_6ngen_42nsp.zip</v>
      </c>
      <c r="U5005" s="43" t="str">
        <f>HYPERLINK("https://ictv.global/taxonomy/taxondetails?taxnode_id=202209540","ictv.global=202209540")</f>
        <v>ictv.global=202209540</v>
      </c>
    </row>
    <row r="5006" spans="1:21">
      <c r="A5006">
        <v>5005</v>
      </c>
      <c r="B5006" s="29" t="s">
        <v>4053</v>
      </c>
      <c r="C5006" s="29"/>
      <c r="D5006" s="29" t="s">
        <v>4082</v>
      </c>
      <c r="E5006" s="29"/>
      <c r="F5006" s="29" t="s">
        <v>4106</v>
      </c>
      <c r="G5006" s="29"/>
      <c r="H5006" s="29" t="s">
        <v>4107</v>
      </c>
      <c r="I5006" s="29"/>
      <c r="J5006" s="29" t="s">
        <v>4110</v>
      </c>
      <c r="K5006" s="29"/>
      <c r="L5006" s="29" t="s">
        <v>2974</v>
      </c>
      <c r="M5006" s="29"/>
      <c r="N5006" s="29" t="s">
        <v>2980</v>
      </c>
      <c r="O5006" s="29"/>
      <c r="P5006" s="29" t="s">
        <v>4889</v>
      </c>
      <c r="Q5006" t="s">
        <v>2194</v>
      </c>
      <c r="R5006" t="s">
        <v>2632</v>
      </c>
      <c r="S5006">
        <v>36</v>
      </c>
      <c r="T5006" s="43" t="str">
        <f t="shared" si="230"/>
        <v>2020.016D.R.Smacoviridae_6ngen_42nsp.zip</v>
      </c>
      <c r="U5006" s="43" t="str">
        <f>HYPERLINK("https://ictv.global/taxonomy/taxondetails?taxnode_id=202209541","ictv.global=202209541")</f>
        <v>ictv.global=202209541</v>
      </c>
    </row>
    <row r="5007" spans="1:21">
      <c r="A5007">
        <v>5006</v>
      </c>
      <c r="B5007" s="29" t="s">
        <v>4053</v>
      </c>
      <c r="C5007" s="29"/>
      <c r="D5007" s="29" t="s">
        <v>4082</v>
      </c>
      <c r="E5007" s="29"/>
      <c r="F5007" s="29" t="s">
        <v>4106</v>
      </c>
      <c r="G5007" s="29"/>
      <c r="H5007" s="29" t="s">
        <v>4107</v>
      </c>
      <c r="I5007" s="29"/>
      <c r="J5007" s="29" t="s">
        <v>4110</v>
      </c>
      <c r="K5007" s="29"/>
      <c r="L5007" s="29" t="s">
        <v>2974</v>
      </c>
      <c r="M5007" s="29"/>
      <c r="N5007" s="29" t="s">
        <v>2980</v>
      </c>
      <c r="O5007" s="29"/>
      <c r="P5007" s="29" t="s">
        <v>4890</v>
      </c>
      <c r="Q5007" t="s">
        <v>2194</v>
      </c>
      <c r="R5007" t="s">
        <v>2632</v>
      </c>
      <c r="S5007">
        <v>36</v>
      </c>
      <c r="T5007" s="43" t="str">
        <f t="shared" si="230"/>
        <v>2020.016D.R.Smacoviridae_6ngen_42nsp.zip</v>
      </c>
      <c r="U5007" s="43" t="str">
        <f>HYPERLINK("https://ictv.global/taxonomy/taxondetails?taxnode_id=202209542","ictv.global=202209542")</f>
        <v>ictv.global=202209542</v>
      </c>
    </row>
    <row r="5008" spans="1:21">
      <c r="A5008">
        <v>5007</v>
      </c>
      <c r="B5008" s="29" t="s">
        <v>4053</v>
      </c>
      <c r="C5008" s="29"/>
      <c r="D5008" s="29" t="s">
        <v>4082</v>
      </c>
      <c r="E5008" s="29"/>
      <c r="F5008" s="29" t="s">
        <v>4106</v>
      </c>
      <c r="G5008" s="29"/>
      <c r="H5008" s="29" t="s">
        <v>4107</v>
      </c>
      <c r="I5008" s="29"/>
      <c r="J5008" s="29" t="s">
        <v>4110</v>
      </c>
      <c r="K5008" s="29"/>
      <c r="L5008" s="29" t="s">
        <v>2974</v>
      </c>
      <c r="M5008" s="29"/>
      <c r="N5008" s="29" t="s">
        <v>2980</v>
      </c>
      <c r="O5008" s="29"/>
      <c r="P5008" s="29" t="s">
        <v>4891</v>
      </c>
      <c r="Q5008" t="s">
        <v>2194</v>
      </c>
      <c r="R5008" t="s">
        <v>2632</v>
      </c>
      <c r="S5008">
        <v>36</v>
      </c>
      <c r="T5008" s="43" t="str">
        <f t="shared" si="230"/>
        <v>2020.016D.R.Smacoviridae_6ngen_42nsp.zip</v>
      </c>
      <c r="U5008" s="43" t="str">
        <f>HYPERLINK("https://ictv.global/taxonomy/taxondetails?taxnode_id=202209543","ictv.global=202209543")</f>
        <v>ictv.global=202209543</v>
      </c>
    </row>
    <row r="5009" spans="1:21">
      <c r="A5009">
        <v>5008</v>
      </c>
      <c r="B5009" s="29" t="s">
        <v>4053</v>
      </c>
      <c r="C5009" s="29"/>
      <c r="D5009" s="29" t="s">
        <v>4082</v>
      </c>
      <c r="E5009" s="29"/>
      <c r="F5009" s="29" t="s">
        <v>4106</v>
      </c>
      <c r="G5009" s="29"/>
      <c r="H5009" s="29" t="s">
        <v>4107</v>
      </c>
      <c r="I5009" s="29"/>
      <c r="J5009" s="29" t="s">
        <v>4110</v>
      </c>
      <c r="K5009" s="29"/>
      <c r="L5009" s="29" t="s">
        <v>2974</v>
      </c>
      <c r="M5009" s="29"/>
      <c r="N5009" s="29" t="s">
        <v>2980</v>
      </c>
      <c r="O5009" s="29"/>
      <c r="P5009" s="29" t="s">
        <v>4892</v>
      </c>
      <c r="Q5009" t="s">
        <v>2194</v>
      </c>
      <c r="R5009" t="s">
        <v>2632</v>
      </c>
      <c r="S5009">
        <v>36</v>
      </c>
      <c r="T5009" s="43" t="str">
        <f t="shared" si="230"/>
        <v>2020.016D.R.Smacoviridae_6ngen_42nsp.zip</v>
      </c>
      <c r="U5009" s="43" t="str">
        <f>HYPERLINK("https://ictv.global/taxonomy/taxondetails?taxnode_id=202209544","ictv.global=202209544")</f>
        <v>ictv.global=202209544</v>
      </c>
    </row>
    <row r="5010" spans="1:21">
      <c r="A5010">
        <v>5009</v>
      </c>
      <c r="B5010" s="29" t="s">
        <v>4053</v>
      </c>
      <c r="C5010" s="29"/>
      <c r="D5010" s="29" t="s">
        <v>4082</v>
      </c>
      <c r="E5010" s="29"/>
      <c r="F5010" s="29" t="s">
        <v>4106</v>
      </c>
      <c r="G5010" s="29"/>
      <c r="H5010" s="29" t="s">
        <v>4107</v>
      </c>
      <c r="I5010" s="29"/>
      <c r="J5010" s="29" t="s">
        <v>4110</v>
      </c>
      <c r="K5010" s="29"/>
      <c r="L5010" s="29" t="s">
        <v>2974</v>
      </c>
      <c r="M5010" s="29"/>
      <c r="N5010" s="29" t="s">
        <v>2980</v>
      </c>
      <c r="O5010" s="29"/>
      <c r="P5010" s="29" t="s">
        <v>4893</v>
      </c>
      <c r="Q5010" t="s">
        <v>2194</v>
      </c>
      <c r="R5010" t="s">
        <v>2632</v>
      </c>
      <c r="S5010">
        <v>36</v>
      </c>
      <c r="T5010" s="43" t="str">
        <f t="shared" si="230"/>
        <v>2020.016D.R.Smacoviridae_6ngen_42nsp.zip</v>
      </c>
      <c r="U5010" s="43" t="str">
        <f>HYPERLINK("https://ictv.global/taxonomy/taxondetails?taxnode_id=202209545","ictv.global=202209545")</f>
        <v>ictv.global=202209545</v>
      </c>
    </row>
    <row r="5011" spans="1:21">
      <c r="A5011">
        <v>5010</v>
      </c>
      <c r="B5011" s="29" t="s">
        <v>4053</v>
      </c>
      <c r="C5011" s="29"/>
      <c r="D5011" s="29" t="s">
        <v>4082</v>
      </c>
      <c r="E5011" s="29"/>
      <c r="F5011" s="29" t="s">
        <v>4106</v>
      </c>
      <c r="G5011" s="29"/>
      <c r="H5011" s="29" t="s">
        <v>4107</v>
      </c>
      <c r="I5011" s="29"/>
      <c r="J5011" s="29" t="s">
        <v>4110</v>
      </c>
      <c r="K5011" s="29"/>
      <c r="L5011" s="29" t="s">
        <v>2974</v>
      </c>
      <c r="M5011" s="29"/>
      <c r="N5011" s="29" t="s">
        <v>2980</v>
      </c>
      <c r="O5011" s="29"/>
      <c r="P5011" s="29" t="s">
        <v>4894</v>
      </c>
      <c r="Q5011" t="s">
        <v>2194</v>
      </c>
      <c r="R5011" t="s">
        <v>2635</v>
      </c>
      <c r="S5011">
        <v>36</v>
      </c>
      <c r="T5011" s="43" t="str">
        <f t="shared" si="230"/>
        <v>2020.016D.R.Smacoviridae_6ngen_42nsp.zip</v>
      </c>
      <c r="U5011" s="43" t="str">
        <f>HYPERLINK("https://ictv.global/taxonomy/taxondetails?taxnode_id=202205987","ictv.global=202205987")</f>
        <v>ictv.global=202205987</v>
      </c>
    </row>
    <row r="5012" spans="1:21">
      <c r="A5012">
        <v>5011</v>
      </c>
      <c r="B5012" s="29" t="s">
        <v>4053</v>
      </c>
      <c r="C5012" s="29"/>
      <c r="D5012" s="29" t="s">
        <v>4082</v>
      </c>
      <c r="E5012" s="29"/>
      <c r="F5012" s="29" t="s">
        <v>4106</v>
      </c>
      <c r="G5012" s="29"/>
      <c r="H5012" s="29" t="s">
        <v>4107</v>
      </c>
      <c r="I5012" s="29"/>
      <c r="J5012" s="29" t="s">
        <v>4110</v>
      </c>
      <c r="K5012" s="29"/>
      <c r="L5012" s="29" t="s">
        <v>2974</v>
      </c>
      <c r="M5012" s="29"/>
      <c r="N5012" s="29" t="s">
        <v>2980</v>
      </c>
      <c r="O5012" s="29"/>
      <c r="P5012" s="29" t="s">
        <v>4895</v>
      </c>
      <c r="Q5012" t="s">
        <v>2194</v>
      </c>
      <c r="R5012" t="s">
        <v>2635</v>
      </c>
      <c r="S5012">
        <v>36</v>
      </c>
      <c r="T5012" s="43" t="str">
        <f t="shared" si="230"/>
        <v>2020.016D.R.Smacoviridae_6ngen_42nsp.zip</v>
      </c>
      <c r="U5012" s="43" t="str">
        <f>HYPERLINK("https://ictv.global/taxonomy/taxondetails?taxnode_id=202205988","ictv.global=202205988")</f>
        <v>ictv.global=202205988</v>
      </c>
    </row>
    <row r="5013" spans="1:21">
      <c r="A5013">
        <v>5012</v>
      </c>
      <c r="B5013" s="29" t="s">
        <v>4053</v>
      </c>
      <c r="C5013" s="29"/>
      <c r="D5013" s="29" t="s">
        <v>4082</v>
      </c>
      <c r="E5013" s="29"/>
      <c r="F5013" s="29" t="s">
        <v>4106</v>
      </c>
      <c r="G5013" s="29"/>
      <c r="H5013" s="29" t="s">
        <v>4107</v>
      </c>
      <c r="I5013" s="29"/>
      <c r="J5013" s="29" t="s">
        <v>4110</v>
      </c>
      <c r="K5013" s="29"/>
      <c r="L5013" s="29" t="s">
        <v>2974</v>
      </c>
      <c r="M5013" s="29"/>
      <c r="N5013" s="29" t="s">
        <v>2980</v>
      </c>
      <c r="O5013" s="29"/>
      <c r="P5013" s="29" t="s">
        <v>4896</v>
      </c>
      <c r="Q5013" t="s">
        <v>2194</v>
      </c>
      <c r="R5013" t="s">
        <v>2635</v>
      </c>
      <c r="S5013">
        <v>36</v>
      </c>
      <c r="T5013" s="43" t="str">
        <f t="shared" si="230"/>
        <v>2020.016D.R.Smacoviridae_6ngen_42nsp.zip</v>
      </c>
      <c r="U5013" s="43" t="str">
        <f>HYPERLINK("https://ictv.global/taxonomy/taxondetails?taxnode_id=202205989","ictv.global=202205989")</f>
        <v>ictv.global=202205989</v>
      </c>
    </row>
    <row r="5014" spans="1:21">
      <c r="A5014">
        <v>5013</v>
      </c>
      <c r="B5014" s="29" t="s">
        <v>4053</v>
      </c>
      <c r="C5014" s="29"/>
      <c r="D5014" s="29" t="s">
        <v>4082</v>
      </c>
      <c r="E5014" s="29"/>
      <c r="F5014" s="29" t="s">
        <v>4106</v>
      </c>
      <c r="G5014" s="29"/>
      <c r="H5014" s="29" t="s">
        <v>4107</v>
      </c>
      <c r="I5014" s="29"/>
      <c r="J5014" s="29" t="s">
        <v>4110</v>
      </c>
      <c r="K5014" s="29"/>
      <c r="L5014" s="29" t="s">
        <v>2974</v>
      </c>
      <c r="M5014" s="29"/>
      <c r="N5014" s="29" t="s">
        <v>2980</v>
      </c>
      <c r="O5014" s="29"/>
      <c r="P5014" s="29" t="s">
        <v>4897</v>
      </c>
      <c r="Q5014" t="s">
        <v>2194</v>
      </c>
      <c r="R5014" t="s">
        <v>2635</v>
      </c>
      <c r="S5014">
        <v>36</v>
      </c>
      <c r="T5014" s="43" t="str">
        <f t="shared" si="230"/>
        <v>2020.016D.R.Smacoviridae_6ngen_42nsp.zip</v>
      </c>
      <c r="U5014" s="43" t="str">
        <f>HYPERLINK("https://ictv.global/taxonomy/taxondetails?taxnode_id=202205990","ictv.global=202205990")</f>
        <v>ictv.global=202205990</v>
      </c>
    </row>
    <row r="5015" spans="1:21">
      <c r="A5015">
        <v>5014</v>
      </c>
      <c r="B5015" s="29" t="s">
        <v>4053</v>
      </c>
      <c r="C5015" s="29"/>
      <c r="D5015" s="29" t="s">
        <v>4082</v>
      </c>
      <c r="E5015" s="29"/>
      <c r="F5015" s="29" t="s">
        <v>4106</v>
      </c>
      <c r="G5015" s="29"/>
      <c r="H5015" s="29" t="s">
        <v>4107</v>
      </c>
      <c r="I5015" s="29"/>
      <c r="J5015" s="29" t="s">
        <v>4110</v>
      </c>
      <c r="K5015" s="29"/>
      <c r="L5015" s="29" t="s">
        <v>2974</v>
      </c>
      <c r="M5015" s="29"/>
      <c r="N5015" s="29" t="s">
        <v>2980</v>
      </c>
      <c r="O5015" s="29"/>
      <c r="P5015" s="29" t="s">
        <v>4898</v>
      </c>
      <c r="Q5015" t="s">
        <v>2194</v>
      </c>
      <c r="R5015" t="s">
        <v>2635</v>
      </c>
      <c r="S5015">
        <v>36</v>
      </c>
      <c r="T5015" s="43" t="str">
        <f t="shared" si="230"/>
        <v>2020.016D.R.Smacoviridae_6ngen_42nsp.zip</v>
      </c>
      <c r="U5015" s="43" t="str">
        <f>HYPERLINK("https://ictv.global/taxonomy/taxondetails?taxnode_id=202205991","ictv.global=202205991")</f>
        <v>ictv.global=202205991</v>
      </c>
    </row>
    <row r="5016" spans="1:21">
      <c r="A5016">
        <v>5015</v>
      </c>
      <c r="B5016" s="29" t="s">
        <v>4053</v>
      </c>
      <c r="C5016" s="29"/>
      <c r="D5016" s="29" t="s">
        <v>4082</v>
      </c>
      <c r="E5016" s="29"/>
      <c r="F5016" s="29" t="s">
        <v>4106</v>
      </c>
      <c r="G5016" s="29"/>
      <c r="H5016" s="29" t="s">
        <v>4107</v>
      </c>
      <c r="I5016" s="29"/>
      <c r="J5016" s="29" t="s">
        <v>4110</v>
      </c>
      <c r="K5016" s="29"/>
      <c r="L5016" s="29" t="s">
        <v>2974</v>
      </c>
      <c r="M5016" s="29"/>
      <c r="N5016" s="29" t="s">
        <v>4899</v>
      </c>
      <c r="O5016" s="29"/>
      <c r="P5016" s="29" t="s">
        <v>4900</v>
      </c>
      <c r="Q5016" t="s">
        <v>2194</v>
      </c>
      <c r="R5016" t="s">
        <v>2632</v>
      </c>
      <c r="S5016">
        <v>36</v>
      </c>
      <c r="T5016" s="43" t="str">
        <f t="shared" si="230"/>
        <v>2020.016D.R.Smacoviridae_6ngen_42nsp.zip</v>
      </c>
      <c r="U5016" s="43" t="str">
        <f>HYPERLINK("https://ictv.global/taxonomy/taxondetails?taxnode_id=202209501","ictv.global=202209501")</f>
        <v>ictv.global=202209501</v>
      </c>
    </row>
    <row r="5017" spans="1:21">
      <c r="A5017">
        <v>5016</v>
      </c>
      <c r="B5017" s="29" t="s">
        <v>4053</v>
      </c>
      <c r="C5017" s="29"/>
      <c r="D5017" s="29" t="s">
        <v>4082</v>
      </c>
      <c r="E5017" s="29"/>
      <c r="F5017" s="29" t="s">
        <v>4106</v>
      </c>
      <c r="G5017" s="29"/>
      <c r="H5017" s="29" t="s">
        <v>4107</v>
      </c>
      <c r="I5017" s="29"/>
      <c r="J5017" s="29" t="s">
        <v>4110</v>
      </c>
      <c r="K5017" s="29"/>
      <c r="L5017" s="29" t="s">
        <v>2974</v>
      </c>
      <c r="M5017" s="29"/>
      <c r="N5017" s="29" t="s">
        <v>4899</v>
      </c>
      <c r="O5017" s="29"/>
      <c r="P5017" s="29" t="s">
        <v>4901</v>
      </c>
      <c r="Q5017" t="s">
        <v>2194</v>
      </c>
      <c r="R5017" t="s">
        <v>2632</v>
      </c>
      <c r="S5017">
        <v>36</v>
      </c>
      <c r="T5017" s="43" t="str">
        <f t="shared" si="230"/>
        <v>2020.016D.R.Smacoviridae_6ngen_42nsp.zip</v>
      </c>
      <c r="U5017" s="43" t="str">
        <f>HYPERLINK("https://ictv.global/taxonomy/taxondetails?taxnode_id=202209502","ictv.global=202209502")</f>
        <v>ictv.global=202209502</v>
      </c>
    </row>
    <row r="5018" spans="1:21">
      <c r="A5018">
        <v>5017</v>
      </c>
      <c r="B5018" s="29" t="s">
        <v>4053</v>
      </c>
      <c r="C5018" s="29"/>
      <c r="D5018" s="29" t="s">
        <v>4082</v>
      </c>
      <c r="E5018" s="29"/>
      <c r="F5018" s="29" t="s">
        <v>4106</v>
      </c>
      <c r="G5018" s="29"/>
      <c r="H5018" s="29" t="s">
        <v>4107</v>
      </c>
      <c r="I5018" s="29"/>
      <c r="J5018" s="29" t="s">
        <v>4111</v>
      </c>
      <c r="K5018" s="29"/>
      <c r="L5018" s="29" t="s">
        <v>12145</v>
      </c>
      <c r="M5018" s="29"/>
      <c r="N5018" s="29" t="s">
        <v>12146</v>
      </c>
      <c r="O5018" s="29"/>
      <c r="P5018" s="29" t="s">
        <v>12147</v>
      </c>
      <c r="Q5018" t="s">
        <v>2194</v>
      </c>
      <c r="R5018" t="s">
        <v>2632</v>
      </c>
      <c r="S5018">
        <v>38</v>
      </c>
      <c r="T5018" s="43" t="str">
        <f>HYPERLINK("https://ictv.global/ictv/proposals/2022.009P.Amesuviridae_nf.zip","2022.009P.Amesuviridae_nf.zip")</f>
        <v>2022.009P.Amesuviridae_nf.zip</v>
      </c>
      <c r="U5018" s="43" t="str">
        <f>HYPERLINK("https://ictv.global/taxonomy/taxondetails?taxnode_id=202215106","ictv.global=202215106")</f>
        <v>ictv.global=202215106</v>
      </c>
    </row>
    <row r="5019" spans="1:21">
      <c r="A5019">
        <v>5018</v>
      </c>
      <c r="B5019" s="29" t="s">
        <v>4053</v>
      </c>
      <c r="C5019" s="29"/>
      <c r="D5019" s="29" t="s">
        <v>4082</v>
      </c>
      <c r="E5019" s="29"/>
      <c r="F5019" s="29" t="s">
        <v>4106</v>
      </c>
      <c r="G5019" s="29"/>
      <c r="H5019" s="29" t="s">
        <v>4107</v>
      </c>
      <c r="I5019" s="29"/>
      <c r="J5019" s="29" t="s">
        <v>4111</v>
      </c>
      <c r="K5019" s="29"/>
      <c r="L5019" s="29" t="s">
        <v>12145</v>
      </c>
      <c r="M5019" s="29"/>
      <c r="N5019" s="29" t="s">
        <v>12148</v>
      </c>
      <c r="O5019" s="29"/>
      <c r="P5019" s="29" t="s">
        <v>12149</v>
      </c>
      <c r="Q5019" t="s">
        <v>2194</v>
      </c>
      <c r="R5019" t="s">
        <v>2632</v>
      </c>
      <c r="S5019">
        <v>38</v>
      </c>
      <c r="T5019" s="43" t="str">
        <f>HYPERLINK("https://ictv.global/ictv/proposals/2022.009P.Amesuviridae_nf.zip","2022.009P.Amesuviridae_nf.zip")</f>
        <v>2022.009P.Amesuviridae_nf.zip</v>
      </c>
      <c r="U5019" s="43" t="str">
        <f>HYPERLINK("https://ictv.global/taxonomy/taxondetails?taxnode_id=202215107","ictv.global=202215107")</f>
        <v>ictv.global=202215107</v>
      </c>
    </row>
    <row r="5020" spans="1:21">
      <c r="A5020">
        <v>5019</v>
      </c>
      <c r="B5020" s="29" t="s">
        <v>4053</v>
      </c>
      <c r="C5020" s="29"/>
      <c r="D5020" s="29" t="s">
        <v>4082</v>
      </c>
      <c r="E5020" s="29"/>
      <c r="F5020" s="29" t="s">
        <v>4106</v>
      </c>
      <c r="G5020" s="29"/>
      <c r="H5020" s="29" t="s">
        <v>4107</v>
      </c>
      <c r="I5020" s="29"/>
      <c r="J5020" s="29" t="s">
        <v>4111</v>
      </c>
      <c r="K5020" s="29"/>
      <c r="L5020" s="29" t="s">
        <v>4902</v>
      </c>
      <c r="M5020" s="29"/>
      <c r="N5020" s="29" t="s">
        <v>4903</v>
      </c>
      <c r="O5020" s="29"/>
      <c r="P5020" s="29" t="s">
        <v>818</v>
      </c>
      <c r="Q5020" t="s">
        <v>2265</v>
      </c>
      <c r="R5020" t="s">
        <v>2634</v>
      </c>
      <c r="S5020">
        <v>36</v>
      </c>
      <c r="T5020" s="43" t="str">
        <f>HYPERLINK("https://ictv.global/ictv/proposals/2020.022P.R.Metaxyviridae_nf.zip","2020.022P.R.Metaxyviridae_nf.zip")</f>
        <v>2020.022P.R.Metaxyviridae_nf.zip</v>
      </c>
      <c r="U5020" s="43" t="str">
        <f>HYPERLINK("https://ictv.global/taxonomy/taxondetails?taxnode_id=202203907","ictv.global=202203907")</f>
        <v>ictv.global=202203907</v>
      </c>
    </row>
    <row r="5021" spans="1:21">
      <c r="A5021">
        <v>5020</v>
      </c>
      <c r="B5021" s="29" t="s">
        <v>4053</v>
      </c>
      <c r="C5021" s="29"/>
      <c r="D5021" s="29" t="s">
        <v>4082</v>
      </c>
      <c r="E5021" s="29"/>
      <c r="F5021" s="29" t="s">
        <v>4106</v>
      </c>
      <c r="G5021" s="29"/>
      <c r="H5021" s="29" t="s">
        <v>4107</v>
      </c>
      <c r="I5021" s="29"/>
      <c r="J5021" s="29" t="s">
        <v>4111</v>
      </c>
      <c r="K5021" s="29"/>
      <c r="L5021" s="29" t="s">
        <v>1489</v>
      </c>
      <c r="M5021" s="29"/>
      <c r="N5021" s="29" t="s">
        <v>1490</v>
      </c>
      <c r="O5021" s="29"/>
      <c r="P5021" s="29" t="s">
        <v>451</v>
      </c>
      <c r="Q5021" t="s">
        <v>2041</v>
      </c>
      <c r="R5021" t="s">
        <v>2634</v>
      </c>
      <c r="S5021">
        <v>35</v>
      </c>
      <c r="T5021" s="43" t="str">
        <f>HYPERLINK("https://ictv.global/ictv/proposals/2019.012D.zip","2019.012D.zip")</f>
        <v>2019.012D.zip</v>
      </c>
      <c r="U5021" s="43" t="str">
        <f>HYPERLINK("https://ictv.global/taxonomy/taxondetails?taxnode_id=202203894","ictv.global=202203894")</f>
        <v>ictv.global=202203894</v>
      </c>
    </row>
    <row r="5022" spans="1:21">
      <c r="A5022">
        <v>5021</v>
      </c>
      <c r="B5022" s="29" t="s">
        <v>4053</v>
      </c>
      <c r="C5022" s="29"/>
      <c r="D5022" s="29" t="s">
        <v>4082</v>
      </c>
      <c r="E5022" s="29"/>
      <c r="F5022" s="29" t="s">
        <v>4106</v>
      </c>
      <c r="G5022" s="29"/>
      <c r="H5022" s="29" t="s">
        <v>4107</v>
      </c>
      <c r="I5022" s="29"/>
      <c r="J5022" s="29" t="s">
        <v>4111</v>
      </c>
      <c r="K5022" s="29"/>
      <c r="L5022" s="29" t="s">
        <v>1489</v>
      </c>
      <c r="M5022" s="29"/>
      <c r="N5022" s="29" t="s">
        <v>1490</v>
      </c>
      <c r="O5022" s="29"/>
      <c r="P5022" s="29" t="s">
        <v>1491</v>
      </c>
      <c r="Q5022" t="s">
        <v>2041</v>
      </c>
      <c r="R5022" t="s">
        <v>6901</v>
      </c>
      <c r="S5022">
        <v>36</v>
      </c>
      <c r="T5022" s="43" t="str">
        <f>HYPERLINK("https://ictv.global/ictv/proposals/2020.001G.R.Abolish_type_species.pdf","2020.001G.R.Abolish_type_species.pdf")</f>
        <v>2020.001G.R.Abolish_type_species.pdf</v>
      </c>
      <c r="U5022" s="43" t="str">
        <f>HYPERLINK("https://ictv.global/taxonomy/taxondetails?taxnode_id=202203895","ictv.global=202203895")</f>
        <v>ictv.global=202203895</v>
      </c>
    </row>
    <row r="5023" spans="1:21">
      <c r="A5023">
        <v>5022</v>
      </c>
      <c r="B5023" s="29" t="s">
        <v>4053</v>
      </c>
      <c r="C5023" s="29"/>
      <c r="D5023" s="29" t="s">
        <v>4082</v>
      </c>
      <c r="E5023" s="29"/>
      <c r="F5023" s="29" t="s">
        <v>4106</v>
      </c>
      <c r="G5023" s="29"/>
      <c r="H5023" s="29" t="s">
        <v>4107</v>
      </c>
      <c r="I5023" s="29"/>
      <c r="J5023" s="29" t="s">
        <v>4111</v>
      </c>
      <c r="K5023" s="29"/>
      <c r="L5023" s="29" t="s">
        <v>1489</v>
      </c>
      <c r="M5023" s="29"/>
      <c r="N5023" s="29" t="s">
        <v>1490</v>
      </c>
      <c r="O5023" s="29"/>
      <c r="P5023" s="29" t="s">
        <v>452</v>
      </c>
      <c r="Q5023" t="s">
        <v>2041</v>
      </c>
      <c r="R5023" t="s">
        <v>2634</v>
      </c>
      <c r="S5023">
        <v>35</v>
      </c>
      <c r="T5023" s="43" t="str">
        <f>HYPERLINK("https://ictv.global/ictv/proposals/2019.012D.zip","2019.012D.zip")</f>
        <v>2019.012D.zip</v>
      </c>
      <c r="U5023" s="43" t="str">
        <f>HYPERLINK("https://ictv.global/taxonomy/taxondetails?taxnode_id=202203896","ictv.global=202203896")</f>
        <v>ictv.global=202203896</v>
      </c>
    </row>
    <row r="5024" spans="1:21">
      <c r="A5024">
        <v>5023</v>
      </c>
      <c r="B5024" s="29" t="s">
        <v>4053</v>
      </c>
      <c r="C5024" s="29"/>
      <c r="D5024" s="29" t="s">
        <v>4082</v>
      </c>
      <c r="E5024" s="29"/>
      <c r="F5024" s="29" t="s">
        <v>4106</v>
      </c>
      <c r="G5024" s="29"/>
      <c r="H5024" s="29" t="s">
        <v>4107</v>
      </c>
      <c r="I5024" s="29"/>
      <c r="J5024" s="29" t="s">
        <v>4111</v>
      </c>
      <c r="K5024" s="29"/>
      <c r="L5024" s="29" t="s">
        <v>1489</v>
      </c>
      <c r="M5024" s="29"/>
      <c r="N5024" s="29" t="s">
        <v>1492</v>
      </c>
      <c r="O5024" s="29"/>
      <c r="P5024" s="29" t="s">
        <v>2274</v>
      </c>
      <c r="Q5024" t="s">
        <v>2041</v>
      </c>
      <c r="R5024" t="s">
        <v>2634</v>
      </c>
      <c r="S5024">
        <v>35</v>
      </c>
      <c r="T5024" s="43" t="str">
        <f>HYPERLINK("https://ictv.global/ictv/proposals/2019.012D.zip","2019.012D.zip")</f>
        <v>2019.012D.zip</v>
      </c>
      <c r="U5024" s="43" t="str">
        <f>HYPERLINK("https://ictv.global/taxonomy/taxondetails?taxnode_id=202203898","ictv.global=202203898")</f>
        <v>ictv.global=202203898</v>
      </c>
    </row>
    <row r="5025" spans="1:21">
      <c r="A5025">
        <v>5024</v>
      </c>
      <c r="B5025" s="29" t="s">
        <v>4053</v>
      </c>
      <c r="C5025" s="29"/>
      <c r="D5025" s="29" t="s">
        <v>4082</v>
      </c>
      <c r="E5025" s="29"/>
      <c r="F5025" s="29" t="s">
        <v>4106</v>
      </c>
      <c r="G5025" s="29"/>
      <c r="H5025" s="29" t="s">
        <v>4107</v>
      </c>
      <c r="I5025" s="29"/>
      <c r="J5025" s="29" t="s">
        <v>4111</v>
      </c>
      <c r="K5025" s="29"/>
      <c r="L5025" s="29" t="s">
        <v>1489</v>
      </c>
      <c r="M5025" s="29"/>
      <c r="N5025" s="29" t="s">
        <v>1492</v>
      </c>
      <c r="O5025" s="29"/>
      <c r="P5025" s="29" t="s">
        <v>4904</v>
      </c>
      <c r="Q5025" t="s">
        <v>2265</v>
      </c>
      <c r="R5025" t="s">
        <v>2632</v>
      </c>
      <c r="S5025">
        <v>36</v>
      </c>
      <c r="T5025" s="43" t="str">
        <f>HYPERLINK("https://ictv.global/ictv/proposals/2020.023P.R.Nanoviridae_4nsp.zip","2020.023P.R.Nanoviridae_4nsp.zip")</f>
        <v>2020.023P.R.Nanoviridae_4nsp.zip</v>
      </c>
      <c r="U5025" s="43" t="str">
        <f>HYPERLINK("https://ictv.global/taxonomy/taxondetails?taxnode_id=202209658","ictv.global=202209658")</f>
        <v>ictv.global=202209658</v>
      </c>
    </row>
    <row r="5026" spans="1:21">
      <c r="A5026">
        <v>5025</v>
      </c>
      <c r="B5026" s="29" t="s">
        <v>4053</v>
      </c>
      <c r="C5026" s="29"/>
      <c r="D5026" s="29" t="s">
        <v>4082</v>
      </c>
      <c r="E5026" s="29"/>
      <c r="F5026" s="29" t="s">
        <v>4106</v>
      </c>
      <c r="G5026" s="29"/>
      <c r="H5026" s="29" t="s">
        <v>4107</v>
      </c>
      <c r="I5026" s="29"/>
      <c r="J5026" s="29" t="s">
        <v>4111</v>
      </c>
      <c r="K5026" s="29"/>
      <c r="L5026" s="29" t="s">
        <v>1489</v>
      </c>
      <c r="M5026" s="29"/>
      <c r="N5026" s="29" t="s">
        <v>1492</v>
      </c>
      <c r="O5026" s="29"/>
      <c r="P5026" s="29" t="s">
        <v>62</v>
      </c>
      <c r="Q5026" t="s">
        <v>2041</v>
      </c>
      <c r="R5026" t="s">
        <v>2634</v>
      </c>
      <c r="S5026">
        <v>35</v>
      </c>
      <c r="T5026" s="43" t="str">
        <f>HYPERLINK("https://ictv.global/ictv/proposals/2019.012D.zip","2019.012D.zip")</f>
        <v>2019.012D.zip</v>
      </c>
      <c r="U5026" s="43" t="str">
        <f>HYPERLINK("https://ictv.global/taxonomy/taxondetails?taxnode_id=202203899","ictv.global=202203899")</f>
        <v>ictv.global=202203899</v>
      </c>
    </row>
    <row r="5027" spans="1:21">
      <c r="A5027">
        <v>5026</v>
      </c>
      <c r="B5027" s="29" t="s">
        <v>4053</v>
      </c>
      <c r="C5027" s="29"/>
      <c r="D5027" s="29" t="s">
        <v>4082</v>
      </c>
      <c r="E5027" s="29"/>
      <c r="F5027" s="29" t="s">
        <v>4106</v>
      </c>
      <c r="G5027" s="29"/>
      <c r="H5027" s="29" t="s">
        <v>4107</v>
      </c>
      <c r="I5027" s="29"/>
      <c r="J5027" s="29" t="s">
        <v>4111</v>
      </c>
      <c r="K5027" s="29"/>
      <c r="L5027" s="29" t="s">
        <v>1489</v>
      </c>
      <c r="M5027" s="29"/>
      <c r="N5027" s="29" t="s">
        <v>1492</v>
      </c>
      <c r="O5027" s="29"/>
      <c r="P5027" s="29" t="s">
        <v>1207</v>
      </c>
      <c r="Q5027" t="s">
        <v>2041</v>
      </c>
      <c r="R5027" t="s">
        <v>2634</v>
      </c>
      <c r="S5027">
        <v>35</v>
      </c>
      <c r="T5027" s="43" t="str">
        <f>HYPERLINK("https://ictv.global/ictv/proposals/2019.012D.zip","2019.012D.zip")</f>
        <v>2019.012D.zip</v>
      </c>
      <c r="U5027" s="43" t="str">
        <f>HYPERLINK("https://ictv.global/taxonomy/taxondetails?taxnode_id=202203900","ictv.global=202203900")</f>
        <v>ictv.global=202203900</v>
      </c>
    </row>
    <row r="5028" spans="1:21">
      <c r="A5028">
        <v>5027</v>
      </c>
      <c r="B5028" s="29" t="s">
        <v>4053</v>
      </c>
      <c r="C5028" s="29"/>
      <c r="D5028" s="29" t="s">
        <v>4082</v>
      </c>
      <c r="E5028" s="29"/>
      <c r="F5028" s="29" t="s">
        <v>4106</v>
      </c>
      <c r="G5028" s="29"/>
      <c r="H5028" s="29" t="s">
        <v>4107</v>
      </c>
      <c r="I5028" s="29"/>
      <c r="J5028" s="29" t="s">
        <v>4111</v>
      </c>
      <c r="K5028" s="29"/>
      <c r="L5028" s="29" t="s">
        <v>1489</v>
      </c>
      <c r="M5028" s="29"/>
      <c r="N5028" s="29" t="s">
        <v>1492</v>
      </c>
      <c r="O5028" s="29"/>
      <c r="P5028" s="29" t="s">
        <v>1689</v>
      </c>
      <c r="Q5028" t="s">
        <v>2041</v>
      </c>
      <c r="R5028" t="s">
        <v>2634</v>
      </c>
      <c r="S5028">
        <v>35</v>
      </c>
      <c r="T5028" s="43" t="str">
        <f>HYPERLINK("https://ictv.global/ictv/proposals/2019.012D.zip","2019.012D.zip")</f>
        <v>2019.012D.zip</v>
      </c>
      <c r="U5028" s="43" t="str">
        <f>HYPERLINK("https://ictv.global/taxonomy/taxondetails?taxnode_id=202203901","ictv.global=202203901")</f>
        <v>ictv.global=202203901</v>
      </c>
    </row>
    <row r="5029" spans="1:21">
      <c r="A5029">
        <v>5028</v>
      </c>
      <c r="B5029" s="29" t="s">
        <v>4053</v>
      </c>
      <c r="C5029" s="29"/>
      <c r="D5029" s="29" t="s">
        <v>4082</v>
      </c>
      <c r="E5029" s="29"/>
      <c r="F5029" s="29" t="s">
        <v>4106</v>
      </c>
      <c r="G5029" s="29"/>
      <c r="H5029" s="29" t="s">
        <v>4107</v>
      </c>
      <c r="I5029" s="29"/>
      <c r="J5029" s="29" t="s">
        <v>4111</v>
      </c>
      <c r="K5029" s="29"/>
      <c r="L5029" s="29" t="s">
        <v>1489</v>
      </c>
      <c r="M5029" s="29"/>
      <c r="N5029" s="29" t="s">
        <v>1492</v>
      </c>
      <c r="O5029" s="29"/>
      <c r="P5029" s="29" t="s">
        <v>816</v>
      </c>
      <c r="Q5029" t="s">
        <v>2041</v>
      </c>
      <c r="R5029" t="s">
        <v>2634</v>
      </c>
      <c r="S5029">
        <v>35</v>
      </c>
      <c r="T5029" s="43" t="str">
        <f>HYPERLINK("https://ictv.global/ictv/proposals/2019.012D.zip","2019.012D.zip")</f>
        <v>2019.012D.zip</v>
      </c>
      <c r="U5029" s="43" t="str">
        <f>HYPERLINK("https://ictv.global/taxonomy/taxondetails?taxnode_id=202203902","ictv.global=202203902")</f>
        <v>ictv.global=202203902</v>
      </c>
    </row>
    <row r="5030" spans="1:21">
      <c r="A5030">
        <v>5029</v>
      </c>
      <c r="B5030" s="29" t="s">
        <v>4053</v>
      </c>
      <c r="C5030" s="29"/>
      <c r="D5030" s="29" t="s">
        <v>4082</v>
      </c>
      <c r="E5030" s="29"/>
      <c r="F5030" s="29" t="s">
        <v>4106</v>
      </c>
      <c r="G5030" s="29"/>
      <c r="H5030" s="29" t="s">
        <v>4107</v>
      </c>
      <c r="I5030" s="29"/>
      <c r="J5030" s="29" t="s">
        <v>4111</v>
      </c>
      <c r="K5030" s="29"/>
      <c r="L5030" s="29" t="s">
        <v>1489</v>
      </c>
      <c r="M5030" s="29"/>
      <c r="N5030" s="29" t="s">
        <v>1492</v>
      </c>
      <c r="O5030" s="29"/>
      <c r="P5030" s="29" t="s">
        <v>4905</v>
      </c>
      <c r="Q5030" t="s">
        <v>2265</v>
      </c>
      <c r="R5030" t="s">
        <v>2632</v>
      </c>
      <c r="S5030">
        <v>36</v>
      </c>
      <c r="T5030" s="43" t="str">
        <f>HYPERLINK("https://ictv.global/ictv/proposals/2020.023P.R.Nanoviridae_4nsp.zip","2020.023P.R.Nanoviridae_4nsp.zip")</f>
        <v>2020.023P.R.Nanoviridae_4nsp.zip</v>
      </c>
      <c r="U5030" s="43" t="str">
        <f>HYPERLINK("https://ictv.global/taxonomy/taxondetails?taxnode_id=202209659","ictv.global=202209659")</f>
        <v>ictv.global=202209659</v>
      </c>
    </row>
    <row r="5031" spans="1:21">
      <c r="A5031">
        <v>5030</v>
      </c>
      <c r="B5031" s="29" t="s">
        <v>4053</v>
      </c>
      <c r="C5031" s="29"/>
      <c r="D5031" s="29" t="s">
        <v>4082</v>
      </c>
      <c r="E5031" s="29"/>
      <c r="F5031" s="29" t="s">
        <v>4106</v>
      </c>
      <c r="G5031" s="29"/>
      <c r="H5031" s="29" t="s">
        <v>4107</v>
      </c>
      <c r="I5031" s="29"/>
      <c r="J5031" s="29" t="s">
        <v>4111</v>
      </c>
      <c r="K5031" s="29"/>
      <c r="L5031" s="29" t="s">
        <v>1489</v>
      </c>
      <c r="M5031" s="29"/>
      <c r="N5031" s="29" t="s">
        <v>1492</v>
      </c>
      <c r="O5031" s="29"/>
      <c r="P5031" s="29" t="s">
        <v>63</v>
      </c>
      <c r="Q5031" t="s">
        <v>2041</v>
      </c>
      <c r="R5031" t="s">
        <v>2634</v>
      </c>
      <c r="S5031">
        <v>35</v>
      </c>
      <c r="T5031" s="43" t="str">
        <f>HYPERLINK("https://ictv.global/ictv/proposals/2019.012D.zip","2019.012D.zip")</f>
        <v>2019.012D.zip</v>
      </c>
      <c r="U5031" s="43" t="str">
        <f>HYPERLINK("https://ictv.global/taxonomy/taxondetails?taxnode_id=202203903","ictv.global=202203903")</f>
        <v>ictv.global=202203903</v>
      </c>
    </row>
    <row r="5032" spans="1:21">
      <c r="A5032">
        <v>5031</v>
      </c>
      <c r="B5032" s="29" t="s">
        <v>4053</v>
      </c>
      <c r="C5032" s="29"/>
      <c r="D5032" s="29" t="s">
        <v>4082</v>
      </c>
      <c r="E5032" s="29"/>
      <c r="F5032" s="29" t="s">
        <v>4106</v>
      </c>
      <c r="G5032" s="29"/>
      <c r="H5032" s="29" t="s">
        <v>4107</v>
      </c>
      <c r="I5032" s="29"/>
      <c r="J5032" s="29" t="s">
        <v>4111</v>
      </c>
      <c r="K5032" s="29"/>
      <c r="L5032" s="29" t="s">
        <v>1489</v>
      </c>
      <c r="M5032" s="29"/>
      <c r="N5032" s="29" t="s">
        <v>1492</v>
      </c>
      <c r="O5032" s="29"/>
      <c r="P5032" s="29" t="s">
        <v>2275</v>
      </c>
      <c r="Q5032" t="s">
        <v>2041</v>
      </c>
      <c r="R5032" t="s">
        <v>2634</v>
      </c>
      <c r="S5032">
        <v>35</v>
      </c>
      <c r="T5032" s="43" t="str">
        <f>HYPERLINK("https://ictv.global/ictv/proposals/2019.012D.zip","2019.012D.zip")</f>
        <v>2019.012D.zip</v>
      </c>
      <c r="U5032" s="43" t="str">
        <f>HYPERLINK("https://ictv.global/taxonomy/taxondetails?taxnode_id=202203904","ictv.global=202203904")</f>
        <v>ictv.global=202203904</v>
      </c>
    </row>
    <row r="5033" spans="1:21">
      <c r="A5033">
        <v>5032</v>
      </c>
      <c r="B5033" s="29" t="s">
        <v>4053</v>
      </c>
      <c r="C5033" s="29"/>
      <c r="D5033" s="29" t="s">
        <v>4082</v>
      </c>
      <c r="E5033" s="29"/>
      <c r="F5033" s="29" t="s">
        <v>4106</v>
      </c>
      <c r="G5033" s="29"/>
      <c r="H5033" s="29" t="s">
        <v>4107</v>
      </c>
      <c r="I5033" s="29"/>
      <c r="J5033" s="29" t="s">
        <v>4111</v>
      </c>
      <c r="K5033" s="29"/>
      <c r="L5033" s="29" t="s">
        <v>1489</v>
      </c>
      <c r="M5033" s="29"/>
      <c r="N5033" s="29" t="s">
        <v>1492</v>
      </c>
      <c r="O5033" s="29"/>
      <c r="P5033" s="29" t="s">
        <v>4906</v>
      </c>
      <c r="Q5033" t="s">
        <v>2265</v>
      </c>
      <c r="R5033" t="s">
        <v>2632</v>
      </c>
      <c r="S5033">
        <v>36</v>
      </c>
      <c r="T5033" s="43" t="str">
        <f>HYPERLINK("https://ictv.global/ictv/proposals/2020.023P.R.Nanoviridae_4nsp.zip","2020.023P.R.Nanoviridae_4nsp.zip")</f>
        <v>2020.023P.R.Nanoviridae_4nsp.zip</v>
      </c>
      <c r="U5033" s="43" t="str">
        <f>HYPERLINK("https://ictv.global/taxonomy/taxondetails?taxnode_id=202209660","ictv.global=202209660")</f>
        <v>ictv.global=202209660</v>
      </c>
    </row>
    <row r="5034" spans="1:21">
      <c r="A5034">
        <v>5033</v>
      </c>
      <c r="B5034" s="29" t="s">
        <v>4053</v>
      </c>
      <c r="C5034" s="29"/>
      <c r="D5034" s="29" t="s">
        <v>4082</v>
      </c>
      <c r="E5034" s="29"/>
      <c r="F5034" s="29" t="s">
        <v>4106</v>
      </c>
      <c r="G5034" s="29"/>
      <c r="H5034" s="29" t="s">
        <v>4107</v>
      </c>
      <c r="I5034" s="29"/>
      <c r="J5034" s="29" t="s">
        <v>4111</v>
      </c>
      <c r="K5034" s="29"/>
      <c r="L5034" s="29" t="s">
        <v>1489</v>
      </c>
      <c r="M5034" s="29"/>
      <c r="N5034" s="29" t="s">
        <v>1492</v>
      </c>
      <c r="O5034" s="29"/>
      <c r="P5034" s="29" t="s">
        <v>817</v>
      </c>
      <c r="Q5034" t="s">
        <v>2041</v>
      </c>
      <c r="R5034" t="s">
        <v>6901</v>
      </c>
      <c r="S5034">
        <v>36</v>
      </c>
      <c r="T5034" s="43" t="str">
        <f>HYPERLINK("https://ictv.global/ictv/proposals/2020.001G.R.Abolish_type_species.pdf","2020.001G.R.Abolish_type_species.pdf")</f>
        <v>2020.001G.R.Abolish_type_species.pdf</v>
      </c>
      <c r="U5034" s="43" t="str">
        <f>HYPERLINK("https://ictv.global/taxonomy/taxondetails?taxnode_id=202203905","ictv.global=202203905")</f>
        <v>ictv.global=202203905</v>
      </c>
    </row>
    <row r="5035" spans="1:21">
      <c r="A5035">
        <v>5034</v>
      </c>
      <c r="B5035" s="29" t="s">
        <v>4053</v>
      </c>
      <c r="C5035" s="29"/>
      <c r="D5035" s="29" t="s">
        <v>4082</v>
      </c>
      <c r="E5035" s="29"/>
      <c r="F5035" s="29" t="s">
        <v>4106</v>
      </c>
      <c r="G5035" s="29"/>
      <c r="H5035" s="29" t="s">
        <v>4107</v>
      </c>
      <c r="I5035" s="29"/>
      <c r="J5035" s="29" t="s">
        <v>4112</v>
      </c>
      <c r="K5035" s="29"/>
      <c r="L5035" s="29" t="s">
        <v>4113</v>
      </c>
      <c r="M5035" s="29"/>
      <c r="N5035" s="29" t="s">
        <v>4114</v>
      </c>
      <c r="O5035" s="29"/>
      <c r="P5035" s="29" t="s">
        <v>4115</v>
      </c>
      <c r="Q5035" t="s">
        <v>2041</v>
      </c>
      <c r="R5035" t="s">
        <v>6901</v>
      </c>
      <c r="S5035">
        <v>36</v>
      </c>
      <c r="T5035" s="43" t="str">
        <f>HYPERLINK("https://ictv.global/ictv/proposals/2020.001G.R.Abolish_type_species.pdf","2020.001G.R.Abolish_type_species.pdf")</f>
        <v>2020.001G.R.Abolish_type_species.pdf</v>
      </c>
      <c r="U5035" s="43" t="str">
        <f>HYPERLINK("https://ictv.global/taxonomy/taxondetails?taxnode_id=202207364","ictv.global=202207364")</f>
        <v>ictv.global=202207364</v>
      </c>
    </row>
    <row r="5036" spans="1:21">
      <c r="A5036">
        <v>5035</v>
      </c>
      <c r="B5036" s="29" t="s">
        <v>4053</v>
      </c>
      <c r="C5036" s="29"/>
      <c r="D5036" s="29" t="s">
        <v>4082</v>
      </c>
      <c r="E5036" s="29"/>
      <c r="F5036" s="29" t="s">
        <v>4106</v>
      </c>
      <c r="G5036" s="29"/>
      <c r="H5036" s="29" t="s">
        <v>4107</v>
      </c>
      <c r="I5036" s="29"/>
      <c r="J5036" s="29" t="s">
        <v>4112</v>
      </c>
      <c r="K5036" s="29"/>
      <c r="L5036" s="29" t="s">
        <v>4113</v>
      </c>
      <c r="M5036" s="29"/>
      <c r="N5036" s="29" t="s">
        <v>4114</v>
      </c>
      <c r="O5036" s="29"/>
      <c r="P5036" s="29" t="s">
        <v>4116</v>
      </c>
      <c r="Q5036" t="s">
        <v>2041</v>
      </c>
      <c r="R5036" t="s">
        <v>2632</v>
      </c>
      <c r="S5036">
        <v>35</v>
      </c>
      <c r="T5036" s="43" t="str">
        <f>HYPERLINK("https://ictv.global/ictv/proposals/2019.011D.zip","2019.011D.zip")</f>
        <v>2019.011D.zip</v>
      </c>
      <c r="U5036" s="43" t="str">
        <f>HYPERLINK("https://ictv.global/taxonomy/taxondetails?taxnode_id=202207365","ictv.global=202207365")</f>
        <v>ictv.global=202207365</v>
      </c>
    </row>
    <row r="5037" spans="1:21">
      <c r="A5037">
        <v>5036</v>
      </c>
      <c r="B5037" s="29" t="s">
        <v>4053</v>
      </c>
      <c r="C5037" s="29"/>
      <c r="D5037" s="29" t="s">
        <v>4082</v>
      </c>
      <c r="E5037" s="29"/>
      <c r="F5037" s="29" t="s">
        <v>4106</v>
      </c>
      <c r="G5037" s="29"/>
      <c r="H5037" s="29" t="s">
        <v>4107</v>
      </c>
      <c r="I5037" s="29"/>
      <c r="J5037" s="29" t="s">
        <v>12150</v>
      </c>
      <c r="K5037" s="29"/>
      <c r="L5037" s="29" t="s">
        <v>12151</v>
      </c>
      <c r="M5037" s="29"/>
      <c r="N5037" s="29" t="s">
        <v>12152</v>
      </c>
      <c r="O5037" s="29"/>
      <c r="P5037" s="29" t="s">
        <v>12153</v>
      </c>
      <c r="Q5037" t="s">
        <v>2194</v>
      </c>
      <c r="R5037" t="s">
        <v>2632</v>
      </c>
      <c r="S5037">
        <v>37</v>
      </c>
      <c r="T5037" s="43" t="str">
        <f t="shared" ref="T5037:T5047" si="231">HYPERLINK("https://ictv.global/ictv/proposals/2021.010F.R.Cressdna_2neword_3newfam_21newgen.zip","2021.010F.R.Cressdna_2neword_3newfam_21newgen.zip")</f>
        <v>2021.010F.R.Cressdna_2neword_3newfam_21newgen.zip</v>
      </c>
      <c r="U5037" s="43" t="str">
        <f>HYPERLINK("https://ictv.global/taxonomy/taxondetails?taxnode_id=202213285","ictv.global=202213285")</f>
        <v>ictv.global=202213285</v>
      </c>
    </row>
    <row r="5038" spans="1:21">
      <c r="A5038">
        <v>5037</v>
      </c>
      <c r="B5038" s="29" t="s">
        <v>4053</v>
      </c>
      <c r="C5038" s="29"/>
      <c r="D5038" s="29" t="s">
        <v>4082</v>
      </c>
      <c r="E5038" s="29"/>
      <c r="F5038" s="29" t="s">
        <v>4106</v>
      </c>
      <c r="G5038" s="29"/>
      <c r="H5038" s="29" t="s">
        <v>4107</v>
      </c>
      <c r="I5038" s="29"/>
      <c r="J5038" s="29" t="s">
        <v>12150</v>
      </c>
      <c r="K5038" s="29"/>
      <c r="L5038" s="29" t="s">
        <v>12151</v>
      </c>
      <c r="M5038" s="29"/>
      <c r="N5038" s="29" t="s">
        <v>12154</v>
      </c>
      <c r="O5038" s="29"/>
      <c r="P5038" s="29" t="s">
        <v>12155</v>
      </c>
      <c r="Q5038" t="s">
        <v>2194</v>
      </c>
      <c r="R5038" t="s">
        <v>2632</v>
      </c>
      <c r="S5038">
        <v>37</v>
      </c>
      <c r="T5038" s="43" t="str">
        <f t="shared" si="231"/>
        <v>2021.010F.R.Cressdna_2neword_3newfam_21newgen.zip</v>
      </c>
      <c r="U5038" s="43" t="str">
        <f>HYPERLINK("https://ictv.global/taxonomy/taxondetails?taxnode_id=202213287","ictv.global=202213287")</f>
        <v>ictv.global=202213287</v>
      </c>
    </row>
    <row r="5039" spans="1:21">
      <c r="A5039">
        <v>5038</v>
      </c>
      <c r="B5039" s="29" t="s">
        <v>4053</v>
      </c>
      <c r="C5039" s="29"/>
      <c r="D5039" s="29" t="s">
        <v>4082</v>
      </c>
      <c r="E5039" s="29"/>
      <c r="F5039" s="29" t="s">
        <v>4106</v>
      </c>
      <c r="G5039" s="29"/>
      <c r="H5039" s="29" t="s">
        <v>4107</v>
      </c>
      <c r="I5039" s="29"/>
      <c r="J5039" s="29" t="s">
        <v>12150</v>
      </c>
      <c r="K5039" s="29"/>
      <c r="L5039" s="29" t="s">
        <v>12151</v>
      </c>
      <c r="M5039" s="29"/>
      <c r="N5039" s="29" t="s">
        <v>12156</v>
      </c>
      <c r="O5039" s="29"/>
      <c r="P5039" s="29" t="s">
        <v>12157</v>
      </c>
      <c r="Q5039" t="s">
        <v>2194</v>
      </c>
      <c r="R5039" t="s">
        <v>2632</v>
      </c>
      <c r="S5039">
        <v>37</v>
      </c>
      <c r="T5039" s="43" t="str">
        <f t="shared" si="231"/>
        <v>2021.010F.R.Cressdna_2neword_3newfam_21newgen.zip</v>
      </c>
      <c r="U5039" s="43" t="str">
        <f>HYPERLINK("https://ictv.global/taxonomy/taxondetails?taxnode_id=202213290","ictv.global=202213290")</f>
        <v>ictv.global=202213290</v>
      </c>
    </row>
    <row r="5040" spans="1:21">
      <c r="A5040">
        <v>5039</v>
      </c>
      <c r="B5040" s="29" t="s">
        <v>4053</v>
      </c>
      <c r="C5040" s="29"/>
      <c r="D5040" s="29" t="s">
        <v>4082</v>
      </c>
      <c r="E5040" s="29"/>
      <c r="F5040" s="29" t="s">
        <v>4106</v>
      </c>
      <c r="G5040" s="29"/>
      <c r="H5040" s="29" t="s">
        <v>4107</v>
      </c>
      <c r="I5040" s="29"/>
      <c r="J5040" s="29" t="s">
        <v>12150</v>
      </c>
      <c r="K5040" s="29"/>
      <c r="L5040" s="29" t="s">
        <v>12151</v>
      </c>
      <c r="M5040" s="29"/>
      <c r="N5040" s="29" t="s">
        <v>12156</v>
      </c>
      <c r="O5040" s="29"/>
      <c r="P5040" s="29" t="s">
        <v>12158</v>
      </c>
      <c r="Q5040" t="s">
        <v>2194</v>
      </c>
      <c r="R5040" t="s">
        <v>2632</v>
      </c>
      <c r="S5040">
        <v>37</v>
      </c>
      <c r="T5040" s="43" t="str">
        <f t="shared" si="231"/>
        <v>2021.010F.R.Cressdna_2neword_3newfam_21newgen.zip</v>
      </c>
      <c r="U5040" s="43" t="str">
        <f>HYPERLINK("https://ictv.global/taxonomy/taxondetails?taxnode_id=202213289","ictv.global=202213289")</f>
        <v>ictv.global=202213289</v>
      </c>
    </row>
    <row r="5041" spans="1:21">
      <c r="A5041">
        <v>5040</v>
      </c>
      <c r="B5041" s="29" t="s">
        <v>4053</v>
      </c>
      <c r="C5041" s="29"/>
      <c r="D5041" s="29" t="s">
        <v>4082</v>
      </c>
      <c r="E5041" s="29"/>
      <c r="F5041" s="29" t="s">
        <v>4106</v>
      </c>
      <c r="G5041" s="29"/>
      <c r="H5041" s="29" t="s">
        <v>4107</v>
      </c>
      <c r="I5041" s="29"/>
      <c r="J5041" s="29" t="s">
        <v>12150</v>
      </c>
      <c r="K5041" s="29"/>
      <c r="L5041" s="29" t="s">
        <v>12151</v>
      </c>
      <c r="M5041" s="29"/>
      <c r="N5041" s="29" t="s">
        <v>12159</v>
      </c>
      <c r="O5041" s="29"/>
      <c r="P5041" s="29" t="s">
        <v>12160</v>
      </c>
      <c r="Q5041" t="s">
        <v>2194</v>
      </c>
      <c r="R5041" t="s">
        <v>2632</v>
      </c>
      <c r="S5041">
        <v>37</v>
      </c>
      <c r="T5041" s="43" t="str">
        <f t="shared" si="231"/>
        <v>2021.010F.R.Cressdna_2neword_3newfam_21newgen.zip</v>
      </c>
      <c r="U5041" s="43" t="str">
        <f>HYPERLINK("https://ictv.global/taxonomy/taxondetails?taxnode_id=202213292","ictv.global=202213292")</f>
        <v>ictv.global=202213292</v>
      </c>
    </row>
    <row r="5042" spans="1:21">
      <c r="A5042">
        <v>5041</v>
      </c>
      <c r="B5042" s="29" t="s">
        <v>4053</v>
      </c>
      <c r="C5042" s="29"/>
      <c r="D5042" s="29" t="s">
        <v>4082</v>
      </c>
      <c r="E5042" s="29"/>
      <c r="F5042" s="29" t="s">
        <v>4106</v>
      </c>
      <c r="G5042" s="29"/>
      <c r="H5042" s="29" t="s">
        <v>4107</v>
      </c>
      <c r="I5042" s="29"/>
      <c r="J5042" s="29" t="s">
        <v>12161</v>
      </c>
      <c r="K5042" s="29"/>
      <c r="L5042" s="29" t="s">
        <v>12162</v>
      </c>
      <c r="M5042" s="29"/>
      <c r="N5042" s="29" t="s">
        <v>12163</v>
      </c>
      <c r="O5042" s="29"/>
      <c r="P5042" s="29" t="s">
        <v>12164</v>
      </c>
      <c r="Q5042" t="s">
        <v>2194</v>
      </c>
      <c r="R5042" t="s">
        <v>2632</v>
      </c>
      <c r="S5042">
        <v>37</v>
      </c>
      <c r="T5042" s="43" t="str">
        <f t="shared" si="231"/>
        <v>2021.010F.R.Cressdna_2neword_3newfam_21newgen.zip</v>
      </c>
      <c r="U5042" s="43" t="str">
        <f>HYPERLINK("https://ictv.global/taxonomy/taxondetails?taxnode_id=202213296","ictv.global=202213296")</f>
        <v>ictv.global=202213296</v>
      </c>
    </row>
    <row r="5043" spans="1:21">
      <c r="A5043">
        <v>5042</v>
      </c>
      <c r="B5043" s="29" t="s">
        <v>4053</v>
      </c>
      <c r="C5043" s="29"/>
      <c r="D5043" s="29" t="s">
        <v>4082</v>
      </c>
      <c r="E5043" s="29"/>
      <c r="F5043" s="29" t="s">
        <v>4106</v>
      </c>
      <c r="G5043" s="29"/>
      <c r="H5043" s="29" t="s">
        <v>4107</v>
      </c>
      <c r="I5043" s="29"/>
      <c r="J5043" s="29" t="s">
        <v>12161</v>
      </c>
      <c r="K5043" s="29"/>
      <c r="L5043" s="29" t="s">
        <v>12162</v>
      </c>
      <c r="M5043" s="29"/>
      <c r="N5043" s="29" t="s">
        <v>12165</v>
      </c>
      <c r="O5043" s="29"/>
      <c r="P5043" s="29" t="s">
        <v>12166</v>
      </c>
      <c r="Q5043" t="s">
        <v>2194</v>
      </c>
      <c r="R5043" t="s">
        <v>2632</v>
      </c>
      <c r="S5043">
        <v>37</v>
      </c>
      <c r="T5043" s="43" t="str">
        <f t="shared" si="231"/>
        <v>2021.010F.R.Cressdna_2neword_3newfam_21newgen.zip</v>
      </c>
      <c r="U5043" s="43" t="str">
        <f>HYPERLINK("https://ictv.global/taxonomy/taxondetails?taxnode_id=202213298","ictv.global=202213298")</f>
        <v>ictv.global=202213298</v>
      </c>
    </row>
    <row r="5044" spans="1:21">
      <c r="A5044">
        <v>5043</v>
      </c>
      <c r="B5044" s="29" t="s">
        <v>4053</v>
      </c>
      <c r="C5044" s="29"/>
      <c r="D5044" s="29" t="s">
        <v>4082</v>
      </c>
      <c r="E5044" s="29"/>
      <c r="F5044" s="29" t="s">
        <v>4106</v>
      </c>
      <c r="G5044" s="29"/>
      <c r="H5044" s="29" t="s">
        <v>4107</v>
      </c>
      <c r="I5044" s="29"/>
      <c r="J5044" s="29" t="s">
        <v>12161</v>
      </c>
      <c r="K5044" s="29"/>
      <c r="L5044" s="29" t="s">
        <v>12162</v>
      </c>
      <c r="M5044" s="29"/>
      <c r="N5044" s="29" t="s">
        <v>12167</v>
      </c>
      <c r="O5044" s="29"/>
      <c r="P5044" s="29" t="s">
        <v>12168</v>
      </c>
      <c r="Q5044" t="s">
        <v>2194</v>
      </c>
      <c r="R5044" t="s">
        <v>2632</v>
      </c>
      <c r="S5044">
        <v>37</v>
      </c>
      <c r="T5044" s="43" t="str">
        <f t="shared" si="231"/>
        <v>2021.010F.R.Cressdna_2neword_3newfam_21newgen.zip</v>
      </c>
      <c r="U5044" s="43" t="str">
        <f>HYPERLINK("https://ictv.global/taxonomy/taxondetails?taxnode_id=202213300","ictv.global=202213300")</f>
        <v>ictv.global=202213300</v>
      </c>
    </row>
    <row r="5045" spans="1:21">
      <c r="A5045">
        <v>5044</v>
      </c>
      <c r="B5045" s="29" t="s">
        <v>4053</v>
      </c>
      <c r="C5045" s="29"/>
      <c r="D5045" s="29" t="s">
        <v>4082</v>
      </c>
      <c r="E5045" s="29"/>
      <c r="F5045" s="29" t="s">
        <v>4106</v>
      </c>
      <c r="G5045" s="29"/>
      <c r="H5045" s="29" t="s">
        <v>4107</v>
      </c>
      <c r="I5045" s="29"/>
      <c r="J5045" s="29" t="s">
        <v>12161</v>
      </c>
      <c r="K5045" s="29"/>
      <c r="L5045" s="29" t="s">
        <v>12162</v>
      </c>
      <c r="M5045" s="29"/>
      <c r="N5045" s="29" t="s">
        <v>12169</v>
      </c>
      <c r="O5045" s="29"/>
      <c r="P5045" s="29" t="s">
        <v>12170</v>
      </c>
      <c r="Q5045" t="s">
        <v>2194</v>
      </c>
      <c r="R5045" t="s">
        <v>2632</v>
      </c>
      <c r="S5045">
        <v>37</v>
      </c>
      <c r="T5045" s="43" t="str">
        <f t="shared" si="231"/>
        <v>2021.010F.R.Cressdna_2neword_3newfam_21newgen.zip</v>
      </c>
      <c r="U5045" s="43" t="str">
        <f>HYPERLINK("https://ictv.global/taxonomy/taxondetails?taxnode_id=202213302","ictv.global=202213302")</f>
        <v>ictv.global=202213302</v>
      </c>
    </row>
    <row r="5046" spans="1:21">
      <c r="A5046">
        <v>5045</v>
      </c>
      <c r="B5046" s="29" t="s">
        <v>4053</v>
      </c>
      <c r="C5046" s="29"/>
      <c r="D5046" s="29" t="s">
        <v>4082</v>
      </c>
      <c r="E5046" s="29"/>
      <c r="F5046" s="29" t="s">
        <v>4106</v>
      </c>
      <c r="G5046" s="29"/>
      <c r="H5046" s="29" t="s">
        <v>4107</v>
      </c>
      <c r="I5046" s="29"/>
      <c r="J5046" s="29" t="s">
        <v>12161</v>
      </c>
      <c r="K5046" s="29"/>
      <c r="L5046" s="29" t="s">
        <v>12162</v>
      </c>
      <c r="M5046" s="29"/>
      <c r="N5046" s="29" t="s">
        <v>12171</v>
      </c>
      <c r="O5046" s="29"/>
      <c r="P5046" s="29" t="s">
        <v>12172</v>
      </c>
      <c r="Q5046" t="s">
        <v>2194</v>
      </c>
      <c r="R5046" t="s">
        <v>2632</v>
      </c>
      <c r="S5046">
        <v>37</v>
      </c>
      <c r="T5046" s="43" t="str">
        <f t="shared" si="231"/>
        <v>2021.010F.R.Cressdna_2neword_3newfam_21newgen.zip</v>
      </c>
      <c r="U5046" s="43" t="str">
        <f>HYPERLINK("https://ictv.global/taxonomy/taxondetails?taxnode_id=202213304","ictv.global=202213304")</f>
        <v>ictv.global=202213304</v>
      </c>
    </row>
    <row r="5047" spans="1:21">
      <c r="A5047">
        <v>5046</v>
      </c>
      <c r="B5047" s="29" t="s">
        <v>4053</v>
      </c>
      <c r="C5047" s="29"/>
      <c r="D5047" s="29" t="s">
        <v>4082</v>
      </c>
      <c r="E5047" s="29"/>
      <c r="F5047" s="29" t="s">
        <v>4106</v>
      </c>
      <c r="G5047" s="29"/>
      <c r="H5047" s="29" t="s">
        <v>4107</v>
      </c>
      <c r="I5047" s="29"/>
      <c r="J5047" s="29" t="s">
        <v>12161</v>
      </c>
      <c r="K5047" s="29"/>
      <c r="L5047" s="29" t="s">
        <v>12162</v>
      </c>
      <c r="M5047" s="29"/>
      <c r="N5047" s="29" t="s">
        <v>12171</v>
      </c>
      <c r="O5047" s="29"/>
      <c r="P5047" s="29" t="s">
        <v>12173</v>
      </c>
      <c r="Q5047" t="s">
        <v>2194</v>
      </c>
      <c r="R5047" t="s">
        <v>2632</v>
      </c>
      <c r="S5047">
        <v>37</v>
      </c>
      <c r="T5047" s="43" t="str">
        <f t="shared" si="231"/>
        <v>2021.010F.R.Cressdna_2neword_3newfam_21newgen.zip</v>
      </c>
      <c r="U5047" s="43" t="str">
        <f>HYPERLINK("https://ictv.global/taxonomy/taxondetails?taxnode_id=202213305","ictv.global=202213305")</f>
        <v>ictv.global=202213305</v>
      </c>
    </row>
    <row r="5048" spans="1:21">
      <c r="A5048">
        <v>5047</v>
      </c>
      <c r="B5048" s="29" t="s">
        <v>4053</v>
      </c>
      <c r="C5048" s="29"/>
      <c r="D5048" s="29" t="s">
        <v>4082</v>
      </c>
      <c r="E5048" s="29"/>
      <c r="F5048" s="29" t="s">
        <v>4106</v>
      </c>
      <c r="G5048" s="29"/>
      <c r="H5048" s="29" t="s">
        <v>4117</v>
      </c>
      <c r="I5048" s="29"/>
      <c r="J5048" s="29" t="s">
        <v>4118</v>
      </c>
      <c r="K5048" s="29"/>
      <c r="L5048" s="29" t="s">
        <v>1546</v>
      </c>
      <c r="M5048" s="29"/>
      <c r="N5048" s="29" t="s">
        <v>1665</v>
      </c>
      <c r="O5048" s="29"/>
      <c r="P5048" s="29" t="s">
        <v>1597</v>
      </c>
      <c r="Q5048" t="s">
        <v>2041</v>
      </c>
      <c r="R5048" t="s">
        <v>6901</v>
      </c>
      <c r="S5048">
        <v>36</v>
      </c>
      <c r="T5048" s="43" t="str">
        <f>HYPERLINK("https://ictv.global/ictv/proposals/2020.001G.R.Abolish_type_species.pdf","2020.001G.R.Abolish_type_species.pdf")</f>
        <v>2020.001G.R.Abolish_type_species.pdf</v>
      </c>
      <c r="U5048" s="43" t="str">
        <f>HYPERLINK("https://ictv.global/taxonomy/taxondetails?taxnode_id=202203172","ictv.global=202203172")</f>
        <v>ictv.global=202203172</v>
      </c>
    </row>
    <row r="5049" spans="1:21">
      <c r="A5049">
        <v>5048</v>
      </c>
      <c r="B5049" s="29" t="s">
        <v>4053</v>
      </c>
      <c r="C5049" s="29"/>
      <c r="D5049" s="29" t="s">
        <v>4082</v>
      </c>
      <c r="E5049" s="29"/>
      <c r="F5049" s="29" t="s">
        <v>4106</v>
      </c>
      <c r="G5049" s="29"/>
      <c r="H5049" s="29" t="s">
        <v>4117</v>
      </c>
      <c r="I5049" s="29"/>
      <c r="J5049" s="29" t="s">
        <v>4118</v>
      </c>
      <c r="K5049" s="29"/>
      <c r="L5049" s="29" t="s">
        <v>1546</v>
      </c>
      <c r="M5049" s="29"/>
      <c r="N5049" s="29" t="s">
        <v>1665</v>
      </c>
      <c r="O5049" s="29"/>
      <c r="P5049" s="29" t="s">
        <v>3631</v>
      </c>
      <c r="Q5049" t="s">
        <v>2041</v>
      </c>
      <c r="R5049" t="s">
        <v>2634</v>
      </c>
      <c r="S5049">
        <v>35</v>
      </c>
      <c r="T5049" s="43" t="str">
        <f t="shared" ref="T5049:T5057" si="232">HYPERLINK("https://ictv.global/ictv/proposals/2019.012D.zip","2019.012D.zip")</f>
        <v>2019.012D.zip</v>
      </c>
      <c r="U5049" s="43" t="str">
        <f>HYPERLINK("https://ictv.global/taxonomy/taxondetails?taxnode_id=202206688","ictv.global=202206688")</f>
        <v>ictv.global=202206688</v>
      </c>
    </row>
    <row r="5050" spans="1:21">
      <c r="A5050">
        <v>5049</v>
      </c>
      <c r="B5050" s="29" t="s">
        <v>4053</v>
      </c>
      <c r="C5050" s="29"/>
      <c r="D5050" s="29" t="s">
        <v>4082</v>
      </c>
      <c r="E5050" s="29"/>
      <c r="F5050" s="29" t="s">
        <v>4106</v>
      </c>
      <c r="G5050" s="29"/>
      <c r="H5050" s="29" t="s">
        <v>4117</v>
      </c>
      <c r="I5050" s="29"/>
      <c r="J5050" s="29" t="s">
        <v>4118</v>
      </c>
      <c r="K5050" s="29"/>
      <c r="L5050" s="29" t="s">
        <v>1546</v>
      </c>
      <c r="M5050" s="29"/>
      <c r="N5050" s="29" t="s">
        <v>1665</v>
      </c>
      <c r="O5050" s="29"/>
      <c r="P5050" s="29" t="s">
        <v>1666</v>
      </c>
      <c r="Q5050" t="s">
        <v>2041</v>
      </c>
      <c r="R5050" t="s">
        <v>2634</v>
      </c>
      <c r="S5050">
        <v>35</v>
      </c>
      <c r="T5050" s="43" t="str">
        <f t="shared" si="232"/>
        <v>2019.012D.zip</v>
      </c>
      <c r="U5050" s="43" t="str">
        <f>HYPERLINK("https://ictv.global/taxonomy/taxondetails?taxnode_id=202203173","ictv.global=202203173")</f>
        <v>ictv.global=202203173</v>
      </c>
    </row>
    <row r="5051" spans="1:21">
      <c r="A5051">
        <v>5050</v>
      </c>
      <c r="B5051" s="29" t="s">
        <v>4053</v>
      </c>
      <c r="C5051" s="29"/>
      <c r="D5051" s="29" t="s">
        <v>4082</v>
      </c>
      <c r="E5051" s="29"/>
      <c r="F5051" s="29" t="s">
        <v>4106</v>
      </c>
      <c r="G5051" s="29"/>
      <c r="H5051" s="29" t="s">
        <v>4117</v>
      </c>
      <c r="I5051" s="29"/>
      <c r="J5051" s="29" t="s">
        <v>4118</v>
      </c>
      <c r="K5051" s="29"/>
      <c r="L5051" s="29" t="s">
        <v>1546</v>
      </c>
      <c r="M5051" s="29"/>
      <c r="N5051" s="29" t="s">
        <v>1547</v>
      </c>
      <c r="O5051" s="29"/>
      <c r="P5051" s="29" t="s">
        <v>2201</v>
      </c>
      <c r="Q5051" t="s">
        <v>2041</v>
      </c>
      <c r="R5051" t="s">
        <v>2634</v>
      </c>
      <c r="S5051">
        <v>35</v>
      </c>
      <c r="T5051" s="43" t="str">
        <f t="shared" si="232"/>
        <v>2019.012D.zip</v>
      </c>
      <c r="U5051" s="43" t="str">
        <f>HYPERLINK("https://ictv.global/taxonomy/taxondetails?taxnode_id=202203175","ictv.global=202203175")</f>
        <v>ictv.global=202203175</v>
      </c>
    </row>
    <row r="5052" spans="1:21">
      <c r="A5052">
        <v>5051</v>
      </c>
      <c r="B5052" s="29" t="s">
        <v>4053</v>
      </c>
      <c r="C5052" s="29"/>
      <c r="D5052" s="29" t="s">
        <v>4082</v>
      </c>
      <c r="E5052" s="29"/>
      <c r="F5052" s="29" t="s">
        <v>4106</v>
      </c>
      <c r="G5052" s="29"/>
      <c r="H5052" s="29" t="s">
        <v>4117</v>
      </c>
      <c r="I5052" s="29"/>
      <c r="J5052" s="29" t="s">
        <v>4118</v>
      </c>
      <c r="K5052" s="29"/>
      <c r="L5052" s="29" t="s">
        <v>1546</v>
      </c>
      <c r="M5052" s="29"/>
      <c r="N5052" s="29" t="s">
        <v>1547</v>
      </c>
      <c r="O5052" s="29"/>
      <c r="P5052" s="29" t="s">
        <v>1789</v>
      </c>
      <c r="Q5052" t="s">
        <v>2041</v>
      </c>
      <c r="R5052" t="s">
        <v>2634</v>
      </c>
      <c r="S5052">
        <v>35</v>
      </c>
      <c r="T5052" s="43" t="str">
        <f t="shared" si="232"/>
        <v>2019.012D.zip</v>
      </c>
      <c r="U5052" s="43" t="str">
        <f>HYPERLINK("https://ictv.global/taxonomy/taxondetails?taxnode_id=202203176","ictv.global=202203176")</f>
        <v>ictv.global=202203176</v>
      </c>
    </row>
    <row r="5053" spans="1:21">
      <c r="A5053">
        <v>5052</v>
      </c>
      <c r="B5053" s="29" t="s">
        <v>4053</v>
      </c>
      <c r="C5053" s="29"/>
      <c r="D5053" s="29" t="s">
        <v>4082</v>
      </c>
      <c r="E5053" s="29"/>
      <c r="F5053" s="29" t="s">
        <v>4106</v>
      </c>
      <c r="G5053" s="29"/>
      <c r="H5053" s="29" t="s">
        <v>4117</v>
      </c>
      <c r="I5053" s="29"/>
      <c r="J5053" s="29" t="s">
        <v>4118</v>
      </c>
      <c r="K5053" s="29"/>
      <c r="L5053" s="29" t="s">
        <v>1546</v>
      </c>
      <c r="M5053" s="29"/>
      <c r="N5053" s="29" t="s">
        <v>1547</v>
      </c>
      <c r="O5053" s="29"/>
      <c r="P5053" s="29" t="s">
        <v>1790</v>
      </c>
      <c r="Q5053" t="s">
        <v>2041</v>
      </c>
      <c r="R5053" t="s">
        <v>2634</v>
      </c>
      <c r="S5053">
        <v>35</v>
      </c>
      <c r="T5053" s="43" t="str">
        <f t="shared" si="232"/>
        <v>2019.012D.zip</v>
      </c>
      <c r="U5053" s="43" t="str">
        <f>HYPERLINK("https://ictv.global/taxonomy/taxondetails?taxnode_id=202203177","ictv.global=202203177")</f>
        <v>ictv.global=202203177</v>
      </c>
    </row>
    <row r="5054" spans="1:21">
      <c r="A5054">
        <v>5053</v>
      </c>
      <c r="B5054" s="29" t="s">
        <v>4053</v>
      </c>
      <c r="C5054" s="29"/>
      <c r="D5054" s="29" t="s">
        <v>4082</v>
      </c>
      <c r="E5054" s="29"/>
      <c r="F5054" s="29" t="s">
        <v>4106</v>
      </c>
      <c r="G5054" s="29"/>
      <c r="H5054" s="29" t="s">
        <v>4117</v>
      </c>
      <c r="I5054" s="29"/>
      <c r="J5054" s="29" t="s">
        <v>4118</v>
      </c>
      <c r="K5054" s="29"/>
      <c r="L5054" s="29" t="s">
        <v>1546</v>
      </c>
      <c r="M5054" s="29"/>
      <c r="N5054" s="29" t="s">
        <v>1547</v>
      </c>
      <c r="O5054" s="29"/>
      <c r="P5054" s="29" t="s">
        <v>1548</v>
      </c>
      <c r="Q5054" t="s">
        <v>2041</v>
      </c>
      <c r="R5054" t="s">
        <v>2634</v>
      </c>
      <c r="S5054">
        <v>35</v>
      </c>
      <c r="T5054" s="43" t="str">
        <f t="shared" si="232"/>
        <v>2019.012D.zip</v>
      </c>
      <c r="U5054" s="43" t="str">
        <f>HYPERLINK("https://ictv.global/taxonomy/taxondetails?taxnode_id=202203178","ictv.global=202203178")</f>
        <v>ictv.global=202203178</v>
      </c>
    </row>
    <row r="5055" spans="1:21">
      <c r="A5055">
        <v>5054</v>
      </c>
      <c r="B5055" s="29" t="s">
        <v>4053</v>
      </c>
      <c r="C5055" s="29"/>
      <c r="D5055" s="29" t="s">
        <v>4082</v>
      </c>
      <c r="E5055" s="29"/>
      <c r="F5055" s="29" t="s">
        <v>4106</v>
      </c>
      <c r="G5055" s="29"/>
      <c r="H5055" s="29" t="s">
        <v>4117</v>
      </c>
      <c r="I5055" s="29"/>
      <c r="J5055" s="29" t="s">
        <v>4118</v>
      </c>
      <c r="K5055" s="29"/>
      <c r="L5055" s="29" t="s">
        <v>1546</v>
      </c>
      <c r="M5055" s="29"/>
      <c r="N5055" s="29" t="s">
        <v>1547</v>
      </c>
      <c r="O5055" s="29"/>
      <c r="P5055" s="29" t="s">
        <v>3632</v>
      </c>
      <c r="Q5055" t="s">
        <v>2041</v>
      </c>
      <c r="R5055" t="s">
        <v>2634</v>
      </c>
      <c r="S5055">
        <v>35</v>
      </c>
      <c r="T5055" s="43" t="str">
        <f t="shared" si="232"/>
        <v>2019.012D.zip</v>
      </c>
      <c r="U5055" s="43" t="str">
        <f>HYPERLINK("https://ictv.global/taxonomy/taxondetails?taxnode_id=202206693","ictv.global=202206693")</f>
        <v>ictv.global=202206693</v>
      </c>
    </row>
    <row r="5056" spans="1:21">
      <c r="A5056">
        <v>5055</v>
      </c>
      <c r="B5056" s="29" t="s">
        <v>4053</v>
      </c>
      <c r="C5056" s="29"/>
      <c r="D5056" s="29" t="s">
        <v>4082</v>
      </c>
      <c r="E5056" s="29"/>
      <c r="F5056" s="29" t="s">
        <v>4106</v>
      </c>
      <c r="G5056" s="29"/>
      <c r="H5056" s="29" t="s">
        <v>4117</v>
      </c>
      <c r="I5056" s="29"/>
      <c r="J5056" s="29" t="s">
        <v>4118</v>
      </c>
      <c r="K5056" s="29"/>
      <c r="L5056" s="29" t="s">
        <v>1546</v>
      </c>
      <c r="M5056" s="29"/>
      <c r="N5056" s="29" t="s">
        <v>1547</v>
      </c>
      <c r="O5056" s="29"/>
      <c r="P5056" s="29" t="s">
        <v>1454</v>
      </c>
      <c r="Q5056" t="s">
        <v>2041</v>
      </c>
      <c r="R5056" t="s">
        <v>2634</v>
      </c>
      <c r="S5056">
        <v>35</v>
      </c>
      <c r="T5056" s="43" t="str">
        <f t="shared" si="232"/>
        <v>2019.012D.zip</v>
      </c>
      <c r="U5056" s="43" t="str">
        <f>HYPERLINK("https://ictv.global/taxonomy/taxondetails?taxnode_id=202203179","ictv.global=202203179")</f>
        <v>ictv.global=202203179</v>
      </c>
    </row>
    <row r="5057" spans="1:21">
      <c r="A5057">
        <v>5056</v>
      </c>
      <c r="B5057" s="29" t="s">
        <v>4053</v>
      </c>
      <c r="C5057" s="29"/>
      <c r="D5057" s="29" t="s">
        <v>4082</v>
      </c>
      <c r="E5057" s="29"/>
      <c r="F5057" s="29" t="s">
        <v>4106</v>
      </c>
      <c r="G5057" s="29"/>
      <c r="H5057" s="29" t="s">
        <v>4117</v>
      </c>
      <c r="I5057" s="29"/>
      <c r="J5057" s="29" t="s">
        <v>4118</v>
      </c>
      <c r="K5057" s="29"/>
      <c r="L5057" s="29" t="s">
        <v>1546</v>
      </c>
      <c r="M5057" s="29"/>
      <c r="N5057" s="29" t="s">
        <v>1547</v>
      </c>
      <c r="O5057" s="29"/>
      <c r="P5057" s="29" t="s">
        <v>1455</v>
      </c>
      <c r="Q5057" t="s">
        <v>2041</v>
      </c>
      <c r="R5057" t="s">
        <v>2634</v>
      </c>
      <c r="S5057">
        <v>35</v>
      </c>
      <c r="T5057" s="43" t="str">
        <f t="shared" si="232"/>
        <v>2019.012D.zip</v>
      </c>
      <c r="U5057" s="43" t="str">
        <f>HYPERLINK("https://ictv.global/taxonomy/taxondetails?taxnode_id=202203180","ictv.global=202203180")</f>
        <v>ictv.global=202203180</v>
      </c>
    </row>
    <row r="5058" spans="1:21">
      <c r="A5058">
        <v>5057</v>
      </c>
      <c r="B5058" s="29" t="s">
        <v>4053</v>
      </c>
      <c r="C5058" s="29"/>
      <c r="D5058" s="29" t="s">
        <v>4082</v>
      </c>
      <c r="E5058" s="29"/>
      <c r="F5058" s="29" t="s">
        <v>4106</v>
      </c>
      <c r="G5058" s="29"/>
      <c r="H5058" s="29" t="s">
        <v>4117</v>
      </c>
      <c r="I5058" s="29"/>
      <c r="J5058" s="29" t="s">
        <v>4118</v>
      </c>
      <c r="K5058" s="29"/>
      <c r="L5058" s="29" t="s">
        <v>1546</v>
      </c>
      <c r="M5058" s="29"/>
      <c r="N5058" s="29" t="s">
        <v>1547</v>
      </c>
      <c r="O5058" s="29"/>
      <c r="P5058" s="29" t="s">
        <v>4119</v>
      </c>
      <c r="Q5058" t="s">
        <v>2265</v>
      </c>
      <c r="R5058" t="s">
        <v>2632</v>
      </c>
      <c r="S5058">
        <v>35</v>
      </c>
      <c r="T5058" s="43" t="str">
        <f>HYPERLINK("https://ictv.global/ictv/proposals/2019.022P.zip","2019.022P.zip")</f>
        <v>2019.022P.zip</v>
      </c>
      <c r="U5058" s="43" t="str">
        <f>HYPERLINK("https://ictv.global/taxonomy/taxondetails?taxnode_id=202207518","ictv.global=202207518")</f>
        <v>ictv.global=202207518</v>
      </c>
    </row>
    <row r="5059" spans="1:21">
      <c r="A5059">
        <v>5058</v>
      </c>
      <c r="B5059" s="29" t="s">
        <v>4053</v>
      </c>
      <c r="C5059" s="29"/>
      <c r="D5059" s="29" t="s">
        <v>4082</v>
      </c>
      <c r="E5059" s="29"/>
      <c r="F5059" s="29" t="s">
        <v>4106</v>
      </c>
      <c r="G5059" s="29"/>
      <c r="H5059" s="29" t="s">
        <v>4117</v>
      </c>
      <c r="I5059" s="29"/>
      <c r="J5059" s="29" t="s">
        <v>4118</v>
      </c>
      <c r="K5059" s="29"/>
      <c r="L5059" s="29" t="s">
        <v>1546</v>
      </c>
      <c r="M5059" s="29"/>
      <c r="N5059" s="29" t="s">
        <v>1547</v>
      </c>
      <c r="O5059" s="29"/>
      <c r="P5059" s="29" t="s">
        <v>1456</v>
      </c>
      <c r="Q5059" t="s">
        <v>2041</v>
      </c>
      <c r="R5059" t="s">
        <v>2634</v>
      </c>
      <c r="S5059">
        <v>35</v>
      </c>
      <c r="T5059" s="43" t="str">
        <f t="shared" ref="T5059:T5067" si="233">HYPERLINK("https://ictv.global/ictv/proposals/2019.012D.zip","2019.012D.zip")</f>
        <v>2019.012D.zip</v>
      </c>
      <c r="U5059" s="43" t="str">
        <f>HYPERLINK("https://ictv.global/taxonomy/taxondetails?taxnode_id=202203181","ictv.global=202203181")</f>
        <v>ictv.global=202203181</v>
      </c>
    </row>
    <row r="5060" spans="1:21">
      <c r="A5060">
        <v>5059</v>
      </c>
      <c r="B5060" s="29" t="s">
        <v>4053</v>
      </c>
      <c r="C5060" s="29"/>
      <c r="D5060" s="29" t="s">
        <v>4082</v>
      </c>
      <c r="E5060" s="29"/>
      <c r="F5060" s="29" t="s">
        <v>4106</v>
      </c>
      <c r="G5060" s="29"/>
      <c r="H5060" s="29" t="s">
        <v>4117</v>
      </c>
      <c r="I5060" s="29"/>
      <c r="J5060" s="29" t="s">
        <v>4118</v>
      </c>
      <c r="K5060" s="29"/>
      <c r="L5060" s="29" t="s">
        <v>1546</v>
      </c>
      <c r="M5060" s="29"/>
      <c r="N5060" s="29" t="s">
        <v>1547</v>
      </c>
      <c r="O5060" s="29"/>
      <c r="P5060" s="29" t="s">
        <v>1457</v>
      </c>
      <c r="Q5060" t="s">
        <v>2041</v>
      </c>
      <c r="R5060" t="s">
        <v>2634</v>
      </c>
      <c r="S5060">
        <v>35</v>
      </c>
      <c r="T5060" s="43" t="str">
        <f t="shared" si="233"/>
        <v>2019.012D.zip</v>
      </c>
      <c r="U5060" s="43" t="str">
        <f>HYPERLINK("https://ictv.global/taxonomy/taxondetails?taxnode_id=202203182","ictv.global=202203182")</f>
        <v>ictv.global=202203182</v>
      </c>
    </row>
    <row r="5061" spans="1:21">
      <c r="A5061">
        <v>5060</v>
      </c>
      <c r="B5061" s="29" t="s">
        <v>4053</v>
      </c>
      <c r="C5061" s="29"/>
      <c r="D5061" s="29" t="s">
        <v>4082</v>
      </c>
      <c r="E5061" s="29"/>
      <c r="F5061" s="29" t="s">
        <v>4106</v>
      </c>
      <c r="G5061" s="29"/>
      <c r="H5061" s="29" t="s">
        <v>4117</v>
      </c>
      <c r="I5061" s="29"/>
      <c r="J5061" s="29" t="s">
        <v>4118</v>
      </c>
      <c r="K5061" s="29"/>
      <c r="L5061" s="29" t="s">
        <v>1546</v>
      </c>
      <c r="M5061" s="29"/>
      <c r="N5061" s="29" t="s">
        <v>1547</v>
      </c>
      <c r="O5061" s="29"/>
      <c r="P5061" s="29" t="s">
        <v>1458</v>
      </c>
      <c r="Q5061" t="s">
        <v>2041</v>
      </c>
      <c r="R5061" t="s">
        <v>2634</v>
      </c>
      <c r="S5061">
        <v>35</v>
      </c>
      <c r="T5061" s="43" t="str">
        <f t="shared" si="233"/>
        <v>2019.012D.zip</v>
      </c>
      <c r="U5061" s="43" t="str">
        <f>HYPERLINK("https://ictv.global/taxonomy/taxondetails?taxnode_id=202203183","ictv.global=202203183")</f>
        <v>ictv.global=202203183</v>
      </c>
    </row>
    <row r="5062" spans="1:21">
      <c r="A5062">
        <v>5061</v>
      </c>
      <c r="B5062" s="29" t="s">
        <v>4053</v>
      </c>
      <c r="C5062" s="29"/>
      <c r="D5062" s="29" t="s">
        <v>4082</v>
      </c>
      <c r="E5062" s="29"/>
      <c r="F5062" s="29" t="s">
        <v>4106</v>
      </c>
      <c r="G5062" s="29"/>
      <c r="H5062" s="29" t="s">
        <v>4117</v>
      </c>
      <c r="I5062" s="29"/>
      <c r="J5062" s="29" t="s">
        <v>4118</v>
      </c>
      <c r="K5062" s="29"/>
      <c r="L5062" s="29" t="s">
        <v>1546</v>
      </c>
      <c r="M5062" s="29"/>
      <c r="N5062" s="29" t="s">
        <v>1547</v>
      </c>
      <c r="O5062" s="29"/>
      <c r="P5062" s="29" t="s">
        <v>1459</v>
      </c>
      <c r="Q5062" t="s">
        <v>2041</v>
      </c>
      <c r="R5062" t="s">
        <v>2634</v>
      </c>
      <c r="S5062">
        <v>35</v>
      </c>
      <c r="T5062" s="43" t="str">
        <f t="shared" si="233"/>
        <v>2019.012D.zip</v>
      </c>
      <c r="U5062" s="43" t="str">
        <f>HYPERLINK("https://ictv.global/taxonomy/taxondetails?taxnode_id=202203184","ictv.global=202203184")</f>
        <v>ictv.global=202203184</v>
      </c>
    </row>
    <row r="5063" spans="1:21">
      <c r="A5063">
        <v>5062</v>
      </c>
      <c r="B5063" s="29" t="s">
        <v>4053</v>
      </c>
      <c r="C5063" s="29"/>
      <c r="D5063" s="29" t="s">
        <v>4082</v>
      </c>
      <c r="E5063" s="29"/>
      <c r="F5063" s="29" t="s">
        <v>4106</v>
      </c>
      <c r="G5063" s="29"/>
      <c r="H5063" s="29" t="s">
        <v>4117</v>
      </c>
      <c r="I5063" s="29"/>
      <c r="J5063" s="29" t="s">
        <v>4118</v>
      </c>
      <c r="K5063" s="29"/>
      <c r="L5063" s="29" t="s">
        <v>1546</v>
      </c>
      <c r="M5063" s="29"/>
      <c r="N5063" s="29" t="s">
        <v>1547</v>
      </c>
      <c r="O5063" s="29"/>
      <c r="P5063" s="29" t="s">
        <v>1791</v>
      </c>
      <c r="Q5063" t="s">
        <v>2041</v>
      </c>
      <c r="R5063" t="s">
        <v>2634</v>
      </c>
      <c r="S5063">
        <v>35</v>
      </c>
      <c r="T5063" s="43" t="str">
        <f t="shared" si="233"/>
        <v>2019.012D.zip</v>
      </c>
      <c r="U5063" s="43" t="str">
        <f>HYPERLINK("https://ictv.global/taxonomy/taxondetails?taxnode_id=202203185","ictv.global=202203185")</f>
        <v>ictv.global=202203185</v>
      </c>
    </row>
    <row r="5064" spans="1:21">
      <c r="A5064">
        <v>5063</v>
      </c>
      <c r="B5064" s="29" t="s">
        <v>4053</v>
      </c>
      <c r="C5064" s="29"/>
      <c r="D5064" s="29" t="s">
        <v>4082</v>
      </c>
      <c r="E5064" s="29"/>
      <c r="F5064" s="29" t="s">
        <v>4106</v>
      </c>
      <c r="G5064" s="29"/>
      <c r="H5064" s="29" t="s">
        <v>4117</v>
      </c>
      <c r="I5064" s="29"/>
      <c r="J5064" s="29" t="s">
        <v>4118</v>
      </c>
      <c r="K5064" s="29"/>
      <c r="L5064" s="29" t="s">
        <v>1546</v>
      </c>
      <c r="M5064" s="29"/>
      <c r="N5064" s="29" t="s">
        <v>1547</v>
      </c>
      <c r="O5064" s="29"/>
      <c r="P5064" s="29" t="s">
        <v>2842</v>
      </c>
      <c r="Q5064" t="s">
        <v>2041</v>
      </c>
      <c r="R5064" t="s">
        <v>2634</v>
      </c>
      <c r="S5064">
        <v>35</v>
      </c>
      <c r="T5064" s="43" t="str">
        <f t="shared" si="233"/>
        <v>2019.012D.zip</v>
      </c>
      <c r="U5064" s="43" t="str">
        <f>HYPERLINK("https://ictv.global/taxonomy/taxondetails?taxnode_id=202205787","ictv.global=202205787")</f>
        <v>ictv.global=202205787</v>
      </c>
    </row>
    <row r="5065" spans="1:21">
      <c r="A5065">
        <v>5064</v>
      </c>
      <c r="B5065" s="29" t="s">
        <v>4053</v>
      </c>
      <c r="C5065" s="29"/>
      <c r="D5065" s="29" t="s">
        <v>4082</v>
      </c>
      <c r="E5065" s="29"/>
      <c r="F5065" s="29" t="s">
        <v>4106</v>
      </c>
      <c r="G5065" s="29"/>
      <c r="H5065" s="29" t="s">
        <v>4117</v>
      </c>
      <c r="I5065" s="29"/>
      <c r="J5065" s="29" t="s">
        <v>4118</v>
      </c>
      <c r="K5065" s="29"/>
      <c r="L5065" s="29" t="s">
        <v>1546</v>
      </c>
      <c r="M5065" s="29"/>
      <c r="N5065" s="29" t="s">
        <v>1547</v>
      </c>
      <c r="O5065" s="29"/>
      <c r="P5065" s="29" t="s">
        <v>1460</v>
      </c>
      <c r="Q5065" t="s">
        <v>2041</v>
      </c>
      <c r="R5065" t="s">
        <v>2634</v>
      </c>
      <c r="S5065">
        <v>35</v>
      </c>
      <c r="T5065" s="43" t="str">
        <f t="shared" si="233"/>
        <v>2019.012D.zip</v>
      </c>
      <c r="U5065" s="43" t="str">
        <f>HYPERLINK("https://ictv.global/taxonomy/taxondetails?taxnode_id=202203186","ictv.global=202203186")</f>
        <v>ictv.global=202203186</v>
      </c>
    </row>
    <row r="5066" spans="1:21">
      <c r="A5066">
        <v>5065</v>
      </c>
      <c r="B5066" s="29" t="s">
        <v>4053</v>
      </c>
      <c r="C5066" s="29"/>
      <c r="D5066" s="29" t="s">
        <v>4082</v>
      </c>
      <c r="E5066" s="29"/>
      <c r="F5066" s="29" t="s">
        <v>4106</v>
      </c>
      <c r="G5066" s="29"/>
      <c r="H5066" s="29" t="s">
        <v>4117</v>
      </c>
      <c r="I5066" s="29"/>
      <c r="J5066" s="29" t="s">
        <v>4118</v>
      </c>
      <c r="K5066" s="29"/>
      <c r="L5066" s="29" t="s">
        <v>1546</v>
      </c>
      <c r="M5066" s="29"/>
      <c r="N5066" s="29" t="s">
        <v>1547</v>
      </c>
      <c r="O5066" s="29"/>
      <c r="P5066" s="29" t="s">
        <v>2843</v>
      </c>
      <c r="Q5066" t="s">
        <v>2041</v>
      </c>
      <c r="R5066" t="s">
        <v>2634</v>
      </c>
      <c r="S5066">
        <v>35</v>
      </c>
      <c r="T5066" s="43" t="str">
        <f t="shared" si="233"/>
        <v>2019.012D.zip</v>
      </c>
      <c r="U5066" s="43" t="str">
        <f>HYPERLINK("https://ictv.global/taxonomy/taxondetails?taxnode_id=202205788","ictv.global=202205788")</f>
        <v>ictv.global=202205788</v>
      </c>
    </row>
    <row r="5067" spans="1:21">
      <c r="A5067">
        <v>5066</v>
      </c>
      <c r="B5067" s="29" t="s">
        <v>4053</v>
      </c>
      <c r="C5067" s="29"/>
      <c r="D5067" s="29" t="s">
        <v>4082</v>
      </c>
      <c r="E5067" s="29"/>
      <c r="F5067" s="29" t="s">
        <v>4106</v>
      </c>
      <c r="G5067" s="29"/>
      <c r="H5067" s="29" t="s">
        <v>4117</v>
      </c>
      <c r="I5067" s="29"/>
      <c r="J5067" s="29" t="s">
        <v>4118</v>
      </c>
      <c r="K5067" s="29"/>
      <c r="L5067" s="29" t="s">
        <v>1546</v>
      </c>
      <c r="M5067" s="29"/>
      <c r="N5067" s="29" t="s">
        <v>1547</v>
      </c>
      <c r="O5067" s="29"/>
      <c r="P5067" s="29" t="s">
        <v>2844</v>
      </c>
      <c r="Q5067" t="s">
        <v>2041</v>
      </c>
      <c r="R5067" t="s">
        <v>2634</v>
      </c>
      <c r="S5067">
        <v>35</v>
      </c>
      <c r="T5067" s="43" t="str">
        <f t="shared" si="233"/>
        <v>2019.012D.zip</v>
      </c>
      <c r="U5067" s="43" t="str">
        <f>HYPERLINK("https://ictv.global/taxonomy/taxondetails?taxnode_id=202205789","ictv.global=202205789")</f>
        <v>ictv.global=202205789</v>
      </c>
    </row>
    <row r="5068" spans="1:21">
      <c r="A5068">
        <v>5067</v>
      </c>
      <c r="B5068" s="29" t="s">
        <v>4053</v>
      </c>
      <c r="C5068" s="29"/>
      <c r="D5068" s="29" t="s">
        <v>4082</v>
      </c>
      <c r="E5068" s="29"/>
      <c r="F5068" s="29" t="s">
        <v>4106</v>
      </c>
      <c r="G5068" s="29"/>
      <c r="H5068" s="29" t="s">
        <v>4117</v>
      </c>
      <c r="I5068" s="29"/>
      <c r="J5068" s="29" t="s">
        <v>4118</v>
      </c>
      <c r="K5068" s="29"/>
      <c r="L5068" s="29" t="s">
        <v>1546</v>
      </c>
      <c r="M5068" s="29"/>
      <c r="N5068" s="29" t="s">
        <v>1547</v>
      </c>
      <c r="O5068" s="29"/>
      <c r="P5068" s="29" t="s">
        <v>4907</v>
      </c>
      <c r="Q5068" t="s">
        <v>2265</v>
      </c>
      <c r="R5068" t="s">
        <v>2632</v>
      </c>
      <c r="S5068">
        <v>36</v>
      </c>
      <c r="T5068" s="43" t="str">
        <f>HYPERLINK("https://ictv.global/ictv/proposals/2020.006P.R.Begomovirus_22nsp.zip","2020.006P.R.Begomovirus_22nsp.zip")</f>
        <v>2020.006P.R.Begomovirus_22nsp.zip</v>
      </c>
      <c r="U5068" s="43" t="str">
        <f>HYPERLINK("https://ictv.global/taxonomy/taxondetails?taxnode_id=202209117","ictv.global=202209117")</f>
        <v>ictv.global=202209117</v>
      </c>
    </row>
    <row r="5069" spans="1:21">
      <c r="A5069">
        <v>5068</v>
      </c>
      <c r="B5069" s="29" t="s">
        <v>4053</v>
      </c>
      <c r="C5069" s="29"/>
      <c r="D5069" s="29" t="s">
        <v>4082</v>
      </c>
      <c r="E5069" s="29"/>
      <c r="F5069" s="29" t="s">
        <v>4106</v>
      </c>
      <c r="G5069" s="29"/>
      <c r="H5069" s="29" t="s">
        <v>4117</v>
      </c>
      <c r="I5069" s="29"/>
      <c r="J5069" s="29" t="s">
        <v>4118</v>
      </c>
      <c r="K5069" s="29"/>
      <c r="L5069" s="29" t="s">
        <v>1546</v>
      </c>
      <c r="M5069" s="29"/>
      <c r="N5069" s="29" t="s">
        <v>1547</v>
      </c>
      <c r="O5069" s="29"/>
      <c r="P5069" s="29" t="s">
        <v>1461</v>
      </c>
      <c r="Q5069" t="s">
        <v>2041</v>
      </c>
      <c r="R5069" t="s">
        <v>2634</v>
      </c>
      <c r="S5069">
        <v>35</v>
      </c>
      <c r="T5069" s="43" t="str">
        <f>HYPERLINK("https://ictv.global/ictv/proposals/2019.012D.zip","2019.012D.zip")</f>
        <v>2019.012D.zip</v>
      </c>
      <c r="U5069" s="43" t="str">
        <f>HYPERLINK("https://ictv.global/taxonomy/taxondetails?taxnode_id=202203187","ictv.global=202203187")</f>
        <v>ictv.global=202203187</v>
      </c>
    </row>
    <row r="5070" spans="1:21">
      <c r="A5070">
        <v>5069</v>
      </c>
      <c r="B5070" s="29" t="s">
        <v>4053</v>
      </c>
      <c r="C5070" s="29"/>
      <c r="D5070" s="29" t="s">
        <v>4082</v>
      </c>
      <c r="E5070" s="29"/>
      <c r="F5070" s="29" t="s">
        <v>4106</v>
      </c>
      <c r="G5070" s="29"/>
      <c r="H5070" s="29" t="s">
        <v>4117</v>
      </c>
      <c r="I5070" s="29"/>
      <c r="J5070" s="29" t="s">
        <v>4118</v>
      </c>
      <c r="K5070" s="29"/>
      <c r="L5070" s="29" t="s">
        <v>1546</v>
      </c>
      <c r="M5070" s="29"/>
      <c r="N5070" s="29" t="s">
        <v>1547</v>
      </c>
      <c r="O5070" s="29"/>
      <c r="P5070" s="29" t="s">
        <v>1792</v>
      </c>
      <c r="Q5070" t="s">
        <v>2041</v>
      </c>
      <c r="R5070" t="s">
        <v>2634</v>
      </c>
      <c r="S5070">
        <v>35</v>
      </c>
      <c r="T5070" s="43" t="str">
        <f>HYPERLINK("https://ictv.global/ictv/proposals/2019.012D.zip","2019.012D.zip")</f>
        <v>2019.012D.zip</v>
      </c>
      <c r="U5070" s="43" t="str">
        <f>HYPERLINK("https://ictv.global/taxonomy/taxondetails?taxnode_id=202203188","ictv.global=202203188")</f>
        <v>ictv.global=202203188</v>
      </c>
    </row>
    <row r="5071" spans="1:21">
      <c r="A5071">
        <v>5070</v>
      </c>
      <c r="B5071" s="29" t="s">
        <v>4053</v>
      </c>
      <c r="C5071" s="29"/>
      <c r="D5071" s="29" t="s">
        <v>4082</v>
      </c>
      <c r="E5071" s="29"/>
      <c r="F5071" s="29" t="s">
        <v>4106</v>
      </c>
      <c r="G5071" s="29"/>
      <c r="H5071" s="29" t="s">
        <v>4117</v>
      </c>
      <c r="I5071" s="29"/>
      <c r="J5071" s="29" t="s">
        <v>4118</v>
      </c>
      <c r="K5071" s="29"/>
      <c r="L5071" s="29" t="s">
        <v>1546</v>
      </c>
      <c r="M5071" s="29"/>
      <c r="N5071" s="29" t="s">
        <v>1547</v>
      </c>
      <c r="O5071" s="29"/>
      <c r="P5071" s="29" t="s">
        <v>1462</v>
      </c>
      <c r="Q5071" t="s">
        <v>2041</v>
      </c>
      <c r="R5071" t="s">
        <v>2634</v>
      </c>
      <c r="S5071">
        <v>35</v>
      </c>
      <c r="T5071" s="43" t="str">
        <f>HYPERLINK("https://ictv.global/ictv/proposals/2019.012D.zip","2019.012D.zip")</f>
        <v>2019.012D.zip</v>
      </c>
      <c r="U5071" s="43" t="str">
        <f>HYPERLINK("https://ictv.global/taxonomy/taxondetails?taxnode_id=202203189","ictv.global=202203189")</f>
        <v>ictv.global=202203189</v>
      </c>
    </row>
    <row r="5072" spans="1:21">
      <c r="A5072">
        <v>5071</v>
      </c>
      <c r="B5072" s="29" t="s">
        <v>4053</v>
      </c>
      <c r="C5072" s="29"/>
      <c r="D5072" s="29" t="s">
        <v>4082</v>
      </c>
      <c r="E5072" s="29"/>
      <c r="F5072" s="29" t="s">
        <v>4106</v>
      </c>
      <c r="G5072" s="29"/>
      <c r="H5072" s="29" t="s">
        <v>4117</v>
      </c>
      <c r="I5072" s="29"/>
      <c r="J5072" s="29" t="s">
        <v>4118</v>
      </c>
      <c r="K5072" s="29"/>
      <c r="L5072" s="29" t="s">
        <v>1546</v>
      </c>
      <c r="M5072" s="29"/>
      <c r="N5072" s="29" t="s">
        <v>1547</v>
      </c>
      <c r="O5072" s="29"/>
      <c r="P5072" s="29" t="s">
        <v>222</v>
      </c>
      <c r="Q5072" t="s">
        <v>2041</v>
      </c>
      <c r="R5072" t="s">
        <v>6901</v>
      </c>
      <c r="S5072">
        <v>36</v>
      </c>
      <c r="T5072" s="43" t="str">
        <f>HYPERLINK("https://ictv.global/ictv/proposals/2020.001G.R.Abolish_type_species.pdf","2020.001G.R.Abolish_type_species.pdf")</f>
        <v>2020.001G.R.Abolish_type_species.pdf</v>
      </c>
      <c r="U5072" s="43" t="str">
        <f>HYPERLINK("https://ictv.global/taxonomy/taxondetails?taxnode_id=202203190","ictv.global=202203190")</f>
        <v>ictv.global=202203190</v>
      </c>
    </row>
    <row r="5073" spans="1:21">
      <c r="A5073">
        <v>5072</v>
      </c>
      <c r="B5073" s="29" t="s">
        <v>4053</v>
      </c>
      <c r="C5073" s="29"/>
      <c r="D5073" s="29" t="s">
        <v>4082</v>
      </c>
      <c r="E5073" s="29"/>
      <c r="F5073" s="29" t="s">
        <v>4106</v>
      </c>
      <c r="G5073" s="29"/>
      <c r="H5073" s="29" t="s">
        <v>4117</v>
      </c>
      <c r="I5073" s="29"/>
      <c r="J5073" s="29" t="s">
        <v>4118</v>
      </c>
      <c r="K5073" s="29"/>
      <c r="L5073" s="29" t="s">
        <v>1546</v>
      </c>
      <c r="M5073" s="29"/>
      <c r="N5073" s="29" t="s">
        <v>1547</v>
      </c>
      <c r="O5073" s="29"/>
      <c r="P5073" s="29" t="s">
        <v>223</v>
      </c>
      <c r="Q5073" t="s">
        <v>2041</v>
      </c>
      <c r="R5073" t="s">
        <v>6901</v>
      </c>
      <c r="S5073">
        <v>36</v>
      </c>
      <c r="T5073" s="43" t="str">
        <f>HYPERLINK("https://ictv.global/ictv/proposals/2020.001G.R.Abolish_type_species.pdf","2020.001G.R.Abolish_type_species.pdf")</f>
        <v>2020.001G.R.Abolish_type_species.pdf</v>
      </c>
      <c r="U5073" s="43" t="str">
        <f>HYPERLINK("https://ictv.global/taxonomy/taxondetails?taxnode_id=202203191","ictv.global=202203191")</f>
        <v>ictv.global=202203191</v>
      </c>
    </row>
    <row r="5074" spans="1:21">
      <c r="A5074">
        <v>5073</v>
      </c>
      <c r="B5074" s="29" t="s">
        <v>4053</v>
      </c>
      <c r="C5074" s="29"/>
      <c r="D5074" s="29" t="s">
        <v>4082</v>
      </c>
      <c r="E5074" s="29"/>
      <c r="F5074" s="29" t="s">
        <v>4106</v>
      </c>
      <c r="G5074" s="29"/>
      <c r="H5074" s="29" t="s">
        <v>4117</v>
      </c>
      <c r="I5074" s="29"/>
      <c r="J5074" s="29" t="s">
        <v>4118</v>
      </c>
      <c r="K5074" s="29"/>
      <c r="L5074" s="29" t="s">
        <v>1546</v>
      </c>
      <c r="M5074" s="29"/>
      <c r="N5074" s="29" t="s">
        <v>1547</v>
      </c>
      <c r="O5074" s="29"/>
      <c r="P5074" s="29" t="s">
        <v>4908</v>
      </c>
      <c r="Q5074" t="s">
        <v>2265</v>
      </c>
      <c r="R5074" t="s">
        <v>2632</v>
      </c>
      <c r="S5074">
        <v>36</v>
      </c>
      <c r="T5074" s="43" t="str">
        <f>HYPERLINK("https://ictv.global/ictv/proposals/2020.006P.R.Begomovirus_22nsp.zip","2020.006P.R.Begomovirus_22nsp.zip")</f>
        <v>2020.006P.R.Begomovirus_22nsp.zip</v>
      </c>
      <c r="U5074" s="43" t="str">
        <f>HYPERLINK("https://ictv.global/taxonomy/taxondetails?taxnode_id=202209118","ictv.global=202209118")</f>
        <v>ictv.global=202209118</v>
      </c>
    </row>
    <row r="5075" spans="1:21">
      <c r="A5075">
        <v>5074</v>
      </c>
      <c r="B5075" s="29" t="s">
        <v>4053</v>
      </c>
      <c r="C5075" s="29"/>
      <c r="D5075" s="29" t="s">
        <v>4082</v>
      </c>
      <c r="E5075" s="29"/>
      <c r="F5075" s="29" t="s">
        <v>4106</v>
      </c>
      <c r="G5075" s="29"/>
      <c r="H5075" s="29" t="s">
        <v>4117</v>
      </c>
      <c r="I5075" s="29"/>
      <c r="J5075" s="29" t="s">
        <v>4118</v>
      </c>
      <c r="K5075" s="29"/>
      <c r="L5075" s="29" t="s">
        <v>1546</v>
      </c>
      <c r="M5075" s="29"/>
      <c r="N5075" s="29" t="s">
        <v>1547</v>
      </c>
      <c r="O5075" s="29"/>
      <c r="P5075" s="29" t="s">
        <v>3633</v>
      </c>
      <c r="Q5075" t="s">
        <v>2041</v>
      </c>
      <c r="R5075" t="s">
        <v>2634</v>
      </c>
      <c r="S5075">
        <v>35</v>
      </c>
      <c r="T5075" s="43" t="str">
        <f t="shared" ref="T5075:T5081" si="234">HYPERLINK("https://ictv.global/ictv/proposals/2019.012D.zip","2019.012D.zip")</f>
        <v>2019.012D.zip</v>
      </c>
      <c r="U5075" s="43" t="str">
        <f>HYPERLINK("https://ictv.global/taxonomy/taxondetails?taxnode_id=202206694","ictv.global=202206694")</f>
        <v>ictv.global=202206694</v>
      </c>
    </row>
    <row r="5076" spans="1:21">
      <c r="A5076">
        <v>5075</v>
      </c>
      <c r="B5076" s="29" t="s">
        <v>4053</v>
      </c>
      <c r="C5076" s="29"/>
      <c r="D5076" s="29" t="s">
        <v>4082</v>
      </c>
      <c r="E5076" s="29"/>
      <c r="F5076" s="29" t="s">
        <v>4106</v>
      </c>
      <c r="G5076" s="29"/>
      <c r="H5076" s="29" t="s">
        <v>4117</v>
      </c>
      <c r="I5076" s="29"/>
      <c r="J5076" s="29" t="s">
        <v>4118</v>
      </c>
      <c r="K5076" s="29"/>
      <c r="L5076" s="29" t="s">
        <v>1546</v>
      </c>
      <c r="M5076" s="29"/>
      <c r="N5076" s="29" t="s">
        <v>1547</v>
      </c>
      <c r="O5076" s="29"/>
      <c r="P5076" s="29" t="s">
        <v>2845</v>
      </c>
      <c r="Q5076" t="s">
        <v>2041</v>
      </c>
      <c r="R5076" t="s">
        <v>2634</v>
      </c>
      <c r="S5076">
        <v>35</v>
      </c>
      <c r="T5076" s="43" t="str">
        <f t="shared" si="234"/>
        <v>2019.012D.zip</v>
      </c>
      <c r="U5076" s="43" t="str">
        <f>HYPERLINK("https://ictv.global/taxonomy/taxondetails?taxnode_id=202205790","ictv.global=202205790")</f>
        <v>ictv.global=202205790</v>
      </c>
    </row>
    <row r="5077" spans="1:21">
      <c r="A5077">
        <v>5076</v>
      </c>
      <c r="B5077" s="29" t="s">
        <v>4053</v>
      </c>
      <c r="C5077" s="29"/>
      <c r="D5077" s="29" t="s">
        <v>4082</v>
      </c>
      <c r="E5077" s="29"/>
      <c r="F5077" s="29" t="s">
        <v>4106</v>
      </c>
      <c r="G5077" s="29"/>
      <c r="H5077" s="29" t="s">
        <v>4117</v>
      </c>
      <c r="I5077" s="29"/>
      <c r="J5077" s="29" t="s">
        <v>4118</v>
      </c>
      <c r="K5077" s="29"/>
      <c r="L5077" s="29" t="s">
        <v>1546</v>
      </c>
      <c r="M5077" s="29"/>
      <c r="N5077" s="29" t="s">
        <v>1547</v>
      </c>
      <c r="O5077" s="29"/>
      <c r="P5077" s="29" t="s">
        <v>1793</v>
      </c>
      <c r="Q5077" t="s">
        <v>2041</v>
      </c>
      <c r="R5077" t="s">
        <v>2634</v>
      </c>
      <c r="S5077">
        <v>35</v>
      </c>
      <c r="T5077" s="43" t="str">
        <f t="shared" si="234"/>
        <v>2019.012D.zip</v>
      </c>
      <c r="U5077" s="43" t="str">
        <f>HYPERLINK("https://ictv.global/taxonomy/taxondetails?taxnode_id=202203192","ictv.global=202203192")</f>
        <v>ictv.global=202203192</v>
      </c>
    </row>
    <row r="5078" spans="1:21">
      <c r="A5078">
        <v>5077</v>
      </c>
      <c r="B5078" s="29" t="s">
        <v>4053</v>
      </c>
      <c r="C5078" s="29"/>
      <c r="D5078" s="29" t="s">
        <v>4082</v>
      </c>
      <c r="E5078" s="29"/>
      <c r="F5078" s="29" t="s">
        <v>4106</v>
      </c>
      <c r="G5078" s="29"/>
      <c r="H5078" s="29" t="s">
        <v>4117</v>
      </c>
      <c r="I5078" s="29"/>
      <c r="J5078" s="29" t="s">
        <v>4118</v>
      </c>
      <c r="K5078" s="29"/>
      <c r="L5078" s="29" t="s">
        <v>1546</v>
      </c>
      <c r="M5078" s="29"/>
      <c r="N5078" s="29" t="s">
        <v>1547</v>
      </c>
      <c r="O5078" s="29"/>
      <c r="P5078" s="29" t="s">
        <v>1794</v>
      </c>
      <c r="Q5078" t="s">
        <v>2041</v>
      </c>
      <c r="R5078" t="s">
        <v>2634</v>
      </c>
      <c r="S5078">
        <v>35</v>
      </c>
      <c r="T5078" s="43" t="str">
        <f t="shared" si="234"/>
        <v>2019.012D.zip</v>
      </c>
      <c r="U5078" s="43" t="str">
        <f>HYPERLINK("https://ictv.global/taxonomy/taxondetails?taxnode_id=202203193","ictv.global=202203193")</f>
        <v>ictv.global=202203193</v>
      </c>
    </row>
    <row r="5079" spans="1:21">
      <c r="A5079">
        <v>5078</v>
      </c>
      <c r="B5079" s="29" t="s">
        <v>4053</v>
      </c>
      <c r="C5079" s="29"/>
      <c r="D5079" s="29" t="s">
        <v>4082</v>
      </c>
      <c r="E5079" s="29"/>
      <c r="F5079" s="29" t="s">
        <v>4106</v>
      </c>
      <c r="G5079" s="29"/>
      <c r="H5079" s="29" t="s">
        <v>4117</v>
      </c>
      <c r="I5079" s="29"/>
      <c r="J5079" s="29" t="s">
        <v>4118</v>
      </c>
      <c r="K5079" s="29"/>
      <c r="L5079" s="29" t="s">
        <v>1546</v>
      </c>
      <c r="M5079" s="29"/>
      <c r="N5079" s="29" t="s">
        <v>1547</v>
      </c>
      <c r="O5079" s="29"/>
      <c r="P5079" s="29" t="s">
        <v>1795</v>
      </c>
      <c r="Q5079" t="s">
        <v>2041</v>
      </c>
      <c r="R5079" t="s">
        <v>2634</v>
      </c>
      <c r="S5079">
        <v>35</v>
      </c>
      <c r="T5079" s="43" t="str">
        <f t="shared" si="234"/>
        <v>2019.012D.zip</v>
      </c>
      <c r="U5079" s="43" t="str">
        <f>HYPERLINK("https://ictv.global/taxonomy/taxondetails?taxnode_id=202203194","ictv.global=202203194")</f>
        <v>ictv.global=202203194</v>
      </c>
    </row>
    <row r="5080" spans="1:21">
      <c r="A5080">
        <v>5079</v>
      </c>
      <c r="B5080" s="29" t="s">
        <v>4053</v>
      </c>
      <c r="C5080" s="29"/>
      <c r="D5080" s="29" t="s">
        <v>4082</v>
      </c>
      <c r="E5080" s="29"/>
      <c r="F5080" s="29" t="s">
        <v>4106</v>
      </c>
      <c r="G5080" s="29"/>
      <c r="H5080" s="29" t="s">
        <v>4117</v>
      </c>
      <c r="I5080" s="29"/>
      <c r="J5080" s="29" t="s">
        <v>4118</v>
      </c>
      <c r="K5080" s="29"/>
      <c r="L5080" s="29" t="s">
        <v>1546</v>
      </c>
      <c r="M5080" s="29"/>
      <c r="N5080" s="29" t="s">
        <v>1547</v>
      </c>
      <c r="O5080" s="29"/>
      <c r="P5080" s="29" t="s">
        <v>3634</v>
      </c>
      <c r="Q5080" t="s">
        <v>2041</v>
      </c>
      <c r="R5080" t="s">
        <v>2634</v>
      </c>
      <c r="S5080">
        <v>35</v>
      </c>
      <c r="T5080" s="43" t="str">
        <f t="shared" si="234"/>
        <v>2019.012D.zip</v>
      </c>
      <c r="U5080" s="43" t="str">
        <f>HYPERLINK("https://ictv.global/taxonomy/taxondetails?taxnode_id=202206703","ictv.global=202206703")</f>
        <v>ictv.global=202206703</v>
      </c>
    </row>
    <row r="5081" spans="1:21">
      <c r="A5081">
        <v>5080</v>
      </c>
      <c r="B5081" s="29" t="s">
        <v>4053</v>
      </c>
      <c r="C5081" s="29"/>
      <c r="D5081" s="29" t="s">
        <v>4082</v>
      </c>
      <c r="E5081" s="29"/>
      <c r="F5081" s="29" t="s">
        <v>4106</v>
      </c>
      <c r="G5081" s="29"/>
      <c r="H5081" s="29" t="s">
        <v>4117</v>
      </c>
      <c r="I5081" s="29"/>
      <c r="J5081" s="29" t="s">
        <v>4118</v>
      </c>
      <c r="K5081" s="29"/>
      <c r="L5081" s="29" t="s">
        <v>1546</v>
      </c>
      <c r="M5081" s="29"/>
      <c r="N5081" s="29" t="s">
        <v>1547</v>
      </c>
      <c r="O5081" s="29"/>
      <c r="P5081" s="29" t="s">
        <v>224</v>
      </c>
      <c r="Q5081" t="s">
        <v>2041</v>
      </c>
      <c r="R5081" t="s">
        <v>2634</v>
      </c>
      <c r="S5081">
        <v>35</v>
      </c>
      <c r="T5081" s="43" t="str">
        <f t="shared" si="234"/>
        <v>2019.012D.zip</v>
      </c>
      <c r="U5081" s="43" t="str">
        <f>HYPERLINK("https://ictv.global/taxonomy/taxondetails?taxnode_id=202203195","ictv.global=202203195")</f>
        <v>ictv.global=202203195</v>
      </c>
    </row>
    <row r="5082" spans="1:21">
      <c r="A5082">
        <v>5081</v>
      </c>
      <c r="B5082" s="29" t="s">
        <v>4053</v>
      </c>
      <c r="C5082" s="29"/>
      <c r="D5082" s="29" t="s">
        <v>4082</v>
      </c>
      <c r="E5082" s="29"/>
      <c r="F5082" s="29" t="s">
        <v>4106</v>
      </c>
      <c r="G5082" s="29"/>
      <c r="H5082" s="29" t="s">
        <v>4117</v>
      </c>
      <c r="I5082" s="29"/>
      <c r="J5082" s="29" t="s">
        <v>4118</v>
      </c>
      <c r="K5082" s="29"/>
      <c r="L5082" s="29" t="s">
        <v>1546</v>
      </c>
      <c r="M5082" s="29"/>
      <c r="N5082" s="29" t="s">
        <v>1547</v>
      </c>
      <c r="O5082" s="29"/>
      <c r="P5082" s="29" t="s">
        <v>4120</v>
      </c>
      <c r="Q5082" t="s">
        <v>2265</v>
      </c>
      <c r="R5082" t="s">
        <v>2632</v>
      </c>
      <c r="S5082">
        <v>35</v>
      </c>
      <c r="T5082" s="43" t="str">
        <f>HYPERLINK("https://ictv.global/ictv/proposals/2019.022P.zip","2019.022P.zip")</f>
        <v>2019.022P.zip</v>
      </c>
      <c r="U5082" s="43" t="str">
        <f>HYPERLINK("https://ictv.global/taxonomy/taxondetails?taxnode_id=202207519","ictv.global=202207519")</f>
        <v>ictv.global=202207519</v>
      </c>
    </row>
    <row r="5083" spans="1:21">
      <c r="A5083">
        <v>5082</v>
      </c>
      <c r="B5083" s="29" t="s">
        <v>4053</v>
      </c>
      <c r="C5083" s="29"/>
      <c r="D5083" s="29" t="s">
        <v>4082</v>
      </c>
      <c r="E5083" s="29"/>
      <c r="F5083" s="29" t="s">
        <v>4106</v>
      </c>
      <c r="G5083" s="29"/>
      <c r="H5083" s="29" t="s">
        <v>4117</v>
      </c>
      <c r="I5083" s="29"/>
      <c r="J5083" s="29" t="s">
        <v>4118</v>
      </c>
      <c r="K5083" s="29"/>
      <c r="L5083" s="29" t="s">
        <v>1546</v>
      </c>
      <c r="M5083" s="29"/>
      <c r="N5083" s="29" t="s">
        <v>1547</v>
      </c>
      <c r="O5083" s="29"/>
      <c r="P5083" s="29" t="s">
        <v>1796</v>
      </c>
      <c r="Q5083" t="s">
        <v>2041</v>
      </c>
      <c r="R5083" t="s">
        <v>2634</v>
      </c>
      <c r="S5083">
        <v>35</v>
      </c>
      <c r="T5083" s="43" t="str">
        <f t="shared" ref="T5083:T5116" si="235">HYPERLINK("https://ictv.global/ictv/proposals/2019.012D.zip","2019.012D.zip")</f>
        <v>2019.012D.zip</v>
      </c>
      <c r="U5083" s="43" t="str">
        <f>HYPERLINK("https://ictv.global/taxonomy/taxondetails?taxnode_id=202203196","ictv.global=202203196")</f>
        <v>ictv.global=202203196</v>
      </c>
    </row>
    <row r="5084" spans="1:21">
      <c r="A5084">
        <v>5083</v>
      </c>
      <c r="B5084" s="29" t="s">
        <v>4053</v>
      </c>
      <c r="C5084" s="29"/>
      <c r="D5084" s="29" t="s">
        <v>4082</v>
      </c>
      <c r="E5084" s="29"/>
      <c r="F5084" s="29" t="s">
        <v>4106</v>
      </c>
      <c r="G5084" s="29"/>
      <c r="H5084" s="29" t="s">
        <v>4117</v>
      </c>
      <c r="I5084" s="29"/>
      <c r="J5084" s="29" t="s">
        <v>4118</v>
      </c>
      <c r="K5084" s="29"/>
      <c r="L5084" s="29" t="s">
        <v>1546</v>
      </c>
      <c r="M5084" s="29"/>
      <c r="N5084" s="29" t="s">
        <v>1547</v>
      </c>
      <c r="O5084" s="29"/>
      <c r="P5084" s="29" t="s">
        <v>1797</v>
      </c>
      <c r="Q5084" t="s">
        <v>2041</v>
      </c>
      <c r="R5084" t="s">
        <v>2634</v>
      </c>
      <c r="S5084">
        <v>35</v>
      </c>
      <c r="T5084" s="43" t="str">
        <f t="shared" si="235"/>
        <v>2019.012D.zip</v>
      </c>
      <c r="U5084" s="43" t="str">
        <f>HYPERLINK("https://ictv.global/taxonomy/taxondetails?taxnode_id=202203197","ictv.global=202203197")</f>
        <v>ictv.global=202203197</v>
      </c>
    </row>
    <row r="5085" spans="1:21">
      <c r="A5085">
        <v>5084</v>
      </c>
      <c r="B5085" s="29" t="s">
        <v>4053</v>
      </c>
      <c r="C5085" s="29"/>
      <c r="D5085" s="29" t="s">
        <v>4082</v>
      </c>
      <c r="E5085" s="29"/>
      <c r="F5085" s="29" t="s">
        <v>4106</v>
      </c>
      <c r="G5085" s="29"/>
      <c r="H5085" s="29" t="s">
        <v>4117</v>
      </c>
      <c r="I5085" s="29"/>
      <c r="J5085" s="29" t="s">
        <v>4118</v>
      </c>
      <c r="K5085" s="29"/>
      <c r="L5085" s="29" t="s">
        <v>1546</v>
      </c>
      <c r="M5085" s="29"/>
      <c r="N5085" s="29" t="s">
        <v>1547</v>
      </c>
      <c r="O5085" s="29"/>
      <c r="P5085" s="29" t="s">
        <v>3635</v>
      </c>
      <c r="Q5085" t="s">
        <v>2041</v>
      </c>
      <c r="R5085" t="s">
        <v>2634</v>
      </c>
      <c r="S5085">
        <v>35</v>
      </c>
      <c r="T5085" s="43" t="str">
        <f t="shared" si="235"/>
        <v>2019.012D.zip</v>
      </c>
      <c r="U5085" s="43" t="str">
        <f>HYPERLINK("https://ictv.global/taxonomy/taxondetails?taxnode_id=202206695","ictv.global=202206695")</f>
        <v>ictv.global=202206695</v>
      </c>
    </row>
    <row r="5086" spans="1:21">
      <c r="A5086">
        <v>5085</v>
      </c>
      <c r="B5086" s="29" t="s">
        <v>4053</v>
      </c>
      <c r="C5086" s="29"/>
      <c r="D5086" s="29" t="s">
        <v>4082</v>
      </c>
      <c r="E5086" s="29"/>
      <c r="F5086" s="29" t="s">
        <v>4106</v>
      </c>
      <c r="G5086" s="29"/>
      <c r="H5086" s="29" t="s">
        <v>4117</v>
      </c>
      <c r="I5086" s="29"/>
      <c r="J5086" s="29" t="s">
        <v>4118</v>
      </c>
      <c r="K5086" s="29"/>
      <c r="L5086" s="29" t="s">
        <v>1546</v>
      </c>
      <c r="M5086" s="29"/>
      <c r="N5086" s="29" t="s">
        <v>1547</v>
      </c>
      <c r="O5086" s="29"/>
      <c r="P5086" s="29" t="s">
        <v>225</v>
      </c>
      <c r="Q5086" t="s">
        <v>2041</v>
      </c>
      <c r="R5086" t="s">
        <v>2634</v>
      </c>
      <c r="S5086">
        <v>35</v>
      </c>
      <c r="T5086" s="43" t="str">
        <f t="shared" si="235"/>
        <v>2019.012D.zip</v>
      </c>
      <c r="U5086" s="43" t="str">
        <f>HYPERLINK("https://ictv.global/taxonomy/taxondetails?taxnode_id=202203198","ictv.global=202203198")</f>
        <v>ictv.global=202203198</v>
      </c>
    </row>
    <row r="5087" spans="1:21">
      <c r="A5087">
        <v>5086</v>
      </c>
      <c r="B5087" s="29" t="s">
        <v>4053</v>
      </c>
      <c r="C5087" s="29"/>
      <c r="D5087" s="29" t="s">
        <v>4082</v>
      </c>
      <c r="E5087" s="29"/>
      <c r="F5087" s="29" t="s">
        <v>4106</v>
      </c>
      <c r="G5087" s="29"/>
      <c r="H5087" s="29" t="s">
        <v>4117</v>
      </c>
      <c r="I5087" s="29"/>
      <c r="J5087" s="29" t="s">
        <v>4118</v>
      </c>
      <c r="K5087" s="29"/>
      <c r="L5087" s="29" t="s">
        <v>1546</v>
      </c>
      <c r="M5087" s="29"/>
      <c r="N5087" s="29" t="s">
        <v>1547</v>
      </c>
      <c r="O5087" s="29"/>
      <c r="P5087" s="29" t="s">
        <v>226</v>
      </c>
      <c r="Q5087" t="s">
        <v>2041</v>
      </c>
      <c r="R5087" t="s">
        <v>2634</v>
      </c>
      <c r="S5087">
        <v>35</v>
      </c>
      <c r="T5087" s="43" t="str">
        <f t="shared" si="235"/>
        <v>2019.012D.zip</v>
      </c>
      <c r="U5087" s="43" t="str">
        <f>HYPERLINK("https://ictv.global/taxonomy/taxondetails?taxnode_id=202203199","ictv.global=202203199")</f>
        <v>ictv.global=202203199</v>
      </c>
    </row>
    <row r="5088" spans="1:21">
      <c r="A5088">
        <v>5087</v>
      </c>
      <c r="B5088" s="29" t="s">
        <v>4053</v>
      </c>
      <c r="C5088" s="29"/>
      <c r="D5088" s="29" t="s">
        <v>4082</v>
      </c>
      <c r="E5088" s="29"/>
      <c r="F5088" s="29" t="s">
        <v>4106</v>
      </c>
      <c r="G5088" s="29"/>
      <c r="H5088" s="29" t="s">
        <v>4117</v>
      </c>
      <c r="I5088" s="29"/>
      <c r="J5088" s="29" t="s">
        <v>4118</v>
      </c>
      <c r="K5088" s="29"/>
      <c r="L5088" s="29" t="s">
        <v>1546</v>
      </c>
      <c r="M5088" s="29"/>
      <c r="N5088" s="29" t="s">
        <v>1547</v>
      </c>
      <c r="O5088" s="29"/>
      <c r="P5088" s="29" t="s">
        <v>227</v>
      </c>
      <c r="Q5088" t="s">
        <v>2041</v>
      </c>
      <c r="R5088" t="s">
        <v>2634</v>
      </c>
      <c r="S5088">
        <v>35</v>
      </c>
      <c r="T5088" s="43" t="str">
        <f t="shared" si="235"/>
        <v>2019.012D.zip</v>
      </c>
      <c r="U5088" s="43" t="str">
        <f>HYPERLINK("https://ictv.global/taxonomy/taxondetails?taxnode_id=202203200","ictv.global=202203200")</f>
        <v>ictv.global=202203200</v>
      </c>
    </row>
    <row r="5089" spans="1:21">
      <c r="A5089">
        <v>5088</v>
      </c>
      <c r="B5089" s="29" t="s">
        <v>4053</v>
      </c>
      <c r="C5089" s="29"/>
      <c r="D5089" s="29" t="s">
        <v>4082</v>
      </c>
      <c r="E5089" s="29"/>
      <c r="F5089" s="29" t="s">
        <v>4106</v>
      </c>
      <c r="G5089" s="29"/>
      <c r="H5089" s="29" t="s">
        <v>4117</v>
      </c>
      <c r="I5089" s="29"/>
      <c r="J5089" s="29" t="s">
        <v>4118</v>
      </c>
      <c r="K5089" s="29"/>
      <c r="L5089" s="29" t="s">
        <v>1546</v>
      </c>
      <c r="M5089" s="29"/>
      <c r="N5089" s="29" t="s">
        <v>1547</v>
      </c>
      <c r="O5089" s="29"/>
      <c r="P5089" s="29" t="s">
        <v>2202</v>
      </c>
      <c r="Q5089" t="s">
        <v>2041</v>
      </c>
      <c r="R5089" t="s">
        <v>2634</v>
      </c>
      <c r="S5089">
        <v>35</v>
      </c>
      <c r="T5089" s="43" t="str">
        <f t="shared" si="235"/>
        <v>2019.012D.zip</v>
      </c>
      <c r="U5089" s="43" t="str">
        <f>HYPERLINK("https://ictv.global/taxonomy/taxondetails?taxnode_id=202203201","ictv.global=202203201")</f>
        <v>ictv.global=202203201</v>
      </c>
    </row>
    <row r="5090" spans="1:21">
      <c r="A5090">
        <v>5089</v>
      </c>
      <c r="B5090" s="29" t="s">
        <v>4053</v>
      </c>
      <c r="C5090" s="29"/>
      <c r="D5090" s="29" t="s">
        <v>4082</v>
      </c>
      <c r="E5090" s="29"/>
      <c r="F5090" s="29" t="s">
        <v>4106</v>
      </c>
      <c r="G5090" s="29"/>
      <c r="H5090" s="29" t="s">
        <v>4117</v>
      </c>
      <c r="I5090" s="29"/>
      <c r="J5090" s="29" t="s">
        <v>4118</v>
      </c>
      <c r="K5090" s="29"/>
      <c r="L5090" s="29" t="s">
        <v>1546</v>
      </c>
      <c r="M5090" s="29"/>
      <c r="N5090" s="29" t="s">
        <v>1547</v>
      </c>
      <c r="O5090" s="29"/>
      <c r="P5090" s="29" t="s">
        <v>2203</v>
      </c>
      <c r="Q5090" t="s">
        <v>2041</v>
      </c>
      <c r="R5090" t="s">
        <v>2634</v>
      </c>
      <c r="S5090">
        <v>35</v>
      </c>
      <c r="T5090" s="43" t="str">
        <f t="shared" si="235"/>
        <v>2019.012D.zip</v>
      </c>
      <c r="U5090" s="43" t="str">
        <f>HYPERLINK("https://ictv.global/taxonomy/taxondetails?taxnode_id=202203202","ictv.global=202203202")</f>
        <v>ictv.global=202203202</v>
      </c>
    </row>
    <row r="5091" spans="1:21">
      <c r="A5091">
        <v>5090</v>
      </c>
      <c r="B5091" s="29" t="s">
        <v>4053</v>
      </c>
      <c r="C5091" s="29"/>
      <c r="D5091" s="29" t="s">
        <v>4082</v>
      </c>
      <c r="E5091" s="29"/>
      <c r="F5091" s="29" t="s">
        <v>4106</v>
      </c>
      <c r="G5091" s="29"/>
      <c r="H5091" s="29" t="s">
        <v>4117</v>
      </c>
      <c r="I5091" s="29"/>
      <c r="J5091" s="29" t="s">
        <v>4118</v>
      </c>
      <c r="K5091" s="29"/>
      <c r="L5091" s="29" t="s">
        <v>1546</v>
      </c>
      <c r="M5091" s="29"/>
      <c r="N5091" s="29" t="s">
        <v>1547</v>
      </c>
      <c r="O5091" s="29"/>
      <c r="P5091" s="29" t="s">
        <v>2204</v>
      </c>
      <c r="Q5091" t="s">
        <v>2041</v>
      </c>
      <c r="R5091" t="s">
        <v>2634</v>
      </c>
      <c r="S5091">
        <v>35</v>
      </c>
      <c r="T5091" s="43" t="str">
        <f t="shared" si="235"/>
        <v>2019.012D.zip</v>
      </c>
      <c r="U5091" s="43" t="str">
        <f>HYPERLINK("https://ictv.global/taxonomy/taxondetails?taxnode_id=202203203","ictv.global=202203203")</f>
        <v>ictv.global=202203203</v>
      </c>
    </row>
    <row r="5092" spans="1:21">
      <c r="A5092">
        <v>5091</v>
      </c>
      <c r="B5092" s="29" t="s">
        <v>4053</v>
      </c>
      <c r="C5092" s="29"/>
      <c r="D5092" s="29" t="s">
        <v>4082</v>
      </c>
      <c r="E5092" s="29"/>
      <c r="F5092" s="29" t="s">
        <v>4106</v>
      </c>
      <c r="G5092" s="29"/>
      <c r="H5092" s="29" t="s">
        <v>4117</v>
      </c>
      <c r="I5092" s="29"/>
      <c r="J5092" s="29" t="s">
        <v>4118</v>
      </c>
      <c r="K5092" s="29"/>
      <c r="L5092" s="29" t="s">
        <v>1546</v>
      </c>
      <c r="M5092" s="29"/>
      <c r="N5092" s="29" t="s">
        <v>1547</v>
      </c>
      <c r="O5092" s="29"/>
      <c r="P5092" s="29" t="s">
        <v>1798</v>
      </c>
      <c r="Q5092" t="s">
        <v>2041</v>
      </c>
      <c r="R5092" t="s">
        <v>2634</v>
      </c>
      <c r="S5092">
        <v>35</v>
      </c>
      <c r="T5092" s="43" t="str">
        <f t="shared" si="235"/>
        <v>2019.012D.zip</v>
      </c>
      <c r="U5092" s="43" t="str">
        <f>HYPERLINK("https://ictv.global/taxonomy/taxondetails?taxnode_id=202203204","ictv.global=202203204")</f>
        <v>ictv.global=202203204</v>
      </c>
    </row>
    <row r="5093" spans="1:21">
      <c r="A5093">
        <v>5092</v>
      </c>
      <c r="B5093" s="29" t="s">
        <v>4053</v>
      </c>
      <c r="C5093" s="29"/>
      <c r="D5093" s="29" t="s">
        <v>4082</v>
      </c>
      <c r="E5093" s="29"/>
      <c r="F5093" s="29" t="s">
        <v>4106</v>
      </c>
      <c r="G5093" s="29"/>
      <c r="H5093" s="29" t="s">
        <v>4117</v>
      </c>
      <c r="I5093" s="29"/>
      <c r="J5093" s="29" t="s">
        <v>4118</v>
      </c>
      <c r="K5093" s="29"/>
      <c r="L5093" s="29" t="s">
        <v>1546</v>
      </c>
      <c r="M5093" s="29"/>
      <c r="N5093" s="29" t="s">
        <v>1547</v>
      </c>
      <c r="O5093" s="29"/>
      <c r="P5093" s="29" t="s">
        <v>228</v>
      </c>
      <c r="Q5093" t="s">
        <v>2041</v>
      </c>
      <c r="R5093" t="s">
        <v>2634</v>
      </c>
      <c r="S5093">
        <v>35</v>
      </c>
      <c r="T5093" s="43" t="str">
        <f t="shared" si="235"/>
        <v>2019.012D.zip</v>
      </c>
      <c r="U5093" s="43" t="str">
        <f>HYPERLINK("https://ictv.global/taxonomy/taxondetails?taxnode_id=202203205","ictv.global=202203205")</f>
        <v>ictv.global=202203205</v>
      </c>
    </row>
    <row r="5094" spans="1:21">
      <c r="A5094">
        <v>5093</v>
      </c>
      <c r="B5094" s="29" t="s">
        <v>4053</v>
      </c>
      <c r="C5094" s="29"/>
      <c r="D5094" s="29" t="s">
        <v>4082</v>
      </c>
      <c r="E5094" s="29"/>
      <c r="F5094" s="29" t="s">
        <v>4106</v>
      </c>
      <c r="G5094" s="29"/>
      <c r="H5094" s="29" t="s">
        <v>4117</v>
      </c>
      <c r="I5094" s="29"/>
      <c r="J5094" s="29" t="s">
        <v>4118</v>
      </c>
      <c r="K5094" s="29"/>
      <c r="L5094" s="29" t="s">
        <v>1546</v>
      </c>
      <c r="M5094" s="29"/>
      <c r="N5094" s="29" t="s">
        <v>1547</v>
      </c>
      <c r="O5094" s="29"/>
      <c r="P5094" s="29" t="s">
        <v>2205</v>
      </c>
      <c r="Q5094" t="s">
        <v>2041</v>
      </c>
      <c r="R5094" t="s">
        <v>2634</v>
      </c>
      <c r="S5094">
        <v>35</v>
      </c>
      <c r="T5094" s="43" t="str">
        <f t="shared" si="235"/>
        <v>2019.012D.zip</v>
      </c>
      <c r="U5094" s="43" t="str">
        <f>HYPERLINK("https://ictv.global/taxonomy/taxondetails?taxnode_id=202203206","ictv.global=202203206")</f>
        <v>ictv.global=202203206</v>
      </c>
    </row>
    <row r="5095" spans="1:21">
      <c r="A5095">
        <v>5094</v>
      </c>
      <c r="B5095" s="29" t="s">
        <v>4053</v>
      </c>
      <c r="C5095" s="29"/>
      <c r="D5095" s="29" t="s">
        <v>4082</v>
      </c>
      <c r="E5095" s="29"/>
      <c r="F5095" s="29" t="s">
        <v>4106</v>
      </c>
      <c r="G5095" s="29"/>
      <c r="H5095" s="29" t="s">
        <v>4117</v>
      </c>
      <c r="I5095" s="29"/>
      <c r="J5095" s="29" t="s">
        <v>4118</v>
      </c>
      <c r="K5095" s="29"/>
      <c r="L5095" s="29" t="s">
        <v>1546</v>
      </c>
      <c r="M5095" s="29"/>
      <c r="N5095" s="29" t="s">
        <v>1547</v>
      </c>
      <c r="O5095" s="29"/>
      <c r="P5095" s="29" t="s">
        <v>3636</v>
      </c>
      <c r="Q5095" t="s">
        <v>2041</v>
      </c>
      <c r="R5095" t="s">
        <v>2634</v>
      </c>
      <c r="S5095">
        <v>35</v>
      </c>
      <c r="T5095" s="43" t="str">
        <f t="shared" si="235"/>
        <v>2019.012D.zip</v>
      </c>
      <c r="U5095" s="43" t="str">
        <f>HYPERLINK("https://ictv.global/taxonomy/taxondetails?taxnode_id=202206696","ictv.global=202206696")</f>
        <v>ictv.global=202206696</v>
      </c>
    </row>
    <row r="5096" spans="1:21">
      <c r="A5096">
        <v>5095</v>
      </c>
      <c r="B5096" s="29" t="s">
        <v>4053</v>
      </c>
      <c r="C5096" s="29"/>
      <c r="D5096" s="29" t="s">
        <v>4082</v>
      </c>
      <c r="E5096" s="29"/>
      <c r="F5096" s="29" t="s">
        <v>4106</v>
      </c>
      <c r="G5096" s="29"/>
      <c r="H5096" s="29" t="s">
        <v>4117</v>
      </c>
      <c r="I5096" s="29"/>
      <c r="J5096" s="29" t="s">
        <v>4118</v>
      </c>
      <c r="K5096" s="29"/>
      <c r="L5096" s="29" t="s">
        <v>1546</v>
      </c>
      <c r="M5096" s="29"/>
      <c r="N5096" s="29" t="s">
        <v>1547</v>
      </c>
      <c r="O5096" s="29"/>
      <c r="P5096" s="29" t="s">
        <v>3637</v>
      </c>
      <c r="Q5096" t="s">
        <v>2041</v>
      </c>
      <c r="R5096" t="s">
        <v>2634</v>
      </c>
      <c r="S5096">
        <v>35</v>
      </c>
      <c r="T5096" s="43" t="str">
        <f t="shared" si="235"/>
        <v>2019.012D.zip</v>
      </c>
      <c r="U5096" s="43" t="str">
        <f>HYPERLINK("https://ictv.global/taxonomy/taxondetails?taxnode_id=202206697","ictv.global=202206697")</f>
        <v>ictv.global=202206697</v>
      </c>
    </row>
    <row r="5097" spans="1:21">
      <c r="A5097">
        <v>5096</v>
      </c>
      <c r="B5097" s="29" t="s">
        <v>4053</v>
      </c>
      <c r="C5097" s="29"/>
      <c r="D5097" s="29" t="s">
        <v>4082</v>
      </c>
      <c r="E5097" s="29"/>
      <c r="F5097" s="29" t="s">
        <v>4106</v>
      </c>
      <c r="G5097" s="29"/>
      <c r="H5097" s="29" t="s">
        <v>4117</v>
      </c>
      <c r="I5097" s="29"/>
      <c r="J5097" s="29" t="s">
        <v>4118</v>
      </c>
      <c r="K5097" s="29"/>
      <c r="L5097" s="29" t="s">
        <v>1546</v>
      </c>
      <c r="M5097" s="29"/>
      <c r="N5097" s="29" t="s">
        <v>1547</v>
      </c>
      <c r="O5097" s="29"/>
      <c r="P5097" s="29" t="s">
        <v>3638</v>
      </c>
      <c r="Q5097" t="s">
        <v>2041</v>
      </c>
      <c r="R5097" t="s">
        <v>2634</v>
      </c>
      <c r="S5097">
        <v>35</v>
      </c>
      <c r="T5097" s="43" t="str">
        <f t="shared" si="235"/>
        <v>2019.012D.zip</v>
      </c>
      <c r="U5097" s="43" t="str">
        <f>HYPERLINK("https://ictv.global/taxonomy/taxondetails?taxnode_id=202206698","ictv.global=202206698")</f>
        <v>ictv.global=202206698</v>
      </c>
    </row>
    <row r="5098" spans="1:21">
      <c r="A5098">
        <v>5097</v>
      </c>
      <c r="B5098" s="29" t="s">
        <v>4053</v>
      </c>
      <c r="C5098" s="29"/>
      <c r="D5098" s="29" t="s">
        <v>4082</v>
      </c>
      <c r="E5098" s="29"/>
      <c r="F5098" s="29" t="s">
        <v>4106</v>
      </c>
      <c r="G5098" s="29"/>
      <c r="H5098" s="29" t="s">
        <v>4117</v>
      </c>
      <c r="I5098" s="29"/>
      <c r="J5098" s="29" t="s">
        <v>4118</v>
      </c>
      <c r="K5098" s="29"/>
      <c r="L5098" s="29" t="s">
        <v>1546</v>
      </c>
      <c r="M5098" s="29"/>
      <c r="N5098" s="29" t="s">
        <v>1547</v>
      </c>
      <c r="O5098" s="29"/>
      <c r="P5098" s="29" t="s">
        <v>2206</v>
      </c>
      <c r="Q5098" t="s">
        <v>2041</v>
      </c>
      <c r="R5098" t="s">
        <v>2634</v>
      </c>
      <c r="S5098">
        <v>35</v>
      </c>
      <c r="T5098" s="43" t="str">
        <f t="shared" si="235"/>
        <v>2019.012D.zip</v>
      </c>
      <c r="U5098" s="43" t="str">
        <f>HYPERLINK("https://ictv.global/taxonomy/taxondetails?taxnode_id=202203207","ictv.global=202203207")</f>
        <v>ictv.global=202203207</v>
      </c>
    </row>
    <row r="5099" spans="1:21">
      <c r="A5099">
        <v>5098</v>
      </c>
      <c r="B5099" s="29" t="s">
        <v>4053</v>
      </c>
      <c r="C5099" s="29"/>
      <c r="D5099" s="29" t="s">
        <v>4082</v>
      </c>
      <c r="E5099" s="29"/>
      <c r="F5099" s="29" t="s">
        <v>4106</v>
      </c>
      <c r="G5099" s="29"/>
      <c r="H5099" s="29" t="s">
        <v>4117</v>
      </c>
      <c r="I5099" s="29"/>
      <c r="J5099" s="29" t="s">
        <v>4118</v>
      </c>
      <c r="K5099" s="29"/>
      <c r="L5099" s="29" t="s">
        <v>1546</v>
      </c>
      <c r="M5099" s="29"/>
      <c r="N5099" s="29" t="s">
        <v>1547</v>
      </c>
      <c r="O5099" s="29"/>
      <c r="P5099" s="29" t="s">
        <v>2207</v>
      </c>
      <c r="Q5099" t="s">
        <v>2041</v>
      </c>
      <c r="R5099" t="s">
        <v>2634</v>
      </c>
      <c r="S5099">
        <v>35</v>
      </c>
      <c r="T5099" s="43" t="str">
        <f t="shared" si="235"/>
        <v>2019.012D.zip</v>
      </c>
      <c r="U5099" s="43" t="str">
        <f>HYPERLINK("https://ictv.global/taxonomy/taxondetails?taxnode_id=202203208","ictv.global=202203208")</f>
        <v>ictv.global=202203208</v>
      </c>
    </row>
    <row r="5100" spans="1:21">
      <c r="A5100">
        <v>5099</v>
      </c>
      <c r="B5100" s="29" t="s">
        <v>4053</v>
      </c>
      <c r="C5100" s="29"/>
      <c r="D5100" s="29" t="s">
        <v>4082</v>
      </c>
      <c r="E5100" s="29"/>
      <c r="F5100" s="29" t="s">
        <v>4106</v>
      </c>
      <c r="G5100" s="29"/>
      <c r="H5100" s="29" t="s">
        <v>4117</v>
      </c>
      <c r="I5100" s="29"/>
      <c r="J5100" s="29" t="s">
        <v>4118</v>
      </c>
      <c r="K5100" s="29"/>
      <c r="L5100" s="29" t="s">
        <v>1546</v>
      </c>
      <c r="M5100" s="29"/>
      <c r="N5100" s="29" t="s">
        <v>1547</v>
      </c>
      <c r="O5100" s="29"/>
      <c r="P5100" s="29" t="s">
        <v>3639</v>
      </c>
      <c r="Q5100" t="s">
        <v>2041</v>
      </c>
      <c r="R5100" t="s">
        <v>2634</v>
      </c>
      <c r="S5100">
        <v>35</v>
      </c>
      <c r="T5100" s="43" t="str">
        <f t="shared" si="235"/>
        <v>2019.012D.zip</v>
      </c>
      <c r="U5100" s="43" t="str">
        <f>HYPERLINK("https://ictv.global/taxonomy/taxondetails?taxnode_id=202206699","ictv.global=202206699")</f>
        <v>ictv.global=202206699</v>
      </c>
    </row>
    <row r="5101" spans="1:21">
      <c r="A5101">
        <v>5100</v>
      </c>
      <c r="B5101" s="29" t="s">
        <v>4053</v>
      </c>
      <c r="C5101" s="29"/>
      <c r="D5101" s="29" t="s">
        <v>4082</v>
      </c>
      <c r="E5101" s="29"/>
      <c r="F5101" s="29" t="s">
        <v>4106</v>
      </c>
      <c r="G5101" s="29"/>
      <c r="H5101" s="29" t="s">
        <v>4117</v>
      </c>
      <c r="I5101" s="29"/>
      <c r="J5101" s="29" t="s">
        <v>4118</v>
      </c>
      <c r="K5101" s="29"/>
      <c r="L5101" s="29" t="s">
        <v>1546</v>
      </c>
      <c r="M5101" s="29"/>
      <c r="N5101" s="29" t="s">
        <v>1547</v>
      </c>
      <c r="O5101" s="29"/>
      <c r="P5101" s="29" t="s">
        <v>2208</v>
      </c>
      <c r="Q5101" t="s">
        <v>2041</v>
      </c>
      <c r="R5101" t="s">
        <v>2634</v>
      </c>
      <c r="S5101">
        <v>35</v>
      </c>
      <c r="T5101" s="43" t="str">
        <f t="shared" si="235"/>
        <v>2019.012D.zip</v>
      </c>
      <c r="U5101" s="43" t="str">
        <f>HYPERLINK("https://ictv.global/taxonomy/taxondetails?taxnode_id=202203209","ictv.global=202203209")</f>
        <v>ictv.global=202203209</v>
      </c>
    </row>
    <row r="5102" spans="1:21">
      <c r="A5102">
        <v>5101</v>
      </c>
      <c r="B5102" s="29" t="s">
        <v>4053</v>
      </c>
      <c r="C5102" s="29"/>
      <c r="D5102" s="29" t="s">
        <v>4082</v>
      </c>
      <c r="E5102" s="29"/>
      <c r="F5102" s="29" t="s">
        <v>4106</v>
      </c>
      <c r="G5102" s="29"/>
      <c r="H5102" s="29" t="s">
        <v>4117</v>
      </c>
      <c r="I5102" s="29"/>
      <c r="J5102" s="29" t="s">
        <v>4118</v>
      </c>
      <c r="K5102" s="29"/>
      <c r="L5102" s="29" t="s">
        <v>1546</v>
      </c>
      <c r="M5102" s="29"/>
      <c r="N5102" s="29" t="s">
        <v>1547</v>
      </c>
      <c r="O5102" s="29"/>
      <c r="P5102" s="29" t="s">
        <v>229</v>
      </c>
      <c r="Q5102" t="s">
        <v>2041</v>
      </c>
      <c r="R5102" t="s">
        <v>2634</v>
      </c>
      <c r="S5102">
        <v>35</v>
      </c>
      <c r="T5102" s="43" t="str">
        <f t="shared" si="235"/>
        <v>2019.012D.zip</v>
      </c>
      <c r="U5102" s="43" t="str">
        <f>HYPERLINK("https://ictv.global/taxonomy/taxondetails?taxnode_id=202203210","ictv.global=202203210")</f>
        <v>ictv.global=202203210</v>
      </c>
    </row>
    <row r="5103" spans="1:21">
      <c r="A5103">
        <v>5102</v>
      </c>
      <c r="B5103" s="29" t="s">
        <v>4053</v>
      </c>
      <c r="C5103" s="29"/>
      <c r="D5103" s="29" t="s">
        <v>4082</v>
      </c>
      <c r="E5103" s="29"/>
      <c r="F5103" s="29" t="s">
        <v>4106</v>
      </c>
      <c r="G5103" s="29"/>
      <c r="H5103" s="29" t="s">
        <v>4117</v>
      </c>
      <c r="I5103" s="29"/>
      <c r="J5103" s="29" t="s">
        <v>4118</v>
      </c>
      <c r="K5103" s="29"/>
      <c r="L5103" s="29" t="s">
        <v>1546</v>
      </c>
      <c r="M5103" s="29"/>
      <c r="N5103" s="29" t="s">
        <v>1547</v>
      </c>
      <c r="O5103" s="29"/>
      <c r="P5103" s="29" t="s">
        <v>1799</v>
      </c>
      <c r="Q5103" t="s">
        <v>2041</v>
      </c>
      <c r="R5103" t="s">
        <v>2634</v>
      </c>
      <c r="S5103">
        <v>35</v>
      </c>
      <c r="T5103" s="43" t="str">
        <f t="shared" si="235"/>
        <v>2019.012D.zip</v>
      </c>
      <c r="U5103" s="43" t="str">
        <f>HYPERLINK("https://ictv.global/taxonomy/taxondetails?taxnode_id=202203211","ictv.global=202203211")</f>
        <v>ictv.global=202203211</v>
      </c>
    </row>
    <row r="5104" spans="1:21">
      <c r="A5104">
        <v>5103</v>
      </c>
      <c r="B5104" s="29" t="s">
        <v>4053</v>
      </c>
      <c r="C5104" s="29"/>
      <c r="D5104" s="29" t="s">
        <v>4082</v>
      </c>
      <c r="E5104" s="29"/>
      <c r="F5104" s="29" t="s">
        <v>4106</v>
      </c>
      <c r="G5104" s="29"/>
      <c r="H5104" s="29" t="s">
        <v>4117</v>
      </c>
      <c r="I5104" s="29"/>
      <c r="J5104" s="29" t="s">
        <v>4118</v>
      </c>
      <c r="K5104" s="29"/>
      <c r="L5104" s="29" t="s">
        <v>1546</v>
      </c>
      <c r="M5104" s="29"/>
      <c r="N5104" s="29" t="s">
        <v>1547</v>
      </c>
      <c r="O5104" s="29"/>
      <c r="P5104" s="29" t="s">
        <v>230</v>
      </c>
      <c r="Q5104" t="s">
        <v>2041</v>
      </c>
      <c r="R5104" t="s">
        <v>2634</v>
      </c>
      <c r="S5104">
        <v>35</v>
      </c>
      <c r="T5104" s="43" t="str">
        <f t="shared" si="235"/>
        <v>2019.012D.zip</v>
      </c>
      <c r="U5104" s="43" t="str">
        <f>HYPERLINK("https://ictv.global/taxonomy/taxondetails?taxnode_id=202203212","ictv.global=202203212")</f>
        <v>ictv.global=202203212</v>
      </c>
    </row>
    <row r="5105" spans="1:21">
      <c r="A5105">
        <v>5104</v>
      </c>
      <c r="B5105" s="29" t="s">
        <v>4053</v>
      </c>
      <c r="C5105" s="29"/>
      <c r="D5105" s="29" t="s">
        <v>4082</v>
      </c>
      <c r="E5105" s="29"/>
      <c r="F5105" s="29" t="s">
        <v>4106</v>
      </c>
      <c r="G5105" s="29"/>
      <c r="H5105" s="29" t="s">
        <v>4117</v>
      </c>
      <c r="I5105" s="29"/>
      <c r="J5105" s="29" t="s">
        <v>4118</v>
      </c>
      <c r="K5105" s="29"/>
      <c r="L5105" s="29" t="s">
        <v>1546</v>
      </c>
      <c r="M5105" s="29"/>
      <c r="N5105" s="29" t="s">
        <v>1547</v>
      </c>
      <c r="O5105" s="29"/>
      <c r="P5105" s="29" t="s">
        <v>1800</v>
      </c>
      <c r="Q5105" t="s">
        <v>2041</v>
      </c>
      <c r="R5105" t="s">
        <v>2634</v>
      </c>
      <c r="S5105">
        <v>35</v>
      </c>
      <c r="T5105" s="43" t="str">
        <f t="shared" si="235"/>
        <v>2019.012D.zip</v>
      </c>
      <c r="U5105" s="43" t="str">
        <f>HYPERLINK("https://ictv.global/taxonomy/taxondetails?taxnode_id=202203213","ictv.global=202203213")</f>
        <v>ictv.global=202203213</v>
      </c>
    </row>
    <row r="5106" spans="1:21">
      <c r="A5106">
        <v>5105</v>
      </c>
      <c r="B5106" s="29" t="s">
        <v>4053</v>
      </c>
      <c r="C5106" s="29"/>
      <c r="D5106" s="29" t="s">
        <v>4082</v>
      </c>
      <c r="E5106" s="29"/>
      <c r="F5106" s="29" t="s">
        <v>4106</v>
      </c>
      <c r="G5106" s="29"/>
      <c r="H5106" s="29" t="s">
        <v>4117</v>
      </c>
      <c r="I5106" s="29"/>
      <c r="J5106" s="29" t="s">
        <v>4118</v>
      </c>
      <c r="K5106" s="29"/>
      <c r="L5106" s="29" t="s">
        <v>1546</v>
      </c>
      <c r="M5106" s="29"/>
      <c r="N5106" s="29" t="s">
        <v>1547</v>
      </c>
      <c r="O5106" s="29"/>
      <c r="P5106" s="29" t="s">
        <v>1801</v>
      </c>
      <c r="Q5106" t="s">
        <v>2041</v>
      </c>
      <c r="R5106" t="s">
        <v>2634</v>
      </c>
      <c r="S5106">
        <v>35</v>
      </c>
      <c r="T5106" s="43" t="str">
        <f t="shared" si="235"/>
        <v>2019.012D.zip</v>
      </c>
      <c r="U5106" s="43" t="str">
        <f>HYPERLINK("https://ictv.global/taxonomy/taxondetails?taxnode_id=202203214","ictv.global=202203214")</f>
        <v>ictv.global=202203214</v>
      </c>
    </row>
    <row r="5107" spans="1:21">
      <c r="A5107">
        <v>5106</v>
      </c>
      <c r="B5107" s="29" t="s">
        <v>4053</v>
      </c>
      <c r="C5107" s="29"/>
      <c r="D5107" s="29" t="s">
        <v>4082</v>
      </c>
      <c r="E5107" s="29"/>
      <c r="F5107" s="29" t="s">
        <v>4106</v>
      </c>
      <c r="G5107" s="29"/>
      <c r="H5107" s="29" t="s">
        <v>4117</v>
      </c>
      <c r="I5107" s="29"/>
      <c r="J5107" s="29" t="s">
        <v>4118</v>
      </c>
      <c r="K5107" s="29"/>
      <c r="L5107" s="29" t="s">
        <v>1546</v>
      </c>
      <c r="M5107" s="29"/>
      <c r="N5107" s="29" t="s">
        <v>1547</v>
      </c>
      <c r="O5107" s="29"/>
      <c r="P5107" s="29" t="s">
        <v>231</v>
      </c>
      <c r="Q5107" t="s">
        <v>2041</v>
      </c>
      <c r="R5107" t="s">
        <v>2634</v>
      </c>
      <c r="S5107">
        <v>35</v>
      </c>
      <c r="T5107" s="43" t="str">
        <f t="shared" si="235"/>
        <v>2019.012D.zip</v>
      </c>
      <c r="U5107" s="43" t="str">
        <f>HYPERLINK("https://ictv.global/taxonomy/taxondetails?taxnode_id=202203215","ictv.global=202203215")</f>
        <v>ictv.global=202203215</v>
      </c>
    </row>
    <row r="5108" spans="1:21">
      <c r="A5108">
        <v>5107</v>
      </c>
      <c r="B5108" s="29" t="s">
        <v>4053</v>
      </c>
      <c r="C5108" s="29"/>
      <c r="D5108" s="29" t="s">
        <v>4082</v>
      </c>
      <c r="E5108" s="29"/>
      <c r="F5108" s="29" t="s">
        <v>4106</v>
      </c>
      <c r="G5108" s="29"/>
      <c r="H5108" s="29" t="s">
        <v>4117</v>
      </c>
      <c r="I5108" s="29"/>
      <c r="J5108" s="29" t="s">
        <v>4118</v>
      </c>
      <c r="K5108" s="29"/>
      <c r="L5108" s="29" t="s">
        <v>1546</v>
      </c>
      <c r="M5108" s="29"/>
      <c r="N5108" s="29" t="s">
        <v>1547</v>
      </c>
      <c r="O5108" s="29"/>
      <c r="P5108" s="29" t="s">
        <v>2209</v>
      </c>
      <c r="Q5108" t="s">
        <v>2041</v>
      </c>
      <c r="R5108" t="s">
        <v>2634</v>
      </c>
      <c r="S5108">
        <v>35</v>
      </c>
      <c r="T5108" s="43" t="str">
        <f t="shared" si="235"/>
        <v>2019.012D.zip</v>
      </c>
      <c r="U5108" s="43" t="str">
        <f>HYPERLINK("https://ictv.global/taxonomy/taxondetails?taxnode_id=202203216","ictv.global=202203216")</f>
        <v>ictv.global=202203216</v>
      </c>
    </row>
    <row r="5109" spans="1:21">
      <c r="A5109">
        <v>5108</v>
      </c>
      <c r="B5109" s="29" t="s">
        <v>4053</v>
      </c>
      <c r="C5109" s="29"/>
      <c r="D5109" s="29" t="s">
        <v>4082</v>
      </c>
      <c r="E5109" s="29"/>
      <c r="F5109" s="29" t="s">
        <v>4106</v>
      </c>
      <c r="G5109" s="29"/>
      <c r="H5109" s="29" t="s">
        <v>4117</v>
      </c>
      <c r="I5109" s="29"/>
      <c r="J5109" s="29" t="s">
        <v>4118</v>
      </c>
      <c r="K5109" s="29"/>
      <c r="L5109" s="29" t="s">
        <v>1546</v>
      </c>
      <c r="M5109" s="29"/>
      <c r="N5109" s="29" t="s">
        <v>1547</v>
      </c>
      <c r="O5109" s="29"/>
      <c r="P5109" s="29" t="s">
        <v>2210</v>
      </c>
      <c r="Q5109" t="s">
        <v>2041</v>
      </c>
      <c r="R5109" t="s">
        <v>2634</v>
      </c>
      <c r="S5109">
        <v>35</v>
      </c>
      <c r="T5109" s="43" t="str">
        <f t="shared" si="235"/>
        <v>2019.012D.zip</v>
      </c>
      <c r="U5109" s="43" t="str">
        <f>HYPERLINK("https://ictv.global/taxonomy/taxondetails?taxnode_id=202203217","ictv.global=202203217")</f>
        <v>ictv.global=202203217</v>
      </c>
    </row>
    <row r="5110" spans="1:21">
      <c r="A5110">
        <v>5109</v>
      </c>
      <c r="B5110" s="29" t="s">
        <v>4053</v>
      </c>
      <c r="C5110" s="29"/>
      <c r="D5110" s="29" t="s">
        <v>4082</v>
      </c>
      <c r="E5110" s="29"/>
      <c r="F5110" s="29" t="s">
        <v>4106</v>
      </c>
      <c r="G5110" s="29"/>
      <c r="H5110" s="29" t="s">
        <v>4117</v>
      </c>
      <c r="I5110" s="29"/>
      <c r="J5110" s="29" t="s">
        <v>4118</v>
      </c>
      <c r="K5110" s="29"/>
      <c r="L5110" s="29" t="s">
        <v>1546</v>
      </c>
      <c r="M5110" s="29"/>
      <c r="N5110" s="29" t="s">
        <v>1547</v>
      </c>
      <c r="O5110" s="29"/>
      <c r="P5110" s="29" t="s">
        <v>2211</v>
      </c>
      <c r="Q5110" t="s">
        <v>2041</v>
      </c>
      <c r="R5110" t="s">
        <v>2634</v>
      </c>
      <c r="S5110">
        <v>35</v>
      </c>
      <c r="T5110" s="43" t="str">
        <f t="shared" si="235"/>
        <v>2019.012D.zip</v>
      </c>
      <c r="U5110" s="43" t="str">
        <f>HYPERLINK("https://ictv.global/taxonomy/taxondetails?taxnode_id=202203218","ictv.global=202203218")</f>
        <v>ictv.global=202203218</v>
      </c>
    </row>
    <row r="5111" spans="1:21">
      <c r="A5111">
        <v>5110</v>
      </c>
      <c r="B5111" s="29" t="s">
        <v>4053</v>
      </c>
      <c r="C5111" s="29"/>
      <c r="D5111" s="29" t="s">
        <v>4082</v>
      </c>
      <c r="E5111" s="29"/>
      <c r="F5111" s="29" t="s">
        <v>4106</v>
      </c>
      <c r="G5111" s="29"/>
      <c r="H5111" s="29" t="s">
        <v>4117</v>
      </c>
      <c r="I5111" s="29"/>
      <c r="J5111" s="29" t="s">
        <v>4118</v>
      </c>
      <c r="K5111" s="29"/>
      <c r="L5111" s="29" t="s">
        <v>1546</v>
      </c>
      <c r="M5111" s="29"/>
      <c r="N5111" s="29" t="s">
        <v>1547</v>
      </c>
      <c r="O5111" s="29"/>
      <c r="P5111" s="29" t="s">
        <v>2846</v>
      </c>
      <c r="Q5111" t="s">
        <v>2041</v>
      </c>
      <c r="R5111" t="s">
        <v>2634</v>
      </c>
      <c r="S5111">
        <v>35</v>
      </c>
      <c r="T5111" s="43" t="str">
        <f t="shared" si="235"/>
        <v>2019.012D.zip</v>
      </c>
      <c r="U5111" s="43" t="str">
        <f>HYPERLINK("https://ictv.global/taxonomy/taxondetails?taxnode_id=202205791","ictv.global=202205791")</f>
        <v>ictv.global=202205791</v>
      </c>
    </row>
    <row r="5112" spans="1:21">
      <c r="A5112">
        <v>5111</v>
      </c>
      <c r="B5112" s="29" t="s">
        <v>4053</v>
      </c>
      <c r="C5112" s="29"/>
      <c r="D5112" s="29" t="s">
        <v>4082</v>
      </c>
      <c r="E5112" s="29"/>
      <c r="F5112" s="29" t="s">
        <v>4106</v>
      </c>
      <c r="G5112" s="29"/>
      <c r="H5112" s="29" t="s">
        <v>4117</v>
      </c>
      <c r="I5112" s="29"/>
      <c r="J5112" s="29" t="s">
        <v>4118</v>
      </c>
      <c r="K5112" s="29"/>
      <c r="L5112" s="29" t="s">
        <v>1546</v>
      </c>
      <c r="M5112" s="29"/>
      <c r="N5112" s="29" t="s">
        <v>1547</v>
      </c>
      <c r="O5112" s="29"/>
      <c r="P5112" s="29" t="s">
        <v>2847</v>
      </c>
      <c r="Q5112" t="s">
        <v>2041</v>
      </c>
      <c r="R5112" t="s">
        <v>2634</v>
      </c>
      <c r="S5112">
        <v>35</v>
      </c>
      <c r="T5112" s="43" t="str">
        <f t="shared" si="235"/>
        <v>2019.012D.zip</v>
      </c>
      <c r="U5112" s="43" t="str">
        <f>HYPERLINK("https://ictv.global/taxonomy/taxondetails?taxnode_id=202205792","ictv.global=202205792")</f>
        <v>ictv.global=202205792</v>
      </c>
    </row>
    <row r="5113" spans="1:21">
      <c r="A5113">
        <v>5112</v>
      </c>
      <c r="B5113" s="29" t="s">
        <v>4053</v>
      </c>
      <c r="C5113" s="29"/>
      <c r="D5113" s="29" t="s">
        <v>4082</v>
      </c>
      <c r="E5113" s="29"/>
      <c r="F5113" s="29" t="s">
        <v>4106</v>
      </c>
      <c r="G5113" s="29"/>
      <c r="H5113" s="29" t="s">
        <v>4117</v>
      </c>
      <c r="I5113" s="29"/>
      <c r="J5113" s="29" t="s">
        <v>4118</v>
      </c>
      <c r="K5113" s="29"/>
      <c r="L5113" s="29" t="s">
        <v>1546</v>
      </c>
      <c r="M5113" s="29"/>
      <c r="N5113" s="29" t="s">
        <v>1547</v>
      </c>
      <c r="O5113" s="29"/>
      <c r="P5113" s="29" t="s">
        <v>2848</v>
      </c>
      <c r="Q5113" t="s">
        <v>2041</v>
      </c>
      <c r="R5113" t="s">
        <v>2634</v>
      </c>
      <c r="S5113">
        <v>35</v>
      </c>
      <c r="T5113" s="43" t="str">
        <f t="shared" si="235"/>
        <v>2019.012D.zip</v>
      </c>
      <c r="U5113" s="43" t="str">
        <f>HYPERLINK("https://ictv.global/taxonomy/taxondetails?taxnode_id=202205793","ictv.global=202205793")</f>
        <v>ictv.global=202205793</v>
      </c>
    </row>
    <row r="5114" spans="1:21">
      <c r="A5114">
        <v>5113</v>
      </c>
      <c r="B5114" s="29" t="s">
        <v>4053</v>
      </c>
      <c r="C5114" s="29"/>
      <c r="D5114" s="29" t="s">
        <v>4082</v>
      </c>
      <c r="E5114" s="29"/>
      <c r="F5114" s="29" t="s">
        <v>4106</v>
      </c>
      <c r="G5114" s="29"/>
      <c r="H5114" s="29" t="s">
        <v>4117</v>
      </c>
      <c r="I5114" s="29"/>
      <c r="J5114" s="29" t="s">
        <v>4118</v>
      </c>
      <c r="K5114" s="29"/>
      <c r="L5114" s="29" t="s">
        <v>1546</v>
      </c>
      <c r="M5114" s="29"/>
      <c r="N5114" s="29" t="s">
        <v>1547</v>
      </c>
      <c r="O5114" s="29"/>
      <c r="P5114" s="29" t="s">
        <v>2849</v>
      </c>
      <c r="Q5114" t="s">
        <v>2041</v>
      </c>
      <c r="R5114" t="s">
        <v>2634</v>
      </c>
      <c r="S5114">
        <v>35</v>
      </c>
      <c r="T5114" s="43" t="str">
        <f t="shared" si="235"/>
        <v>2019.012D.zip</v>
      </c>
      <c r="U5114" s="43" t="str">
        <f>HYPERLINK("https://ictv.global/taxonomy/taxondetails?taxnode_id=202205794","ictv.global=202205794")</f>
        <v>ictv.global=202205794</v>
      </c>
    </row>
    <row r="5115" spans="1:21">
      <c r="A5115">
        <v>5114</v>
      </c>
      <c r="B5115" s="29" t="s">
        <v>4053</v>
      </c>
      <c r="C5115" s="29"/>
      <c r="D5115" s="29" t="s">
        <v>4082</v>
      </c>
      <c r="E5115" s="29"/>
      <c r="F5115" s="29" t="s">
        <v>4106</v>
      </c>
      <c r="G5115" s="29"/>
      <c r="H5115" s="29" t="s">
        <v>4117</v>
      </c>
      <c r="I5115" s="29"/>
      <c r="J5115" s="29" t="s">
        <v>4118</v>
      </c>
      <c r="K5115" s="29"/>
      <c r="L5115" s="29" t="s">
        <v>1546</v>
      </c>
      <c r="M5115" s="29"/>
      <c r="N5115" s="29" t="s">
        <v>1547</v>
      </c>
      <c r="O5115" s="29"/>
      <c r="P5115" s="29" t="s">
        <v>232</v>
      </c>
      <c r="Q5115" t="s">
        <v>2041</v>
      </c>
      <c r="R5115" t="s">
        <v>2634</v>
      </c>
      <c r="S5115">
        <v>35</v>
      </c>
      <c r="T5115" s="43" t="str">
        <f t="shared" si="235"/>
        <v>2019.012D.zip</v>
      </c>
      <c r="U5115" s="43" t="str">
        <f>HYPERLINK("https://ictv.global/taxonomy/taxondetails?taxnode_id=202203219","ictv.global=202203219")</f>
        <v>ictv.global=202203219</v>
      </c>
    </row>
    <row r="5116" spans="1:21">
      <c r="A5116">
        <v>5115</v>
      </c>
      <c r="B5116" s="29" t="s">
        <v>4053</v>
      </c>
      <c r="C5116" s="29"/>
      <c r="D5116" s="29" t="s">
        <v>4082</v>
      </c>
      <c r="E5116" s="29"/>
      <c r="F5116" s="29" t="s">
        <v>4106</v>
      </c>
      <c r="G5116" s="29"/>
      <c r="H5116" s="29" t="s">
        <v>4117</v>
      </c>
      <c r="I5116" s="29"/>
      <c r="J5116" s="29" t="s">
        <v>4118</v>
      </c>
      <c r="K5116" s="29"/>
      <c r="L5116" s="29" t="s">
        <v>1546</v>
      </c>
      <c r="M5116" s="29"/>
      <c r="N5116" s="29" t="s">
        <v>1547</v>
      </c>
      <c r="O5116" s="29"/>
      <c r="P5116" s="29" t="s">
        <v>233</v>
      </c>
      <c r="Q5116" t="s">
        <v>2041</v>
      </c>
      <c r="R5116" t="s">
        <v>2634</v>
      </c>
      <c r="S5116">
        <v>35</v>
      </c>
      <c r="T5116" s="43" t="str">
        <f t="shared" si="235"/>
        <v>2019.012D.zip</v>
      </c>
      <c r="U5116" s="43" t="str">
        <f>HYPERLINK("https://ictv.global/taxonomy/taxondetails?taxnode_id=202203220","ictv.global=202203220")</f>
        <v>ictv.global=202203220</v>
      </c>
    </row>
    <row r="5117" spans="1:21">
      <c r="A5117">
        <v>5116</v>
      </c>
      <c r="B5117" s="29" t="s">
        <v>4053</v>
      </c>
      <c r="C5117" s="29"/>
      <c r="D5117" s="29" t="s">
        <v>4082</v>
      </c>
      <c r="E5117" s="29"/>
      <c r="F5117" s="29" t="s">
        <v>4106</v>
      </c>
      <c r="G5117" s="29"/>
      <c r="H5117" s="29" t="s">
        <v>4117</v>
      </c>
      <c r="I5117" s="29"/>
      <c r="J5117" s="29" t="s">
        <v>4118</v>
      </c>
      <c r="K5117" s="29"/>
      <c r="L5117" s="29" t="s">
        <v>1546</v>
      </c>
      <c r="M5117" s="29"/>
      <c r="N5117" s="29" t="s">
        <v>1547</v>
      </c>
      <c r="O5117" s="29"/>
      <c r="P5117" s="29" t="s">
        <v>4909</v>
      </c>
      <c r="Q5117" t="s">
        <v>2265</v>
      </c>
      <c r="R5117" t="s">
        <v>2632</v>
      </c>
      <c r="S5117">
        <v>36</v>
      </c>
      <c r="T5117" s="43" t="str">
        <f>HYPERLINK("https://ictv.global/ictv/proposals/2020.006P.R.Begomovirus_22nsp.zip","2020.006P.R.Begomovirus_22nsp.zip")</f>
        <v>2020.006P.R.Begomovirus_22nsp.zip</v>
      </c>
      <c r="U5117" s="43" t="str">
        <f>HYPERLINK("https://ictv.global/taxonomy/taxondetails?taxnode_id=202209119","ictv.global=202209119")</f>
        <v>ictv.global=202209119</v>
      </c>
    </row>
    <row r="5118" spans="1:21">
      <c r="A5118">
        <v>5117</v>
      </c>
      <c r="B5118" s="29" t="s">
        <v>4053</v>
      </c>
      <c r="C5118" s="29"/>
      <c r="D5118" s="29" t="s">
        <v>4082</v>
      </c>
      <c r="E5118" s="29"/>
      <c r="F5118" s="29" t="s">
        <v>4106</v>
      </c>
      <c r="G5118" s="29"/>
      <c r="H5118" s="29" t="s">
        <v>4117</v>
      </c>
      <c r="I5118" s="29"/>
      <c r="J5118" s="29" t="s">
        <v>4118</v>
      </c>
      <c r="K5118" s="29"/>
      <c r="L5118" s="29" t="s">
        <v>1546</v>
      </c>
      <c r="M5118" s="29"/>
      <c r="N5118" s="29" t="s">
        <v>1547</v>
      </c>
      <c r="O5118" s="29"/>
      <c r="P5118" s="29" t="s">
        <v>2212</v>
      </c>
      <c r="Q5118" t="s">
        <v>2041</v>
      </c>
      <c r="R5118" t="s">
        <v>2634</v>
      </c>
      <c r="S5118">
        <v>35</v>
      </c>
      <c r="T5118" s="43" t="str">
        <f t="shared" ref="T5118:T5128" si="236">HYPERLINK("https://ictv.global/ictv/proposals/2019.012D.zip","2019.012D.zip")</f>
        <v>2019.012D.zip</v>
      </c>
      <c r="U5118" s="43" t="str">
        <f>HYPERLINK("https://ictv.global/taxonomy/taxondetails?taxnode_id=202203221","ictv.global=202203221")</f>
        <v>ictv.global=202203221</v>
      </c>
    </row>
    <row r="5119" spans="1:21">
      <c r="A5119">
        <v>5118</v>
      </c>
      <c r="B5119" s="29" t="s">
        <v>4053</v>
      </c>
      <c r="C5119" s="29"/>
      <c r="D5119" s="29" t="s">
        <v>4082</v>
      </c>
      <c r="E5119" s="29"/>
      <c r="F5119" s="29" t="s">
        <v>4106</v>
      </c>
      <c r="G5119" s="29"/>
      <c r="H5119" s="29" t="s">
        <v>4117</v>
      </c>
      <c r="I5119" s="29"/>
      <c r="J5119" s="29" t="s">
        <v>4118</v>
      </c>
      <c r="K5119" s="29"/>
      <c r="L5119" s="29" t="s">
        <v>1546</v>
      </c>
      <c r="M5119" s="29"/>
      <c r="N5119" s="29" t="s">
        <v>1547</v>
      </c>
      <c r="O5119" s="29"/>
      <c r="P5119" s="29" t="s">
        <v>54</v>
      </c>
      <c r="Q5119" t="s">
        <v>2041</v>
      </c>
      <c r="R5119" t="s">
        <v>2634</v>
      </c>
      <c r="S5119">
        <v>35</v>
      </c>
      <c r="T5119" s="43" t="str">
        <f t="shared" si="236"/>
        <v>2019.012D.zip</v>
      </c>
      <c r="U5119" s="43" t="str">
        <f>HYPERLINK("https://ictv.global/taxonomy/taxondetails?taxnode_id=202203222","ictv.global=202203222")</f>
        <v>ictv.global=202203222</v>
      </c>
    </row>
    <row r="5120" spans="1:21">
      <c r="A5120">
        <v>5119</v>
      </c>
      <c r="B5120" s="29" t="s">
        <v>4053</v>
      </c>
      <c r="C5120" s="29"/>
      <c r="D5120" s="29" t="s">
        <v>4082</v>
      </c>
      <c r="E5120" s="29"/>
      <c r="F5120" s="29" t="s">
        <v>4106</v>
      </c>
      <c r="G5120" s="29"/>
      <c r="H5120" s="29" t="s">
        <v>4117</v>
      </c>
      <c r="I5120" s="29"/>
      <c r="J5120" s="29" t="s">
        <v>4118</v>
      </c>
      <c r="K5120" s="29"/>
      <c r="L5120" s="29" t="s">
        <v>1546</v>
      </c>
      <c r="M5120" s="29"/>
      <c r="N5120" s="29" t="s">
        <v>1547</v>
      </c>
      <c r="O5120" s="29"/>
      <c r="P5120" s="29" t="s">
        <v>2213</v>
      </c>
      <c r="Q5120" t="s">
        <v>2041</v>
      </c>
      <c r="R5120" t="s">
        <v>2634</v>
      </c>
      <c r="S5120">
        <v>35</v>
      </c>
      <c r="T5120" s="43" t="str">
        <f t="shared" si="236"/>
        <v>2019.012D.zip</v>
      </c>
      <c r="U5120" s="43" t="str">
        <f>HYPERLINK("https://ictv.global/taxonomy/taxondetails?taxnode_id=202203223","ictv.global=202203223")</f>
        <v>ictv.global=202203223</v>
      </c>
    </row>
    <row r="5121" spans="1:21">
      <c r="A5121">
        <v>5120</v>
      </c>
      <c r="B5121" s="29" t="s">
        <v>4053</v>
      </c>
      <c r="C5121" s="29"/>
      <c r="D5121" s="29" t="s">
        <v>4082</v>
      </c>
      <c r="E5121" s="29"/>
      <c r="F5121" s="29" t="s">
        <v>4106</v>
      </c>
      <c r="G5121" s="29"/>
      <c r="H5121" s="29" t="s">
        <v>4117</v>
      </c>
      <c r="I5121" s="29"/>
      <c r="J5121" s="29" t="s">
        <v>4118</v>
      </c>
      <c r="K5121" s="29"/>
      <c r="L5121" s="29" t="s">
        <v>1546</v>
      </c>
      <c r="M5121" s="29"/>
      <c r="N5121" s="29" t="s">
        <v>1547</v>
      </c>
      <c r="O5121" s="29"/>
      <c r="P5121" s="29" t="s">
        <v>326</v>
      </c>
      <c r="Q5121" t="s">
        <v>2041</v>
      </c>
      <c r="R5121" t="s">
        <v>2634</v>
      </c>
      <c r="S5121">
        <v>35</v>
      </c>
      <c r="T5121" s="43" t="str">
        <f t="shared" si="236"/>
        <v>2019.012D.zip</v>
      </c>
      <c r="U5121" s="43" t="str">
        <f>HYPERLINK("https://ictv.global/taxonomy/taxondetails?taxnode_id=202203224","ictv.global=202203224")</f>
        <v>ictv.global=202203224</v>
      </c>
    </row>
    <row r="5122" spans="1:21">
      <c r="A5122">
        <v>5121</v>
      </c>
      <c r="B5122" s="29" t="s">
        <v>4053</v>
      </c>
      <c r="C5122" s="29"/>
      <c r="D5122" s="29" t="s">
        <v>4082</v>
      </c>
      <c r="E5122" s="29"/>
      <c r="F5122" s="29" t="s">
        <v>4106</v>
      </c>
      <c r="G5122" s="29"/>
      <c r="H5122" s="29" t="s">
        <v>4117</v>
      </c>
      <c r="I5122" s="29"/>
      <c r="J5122" s="29" t="s">
        <v>4118</v>
      </c>
      <c r="K5122" s="29"/>
      <c r="L5122" s="29" t="s">
        <v>1546</v>
      </c>
      <c r="M5122" s="29"/>
      <c r="N5122" s="29" t="s">
        <v>1547</v>
      </c>
      <c r="O5122" s="29"/>
      <c r="P5122" s="29" t="s">
        <v>236</v>
      </c>
      <c r="Q5122" t="s">
        <v>2041</v>
      </c>
      <c r="R5122" t="s">
        <v>2634</v>
      </c>
      <c r="S5122">
        <v>35</v>
      </c>
      <c r="T5122" s="43" t="str">
        <f t="shared" si="236"/>
        <v>2019.012D.zip</v>
      </c>
      <c r="U5122" s="43" t="str">
        <f>HYPERLINK("https://ictv.global/taxonomy/taxondetails?taxnode_id=202203225","ictv.global=202203225")</f>
        <v>ictv.global=202203225</v>
      </c>
    </row>
    <row r="5123" spans="1:21">
      <c r="A5123">
        <v>5122</v>
      </c>
      <c r="B5123" s="29" t="s">
        <v>4053</v>
      </c>
      <c r="C5123" s="29"/>
      <c r="D5123" s="29" t="s">
        <v>4082</v>
      </c>
      <c r="E5123" s="29"/>
      <c r="F5123" s="29" t="s">
        <v>4106</v>
      </c>
      <c r="G5123" s="29"/>
      <c r="H5123" s="29" t="s">
        <v>4117</v>
      </c>
      <c r="I5123" s="29"/>
      <c r="J5123" s="29" t="s">
        <v>4118</v>
      </c>
      <c r="K5123" s="29"/>
      <c r="L5123" s="29" t="s">
        <v>1546</v>
      </c>
      <c r="M5123" s="29"/>
      <c r="N5123" s="29" t="s">
        <v>1547</v>
      </c>
      <c r="O5123" s="29"/>
      <c r="P5123" s="29" t="s">
        <v>950</v>
      </c>
      <c r="Q5123" t="s">
        <v>2041</v>
      </c>
      <c r="R5123" t="s">
        <v>2634</v>
      </c>
      <c r="S5123">
        <v>35</v>
      </c>
      <c r="T5123" s="43" t="str">
        <f t="shared" si="236"/>
        <v>2019.012D.zip</v>
      </c>
      <c r="U5123" s="43" t="str">
        <f>HYPERLINK("https://ictv.global/taxonomy/taxondetails?taxnode_id=202203226","ictv.global=202203226")</f>
        <v>ictv.global=202203226</v>
      </c>
    </row>
    <row r="5124" spans="1:21">
      <c r="A5124">
        <v>5123</v>
      </c>
      <c r="B5124" s="29" t="s">
        <v>4053</v>
      </c>
      <c r="C5124" s="29"/>
      <c r="D5124" s="29" t="s">
        <v>4082</v>
      </c>
      <c r="E5124" s="29"/>
      <c r="F5124" s="29" t="s">
        <v>4106</v>
      </c>
      <c r="G5124" s="29"/>
      <c r="H5124" s="29" t="s">
        <v>4117</v>
      </c>
      <c r="I5124" s="29"/>
      <c r="J5124" s="29" t="s">
        <v>4118</v>
      </c>
      <c r="K5124" s="29"/>
      <c r="L5124" s="29" t="s">
        <v>1546</v>
      </c>
      <c r="M5124" s="29"/>
      <c r="N5124" s="29" t="s">
        <v>1547</v>
      </c>
      <c r="O5124" s="29"/>
      <c r="P5124" s="29" t="s">
        <v>2850</v>
      </c>
      <c r="Q5124" t="s">
        <v>2041</v>
      </c>
      <c r="R5124" t="s">
        <v>2634</v>
      </c>
      <c r="S5124">
        <v>35</v>
      </c>
      <c r="T5124" s="43" t="str">
        <f t="shared" si="236"/>
        <v>2019.012D.zip</v>
      </c>
      <c r="U5124" s="43" t="str">
        <f>HYPERLINK("https://ictv.global/taxonomy/taxondetails?taxnode_id=202205795","ictv.global=202205795")</f>
        <v>ictv.global=202205795</v>
      </c>
    </row>
    <row r="5125" spans="1:21">
      <c r="A5125">
        <v>5124</v>
      </c>
      <c r="B5125" s="29" t="s">
        <v>4053</v>
      </c>
      <c r="C5125" s="29"/>
      <c r="D5125" s="29" t="s">
        <v>4082</v>
      </c>
      <c r="E5125" s="29"/>
      <c r="F5125" s="29" t="s">
        <v>4106</v>
      </c>
      <c r="G5125" s="29"/>
      <c r="H5125" s="29" t="s">
        <v>4117</v>
      </c>
      <c r="I5125" s="29"/>
      <c r="J5125" s="29" t="s">
        <v>4118</v>
      </c>
      <c r="K5125" s="29"/>
      <c r="L5125" s="29" t="s">
        <v>1546</v>
      </c>
      <c r="M5125" s="29"/>
      <c r="N5125" s="29" t="s">
        <v>1547</v>
      </c>
      <c r="O5125" s="29"/>
      <c r="P5125" s="29" t="s">
        <v>238</v>
      </c>
      <c r="Q5125" t="s">
        <v>2041</v>
      </c>
      <c r="R5125" t="s">
        <v>2634</v>
      </c>
      <c r="S5125">
        <v>35</v>
      </c>
      <c r="T5125" s="43" t="str">
        <f t="shared" si="236"/>
        <v>2019.012D.zip</v>
      </c>
      <c r="U5125" s="43" t="str">
        <f>HYPERLINK("https://ictv.global/taxonomy/taxondetails?taxnode_id=202203227","ictv.global=202203227")</f>
        <v>ictv.global=202203227</v>
      </c>
    </row>
    <row r="5126" spans="1:21">
      <c r="A5126">
        <v>5125</v>
      </c>
      <c r="B5126" s="29" t="s">
        <v>4053</v>
      </c>
      <c r="C5126" s="29"/>
      <c r="D5126" s="29" t="s">
        <v>4082</v>
      </c>
      <c r="E5126" s="29"/>
      <c r="F5126" s="29" t="s">
        <v>4106</v>
      </c>
      <c r="G5126" s="29"/>
      <c r="H5126" s="29" t="s">
        <v>4117</v>
      </c>
      <c r="I5126" s="29"/>
      <c r="J5126" s="29" t="s">
        <v>4118</v>
      </c>
      <c r="K5126" s="29"/>
      <c r="L5126" s="29" t="s">
        <v>1546</v>
      </c>
      <c r="M5126" s="29"/>
      <c r="N5126" s="29" t="s">
        <v>1547</v>
      </c>
      <c r="O5126" s="29"/>
      <c r="P5126" s="29" t="s">
        <v>239</v>
      </c>
      <c r="Q5126" t="s">
        <v>2041</v>
      </c>
      <c r="R5126" t="s">
        <v>2634</v>
      </c>
      <c r="S5126">
        <v>35</v>
      </c>
      <c r="T5126" s="43" t="str">
        <f t="shared" si="236"/>
        <v>2019.012D.zip</v>
      </c>
      <c r="U5126" s="43" t="str">
        <f>HYPERLINK("https://ictv.global/taxonomy/taxondetails?taxnode_id=202203228","ictv.global=202203228")</f>
        <v>ictv.global=202203228</v>
      </c>
    </row>
    <row r="5127" spans="1:21">
      <c r="A5127">
        <v>5126</v>
      </c>
      <c r="B5127" s="29" t="s">
        <v>4053</v>
      </c>
      <c r="C5127" s="29"/>
      <c r="D5127" s="29" t="s">
        <v>4082</v>
      </c>
      <c r="E5127" s="29"/>
      <c r="F5127" s="29" t="s">
        <v>4106</v>
      </c>
      <c r="G5127" s="29"/>
      <c r="H5127" s="29" t="s">
        <v>4117</v>
      </c>
      <c r="I5127" s="29"/>
      <c r="J5127" s="29" t="s">
        <v>4118</v>
      </c>
      <c r="K5127" s="29"/>
      <c r="L5127" s="29" t="s">
        <v>1546</v>
      </c>
      <c r="M5127" s="29"/>
      <c r="N5127" s="29" t="s">
        <v>1547</v>
      </c>
      <c r="O5127" s="29"/>
      <c r="P5127" s="29" t="s">
        <v>322</v>
      </c>
      <c r="Q5127" t="s">
        <v>2041</v>
      </c>
      <c r="R5127" t="s">
        <v>2634</v>
      </c>
      <c r="S5127">
        <v>35</v>
      </c>
      <c r="T5127" s="43" t="str">
        <f t="shared" si="236"/>
        <v>2019.012D.zip</v>
      </c>
      <c r="U5127" s="43" t="str">
        <f>HYPERLINK("https://ictv.global/taxonomy/taxondetails?taxnode_id=202203229","ictv.global=202203229")</f>
        <v>ictv.global=202203229</v>
      </c>
    </row>
    <row r="5128" spans="1:21">
      <c r="A5128">
        <v>5127</v>
      </c>
      <c r="B5128" s="29" t="s">
        <v>4053</v>
      </c>
      <c r="C5128" s="29"/>
      <c r="D5128" s="29" t="s">
        <v>4082</v>
      </c>
      <c r="E5128" s="29"/>
      <c r="F5128" s="29" t="s">
        <v>4106</v>
      </c>
      <c r="G5128" s="29"/>
      <c r="H5128" s="29" t="s">
        <v>4117</v>
      </c>
      <c r="I5128" s="29"/>
      <c r="J5128" s="29" t="s">
        <v>4118</v>
      </c>
      <c r="K5128" s="29"/>
      <c r="L5128" s="29" t="s">
        <v>1546</v>
      </c>
      <c r="M5128" s="29"/>
      <c r="N5128" s="29" t="s">
        <v>1547</v>
      </c>
      <c r="O5128" s="29"/>
      <c r="P5128" s="29" t="s">
        <v>2851</v>
      </c>
      <c r="Q5128" t="s">
        <v>2041</v>
      </c>
      <c r="R5128" t="s">
        <v>2634</v>
      </c>
      <c r="S5128">
        <v>35</v>
      </c>
      <c r="T5128" s="43" t="str">
        <f t="shared" si="236"/>
        <v>2019.012D.zip</v>
      </c>
      <c r="U5128" s="43" t="str">
        <f>HYPERLINK("https://ictv.global/taxonomy/taxondetails?taxnode_id=202205796","ictv.global=202205796")</f>
        <v>ictv.global=202205796</v>
      </c>
    </row>
    <row r="5129" spans="1:21">
      <c r="A5129">
        <v>5128</v>
      </c>
      <c r="B5129" s="29" t="s">
        <v>4053</v>
      </c>
      <c r="C5129" s="29"/>
      <c r="D5129" s="29" t="s">
        <v>4082</v>
      </c>
      <c r="E5129" s="29"/>
      <c r="F5129" s="29" t="s">
        <v>4106</v>
      </c>
      <c r="G5129" s="29"/>
      <c r="H5129" s="29" t="s">
        <v>4117</v>
      </c>
      <c r="I5129" s="29"/>
      <c r="J5129" s="29" t="s">
        <v>4118</v>
      </c>
      <c r="K5129" s="29"/>
      <c r="L5129" s="29" t="s">
        <v>1546</v>
      </c>
      <c r="M5129" s="29"/>
      <c r="N5129" s="29" t="s">
        <v>1547</v>
      </c>
      <c r="O5129" s="29"/>
      <c r="P5129" s="29" t="s">
        <v>4121</v>
      </c>
      <c r="Q5129" t="s">
        <v>2265</v>
      </c>
      <c r="R5129" t="s">
        <v>2632</v>
      </c>
      <c r="S5129">
        <v>35</v>
      </c>
      <c r="T5129" s="43" t="str">
        <f>HYPERLINK("https://ictv.global/ictv/proposals/2019.022P.zip","2019.022P.zip")</f>
        <v>2019.022P.zip</v>
      </c>
      <c r="U5129" s="43" t="str">
        <f>HYPERLINK("https://ictv.global/taxonomy/taxondetails?taxnode_id=202207520","ictv.global=202207520")</f>
        <v>ictv.global=202207520</v>
      </c>
    </row>
    <row r="5130" spans="1:21">
      <c r="A5130">
        <v>5129</v>
      </c>
      <c r="B5130" s="29" t="s">
        <v>4053</v>
      </c>
      <c r="C5130" s="29"/>
      <c r="D5130" s="29" t="s">
        <v>4082</v>
      </c>
      <c r="E5130" s="29"/>
      <c r="F5130" s="29" t="s">
        <v>4106</v>
      </c>
      <c r="G5130" s="29"/>
      <c r="H5130" s="29" t="s">
        <v>4117</v>
      </c>
      <c r="I5130" s="29"/>
      <c r="J5130" s="29" t="s">
        <v>4118</v>
      </c>
      <c r="K5130" s="29"/>
      <c r="L5130" s="29" t="s">
        <v>1546</v>
      </c>
      <c r="M5130" s="29"/>
      <c r="N5130" s="29" t="s">
        <v>1547</v>
      </c>
      <c r="O5130" s="29"/>
      <c r="P5130" s="29" t="s">
        <v>323</v>
      </c>
      <c r="Q5130" t="s">
        <v>2041</v>
      </c>
      <c r="R5130" t="s">
        <v>2634</v>
      </c>
      <c r="S5130">
        <v>35</v>
      </c>
      <c r="T5130" s="43" t="str">
        <f>HYPERLINK("https://ictv.global/ictv/proposals/2019.012D.zip","2019.012D.zip")</f>
        <v>2019.012D.zip</v>
      </c>
      <c r="U5130" s="43" t="str">
        <f>HYPERLINK("https://ictv.global/taxonomy/taxondetails?taxnode_id=202203230","ictv.global=202203230")</f>
        <v>ictv.global=202203230</v>
      </c>
    </row>
    <row r="5131" spans="1:21">
      <c r="A5131">
        <v>5130</v>
      </c>
      <c r="B5131" s="29" t="s">
        <v>4053</v>
      </c>
      <c r="C5131" s="29"/>
      <c r="D5131" s="29" t="s">
        <v>4082</v>
      </c>
      <c r="E5131" s="29"/>
      <c r="F5131" s="29" t="s">
        <v>4106</v>
      </c>
      <c r="G5131" s="29"/>
      <c r="H5131" s="29" t="s">
        <v>4117</v>
      </c>
      <c r="I5131" s="29"/>
      <c r="J5131" s="29" t="s">
        <v>4118</v>
      </c>
      <c r="K5131" s="29"/>
      <c r="L5131" s="29" t="s">
        <v>1546</v>
      </c>
      <c r="M5131" s="29"/>
      <c r="N5131" s="29" t="s">
        <v>1547</v>
      </c>
      <c r="O5131" s="29"/>
      <c r="P5131" s="29" t="s">
        <v>2214</v>
      </c>
      <c r="Q5131" t="s">
        <v>2041</v>
      </c>
      <c r="R5131" t="s">
        <v>2634</v>
      </c>
      <c r="S5131">
        <v>35</v>
      </c>
      <c r="T5131" s="43" t="str">
        <f>HYPERLINK("https://ictv.global/ictv/proposals/2019.012D.zip","2019.012D.zip")</f>
        <v>2019.012D.zip</v>
      </c>
      <c r="U5131" s="43" t="str">
        <f>HYPERLINK("https://ictv.global/taxonomy/taxondetails?taxnode_id=202203231","ictv.global=202203231")</f>
        <v>ictv.global=202203231</v>
      </c>
    </row>
    <row r="5132" spans="1:21">
      <c r="A5132">
        <v>5131</v>
      </c>
      <c r="B5132" s="29" t="s">
        <v>4053</v>
      </c>
      <c r="C5132" s="29"/>
      <c r="D5132" s="29" t="s">
        <v>4082</v>
      </c>
      <c r="E5132" s="29"/>
      <c r="F5132" s="29" t="s">
        <v>4106</v>
      </c>
      <c r="G5132" s="29"/>
      <c r="H5132" s="29" t="s">
        <v>4117</v>
      </c>
      <c r="I5132" s="29"/>
      <c r="J5132" s="29" t="s">
        <v>4118</v>
      </c>
      <c r="K5132" s="29"/>
      <c r="L5132" s="29" t="s">
        <v>1546</v>
      </c>
      <c r="M5132" s="29"/>
      <c r="N5132" s="29" t="s">
        <v>1547</v>
      </c>
      <c r="O5132" s="29"/>
      <c r="P5132" s="29" t="s">
        <v>4122</v>
      </c>
      <c r="Q5132" t="s">
        <v>2265</v>
      </c>
      <c r="R5132" t="s">
        <v>2632</v>
      </c>
      <c r="S5132">
        <v>35</v>
      </c>
      <c r="T5132" s="43" t="str">
        <f>HYPERLINK("https://ictv.global/ictv/proposals/2019.022P.zip","2019.022P.zip")</f>
        <v>2019.022P.zip</v>
      </c>
      <c r="U5132" s="43" t="str">
        <f>HYPERLINK("https://ictv.global/taxonomy/taxondetails?taxnode_id=202207521","ictv.global=202207521")</f>
        <v>ictv.global=202207521</v>
      </c>
    </row>
    <row r="5133" spans="1:21">
      <c r="A5133">
        <v>5132</v>
      </c>
      <c r="B5133" s="29" t="s">
        <v>4053</v>
      </c>
      <c r="C5133" s="29"/>
      <c r="D5133" s="29" t="s">
        <v>4082</v>
      </c>
      <c r="E5133" s="29"/>
      <c r="F5133" s="29" t="s">
        <v>4106</v>
      </c>
      <c r="G5133" s="29"/>
      <c r="H5133" s="29" t="s">
        <v>4117</v>
      </c>
      <c r="I5133" s="29"/>
      <c r="J5133" s="29" t="s">
        <v>4118</v>
      </c>
      <c r="K5133" s="29"/>
      <c r="L5133" s="29" t="s">
        <v>1546</v>
      </c>
      <c r="M5133" s="29"/>
      <c r="N5133" s="29" t="s">
        <v>1547</v>
      </c>
      <c r="O5133" s="29"/>
      <c r="P5133" s="29" t="s">
        <v>1107</v>
      </c>
      <c r="Q5133" t="s">
        <v>2041</v>
      </c>
      <c r="R5133" t="s">
        <v>2634</v>
      </c>
      <c r="S5133">
        <v>35</v>
      </c>
      <c r="T5133" s="43" t="str">
        <f>HYPERLINK("https://ictv.global/ictv/proposals/2019.012D.zip","2019.012D.zip")</f>
        <v>2019.012D.zip</v>
      </c>
      <c r="U5133" s="43" t="str">
        <f>HYPERLINK("https://ictv.global/taxonomy/taxondetails?taxnode_id=202203232","ictv.global=202203232")</f>
        <v>ictv.global=202203232</v>
      </c>
    </row>
    <row r="5134" spans="1:21">
      <c r="A5134">
        <v>5133</v>
      </c>
      <c r="B5134" s="29" t="s">
        <v>4053</v>
      </c>
      <c r="C5134" s="29"/>
      <c r="D5134" s="29" t="s">
        <v>4082</v>
      </c>
      <c r="E5134" s="29"/>
      <c r="F5134" s="29" t="s">
        <v>4106</v>
      </c>
      <c r="G5134" s="29"/>
      <c r="H5134" s="29" t="s">
        <v>4117</v>
      </c>
      <c r="I5134" s="29"/>
      <c r="J5134" s="29" t="s">
        <v>4118</v>
      </c>
      <c r="K5134" s="29"/>
      <c r="L5134" s="29" t="s">
        <v>1546</v>
      </c>
      <c r="M5134" s="29"/>
      <c r="N5134" s="29" t="s">
        <v>1547</v>
      </c>
      <c r="O5134" s="29"/>
      <c r="P5134" s="29" t="s">
        <v>4910</v>
      </c>
      <c r="Q5134" t="s">
        <v>2265</v>
      </c>
      <c r="R5134" t="s">
        <v>2632</v>
      </c>
      <c r="S5134">
        <v>36</v>
      </c>
      <c r="T5134" s="43" t="str">
        <f>HYPERLINK("https://ictv.global/ictv/proposals/2020.006P.R.Begomovirus_22nsp.zip","2020.006P.R.Begomovirus_22nsp.zip")</f>
        <v>2020.006P.R.Begomovirus_22nsp.zip</v>
      </c>
      <c r="U5134" s="43" t="str">
        <f>HYPERLINK("https://ictv.global/taxonomy/taxondetails?taxnode_id=202209120","ictv.global=202209120")</f>
        <v>ictv.global=202209120</v>
      </c>
    </row>
    <row r="5135" spans="1:21">
      <c r="A5135">
        <v>5134</v>
      </c>
      <c r="B5135" s="29" t="s">
        <v>4053</v>
      </c>
      <c r="C5135" s="29"/>
      <c r="D5135" s="29" t="s">
        <v>4082</v>
      </c>
      <c r="E5135" s="29"/>
      <c r="F5135" s="29" t="s">
        <v>4106</v>
      </c>
      <c r="G5135" s="29"/>
      <c r="H5135" s="29" t="s">
        <v>4117</v>
      </c>
      <c r="I5135" s="29"/>
      <c r="J5135" s="29" t="s">
        <v>4118</v>
      </c>
      <c r="K5135" s="29"/>
      <c r="L5135" s="29" t="s">
        <v>1546</v>
      </c>
      <c r="M5135" s="29"/>
      <c r="N5135" s="29" t="s">
        <v>1547</v>
      </c>
      <c r="O5135" s="29"/>
      <c r="P5135" s="29" t="s">
        <v>1284</v>
      </c>
      <c r="Q5135" t="s">
        <v>2041</v>
      </c>
      <c r="R5135" t="s">
        <v>2634</v>
      </c>
      <c r="S5135">
        <v>35</v>
      </c>
      <c r="T5135" s="43" t="str">
        <f t="shared" ref="T5135:T5151" si="237">HYPERLINK("https://ictv.global/ictv/proposals/2019.012D.zip","2019.012D.zip")</f>
        <v>2019.012D.zip</v>
      </c>
      <c r="U5135" s="43" t="str">
        <f>HYPERLINK("https://ictv.global/taxonomy/taxondetails?taxnode_id=202203233","ictv.global=202203233")</f>
        <v>ictv.global=202203233</v>
      </c>
    </row>
    <row r="5136" spans="1:21">
      <c r="A5136">
        <v>5135</v>
      </c>
      <c r="B5136" s="29" t="s">
        <v>4053</v>
      </c>
      <c r="C5136" s="29"/>
      <c r="D5136" s="29" t="s">
        <v>4082</v>
      </c>
      <c r="E5136" s="29"/>
      <c r="F5136" s="29" t="s">
        <v>4106</v>
      </c>
      <c r="G5136" s="29"/>
      <c r="H5136" s="29" t="s">
        <v>4117</v>
      </c>
      <c r="I5136" s="29"/>
      <c r="J5136" s="29" t="s">
        <v>4118</v>
      </c>
      <c r="K5136" s="29"/>
      <c r="L5136" s="29" t="s">
        <v>1546</v>
      </c>
      <c r="M5136" s="29"/>
      <c r="N5136" s="29" t="s">
        <v>1547</v>
      </c>
      <c r="O5136" s="29"/>
      <c r="P5136" s="29" t="s">
        <v>1802</v>
      </c>
      <c r="Q5136" t="s">
        <v>2041</v>
      </c>
      <c r="R5136" t="s">
        <v>2634</v>
      </c>
      <c r="S5136">
        <v>35</v>
      </c>
      <c r="T5136" s="43" t="str">
        <f t="shared" si="237"/>
        <v>2019.012D.zip</v>
      </c>
      <c r="U5136" s="43" t="str">
        <f>HYPERLINK("https://ictv.global/taxonomy/taxondetails?taxnode_id=202203234","ictv.global=202203234")</f>
        <v>ictv.global=202203234</v>
      </c>
    </row>
    <row r="5137" spans="1:21">
      <c r="A5137">
        <v>5136</v>
      </c>
      <c r="B5137" s="29" t="s">
        <v>4053</v>
      </c>
      <c r="C5137" s="29"/>
      <c r="D5137" s="29" t="s">
        <v>4082</v>
      </c>
      <c r="E5137" s="29"/>
      <c r="F5137" s="29" t="s">
        <v>4106</v>
      </c>
      <c r="G5137" s="29"/>
      <c r="H5137" s="29" t="s">
        <v>4117</v>
      </c>
      <c r="I5137" s="29"/>
      <c r="J5137" s="29" t="s">
        <v>4118</v>
      </c>
      <c r="K5137" s="29"/>
      <c r="L5137" s="29" t="s">
        <v>1546</v>
      </c>
      <c r="M5137" s="29"/>
      <c r="N5137" s="29" t="s">
        <v>1547</v>
      </c>
      <c r="O5137" s="29"/>
      <c r="P5137" s="29" t="s">
        <v>3640</v>
      </c>
      <c r="Q5137" t="s">
        <v>2041</v>
      </c>
      <c r="R5137" t="s">
        <v>2634</v>
      </c>
      <c r="S5137">
        <v>35</v>
      </c>
      <c r="T5137" s="43" t="str">
        <f t="shared" si="237"/>
        <v>2019.012D.zip</v>
      </c>
      <c r="U5137" s="43" t="str">
        <f>HYPERLINK("https://ictv.global/taxonomy/taxondetails?taxnode_id=202206700","ictv.global=202206700")</f>
        <v>ictv.global=202206700</v>
      </c>
    </row>
    <row r="5138" spans="1:21">
      <c r="A5138">
        <v>5137</v>
      </c>
      <c r="B5138" s="29" t="s">
        <v>4053</v>
      </c>
      <c r="C5138" s="29"/>
      <c r="D5138" s="29" t="s">
        <v>4082</v>
      </c>
      <c r="E5138" s="29"/>
      <c r="F5138" s="29" t="s">
        <v>4106</v>
      </c>
      <c r="G5138" s="29"/>
      <c r="H5138" s="29" t="s">
        <v>4117</v>
      </c>
      <c r="I5138" s="29"/>
      <c r="J5138" s="29" t="s">
        <v>4118</v>
      </c>
      <c r="K5138" s="29"/>
      <c r="L5138" s="29" t="s">
        <v>1546</v>
      </c>
      <c r="M5138" s="29"/>
      <c r="N5138" s="29" t="s">
        <v>1547</v>
      </c>
      <c r="O5138" s="29"/>
      <c r="P5138" s="29" t="s">
        <v>1803</v>
      </c>
      <c r="Q5138" t="s">
        <v>2041</v>
      </c>
      <c r="R5138" t="s">
        <v>2634</v>
      </c>
      <c r="S5138">
        <v>35</v>
      </c>
      <c r="T5138" s="43" t="str">
        <f t="shared" si="237"/>
        <v>2019.012D.zip</v>
      </c>
      <c r="U5138" s="43" t="str">
        <f>HYPERLINK("https://ictv.global/taxonomy/taxondetails?taxnode_id=202203235","ictv.global=202203235")</f>
        <v>ictv.global=202203235</v>
      </c>
    </row>
    <row r="5139" spans="1:21">
      <c r="A5139">
        <v>5138</v>
      </c>
      <c r="B5139" s="29" t="s">
        <v>4053</v>
      </c>
      <c r="C5139" s="29"/>
      <c r="D5139" s="29" t="s">
        <v>4082</v>
      </c>
      <c r="E5139" s="29"/>
      <c r="F5139" s="29" t="s">
        <v>4106</v>
      </c>
      <c r="G5139" s="29"/>
      <c r="H5139" s="29" t="s">
        <v>4117</v>
      </c>
      <c r="I5139" s="29"/>
      <c r="J5139" s="29" t="s">
        <v>4118</v>
      </c>
      <c r="K5139" s="29"/>
      <c r="L5139" s="29" t="s">
        <v>1546</v>
      </c>
      <c r="M5139" s="29"/>
      <c r="N5139" s="29" t="s">
        <v>1547</v>
      </c>
      <c r="O5139" s="29"/>
      <c r="P5139" s="29" t="s">
        <v>2852</v>
      </c>
      <c r="Q5139" t="s">
        <v>2041</v>
      </c>
      <c r="R5139" t="s">
        <v>2634</v>
      </c>
      <c r="S5139">
        <v>35</v>
      </c>
      <c r="T5139" s="43" t="str">
        <f t="shared" si="237"/>
        <v>2019.012D.zip</v>
      </c>
      <c r="U5139" s="43" t="str">
        <f>HYPERLINK("https://ictv.global/taxonomy/taxondetails?taxnode_id=202205797","ictv.global=202205797")</f>
        <v>ictv.global=202205797</v>
      </c>
    </row>
    <row r="5140" spans="1:21">
      <c r="A5140">
        <v>5139</v>
      </c>
      <c r="B5140" s="29" t="s">
        <v>4053</v>
      </c>
      <c r="C5140" s="29"/>
      <c r="D5140" s="29" t="s">
        <v>4082</v>
      </c>
      <c r="E5140" s="29"/>
      <c r="F5140" s="29" t="s">
        <v>4106</v>
      </c>
      <c r="G5140" s="29"/>
      <c r="H5140" s="29" t="s">
        <v>4117</v>
      </c>
      <c r="I5140" s="29"/>
      <c r="J5140" s="29" t="s">
        <v>4118</v>
      </c>
      <c r="K5140" s="29"/>
      <c r="L5140" s="29" t="s">
        <v>1546</v>
      </c>
      <c r="M5140" s="29"/>
      <c r="N5140" s="29" t="s">
        <v>1547</v>
      </c>
      <c r="O5140" s="29"/>
      <c r="P5140" s="29" t="s">
        <v>1108</v>
      </c>
      <c r="Q5140" t="s">
        <v>2041</v>
      </c>
      <c r="R5140" t="s">
        <v>2634</v>
      </c>
      <c r="S5140">
        <v>35</v>
      </c>
      <c r="T5140" s="43" t="str">
        <f t="shared" si="237"/>
        <v>2019.012D.zip</v>
      </c>
      <c r="U5140" s="43" t="str">
        <f>HYPERLINK("https://ictv.global/taxonomy/taxondetails?taxnode_id=202203236","ictv.global=202203236")</f>
        <v>ictv.global=202203236</v>
      </c>
    </row>
    <row r="5141" spans="1:21">
      <c r="A5141">
        <v>5140</v>
      </c>
      <c r="B5141" s="29" t="s">
        <v>4053</v>
      </c>
      <c r="C5141" s="29"/>
      <c r="D5141" s="29" t="s">
        <v>4082</v>
      </c>
      <c r="E5141" s="29"/>
      <c r="F5141" s="29" t="s">
        <v>4106</v>
      </c>
      <c r="G5141" s="29"/>
      <c r="H5141" s="29" t="s">
        <v>4117</v>
      </c>
      <c r="I5141" s="29"/>
      <c r="J5141" s="29" t="s">
        <v>4118</v>
      </c>
      <c r="K5141" s="29"/>
      <c r="L5141" s="29" t="s">
        <v>1546</v>
      </c>
      <c r="M5141" s="29"/>
      <c r="N5141" s="29" t="s">
        <v>1547</v>
      </c>
      <c r="O5141" s="29"/>
      <c r="P5141" s="29" t="s">
        <v>2853</v>
      </c>
      <c r="Q5141" t="s">
        <v>2041</v>
      </c>
      <c r="R5141" t="s">
        <v>2634</v>
      </c>
      <c r="S5141">
        <v>35</v>
      </c>
      <c r="T5141" s="43" t="str">
        <f t="shared" si="237"/>
        <v>2019.012D.zip</v>
      </c>
      <c r="U5141" s="43" t="str">
        <f>HYPERLINK("https://ictv.global/taxonomy/taxondetails?taxnode_id=202205798","ictv.global=202205798")</f>
        <v>ictv.global=202205798</v>
      </c>
    </row>
    <row r="5142" spans="1:21">
      <c r="A5142">
        <v>5141</v>
      </c>
      <c r="B5142" s="29" t="s">
        <v>4053</v>
      </c>
      <c r="C5142" s="29"/>
      <c r="D5142" s="29" t="s">
        <v>4082</v>
      </c>
      <c r="E5142" s="29"/>
      <c r="F5142" s="29" t="s">
        <v>4106</v>
      </c>
      <c r="G5142" s="29"/>
      <c r="H5142" s="29" t="s">
        <v>4117</v>
      </c>
      <c r="I5142" s="29"/>
      <c r="J5142" s="29" t="s">
        <v>4118</v>
      </c>
      <c r="K5142" s="29"/>
      <c r="L5142" s="29" t="s">
        <v>1546</v>
      </c>
      <c r="M5142" s="29"/>
      <c r="N5142" s="29" t="s">
        <v>1547</v>
      </c>
      <c r="O5142" s="29"/>
      <c r="P5142" s="29" t="s">
        <v>1109</v>
      </c>
      <c r="Q5142" t="s">
        <v>2041</v>
      </c>
      <c r="R5142" t="s">
        <v>2634</v>
      </c>
      <c r="S5142">
        <v>35</v>
      </c>
      <c r="T5142" s="43" t="str">
        <f t="shared" si="237"/>
        <v>2019.012D.zip</v>
      </c>
      <c r="U5142" s="43" t="str">
        <f>HYPERLINK("https://ictv.global/taxonomy/taxondetails?taxnode_id=202203237","ictv.global=202203237")</f>
        <v>ictv.global=202203237</v>
      </c>
    </row>
    <row r="5143" spans="1:21">
      <c r="A5143">
        <v>5142</v>
      </c>
      <c r="B5143" s="29" t="s">
        <v>4053</v>
      </c>
      <c r="C5143" s="29"/>
      <c r="D5143" s="29" t="s">
        <v>4082</v>
      </c>
      <c r="E5143" s="29"/>
      <c r="F5143" s="29" t="s">
        <v>4106</v>
      </c>
      <c r="G5143" s="29"/>
      <c r="H5143" s="29" t="s">
        <v>4117</v>
      </c>
      <c r="I5143" s="29"/>
      <c r="J5143" s="29" t="s">
        <v>4118</v>
      </c>
      <c r="K5143" s="29"/>
      <c r="L5143" s="29" t="s">
        <v>1546</v>
      </c>
      <c r="M5143" s="29"/>
      <c r="N5143" s="29" t="s">
        <v>1547</v>
      </c>
      <c r="O5143" s="29"/>
      <c r="P5143" s="29" t="s">
        <v>1110</v>
      </c>
      <c r="Q5143" t="s">
        <v>2041</v>
      </c>
      <c r="R5143" t="s">
        <v>2634</v>
      </c>
      <c r="S5143">
        <v>35</v>
      </c>
      <c r="T5143" s="43" t="str">
        <f t="shared" si="237"/>
        <v>2019.012D.zip</v>
      </c>
      <c r="U5143" s="43" t="str">
        <f>HYPERLINK("https://ictv.global/taxonomy/taxondetails?taxnode_id=202203238","ictv.global=202203238")</f>
        <v>ictv.global=202203238</v>
      </c>
    </row>
    <row r="5144" spans="1:21">
      <c r="A5144">
        <v>5143</v>
      </c>
      <c r="B5144" s="29" t="s">
        <v>4053</v>
      </c>
      <c r="C5144" s="29"/>
      <c r="D5144" s="29" t="s">
        <v>4082</v>
      </c>
      <c r="E5144" s="29"/>
      <c r="F5144" s="29" t="s">
        <v>4106</v>
      </c>
      <c r="G5144" s="29"/>
      <c r="H5144" s="29" t="s">
        <v>4117</v>
      </c>
      <c r="I5144" s="29"/>
      <c r="J5144" s="29" t="s">
        <v>4118</v>
      </c>
      <c r="K5144" s="29"/>
      <c r="L5144" s="29" t="s">
        <v>1546</v>
      </c>
      <c r="M5144" s="29"/>
      <c r="N5144" s="29" t="s">
        <v>1547</v>
      </c>
      <c r="O5144" s="29"/>
      <c r="P5144" s="29" t="s">
        <v>1111</v>
      </c>
      <c r="Q5144" t="s">
        <v>2041</v>
      </c>
      <c r="R5144" t="s">
        <v>2634</v>
      </c>
      <c r="S5144">
        <v>35</v>
      </c>
      <c r="T5144" s="43" t="str">
        <f t="shared" si="237"/>
        <v>2019.012D.zip</v>
      </c>
      <c r="U5144" s="43" t="str">
        <f>HYPERLINK("https://ictv.global/taxonomy/taxondetails?taxnode_id=202203239","ictv.global=202203239")</f>
        <v>ictv.global=202203239</v>
      </c>
    </row>
    <row r="5145" spans="1:21">
      <c r="A5145">
        <v>5144</v>
      </c>
      <c r="B5145" s="29" t="s">
        <v>4053</v>
      </c>
      <c r="C5145" s="29"/>
      <c r="D5145" s="29" t="s">
        <v>4082</v>
      </c>
      <c r="E5145" s="29"/>
      <c r="F5145" s="29" t="s">
        <v>4106</v>
      </c>
      <c r="G5145" s="29"/>
      <c r="H5145" s="29" t="s">
        <v>4117</v>
      </c>
      <c r="I5145" s="29"/>
      <c r="J5145" s="29" t="s">
        <v>4118</v>
      </c>
      <c r="K5145" s="29"/>
      <c r="L5145" s="29" t="s">
        <v>1546</v>
      </c>
      <c r="M5145" s="29"/>
      <c r="N5145" s="29" t="s">
        <v>1547</v>
      </c>
      <c r="O5145" s="29"/>
      <c r="P5145" s="29" t="s">
        <v>2854</v>
      </c>
      <c r="Q5145" t="s">
        <v>2041</v>
      </c>
      <c r="R5145" t="s">
        <v>2634</v>
      </c>
      <c r="S5145">
        <v>35</v>
      </c>
      <c r="T5145" s="43" t="str">
        <f t="shared" si="237"/>
        <v>2019.012D.zip</v>
      </c>
      <c r="U5145" s="43" t="str">
        <f>HYPERLINK("https://ictv.global/taxonomy/taxondetails?taxnode_id=202205799","ictv.global=202205799")</f>
        <v>ictv.global=202205799</v>
      </c>
    </row>
    <row r="5146" spans="1:21">
      <c r="A5146">
        <v>5145</v>
      </c>
      <c r="B5146" s="29" t="s">
        <v>4053</v>
      </c>
      <c r="C5146" s="29"/>
      <c r="D5146" s="29" t="s">
        <v>4082</v>
      </c>
      <c r="E5146" s="29"/>
      <c r="F5146" s="29" t="s">
        <v>4106</v>
      </c>
      <c r="G5146" s="29"/>
      <c r="H5146" s="29" t="s">
        <v>4117</v>
      </c>
      <c r="I5146" s="29"/>
      <c r="J5146" s="29" t="s">
        <v>4118</v>
      </c>
      <c r="K5146" s="29"/>
      <c r="L5146" s="29" t="s">
        <v>1546</v>
      </c>
      <c r="M5146" s="29"/>
      <c r="N5146" s="29" t="s">
        <v>1547</v>
      </c>
      <c r="O5146" s="29"/>
      <c r="P5146" s="29" t="s">
        <v>348</v>
      </c>
      <c r="Q5146" t="s">
        <v>2041</v>
      </c>
      <c r="R5146" t="s">
        <v>2634</v>
      </c>
      <c r="S5146">
        <v>35</v>
      </c>
      <c r="T5146" s="43" t="str">
        <f t="shared" si="237"/>
        <v>2019.012D.zip</v>
      </c>
      <c r="U5146" s="43" t="str">
        <f>HYPERLINK("https://ictv.global/taxonomy/taxondetails?taxnode_id=202203240","ictv.global=202203240")</f>
        <v>ictv.global=202203240</v>
      </c>
    </row>
    <row r="5147" spans="1:21">
      <c r="A5147">
        <v>5146</v>
      </c>
      <c r="B5147" s="29" t="s">
        <v>4053</v>
      </c>
      <c r="C5147" s="29"/>
      <c r="D5147" s="29" t="s">
        <v>4082</v>
      </c>
      <c r="E5147" s="29"/>
      <c r="F5147" s="29" t="s">
        <v>4106</v>
      </c>
      <c r="G5147" s="29"/>
      <c r="H5147" s="29" t="s">
        <v>4117</v>
      </c>
      <c r="I5147" s="29"/>
      <c r="J5147" s="29" t="s">
        <v>4118</v>
      </c>
      <c r="K5147" s="29"/>
      <c r="L5147" s="29" t="s">
        <v>1546</v>
      </c>
      <c r="M5147" s="29"/>
      <c r="N5147" s="29" t="s">
        <v>1547</v>
      </c>
      <c r="O5147" s="29"/>
      <c r="P5147" s="29" t="s">
        <v>349</v>
      </c>
      <c r="Q5147" t="s">
        <v>2041</v>
      </c>
      <c r="R5147" t="s">
        <v>2634</v>
      </c>
      <c r="S5147">
        <v>35</v>
      </c>
      <c r="T5147" s="43" t="str">
        <f t="shared" si="237"/>
        <v>2019.012D.zip</v>
      </c>
      <c r="U5147" s="43" t="str">
        <f>HYPERLINK("https://ictv.global/taxonomy/taxondetails?taxnode_id=202203241","ictv.global=202203241")</f>
        <v>ictv.global=202203241</v>
      </c>
    </row>
    <row r="5148" spans="1:21">
      <c r="A5148">
        <v>5147</v>
      </c>
      <c r="B5148" s="29" t="s">
        <v>4053</v>
      </c>
      <c r="C5148" s="29"/>
      <c r="D5148" s="29" t="s">
        <v>4082</v>
      </c>
      <c r="E5148" s="29"/>
      <c r="F5148" s="29" t="s">
        <v>4106</v>
      </c>
      <c r="G5148" s="29"/>
      <c r="H5148" s="29" t="s">
        <v>4117</v>
      </c>
      <c r="I5148" s="29"/>
      <c r="J5148" s="29" t="s">
        <v>4118</v>
      </c>
      <c r="K5148" s="29"/>
      <c r="L5148" s="29" t="s">
        <v>1546</v>
      </c>
      <c r="M5148" s="29"/>
      <c r="N5148" s="29" t="s">
        <v>1547</v>
      </c>
      <c r="O5148" s="29"/>
      <c r="P5148" s="29" t="s">
        <v>350</v>
      </c>
      <c r="Q5148" t="s">
        <v>2041</v>
      </c>
      <c r="R5148" t="s">
        <v>2634</v>
      </c>
      <c r="S5148">
        <v>35</v>
      </c>
      <c r="T5148" s="43" t="str">
        <f t="shared" si="237"/>
        <v>2019.012D.zip</v>
      </c>
      <c r="U5148" s="43" t="str">
        <f>HYPERLINK("https://ictv.global/taxonomy/taxondetails?taxnode_id=202203242","ictv.global=202203242")</f>
        <v>ictv.global=202203242</v>
      </c>
    </row>
    <row r="5149" spans="1:21">
      <c r="A5149">
        <v>5148</v>
      </c>
      <c r="B5149" s="29" t="s">
        <v>4053</v>
      </c>
      <c r="C5149" s="29"/>
      <c r="D5149" s="29" t="s">
        <v>4082</v>
      </c>
      <c r="E5149" s="29"/>
      <c r="F5149" s="29" t="s">
        <v>4106</v>
      </c>
      <c r="G5149" s="29"/>
      <c r="H5149" s="29" t="s">
        <v>4117</v>
      </c>
      <c r="I5149" s="29"/>
      <c r="J5149" s="29" t="s">
        <v>4118</v>
      </c>
      <c r="K5149" s="29"/>
      <c r="L5149" s="29" t="s">
        <v>1546</v>
      </c>
      <c r="M5149" s="29"/>
      <c r="N5149" s="29" t="s">
        <v>1547</v>
      </c>
      <c r="O5149" s="29"/>
      <c r="P5149" s="29" t="s">
        <v>351</v>
      </c>
      <c r="Q5149" t="s">
        <v>2041</v>
      </c>
      <c r="R5149" t="s">
        <v>2634</v>
      </c>
      <c r="S5149">
        <v>35</v>
      </c>
      <c r="T5149" s="43" t="str">
        <f t="shared" si="237"/>
        <v>2019.012D.zip</v>
      </c>
      <c r="U5149" s="43" t="str">
        <f>HYPERLINK("https://ictv.global/taxonomy/taxondetails?taxnode_id=202203243","ictv.global=202203243")</f>
        <v>ictv.global=202203243</v>
      </c>
    </row>
    <row r="5150" spans="1:21">
      <c r="A5150">
        <v>5149</v>
      </c>
      <c r="B5150" s="29" t="s">
        <v>4053</v>
      </c>
      <c r="C5150" s="29"/>
      <c r="D5150" s="29" t="s">
        <v>4082</v>
      </c>
      <c r="E5150" s="29"/>
      <c r="F5150" s="29" t="s">
        <v>4106</v>
      </c>
      <c r="G5150" s="29"/>
      <c r="H5150" s="29" t="s">
        <v>4117</v>
      </c>
      <c r="I5150" s="29"/>
      <c r="J5150" s="29" t="s">
        <v>4118</v>
      </c>
      <c r="K5150" s="29"/>
      <c r="L5150" s="29" t="s">
        <v>1546</v>
      </c>
      <c r="M5150" s="29"/>
      <c r="N5150" s="29" t="s">
        <v>1547</v>
      </c>
      <c r="O5150" s="29"/>
      <c r="P5150" s="29" t="s">
        <v>352</v>
      </c>
      <c r="Q5150" t="s">
        <v>2041</v>
      </c>
      <c r="R5150" t="s">
        <v>2634</v>
      </c>
      <c r="S5150">
        <v>35</v>
      </c>
      <c r="T5150" s="43" t="str">
        <f t="shared" si="237"/>
        <v>2019.012D.zip</v>
      </c>
      <c r="U5150" s="43" t="str">
        <f>HYPERLINK("https://ictv.global/taxonomy/taxondetails?taxnode_id=202203244","ictv.global=202203244")</f>
        <v>ictv.global=202203244</v>
      </c>
    </row>
    <row r="5151" spans="1:21">
      <c r="A5151">
        <v>5150</v>
      </c>
      <c r="B5151" s="29" t="s">
        <v>4053</v>
      </c>
      <c r="C5151" s="29"/>
      <c r="D5151" s="29" t="s">
        <v>4082</v>
      </c>
      <c r="E5151" s="29"/>
      <c r="F5151" s="29" t="s">
        <v>4106</v>
      </c>
      <c r="G5151" s="29"/>
      <c r="H5151" s="29" t="s">
        <v>4117</v>
      </c>
      <c r="I5151" s="29"/>
      <c r="J5151" s="29" t="s">
        <v>4118</v>
      </c>
      <c r="K5151" s="29"/>
      <c r="L5151" s="29" t="s">
        <v>1546</v>
      </c>
      <c r="M5151" s="29"/>
      <c r="N5151" s="29" t="s">
        <v>1547</v>
      </c>
      <c r="O5151" s="29"/>
      <c r="P5151" s="29" t="s">
        <v>3641</v>
      </c>
      <c r="Q5151" t="s">
        <v>2041</v>
      </c>
      <c r="R5151" t="s">
        <v>2634</v>
      </c>
      <c r="S5151">
        <v>35</v>
      </c>
      <c r="T5151" s="43" t="str">
        <f t="shared" si="237"/>
        <v>2019.012D.zip</v>
      </c>
      <c r="U5151" s="43" t="str">
        <f>HYPERLINK("https://ictv.global/taxonomy/taxondetails?taxnode_id=202206701","ictv.global=202206701")</f>
        <v>ictv.global=202206701</v>
      </c>
    </row>
    <row r="5152" spans="1:21">
      <c r="A5152">
        <v>5151</v>
      </c>
      <c r="B5152" s="29" t="s">
        <v>4053</v>
      </c>
      <c r="C5152" s="29"/>
      <c r="D5152" s="29" t="s">
        <v>4082</v>
      </c>
      <c r="E5152" s="29"/>
      <c r="F5152" s="29" t="s">
        <v>4106</v>
      </c>
      <c r="G5152" s="29"/>
      <c r="H5152" s="29" t="s">
        <v>4117</v>
      </c>
      <c r="I5152" s="29"/>
      <c r="J5152" s="29" t="s">
        <v>4118</v>
      </c>
      <c r="K5152" s="29"/>
      <c r="L5152" s="29" t="s">
        <v>1546</v>
      </c>
      <c r="M5152" s="29"/>
      <c r="N5152" s="29" t="s">
        <v>1547</v>
      </c>
      <c r="O5152" s="29"/>
      <c r="P5152" s="29" t="s">
        <v>4123</v>
      </c>
      <c r="Q5152" t="s">
        <v>2265</v>
      </c>
      <c r="R5152" t="s">
        <v>2632</v>
      </c>
      <c r="S5152">
        <v>35</v>
      </c>
      <c r="T5152" s="43" t="str">
        <f>HYPERLINK("https://ictv.global/ictv/proposals/2019.022P.zip","2019.022P.zip")</f>
        <v>2019.022P.zip</v>
      </c>
      <c r="U5152" s="43" t="str">
        <f>HYPERLINK("https://ictv.global/taxonomy/taxondetails?taxnode_id=202207522","ictv.global=202207522")</f>
        <v>ictv.global=202207522</v>
      </c>
    </row>
    <row r="5153" spans="1:21">
      <c r="A5153">
        <v>5152</v>
      </c>
      <c r="B5153" s="29" t="s">
        <v>4053</v>
      </c>
      <c r="C5153" s="29"/>
      <c r="D5153" s="29" t="s">
        <v>4082</v>
      </c>
      <c r="E5153" s="29"/>
      <c r="F5153" s="29" t="s">
        <v>4106</v>
      </c>
      <c r="G5153" s="29"/>
      <c r="H5153" s="29" t="s">
        <v>4117</v>
      </c>
      <c r="I5153" s="29"/>
      <c r="J5153" s="29" t="s">
        <v>4118</v>
      </c>
      <c r="K5153" s="29"/>
      <c r="L5153" s="29" t="s">
        <v>1546</v>
      </c>
      <c r="M5153" s="29"/>
      <c r="N5153" s="29" t="s">
        <v>1547</v>
      </c>
      <c r="O5153" s="29"/>
      <c r="P5153" s="29" t="s">
        <v>3642</v>
      </c>
      <c r="Q5153" t="s">
        <v>2041</v>
      </c>
      <c r="R5153" t="s">
        <v>2634</v>
      </c>
      <c r="S5153">
        <v>35</v>
      </c>
      <c r="T5153" s="43" t="str">
        <f t="shared" ref="T5153:T5166" si="238">HYPERLINK("https://ictv.global/ictv/proposals/2019.012D.zip","2019.012D.zip")</f>
        <v>2019.012D.zip</v>
      </c>
      <c r="U5153" s="43" t="str">
        <f>HYPERLINK("https://ictv.global/taxonomy/taxondetails?taxnode_id=202206702","ictv.global=202206702")</f>
        <v>ictv.global=202206702</v>
      </c>
    </row>
    <row r="5154" spans="1:21">
      <c r="A5154">
        <v>5153</v>
      </c>
      <c r="B5154" s="29" t="s">
        <v>4053</v>
      </c>
      <c r="C5154" s="29"/>
      <c r="D5154" s="29" t="s">
        <v>4082</v>
      </c>
      <c r="E5154" s="29"/>
      <c r="F5154" s="29" t="s">
        <v>4106</v>
      </c>
      <c r="G5154" s="29"/>
      <c r="H5154" s="29" t="s">
        <v>4117</v>
      </c>
      <c r="I5154" s="29"/>
      <c r="J5154" s="29" t="s">
        <v>4118</v>
      </c>
      <c r="K5154" s="29"/>
      <c r="L5154" s="29" t="s">
        <v>1546</v>
      </c>
      <c r="M5154" s="29"/>
      <c r="N5154" s="29" t="s">
        <v>1547</v>
      </c>
      <c r="O5154" s="29"/>
      <c r="P5154" s="29" t="s">
        <v>2215</v>
      </c>
      <c r="Q5154" t="s">
        <v>2041</v>
      </c>
      <c r="R5154" t="s">
        <v>2634</v>
      </c>
      <c r="S5154">
        <v>35</v>
      </c>
      <c r="T5154" s="43" t="str">
        <f t="shared" si="238"/>
        <v>2019.012D.zip</v>
      </c>
      <c r="U5154" s="43" t="str">
        <f>HYPERLINK("https://ictv.global/taxonomy/taxondetails?taxnode_id=202203245","ictv.global=202203245")</f>
        <v>ictv.global=202203245</v>
      </c>
    </row>
    <row r="5155" spans="1:21">
      <c r="A5155">
        <v>5154</v>
      </c>
      <c r="B5155" s="29" t="s">
        <v>4053</v>
      </c>
      <c r="C5155" s="29"/>
      <c r="D5155" s="29" t="s">
        <v>4082</v>
      </c>
      <c r="E5155" s="29"/>
      <c r="F5155" s="29" t="s">
        <v>4106</v>
      </c>
      <c r="G5155" s="29"/>
      <c r="H5155" s="29" t="s">
        <v>4117</v>
      </c>
      <c r="I5155" s="29"/>
      <c r="J5155" s="29" t="s">
        <v>4118</v>
      </c>
      <c r="K5155" s="29"/>
      <c r="L5155" s="29" t="s">
        <v>1546</v>
      </c>
      <c r="M5155" s="29"/>
      <c r="N5155" s="29" t="s">
        <v>1547</v>
      </c>
      <c r="O5155" s="29"/>
      <c r="P5155" s="29" t="s">
        <v>353</v>
      </c>
      <c r="Q5155" t="s">
        <v>2041</v>
      </c>
      <c r="R5155" t="s">
        <v>2634</v>
      </c>
      <c r="S5155">
        <v>35</v>
      </c>
      <c r="T5155" s="43" t="str">
        <f t="shared" si="238"/>
        <v>2019.012D.zip</v>
      </c>
      <c r="U5155" s="43" t="str">
        <f>HYPERLINK("https://ictv.global/taxonomy/taxondetails?taxnode_id=202203246","ictv.global=202203246")</f>
        <v>ictv.global=202203246</v>
      </c>
    </row>
    <row r="5156" spans="1:21">
      <c r="A5156">
        <v>5155</v>
      </c>
      <c r="B5156" s="29" t="s">
        <v>4053</v>
      </c>
      <c r="C5156" s="29"/>
      <c r="D5156" s="29" t="s">
        <v>4082</v>
      </c>
      <c r="E5156" s="29"/>
      <c r="F5156" s="29" t="s">
        <v>4106</v>
      </c>
      <c r="G5156" s="29"/>
      <c r="H5156" s="29" t="s">
        <v>4117</v>
      </c>
      <c r="I5156" s="29"/>
      <c r="J5156" s="29" t="s">
        <v>4118</v>
      </c>
      <c r="K5156" s="29"/>
      <c r="L5156" s="29" t="s">
        <v>1546</v>
      </c>
      <c r="M5156" s="29"/>
      <c r="N5156" s="29" t="s">
        <v>1547</v>
      </c>
      <c r="O5156" s="29"/>
      <c r="P5156" s="29" t="s">
        <v>243</v>
      </c>
      <c r="Q5156" t="s">
        <v>2041</v>
      </c>
      <c r="R5156" t="s">
        <v>2634</v>
      </c>
      <c r="S5156">
        <v>35</v>
      </c>
      <c r="T5156" s="43" t="str">
        <f t="shared" si="238"/>
        <v>2019.012D.zip</v>
      </c>
      <c r="U5156" s="43" t="str">
        <f>HYPERLINK("https://ictv.global/taxonomy/taxondetails?taxnode_id=202203247","ictv.global=202203247")</f>
        <v>ictv.global=202203247</v>
      </c>
    </row>
    <row r="5157" spans="1:21">
      <c r="A5157">
        <v>5156</v>
      </c>
      <c r="B5157" s="29" t="s">
        <v>4053</v>
      </c>
      <c r="C5157" s="29"/>
      <c r="D5157" s="29" t="s">
        <v>4082</v>
      </c>
      <c r="E5157" s="29"/>
      <c r="F5157" s="29" t="s">
        <v>4106</v>
      </c>
      <c r="G5157" s="29"/>
      <c r="H5157" s="29" t="s">
        <v>4117</v>
      </c>
      <c r="I5157" s="29"/>
      <c r="J5157" s="29" t="s">
        <v>4118</v>
      </c>
      <c r="K5157" s="29"/>
      <c r="L5157" s="29" t="s">
        <v>1546</v>
      </c>
      <c r="M5157" s="29"/>
      <c r="N5157" s="29" t="s">
        <v>1547</v>
      </c>
      <c r="O5157" s="29"/>
      <c r="P5157" s="29" t="s">
        <v>343</v>
      </c>
      <c r="Q5157" t="s">
        <v>2041</v>
      </c>
      <c r="R5157" t="s">
        <v>2634</v>
      </c>
      <c r="S5157">
        <v>35</v>
      </c>
      <c r="T5157" s="43" t="str">
        <f t="shared" si="238"/>
        <v>2019.012D.zip</v>
      </c>
      <c r="U5157" s="43" t="str">
        <f>HYPERLINK("https://ictv.global/taxonomy/taxondetails?taxnode_id=202203248","ictv.global=202203248")</f>
        <v>ictv.global=202203248</v>
      </c>
    </row>
    <row r="5158" spans="1:21">
      <c r="A5158">
        <v>5157</v>
      </c>
      <c r="B5158" s="29" t="s">
        <v>4053</v>
      </c>
      <c r="C5158" s="29"/>
      <c r="D5158" s="29" t="s">
        <v>4082</v>
      </c>
      <c r="E5158" s="29"/>
      <c r="F5158" s="29" t="s">
        <v>4106</v>
      </c>
      <c r="G5158" s="29"/>
      <c r="H5158" s="29" t="s">
        <v>4117</v>
      </c>
      <c r="I5158" s="29"/>
      <c r="J5158" s="29" t="s">
        <v>4118</v>
      </c>
      <c r="K5158" s="29"/>
      <c r="L5158" s="29" t="s">
        <v>1546</v>
      </c>
      <c r="M5158" s="29"/>
      <c r="N5158" s="29" t="s">
        <v>1547</v>
      </c>
      <c r="O5158" s="29"/>
      <c r="P5158" s="29" t="s">
        <v>246</v>
      </c>
      <c r="Q5158" t="s">
        <v>2041</v>
      </c>
      <c r="R5158" t="s">
        <v>2634</v>
      </c>
      <c r="S5158">
        <v>35</v>
      </c>
      <c r="T5158" s="43" t="str">
        <f t="shared" si="238"/>
        <v>2019.012D.zip</v>
      </c>
      <c r="U5158" s="43" t="str">
        <f>HYPERLINK("https://ictv.global/taxonomy/taxondetails?taxnode_id=202203249","ictv.global=202203249")</f>
        <v>ictv.global=202203249</v>
      </c>
    </row>
    <row r="5159" spans="1:21">
      <c r="A5159">
        <v>5158</v>
      </c>
      <c r="B5159" s="29" t="s">
        <v>4053</v>
      </c>
      <c r="C5159" s="29"/>
      <c r="D5159" s="29" t="s">
        <v>4082</v>
      </c>
      <c r="E5159" s="29"/>
      <c r="F5159" s="29" t="s">
        <v>4106</v>
      </c>
      <c r="G5159" s="29"/>
      <c r="H5159" s="29" t="s">
        <v>4117</v>
      </c>
      <c r="I5159" s="29"/>
      <c r="J5159" s="29" t="s">
        <v>4118</v>
      </c>
      <c r="K5159" s="29"/>
      <c r="L5159" s="29" t="s">
        <v>1546</v>
      </c>
      <c r="M5159" s="29"/>
      <c r="N5159" s="29" t="s">
        <v>1547</v>
      </c>
      <c r="O5159" s="29"/>
      <c r="P5159" s="29" t="s">
        <v>247</v>
      </c>
      <c r="Q5159" t="s">
        <v>2041</v>
      </c>
      <c r="R5159" t="s">
        <v>2634</v>
      </c>
      <c r="S5159">
        <v>35</v>
      </c>
      <c r="T5159" s="43" t="str">
        <f t="shared" si="238"/>
        <v>2019.012D.zip</v>
      </c>
      <c r="U5159" s="43" t="str">
        <f>HYPERLINK("https://ictv.global/taxonomy/taxondetails?taxnode_id=202203250","ictv.global=202203250")</f>
        <v>ictv.global=202203250</v>
      </c>
    </row>
    <row r="5160" spans="1:21">
      <c r="A5160">
        <v>5159</v>
      </c>
      <c r="B5160" s="29" t="s">
        <v>4053</v>
      </c>
      <c r="C5160" s="29"/>
      <c r="D5160" s="29" t="s">
        <v>4082</v>
      </c>
      <c r="E5160" s="29"/>
      <c r="F5160" s="29" t="s">
        <v>4106</v>
      </c>
      <c r="G5160" s="29"/>
      <c r="H5160" s="29" t="s">
        <v>4117</v>
      </c>
      <c r="I5160" s="29"/>
      <c r="J5160" s="29" t="s">
        <v>4118</v>
      </c>
      <c r="K5160" s="29"/>
      <c r="L5160" s="29" t="s">
        <v>1546</v>
      </c>
      <c r="M5160" s="29"/>
      <c r="N5160" s="29" t="s">
        <v>1547</v>
      </c>
      <c r="O5160" s="29"/>
      <c r="P5160" s="29" t="s">
        <v>2855</v>
      </c>
      <c r="Q5160" t="s">
        <v>2041</v>
      </c>
      <c r="R5160" t="s">
        <v>2634</v>
      </c>
      <c r="S5160">
        <v>35</v>
      </c>
      <c r="T5160" s="43" t="str">
        <f t="shared" si="238"/>
        <v>2019.012D.zip</v>
      </c>
      <c r="U5160" s="43" t="str">
        <f>HYPERLINK("https://ictv.global/taxonomy/taxondetails?taxnode_id=202205800","ictv.global=202205800")</f>
        <v>ictv.global=202205800</v>
      </c>
    </row>
    <row r="5161" spans="1:21">
      <c r="A5161">
        <v>5160</v>
      </c>
      <c r="B5161" s="29" t="s">
        <v>4053</v>
      </c>
      <c r="C5161" s="29"/>
      <c r="D5161" s="29" t="s">
        <v>4082</v>
      </c>
      <c r="E5161" s="29"/>
      <c r="F5161" s="29" t="s">
        <v>4106</v>
      </c>
      <c r="G5161" s="29"/>
      <c r="H5161" s="29" t="s">
        <v>4117</v>
      </c>
      <c r="I5161" s="29"/>
      <c r="J5161" s="29" t="s">
        <v>4118</v>
      </c>
      <c r="K5161" s="29"/>
      <c r="L5161" s="29" t="s">
        <v>1546</v>
      </c>
      <c r="M5161" s="29"/>
      <c r="N5161" s="29" t="s">
        <v>1547</v>
      </c>
      <c r="O5161" s="29"/>
      <c r="P5161" s="29" t="s">
        <v>248</v>
      </c>
      <c r="Q5161" t="s">
        <v>2041</v>
      </c>
      <c r="R5161" t="s">
        <v>2634</v>
      </c>
      <c r="S5161">
        <v>35</v>
      </c>
      <c r="T5161" s="43" t="str">
        <f t="shared" si="238"/>
        <v>2019.012D.zip</v>
      </c>
      <c r="U5161" s="43" t="str">
        <f>HYPERLINK("https://ictv.global/taxonomy/taxondetails?taxnode_id=202203251","ictv.global=202203251")</f>
        <v>ictv.global=202203251</v>
      </c>
    </row>
    <row r="5162" spans="1:21">
      <c r="A5162">
        <v>5161</v>
      </c>
      <c r="B5162" s="29" t="s">
        <v>4053</v>
      </c>
      <c r="C5162" s="29"/>
      <c r="D5162" s="29" t="s">
        <v>4082</v>
      </c>
      <c r="E5162" s="29"/>
      <c r="F5162" s="29" t="s">
        <v>4106</v>
      </c>
      <c r="G5162" s="29"/>
      <c r="H5162" s="29" t="s">
        <v>4117</v>
      </c>
      <c r="I5162" s="29"/>
      <c r="J5162" s="29" t="s">
        <v>4118</v>
      </c>
      <c r="K5162" s="29"/>
      <c r="L5162" s="29" t="s">
        <v>1546</v>
      </c>
      <c r="M5162" s="29"/>
      <c r="N5162" s="29" t="s">
        <v>1547</v>
      </c>
      <c r="O5162" s="29"/>
      <c r="P5162" s="29" t="s">
        <v>2856</v>
      </c>
      <c r="Q5162" t="s">
        <v>2041</v>
      </c>
      <c r="R5162" t="s">
        <v>2634</v>
      </c>
      <c r="S5162">
        <v>35</v>
      </c>
      <c r="T5162" s="43" t="str">
        <f t="shared" si="238"/>
        <v>2019.012D.zip</v>
      </c>
      <c r="U5162" s="43" t="str">
        <f>HYPERLINK("https://ictv.global/taxonomy/taxondetails?taxnode_id=202205801","ictv.global=202205801")</f>
        <v>ictv.global=202205801</v>
      </c>
    </row>
    <row r="5163" spans="1:21">
      <c r="A5163">
        <v>5162</v>
      </c>
      <c r="B5163" s="29" t="s">
        <v>4053</v>
      </c>
      <c r="C5163" s="29"/>
      <c r="D5163" s="29" t="s">
        <v>4082</v>
      </c>
      <c r="E5163" s="29"/>
      <c r="F5163" s="29" t="s">
        <v>4106</v>
      </c>
      <c r="G5163" s="29"/>
      <c r="H5163" s="29" t="s">
        <v>4117</v>
      </c>
      <c r="I5163" s="29"/>
      <c r="J5163" s="29" t="s">
        <v>4118</v>
      </c>
      <c r="K5163" s="29"/>
      <c r="L5163" s="29" t="s">
        <v>1546</v>
      </c>
      <c r="M5163" s="29"/>
      <c r="N5163" s="29" t="s">
        <v>1547</v>
      </c>
      <c r="O5163" s="29"/>
      <c r="P5163" s="29" t="s">
        <v>1804</v>
      </c>
      <c r="Q5163" t="s">
        <v>2041</v>
      </c>
      <c r="R5163" t="s">
        <v>2634</v>
      </c>
      <c r="S5163">
        <v>35</v>
      </c>
      <c r="T5163" s="43" t="str">
        <f t="shared" si="238"/>
        <v>2019.012D.zip</v>
      </c>
      <c r="U5163" s="43" t="str">
        <f>HYPERLINK("https://ictv.global/taxonomy/taxondetails?taxnode_id=202203252","ictv.global=202203252")</f>
        <v>ictv.global=202203252</v>
      </c>
    </row>
    <row r="5164" spans="1:21">
      <c r="A5164">
        <v>5163</v>
      </c>
      <c r="B5164" s="29" t="s">
        <v>4053</v>
      </c>
      <c r="C5164" s="29"/>
      <c r="D5164" s="29" t="s">
        <v>4082</v>
      </c>
      <c r="E5164" s="29"/>
      <c r="F5164" s="29" t="s">
        <v>4106</v>
      </c>
      <c r="G5164" s="29"/>
      <c r="H5164" s="29" t="s">
        <v>4117</v>
      </c>
      <c r="I5164" s="29"/>
      <c r="J5164" s="29" t="s">
        <v>4118</v>
      </c>
      <c r="K5164" s="29"/>
      <c r="L5164" s="29" t="s">
        <v>1546</v>
      </c>
      <c r="M5164" s="29"/>
      <c r="N5164" s="29" t="s">
        <v>1547</v>
      </c>
      <c r="O5164" s="29"/>
      <c r="P5164" s="29" t="s">
        <v>2216</v>
      </c>
      <c r="Q5164" t="s">
        <v>2041</v>
      </c>
      <c r="R5164" t="s">
        <v>2634</v>
      </c>
      <c r="S5164">
        <v>35</v>
      </c>
      <c r="T5164" s="43" t="str">
        <f t="shared" si="238"/>
        <v>2019.012D.zip</v>
      </c>
      <c r="U5164" s="43" t="str">
        <f>HYPERLINK("https://ictv.global/taxonomy/taxondetails?taxnode_id=202203253","ictv.global=202203253")</f>
        <v>ictv.global=202203253</v>
      </c>
    </row>
    <row r="5165" spans="1:21">
      <c r="A5165">
        <v>5164</v>
      </c>
      <c r="B5165" s="29" t="s">
        <v>4053</v>
      </c>
      <c r="C5165" s="29"/>
      <c r="D5165" s="29" t="s">
        <v>4082</v>
      </c>
      <c r="E5165" s="29"/>
      <c r="F5165" s="29" t="s">
        <v>4106</v>
      </c>
      <c r="G5165" s="29"/>
      <c r="H5165" s="29" t="s">
        <v>4117</v>
      </c>
      <c r="I5165" s="29"/>
      <c r="J5165" s="29" t="s">
        <v>4118</v>
      </c>
      <c r="K5165" s="29"/>
      <c r="L5165" s="29" t="s">
        <v>1546</v>
      </c>
      <c r="M5165" s="29"/>
      <c r="N5165" s="29" t="s">
        <v>1547</v>
      </c>
      <c r="O5165" s="29"/>
      <c r="P5165" s="29" t="s">
        <v>2217</v>
      </c>
      <c r="Q5165" t="s">
        <v>2041</v>
      </c>
      <c r="R5165" t="s">
        <v>2634</v>
      </c>
      <c r="S5165">
        <v>35</v>
      </c>
      <c r="T5165" s="43" t="str">
        <f t="shared" si="238"/>
        <v>2019.012D.zip</v>
      </c>
      <c r="U5165" s="43" t="str">
        <f>HYPERLINK("https://ictv.global/taxonomy/taxondetails?taxnode_id=202203254","ictv.global=202203254")</f>
        <v>ictv.global=202203254</v>
      </c>
    </row>
    <row r="5166" spans="1:21">
      <c r="A5166">
        <v>5165</v>
      </c>
      <c r="B5166" s="29" t="s">
        <v>4053</v>
      </c>
      <c r="C5166" s="29"/>
      <c r="D5166" s="29" t="s">
        <v>4082</v>
      </c>
      <c r="E5166" s="29"/>
      <c r="F5166" s="29" t="s">
        <v>4106</v>
      </c>
      <c r="G5166" s="29"/>
      <c r="H5166" s="29" t="s">
        <v>4117</v>
      </c>
      <c r="I5166" s="29"/>
      <c r="J5166" s="29" t="s">
        <v>4118</v>
      </c>
      <c r="K5166" s="29"/>
      <c r="L5166" s="29" t="s">
        <v>1546</v>
      </c>
      <c r="M5166" s="29"/>
      <c r="N5166" s="29" t="s">
        <v>1547</v>
      </c>
      <c r="O5166" s="29"/>
      <c r="P5166" s="29" t="s">
        <v>2218</v>
      </c>
      <c r="Q5166" t="s">
        <v>2041</v>
      </c>
      <c r="R5166" t="s">
        <v>2634</v>
      </c>
      <c r="S5166">
        <v>35</v>
      </c>
      <c r="T5166" s="43" t="str">
        <f t="shared" si="238"/>
        <v>2019.012D.zip</v>
      </c>
      <c r="U5166" s="43" t="str">
        <f>HYPERLINK("https://ictv.global/taxonomy/taxondetails?taxnode_id=202203255","ictv.global=202203255")</f>
        <v>ictv.global=202203255</v>
      </c>
    </row>
    <row r="5167" spans="1:21">
      <c r="A5167">
        <v>5166</v>
      </c>
      <c r="B5167" s="29" t="s">
        <v>4053</v>
      </c>
      <c r="C5167" s="29"/>
      <c r="D5167" s="29" t="s">
        <v>4082</v>
      </c>
      <c r="E5167" s="29"/>
      <c r="F5167" s="29" t="s">
        <v>4106</v>
      </c>
      <c r="G5167" s="29"/>
      <c r="H5167" s="29" t="s">
        <v>4117</v>
      </c>
      <c r="I5167" s="29"/>
      <c r="J5167" s="29" t="s">
        <v>4118</v>
      </c>
      <c r="K5167" s="29"/>
      <c r="L5167" s="29" t="s">
        <v>1546</v>
      </c>
      <c r="M5167" s="29"/>
      <c r="N5167" s="29" t="s">
        <v>1547</v>
      </c>
      <c r="O5167" s="29"/>
      <c r="P5167" s="29" t="s">
        <v>4124</v>
      </c>
      <c r="Q5167" t="s">
        <v>2265</v>
      </c>
      <c r="R5167" t="s">
        <v>2632</v>
      </c>
      <c r="S5167">
        <v>35</v>
      </c>
      <c r="T5167" s="43" t="str">
        <f>HYPERLINK("https://ictv.global/ictv/proposals/2019.022P.zip","2019.022P.zip")</f>
        <v>2019.022P.zip</v>
      </c>
      <c r="U5167" s="43" t="str">
        <f>HYPERLINK("https://ictv.global/taxonomy/taxondetails?taxnode_id=202207523","ictv.global=202207523")</f>
        <v>ictv.global=202207523</v>
      </c>
    </row>
    <row r="5168" spans="1:21">
      <c r="A5168">
        <v>5167</v>
      </c>
      <c r="B5168" s="29" t="s">
        <v>4053</v>
      </c>
      <c r="C5168" s="29"/>
      <c r="D5168" s="29" t="s">
        <v>4082</v>
      </c>
      <c r="E5168" s="29"/>
      <c r="F5168" s="29" t="s">
        <v>4106</v>
      </c>
      <c r="G5168" s="29"/>
      <c r="H5168" s="29" t="s">
        <v>4117</v>
      </c>
      <c r="I5168" s="29"/>
      <c r="J5168" s="29" t="s">
        <v>4118</v>
      </c>
      <c r="K5168" s="29"/>
      <c r="L5168" s="29" t="s">
        <v>1546</v>
      </c>
      <c r="M5168" s="29"/>
      <c r="N5168" s="29" t="s">
        <v>1547</v>
      </c>
      <c r="O5168" s="29"/>
      <c r="P5168" s="29" t="s">
        <v>4911</v>
      </c>
      <c r="Q5168" t="s">
        <v>2265</v>
      </c>
      <c r="R5168" t="s">
        <v>2632</v>
      </c>
      <c r="S5168">
        <v>36</v>
      </c>
      <c r="T5168" s="43" t="str">
        <f>HYPERLINK("https://ictv.global/ictv/proposals/2020.006P.R.Begomovirus_22nsp.zip","2020.006P.R.Begomovirus_22nsp.zip")</f>
        <v>2020.006P.R.Begomovirus_22nsp.zip</v>
      </c>
      <c r="U5168" s="43" t="str">
        <f>HYPERLINK("https://ictv.global/taxonomy/taxondetails?taxnode_id=202209121","ictv.global=202209121")</f>
        <v>ictv.global=202209121</v>
      </c>
    </row>
    <row r="5169" spans="1:21">
      <c r="A5169">
        <v>5168</v>
      </c>
      <c r="B5169" s="29" t="s">
        <v>4053</v>
      </c>
      <c r="C5169" s="29"/>
      <c r="D5169" s="29" t="s">
        <v>4082</v>
      </c>
      <c r="E5169" s="29"/>
      <c r="F5169" s="29" t="s">
        <v>4106</v>
      </c>
      <c r="G5169" s="29"/>
      <c r="H5169" s="29" t="s">
        <v>4117</v>
      </c>
      <c r="I5169" s="29"/>
      <c r="J5169" s="29" t="s">
        <v>4118</v>
      </c>
      <c r="K5169" s="29"/>
      <c r="L5169" s="29" t="s">
        <v>1546</v>
      </c>
      <c r="M5169" s="29"/>
      <c r="N5169" s="29" t="s">
        <v>1547</v>
      </c>
      <c r="O5169" s="29"/>
      <c r="P5169" s="29" t="s">
        <v>1805</v>
      </c>
      <c r="Q5169" t="s">
        <v>2041</v>
      </c>
      <c r="R5169" t="s">
        <v>2634</v>
      </c>
      <c r="S5169">
        <v>35</v>
      </c>
      <c r="T5169" s="43" t="str">
        <f>HYPERLINK("https://ictv.global/ictv/proposals/2019.012D.zip","2019.012D.zip")</f>
        <v>2019.012D.zip</v>
      </c>
      <c r="U5169" s="43" t="str">
        <f>HYPERLINK("https://ictv.global/taxonomy/taxondetails?taxnode_id=202203256","ictv.global=202203256")</f>
        <v>ictv.global=202203256</v>
      </c>
    </row>
    <row r="5170" spans="1:21">
      <c r="A5170">
        <v>5169</v>
      </c>
      <c r="B5170" s="29" t="s">
        <v>4053</v>
      </c>
      <c r="C5170" s="29"/>
      <c r="D5170" s="29" t="s">
        <v>4082</v>
      </c>
      <c r="E5170" s="29"/>
      <c r="F5170" s="29" t="s">
        <v>4106</v>
      </c>
      <c r="G5170" s="29"/>
      <c r="H5170" s="29" t="s">
        <v>4117</v>
      </c>
      <c r="I5170" s="29"/>
      <c r="J5170" s="29" t="s">
        <v>4118</v>
      </c>
      <c r="K5170" s="29"/>
      <c r="L5170" s="29" t="s">
        <v>1546</v>
      </c>
      <c r="M5170" s="29"/>
      <c r="N5170" s="29" t="s">
        <v>1547</v>
      </c>
      <c r="O5170" s="29"/>
      <c r="P5170" s="29" t="s">
        <v>2857</v>
      </c>
      <c r="Q5170" t="s">
        <v>2041</v>
      </c>
      <c r="R5170" t="s">
        <v>2634</v>
      </c>
      <c r="S5170">
        <v>35</v>
      </c>
      <c r="T5170" s="43" t="str">
        <f>HYPERLINK("https://ictv.global/ictv/proposals/2019.012D.zip","2019.012D.zip")</f>
        <v>2019.012D.zip</v>
      </c>
      <c r="U5170" s="43" t="str">
        <f>HYPERLINK("https://ictv.global/taxonomy/taxondetails?taxnode_id=202205802","ictv.global=202205802")</f>
        <v>ictv.global=202205802</v>
      </c>
    </row>
    <row r="5171" spans="1:21">
      <c r="A5171">
        <v>5170</v>
      </c>
      <c r="B5171" s="29" t="s">
        <v>4053</v>
      </c>
      <c r="C5171" s="29"/>
      <c r="D5171" s="29" t="s">
        <v>4082</v>
      </c>
      <c r="E5171" s="29"/>
      <c r="F5171" s="29" t="s">
        <v>4106</v>
      </c>
      <c r="G5171" s="29"/>
      <c r="H5171" s="29" t="s">
        <v>4117</v>
      </c>
      <c r="I5171" s="29"/>
      <c r="J5171" s="29" t="s">
        <v>4118</v>
      </c>
      <c r="K5171" s="29"/>
      <c r="L5171" s="29" t="s">
        <v>1546</v>
      </c>
      <c r="M5171" s="29"/>
      <c r="N5171" s="29" t="s">
        <v>1547</v>
      </c>
      <c r="O5171" s="29"/>
      <c r="P5171" s="29" t="s">
        <v>4125</v>
      </c>
      <c r="Q5171" t="s">
        <v>2265</v>
      </c>
      <c r="R5171" t="s">
        <v>2632</v>
      </c>
      <c r="S5171">
        <v>35</v>
      </c>
      <c r="T5171" s="43" t="str">
        <f>HYPERLINK("https://ictv.global/ictv/proposals/2019.022P.zip","2019.022P.zip")</f>
        <v>2019.022P.zip</v>
      </c>
      <c r="U5171" s="43" t="str">
        <f>HYPERLINK("https://ictv.global/taxonomy/taxondetails?taxnode_id=202207524","ictv.global=202207524")</f>
        <v>ictv.global=202207524</v>
      </c>
    </row>
    <row r="5172" spans="1:21">
      <c r="A5172">
        <v>5171</v>
      </c>
      <c r="B5172" s="29" t="s">
        <v>4053</v>
      </c>
      <c r="C5172" s="29"/>
      <c r="D5172" s="29" t="s">
        <v>4082</v>
      </c>
      <c r="E5172" s="29"/>
      <c r="F5172" s="29" t="s">
        <v>4106</v>
      </c>
      <c r="G5172" s="29"/>
      <c r="H5172" s="29" t="s">
        <v>4117</v>
      </c>
      <c r="I5172" s="29"/>
      <c r="J5172" s="29" t="s">
        <v>4118</v>
      </c>
      <c r="K5172" s="29"/>
      <c r="L5172" s="29" t="s">
        <v>1546</v>
      </c>
      <c r="M5172" s="29"/>
      <c r="N5172" s="29" t="s">
        <v>1547</v>
      </c>
      <c r="O5172" s="29"/>
      <c r="P5172" s="29" t="s">
        <v>1257</v>
      </c>
      <c r="Q5172" t="s">
        <v>2041</v>
      </c>
      <c r="R5172" t="s">
        <v>2634</v>
      </c>
      <c r="S5172">
        <v>35</v>
      </c>
      <c r="T5172" s="43" t="str">
        <f>HYPERLINK("https://ictv.global/ictv/proposals/2019.012D.zip","2019.012D.zip")</f>
        <v>2019.012D.zip</v>
      </c>
      <c r="U5172" s="43" t="str">
        <f>HYPERLINK("https://ictv.global/taxonomy/taxondetails?taxnode_id=202203258","ictv.global=202203258")</f>
        <v>ictv.global=202203258</v>
      </c>
    </row>
    <row r="5173" spans="1:21">
      <c r="A5173">
        <v>5172</v>
      </c>
      <c r="B5173" s="29" t="s">
        <v>4053</v>
      </c>
      <c r="C5173" s="29"/>
      <c r="D5173" s="29" t="s">
        <v>4082</v>
      </c>
      <c r="E5173" s="29"/>
      <c r="F5173" s="29" t="s">
        <v>4106</v>
      </c>
      <c r="G5173" s="29"/>
      <c r="H5173" s="29" t="s">
        <v>4117</v>
      </c>
      <c r="I5173" s="29"/>
      <c r="J5173" s="29" t="s">
        <v>4118</v>
      </c>
      <c r="K5173" s="29"/>
      <c r="L5173" s="29" t="s">
        <v>1546</v>
      </c>
      <c r="M5173" s="29"/>
      <c r="N5173" s="29" t="s">
        <v>1547</v>
      </c>
      <c r="O5173" s="29"/>
      <c r="P5173" s="29" t="s">
        <v>872</v>
      </c>
      <c r="Q5173" t="s">
        <v>2041</v>
      </c>
      <c r="R5173" t="s">
        <v>2634</v>
      </c>
      <c r="S5173">
        <v>35</v>
      </c>
      <c r="T5173" s="43" t="str">
        <f>HYPERLINK("https://ictv.global/ictv/proposals/2019.012D.zip","2019.012D.zip")</f>
        <v>2019.012D.zip</v>
      </c>
      <c r="U5173" s="43" t="str">
        <f>HYPERLINK("https://ictv.global/taxonomy/taxondetails?taxnode_id=202203259","ictv.global=202203259")</f>
        <v>ictv.global=202203259</v>
      </c>
    </row>
    <row r="5174" spans="1:21">
      <c r="A5174">
        <v>5173</v>
      </c>
      <c r="B5174" s="29" t="s">
        <v>4053</v>
      </c>
      <c r="C5174" s="29"/>
      <c r="D5174" s="29" t="s">
        <v>4082</v>
      </c>
      <c r="E5174" s="29"/>
      <c r="F5174" s="29" t="s">
        <v>4106</v>
      </c>
      <c r="G5174" s="29"/>
      <c r="H5174" s="29" t="s">
        <v>4117</v>
      </c>
      <c r="I5174" s="29"/>
      <c r="J5174" s="29" t="s">
        <v>4118</v>
      </c>
      <c r="K5174" s="29"/>
      <c r="L5174" s="29" t="s">
        <v>1546</v>
      </c>
      <c r="M5174" s="29"/>
      <c r="N5174" s="29" t="s">
        <v>1547</v>
      </c>
      <c r="O5174" s="29"/>
      <c r="P5174" s="29" t="s">
        <v>4912</v>
      </c>
      <c r="Q5174" t="s">
        <v>2265</v>
      </c>
      <c r="R5174" t="s">
        <v>2632</v>
      </c>
      <c r="S5174">
        <v>36</v>
      </c>
      <c r="T5174" s="43" t="str">
        <f>HYPERLINK("https://ictv.global/ictv/proposals/2020.006P.R.Begomovirus_22nsp.zip","2020.006P.R.Begomovirus_22nsp.zip")</f>
        <v>2020.006P.R.Begomovirus_22nsp.zip</v>
      </c>
      <c r="U5174" s="43" t="str">
        <f>HYPERLINK("https://ictv.global/taxonomy/taxondetails?taxnode_id=202209122","ictv.global=202209122")</f>
        <v>ictv.global=202209122</v>
      </c>
    </row>
    <row r="5175" spans="1:21">
      <c r="A5175">
        <v>5174</v>
      </c>
      <c r="B5175" s="29" t="s">
        <v>4053</v>
      </c>
      <c r="C5175" s="29"/>
      <c r="D5175" s="29" t="s">
        <v>4082</v>
      </c>
      <c r="E5175" s="29"/>
      <c r="F5175" s="29" t="s">
        <v>4106</v>
      </c>
      <c r="G5175" s="29"/>
      <c r="H5175" s="29" t="s">
        <v>4117</v>
      </c>
      <c r="I5175" s="29"/>
      <c r="J5175" s="29" t="s">
        <v>4118</v>
      </c>
      <c r="K5175" s="29"/>
      <c r="L5175" s="29" t="s">
        <v>1546</v>
      </c>
      <c r="M5175" s="29"/>
      <c r="N5175" s="29" t="s">
        <v>1547</v>
      </c>
      <c r="O5175" s="29"/>
      <c r="P5175" s="29" t="s">
        <v>873</v>
      </c>
      <c r="Q5175" t="s">
        <v>2041</v>
      </c>
      <c r="R5175" t="s">
        <v>2634</v>
      </c>
      <c r="S5175">
        <v>35</v>
      </c>
      <c r="T5175" s="43" t="str">
        <f t="shared" ref="T5175:T5209" si="239">HYPERLINK("https://ictv.global/ictv/proposals/2019.012D.zip","2019.012D.zip")</f>
        <v>2019.012D.zip</v>
      </c>
      <c r="U5175" s="43" t="str">
        <f>HYPERLINK("https://ictv.global/taxonomy/taxondetails?taxnode_id=202203260","ictv.global=202203260")</f>
        <v>ictv.global=202203260</v>
      </c>
    </row>
    <row r="5176" spans="1:21">
      <c r="A5176">
        <v>5175</v>
      </c>
      <c r="B5176" s="29" t="s">
        <v>4053</v>
      </c>
      <c r="C5176" s="29"/>
      <c r="D5176" s="29" t="s">
        <v>4082</v>
      </c>
      <c r="E5176" s="29"/>
      <c r="F5176" s="29" t="s">
        <v>4106</v>
      </c>
      <c r="G5176" s="29"/>
      <c r="H5176" s="29" t="s">
        <v>4117</v>
      </c>
      <c r="I5176" s="29"/>
      <c r="J5176" s="29" t="s">
        <v>4118</v>
      </c>
      <c r="K5176" s="29"/>
      <c r="L5176" s="29" t="s">
        <v>1546</v>
      </c>
      <c r="M5176" s="29"/>
      <c r="N5176" s="29" t="s">
        <v>1547</v>
      </c>
      <c r="O5176" s="29"/>
      <c r="P5176" s="29" t="s">
        <v>1806</v>
      </c>
      <c r="Q5176" t="s">
        <v>2041</v>
      </c>
      <c r="R5176" t="s">
        <v>2634</v>
      </c>
      <c r="S5176">
        <v>35</v>
      </c>
      <c r="T5176" s="43" t="str">
        <f t="shared" si="239"/>
        <v>2019.012D.zip</v>
      </c>
      <c r="U5176" s="43" t="str">
        <f>HYPERLINK("https://ictv.global/taxonomy/taxondetails?taxnode_id=202203261","ictv.global=202203261")</f>
        <v>ictv.global=202203261</v>
      </c>
    </row>
    <row r="5177" spans="1:21">
      <c r="A5177">
        <v>5176</v>
      </c>
      <c r="B5177" s="29" t="s">
        <v>4053</v>
      </c>
      <c r="C5177" s="29"/>
      <c r="D5177" s="29" t="s">
        <v>4082</v>
      </c>
      <c r="E5177" s="29"/>
      <c r="F5177" s="29" t="s">
        <v>4106</v>
      </c>
      <c r="G5177" s="29"/>
      <c r="H5177" s="29" t="s">
        <v>4117</v>
      </c>
      <c r="I5177" s="29"/>
      <c r="J5177" s="29" t="s">
        <v>4118</v>
      </c>
      <c r="K5177" s="29"/>
      <c r="L5177" s="29" t="s">
        <v>1546</v>
      </c>
      <c r="M5177" s="29"/>
      <c r="N5177" s="29" t="s">
        <v>1547</v>
      </c>
      <c r="O5177" s="29"/>
      <c r="P5177" s="29" t="s">
        <v>2858</v>
      </c>
      <c r="Q5177" t="s">
        <v>2041</v>
      </c>
      <c r="R5177" t="s">
        <v>2634</v>
      </c>
      <c r="S5177">
        <v>35</v>
      </c>
      <c r="T5177" s="43" t="str">
        <f t="shared" si="239"/>
        <v>2019.012D.zip</v>
      </c>
      <c r="U5177" s="43" t="str">
        <f>HYPERLINK("https://ictv.global/taxonomy/taxondetails?taxnode_id=202205803","ictv.global=202205803")</f>
        <v>ictv.global=202205803</v>
      </c>
    </row>
    <row r="5178" spans="1:21">
      <c r="A5178">
        <v>5177</v>
      </c>
      <c r="B5178" s="29" t="s">
        <v>4053</v>
      </c>
      <c r="C5178" s="29"/>
      <c r="D5178" s="29" t="s">
        <v>4082</v>
      </c>
      <c r="E5178" s="29"/>
      <c r="F5178" s="29" t="s">
        <v>4106</v>
      </c>
      <c r="G5178" s="29"/>
      <c r="H5178" s="29" t="s">
        <v>4117</v>
      </c>
      <c r="I5178" s="29"/>
      <c r="J5178" s="29" t="s">
        <v>4118</v>
      </c>
      <c r="K5178" s="29"/>
      <c r="L5178" s="29" t="s">
        <v>1546</v>
      </c>
      <c r="M5178" s="29"/>
      <c r="N5178" s="29" t="s">
        <v>1547</v>
      </c>
      <c r="O5178" s="29"/>
      <c r="P5178" s="29" t="s">
        <v>3643</v>
      </c>
      <c r="Q5178" t="s">
        <v>2041</v>
      </c>
      <c r="R5178" t="s">
        <v>2634</v>
      </c>
      <c r="S5178">
        <v>35</v>
      </c>
      <c r="T5178" s="43" t="str">
        <f t="shared" si="239"/>
        <v>2019.012D.zip</v>
      </c>
      <c r="U5178" s="43" t="str">
        <f>HYPERLINK("https://ictv.global/taxonomy/taxondetails?taxnode_id=202206704","ictv.global=202206704")</f>
        <v>ictv.global=202206704</v>
      </c>
    </row>
    <row r="5179" spans="1:21">
      <c r="A5179">
        <v>5178</v>
      </c>
      <c r="B5179" s="29" t="s">
        <v>4053</v>
      </c>
      <c r="C5179" s="29"/>
      <c r="D5179" s="29" t="s">
        <v>4082</v>
      </c>
      <c r="E5179" s="29"/>
      <c r="F5179" s="29" t="s">
        <v>4106</v>
      </c>
      <c r="G5179" s="29"/>
      <c r="H5179" s="29" t="s">
        <v>4117</v>
      </c>
      <c r="I5179" s="29"/>
      <c r="J5179" s="29" t="s">
        <v>4118</v>
      </c>
      <c r="K5179" s="29"/>
      <c r="L5179" s="29" t="s">
        <v>1546</v>
      </c>
      <c r="M5179" s="29"/>
      <c r="N5179" s="29" t="s">
        <v>1547</v>
      </c>
      <c r="O5179" s="29"/>
      <c r="P5179" s="29" t="s">
        <v>2859</v>
      </c>
      <c r="Q5179" t="s">
        <v>2041</v>
      </c>
      <c r="R5179" t="s">
        <v>2634</v>
      </c>
      <c r="S5179">
        <v>35</v>
      </c>
      <c r="T5179" s="43" t="str">
        <f t="shared" si="239"/>
        <v>2019.012D.zip</v>
      </c>
      <c r="U5179" s="43" t="str">
        <f>HYPERLINK("https://ictv.global/taxonomy/taxondetails?taxnode_id=202205804","ictv.global=202205804")</f>
        <v>ictv.global=202205804</v>
      </c>
    </row>
    <row r="5180" spans="1:21">
      <c r="A5180">
        <v>5179</v>
      </c>
      <c r="B5180" s="29" t="s">
        <v>4053</v>
      </c>
      <c r="C5180" s="29"/>
      <c r="D5180" s="29" t="s">
        <v>4082</v>
      </c>
      <c r="E5180" s="29"/>
      <c r="F5180" s="29" t="s">
        <v>4106</v>
      </c>
      <c r="G5180" s="29"/>
      <c r="H5180" s="29" t="s">
        <v>4117</v>
      </c>
      <c r="I5180" s="29"/>
      <c r="J5180" s="29" t="s">
        <v>4118</v>
      </c>
      <c r="K5180" s="29"/>
      <c r="L5180" s="29" t="s">
        <v>1546</v>
      </c>
      <c r="M5180" s="29"/>
      <c r="N5180" s="29" t="s">
        <v>1547</v>
      </c>
      <c r="O5180" s="29"/>
      <c r="P5180" s="29" t="s">
        <v>2219</v>
      </c>
      <c r="Q5180" t="s">
        <v>2041</v>
      </c>
      <c r="R5180" t="s">
        <v>2634</v>
      </c>
      <c r="S5180">
        <v>35</v>
      </c>
      <c r="T5180" s="43" t="str">
        <f t="shared" si="239"/>
        <v>2019.012D.zip</v>
      </c>
      <c r="U5180" s="43" t="str">
        <f>HYPERLINK("https://ictv.global/taxonomy/taxondetails?taxnode_id=202203262","ictv.global=202203262")</f>
        <v>ictv.global=202203262</v>
      </c>
    </row>
    <row r="5181" spans="1:21">
      <c r="A5181">
        <v>5180</v>
      </c>
      <c r="B5181" s="29" t="s">
        <v>4053</v>
      </c>
      <c r="C5181" s="29"/>
      <c r="D5181" s="29" t="s">
        <v>4082</v>
      </c>
      <c r="E5181" s="29"/>
      <c r="F5181" s="29" t="s">
        <v>4106</v>
      </c>
      <c r="G5181" s="29"/>
      <c r="H5181" s="29" t="s">
        <v>4117</v>
      </c>
      <c r="I5181" s="29"/>
      <c r="J5181" s="29" t="s">
        <v>4118</v>
      </c>
      <c r="K5181" s="29"/>
      <c r="L5181" s="29" t="s">
        <v>1546</v>
      </c>
      <c r="M5181" s="29"/>
      <c r="N5181" s="29" t="s">
        <v>1547</v>
      </c>
      <c r="O5181" s="29"/>
      <c r="P5181" s="29" t="s">
        <v>2860</v>
      </c>
      <c r="Q5181" t="s">
        <v>2041</v>
      </c>
      <c r="R5181" t="s">
        <v>2634</v>
      </c>
      <c r="S5181">
        <v>35</v>
      </c>
      <c r="T5181" s="43" t="str">
        <f t="shared" si="239"/>
        <v>2019.012D.zip</v>
      </c>
      <c r="U5181" s="43" t="str">
        <f>HYPERLINK("https://ictv.global/taxonomy/taxondetails?taxnode_id=202205805","ictv.global=202205805")</f>
        <v>ictv.global=202205805</v>
      </c>
    </row>
    <row r="5182" spans="1:21">
      <c r="A5182">
        <v>5181</v>
      </c>
      <c r="B5182" s="29" t="s">
        <v>4053</v>
      </c>
      <c r="C5182" s="29"/>
      <c r="D5182" s="29" t="s">
        <v>4082</v>
      </c>
      <c r="E5182" s="29"/>
      <c r="F5182" s="29" t="s">
        <v>4106</v>
      </c>
      <c r="G5182" s="29"/>
      <c r="H5182" s="29" t="s">
        <v>4117</v>
      </c>
      <c r="I5182" s="29"/>
      <c r="J5182" s="29" t="s">
        <v>4118</v>
      </c>
      <c r="K5182" s="29"/>
      <c r="L5182" s="29" t="s">
        <v>1546</v>
      </c>
      <c r="M5182" s="29"/>
      <c r="N5182" s="29" t="s">
        <v>1547</v>
      </c>
      <c r="O5182" s="29"/>
      <c r="P5182" s="29" t="s">
        <v>1807</v>
      </c>
      <c r="Q5182" t="s">
        <v>2041</v>
      </c>
      <c r="R5182" t="s">
        <v>2634</v>
      </c>
      <c r="S5182">
        <v>35</v>
      </c>
      <c r="T5182" s="43" t="str">
        <f t="shared" si="239"/>
        <v>2019.012D.zip</v>
      </c>
      <c r="U5182" s="43" t="str">
        <f>HYPERLINK("https://ictv.global/taxonomy/taxondetails?taxnode_id=202203263","ictv.global=202203263")</f>
        <v>ictv.global=202203263</v>
      </c>
    </row>
    <row r="5183" spans="1:21">
      <c r="A5183">
        <v>5182</v>
      </c>
      <c r="B5183" s="29" t="s">
        <v>4053</v>
      </c>
      <c r="C5183" s="29"/>
      <c r="D5183" s="29" t="s">
        <v>4082</v>
      </c>
      <c r="E5183" s="29"/>
      <c r="F5183" s="29" t="s">
        <v>4106</v>
      </c>
      <c r="G5183" s="29"/>
      <c r="H5183" s="29" t="s">
        <v>4117</v>
      </c>
      <c r="I5183" s="29"/>
      <c r="J5183" s="29" t="s">
        <v>4118</v>
      </c>
      <c r="K5183" s="29"/>
      <c r="L5183" s="29" t="s">
        <v>1546</v>
      </c>
      <c r="M5183" s="29"/>
      <c r="N5183" s="29" t="s">
        <v>1547</v>
      </c>
      <c r="O5183" s="29"/>
      <c r="P5183" s="29" t="s">
        <v>2220</v>
      </c>
      <c r="Q5183" t="s">
        <v>2041</v>
      </c>
      <c r="R5183" t="s">
        <v>2634</v>
      </c>
      <c r="S5183">
        <v>35</v>
      </c>
      <c r="T5183" s="43" t="str">
        <f t="shared" si="239"/>
        <v>2019.012D.zip</v>
      </c>
      <c r="U5183" s="43" t="str">
        <f>HYPERLINK("https://ictv.global/taxonomy/taxondetails?taxnode_id=202203264","ictv.global=202203264")</f>
        <v>ictv.global=202203264</v>
      </c>
    </row>
    <row r="5184" spans="1:21">
      <c r="A5184">
        <v>5183</v>
      </c>
      <c r="B5184" s="29" t="s">
        <v>4053</v>
      </c>
      <c r="C5184" s="29"/>
      <c r="D5184" s="29" t="s">
        <v>4082</v>
      </c>
      <c r="E5184" s="29"/>
      <c r="F5184" s="29" t="s">
        <v>4106</v>
      </c>
      <c r="G5184" s="29"/>
      <c r="H5184" s="29" t="s">
        <v>4117</v>
      </c>
      <c r="I5184" s="29"/>
      <c r="J5184" s="29" t="s">
        <v>4118</v>
      </c>
      <c r="K5184" s="29"/>
      <c r="L5184" s="29" t="s">
        <v>1546</v>
      </c>
      <c r="M5184" s="29"/>
      <c r="N5184" s="29" t="s">
        <v>1547</v>
      </c>
      <c r="O5184" s="29"/>
      <c r="P5184" s="29" t="s">
        <v>2221</v>
      </c>
      <c r="Q5184" t="s">
        <v>2041</v>
      </c>
      <c r="R5184" t="s">
        <v>2634</v>
      </c>
      <c r="S5184">
        <v>35</v>
      </c>
      <c r="T5184" s="43" t="str">
        <f t="shared" si="239"/>
        <v>2019.012D.zip</v>
      </c>
      <c r="U5184" s="43" t="str">
        <f>HYPERLINK("https://ictv.global/taxonomy/taxondetails?taxnode_id=202203265","ictv.global=202203265")</f>
        <v>ictv.global=202203265</v>
      </c>
    </row>
    <row r="5185" spans="1:21">
      <c r="A5185">
        <v>5184</v>
      </c>
      <c r="B5185" s="29" t="s">
        <v>4053</v>
      </c>
      <c r="C5185" s="29"/>
      <c r="D5185" s="29" t="s">
        <v>4082</v>
      </c>
      <c r="E5185" s="29"/>
      <c r="F5185" s="29" t="s">
        <v>4106</v>
      </c>
      <c r="G5185" s="29"/>
      <c r="H5185" s="29" t="s">
        <v>4117</v>
      </c>
      <c r="I5185" s="29"/>
      <c r="J5185" s="29" t="s">
        <v>4118</v>
      </c>
      <c r="K5185" s="29"/>
      <c r="L5185" s="29" t="s">
        <v>1546</v>
      </c>
      <c r="M5185" s="29"/>
      <c r="N5185" s="29" t="s">
        <v>1547</v>
      </c>
      <c r="O5185" s="29"/>
      <c r="P5185" s="29" t="s">
        <v>2222</v>
      </c>
      <c r="Q5185" t="s">
        <v>2041</v>
      </c>
      <c r="R5185" t="s">
        <v>2634</v>
      </c>
      <c r="S5185">
        <v>35</v>
      </c>
      <c r="T5185" s="43" t="str">
        <f t="shared" si="239"/>
        <v>2019.012D.zip</v>
      </c>
      <c r="U5185" s="43" t="str">
        <f>HYPERLINK("https://ictv.global/taxonomy/taxondetails?taxnode_id=202203266","ictv.global=202203266")</f>
        <v>ictv.global=202203266</v>
      </c>
    </row>
    <row r="5186" spans="1:21">
      <c r="A5186">
        <v>5185</v>
      </c>
      <c r="B5186" s="29" t="s">
        <v>4053</v>
      </c>
      <c r="C5186" s="29"/>
      <c r="D5186" s="29" t="s">
        <v>4082</v>
      </c>
      <c r="E5186" s="29"/>
      <c r="F5186" s="29" t="s">
        <v>4106</v>
      </c>
      <c r="G5186" s="29"/>
      <c r="H5186" s="29" t="s">
        <v>4117</v>
      </c>
      <c r="I5186" s="29"/>
      <c r="J5186" s="29" t="s">
        <v>4118</v>
      </c>
      <c r="K5186" s="29"/>
      <c r="L5186" s="29" t="s">
        <v>1546</v>
      </c>
      <c r="M5186" s="29"/>
      <c r="N5186" s="29" t="s">
        <v>1547</v>
      </c>
      <c r="O5186" s="29"/>
      <c r="P5186" s="29" t="s">
        <v>874</v>
      </c>
      <c r="Q5186" t="s">
        <v>2041</v>
      </c>
      <c r="R5186" t="s">
        <v>2634</v>
      </c>
      <c r="S5186">
        <v>35</v>
      </c>
      <c r="T5186" s="43" t="str">
        <f t="shared" si="239"/>
        <v>2019.012D.zip</v>
      </c>
      <c r="U5186" s="43" t="str">
        <f>HYPERLINK("https://ictv.global/taxonomy/taxondetails?taxnode_id=202203267","ictv.global=202203267")</f>
        <v>ictv.global=202203267</v>
      </c>
    </row>
    <row r="5187" spans="1:21">
      <c r="A5187">
        <v>5186</v>
      </c>
      <c r="B5187" s="29" t="s">
        <v>4053</v>
      </c>
      <c r="C5187" s="29"/>
      <c r="D5187" s="29" t="s">
        <v>4082</v>
      </c>
      <c r="E5187" s="29"/>
      <c r="F5187" s="29" t="s">
        <v>4106</v>
      </c>
      <c r="G5187" s="29"/>
      <c r="H5187" s="29" t="s">
        <v>4117</v>
      </c>
      <c r="I5187" s="29"/>
      <c r="J5187" s="29" t="s">
        <v>4118</v>
      </c>
      <c r="K5187" s="29"/>
      <c r="L5187" s="29" t="s">
        <v>1546</v>
      </c>
      <c r="M5187" s="29"/>
      <c r="N5187" s="29" t="s">
        <v>1547</v>
      </c>
      <c r="O5187" s="29"/>
      <c r="P5187" s="29" t="s">
        <v>1808</v>
      </c>
      <c r="Q5187" t="s">
        <v>2041</v>
      </c>
      <c r="R5187" t="s">
        <v>2634</v>
      </c>
      <c r="S5187">
        <v>35</v>
      </c>
      <c r="T5187" s="43" t="str">
        <f t="shared" si="239"/>
        <v>2019.012D.zip</v>
      </c>
      <c r="U5187" s="43" t="str">
        <f>HYPERLINK("https://ictv.global/taxonomy/taxondetails?taxnode_id=202203268","ictv.global=202203268")</f>
        <v>ictv.global=202203268</v>
      </c>
    </row>
    <row r="5188" spans="1:21">
      <c r="A5188">
        <v>5187</v>
      </c>
      <c r="B5188" s="29" t="s">
        <v>4053</v>
      </c>
      <c r="C5188" s="29"/>
      <c r="D5188" s="29" t="s">
        <v>4082</v>
      </c>
      <c r="E5188" s="29"/>
      <c r="F5188" s="29" t="s">
        <v>4106</v>
      </c>
      <c r="G5188" s="29"/>
      <c r="H5188" s="29" t="s">
        <v>4117</v>
      </c>
      <c r="I5188" s="29"/>
      <c r="J5188" s="29" t="s">
        <v>4118</v>
      </c>
      <c r="K5188" s="29"/>
      <c r="L5188" s="29" t="s">
        <v>1546</v>
      </c>
      <c r="M5188" s="29"/>
      <c r="N5188" s="29" t="s">
        <v>1547</v>
      </c>
      <c r="O5188" s="29"/>
      <c r="P5188" s="29" t="s">
        <v>875</v>
      </c>
      <c r="Q5188" t="s">
        <v>2041</v>
      </c>
      <c r="R5188" t="s">
        <v>2634</v>
      </c>
      <c r="S5188">
        <v>35</v>
      </c>
      <c r="T5188" s="43" t="str">
        <f t="shared" si="239"/>
        <v>2019.012D.zip</v>
      </c>
      <c r="U5188" s="43" t="str">
        <f>HYPERLINK("https://ictv.global/taxonomy/taxondetails?taxnode_id=202203269","ictv.global=202203269")</f>
        <v>ictv.global=202203269</v>
      </c>
    </row>
    <row r="5189" spans="1:21">
      <c r="A5189">
        <v>5188</v>
      </c>
      <c r="B5189" s="29" t="s">
        <v>4053</v>
      </c>
      <c r="C5189" s="29"/>
      <c r="D5189" s="29" t="s">
        <v>4082</v>
      </c>
      <c r="E5189" s="29"/>
      <c r="F5189" s="29" t="s">
        <v>4106</v>
      </c>
      <c r="G5189" s="29"/>
      <c r="H5189" s="29" t="s">
        <v>4117</v>
      </c>
      <c r="I5189" s="29"/>
      <c r="J5189" s="29" t="s">
        <v>4118</v>
      </c>
      <c r="K5189" s="29"/>
      <c r="L5189" s="29" t="s">
        <v>1546</v>
      </c>
      <c r="M5189" s="29"/>
      <c r="N5189" s="29" t="s">
        <v>1547</v>
      </c>
      <c r="O5189" s="29"/>
      <c r="P5189" s="29" t="s">
        <v>2861</v>
      </c>
      <c r="Q5189" t="s">
        <v>2041</v>
      </c>
      <c r="R5189" t="s">
        <v>2634</v>
      </c>
      <c r="S5189">
        <v>35</v>
      </c>
      <c r="T5189" s="43" t="str">
        <f t="shared" si="239"/>
        <v>2019.012D.zip</v>
      </c>
      <c r="U5189" s="43" t="str">
        <f>HYPERLINK("https://ictv.global/taxonomy/taxondetails?taxnode_id=202205806","ictv.global=202205806")</f>
        <v>ictv.global=202205806</v>
      </c>
    </row>
    <row r="5190" spans="1:21">
      <c r="A5190">
        <v>5189</v>
      </c>
      <c r="B5190" s="29" t="s">
        <v>4053</v>
      </c>
      <c r="C5190" s="29"/>
      <c r="D5190" s="29" t="s">
        <v>4082</v>
      </c>
      <c r="E5190" s="29"/>
      <c r="F5190" s="29" t="s">
        <v>4106</v>
      </c>
      <c r="G5190" s="29"/>
      <c r="H5190" s="29" t="s">
        <v>4117</v>
      </c>
      <c r="I5190" s="29"/>
      <c r="J5190" s="29" t="s">
        <v>4118</v>
      </c>
      <c r="K5190" s="29"/>
      <c r="L5190" s="29" t="s">
        <v>1546</v>
      </c>
      <c r="M5190" s="29"/>
      <c r="N5190" s="29" t="s">
        <v>1547</v>
      </c>
      <c r="O5190" s="29"/>
      <c r="P5190" s="29" t="s">
        <v>879</v>
      </c>
      <c r="Q5190" t="s">
        <v>2041</v>
      </c>
      <c r="R5190" t="s">
        <v>2634</v>
      </c>
      <c r="S5190">
        <v>35</v>
      </c>
      <c r="T5190" s="43" t="str">
        <f t="shared" si="239"/>
        <v>2019.012D.zip</v>
      </c>
      <c r="U5190" s="43" t="str">
        <f>HYPERLINK("https://ictv.global/taxonomy/taxondetails?taxnode_id=202203270","ictv.global=202203270")</f>
        <v>ictv.global=202203270</v>
      </c>
    </row>
    <row r="5191" spans="1:21">
      <c r="A5191">
        <v>5190</v>
      </c>
      <c r="B5191" s="29" t="s">
        <v>4053</v>
      </c>
      <c r="C5191" s="29"/>
      <c r="D5191" s="29" t="s">
        <v>4082</v>
      </c>
      <c r="E5191" s="29"/>
      <c r="F5191" s="29" t="s">
        <v>4106</v>
      </c>
      <c r="G5191" s="29"/>
      <c r="H5191" s="29" t="s">
        <v>4117</v>
      </c>
      <c r="I5191" s="29"/>
      <c r="J5191" s="29" t="s">
        <v>4118</v>
      </c>
      <c r="K5191" s="29"/>
      <c r="L5191" s="29" t="s">
        <v>1546</v>
      </c>
      <c r="M5191" s="29"/>
      <c r="N5191" s="29" t="s">
        <v>1547</v>
      </c>
      <c r="O5191" s="29"/>
      <c r="P5191" s="29" t="s">
        <v>880</v>
      </c>
      <c r="Q5191" t="s">
        <v>2041</v>
      </c>
      <c r="R5191" t="s">
        <v>2634</v>
      </c>
      <c r="S5191">
        <v>35</v>
      </c>
      <c r="T5191" s="43" t="str">
        <f t="shared" si="239"/>
        <v>2019.012D.zip</v>
      </c>
      <c r="U5191" s="43" t="str">
        <f>HYPERLINK("https://ictv.global/taxonomy/taxondetails?taxnode_id=202203271","ictv.global=202203271")</f>
        <v>ictv.global=202203271</v>
      </c>
    </row>
    <row r="5192" spans="1:21">
      <c r="A5192">
        <v>5191</v>
      </c>
      <c r="B5192" s="29" t="s">
        <v>4053</v>
      </c>
      <c r="C5192" s="29"/>
      <c r="D5192" s="29" t="s">
        <v>4082</v>
      </c>
      <c r="E5192" s="29"/>
      <c r="F5192" s="29" t="s">
        <v>4106</v>
      </c>
      <c r="G5192" s="29"/>
      <c r="H5192" s="29" t="s">
        <v>4117</v>
      </c>
      <c r="I5192" s="29"/>
      <c r="J5192" s="29" t="s">
        <v>4118</v>
      </c>
      <c r="K5192" s="29"/>
      <c r="L5192" s="29" t="s">
        <v>1546</v>
      </c>
      <c r="M5192" s="29"/>
      <c r="N5192" s="29" t="s">
        <v>1547</v>
      </c>
      <c r="O5192" s="29"/>
      <c r="P5192" s="29" t="s">
        <v>881</v>
      </c>
      <c r="Q5192" t="s">
        <v>2041</v>
      </c>
      <c r="R5192" t="s">
        <v>2634</v>
      </c>
      <c r="S5192">
        <v>35</v>
      </c>
      <c r="T5192" s="43" t="str">
        <f t="shared" si="239"/>
        <v>2019.012D.zip</v>
      </c>
      <c r="U5192" s="43" t="str">
        <f>HYPERLINK("https://ictv.global/taxonomy/taxondetails?taxnode_id=202203272","ictv.global=202203272")</f>
        <v>ictv.global=202203272</v>
      </c>
    </row>
    <row r="5193" spans="1:21">
      <c r="A5193">
        <v>5192</v>
      </c>
      <c r="B5193" s="29" t="s">
        <v>4053</v>
      </c>
      <c r="C5193" s="29"/>
      <c r="D5193" s="29" t="s">
        <v>4082</v>
      </c>
      <c r="E5193" s="29"/>
      <c r="F5193" s="29" t="s">
        <v>4106</v>
      </c>
      <c r="G5193" s="29"/>
      <c r="H5193" s="29" t="s">
        <v>4117</v>
      </c>
      <c r="I5193" s="29"/>
      <c r="J5193" s="29" t="s">
        <v>4118</v>
      </c>
      <c r="K5193" s="29"/>
      <c r="L5193" s="29" t="s">
        <v>1546</v>
      </c>
      <c r="M5193" s="29"/>
      <c r="N5193" s="29" t="s">
        <v>1547</v>
      </c>
      <c r="O5193" s="29"/>
      <c r="P5193" s="29" t="s">
        <v>2862</v>
      </c>
      <c r="Q5193" t="s">
        <v>2041</v>
      </c>
      <c r="R5193" t="s">
        <v>2634</v>
      </c>
      <c r="S5193">
        <v>35</v>
      </c>
      <c r="T5193" s="43" t="str">
        <f t="shared" si="239"/>
        <v>2019.012D.zip</v>
      </c>
      <c r="U5193" s="43" t="str">
        <f>HYPERLINK("https://ictv.global/taxonomy/taxondetails?taxnode_id=202205807","ictv.global=202205807")</f>
        <v>ictv.global=202205807</v>
      </c>
    </row>
    <row r="5194" spans="1:21">
      <c r="A5194">
        <v>5193</v>
      </c>
      <c r="B5194" s="29" t="s">
        <v>4053</v>
      </c>
      <c r="C5194" s="29"/>
      <c r="D5194" s="29" t="s">
        <v>4082</v>
      </c>
      <c r="E5194" s="29"/>
      <c r="F5194" s="29" t="s">
        <v>4106</v>
      </c>
      <c r="G5194" s="29"/>
      <c r="H5194" s="29" t="s">
        <v>4117</v>
      </c>
      <c r="I5194" s="29"/>
      <c r="J5194" s="29" t="s">
        <v>4118</v>
      </c>
      <c r="K5194" s="29"/>
      <c r="L5194" s="29" t="s">
        <v>1546</v>
      </c>
      <c r="M5194" s="29"/>
      <c r="N5194" s="29" t="s">
        <v>1547</v>
      </c>
      <c r="O5194" s="29"/>
      <c r="P5194" s="29" t="s">
        <v>2863</v>
      </c>
      <c r="Q5194" t="s">
        <v>2041</v>
      </c>
      <c r="R5194" t="s">
        <v>2634</v>
      </c>
      <c r="S5194">
        <v>35</v>
      </c>
      <c r="T5194" s="43" t="str">
        <f t="shared" si="239"/>
        <v>2019.012D.zip</v>
      </c>
      <c r="U5194" s="43" t="str">
        <f>HYPERLINK("https://ictv.global/taxonomy/taxondetails?taxnode_id=202205808","ictv.global=202205808")</f>
        <v>ictv.global=202205808</v>
      </c>
    </row>
    <row r="5195" spans="1:21">
      <c r="A5195">
        <v>5194</v>
      </c>
      <c r="B5195" s="29" t="s">
        <v>4053</v>
      </c>
      <c r="C5195" s="29"/>
      <c r="D5195" s="29" t="s">
        <v>4082</v>
      </c>
      <c r="E5195" s="29"/>
      <c r="F5195" s="29" t="s">
        <v>4106</v>
      </c>
      <c r="G5195" s="29"/>
      <c r="H5195" s="29" t="s">
        <v>4117</v>
      </c>
      <c r="I5195" s="29"/>
      <c r="J5195" s="29" t="s">
        <v>4118</v>
      </c>
      <c r="K5195" s="29"/>
      <c r="L5195" s="29" t="s">
        <v>1546</v>
      </c>
      <c r="M5195" s="29"/>
      <c r="N5195" s="29" t="s">
        <v>1547</v>
      </c>
      <c r="O5195" s="29"/>
      <c r="P5195" s="29" t="s">
        <v>2864</v>
      </c>
      <c r="Q5195" t="s">
        <v>2041</v>
      </c>
      <c r="R5195" t="s">
        <v>2634</v>
      </c>
      <c r="S5195">
        <v>35</v>
      </c>
      <c r="T5195" s="43" t="str">
        <f t="shared" si="239"/>
        <v>2019.012D.zip</v>
      </c>
      <c r="U5195" s="43" t="str">
        <f>HYPERLINK("https://ictv.global/taxonomy/taxondetails?taxnode_id=202205809","ictv.global=202205809")</f>
        <v>ictv.global=202205809</v>
      </c>
    </row>
    <row r="5196" spans="1:21">
      <c r="A5196">
        <v>5195</v>
      </c>
      <c r="B5196" s="29" t="s">
        <v>4053</v>
      </c>
      <c r="C5196" s="29"/>
      <c r="D5196" s="29" t="s">
        <v>4082</v>
      </c>
      <c r="E5196" s="29"/>
      <c r="F5196" s="29" t="s">
        <v>4106</v>
      </c>
      <c r="G5196" s="29"/>
      <c r="H5196" s="29" t="s">
        <v>4117</v>
      </c>
      <c r="I5196" s="29"/>
      <c r="J5196" s="29" t="s">
        <v>4118</v>
      </c>
      <c r="K5196" s="29"/>
      <c r="L5196" s="29" t="s">
        <v>1546</v>
      </c>
      <c r="M5196" s="29"/>
      <c r="N5196" s="29" t="s">
        <v>1547</v>
      </c>
      <c r="O5196" s="29"/>
      <c r="P5196" s="29" t="s">
        <v>1809</v>
      </c>
      <c r="Q5196" t="s">
        <v>2041</v>
      </c>
      <c r="R5196" t="s">
        <v>2634</v>
      </c>
      <c r="S5196">
        <v>35</v>
      </c>
      <c r="T5196" s="43" t="str">
        <f t="shared" si="239"/>
        <v>2019.012D.zip</v>
      </c>
      <c r="U5196" s="43" t="str">
        <f>HYPERLINK("https://ictv.global/taxonomy/taxondetails?taxnode_id=202203273","ictv.global=202203273")</f>
        <v>ictv.global=202203273</v>
      </c>
    </row>
    <row r="5197" spans="1:21">
      <c r="A5197">
        <v>5196</v>
      </c>
      <c r="B5197" s="29" t="s">
        <v>4053</v>
      </c>
      <c r="C5197" s="29"/>
      <c r="D5197" s="29" t="s">
        <v>4082</v>
      </c>
      <c r="E5197" s="29"/>
      <c r="F5197" s="29" t="s">
        <v>4106</v>
      </c>
      <c r="G5197" s="29"/>
      <c r="H5197" s="29" t="s">
        <v>4117</v>
      </c>
      <c r="I5197" s="29"/>
      <c r="J5197" s="29" t="s">
        <v>4118</v>
      </c>
      <c r="K5197" s="29"/>
      <c r="L5197" s="29" t="s">
        <v>1546</v>
      </c>
      <c r="M5197" s="29"/>
      <c r="N5197" s="29" t="s">
        <v>1547</v>
      </c>
      <c r="O5197" s="29"/>
      <c r="P5197" s="29" t="s">
        <v>1279</v>
      </c>
      <c r="Q5197" t="s">
        <v>2041</v>
      </c>
      <c r="R5197" t="s">
        <v>2634</v>
      </c>
      <c r="S5197">
        <v>35</v>
      </c>
      <c r="T5197" s="43" t="str">
        <f t="shared" si="239"/>
        <v>2019.012D.zip</v>
      </c>
      <c r="U5197" s="43" t="str">
        <f>HYPERLINK("https://ictv.global/taxonomy/taxondetails?taxnode_id=202203274","ictv.global=202203274")</f>
        <v>ictv.global=202203274</v>
      </c>
    </row>
    <row r="5198" spans="1:21">
      <c r="A5198">
        <v>5197</v>
      </c>
      <c r="B5198" s="29" t="s">
        <v>4053</v>
      </c>
      <c r="C5198" s="29"/>
      <c r="D5198" s="29" t="s">
        <v>4082</v>
      </c>
      <c r="E5198" s="29"/>
      <c r="F5198" s="29" t="s">
        <v>4106</v>
      </c>
      <c r="G5198" s="29"/>
      <c r="H5198" s="29" t="s">
        <v>4117</v>
      </c>
      <c r="I5198" s="29"/>
      <c r="J5198" s="29" t="s">
        <v>4118</v>
      </c>
      <c r="K5198" s="29"/>
      <c r="L5198" s="29" t="s">
        <v>1546</v>
      </c>
      <c r="M5198" s="29"/>
      <c r="N5198" s="29" t="s">
        <v>1547</v>
      </c>
      <c r="O5198" s="29"/>
      <c r="P5198" s="29" t="s">
        <v>1280</v>
      </c>
      <c r="Q5198" t="s">
        <v>2041</v>
      </c>
      <c r="R5198" t="s">
        <v>2634</v>
      </c>
      <c r="S5198">
        <v>35</v>
      </c>
      <c r="T5198" s="43" t="str">
        <f t="shared" si="239"/>
        <v>2019.012D.zip</v>
      </c>
      <c r="U5198" s="43" t="str">
        <f>HYPERLINK("https://ictv.global/taxonomy/taxondetails?taxnode_id=202203275","ictv.global=202203275")</f>
        <v>ictv.global=202203275</v>
      </c>
    </row>
    <row r="5199" spans="1:21">
      <c r="A5199">
        <v>5198</v>
      </c>
      <c r="B5199" s="29" t="s">
        <v>4053</v>
      </c>
      <c r="C5199" s="29"/>
      <c r="D5199" s="29" t="s">
        <v>4082</v>
      </c>
      <c r="E5199" s="29"/>
      <c r="F5199" s="29" t="s">
        <v>4106</v>
      </c>
      <c r="G5199" s="29"/>
      <c r="H5199" s="29" t="s">
        <v>4117</v>
      </c>
      <c r="I5199" s="29"/>
      <c r="J5199" s="29" t="s">
        <v>4118</v>
      </c>
      <c r="K5199" s="29"/>
      <c r="L5199" s="29" t="s">
        <v>1546</v>
      </c>
      <c r="M5199" s="29"/>
      <c r="N5199" s="29" t="s">
        <v>1547</v>
      </c>
      <c r="O5199" s="29"/>
      <c r="P5199" s="29" t="s">
        <v>1281</v>
      </c>
      <c r="Q5199" t="s">
        <v>2041</v>
      </c>
      <c r="R5199" t="s">
        <v>2634</v>
      </c>
      <c r="S5199">
        <v>35</v>
      </c>
      <c r="T5199" s="43" t="str">
        <f t="shared" si="239"/>
        <v>2019.012D.zip</v>
      </c>
      <c r="U5199" s="43" t="str">
        <f>HYPERLINK("https://ictv.global/taxonomy/taxondetails?taxnode_id=202203276","ictv.global=202203276")</f>
        <v>ictv.global=202203276</v>
      </c>
    </row>
    <row r="5200" spans="1:21">
      <c r="A5200">
        <v>5199</v>
      </c>
      <c r="B5200" s="29" t="s">
        <v>4053</v>
      </c>
      <c r="C5200" s="29"/>
      <c r="D5200" s="29" t="s">
        <v>4082</v>
      </c>
      <c r="E5200" s="29"/>
      <c r="F5200" s="29" t="s">
        <v>4106</v>
      </c>
      <c r="G5200" s="29"/>
      <c r="H5200" s="29" t="s">
        <v>4117</v>
      </c>
      <c r="I5200" s="29"/>
      <c r="J5200" s="29" t="s">
        <v>4118</v>
      </c>
      <c r="K5200" s="29"/>
      <c r="L5200" s="29" t="s">
        <v>1546</v>
      </c>
      <c r="M5200" s="29"/>
      <c r="N5200" s="29" t="s">
        <v>1547</v>
      </c>
      <c r="O5200" s="29"/>
      <c r="P5200" s="29" t="s">
        <v>1810</v>
      </c>
      <c r="Q5200" t="s">
        <v>2041</v>
      </c>
      <c r="R5200" t="s">
        <v>2634</v>
      </c>
      <c r="S5200">
        <v>35</v>
      </c>
      <c r="T5200" s="43" t="str">
        <f t="shared" si="239"/>
        <v>2019.012D.zip</v>
      </c>
      <c r="U5200" s="43" t="str">
        <f>HYPERLINK("https://ictv.global/taxonomy/taxondetails?taxnode_id=202203277","ictv.global=202203277")</f>
        <v>ictv.global=202203277</v>
      </c>
    </row>
    <row r="5201" spans="1:21">
      <c r="A5201">
        <v>5200</v>
      </c>
      <c r="B5201" s="29" t="s">
        <v>4053</v>
      </c>
      <c r="C5201" s="29"/>
      <c r="D5201" s="29" t="s">
        <v>4082</v>
      </c>
      <c r="E5201" s="29"/>
      <c r="F5201" s="29" t="s">
        <v>4106</v>
      </c>
      <c r="G5201" s="29"/>
      <c r="H5201" s="29" t="s">
        <v>4117</v>
      </c>
      <c r="I5201" s="29"/>
      <c r="J5201" s="29" t="s">
        <v>4118</v>
      </c>
      <c r="K5201" s="29"/>
      <c r="L5201" s="29" t="s">
        <v>1546</v>
      </c>
      <c r="M5201" s="29"/>
      <c r="N5201" s="29" t="s">
        <v>1547</v>
      </c>
      <c r="O5201" s="29"/>
      <c r="P5201" s="29" t="s">
        <v>1811</v>
      </c>
      <c r="Q5201" t="s">
        <v>2041</v>
      </c>
      <c r="R5201" t="s">
        <v>2634</v>
      </c>
      <c r="S5201">
        <v>35</v>
      </c>
      <c r="T5201" s="43" t="str">
        <f t="shared" si="239"/>
        <v>2019.012D.zip</v>
      </c>
      <c r="U5201" s="43" t="str">
        <f>HYPERLINK("https://ictv.global/taxonomy/taxondetails?taxnode_id=202203278","ictv.global=202203278")</f>
        <v>ictv.global=202203278</v>
      </c>
    </row>
    <row r="5202" spans="1:21">
      <c r="A5202">
        <v>5201</v>
      </c>
      <c r="B5202" s="29" t="s">
        <v>4053</v>
      </c>
      <c r="C5202" s="29"/>
      <c r="D5202" s="29" t="s">
        <v>4082</v>
      </c>
      <c r="E5202" s="29"/>
      <c r="F5202" s="29" t="s">
        <v>4106</v>
      </c>
      <c r="G5202" s="29"/>
      <c r="H5202" s="29" t="s">
        <v>4117</v>
      </c>
      <c r="I5202" s="29"/>
      <c r="J5202" s="29" t="s">
        <v>4118</v>
      </c>
      <c r="K5202" s="29"/>
      <c r="L5202" s="29" t="s">
        <v>1546</v>
      </c>
      <c r="M5202" s="29"/>
      <c r="N5202" s="29" t="s">
        <v>1547</v>
      </c>
      <c r="O5202" s="29"/>
      <c r="P5202" s="29" t="s">
        <v>2865</v>
      </c>
      <c r="Q5202" t="s">
        <v>2041</v>
      </c>
      <c r="R5202" t="s">
        <v>2634</v>
      </c>
      <c r="S5202">
        <v>35</v>
      </c>
      <c r="T5202" s="43" t="str">
        <f t="shared" si="239"/>
        <v>2019.012D.zip</v>
      </c>
      <c r="U5202" s="43" t="str">
        <f>HYPERLINK("https://ictv.global/taxonomy/taxondetails?taxnode_id=202205810","ictv.global=202205810")</f>
        <v>ictv.global=202205810</v>
      </c>
    </row>
    <row r="5203" spans="1:21">
      <c r="A5203">
        <v>5202</v>
      </c>
      <c r="B5203" s="29" t="s">
        <v>4053</v>
      </c>
      <c r="C5203" s="29"/>
      <c r="D5203" s="29" t="s">
        <v>4082</v>
      </c>
      <c r="E5203" s="29"/>
      <c r="F5203" s="29" t="s">
        <v>4106</v>
      </c>
      <c r="G5203" s="29"/>
      <c r="H5203" s="29" t="s">
        <v>4117</v>
      </c>
      <c r="I5203" s="29"/>
      <c r="J5203" s="29" t="s">
        <v>4118</v>
      </c>
      <c r="K5203" s="29"/>
      <c r="L5203" s="29" t="s">
        <v>1546</v>
      </c>
      <c r="M5203" s="29"/>
      <c r="N5203" s="29" t="s">
        <v>1547</v>
      </c>
      <c r="O5203" s="29"/>
      <c r="P5203" s="29" t="s">
        <v>2223</v>
      </c>
      <c r="Q5203" t="s">
        <v>2041</v>
      </c>
      <c r="R5203" t="s">
        <v>2634</v>
      </c>
      <c r="S5203">
        <v>35</v>
      </c>
      <c r="T5203" s="43" t="str">
        <f t="shared" si="239"/>
        <v>2019.012D.zip</v>
      </c>
      <c r="U5203" s="43" t="str">
        <f>HYPERLINK("https://ictv.global/taxonomy/taxondetails?taxnode_id=202203279","ictv.global=202203279")</f>
        <v>ictv.global=202203279</v>
      </c>
    </row>
    <row r="5204" spans="1:21">
      <c r="A5204">
        <v>5203</v>
      </c>
      <c r="B5204" s="29" t="s">
        <v>4053</v>
      </c>
      <c r="C5204" s="29"/>
      <c r="D5204" s="29" t="s">
        <v>4082</v>
      </c>
      <c r="E5204" s="29"/>
      <c r="F5204" s="29" t="s">
        <v>4106</v>
      </c>
      <c r="G5204" s="29"/>
      <c r="H5204" s="29" t="s">
        <v>4117</v>
      </c>
      <c r="I5204" s="29"/>
      <c r="J5204" s="29" t="s">
        <v>4118</v>
      </c>
      <c r="K5204" s="29"/>
      <c r="L5204" s="29" t="s">
        <v>1546</v>
      </c>
      <c r="M5204" s="29"/>
      <c r="N5204" s="29" t="s">
        <v>1547</v>
      </c>
      <c r="O5204" s="29"/>
      <c r="P5204" s="29" t="s">
        <v>1282</v>
      </c>
      <c r="Q5204" t="s">
        <v>2041</v>
      </c>
      <c r="R5204" t="s">
        <v>2634</v>
      </c>
      <c r="S5204">
        <v>35</v>
      </c>
      <c r="T5204" s="43" t="str">
        <f t="shared" si="239"/>
        <v>2019.012D.zip</v>
      </c>
      <c r="U5204" s="43" t="str">
        <f>HYPERLINK("https://ictv.global/taxonomy/taxondetails?taxnode_id=202203280","ictv.global=202203280")</f>
        <v>ictv.global=202203280</v>
      </c>
    </row>
    <row r="5205" spans="1:21">
      <c r="A5205">
        <v>5204</v>
      </c>
      <c r="B5205" s="29" t="s">
        <v>4053</v>
      </c>
      <c r="C5205" s="29"/>
      <c r="D5205" s="29" t="s">
        <v>4082</v>
      </c>
      <c r="E5205" s="29"/>
      <c r="F5205" s="29" t="s">
        <v>4106</v>
      </c>
      <c r="G5205" s="29"/>
      <c r="H5205" s="29" t="s">
        <v>4117</v>
      </c>
      <c r="I5205" s="29"/>
      <c r="J5205" s="29" t="s">
        <v>4118</v>
      </c>
      <c r="K5205" s="29"/>
      <c r="L5205" s="29" t="s">
        <v>1546</v>
      </c>
      <c r="M5205" s="29"/>
      <c r="N5205" s="29" t="s">
        <v>1547</v>
      </c>
      <c r="O5205" s="29"/>
      <c r="P5205" s="29" t="s">
        <v>1812</v>
      </c>
      <c r="Q5205" t="s">
        <v>2041</v>
      </c>
      <c r="R5205" t="s">
        <v>2634</v>
      </c>
      <c r="S5205">
        <v>35</v>
      </c>
      <c r="T5205" s="43" t="str">
        <f t="shared" si="239"/>
        <v>2019.012D.zip</v>
      </c>
      <c r="U5205" s="43" t="str">
        <f>HYPERLINK("https://ictv.global/taxonomy/taxondetails?taxnode_id=202203281","ictv.global=202203281")</f>
        <v>ictv.global=202203281</v>
      </c>
    </row>
    <row r="5206" spans="1:21">
      <c r="A5206">
        <v>5205</v>
      </c>
      <c r="B5206" s="29" t="s">
        <v>4053</v>
      </c>
      <c r="C5206" s="29"/>
      <c r="D5206" s="29" t="s">
        <v>4082</v>
      </c>
      <c r="E5206" s="29"/>
      <c r="F5206" s="29" t="s">
        <v>4106</v>
      </c>
      <c r="G5206" s="29"/>
      <c r="H5206" s="29" t="s">
        <v>4117</v>
      </c>
      <c r="I5206" s="29"/>
      <c r="J5206" s="29" t="s">
        <v>4118</v>
      </c>
      <c r="K5206" s="29"/>
      <c r="L5206" s="29" t="s">
        <v>1546</v>
      </c>
      <c r="M5206" s="29"/>
      <c r="N5206" s="29" t="s">
        <v>1547</v>
      </c>
      <c r="O5206" s="29"/>
      <c r="P5206" s="29" t="s">
        <v>1813</v>
      </c>
      <c r="Q5206" t="s">
        <v>2041</v>
      </c>
      <c r="R5206" t="s">
        <v>2634</v>
      </c>
      <c r="S5206">
        <v>35</v>
      </c>
      <c r="T5206" s="43" t="str">
        <f t="shared" si="239"/>
        <v>2019.012D.zip</v>
      </c>
      <c r="U5206" s="43" t="str">
        <f>HYPERLINK("https://ictv.global/taxonomy/taxondetails?taxnode_id=202203282","ictv.global=202203282")</f>
        <v>ictv.global=202203282</v>
      </c>
    </row>
    <row r="5207" spans="1:21">
      <c r="A5207">
        <v>5206</v>
      </c>
      <c r="B5207" s="29" t="s">
        <v>4053</v>
      </c>
      <c r="C5207" s="29"/>
      <c r="D5207" s="29" t="s">
        <v>4082</v>
      </c>
      <c r="E5207" s="29"/>
      <c r="F5207" s="29" t="s">
        <v>4106</v>
      </c>
      <c r="G5207" s="29"/>
      <c r="H5207" s="29" t="s">
        <v>4117</v>
      </c>
      <c r="I5207" s="29"/>
      <c r="J5207" s="29" t="s">
        <v>4118</v>
      </c>
      <c r="K5207" s="29"/>
      <c r="L5207" s="29" t="s">
        <v>1546</v>
      </c>
      <c r="M5207" s="29"/>
      <c r="N5207" s="29" t="s">
        <v>1547</v>
      </c>
      <c r="O5207" s="29"/>
      <c r="P5207" s="29" t="s">
        <v>1283</v>
      </c>
      <c r="Q5207" t="s">
        <v>2041</v>
      </c>
      <c r="R5207" t="s">
        <v>2634</v>
      </c>
      <c r="S5207">
        <v>35</v>
      </c>
      <c r="T5207" s="43" t="str">
        <f t="shared" si="239"/>
        <v>2019.012D.zip</v>
      </c>
      <c r="U5207" s="43" t="str">
        <f>HYPERLINK("https://ictv.global/taxonomy/taxondetails?taxnode_id=202203283","ictv.global=202203283")</f>
        <v>ictv.global=202203283</v>
      </c>
    </row>
    <row r="5208" spans="1:21">
      <c r="A5208">
        <v>5207</v>
      </c>
      <c r="B5208" s="29" t="s">
        <v>4053</v>
      </c>
      <c r="C5208" s="29"/>
      <c r="D5208" s="29" t="s">
        <v>4082</v>
      </c>
      <c r="E5208" s="29"/>
      <c r="F5208" s="29" t="s">
        <v>4106</v>
      </c>
      <c r="G5208" s="29"/>
      <c r="H5208" s="29" t="s">
        <v>4117</v>
      </c>
      <c r="I5208" s="29"/>
      <c r="J5208" s="29" t="s">
        <v>4118</v>
      </c>
      <c r="K5208" s="29"/>
      <c r="L5208" s="29" t="s">
        <v>1546</v>
      </c>
      <c r="M5208" s="29"/>
      <c r="N5208" s="29" t="s">
        <v>1547</v>
      </c>
      <c r="O5208" s="29"/>
      <c r="P5208" s="29" t="s">
        <v>2866</v>
      </c>
      <c r="Q5208" t="s">
        <v>2041</v>
      </c>
      <c r="R5208" t="s">
        <v>2634</v>
      </c>
      <c r="S5208">
        <v>35</v>
      </c>
      <c r="T5208" s="43" t="str">
        <f t="shared" si="239"/>
        <v>2019.012D.zip</v>
      </c>
      <c r="U5208" s="43" t="str">
        <f>HYPERLINK("https://ictv.global/taxonomy/taxondetails?taxnode_id=202205811","ictv.global=202205811")</f>
        <v>ictv.global=202205811</v>
      </c>
    </row>
    <row r="5209" spans="1:21">
      <c r="A5209">
        <v>5208</v>
      </c>
      <c r="B5209" s="29" t="s">
        <v>4053</v>
      </c>
      <c r="C5209" s="29"/>
      <c r="D5209" s="29" t="s">
        <v>4082</v>
      </c>
      <c r="E5209" s="29"/>
      <c r="F5209" s="29" t="s">
        <v>4106</v>
      </c>
      <c r="G5209" s="29"/>
      <c r="H5209" s="29" t="s">
        <v>4117</v>
      </c>
      <c r="I5209" s="29"/>
      <c r="J5209" s="29" t="s">
        <v>4118</v>
      </c>
      <c r="K5209" s="29"/>
      <c r="L5209" s="29" t="s">
        <v>1546</v>
      </c>
      <c r="M5209" s="29"/>
      <c r="N5209" s="29" t="s">
        <v>1547</v>
      </c>
      <c r="O5209" s="29"/>
      <c r="P5209" s="29" t="s">
        <v>1814</v>
      </c>
      <c r="Q5209" t="s">
        <v>2041</v>
      </c>
      <c r="R5209" t="s">
        <v>2634</v>
      </c>
      <c r="S5209">
        <v>35</v>
      </c>
      <c r="T5209" s="43" t="str">
        <f t="shared" si="239"/>
        <v>2019.012D.zip</v>
      </c>
      <c r="U5209" s="43" t="str">
        <f>HYPERLINK("https://ictv.global/taxonomy/taxondetails?taxnode_id=202203284","ictv.global=202203284")</f>
        <v>ictv.global=202203284</v>
      </c>
    </row>
    <row r="5210" spans="1:21">
      <c r="A5210">
        <v>5209</v>
      </c>
      <c r="B5210" s="29" t="s">
        <v>4053</v>
      </c>
      <c r="C5210" s="29"/>
      <c r="D5210" s="29" t="s">
        <v>4082</v>
      </c>
      <c r="E5210" s="29"/>
      <c r="F5210" s="29" t="s">
        <v>4106</v>
      </c>
      <c r="G5210" s="29"/>
      <c r="H5210" s="29" t="s">
        <v>4117</v>
      </c>
      <c r="I5210" s="29"/>
      <c r="J5210" s="29" t="s">
        <v>4118</v>
      </c>
      <c r="K5210" s="29"/>
      <c r="L5210" s="29" t="s">
        <v>1546</v>
      </c>
      <c r="M5210" s="29"/>
      <c r="N5210" s="29" t="s">
        <v>1547</v>
      </c>
      <c r="O5210" s="29"/>
      <c r="P5210" s="29" t="s">
        <v>4126</v>
      </c>
      <c r="Q5210" t="s">
        <v>2265</v>
      </c>
      <c r="R5210" t="s">
        <v>2632</v>
      </c>
      <c r="S5210">
        <v>35</v>
      </c>
      <c r="T5210" s="43" t="str">
        <f>HYPERLINK("https://ictv.global/ictv/proposals/2019.022P.zip","2019.022P.zip")</f>
        <v>2019.022P.zip</v>
      </c>
      <c r="U5210" s="43" t="str">
        <f>HYPERLINK("https://ictv.global/taxonomy/taxondetails?taxnode_id=202207525","ictv.global=202207525")</f>
        <v>ictv.global=202207525</v>
      </c>
    </row>
    <row r="5211" spans="1:21">
      <c r="A5211">
        <v>5210</v>
      </c>
      <c r="B5211" s="29" t="s">
        <v>4053</v>
      </c>
      <c r="C5211" s="29"/>
      <c r="D5211" s="29" t="s">
        <v>4082</v>
      </c>
      <c r="E5211" s="29"/>
      <c r="F5211" s="29" t="s">
        <v>4106</v>
      </c>
      <c r="G5211" s="29"/>
      <c r="H5211" s="29" t="s">
        <v>4117</v>
      </c>
      <c r="I5211" s="29"/>
      <c r="J5211" s="29" t="s">
        <v>4118</v>
      </c>
      <c r="K5211" s="29"/>
      <c r="L5211" s="29" t="s">
        <v>1546</v>
      </c>
      <c r="M5211" s="29"/>
      <c r="N5211" s="29" t="s">
        <v>1547</v>
      </c>
      <c r="O5211" s="29"/>
      <c r="P5211" s="29" t="s">
        <v>1276</v>
      </c>
      <c r="Q5211" t="s">
        <v>2041</v>
      </c>
      <c r="R5211" t="s">
        <v>2634</v>
      </c>
      <c r="S5211">
        <v>35</v>
      </c>
      <c r="T5211" s="43" t="str">
        <f t="shared" ref="T5211:T5216" si="240">HYPERLINK("https://ictv.global/ictv/proposals/2019.012D.zip","2019.012D.zip")</f>
        <v>2019.012D.zip</v>
      </c>
      <c r="U5211" s="43" t="str">
        <f>HYPERLINK("https://ictv.global/taxonomy/taxondetails?taxnode_id=202203285","ictv.global=202203285")</f>
        <v>ictv.global=202203285</v>
      </c>
    </row>
    <row r="5212" spans="1:21">
      <c r="A5212">
        <v>5211</v>
      </c>
      <c r="B5212" s="29" t="s">
        <v>4053</v>
      </c>
      <c r="C5212" s="29"/>
      <c r="D5212" s="29" t="s">
        <v>4082</v>
      </c>
      <c r="E5212" s="29"/>
      <c r="F5212" s="29" t="s">
        <v>4106</v>
      </c>
      <c r="G5212" s="29"/>
      <c r="H5212" s="29" t="s">
        <v>4117</v>
      </c>
      <c r="I5212" s="29"/>
      <c r="J5212" s="29" t="s">
        <v>4118</v>
      </c>
      <c r="K5212" s="29"/>
      <c r="L5212" s="29" t="s">
        <v>1546</v>
      </c>
      <c r="M5212" s="29"/>
      <c r="N5212" s="29" t="s">
        <v>1547</v>
      </c>
      <c r="O5212" s="29"/>
      <c r="P5212" s="29" t="s">
        <v>1277</v>
      </c>
      <c r="Q5212" t="s">
        <v>2041</v>
      </c>
      <c r="R5212" t="s">
        <v>2634</v>
      </c>
      <c r="S5212">
        <v>35</v>
      </c>
      <c r="T5212" s="43" t="str">
        <f t="shared" si="240"/>
        <v>2019.012D.zip</v>
      </c>
      <c r="U5212" s="43" t="str">
        <f>HYPERLINK("https://ictv.global/taxonomy/taxondetails?taxnode_id=202203286","ictv.global=202203286")</f>
        <v>ictv.global=202203286</v>
      </c>
    </row>
    <row r="5213" spans="1:21">
      <c r="A5213">
        <v>5212</v>
      </c>
      <c r="B5213" s="29" t="s">
        <v>4053</v>
      </c>
      <c r="C5213" s="29"/>
      <c r="D5213" s="29" t="s">
        <v>4082</v>
      </c>
      <c r="E5213" s="29"/>
      <c r="F5213" s="29" t="s">
        <v>4106</v>
      </c>
      <c r="G5213" s="29"/>
      <c r="H5213" s="29" t="s">
        <v>4117</v>
      </c>
      <c r="I5213" s="29"/>
      <c r="J5213" s="29" t="s">
        <v>4118</v>
      </c>
      <c r="K5213" s="29"/>
      <c r="L5213" s="29" t="s">
        <v>1546</v>
      </c>
      <c r="M5213" s="29"/>
      <c r="N5213" s="29" t="s">
        <v>1547</v>
      </c>
      <c r="O5213" s="29"/>
      <c r="P5213" s="29" t="s">
        <v>2867</v>
      </c>
      <c r="Q5213" t="s">
        <v>2041</v>
      </c>
      <c r="R5213" t="s">
        <v>2634</v>
      </c>
      <c r="S5213">
        <v>35</v>
      </c>
      <c r="T5213" s="43" t="str">
        <f t="shared" si="240"/>
        <v>2019.012D.zip</v>
      </c>
      <c r="U5213" s="43" t="str">
        <f>HYPERLINK("https://ictv.global/taxonomy/taxondetails?taxnode_id=202205812","ictv.global=202205812")</f>
        <v>ictv.global=202205812</v>
      </c>
    </row>
    <row r="5214" spans="1:21">
      <c r="A5214">
        <v>5213</v>
      </c>
      <c r="B5214" s="29" t="s">
        <v>4053</v>
      </c>
      <c r="C5214" s="29"/>
      <c r="D5214" s="29" t="s">
        <v>4082</v>
      </c>
      <c r="E5214" s="29"/>
      <c r="F5214" s="29" t="s">
        <v>4106</v>
      </c>
      <c r="G5214" s="29"/>
      <c r="H5214" s="29" t="s">
        <v>4117</v>
      </c>
      <c r="I5214" s="29"/>
      <c r="J5214" s="29" t="s">
        <v>4118</v>
      </c>
      <c r="K5214" s="29"/>
      <c r="L5214" s="29" t="s">
        <v>1546</v>
      </c>
      <c r="M5214" s="29"/>
      <c r="N5214" s="29" t="s">
        <v>1547</v>
      </c>
      <c r="O5214" s="29"/>
      <c r="P5214" s="29" t="s">
        <v>2868</v>
      </c>
      <c r="Q5214" t="s">
        <v>2041</v>
      </c>
      <c r="R5214" t="s">
        <v>2634</v>
      </c>
      <c r="S5214">
        <v>35</v>
      </c>
      <c r="T5214" s="43" t="str">
        <f t="shared" si="240"/>
        <v>2019.012D.zip</v>
      </c>
      <c r="U5214" s="43" t="str">
        <f>HYPERLINK("https://ictv.global/taxonomy/taxondetails?taxnode_id=202205813","ictv.global=202205813")</f>
        <v>ictv.global=202205813</v>
      </c>
    </row>
    <row r="5215" spans="1:21">
      <c r="A5215">
        <v>5214</v>
      </c>
      <c r="B5215" s="29" t="s">
        <v>4053</v>
      </c>
      <c r="C5215" s="29"/>
      <c r="D5215" s="29" t="s">
        <v>4082</v>
      </c>
      <c r="E5215" s="29"/>
      <c r="F5215" s="29" t="s">
        <v>4106</v>
      </c>
      <c r="G5215" s="29"/>
      <c r="H5215" s="29" t="s">
        <v>4117</v>
      </c>
      <c r="I5215" s="29"/>
      <c r="J5215" s="29" t="s">
        <v>4118</v>
      </c>
      <c r="K5215" s="29"/>
      <c r="L5215" s="29" t="s">
        <v>1546</v>
      </c>
      <c r="M5215" s="29"/>
      <c r="N5215" s="29" t="s">
        <v>1547</v>
      </c>
      <c r="O5215" s="29"/>
      <c r="P5215" s="29" t="s">
        <v>1278</v>
      </c>
      <c r="Q5215" t="s">
        <v>2041</v>
      </c>
      <c r="R5215" t="s">
        <v>2634</v>
      </c>
      <c r="S5215">
        <v>35</v>
      </c>
      <c r="T5215" s="43" t="str">
        <f t="shared" si="240"/>
        <v>2019.012D.zip</v>
      </c>
      <c r="U5215" s="43" t="str">
        <f>HYPERLINK("https://ictv.global/taxonomy/taxondetails?taxnode_id=202203287","ictv.global=202203287")</f>
        <v>ictv.global=202203287</v>
      </c>
    </row>
    <row r="5216" spans="1:21">
      <c r="A5216">
        <v>5215</v>
      </c>
      <c r="B5216" s="29" t="s">
        <v>4053</v>
      </c>
      <c r="C5216" s="29"/>
      <c r="D5216" s="29" t="s">
        <v>4082</v>
      </c>
      <c r="E5216" s="29"/>
      <c r="F5216" s="29" t="s">
        <v>4106</v>
      </c>
      <c r="G5216" s="29"/>
      <c r="H5216" s="29" t="s">
        <v>4117</v>
      </c>
      <c r="I5216" s="29"/>
      <c r="J5216" s="29" t="s">
        <v>4118</v>
      </c>
      <c r="K5216" s="29"/>
      <c r="L5216" s="29" t="s">
        <v>1546</v>
      </c>
      <c r="M5216" s="29"/>
      <c r="N5216" s="29" t="s">
        <v>1547</v>
      </c>
      <c r="O5216" s="29"/>
      <c r="P5216" s="29" t="s">
        <v>1815</v>
      </c>
      <c r="Q5216" t="s">
        <v>2041</v>
      </c>
      <c r="R5216" t="s">
        <v>2634</v>
      </c>
      <c r="S5216">
        <v>35</v>
      </c>
      <c r="T5216" s="43" t="str">
        <f t="shared" si="240"/>
        <v>2019.012D.zip</v>
      </c>
      <c r="U5216" s="43" t="str">
        <f>HYPERLINK("https://ictv.global/taxonomy/taxondetails?taxnode_id=202203288","ictv.global=202203288")</f>
        <v>ictv.global=202203288</v>
      </c>
    </row>
    <row r="5217" spans="1:21">
      <c r="A5217">
        <v>5216</v>
      </c>
      <c r="B5217" s="29" t="s">
        <v>4053</v>
      </c>
      <c r="C5217" s="29"/>
      <c r="D5217" s="29" t="s">
        <v>4082</v>
      </c>
      <c r="E5217" s="29"/>
      <c r="F5217" s="29" t="s">
        <v>4106</v>
      </c>
      <c r="G5217" s="29"/>
      <c r="H5217" s="29" t="s">
        <v>4117</v>
      </c>
      <c r="I5217" s="29"/>
      <c r="J5217" s="29" t="s">
        <v>4118</v>
      </c>
      <c r="K5217" s="29"/>
      <c r="L5217" s="29" t="s">
        <v>1546</v>
      </c>
      <c r="M5217" s="29"/>
      <c r="N5217" s="29" t="s">
        <v>1547</v>
      </c>
      <c r="O5217" s="29"/>
      <c r="P5217" s="29" t="s">
        <v>4127</v>
      </c>
      <c r="Q5217" t="s">
        <v>2265</v>
      </c>
      <c r="R5217" t="s">
        <v>2632</v>
      </c>
      <c r="S5217">
        <v>35</v>
      </c>
      <c r="T5217" s="43" t="str">
        <f>HYPERLINK("https://ictv.global/ictv/proposals/2019.022P.zip","2019.022P.zip")</f>
        <v>2019.022P.zip</v>
      </c>
      <c r="U5217" s="43" t="str">
        <f>HYPERLINK("https://ictv.global/taxonomy/taxondetails?taxnode_id=202207526","ictv.global=202207526")</f>
        <v>ictv.global=202207526</v>
      </c>
    </row>
    <row r="5218" spans="1:21">
      <c r="A5218">
        <v>5217</v>
      </c>
      <c r="B5218" s="29" t="s">
        <v>4053</v>
      </c>
      <c r="C5218" s="29"/>
      <c r="D5218" s="29" t="s">
        <v>4082</v>
      </c>
      <c r="E5218" s="29"/>
      <c r="F5218" s="29" t="s">
        <v>4106</v>
      </c>
      <c r="G5218" s="29"/>
      <c r="H5218" s="29" t="s">
        <v>4117</v>
      </c>
      <c r="I5218" s="29"/>
      <c r="J5218" s="29" t="s">
        <v>4118</v>
      </c>
      <c r="K5218" s="29"/>
      <c r="L5218" s="29" t="s">
        <v>1546</v>
      </c>
      <c r="M5218" s="29"/>
      <c r="N5218" s="29" t="s">
        <v>1547</v>
      </c>
      <c r="O5218" s="29"/>
      <c r="P5218" s="29" t="s">
        <v>1816</v>
      </c>
      <c r="Q5218" t="s">
        <v>2041</v>
      </c>
      <c r="R5218" t="s">
        <v>2634</v>
      </c>
      <c r="S5218">
        <v>35</v>
      </c>
      <c r="T5218" s="43" t="str">
        <f t="shared" ref="T5218:T5224" si="241">HYPERLINK("https://ictv.global/ictv/proposals/2019.012D.zip","2019.012D.zip")</f>
        <v>2019.012D.zip</v>
      </c>
      <c r="U5218" s="43" t="str">
        <f>HYPERLINK("https://ictv.global/taxonomy/taxondetails?taxnode_id=202203289","ictv.global=202203289")</f>
        <v>ictv.global=202203289</v>
      </c>
    </row>
    <row r="5219" spans="1:21">
      <c r="A5219">
        <v>5218</v>
      </c>
      <c r="B5219" s="29" t="s">
        <v>4053</v>
      </c>
      <c r="C5219" s="29"/>
      <c r="D5219" s="29" t="s">
        <v>4082</v>
      </c>
      <c r="E5219" s="29"/>
      <c r="F5219" s="29" t="s">
        <v>4106</v>
      </c>
      <c r="G5219" s="29"/>
      <c r="H5219" s="29" t="s">
        <v>4117</v>
      </c>
      <c r="I5219" s="29"/>
      <c r="J5219" s="29" t="s">
        <v>4118</v>
      </c>
      <c r="K5219" s="29"/>
      <c r="L5219" s="29" t="s">
        <v>1546</v>
      </c>
      <c r="M5219" s="29"/>
      <c r="N5219" s="29" t="s">
        <v>1547</v>
      </c>
      <c r="O5219" s="29"/>
      <c r="P5219" s="29" t="s">
        <v>55</v>
      </c>
      <c r="Q5219" t="s">
        <v>2041</v>
      </c>
      <c r="R5219" t="s">
        <v>2634</v>
      </c>
      <c r="S5219">
        <v>35</v>
      </c>
      <c r="T5219" s="43" t="str">
        <f t="shared" si="241"/>
        <v>2019.012D.zip</v>
      </c>
      <c r="U5219" s="43" t="str">
        <f>HYPERLINK("https://ictv.global/taxonomy/taxondetails?taxnode_id=202203290","ictv.global=202203290")</f>
        <v>ictv.global=202203290</v>
      </c>
    </row>
    <row r="5220" spans="1:21">
      <c r="A5220">
        <v>5219</v>
      </c>
      <c r="B5220" s="29" t="s">
        <v>4053</v>
      </c>
      <c r="C5220" s="29"/>
      <c r="D5220" s="29" t="s">
        <v>4082</v>
      </c>
      <c r="E5220" s="29"/>
      <c r="F5220" s="29" t="s">
        <v>4106</v>
      </c>
      <c r="G5220" s="29"/>
      <c r="H5220" s="29" t="s">
        <v>4117</v>
      </c>
      <c r="I5220" s="29"/>
      <c r="J5220" s="29" t="s">
        <v>4118</v>
      </c>
      <c r="K5220" s="29"/>
      <c r="L5220" s="29" t="s">
        <v>1546</v>
      </c>
      <c r="M5220" s="29"/>
      <c r="N5220" s="29" t="s">
        <v>1547</v>
      </c>
      <c r="O5220" s="29"/>
      <c r="P5220" s="29" t="s">
        <v>2224</v>
      </c>
      <c r="Q5220" t="s">
        <v>2041</v>
      </c>
      <c r="R5220" t="s">
        <v>2634</v>
      </c>
      <c r="S5220">
        <v>35</v>
      </c>
      <c r="T5220" s="43" t="str">
        <f t="shared" si="241"/>
        <v>2019.012D.zip</v>
      </c>
      <c r="U5220" s="43" t="str">
        <f>HYPERLINK("https://ictv.global/taxonomy/taxondetails?taxnode_id=202203291","ictv.global=202203291")</f>
        <v>ictv.global=202203291</v>
      </c>
    </row>
    <row r="5221" spans="1:21">
      <c r="A5221">
        <v>5220</v>
      </c>
      <c r="B5221" s="29" t="s">
        <v>4053</v>
      </c>
      <c r="C5221" s="29"/>
      <c r="D5221" s="29" t="s">
        <v>4082</v>
      </c>
      <c r="E5221" s="29"/>
      <c r="F5221" s="29" t="s">
        <v>4106</v>
      </c>
      <c r="G5221" s="29"/>
      <c r="H5221" s="29" t="s">
        <v>4117</v>
      </c>
      <c r="I5221" s="29"/>
      <c r="J5221" s="29" t="s">
        <v>4118</v>
      </c>
      <c r="K5221" s="29"/>
      <c r="L5221" s="29" t="s">
        <v>1546</v>
      </c>
      <c r="M5221" s="29"/>
      <c r="N5221" s="29" t="s">
        <v>1547</v>
      </c>
      <c r="O5221" s="29"/>
      <c r="P5221" s="29" t="s">
        <v>261</v>
      </c>
      <c r="Q5221" t="s">
        <v>2041</v>
      </c>
      <c r="R5221" t="s">
        <v>2634</v>
      </c>
      <c r="S5221">
        <v>35</v>
      </c>
      <c r="T5221" s="43" t="str">
        <f t="shared" si="241"/>
        <v>2019.012D.zip</v>
      </c>
      <c r="U5221" s="43" t="str">
        <f>HYPERLINK("https://ictv.global/taxonomy/taxondetails?taxnode_id=202203293","ictv.global=202203293")</f>
        <v>ictv.global=202203293</v>
      </c>
    </row>
    <row r="5222" spans="1:21">
      <c r="A5222">
        <v>5221</v>
      </c>
      <c r="B5222" s="29" t="s">
        <v>4053</v>
      </c>
      <c r="C5222" s="29"/>
      <c r="D5222" s="29" t="s">
        <v>4082</v>
      </c>
      <c r="E5222" s="29"/>
      <c r="F5222" s="29" t="s">
        <v>4106</v>
      </c>
      <c r="G5222" s="29"/>
      <c r="H5222" s="29" t="s">
        <v>4117</v>
      </c>
      <c r="I5222" s="29"/>
      <c r="J5222" s="29" t="s">
        <v>4118</v>
      </c>
      <c r="K5222" s="29"/>
      <c r="L5222" s="29" t="s">
        <v>1546</v>
      </c>
      <c r="M5222" s="29"/>
      <c r="N5222" s="29" t="s">
        <v>1547</v>
      </c>
      <c r="O5222" s="29"/>
      <c r="P5222" s="29" t="s">
        <v>2869</v>
      </c>
      <c r="Q5222" t="s">
        <v>2041</v>
      </c>
      <c r="R5222" t="s">
        <v>2634</v>
      </c>
      <c r="S5222">
        <v>35</v>
      </c>
      <c r="T5222" s="43" t="str">
        <f t="shared" si="241"/>
        <v>2019.012D.zip</v>
      </c>
      <c r="U5222" s="43" t="str">
        <f>HYPERLINK("https://ictv.global/taxonomy/taxondetails?taxnode_id=202205814","ictv.global=202205814")</f>
        <v>ictv.global=202205814</v>
      </c>
    </row>
    <row r="5223" spans="1:21">
      <c r="A5223">
        <v>5222</v>
      </c>
      <c r="B5223" s="29" t="s">
        <v>4053</v>
      </c>
      <c r="C5223" s="29"/>
      <c r="D5223" s="29" t="s">
        <v>4082</v>
      </c>
      <c r="E5223" s="29"/>
      <c r="F5223" s="29" t="s">
        <v>4106</v>
      </c>
      <c r="G5223" s="29"/>
      <c r="H5223" s="29" t="s">
        <v>4117</v>
      </c>
      <c r="I5223" s="29"/>
      <c r="J5223" s="29" t="s">
        <v>4118</v>
      </c>
      <c r="K5223" s="29"/>
      <c r="L5223" s="29" t="s">
        <v>1546</v>
      </c>
      <c r="M5223" s="29"/>
      <c r="N5223" s="29" t="s">
        <v>1547</v>
      </c>
      <c r="O5223" s="29"/>
      <c r="P5223" s="29" t="s">
        <v>262</v>
      </c>
      <c r="Q5223" t="s">
        <v>2041</v>
      </c>
      <c r="R5223" t="s">
        <v>2634</v>
      </c>
      <c r="S5223">
        <v>35</v>
      </c>
      <c r="T5223" s="43" t="str">
        <f t="shared" si="241"/>
        <v>2019.012D.zip</v>
      </c>
      <c r="U5223" s="43" t="str">
        <f>HYPERLINK("https://ictv.global/taxonomy/taxondetails?taxnode_id=202203294","ictv.global=202203294")</f>
        <v>ictv.global=202203294</v>
      </c>
    </row>
    <row r="5224" spans="1:21">
      <c r="A5224">
        <v>5223</v>
      </c>
      <c r="B5224" s="29" t="s">
        <v>4053</v>
      </c>
      <c r="C5224" s="29"/>
      <c r="D5224" s="29" t="s">
        <v>4082</v>
      </c>
      <c r="E5224" s="29"/>
      <c r="F5224" s="29" t="s">
        <v>4106</v>
      </c>
      <c r="G5224" s="29"/>
      <c r="H5224" s="29" t="s">
        <v>4117</v>
      </c>
      <c r="I5224" s="29"/>
      <c r="J5224" s="29" t="s">
        <v>4118</v>
      </c>
      <c r="K5224" s="29"/>
      <c r="L5224" s="29" t="s">
        <v>1546</v>
      </c>
      <c r="M5224" s="29"/>
      <c r="N5224" s="29" t="s">
        <v>1547</v>
      </c>
      <c r="O5224" s="29"/>
      <c r="P5224" s="29" t="s">
        <v>263</v>
      </c>
      <c r="Q5224" t="s">
        <v>2041</v>
      </c>
      <c r="R5224" t="s">
        <v>2634</v>
      </c>
      <c r="S5224">
        <v>35</v>
      </c>
      <c r="T5224" s="43" t="str">
        <f t="shared" si="241"/>
        <v>2019.012D.zip</v>
      </c>
      <c r="U5224" s="43" t="str">
        <f>HYPERLINK("https://ictv.global/taxonomy/taxondetails?taxnode_id=202203295","ictv.global=202203295")</f>
        <v>ictv.global=202203295</v>
      </c>
    </row>
    <row r="5225" spans="1:21">
      <c r="A5225">
        <v>5224</v>
      </c>
      <c r="B5225" s="29" t="s">
        <v>4053</v>
      </c>
      <c r="C5225" s="29"/>
      <c r="D5225" s="29" t="s">
        <v>4082</v>
      </c>
      <c r="E5225" s="29"/>
      <c r="F5225" s="29" t="s">
        <v>4106</v>
      </c>
      <c r="G5225" s="29"/>
      <c r="H5225" s="29" t="s">
        <v>4117</v>
      </c>
      <c r="I5225" s="29"/>
      <c r="J5225" s="29" t="s">
        <v>4118</v>
      </c>
      <c r="K5225" s="29"/>
      <c r="L5225" s="29" t="s">
        <v>1546</v>
      </c>
      <c r="M5225" s="29"/>
      <c r="N5225" s="29" t="s">
        <v>1547</v>
      </c>
      <c r="O5225" s="29"/>
      <c r="P5225" s="29" t="s">
        <v>4913</v>
      </c>
      <c r="Q5225" t="s">
        <v>2265</v>
      </c>
      <c r="R5225" t="s">
        <v>2632</v>
      </c>
      <c r="S5225">
        <v>36</v>
      </c>
      <c r="T5225" s="43" t="str">
        <f>HYPERLINK("https://ictv.global/ictv/proposals/2020.006P.R.Begomovirus_22nsp.zip","2020.006P.R.Begomovirus_22nsp.zip")</f>
        <v>2020.006P.R.Begomovirus_22nsp.zip</v>
      </c>
      <c r="U5225" s="43" t="str">
        <f>HYPERLINK("https://ictv.global/taxonomy/taxondetails?taxnode_id=202209125","ictv.global=202209125")</f>
        <v>ictv.global=202209125</v>
      </c>
    </row>
    <row r="5226" spans="1:21">
      <c r="A5226">
        <v>5225</v>
      </c>
      <c r="B5226" s="29" t="s">
        <v>4053</v>
      </c>
      <c r="C5226" s="29"/>
      <c r="D5226" s="29" t="s">
        <v>4082</v>
      </c>
      <c r="E5226" s="29"/>
      <c r="F5226" s="29" t="s">
        <v>4106</v>
      </c>
      <c r="G5226" s="29"/>
      <c r="H5226" s="29" t="s">
        <v>4117</v>
      </c>
      <c r="I5226" s="29"/>
      <c r="J5226" s="29" t="s">
        <v>4118</v>
      </c>
      <c r="K5226" s="29"/>
      <c r="L5226" s="29" t="s">
        <v>1546</v>
      </c>
      <c r="M5226" s="29"/>
      <c r="N5226" s="29" t="s">
        <v>1547</v>
      </c>
      <c r="O5226" s="29"/>
      <c r="P5226" s="29" t="s">
        <v>4914</v>
      </c>
      <c r="Q5226" t="s">
        <v>2265</v>
      </c>
      <c r="R5226" t="s">
        <v>2632</v>
      </c>
      <c r="S5226">
        <v>36</v>
      </c>
      <c r="T5226" s="43" t="str">
        <f>HYPERLINK("https://ictv.global/ictv/proposals/2020.006P.R.Begomovirus_22nsp.zip","2020.006P.R.Begomovirus_22nsp.zip")</f>
        <v>2020.006P.R.Begomovirus_22nsp.zip</v>
      </c>
      <c r="U5226" s="43" t="str">
        <f>HYPERLINK("https://ictv.global/taxonomy/taxondetails?taxnode_id=202209124","ictv.global=202209124")</f>
        <v>ictv.global=202209124</v>
      </c>
    </row>
    <row r="5227" spans="1:21">
      <c r="A5227">
        <v>5226</v>
      </c>
      <c r="B5227" s="29" t="s">
        <v>4053</v>
      </c>
      <c r="C5227" s="29"/>
      <c r="D5227" s="29" t="s">
        <v>4082</v>
      </c>
      <c r="E5227" s="29"/>
      <c r="F5227" s="29" t="s">
        <v>4106</v>
      </c>
      <c r="G5227" s="29"/>
      <c r="H5227" s="29" t="s">
        <v>4117</v>
      </c>
      <c r="I5227" s="29"/>
      <c r="J5227" s="29" t="s">
        <v>4118</v>
      </c>
      <c r="K5227" s="29"/>
      <c r="L5227" s="29" t="s">
        <v>1546</v>
      </c>
      <c r="M5227" s="29"/>
      <c r="N5227" s="29" t="s">
        <v>1547</v>
      </c>
      <c r="O5227" s="29"/>
      <c r="P5227" s="29" t="s">
        <v>4915</v>
      </c>
      <c r="Q5227" t="s">
        <v>2265</v>
      </c>
      <c r="R5227" t="s">
        <v>2632</v>
      </c>
      <c r="S5227">
        <v>36</v>
      </c>
      <c r="T5227" s="43" t="str">
        <f>HYPERLINK("https://ictv.global/ictv/proposals/2020.006P.R.Begomovirus_22nsp.zip","2020.006P.R.Begomovirus_22nsp.zip")</f>
        <v>2020.006P.R.Begomovirus_22nsp.zip</v>
      </c>
      <c r="U5227" s="43" t="str">
        <f>HYPERLINK("https://ictv.global/taxonomy/taxondetails?taxnode_id=202209123","ictv.global=202209123")</f>
        <v>ictv.global=202209123</v>
      </c>
    </row>
    <row r="5228" spans="1:21">
      <c r="A5228">
        <v>5227</v>
      </c>
      <c r="B5228" s="29" t="s">
        <v>4053</v>
      </c>
      <c r="C5228" s="29"/>
      <c r="D5228" s="29" t="s">
        <v>4082</v>
      </c>
      <c r="E5228" s="29"/>
      <c r="F5228" s="29" t="s">
        <v>4106</v>
      </c>
      <c r="G5228" s="29"/>
      <c r="H5228" s="29" t="s">
        <v>4117</v>
      </c>
      <c r="I5228" s="29"/>
      <c r="J5228" s="29" t="s">
        <v>4118</v>
      </c>
      <c r="K5228" s="29"/>
      <c r="L5228" s="29" t="s">
        <v>1546</v>
      </c>
      <c r="M5228" s="29"/>
      <c r="N5228" s="29" t="s">
        <v>1547</v>
      </c>
      <c r="O5228" s="29"/>
      <c r="P5228" s="29" t="s">
        <v>1817</v>
      </c>
      <c r="Q5228" t="s">
        <v>2041</v>
      </c>
      <c r="R5228" t="s">
        <v>2634</v>
      </c>
      <c r="S5228">
        <v>35</v>
      </c>
      <c r="T5228" s="43" t="str">
        <f t="shared" ref="T5228:T5237" si="242">HYPERLINK("https://ictv.global/ictv/proposals/2019.012D.zip","2019.012D.zip")</f>
        <v>2019.012D.zip</v>
      </c>
      <c r="U5228" s="43" t="str">
        <f>HYPERLINK("https://ictv.global/taxonomy/taxondetails?taxnode_id=202203296","ictv.global=202203296")</f>
        <v>ictv.global=202203296</v>
      </c>
    </row>
    <row r="5229" spans="1:21">
      <c r="A5229">
        <v>5228</v>
      </c>
      <c r="B5229" s="29" t="s">
        <v>4053</v>
      </c>
      <c r="C5229" s="29"/>
      <c r="D5229" s="29" t="s">
        <v>4082</v>
      </c>
      <c r="E5229" s="29"/>
      <c r="F5229" s="29" t="s">
        <v>4106</v>
      </c>
      <c r="G5229" s="29"/>
      <c r="H5229" s="29" t="s">
        <v>4117</v>
      </c>
      <c r="I5229" s="29"/>
      <c r="J5229" s="29" t="s">
        <v>4118</v>
      </c>
      <c r="K5229" s="29"/>
      <c r="L5229" s="29" t="s">
        <v>1546</v>
      </c>
      <c r="M5229" s="29"/>
      <c r="N5229" s="29" t="s">
        <v>1547</v>
      </c>
      <c r="O5229" s="29"/>
      <c r="P5229" s="29" t="s">
        <v>2870</v>
      </c>
      <c r="Q5229" t="s">
        <v>2041</v>
      </c>
      <c r="R5229" t="s">
        <v>2634</v>
      </c>
      <c r="S5229">
        <v>35</v>
      </c>
      <c r="T5229" s="43" t="str">
        <f t="shared" si="242"/>
        <v>2019.012D.zip</v>
      </c>
      <c r="U5229" s="43" t="str">
        <f>HYPERLINK("https://ictv.global/taxonomy/taxondetails?taxnode_id=202205815","ictv.global=202205815")</f>
        <v>ictv.global=202205815</v>
      </c>
    </row>
    <row r="5230" spans="1:21">
      <c r="A5230">
        <v>5229</v>
      </c>
      <c r="B5230" s="29" t="s">
        <v>4053</v>
      </c>
      <c r="C5230" s="29"/>
      <c r="D5230" s="29" t="s">
        <v>4082</v>
      </c>
      <c r="E5230" s="29"/>
      <c r="F5230" s="29" t="s">
        <v>4106</v>
      </c>
      <c r="G5230" s="29"/>
      <c r="H5230" s="29" t="s">
        <v>4117</v>
      </c>
      <c r="I5230" s="29"/>
      <c r="J5230" s="29" t="s">
        <v>4118</v>
      </c>
      <c r="K5230" s="29"/>
      <c r="L5230" s="29" t="s">
        <v>1546</v>
      </c>
      <c r="M5230" s="29"/>
      <c r="N5230" s="29" t="s">
        <v>1547</v>
      </c>
      <c r="O5230" s="29"/>
      <c r="P5230" s="29" t="s">
        <v>1818</v>
      </c>
      <c r="Q5230" t="s">
        <v>2041</v>
      </c>
      <c r="R5230" t="s">
        <v>2634</v>
      </c>
      <c r="S5230">
        <v>35</v>
      </c>
      <c r="T5230" s="43" t="str">
        <f t="shared" si="242"/>
        <v>2019.012D.zip</v>
      </c>
      <c r="U5230" s="43" t="str">
        <f>HYPERLINK("https://ictv.global/taxonomy/taxondetails?taxnode_id=202203297","ictv.global=202203297")</f>
        <v>ictv.global=202203297</v>
      </c>
    </row>
    <row r="5231" spans="1:21">
      <c r="A5231">
        <v>5230</v>
      </c>
      <c r="B5231" s="29" t="s">
        <v>4053</v>
      </c>
      <c r="C5231" s="29"/>
      <c r="D5231" s="29" t="s">
        <v>4082</v>
      </c>
      <c r="E5231" s="29"/>
      <c r="F5231" s="29" t="s">
        <v>4106</v>
      </c>
      <c r="G5231" s="29"/>
      <c r="H5231" s="29" t="s">
        <v>4117</v>
      </c>
      <c r="I5231" s="29"/>
      <c r="J5231" s="29" t="s">
        <v>4118</v>
      </c>
      <c r="K5231" s="29"/>
      <c r="L5231" s="29" t="s">
        <v>1546</v>
      </c>
      <c r="M5231" s="29"/>
      <c r="N5231" s="29" t="s">
        <v>1547</v>
      </c>
      <c r="O5231" s="29"/>
      <c r="P5231" s="29" t="s">
        <v>264</v>
      </c>
      <c r="Q5231" t="s">
        <v>2041</v>
      </c>
      <c r="R5231" t="s">
        <v>2634</v>
      </c>
      <c r="S5231">
        <v>35</v>
      </c>
      <c r="T5231" s="43" t="str">
        <f t="shared" si="242"/>
        <v>2019.012D.zip</v>
      </c>
      <c r="U5231" s="43" t="str">
        <f>HYPERLINK("https://ictv.global/taxonomy/taxondetails?taxnode_id=202203298","ictv.global=202203298")</f>
        <v>ictv.global=202203298</v>
      </c>
    </row>
    <row r="5232" spans="1:21">
      <c r="A5232">
        <v>5231</v>
      </c>
      <c r="B5232" s="29" t="s">
        <v>4053</v>
      </c>
      <c r="C5232" s="29"/>
      <c r="D5232" s="29" t="s">
        <v>4082</v>
      </c>
      <c r="E5232" s="29"/>
      <c r="F5232" s="29" t="s">
        <v>4106</v>
      </c>
      <c r="G5232" s="29"/>
      <c r="H5232" s="29" t="s">
        <v>4117</v>
      </c>
      <c r="I5232" s="29"/>
      <c r="J5232" s="29" t="s">
        <v>4118</v>
      </c>
      <c r="K5232" s="29"/>
      <c r="L5232" s="29" t="s">
        <v>1546</v>
      </c>
      <c r="M5232" s="29"/>
      <c r="N5232" s="29" t="s">
        <v>1547</v>
      </c>
      <c r="O5232" s="29"/>
      <c r="P5232" s="29" t="s">
        <v>265</v>
      </c>
      <c r="Q5232" t="s">
        <v>2041</v>
      </c>
      <c r="R5232" t="s">
        <v>2634</v>
      </c>
      <c r="S5232">
        <v>35</v>
      </c>
      <c r="T5232" s="43" t="str">
        <f t="shared" si="242"/>
        <v>2019.012D.zip</v>
      </c>
      <c r="U5232" s="43" t="str">
        <f>HYPERLINK("https://ictv.global/taxonomy/taxondetails?taxnode_id=202203299","ictv.global=202203299")</f>
        <v>ictv.global=202203299</v>
      </c>
    </row>
    <row r="5233" spans="1:21">
      <c r="A5233">
        <v>5232</v>
      </c>
      <c r="B5233" s="29" t="s">
        <v>4053</v>
      </c>
      <c r="C5233" s="29"/>
      <c r="D5233" s="29" t="s">
        <v>4082</v>
      </c>
      <c r="E5233" s="29"/>
      <c r="F5233" s="29" t="s">
        <v>4106</v>
      </c>
      <c r="G5233" s="29"/>
      <c r="H5233" s="29" t="s">
        <v>4117</v>
      </c>
      <c r="I5233" s="29"/>
      <c r="J5233" s="29" t="s">
        <v>4118</v>
      </c>
      <c r="K5233" s="29"/>
      <c r="L5233" s="29" t="s">
        <v>1546</v>
      </c>
      <c r="M5233" s="29"/>
      <c r="N5233" s="29" t="s">
        <v>1547</v>
      </c>
      <c r="O5233" s="29"/>
      <c r="P5233" s="29" t="s">
        <v>2871</v>
      </c>
      <c r="Q5233" t="s">
        <v>2041</v>
      </c>
      <c r="R5233" t="s">
        <v>2634</v>
      </c>
      <c r="S5233">
        <v>35</v>
      </c>
      <c r="T5233" s="43" t="str">
        <f t="shared" si="242"/>
        <v>2019.012D.zip</v>
      </c>
      <c r="U5233" s="43" t="str">
        <f>HYPERLINK("https://ictv.global/taxonomy/taxondetails?taxnode_id=202205816","ictv.global=202205816")</f>
        <v>ictv.global=202205816</v>
      </c>
    </row>
    <row r="5234" spans="1:21">
      <c r="A5234">
        <v>5233</v>
      </c>
      <c r="B5234" s="29" t="s">
        <v>4053</v>
      </c>
      <c r="C5234" s="29"/>
      <c r="D5234" s="29" t="s">
        <v>4082</v>
      </c>
      <c r="E5234" s="29"/>
      <c r="F5234" s="29" t="s">
        <v>4106</v>
      </c>
      <c r="G5234" s="29"/>
      <c r="H5234" s="29" t="s">
        <v>4117</v>
      </c>
      <c r="I5234" s="29"/>
      <c r="J5234" s="29" t="s">
        <v>4118</v>
      </c>
      <c r="K5234" s="29"/>
      <c r="L5234" s="29" t="s">
        <v>1546</v>
      </c>
      <c r="M5234" s="29"/>
      <c r="N5234" s="29" t="s">
        <v>1547</v>
      </c>
      <c r="O5234" s="29"/>
      <c r="P5234" s="29" t="s">
        <v>1819</v>
      </c>
      <c r="Q5234" t="s">
        <v>2041</v>
      </c>
      <c r="R5234" t="s">
        <v>2634</v>
      </c>
      <c r="S5234">
        <v>35</v>
      </c>
      <c r="T5234" s="43" t="str">
        <f t="shared" si="242"/>
        <v>2019.012D.zip</v>
      </c>
      <c r="U5234" s="43" t="str">
        <f>HYPERLINK("https://ictv.global/taxonomy/taxondetails?taxnode_id=202203300","ictv.global=202203300")</f>
        <v>ictv.global=202203300</v>
      </c>
    </row>
    <row r="5235" spans="1:21">
      <c r="A5235">
        <v>5234</v>
      </c>
      <c r="B5235" s="29" t="s">
        <v>4053</v>
      </c>
      <c r="C5235" s="29"/>
      <c r="D5235" s="29" t="s">
        <v>4082</v>
      </c>
      <c r="E5235" s="29"/>
      <c r="F5235" s="29" t="s">
        <v>4106</v>
      </c>
      <c r="G5235" s="29"/>
      <c r="H5235" s="29" t="s">
        <v>4117</v>
      </c>
      <c r="I5235" s="29"/>
      <c r="J5235" s="29" t="s">
        <v>4118</v>
      </c>
      <c r="K5235" s="29"/>
      <c r="L5235" s="29" t="s">
        <v>1546</v>
      </c>
      <c r="M5235" s="29"/>
      <c r="N5235" s="29" t="s">
        <v>1547</v>
      </c>
      <c r="O5235" s="29"/>
      <c r="P5235" s="29" t="s">
        <v>266</v>
      </c>
      <c r="Q5235" t="s">
        <v>2041</v>
      </c>
      <c r="R5235" t="s">
        <v>2634</v>
      </c>
      <c r="S5235">
        <v>35</v>
      </c>
      <c r="T5235" s="43" t="str">
        <f t="shared" si="242"/>
        <v>2019.012D.zip</v>
      </c>
      <c r="U5235" s="43" t="str">
        <f>HYPERLINK("https://ictv.global/taxonomy/taxondetails?taxnode_id=202203301","ictv.global=202203301")</f>
        <v>ictv.global=202203301</v>
      </c>
    </row>
    <row r="5236" spans="1:21">
      <c r="A5236">
        <v>5235</v>
      </c>
      <c r="B5236" s="29" t="s">
        <v>4053</v>
      </c>
      <c r="C5236" s="29"/>
      <c r="D5236" s="29" t="s">
        <v>4082</v>
      </c>
      <c r="E5236" s="29"/>
      <c r="F5236" s="29" t="s">
        <v>4106</v>
      </c>
      <c r="G5236" s="29"/>
      <c r="H5236" s="29" t="s">
        <v>4117</v>
      </c>
      <c r="I5236" s="29"/>
      <c r="J5236" s="29" t="s">
        <v>4118</v>
      </c>
      <c r="K5236" s="29"/>
      <c r="L5236" s="29" t="s">
        <v>1546</v>
      </c>
      <c r="M5236" s="29"/>
      <c r="N5236" s="29" t="s">
        <v>1547</v>
      </c>
      <c r="O5236" s="29"/>
      <c r="P5236" s="29" t="s">
        <v>267</v>
      </c>
      <c r="Q5236" t="s">
        <v>2041</v>
      </c>
      <c r="R5236" t="s">
        <v>2634</v>
      </c>
      <c r="S5236">
        <v>35</v>
      </c>
      <c r="T5236" s="43" t="str">
        <f t="shared" si="242"/>
        <v>2019.012D.zip</v>
      </c>
      <c r="U5236" s="43" t="str">
        <f>HYPERLINK("https://ictv.global/taxonomy/taxondetails?taxnode_id=202203302","ictv.global=202203302")</f>
        <v>ictv.global=202203302</v>
      </c>
    </row>
    <row r="5237" spans="1:21">
      <c r="A5237">
        <v>5236</v>
      </c>
      <c r="B5237" s="29" t="s">
        <v>4053</v>
      </c>
      <c r="C5237" s="29"/>
      <c r="D5237" s="29" t="s">
        <v>4082</v>
      </c>
      <c r="E5237" s="29"/>
      <c r="F5237" s="29" t="s">
        <v>4106</v>
      </c>
      <c r="G5237" s="29"/>
      <c r="H5237" s="29" t="s">
        <v>4117</v>
      </c>
      <c r="I5237" s="29"/>
      <c r="J5237" s="29" t="s">
        <v>4118</v>
      </c>
      <c r="K5237" s="29"/>
      <c r="L5237" s="29" t="s">
        <v>1546</v>
      </c>
      <c r="M5237" s="29"/>
      <c r="N5237" s="29" t="s">
        <v>1547</v>
      </c>
      <c r="O5237" s="29"/>
      <c r="P5237" s="29" t="s">
        <v>268</v>
      </c>
      <c r="Q5237" t="s">
        <v>2041</v>
      </c>
      <c r="R5237" t="s">
        <v>2634</v>
      </c>
      <c r="S5237">
        <v>35</v>
      </c>
      <c r="T5237" s="43" t="str">
        <f t="shared" si="242"/>
        <v>2019.012D.zip</v>
      </c>
      <c r="U5237" s="43" t="str">
        <f>HYPERLINK("https://ictv.global/taxonomy/taxondetails?taxnode_id=202203303","ictv.global=202203303")</f>
        <v>ictv.global=202203303</v>
      </c>
    </row>
    <row r="5238" spans="1:21">
      <c r="A5238">
        <v>5237</v>
      </c>
      <c r="B5238" s="29" t="s">
        <v>4053</v>
      </c>
      <c r="C5238" s="29"/>
      <c r="D5238" s="29" t="s">
        <v>4082</v>
      </c>
      <c r="E5238" s="29"/>
      <c r="F5238" s="29" t="s">
        <v>4106</v>
      </c>
      <c r="G5238" s="29"/>
      <c r="H5238" s="29" t="s">
        <v>4117</v>
      </c>
      <c r="I5238" s="29"/>
      <c r="J5238" s="29" t="s">
        <v>4118</v>
      </c>
      <c r="K5238" s="29"/>
      <c r="L5238" s="29" t="s">
        <v>1546</v>
      </c>
      <c r="M5238" s="29"/>
      <c r="N5238" s="29" t="s">
        <v>1547</v>
      </c>
      <c r="O5238" s="29"/>
      <c r="P5238" s="29" t="s">
        <v>4916</v>
      </c>
      <c r="Q5238" t="s">
        <v>2265</v>
      </c>
      <c r="R5238" t="s">
        <v>2632</v>
      </c>
      <c r="S5238">
        <v>36</v>
      </c>
      <c r="T5238" s="43" t="str">
        <f>HYPERLINK("https://ictv.global/ictv/proposals/2020.006P.R.Begomovirus_22nsp.zip","2020.006P.R.Begomovirus_22nsp.zip")</f>
        <v>2020.006P.R.Begomovirus_22nsp.zip</v>
      </c>
      <c r="U5238" s="43" t="str">
        <f>HYPERLINK("https://ictv.global/taxonomy/taxondetails?taxnode_id=202209126","ictv.global=202209126")</f>
        <v>ictv.global=202209126</v>
      </c>
    </row>
    <row r="5239" spans="1:21">
      <c r="A5239">
        <v>5238</v>
      </c>
      <c r="B5239" s="29" t="s">
        <v>4053</v>
      </c>
      <c r="C5239" s="29"/>
      <c r="D5239" s="29" t="s">
        <v>4082</v>
      </c>
      <c r="E5239" s="29"/>
      <c r="F5239" s="29" t="s">
        <v>4106</v>
      </c>
      <c r="G5239" s="29"/>
      <c r="H5239" s="29" t="s">
        <v>4117</v>
      </c>
      <c r="I5239" s="29"/>
      <c r="J5239" s="29" t="s">
        <v>4118</v>
      </c>
      <c r="K5239" s="29"/>
      <c r="L5239" s="29" t="s">
        <v>1546</v>
      </c>
      <c r="M5239" s="29"/>
      <c r="N5239" s="29" t="s">
        <v>1547</v>
      </c>
      <c r="O5239" s="29"/>
      <c r="P5239" s="29" t="s">
        <v>4917</v>
      </c>
      <c r="Q5239" t="s">
        <v>2265</v>
      </c>
      <c r="R5239" t="s">
        <v>2632</v>
      </c>
      <c r="S5239">
        <v>36</v>
      </c>
      <c r="T5239" s="43" t="str">
        <f>HYPERLINK("https://ictv.global/ictv/proposals/2020.006P.R.Begomovirus_22nsp.zip","2020.006P.R.Begomovirus_22nsp.zip")</f>
        <v>2020.006P.R.Begomovirus_22nsp.zip</v>
      </c>
      <c r="U5239" s="43" t="str">
        <f>HYPERLINK("https://ictv.global/taxonomy/taxondetails?taxnode_id=202209127","ictv.global=202209127")</f>
        <v>ictv.global=202209127</v>
      </c>
    </row>
    <row r="5240" spans="1:21">
      <c r="A5240">
        <v>5239</v>
      </c>
      <c r="B5240" s="29" t="s">
        <v>4053</v>
      </c>
      <c r="C5240" s="29"/>
      <c r="D5240" s="29" t="s">
        <v>4082</v>
      </c>
      <c r="E5240" s="29"/>
      <c r="F5240" s="29" t="s">
        <v>4106</v>
      </c>
      <c r="G5240" s="29"/>
      <c r="H5240" s="29" t="s">
        <v>4117</v>
      </c>
      <c r="I5240" s="29"/>
      <c r="J5240" s="29" t="s">
        <v>4118</v>
      </c>
      <c r="K5240" s="29"/>
      <c r="L5240" s="29" t="s">
        <v>1546</v>
      </c>
      <c r="M5240" s="29"/>
      <c r="N5240" s="29" t="s">
        <v>1547</v>
      </c>
      <c r="O5240" s="29"/>
      <c r="P5240" s="29" t="s">
        <v>4918</v>
      </c>
      <c r="Q5240" t="s">
        <v>2265</v>
      </c>
      <c r="R5240" t="s">
        <v>2632</v>
      </c>
      <c r="S5240">
        <v>36</v>
      </c>
      <c r="T5240" s="43" t="str">
        <f>HYPERLINK("https://ictv.global/ictv/proposals/2020.006P.R.Begomovirus_22nsp.zip","2020.006P.R.Begomovirus_22nsp.zip")</f>
        <v>2020.006P.R.Begomovirus_22nsp.zip</v>
      </c>
      <c r="U5240" s="43" t="str">
        <f>HYPERLINK("https://ictv.global/taxonomy/taxondetails?taxnode_id=202209128","ictv.global=202209128")</f>
        <v>ictv.global=202209128</v>
      </c>
    </row>
    <row r="5241" spans="1:21">
      <c r="A5241">
        <v>5240</v>
      </c>
      <c r="B5241" s="29" t="s">
        <v>4053</v>
      </c>
      <c r="C5241" s="29"/>
      <c r="D5241" s="29" t="s">
        <v>4082</v>
      </c>
      <c r="E5241" s="29"/>
      <c r="F5241" s="29" t="s">
        <v>4106</v>
      </c>
      <c r="G5241" s="29"/>
      <c r="H5241" s="29" t="s">
        <v>4117</v>
      </c>
      <c r="I5241" s="29"/>
      <c r="J5241" s="29" t="s">
        <v>4118</v>
      </c>
      <c r="K5241" s="29"/>
      <c r="L5241" s="29" t="s">
        <v>1546</v>
      </c>
      <c r="M5241" s="29"/>
      <c r="N5241" s="29" t="s">
        <v>1547</v>
      </c>
      <c r="O5241" s="29"/>
      <c r="P5241" s="29" t="s">
        <v>4128</v>
      </c>
      <c r="Q5241" t="s">
        <v>2265</v>
      </c>
      <c r="R5241" t="s">
        <v>2632</v>
      </c>
      <c r="S5241">
        <v>35</v>
      </c>
      <c r="T5241" s="43" t="str">
        <f>HYPERLINK("https://ictv.global/ictv/proposals/2019.022P.zip","2019.022P.zip")</f>
        <v>2019.022P.zip</v>
      </c>
      <c r="U5241" s="43" t="str">
        <f>HYPERLINK("https://ictv.global/taxonomy/taxondetails?taxnode_id=202207527","ictv.global=202207527")</f>
        <v>ictv.global=202207527</v>
      </c>
    </row>
    <row r="5242" spans="1:21">
      <c r="A5242">
        <v>5241</v>
      </c>
      <c r="B5242" s="29" t="s">
        <v>4053</v>
      </c>
      <c r="C5242" s="29"/>
      <c r="D5242" s="29" t="s">
        <v>4082</v>
      </c>
      <c r="E5242" s="29"/>
      <c r="F5242" s="29" t="s">
        <v>4106</v>
      </c>
      <c r="G5242" s="29"/>
      <c r="H5242" s="29" t="s">
        <v>4117</v>
      </c>
      <c r="I5242" s="29"/>
      <c r="J5242" s="29" t="s">
        <v>4118</v>
      </c>
      <c r="K5242" s="29"/>
      <c r="L5242" s="29" t="s">
        <v>1546</v>
      </c>
      <c r="M5242" s="29"/>
      <c r="N5242" s="29" t="s">
        <v>1547</v>
      </c>
      <c r="O5242" s="29"/>
      <c r="P5242" s="29" t="s">
        <v>2872</v>
      </c>
      <c r="Q5242" t="s">
        <v>2041</v>
      </c>
      <c r="R5242" t="s">
        <v>2634</v>
      </c>
      <c r="S5242">
        <v>35</v>
      </c>
      <c r="T5242" s="43" t="str">
        <f t="shared" ref="T5242:T5247" si="243">HYPERLINK("https://ictv.global/ictv/proposals/2019.012D.zip","2019.012D.zip")</f>
        <v>2019.012D.zip</v>
      </c>
      <c r="U5242" s="43" t="str">
        <f>HYPERLINK("https://ictv.global/taxonomy/taxondetails?taxnode_id=202205817","ictv.global=202205817")</f>
        <v>ictv.global=202205817</v>
      </c>
    </row>
    <row r="5243" spans="1:21">
      <c r="A5243">
        <v>5242</v>
      </c>
      <c r="B5243" s="29" t="s">
        <v>4053</v>
      </c>
      <c r="C5243" s="29"/>
      <c r="D5243" s="29" t="s">
        <v>4082</v>
      </c>
      <c r="E5243" s="29"/>
      <c r="F5243" s="29" t="s">
        <v>4106</v>
      </c>
      <c r="G5243" s="29"/>
      <c r="H5243" s="29" t="s">
        <v>4117</v>
      </c>
      <c r="I5243" s="29"/>
      <c r="J5243" s="29" t="s">
        <v>4118</v>
      </c>
      <c r="K5243" s="29"/>
      <c r="L5243" s="29" t="s">
        <v>1546</v>
      </c>
      <c r="M5243" s="29"/>
      <c r="N5243" s="29" t="s">
        <v>1547</v>
      </c>
      <c r="O5243" s="29"/>
      <c r="P5243" s="29" t="s">
        <v>1820</v>
      </c>
      <c r="Q5243" t="s">
        <v>2041</v>
      </c>
      <c r="R5243" t="s">
        <v>2634</v>
      </c>
      <c r="S5243">
        <v>35</v>
      </c>
      <c r="T5243" s="43" t="str">
        <f t="shared" si="243"/>
        <v>2019.012D.zip</v>
      </c>
      <c r="U5243" s="43" t="str">
        <f>HYPERLINK("https://ictv.global/taxonomy/taxondetails?taxnode_id=202203304","ictv.global=202203304")</f>
        <v>ictv.global=202203304</v>
      </c>
    </row>
    <row r="5244" spans="1:21">
      <c r="A5244">
        <v>5243</v>
      </c>
      <c r="B5244" s="29" t="s">
        <v>4053</v>
      </c>
      <c r="C5244" s="29"/>
      <c r="D5244" s="29" t="s">
        <v>4082</v>
      </c>
      <c r="E5244" s="29"/>
      <c r="F5244" s="29" t="s">
        <v>4106</v>
      </c>
      <c r="G5244" s="29"/>
      <c r="H5244" s="29" t="s">
        <v>4117</v>
      </c>
      <c r="I5244" s="29"/>
      <c r="J5244" s="29" t="s">
        <v>4118</v>
      </c>
      <c r="K5244" s="29"/>
      <c r="L5244" s="29" t="s">
        <v>1546</v>
      </c>
      <c r="M5244" s="29"/>
      <c r="N5244" s="29" t="s">
        <v>1547</v>
      </c>
      <c r="O5244" s="29"/>
      <c r="P5244" s="29" t="s">
        <v>2873</v>
      </c>
      <c r="Q5244" t="s">
        <v>2041</v>
      </c>
      <c r="R5244" t="s">
        <v>2634</v>
      </c>
      <c r="S5244">
        <v>35</v>
      </c>
      <c r="T5244" s="43" t="str">
        <f t="shared" si="243"/>
        <v>2019.012D.zip</v>
      </c>
      <c r="U5244" s="43" t="str">
        <f>HYPERLINK("https://ictv.global/taxonomy/taxondetails?taxnode_id=202205818","ictv.global=202205818")</f>
        <v>ictv.global=202205818</v>
      </c>
    </row>
    <row r="5245" spans="1:21">
      <c r="A5245">
        <v>5244</v>
      </c>
      <c r="B5245" s="29" t="s">
        <v>4053</v>
      </c>
      <c r="C5245" s="29"/>
      <c r="D5245" s="29" t="s">
        <v>4082</v>
      </c>
      <c r="E5245" s="29"/>
      <c r="F5245" s="29" t="s">
        <v>4106</v>
      </c>
      <c r="G5245" s="29"/>
      <c r="H5245" s="29" t="s">
        <v>4117</v>
      </c>
      <c r="I5245" s="29"/>
      <c r="J5245" s="29" t="s">
        <v>4118</v>
      </c>
      <c r="K5245" s="29"/>
      <c r="L5245" s="29" t="s">
        <v>1546</v>
      </c>
      <c r="M5245" s="29"/>
      <c r="N5245" s="29" t="s">
        <v>1547</v>
      </c>
      <c r="O5245" s="29"/>
      <c r="P5245" s="29" t="s">
        <v>2874</v>
      </c>
      <c r="Q5245" t="s">
        <v>2041</v>
      </c>
      <c r="R5245" t="s">
        <v>2634</v>
      </c>
      <c r="S5245">
        <v>35</v>
      </c>
      <c r="T5245" s="43" t="str">
        <f t="shared" si="243"/>
        <v>2019.012D.zip</v>
      </c>
      <c r="U5245" s="43" t="str">
        <f>HYPERLINK("https://ictv.global/taxonomy/taxondetails?taxnode_id=202205819","ictv.global=202205819")</f>
        <v>ictv.global=202205819</v>
      </c>
    </row>
    <row r="5246" spans="1:21">
      <c r="A5246">
        <v>5245</v>
      </c>
      <c r="B5246" s="29" t="s">
        <v>4053</v>
      </c>
      <c r="C5246" s="29"/>
      <c r="D5246" s="29" t="s">
        <v>4082</v>
      </c>
      <c r="E5246" s="29"/>
      <c r="F5246" s="29" t="s">
        <v>4106</v>
      </c>
      <c r="G5246" s="29"/>
      <c r="H5246" s="29" t="s">
        <v>4117</v>
      </c>
      <c r="I5246" s="29"/>
      <c r="J5246" s="29" t="s">
        <v>4118</v>
      </c>
      <c r="K5246" s="29"/>
      <c r="L5246" s="29" t="s">
        <v>1546</v>
      </c>
      <c r="M5246" s="29"/>
      <c r="N5246" s="29" t="s">
        <v>1547</v>
      </c>
      <c r="O5246" s="29"/>
      <c r="P5246" s="29" t="s">
        <v>2875</v>
      </c>
      <c r="Q5246" t="s">
        <v>2041</v>
      </c>
      <c r="R5246" t="s">
        <v>2634</v>
      </c>
      <c r="S5246">
        <v>35</v>
      </c>
      <c r="T5246" s="43" t="str">
        <f t="shared" si="243"/>
        <v>2019.012D.zip</v>
      </c>
      <c r="U5246" s="43" t="str">
        <f>HYPERLINK("https://ictv.global/taxonomy/taxondetails?taxnode_id=202205820","ictv.global=202205820")</f>
        <v>ictv.global=202205820</v>
      </c>
    </row>
    <row r="5247" spans="1:21">
      <c r="A5247">
        <v>5246</v>
      </c>
      <c r="B5247" s="29" t="s">
        <v>4053</v>
      </c>
      <c r="C5247" s="29"/>
      <c r="D5247" s="29" t="s">
        <v>4082</v>
      </c>
      <c r="E5247" s="29"/>
      <c r="F5247" s="29" t="s">
        <v>4106</v>
      </c>
      <c r="G5247" s="29"/>
      <c r="H5247" s="29" t="s">
        <v>4117</v>
      </c>
      <c r="I5247" s="29"/>
      <c r="J5247" s="29" t="s">
        <v>4118</v>
      </c>
      <c r="K5247" s="29"/>
      <c r="L5247" s="29" t="s">
        <v>1546</v>
      </c>
      <c r="M5247" s="29"/>
      <c r="N5247" s="29" t="s">
        <v>1547</v>
      </c>
      <c r="O5247" s="29"/>
      <c r="P5247" s="29" t="s">
        <v>2876</v>
      </c>
      <c r="Q5247" t="s">
        <v>2041</v>
      </c>
      <c r="R5247" t="s">
        <v>2634</v>
      </c>
      <c r="S5247">
        <v>35</v>
      </c>
      <c r="T5247" s="43" t="str">
        <f t="shared" si="243"/>
        <v>2019.012D.zip</v>
      </c>
      <c r="U5247" s="43" t="str">
        <f>HYPERLINK("https://ictv.global/taxonomy/taxondetails?taxnode_id=202203305","ictv.global=202203305")</f>
        <v>ictv.global=202203305</v>
      </c>
    </row>
    <row r="5248" spans="1:21">
      <c r="A5248">
        <v>5247</v>
      </c>
      <c r="B5248" s="29" t="s">
        <v>4053</v>
      </c>
      <c r="C5248" s="29"/>
      <c r="D5248" s="29" t="s">
        <v>4082</v>
      </c>
      <c r="E5248" s="29"/>
      <c r="F5248" s="29" t="s">
        <v>4106</v>
      </c>
      <c r="G5248" s="29"/>
      <c r="H5248" s="29" t="s">
        <v>4117</v>
      </c>
      <c r="I5248" s="29"/>
      <c r="J5248" s="29" t="s">
        <v>4118</v>
      </c>
      <c r="K5248" s="29"/>
      <c r="L5248" s="29" t="s">
        <v>1546</v>
      </c>
      <c r="M5248" s="29"/>
      <c r="N5248" s="29" t="s">
        <v>1547</v>
      </c>
      <c r="O5248" s="29"/>
      <c r="P5248" s="29" t="s">
        <v>4919</v>
      </c>
      <c r="Q5248" t="s">
        <v>2265</v>
      </c>
      <c r="R5248" t="s">
        <v>2632</v>
      </c>
      <c r="S5248">
        <v>36</v>
      </c>
      <c r="T5248" s="43" t="str">
        <f>HYPERLINK("https://ictv.global/ictv/proposals/2020.006P.R.Begomovirus_22nsp.zip","2020.006P.R.Begomovirus_22nsp.zip")</f>
        <v>2020.006P.R.Begomovirus_22nsp.zip</v>
      </c>
      <c r="U5248" s="43" t="str">
        <f>HYPERLINK("https://ictv.global/taxonomy/taxondetails?taxnode_id=202209129","ictv.global=202209129")</f>
        <v>ictv.global=202209129</v>
      </c>
    </row>
    <row r="5249" spans="1:21">
      <c r="A5249">
        <v>5248</v>
      </c>
      <c r="B5249" s="29" t="s">
        <v>4053</v>
      </c>
      <c r="C5249" s="29"/>
      <c r="D5249" s="29" t="s">
        <v>4082</v>
      </c>
      <c r="E5249" s="29"/>
      <c r="F5249" s="29" t="s">
        <v>4106</v>
      </c>
      <c r="G5249" s="29"/>
      <c r="H5249" s="29" t="s">
        <v>4117</v>
      </c>
      <c r="I5249" s="29"/>
      <c r="J5249" s="29" t="s">
        <v>4118</v>
      </c>
      <c r="K5249" s="29"/>
      <c r="L5249" s="29" t="s">
        <v>1546</v>
      </c>
      <c r="M5249" s="29"/>
      <c r="N5249" s="29" t="s">
        <v>1547</v>
      </c>
      <c r="O5249" s="29"/>
      <c r="P5249" s="29" t="s">
        <v>269</v>
      </c>
      <c r="Q5249" t="s">
        <v>2041</v>
      </c>
      <c r="R5249" t="s">
        <v>2634</v>
      </c>
      <c r="S5249">
        <v>35</v>
      </c>
      <c r="T5249" s="43" t="str">
        <f t="shared" ref="T5249:T5255" si="244">HYPERLINK("https://ictv.global/ictv/proposals/2019.012D.zip","2019.012D.zip")</f>
        <v>2019.012D.zip</v>
      </c>
      <c r="U5249" s="43" t="str">
        <f>HYPERLINK("https://ictv.global/taxonomy/taxondetails?taxnode_id=202203306","ictv.global=202203306")</f>
        <v>ictv.global=202203306</v>
      </c>
    </row>
    <row r="5250" spans="1:21">
      <c r="A5250">
        <v>5249</v>
      </c>
      <c r="B5250" s="29" t="s">
        <v>4053</v>
      </c>
      <c r="C5250" s="29"/>
      <c r="D5250" s="29" t="s">
        <v>4082</v>
      </c>
      <c r="E5250" s="29"/>
      <c r="F5250" s="29" t="s">
        <v>4106</v>
      </c>
      <c r="G5250" s="29"/>
      <c r="H5250" s="29" t="s">
        <v>4117</v>
      </c>
      <c r="I5250" s="29"/>
      <c r="J5250" s="29" t="s">
        <v>4118</v>
      </c>
      <c r="K5250" s="29"/>
      <c r="L5250" s="29" t="s">
        <v>1546</v>
      </c>
      <c r="M5250" s="29"/>
      <c r="N5250" s="29" t="s">
        <v>1547</v>
      </c>
      <c r="O5250" s="29"/>
      <c r="P5250" s="29" t="s">
        <v>270</v>
      </c>
      <c r="Q5250" t="s">
        <v>2041</v>
      </c>
      <c r="R5250" t="s">
        <v>2634</v>
      </c>
      <c r="S5250">
        <v>35</v>
      </c>
      <c r="T5250" s="43" t="str">
        <f t="shared" si="244"/>
        <v>2019.012D.zip</v>
      </c>
      <c r="U5250" s="43" t="str">
        <f>HYPERLINK("https://ictv.global/taxonomy/taxondetails?taxnode_id=202203307","ictv.global=202203307")</f>
        <v>ictv.global=202203307</v>
      </c>
    </row>
    <row r="5251" spans="1:21">
      <c r="A5251">
        <v>5250</v>
      </c>
      <c r="B5251" s="29" t="s">
        <v>4053</v>
      </c>
      <c r="C5251" s="29"/>
      <c r="D5251" s="29" t="s">
        <v>4082</v>
      </c>
      <c r="E5251" s="29"/>
      <c r="F5251" s="29" t="s">
        <v>4106</v>
      </c>
      <c r="G5251" s="29"/>
      <c r="H5251" s="29" t="s">
        <v>4117</v>
      </c>
      <c r="I5251" s="29"/>
      <c r="J5251" s="29" t="s">
        <v>4118</v>
      </c>
      <c r="K5251" s="29"/>
      <c r="L5251" s="29" t="s">
        <v>1546</v>
      </c>
      <c r="M5251" s="29"/>
      <c r="N5251" s="29" t="s">
        <v>1547</v>
      </c>
      <c r="O5251" s="29"/>
      <c r="P5251" s="29" t="s">
        <v>1074</v>
      </c>
      <c r="Q5251" t="s">
        <v>2041</v>
      </c>
      <c r="R5251" t="s">
        <v>2634</v>
      </c>
      <c r="S5251">
        <v>35</v>
      </c>
      <c r="T5251" s="43" t="str">
        <f t="shared" si="244"/>
        <v>2019.012D.zip</v>
      </c>
      <c r="U5251" s="43" t="str">
        <f>HYPERLINK("https://ictv.global/taxonomy/taxondetails?taxnode_id=202203308","ictv.global=202203308")</f>
        <v>ictv.global=202203308</v>
      </c>
    </row>
    <row r="5252" spans="1:21">
      <c r="A5252">
        <v>5251</v>
      </c>
      <c r="B5252" s="29" t="s">
        <v>4053</v>
      </c>
      <c r="C5252" s="29"/>
      <c r="D5252" s="29" t="s">
        <v>4082</v>
      </c>
      <c r="E5252" s="29"/>
      <c r="F5252" s="29" t="s">
        <v>4106</v>
      </c>
      <c r="G5252" s="29"/>
      <c r="H5252" s="29" t="s">
        <v>4117</v>
      </c>
      <c r="I5252" s="29"/>
      <c r="J5252" s="29" t="s">
        <v>4118</v>
      </c>
      <c r="K5252" s="29"/>
      <c r="L5252" s="29" t="s">
        <v>1546</v>
      </c>
      <c r="M5252" s="29"/>
      <c r="N5252" s="29" t="s">
        <v>1547</v>
      </c>
      <c r="O5252" s="29"/>
      <c r="P5252" s="29" t="s">
        <v>362</v>
      </c>
      <c r="Q5252" t="s">
        <v>2041</v>
      </c>
      <c r="R5252" t="s">
        <v>2634</v>
      </c>
      <c r="S5252">
        <v>35</v>
      </c>
      <c r="T5252" s="43" t="str">
        <f t="shared" si="244"/>
        <v>2019.012D.zip</v>
      </c>
      <c r="U5252" s="43" t="str">
        <f>HYPERLINK("https://ictv.global/taxonomy/taxondetails?taxnode_id=202203309","ictv.global=202203309")</f>
        <v>ictv.global=202203309</v>
      </c>
    </row>
    <row r="5253" spans="1:21">
      <c r="A5253">
        <v>5252</v>
      </c>
      <c r="B5253" s="29" t="s">
        <v>4053</v>
      </c>
      <c r="C5253" s="29"/>
      <c r="D5253" s="29" t="s">
        <v>4082</v>
      </c>
      <c r="E5253" s="29"/>
      <c r="F5253" s="29" t="s">
        <v>4106</v>
      </c>
      <c r="G5253" s="29"/>
      <c r="H5253" s="29" t="s">
        <v>4117</v>
      </c>
      <c r="I5253" s="29"/>
      <c r="J5253" s="29" t="s">
        <v>4118</v>
      </c>
      <c r="K5253" s="29"/>
      <c r="L5253" s="29" t="s">
        <v>1546</v>
      </c>
      <c r="M5253" s="29"/>
      <c r="N5253" s="29" t="s">
        <v>1547</v>
      </c>
      <c r="O5253" s="29"/>
      <c r="P5253" s="29" t="s">
        <v>363</v>
      </c>
      <c r="Q5253" t="s">
        <v>2041</v>
      </c>
      <c r="R5253" t="s">
        <v>2634</v>
      </c>
      <c r="S5253">
        <v>35</v>
      </c>
      <c r="T5253" s="43" t="str">
        <f t="shared" si="244"/>
        <v>2019.012D.zip</v>
      </c>
      <c r="U5253" s="43" t="str">
        <f>HYPERLINK("https://ictv.global/taxonomy/taxondetails?taxnode_id=202203310","ictv.global=202203310")</f>
        <v>ictv.global=202203310</v>
      </c>
    </row>
    <row r="5254" spans="1:21">
      <c r="A5254">
        <v>5253</v>
      </c>
      <c r="B5254" s="29" t="s">
        <v>4053</v>
      </c>
      <c r="C5254" s="29"/>
      <c r="D5254" s="29" t="s">
        <v>4082</v>
      </c>
      <c r="E5254" s="29"/>
      <c r="F5254" s="29" t="s">
        <v>4106</v>
      </c>
      <c r="G5254" s="29"/>
      <c r="H5254" s="29" t="s">
        <v>4117</v>
      </c>
      <c r="I5254" s="29"/>
      <c r="J5254" s="29" t="s">
        <v>4118</v>
      </c>
      <c r="K5254" s="29"/>
      <c r="L5254" s="29" t="s">
        <v>1546</v>
      </c>
      <c r="M5254" s="29"/>
      <c r="N5254" s="29" t="s">
        <v>1547</v>
      </c>
      <c r="O5254" s="29"/>
      <c r="P5254" s="29" t="s">
        <v>1821</v>
      </c>
      <c r="Q5254" t="s">
        <v>2041</v>
      </c>
      <c r="R5254" t="s">
        <v>2634</v>
      </c>
      <c r="S5254">
        <v>35</v>
      </c>
      <c r="T5254" s="43" t="str">
        <f t="shared" si="244"/>
        <v>2019.012D.zip</v>
      </c>
      <c r="U5254" s="43" t="str">
        <f>HYPERLINK("https://ictv.global/taxonomy/taxondetails?taxnode_id=202203311","ictv.global=202203311")</f>
        <v>ictv.global=202203311</v>
      </c>
    </row>
    <row r="5255" spans="1:21">
      <c r="A5255">
        <v>5254</v>
      </c>
      <c r="B5255" s="29" t="s">
        <v>4053</v>
      </c>
      <c r="C5255" s="29"/>
      <c r="D5255" s="29" t="s">
        <v>4082</v>
      </c>
      <c r="E5255" s="29"/>
      <c r="F5255" s="29" t="s">
        <v>4106</v>
      </c>
      <c r="G5255" s="29"/>
      <c r="H5255" s="29" t="s">
        <v>4117</v>
      </c>
      <c r="I5255" s="29"/>
      <c r="J5255" s="29" t="s">
        <v>4118</v>
      </c>
      <c r="K5255" s="29"/>
      <c r="L5255" s="29" t="s">
        <v>1546</v>
      </c>
      <c r="M5255" s="29"/>
      <c r="N5255" s="29" t="s">
        <v>1547</v>
      </c>
      <c r="O5255" s="29"/>
      <c r="P5255" s="29" t="s">
        <v>3644</v>
      </c>
      <c r="Q5255" t="s">
        <v>2041</v>
      </c>
      <c r="R5255" t="s">
        <v>2634</v>
      </c>
      <c r="S5255">
        <v>35</v>
      </c>
      <c r="T5255" s="43" t="str">
        <f t="shared" si="244"/>
        <v>2019.012D.zip</v>
      </c>
      <c r="U5255" s="43" t="str">
        <f>HYPERLINK("https://ictv.global/taxonomy/taxondetails?taxnode_id=202206705","ictv.global=202206705")</f>
        <v>ictv.global=202206705</v>
      </c>
    </row>
    <row r="5256" spans="1:21">
      <c r="A5256">
        <v>5255</v>
      </c>
      <c r="B5256" s="29" t="s">
        <v>4053</v>
      </c>
      <c r="C5256" s="29"/>
      <c r="D5256" s="29" t="s">
        <v>4082</v>
      </c>
      <c r="E5256" s="29"/>
      <c r="F5256" s="29" t="s">
        <v>4106</v>
      </c>
      <c r="G5256" s="29"/>
      <c r="H5256" s="29" t="s">
        <v>4117</v>
      </c>
      <c r="I5256" s="29"/>
      <c r="J5256" s="29" t="s">
        <v>4118</v>
      </c>
      <c r="K5256" s="29"/>
      <c r="L5256" s="29" t="s">
        <v>1546</v>
      </c>
      <c r="M5256" s="29"/>
      <c r="N5256" s="29" t="s">
        <v>1547</v>
      </c>
      <c r="O5256" s="29"/>
      <c r="P5256" s="29" t="s">
        <v>4129</v>
      </c>
      <c r="Q5256" t="s">
        <v>2265</v>
      </c>
      <c r="R5256" t="s">
        <v>2632</v>
      </c>
      <c r="S5256">
        <v>35</v>
      </c>
      <c r="T5256" s="43" t="str">
        <f>HYPERLINK("https://ictv.global/ictv/proposals/2019.022P.zip","2019.022P.zip")</f>
        <v>2019.022P.zip</v>
      </c>
      <c r="U5256" s="43" t="str">
        <f>HYPERLINK("https://ictv.global/taxonomy/taxondetails?taxnode_id=202207528","ictv.global=202207528")</f>
        <v>ictv.global=202207528</v>
      </c>
    </row>
    <row r="5257" spans="1:21">
      <c r="A5257">
        <v>5256</v>
      </c>
      <c r="B5257" s="29" t="s">
        <v>4053</v>
      </c>
      <c r="C5257" s="29"/>
      <c r="D5257" s="29" t="s">
        <v>4082</v>
      </c>
      <c r="E5257" s="29"/>
      <c r="F5257" s="29" t="s">
        <v>4106</v>
      </c>
      <c r="G5257" s="29"/>
      <c r="H5257" s="29" t="s">
        <v>4117</v>
      </c>
      <c r="I5257" s="29"/>
      <c r="J5257" s="29" t="s">
        <v>4118</v>
      </c>
      <c r="K5257" s="29"/>
      <c r="L5257" s="29" t="s">
        <v>1546</v>
      </c>
      <c r="M5257" s="29"/>
      <c r="N5257" s="29" t="s">
        <v>1547</v>
      </c>
      <c r="O5257" s="29"/>
      <c r="P5257" s="29" t="s">
        <v>1092</v>
      </c>
      <c r="Q5257" t="s">
        <v>2041</v>
      </c>
      <c r="R5257" t="s">
        <v>2634</v>
      </c>
      <c r="S5257">
        <v>35</v>
      </c>
      <c r="T5257" s="43" t="str">
        <f>HYPERLINK("https://ictv.global/ictv/proposals/2019.012D.zip","2019.012D.zip")</f>
        <v>2019.012D.zip</v>
      </c>
      <c r="U5257" s="43" t="str">
        <f>HYPERLINK("https://ictv.global/taxonomy/taxondetails?taxnode_id=202203312","ictv.global=202203312")</f>
        <v>ictv.global=202203312</v>
      </c>
    </row>
    <row r="5258" spans="1:21">
      <c r="A5258">
        <v>5257</v>
      </c>
      <c r="B5258" s="29" t="s">
        <v>4053</v>
      </c>
      <c r="C5258" s="29"/>
      <c r="D5258" s="29" t="s">
        <v>4082</v>
      </c>
      <c r="E5258" s="29"/>
      <c r="F5258" s="29" t="s">
        <v>4106</v>
      </c>
      <c r="G5258" s="29"/>
      <c r="H5258" s="29" t="s">
        <v>4117</v>
      </c>
      <c r="I5258" s="29"/>
      <c r="J5258" s="29" t="s">
        <v>4118</v>
      </c>
      <c r="K5258" s="29"/>
      <c r="L5258" s="29" t="s">
        <v>1546</v>
      </c>
      <c r="M5258" s="29"/>
      <c r="N5258" s="29" t="s">
        <v>1547</v>
      </c>
      <c r="O5258" s="29"/>
      <c r="P5258" s="29" t="s">
        <v>3645</v>
      </c>
      <c r="Q5258" t="s">
        <v>2041</v>
      </c>
      <c r="R5258" t="s">
        <v>2634</v>
      </c>
      <c r="S5258">
        <v>35</v>
      </c>
      <c r="T5258" s="43" t="str">
        <f>HYPERLINK("https://ictv.global/ictv/proposals/2019.012D.zip","2019.012D.zip")</f>
        <v>2019.012D.zip</v>
      </c>
      <c r="U5258" s="43" t="str">
        <f>HYPERLINK("https://ictv.global/taxonomy/taxondetails?taxnode_id=202206706","ictv.global=202206706")</f>
        <v>ictv.global=202206706</v>
      </c>
    </row>
    <row r="5259" spans="1:21">
      <c r="A5259">
        <v>5258</v>
      </c>
      <c r="B5259" s="29" t="s">
        <v>4053</v>
      </c>
      <c r="C5259" s="29"/>
      <c r="D5259" s="29" t="s">
        <v>4082</v>
      </c>
      <c r="E5259" s="29"/>
      <c r="F5259" s="29" t="s">
        <v>4106</v>
      </c>
      <c r="G5259" s="29"/>
      <c r="H5259" s="29" t="s">
        <v>4117</v>
      </c>
      <c r="I5259" s="29"/>
      <c r="J5259" s="29" t="s">
        <v>4118</v>
      </c>
      <c r="K5259" s="29"/>
      <c r="L5259" s="29" t="s">
        <v>1546</v>
      </c>
      <c r="M5259" s="29"/>
      <c r="N5259" s="29" t="s">
        <v>1547</v>
      </c>
      <c r="O5259" s="29"/>
      <c r="P5259" s="29" t="s">
        <v>2877</v>
      </c>
      <c r="Q5259" t="s">
        <v>2041</v>
      </c>
      <c r="R5259" t="s">
        <v>2634</v>
      </c>
      <c r="S5259">
        <v>35</v>
      </c>
      <c r="T5259" s="43" t="str">
        <f>HYPERLINK("https://ictv.global/ictv/proposals/2019.012D.zip","2019.012D.zip")</f>
        <v>2019.012D.zip</v>
      </c>
      <c r="U5259" s="43" t="str">
        <f>HYPERLINK("https://ictv.global/taxonomy/taxondetails?taxnode_id=202205821","ictv.global=202205821")</f>
        <v>ictv.global=202205821</v>
      </c>
    </row>
    <row r="5260" spans="1:21">
      <c r="A5260">
        <v>5259</v>
      </c>
      <c r="B5260" s="29" t="s">
        <v>4053</v>
      </c>
      <c r="C5260" s="29"/>
      <c r="D5260" s="29" t="s">
        <v>4082</v>
      </c>
      <c r="E5260" s="29"/>
      <c r="F5260" s="29" t="s">
        <v>4106</v>
      </c>
      <c r="G5260" s="29"/>
      <c r="H5260" s="29" t="s">
        <v>4117</v>
      </c>
      <c r="I5260" s="29"/>
      <c r="J5260" s="29" t="s">
        <v>4118</v>
      </c>
      <c r="K5260" s="29"/>
      <c r="L5260" s="29" t="s">
        <v>1546</v>
      </c>
      <c r="M5260" s="29"/>
      <c r="N5260" s="29" t="s">
        <v>1547</v>
      </c>
      <c r="O5260" s="29"/>
      <c r="P5260" s="29" t="s">
        <v>2225</v>
      </c>
      <c r="Q5260" t="s">
        <v>2041</v>
      </c>
      <c r="R5260" t="s">
        <v>2634</v>
      </c>
      <c r="S5260">
        <v>35</v>
      </c>
      <c r="T5260" s="43" t="str">
        <f>HYPERLINK("https://ictv.global/ictv/proposals/2019.012D.zip","2019.012D.zip")</f>
        <v>2019.012D.zip</v>
      </c>
      <c r="U5260" s="43" t="str">
        <f>HYPERLINK("https://ictv.global/taxonomy/taxondetails?taxnode_id=202203313","ictv.global=202203313")</f>
        <v>ictv.global=202203313</v>
      </c>
    </row>
    <row r="5261" spans="1:21">
      <c r="A5261">
        <v>5260</v>
      </c>
      <c r="B5261" s="29" t="s">
        <v>4053</v>
      </c>
      <c r="C5261" s="29"/>
      <c r="D5261" s="29" t="s">
        <v>4082</v>
      </c>
      <c r="E5261" s="29"/>
      <c r="F5261" s="29" t="s">
        <v>4106</v>
      </c>
      <c r="G5261" s="29"/>
      <c r="H5261" s="29" t="s">
        <v>4117</v>
      </c>
      <c r="I5261" s="29"/>
      <c r="J5261" s="29" t="s">
        <v>4118</v>
      </c>
      <c r="K5261" s="29"/>
      <c r="L5261" s="29" t="s">
        <v>1546</v>
      </c>
      <c r="M5261" s="29"/>
      <c r="N5261" s="29" t="s">
        <v>1547</v>
      </c>
      <c r="O5261" s="29"/>
      <c r="P5261" s="29" t="s">
        <v>1093</v>
      </c>
      <c r="Q5261" t="s">
        <v>2041</v>
      </c>
      <c r="R5261" t="s">
        <v>2634</v>
      </c>
      <c r="S5261">
        <v>35</v>
      </c>
      <c r="T5261" s="43" t="str">
        <f>HYPERLINK("https://ictv.global/ictv/proposals/2019.012D.zip","2019.012D.zip")</f>
        <v>2019.012D.zip</v>
      </c>
      <c r="U5261" s="43" t="str">
        <f>HYPERLINK("https://ictv.global/taxonomy/taxondetails?taxnode_id=202203314","ictv.global=202203314")</f>
        <v>ictv.global=202203314</v>
      </c>
    </row>
    <row r="5262" spans="1:21">
      <c r="A5262">
        <v>5261</v>
      </c>
      <c r="B5262" s="29" t="s">
        <v>4053</v>
      </c>
      <c r="C5262" s="29"/>
      <c r="D5262" s="29" t="s">
        <v>4082</v>
      </c>
      <c r="E5262" s="29"/>
      <c r="F5262" s="29" t="s">
        <v>4106</v>
      </c>
      <c r="G5262" s="29"/>
      <c r="H5262" s="29" t="s">
        <v>4117</v>
      </c>
      <c r="I5262" s="29"/>
      <c r="J5262" s="29" t="s">
        <v>4118</v>
      </c>
      <c r="K5262" s="29"/>
      <c r="L5262" s="29" t="s">
        <v>1546</v>
      </c>
      <c r="M5262" s="29"/>
      <c r="N5262" s="29" t="s">
        <v>1547</v>
      </c>
      <c r="O5262" s="29"/>
      <c r="P5262" s="29" t="s">
        <v>4920</v>
      </c>
      <c r="Q5262" t="s">
        <v>2265</v>
      </c>
      <c r="R5262" t="s">
        <v>2632</v>
      </c>
      <c r="S5262">
        <v>36</v>
      </c>
      <c r="T5262" s="43" t="str">
        <f>HYPERLINK("https://ictv.global/ictv/proposals/2020.006P.R.Begomovirus_22nsp.zip","2020.006P.R.Begomovirus_22nsp.zip")</f>
        <v>2020.006P.R.Begomovirus_22nsp.zip</v>
      </c>
      <c r="U5262" s="43" t="str">
        <f>HYPERLINK("https://ictv.global/taxonomy/taxondetails?taxnode_id=202209130","ictv.global=202209130")</f>
        <v>ictv.global=202209130</v>
      </c>
    </row>
    <row r="5263" spans="1:21">
      <c r="A5263">
        <v>5262</v>
      </c>
      <c r="B5263" s="29" t="s">
        <v>4053</v>
      </c>
      <c r="C5263" s="29"/>
      <c r="D5263" s="29" t="s">
        <v>4082</v>
      </c>
      <c r="E5263" s="29"/>
      <c r="F5263" s="29" t="s">
        <v>4106</v>
      </c>
      <c r="G5263" s="29"/>
      <c r="H5263" s="29" t="s">
        <v>4117</v>
      </c>
      <c r="I5263" s="29"/>
      <c r="J5263" s="29" t="s">
        <v>4118</v>
      </c>
      <c r="K5263" s="29"/>
      <c r="L5263" s="29" t="s">
        <v>1546</v>
      </c>
      <c r="M5263" s="29"/>
      <c r="N5263" s="29" t="s">
        <v>1547</v>
      </c>
      <c r="O5263" s="29"/>
      <c r="P5263" s="29" t="s">
        <v>1094</v>
      </c>
      <c r="Q5263" t="s">
        <v>2041</v>
      </c>
      <c r="R5263" t="s">
        <v>2634</v>
      </c>
      <c r="S5263">
        <v>35</v>
      </c>
      <c r="T5263" s="43" t="str">
        <f t="shared" ref="T5263:T5283" si="245">HYPERLINK("https://ictv.global/ictv/proposals/2019.012D.zip","2019.012D.zip")</f>
        <v>2019.012D.zip</v>
      </c>
      <c r="U5263" s="43" t="str">
        <f>HYPERLINK("https://ictv.global/taxonomy/taxondetails?taxnode_id=202203315","ictv.global=202203315")</f>
        <v>ictv.global=202203315</v>
      </c>
    </row>
    <row r="5264" spans="1:21">
      <c r="A5264">
        <v>5263</v>
      </c>
      <c r="B5264" s="29" t="s">
        <v>4053</v>
      </c>
      <c r="C5264" s="29"/>
      <c r="D5264" s="29" t="s">
        <v>4082</v>
      </c>
      <c r="E5264" s="29"/>
      <c r="F5264" s="29" t="s">
        <v>4106</v>
      </c>
      <c r="G5264" s="29"/>
      <c r="H5264" s="29" t="s">
        <v>4117</v>
      </c>
      <c r="I5264" s="29"/>
      <c r="J5264" s="29" t="s">
        <v>4118</v>
      </c>
      <c r="K5264" s="29"/>
      <c r="L5264" s="29" t="s">
        <v>1546</v>
      </c>
      <c r="M5264" s="29"/>
      <c r="N5264" s="29" t="s">
        <v>1547</v>
      </c>
      <c r="O5264" s="29"/>
      <c r="P5264" s="29" t="s">
        <v>1095</v>
      </c>
      <c r="Q5264" t="s">
        <v>2041</v>
      </c>
      <c r="R5264" t="s">
        <v>2634</v>
      </c>
      <c r="S5264">
        <v>35</v>
      </c>
      <c r="T5264" s="43" t="str">
        <f t="shared" si="245"/>
        <v>2019.012D.zip</v>
      </c>
      <c r="U5264" s="43" t="str">
        <f>HYPERLINK("https://ictv.global/taxonomy/taxondetails?taxnode_id=202203316","ictv.global=202203316")</f>
        <v>ictv.global=202203316</v>
      </c>
    </row>
    <row r="5265" spans="1:21">
      <c r="A5265">
        <v>5264</v>
      </c>
      <c r="B5265" s="29" t="s">
        <v>4053</v>
      </c>
      <c r="C5265" s="29"/>
      <c r="D5265" s="29" t="s">
        <v>4082</v>
      </c>
      <c r="E5265" s="29"/>
      <c r="F5265" s="29" t="s">
        <v>4106</v>
      </c>
      <c r="G5265" s="29"/>
      <c r="H5265" s="29" t="s">
        <v>4117</v>
      </c>
      <c r="I5265" s="29"/>
      <c r="J5265" s="29" t="s">
        <v>4118</v>
      </c>
      <c r="K5265" s="29"/>
      <c r="L5265" s="29" t="s">
        <v>1546</v>
      </c>
      <c r="M5265" s="29"/>
      <c r="N5265" s="29" t="s">
        <v>1547</v>
      </c>
      <c r="O5265" s="29"/>
      <c r="P5265" s="29" t="s">
        <v>2226</v>
      </c>
      <c r="Q5265" t="s">
        <v>2041</v>
      </c>
      <c r="R5265" t="s">
        <v>2634</v>
      </c>
      <c r="S5265">
        <v>35</v>
      </c>
      <c r="T5265" s="43" t="str">
        <f t="shared" si="245"/>
        <v>2019.012D.zip</v>
      </c>
      <c r="U5265" s="43" t="str">
        <f>HYPERLINK("https://ictv.global/taxonomy/taxondetails?taxnode_id=202203317","ictv.global=202203317")</f>
        <v>ictv.global=202203317</v>
      </c>
    </row>
    <row r="5266" spans="1:21">
      <c r="A5266">
        <v>5265</v>
      </c>
      <c r="B5266" s="29" t="s">
        <v>4053</v>
      </c>
      <c r="C5266" s="29"/>
      <c r="D5266" s="29" t="s">
        <v>4082</v>
      </c>
      <c r="E5266" s="29"/>
      <c r="F5266" s="29" t="s">
        <v>4106</v>
      </c>
      <c r="G5266" s="29"/>
      <c r="H5266" s="29" t="s">
        <v>4117</v>
      </c>
      <c r="I5266" s="29"/>
      <c r="J5266" s="29" t="s">
        <v>4118</v>
      </c>
      <c r="K5266" s="29"/>
      <c r="L5266" s="29" t="s">
        <v>1546</v>
      </c>
      <c r="M5266" s="29"/>
      <c r="N5266" s="29" t="s">
        <v>1547</v>
      </c>
      <c r="O5266" s="29"/>
      <c r="P5266" s="29" t="s">
        <v>2227</v>
      </c>
      <c r="Q5266" t="s">
        <v>2041</v>
      </c>
      <c r="R5266" t="s">
        <v>2634</v>
      </c>
      <c r="S5266">
        <v>35</v>
      </c>
      <c r="T5266" s="43" t="str">
        <f t="shared" si="245"/>
        <v>2019.012D.zip</v>
      </c>
      <c r="U5266" s="43" t="str">
        <f>HYPERLINK("https://ictv.global/taxonomy/taxondetails?taxnode_id=202203318","ictv.global=202203318")</f>
        <v>ictv.global=202203318</v>
      </c>
    </row>
    <row r="5267" spans="1:21">
      <c r="A5267">
        <v>5266</v>
      </c>
      <c r="B5267" s="29" t="s">
        <v>4053</v>
      </c>
      <c r="C5267" s="29"/>
      <c r="D5267" s="29" t="s">
        <v>4082</v>
      </c>
      <c r="E5267" s="29"/>
      <c r="F5267" s="29" t="s">
        <v>4106</v>
      </c>
      <c r="G5267" s="29"/>
      <c r="H5267" s="29" t="s">
        <v>4117</v>
      </c>
      <c r="I5267" s="29"/>
      <c r="J5267" s="29" t="s">
        <v>4118</v>
      </c>
      <c r="K5267" s="29"/>
      <c r="L5267" s="29" t="s">
        <v>1546</v>
      </c>
      <c r="M5267" s="29"/>
      <c r="N5267" s="29" t="s">
        <v>1547</v>
      </c>
      <c r="O5267" s="29"/>
      <c r="P5267" s="29" t="s">
        <v>3646</v>
      </c>
      <c r="Q5267" t="s">
        <v>2041</v>
      </c>
      <c r="R5267" t="s">
        <v>2634</v>
      </c>
      <c r="S5267">
        <v>35</v>
      </c>
      <c r="T5267" s="43" t="str">
        <f t="shared" si="245"/>
        <v>2019.012D.zip</v>
      </c>
      <c r="U5267" s="43" t="str">
        <f>HYPERLINK("https://ictv.global/taxonomy/taxondetails?taxnode_id=202206707","ictv.global=202206707")</f>
        <v>ictv.global=202206707</v>
      </c>
    </row>
    <row r="5268" spans="1:21">
      <c r="A5268">
        <v>5267</v>
      </c>
      <c r="B5268" s="29" t="s">
        <v>4053</v>
      </c>
      <c r="C5268" s="29"/>
      <c r="D5268" s="29" t="s">
        <v>4082</v>
      </c>
      <c r="E5268" s="29"/>
      <c r="F5268" s="29" t="s">
        <v>4106</v>
      </c>
      <c r="G5268" s="29"/>
      <c r="H5268" s="29" t="s">
        <v>4117</v>
      </c>
      <c r="I5268" s="29"/>
      <c r="J5268" s="29" t="s">
        <v>4118</v>
      </c>
      <c r="K5268" s="29"/>
      <c r="L5268" s="29" t="s">
        <v>1546</v>
      </c>
      <c r="M5268" s="29"/>
      <c r="N5268" s="29" t="s">
        <v>1547</v>
      </c>
      <c r="O5268" s="29"/>
      <c r="P5268" s="29" t="s">
        <v>2228</v>
      </c>
      <c r="Q5268" t="s">
        <v>2041</v>
      </c>
      <c r="R5268" t="s">
        <v>2634</v>
      </c>
      <c r="S5268">
        <v>35</v>
      </c>
      <c r="T5268" s="43" t="str">
        <f t="shared" si="245"/>
        <v>2019.012D.zip</v>
      </c>
      <c r="U5268" s="43" t="str">
        <f>HYPERLINK("https://ictv.global/taxonomy/taxondetails?taxnode_id=202203319","ictv.global=202203319")</f>
        <v>ictv.global=202203319</v>
      </c>
    </row>
    <row r="5269" spans="1:21">
      <c r="A5269">
        <v>5268</v>
      </c>
      <c r="B5269" s="29" t="s">
        <v>4053</v>
      </c>
      <c r="C5269" s="29"/>
      <c r="D5269" s="29" t="s">
        <v>4082</v>
      </c>
      <c r="E5269" s="29"/>
      <c r="F5269" s="29" t="s">
        <v>4106</v>
      </c>
      <c r="G5269" s="29"/>
      <c r="H5269" s="29" t="s">
        <v>4117</v>
      </c>
      <c r="I5269" s="29"/>
      <c r="J5269" s="29" t="s">
        <v>4118</v>
      </c>
      <c r="K5269" s="29"/>
      <c r="L5269" s="29" t="s">
        <v>1546</v>
      </c>
      <c r="M5269" s="29"/>
      <c r="N5269" s="29" t="s">
        <v>1547</v>
      </c>
      <c r="O5269" s="29"/>
      <c r="P5269" s="29" t="s">
        <v>1096</v>
      </c>
      <c r="Q5269" t="s">
        <v>2041</v>
      </c>
      <c r="R5269" t="s">
        <v>2634</v>
      </c>
      <c r="S5269">
        <v>35</v>
      </c>
      <c r="T5269" s="43" t="str">
        <f t="shared" si="245"/>
        <v>2019.012D.zip</v>
      </c>
      <c r="U5269" s="43" t="str">
        <f>HYPERLINK("https://ictv.global/taxonomy/taxondetails?taxnode_id=202203320","ictv.global=202203320")</f>
        <v>ictv.global=202203320</v>
      </c>
    </row>
    <row r="5270" spans="1:21">
      <c r="A5270">
        <v>5269</v>
      </c>
      <c r="B5270" s="29" t="s">
        <v>4053</v>
      </c>
      <c r="C5270" s="29"/>
      <c r="D5270" s="29" t="s">
        <v>4082</v>
      </c>
      <c r="E5270" s="29"/>
      <c r="F5270" s="29" t="s">
        <v>4106</v>
      </c>
      <c r="G5270" s="29"/>
      <c r="H5270" s="29" t="s">
        <v>4117</v>
      </c>
      <c r="I5270" s="29"/>
      <c r="J5270" s="29" t="s">
        <v>4118</v>
      </c>
      <c r="K5270" s="29"/>
      <c r="L5270" s="29" t="s">
        <v>1546</v>
      </c>
      <c r="M5270" s="29"/>
      <c r="N5270" s="29" t="s">
        <v>1547</v>
      </c>
      <c r="O5270" s="29"/>
      <c r="P5270" s="29" t="s">
        <v>2878</v>
      </c>
      <c r="Q5270" t="s">
        <v>2041</v>
      </c>
      <c r="R5270" t="s">
        <v>2634</v>
      </c>
      <c r="S5270">
        <v>35</v>
      </c>
      <c r="T5270" s="43" t="str">
        <f t="shared" si="245"/>
        <v>2019.012D.zip</v>
      </c>
      <c r="U5270" s="43" t="str">
        <f>HYPERLINK("https://ictv.global/taxonomy/taxondetails?taxnode_id=202205822","ictv.global=202205822")</f>
        <v>ictv.global=202205822</v>
      </c>
    </row>
    <row r="5271" spans="1:21">
      <c r="A5271">
        <v>5270</v>
      </c>
      <c r="B5271" s="29" t="s">
        <v>4053</v>
      </c>
      <c r="C5271" s="29"/>
      <c r="D5271" s="29" t="s">
        <v>4082</v>
      </c>
      <c r="E5271" s="29"/>
      <c r="F5271" s="29" t="s">
        <v>4106</v>
      </c>
      <c r="G5271" s="29"/>
      <c r="H5271" s="29" t="s">
        <v>4117</v>
      </c>
      <c r="I5271" s="29"/>
      <c r="J5271" s="29" t="s">
        <v>4118</v>
      </c>
      <c r="K5271" s="29"/>
      <c r="L5271" s="29" t="s">
        <v>1546</v>
      </c>
      <c r="M5271" s="29"/>
      <c r="N5271" s="29" t="s">
        <v>1547</v>
      </c>
      <c r="O5271" s="29"/>
      <c r="P5271" s="29" t="s">
        <v>1822</v>
      </c>
      <c r="Q5271" t="s">
        <v>2041</v>
      </c>
      <c r="R5271" t="s">
        <v>2634</v>
      </c>
      <c r="S5271">
        <v>35</v>
      </c>
      <c r="T5271" s="43" t="str">
        <f t="shared" si="245"/>
        <v>2019.012D.zip</v>
      </c>
      <c r="U5271" s="43" t="str">
        <f>HYPERLINK("https://ictv.global/taxonomy/taxondetails?taxnode_id=202203322","ictv.global=202203322")</f>
        <v>ictv.global=202203322</v>
      </c>
    </row>
    <row r="5272" spans="1:21">
      <c r="A5272">
        <v>5271</v>
      </c>
      <c r="B5272" s="29" t="s">
        <v>4053</v>
      </c>
      <c r="C5272" s="29"/>
      <c r="D5272" s="29" t="s">
        <v>4082</v>
      </c>
      <c r="E5272" s="29"/>
      <c r="F5272" s="29" t="s">
        <v>4106</v>
      </c>
      <c r="G5272" s="29"/>
      <c r="H5272" s="29" t="s">
        <v>4117</v>
      </c>
      <c r="I5272" s="29"/>
      <c r="J5272" s="29" t="s">
        <v>4118</v>
      </c>
      <c r="K5272" s="29"/>
      <c r="L5272" s="29" t="s">
        <v>1546</v>
      </c>
      <c r="M5272" s="29"/>
      <c r="N5272" s="29" t="s">
        <v>1547</v>
      </c>
      <c r="O5272" s="29"/>
      <c r="P5272" s="29" t="s">
        <v>1349</v>
      </c>
      <c r="Q5272" t="s">
        <v>2041</v>
      </c>
      <c r="R5272" t="s">
        <v>2634</v>
      </c>
      <c r="S5272">
        <v>35</v>
      </c>
      <c r="T5272" s="43" t="str">
        <f t="shared" si="245"/>
        <v>2019.012D.zip</v>
      </c>
      <c r="U5272" s="43" t="str">
        <f>HYPERLINK("https://ictv.global/taxonomy/taxondetails?taxnode_id=202203323","ictv.global=202203323")</f>
        <v>ictv.global=202203323</v>
      </c>
    </row>
    <row r="5273" spans="1:21">
      <c r="A5273">
        <v>5272</v>
      </c>
      <c r="B5273" s="29" t="s">
        <v>4053</v>
      </c>
      <c r="C5273" s="29"/>
      <c r="D5273" s="29" t="s">
        <v>4082</v>
      </c>
      <c r="E5273" s="29"/>
      <c r="F5273" s="29" t="s">
        <v>4106</v>
      </c>
      <c r="G5273" s="29"/>
      <c r="H5273" s="29" t="s">
        <v>4117</v>
      </c>
      <c r="I5273" s="29"/>
      <c r="J5273" s="29" t="s">
        <v>4118</v>
      </c>
      <c r="K5273" s="29"/>
      <c r="L5273" s="29" t="s">
        <v>1546</v>
      </c>
      <c r="M5273" s="29"/>
      <c r="N5273" s="29" t="s">
        <v>1547</v>
      </c>
      <c r="O5273" s="29"/>
      <c r="P5273" s="29" t="s">
        <v>1350</v>
      </c>
      <c r="Q5273" t="s">
        <v>2041</v>
      </c>
      <c r="R5273" t="s">
        <v>2634</v>
      </c>
      <c r="S5273">
        <v>35</v>
      </c>
      <c r="T5273" s="43" t="str">
        <f t="shared" si="245"/>
        <v>2019.012D.zip</v>
      </c>
      <c r="U5273" s="43" t="str">
        <f>HYPERLINK("https://ictv.global/taxonomy/taxondetails?taxnode_id=202203324","ictv.global=202203324")</f>
        <v>ictv.global=202203324</v>
      </c>
    </row>
    <row r="5274" spans="1:21">
      <c r="A5274">
        <v>5273</v>
      </c>
      <c r="B5274" s="29" t="s">
        <v>4053</v>
      </c>
      <c r="C5274" s="29"/>
      <c r="D5274" s="29" t="s">
        <v>4082</v>
      </c>
      <c r="E5274" s="29"/>
      <c r="F5274" s="29" t="s">
        <v>4106</v>
      </c>
      <c r="G5274" s="29"/>
      <c r="H5274" s="29" t="s">
        <v>4117</v>
      </c>
      <c r="I5274" s="29"/>
      <c r="J5274" s="29" t="s">
        <v>4118</v>
      </c>
      <c r="K5274" s="29"/>
      <c r="L5274" s="29" t="s">
        <v>1546</v>
      </c>
      <c r="M5274" s="29"/>
      <c r="N5274" s="29" t="s">
        <v>1547</v>
      </c>
      <c r="O5274" s="29"/>
      <c r="P5274" s="29" t="s">
        <v>1823</v>
      </c>
      <c r="Q5274" t="s">
        <v>2041</v>
      </c>
      <c r="R5274" t="s">
        <v>2634</v>
      </c>
      <c r="S5274">
        <v>35</v>
      </c>
      <c r="T5274" s="43" t="str">
        <f t="shared" si="245"/>
        <v>2019.012D.zip</v>
      </c>
      <c r="U5274" s="43" t="str">
        <f>HYPERLINK("https://ictv.global/taxonomy/taxondetails?taxnode_id=202203326","ictv.global=202203326")</f>
        <v>ictv.global=202203326</v>
      </c>
    </row>
    <row r="5275" spans="1:21">
      <c r="A5275">
        <v>5274</v>
      </c>
      <c r="B5275" s="29" t="s">
        <v>4053</v>
      </c>
      <c r="C5275" s="29"/>
      <c r="D5275" s="29" t="s">
        <v>4082</v>
      </c>
      <c r="E5275" s="29"/>
      <c r="F5275" s="29" t="s">
        <v>4106</v>
      </c>
      <c r="G5275" s="29"/>
      <c r="H5275" s="29" t="s">
        <v>4117</v>
      </c>
      <c r="I5275" s="29"/>
      <c r="J5275" s="29" t="s">
        <v>4118</v>
      </c>
      <c r="K5275" s="29"/>
      <c r="L5275" s="29" t="s">
        <v>1546</v>
      </c>
      <c r="M5275" s="29"/>
      <c r="N5275" s="29" t="s">
        <v>1547</v>
      </c>
      <c r="O5275" s="29"/>
      <c r="P5275" s="29" t="s">
        <v>1824</v>
      </c>
      <c r="Q5275" t="s">
        <v>2041</v>
      </c>
      <c r="R5275" t="s">
        <v>2634</v>
      </c>
      <c r="S5275">
        <v>35</v>
      </c>
      <c r="T5275" s="43" t="str">
        <f t="shared" si="245"/>
        <v>2019.012D.zip</v>
      </c>
      <c r="U5275" s="43" t="str">
        <f>HYPERLINK("https://ictv.global/taxonomy/taxondetails?taxnode_id=202203327","ictv.global=202203327")</f>
        <v>ictv.global=202203327</v>
      </c>
    </row>
    <row r="5276" spans="1:21">
      <c r="A5276">
        <v>5275</v>
      </c>
      <c r="B5276" s="29" t="s">
        <v>4053</v>
      </c>
      <c r="C5276" s="29"/>
      <c r="D5276" s="29" t="s">
        <v>4082</v>
      </c>
      <c r="E5276" s="29"/>
      <c r="F5276" s="29" t="s">
        <v>4106</v>
      </c>
      <c r="G5276" s="29"/>
      <c r="H5276" s="29" t="s">
        <v>4117</v>
      </c>
      <c r="I5276" s="29"/>
      <c r="J5276" s="29" t="s">
        <v>4118</v>
      </c>
      <c r="K5276" s="29"/>
      <c r="L5276" s="29" t="s">
        <v>1546</v>
      </c>
      <c r="M5276" s="29"/>
      <c r="N5276" s="29" t="s">
        <v>1547</v>
      </c>
      <c r="O5276" s="29"/>
      <c r="P5276" s="29" t="s">
        <v>2229</v>
      </c>
      <c r="Q5276" t="s">
        <v>2041</v>
      </c>
      <c r="R5276" t="s">
        <v>2634</v>
      </c>
      <c r="S5276">
        <v>35</v>
      </c>
      <c r="T5276" s="43" t="str">
        <f t="shared" si="245"/>
        <v>2019.012D.zip</v>
      </c>
      <c r="U5276" s="43" t="str">
        <f>HYPERLINK("https://ictv.global/taxonomy/taxondetails?taxnode_id=202203328","ictv.global=202203328")</f>
        <v>ictv.global=202203328</v>
      </c>
    </row>
    <row r="5277" spans="1:21">
      <c r="A5277">
        <v>5276</v>
      </c>
      <c r="B5277" s="29" t="s">
        <v>4053</v>
      </c>
      <c r="C5277" s="29"/>
      <c r="D5277" s="29" t="s">
        <v>4082</v>
      </c>
      <c r="E5277" s="29"/>
      <c r="F5277" s="29" t="s">
        <v>4106</v>
      </c>
      <c r="G5277" s="29"/>
      <c r="H5277" s="29" t="s">
        <v>4117</v>
      </c>
      <c r="I5277" s="29"/>
      <c r="J5277" s="29" t="s">
        <v>4118</v>
      </c>
      <c r="K5277" s="29"/>
      <c r="L5277" s="29" t="s">
        <v>1546</v>
      </c>
      <c r="M5277" s="29"/>
      <c r="N5277" s="29" t="s">
        <v>1547</v>
      </c>
      <c r="O5277" s="29"/>
      <c r="P5277" s="29" t="s">
        <v>1825</v>
      </c>
      <c r="Q5277" t="s">
        <v>2041</v>
      </c>
      <c r="R5277" t="s">
        <v>2634</v>
      </c>
      <c r="S5277">
        <v>35</v>
      </c>
      <c r="T5277" s="43" t="str">
        <f t="shared" si="245"/>
        <v>2019.012D.zip</v>
      </c>
      <c r="U5277" s="43" t="str">
        <f>HYPERLINK("https://ictv.global/taxonomy/taxondetails?taxnode_id=202203329","ictv.global=202203329")</f>
        <v>ictv.global=202203329</v>
      </c>
    </row>
    <row r="5278" spans="1:21">
      <c r="A5278">
        <v>5277</v>
      </c>
      <c r="B5278" s="29" t="s">
        <v>4053</v>
      </c>
      <c r="C5278" s="29"/>
      <c r="D5278" s="29" t="s">
        <v>4082</v>
      </c>
      <c r="E5278" s="29"/>
      <c r="F5278" s="29" t="s">
        <v>4106</v>
      </c>
      <c r="G5278" s="29"/>
      <c r="H5278" s="29" t="s">
        <v>4117</v>
      </c>
      <c r="I5278" s="29"/>
      <c r="J5278" s="29" t="s">
        <v>4118</v>
      </c>
      <c r="K5278" s="29"/>
      <c r="L5278" s="29" t="s">
        <v>1546</v>
      </c>
      <c r="M5278" s="29"/>
      <c r="N5278" s="29" t="s">
        <v>1547</v>
      </c>
      <c r="O5278" s="29"/>
      <c r="P5278" s="29" t="s">
        <v>1826</v>
      </c>
      <c r="Q5278" t="s">
        <v>2041</v>
      </c>
      <c r="R5278" t="s">
        <v>2634</v>
      </c>
      <c r="S5278">
        <v>35</v>
      </c>
      <c r="T5278" s="43" t="str">
        <f t="shared" si="245"/>
        <v>2019.012D.zip</v>
      </c>
      <c r="U5278" s="43" t="str">
        <f>HYPERLINK("https://ictv.global/taxonomy/taxondetails?taxnode_id=202203330","ictv.global=202203330")</f>
        <v>ictv.global=202203330</v>
      </c>
    </row>
    <row r="5279" spans="1:21">
      <c r="A5279">
        <v>5278</v>
      </c>
      <c r="B5279" s="29" t="s">
        <v>4053</v>
      </c>
      <c r="C5279" s="29"/>
      <c r="D5279" s="29" t="s">
        <v>4082</v>
      </c>
      <c r="E5279" s="29"/>
      <c r="F5279" s="29" t="s">
        <v>4106</v>
      </c>
      <c r="G5279" s="29"/>
      <c r="H5279" s="29" t="s">
        <v>4117</v>
      </c>
      <c r="I5279" s="29"/>
      <c r="J5279" s="29" t="s">
        <v>4118</v>
      </c>
      <c r="K5279" s="29"/>
      <c r="L5279" s="29" t="s">
        <v>1546</v>
      </c>
      <c r="M5279" s="29"/>
      <c r="N5279" s="29" t="s">
        <v>1547</v>
      </c>
      <c r="O5279" s="29"/>
      <c r="P5279" s="29" t="s">
        <v>2230</v>
      </c>
      <c r="Q5279" t="s">
        <v>2041</v>
      </c>
      <c r="R5279" t="s">
        <v>2634</v>
      </c>
      <c r="S5279">
        <v>35</v>
      </c>
      <c r="T5279" s="43" t="str">
        <f t="shared" si="245"/>
        <v>2019.012D.zip</v>
      </c>
      <c r="U5279" s="43" t="str">
        <f>HYPERLINK("https://ictv.global/taxonomy/taxondetails?taxnode_id=202203331","ictv.global=202203331")</f>
        <v>ictv.global=202203331</v>
      </c>
    </row>
    <row r="5280" spans="1:21">
      <c r="A5280">
        <v>5279</v>
      </c>
      <c r="B5280" s="29" t="s">
        <v>4053</v>
      </c>
      <c r="C5280" s="29"/>
      <c r="D5280" s="29" t="s">
        <v>4082</v>
      </c>
      <c r="E5280" s="29"/>
      <c r="F5280" s="29" t="s">
        <v>4106</v>
      </c>
      <c r="G5280" s="29"/>
      <c r="H5280" s="29" t="s">
        <v>4117</v>
      </c>
      <c r="I5280" s="29"/>
      <c r="J5280" s="29" t="s">
        <v>4118</v>
      </c>
      <c r="K5280" s="29"/>
      <c r="L5280" s="29" t="s">
        <v>1546</v>
      </c>
      <c r="M5280" s="29"/>
      <c r="N5280" s="29" t="s">
        <v>1547</v>
      </c>
      <c r="O5280" s="29"/>
      <c r="P5280" s="29" t="s">
        <v>626</v>
      </c>
      <c r="Q5280" t="s">
        <v>2041</v>
      </c>
      <c r="R5280" t="s">
        <v>2634</v>
      </c>
      <c r="S5280">
        <v>35</v>
      </c>
      <c r="T5280" s="43" t="str">
        <f t="shared" si="245"/>
        <v>2019.012D.zip</v>
      </c>
      <c r="U5280" s="43" t="str">
        <f>HYPERLINK("https://ictv.global/taxonomy/taxondetails?taxnode_id=202203332","ictv.global=202203332")</f>
        <v>ictv.global=202203332</v>
      </c>
    </row>
    <row r="5281" spans="1:21">
      <c r="A5281">
        <v>5280</v>
      </c>
      <c r="B5281" s="29" t="s">
        <v>4053</v>
      </c>
      <c r="C5281" s="29"/>
      <c r="D5281" s="29" t="s">
        <v>4082</v>
      </c>
      <c r="E5281" s="29"/>
      <c r="F5281" s="29" t="s">
        <v>4106</v>
      </c>
      <c r="G5281" s="29"/>
      <c r="H5281" s="29" t="s">
        <v>4117</v>
      </c>
      <c r="I5281" s="29"/>
      <c r="J5281" s="29" t="s">
        <v>4118</v>
      </c>
      <c r="K5281" s="29"/>
      <c r="L5281" s="29" t="s">
        <v>1546</v>
      </c>
      <c r="M5281" s="29"/>
      <c r="N5281" s="29" t="s">
        <v>1547</v>
      </c>
      <c r="O5281" s="29"/>
      <c r="P5281" s="29" t="s">
        <v>2879</v>
      </c>
      <c r="Q5281" t="s">
        <v>2041</v>
      </c>
      <c r="R5281" t="s">
        <v>2634</v>
      </c>
      <c r="S5281">
        <v>35</v>
      </c>
      <c r="T5281" s="43" t="str">
        <f t="shared" si="245"/>
        <v>2019.012D.zip</v>
      </c>
      <c r="U5281" s="43" t="str">
        <f>HYPERLINK("https://ictv.global/taxonomy/taxondetails?taxnode_id=202205823","ictv.global=202205823")</f>
        <v>ictv.global=202205823</v>
      </c>
    </row>
    <row r="5282" spans="1:21">
      <c r="A5282">
        <v>5281</v>
      </c>
      <c r="B5282" s="29" t="s">
        <v>4053</v>
      </c>
      <c r="C5282" s="29"/>
      <c r="D5282" s="29" t="s">
        <v>4082</v>
      </c>
      <c r="E5282" s="29"/>
      <c r="F5282" s="29" t="s">
        <v>4106</v>
      </c>
      <c r="G5282" s="29"/>
      <c r="H5282" s="29" t="s">
        <v>4117</v>
      </c>
      <c r="I5282" s="29"/>
      <c r="J5282" s="29" t="s">
        <v>4118</v>
      </c>
      <c r="K5282" s="29"/>
      <c r="L5282" s="29" t="s">
        <v>1546</v>
      </c>
      <c r="M5282" s="29"/>
      <c r="N5282" s="29" t="s">
        <v>1547</v>
      </c>
      <c r="O5282" s="29"/>
      <c r="P5282" s="29" t="s">
        <v>2880</v>
      </c>
      <c r="Q5282" t="s">
        <v>2041</v>
      </c>
      <c r="R5282" t="s">
        <v>2634</v>
      </c>
      <c r="S5282">
        <v>35</v>
      </c>
      <c r="T5282" s="43" t="str">
        <f t="shared" si="245"/>
        <v>2019.012D.zip</v>
      </c>
      <c r="U5282" s="43" t="str">
        <f>HYPERLINK("https://ictv.global/taxonomy/taxondetails?taxnode_id=202205824","ictv.global=202205824")</f>
        <v>ictv.global=202205824</v>
      </c>
    </row>
    <row r="5283" spans="1:21">
      <c r="A5283">
        <v>5282</v>
      </c>
      <c r="B5283" s="29" t="s">
        <v>4053</v>
      </c>
      <c r="C5283" s="29"/>
      <c r="D5283" s="29" t="s">
        <v>4082</v>
      </c>
      <c r="E5283" s="29"/>
      <c r="F5283" s="29" t="s">
        <v>4106</v>
      </c>
      <c r="G5283" s="29"/>
      <c r="H5283" s="29" t="s">
        <v>4117</v>
      </c>
      <c r="I5283" s="29"/>
      <c r="J5283" s="29" t="s">
        <v>4118</v>
      </c>
      <c r="K5283" s="29"/>
      <c r="L5283" s="29" t="s">
        <v>1546</v>
      </c>
      <c r="M5283" s="29"/>
      <c r="N5283" s="29" t="s">
        <v>1547</v>
      </c>
      <c r="O5283" s="29"/>
      <c r="P5283" s="29" t="s">
        <v>2881</v>
      </c>
      <c r="Q5283" t="s">
        <v>2041</v>
      </c>
      <c r="R5283" t="s">
        <v>2634</v>
      </c>
      <c r="S5283">
        <v>35</v>
      </c>
      <c r="T5283" s="43" t="str">
        <f t="shared" si="245"/>
        <v>2019.012D.zip</v>
      </c>
      <c r="U5283" s="43" t="str">
        <f>HYPERLINK("https://ictv.global/taxonomy/taxondetails?taxnode_id=202205825","ictv.global=202205825")</f>
        <v>ictv.global=202205825</v>
      </c>
    </row>
    <row r="5284" spans="1:21">
      <c r="A5284">
        <v>5283</v>
      </c>
      <c r="B5284" s="29" t="s">
        <v>4053</v>
      </c>
      <c r="C5284" s="29"/>
      <c r="D5284" s="29" t="s">
        <v>4082</v>
      </c>
      <c r="E5284" s="29"/>
      <c r="F5284" s="29" t="s">
        <v>4106</v>
      </c>
      <c r="G5284" s="29"/>
      <c r="H5284" s="29" t="s">
        <v>4117</v>
      </c>
      <c r="I5284" s="29"/>
      <c r="J5284" s="29" t="s">
        <v>4118</v>
      </c>
      <c r="K5284" s="29"/>
      <c r="L5284" s="29" t="s">
        <v>1546</v>
      </c>
      <c r="M5284" s="29"/>
      <c r="N5284" s="29" t="s">
        <v>1547</v>
      </c>
      <c r="O5284" s="29"/>
      <c r="P5284" s="29" t="s">
        <v>4921</v>
      </c>
      <c r="Q5284" t="s">
        <v>2265</v>
      </c>
      <c r="R5284" t="s">
        <v>2632</v>
      </c>
      <c r="S5284">
        <v>36</v>
      </c>
      <c r="T5284" s="43" t="str">
        <f>HYPERLINK("https://ictv.global/ictv/proposals/2020.006P.R.Begomovirus_22nsp.zip","2020.006P.R.Begomovirus_22nsp.zip")</f>
        <v>2020.006P.R.Begomovirus_22nsp.zip</v>
      </c>
      <c r="U5284" s="43" t="str">
        <f>HYPERLINK("https://ictv.global/taxonomy/taxondetails?taxnode_id=202209131","ictv.global=202209131")</f>
        <v>ictv.global=202209131</v>
      </c>
    </row>
    <row r="5285" spans="1:21">
      <c r="A5285">
        <v>5284</v>
      </c>
      <c r="B5285" s="29" t="s">
        <v>4053</v>
      </c>
      <c r="C5285" s="29"/>
      <c r="D5285" s="29" t="s">
        <v>4082</v>
      </c>
      <c r="E5285" s="29"/>
      <c r="F5285" s="29" t="s">
        <v>4106</v>
      </c>
      <c r="G5285" s="29"/>
      <c r="H5285" s="29" t="s">
        <v>4117</v>
      </c>
      <c r="I5285" s="29"/>
      <c r="J5285" s="29" t="s">
        <v>4118</v>
      </c>
      <c r="K5285" s="29"/>
      <c r="L5285" s="29" t="s">
        <v>1546</v>
      </c>
      <c r="M5285" s="29"/>
      <c r="N5285" s="29" t="s">
        <v>1547</v>
      </c>
      <c r="O5285" s="29"/>
      <c r="P5285" s="29" t="s">
        <v>2882</v>
      </c>
      <c r="Q5285" t="s">
        <v>2041</v>
      </c>
      <c r="R5285" t="s">
        <v>2634</v>
      </c>
      <c r="S5285">
        <v>35</v>
      </c>
      <c r="T5285" s="43" t="str">
        <f t="shared" ref="T5285:T5298" si="246">HYPERLINK("https://ictv.global/ictv/proposals/2019.012D.zip","2019.012D.zip")</f>
        <v>2019.012D.zip</v>
      </c>
      <c r="U5285" s="43" t="str">
        <f>HYPERLINK("https://ictv.global/taxonomy/taxondetails?taxnode_id=202205826","ictv.global=202205826")</f>
        <v>ictv.global=202205826</v>
      </c>
    </row>
    <row r="5286" spans="1:21">
      <c r="A5286">
        <v>5285</v>
      </c>
      <c r="B5286" s="29" t="s">
        <v>4053</v>
      </c>
      <c r="C5286" s="29"/>
      <c r="D5286" s="29" t="s">
        <v>4082</v>
      </c>
      <c r="E5286" s="29"/>
      <c r="F5286" s="29" t="s">
        <v>4106</v>
      </c>
      <c r="G5286" s="29"/>
      <c r="H5286" s="29" t="s">
        <v>4117</v>
      </c>
      <c r="I5286" s="29"/>
      <c r="J5286" s="29" t="s">
        <v>4118</v>
      </c>
      <c r="K5286" s="29"/>
      <c r="L5286" s="29" t="s">
        <v>1546</v>
      </c>
      <c r="M5286" s="29"/>
      <c r="N5286" s="29" t="s">
        <v>1547</v>
      </c>
      <c r="O5286" s="29"/>
      <c r="P5286" s="29" t="s">
        <v>2883</v>
      </c>
      <c r="Q5286" t="s">
        <v>2041</v>
      </c>
      <c r="R5286" t="s">
        <v>2634</v>
      </c>
      <c r="S5286">
        <v>35</v>
      </c>
      <c r="T5286" s="43" t="str">
        <f t="shared" si="246"/>
        <v>2019.012D.zip</v>
      </c>
      <c r="U5286" s="43" t="str">
        <f>HYPERLINK("https://ictv.global/taxonomy/taxondetails?taxnode_id=202205827","ictv.global=202205827")</f>
        <v>ictv.global=202205827</v>
      </c>
    </row>
    <row r="5287" spans="1:21">
      <c r="A5287">
        <v>5286</v>
      </c>
      <c r="B5287" s="29" t="s">
        <v>4053</v>
      </c>
      <c r="C5287" s="29"/>
      <c r="D5287" s="29" t="s">
        <v>4082</v>
      </c>
      <c r="E5287" s="29"/>
      <c r="F5287" s="29" t="s">
        <v>4106</v>
      </c>
      <c r="G5287" s="29"/>
      <c r="H5287" s="29" t="s">
        <v>4117</v>
      </c>
      <c r="I5287" s="29"/>
      <c r="J5287" s="29" t="s">
        <v>4118</v>
      </c>
      <c r="K5287" s="29"/>
      <c r="L5287" s="29" t="s">
        <v>1546</v>
      </c>
      <c r="M5287" s="29"/>
      <c r="N5287" s="29" t="s">
        <v>1547</v>
      </c>
      <c r="O5287" s="29"/>
      <c r="P5287" s="29" t="s">
        <v>2231</v>
      </c>
      <c r="Q5287" t="s">
        <v>2041</v>
      </c>
      <c r="R5287" t="s">
        <v>2634</v>
      </c>
      <c r="S5287">
        <v>35</v>
      </c>
      <c r="T5287" s="43" t="str">
        <f t="shared" si="246"/>
        <v>2019.012D.zip</v>
      </c>
      <c r="U5287" s="43" t="str">
        <f>HYPERLINK("https://ictv.global/taxonomy/taxondetails?taxnode_id=202203333","ictv.global=202203333")</f>
        <v>ictv.global=202203333</v>
      </c>
    </row>
    <row r="5288" spans="1:21">
      <c r="A5288">
        <v>5287</v>
      </c>
      <c r="B5288" s="29" t="s">
        <v>4053</v>
      </c>
      <c r="C5288" s="29"/>
      <c r="D5288" s="29" t="s">
        <v>4082</v>
      </c>
      <c r="E5288" s="29"/>
      <c r="F5288" s="29" t="s">
        <v>4106</v>
      </c>
      <c r="G5288" s="29"/>
      <c r="H5288" s="29" t="s">
        <v>4117</v>
      </c>
      <c r="I5288" s="29"/>
      <c r="J5288" s="29" t="s">
        <v>4118</v>
      </c>
      <c r="K5288" s="29"/>
      <c r="L5288" s="29" t="s">
        <v>1546</v>
      </c>
      <c r="M5288" s="29"/>
      <c r="N5288" s="29" t="s">
        <v>1547</v>
      </c>
      <c r="O5288" s="29"/>
      <c r="P5288" s="29" t="s">
        <v>2232</v>
      </c>
      <c r="Q5288" t="s">
        <v>2041</v>
      </c>
      <c r="R5288" t="s">
        <v>2634</v>
      </c>
      <c r="S5288">
        <v>35</v>
      </c>
      <c r="T5288" s="43" t="str">
        <f t="shared" si="246"/>
        <v>2019.012D.zip</v>
      </c>
      <c r="U5288" s="43" t="str">
        <f>HYPERLINK("https://ictv.global/taxonomy/taxondetails?taxnode_id=202203334","ictv.global=202203334")</f>
        <v>ictv.global=202203334</v>
      </c>
    </row>
    <row r="5289" spans="1:21">
      <c r="A5289">
        <v>5288</v>
      </c>
      <c r="B5289" s="29" t="s">
        <v>4053</v>
      </c>
      <c r="C5289" s="29"/>
      <c r="D5289" s="29" t="s">
        <v>4082</v>
      </c>
      <c r="E5289" s="29"/>
      <c r="F5289" s="29" t="s">
        <v>4106</v>
      </c>
      <c r="G5289" s="29"/>
      <c r="H5289" s="29" t="s">
        <v>4117</v>
      </c>
      <c r="I5289" s="29"/>
      <c r="J5289" s="29" t="s">
        <v>4118</v>
      </c>
      <c r="K5289" s="29"/>
      <c r="L5289" s="29" t="s">
        <v>1546</v>
      </c>
      <c r="M5289" s="29"/>
      <c r="N5289" s="29" t="s">
        <v>1547</v>
      </c>
      <c r="O5289" s="29"/>
      <c r="P5289" s="29" t="s">
        <v>1827</v>
      </c>
      <c r="Q5289" t="s">
        <v>2041</v>
      </c>
      <c r="R5289" t="s">
        <v>2634</v>
      </c>
      <c r="S5289">
        <v>35</v>
      </c>
      <c r="T5289" s="43" t="str">
        <f t="shared" si="246"/>
        <v>2019.012D.zip</v>
      </c>
      <c r="U5289" s="43" t="str">
        <f>HYPERLINK("https://ictv.global/taxonomy/taxondetails?taxnode_id=202203335","ictv.global=202203335")</f>
        <v>ictv.global=202203335</v>
      </c>
    </row>
    <row r="5290" spans="1:21">
      <c r="A5290">
        <v>5289</v>
      </c>
      <c r="B5290" s="29" t="s">
        <v>4053</v>
      </c>
      <c r="C5290" s="29"/>
      <c r="D5290" s="29" t="s">
        <v>4082</v>
      </c>
      <c r="E5290" s="29"/>
      <c r="F5290" s="29" t="s">
        <v>4106</v>
      </c>
      <c r="G5290" s="29"/>
      <c r="H5290" s="29" t="s">
        <v>4117</v>
      </c>
      <c r="I5290" s="29"/>
      <c r="J5290" s="29" t="s">
        <v>4118</v>
      </c>
      <c r="K5290" s="29"/>
      <c r="L5290" s="29" t="s">
        <v>1546</v>
      </c>
      <c r="M5290" s="29"/>
      <c r="N5290" s="29" t="s">
        <v>1547</v>
      </c>
      <c r="O5290" s="29"/>
      <c r="P5290" s="29" t="s">
        <v>2233</v>
      </c>
      <c r="Q5290" t="s">
        <v>2041</v>
      </c>
      <c r="R5290" t="s">
        <v>2634</v>
      </c>
      <c r="S5290">
        <v>35</v>
      </c>
      <c r="T5290" s="43" t="str">
        <f t="shared" si="246"/>
        <v>2019.012D.zip</v>
      </c>
      <c r="U5290" s="43" t="str">
        <f>HYPERLINK("https://ictv.global/taxonomy/taxondetails?taxnode_id=202203336","ictv.global=202203336")</f>
        <v>ictv.global=202203336</v>
      </c>
    </row>
    <row r="5291" spans="1:21">
      <c r="A5291">
        <v>5290</v>
      </c>
      <c r="B5291" s="29" t="s">
        <v>4053</v>
      </c>
      <c r="C5291" s="29"/>
      <c r="D5291" s="29" t="s">
        <v>4082</v>
      </c>
      <c r="E5291" s="29"/>
      <c r="F5291" s="29" t="s">
        <v>4106</v>
      </c>
      <c r="G5291" s="29"/>
      <c r="H5291" s="29" t="s">
        <v>4117</v>
      </c>
      <c r="I5291" s="29"/>
      <c r="J5291" s="29" t="s">
        <v>4118</v>
      </c>
      <c r="K5291" s="29"/>
      <c r="L5291" s="29" t="s">
        <v>1546</v>
      </c>
      <c r="M5291" s="29"/>
      <c r="N5291" s="29" t="s">
        <v>1547</v>
      </c>
      <c r="O5291" s="29"/>
      <c r="P5291" s="29" t="s">
        <v>1828</v>
      </c>
      <c r="Q5291" t="s">
        <v>2041</v>
      </c>
      <c r="R5291" t="s">
        <v>2634</v>
      </c>
      <c r="S5291">
        <v>35</v>
      </c>
      <c r="T5291" s="43" t="str">
        <f t="shared" si="246"/>
        <v>2019.012D.zip</v>
      </c>
      <c r="U5291" s="43" t="str">
        <f>HYPERLINK("https://ictv.global/taxonomy/taxondetails?taxnode_id=202203337","ictv.global=202203337")</f>
        <v>ictv.global=202203337</v>
      </c>
    </row>
    <row r="5292" spans="1:21">
      <c r="A5292">
        <v>5291</v>
      </c>
      <c r="B5292" s="29" t="s">
        <v>4053</v>
      </c>
      <c r="C5292" s="29"/>
      <c r="D5292" s="29" t="s">
        <v>4082</v>
      </c>
      <c r="E5292" s="29"/>
      <c r="F5292" s="29" t="s">
        <v>4106</v>
      </c>
      <c r="G5292" s="29"/>
      <c r="H5292" s="29" t="s">
        <v>4117</v>
      </c>
      <c r="I5292" s="29"/>
      <c r="J5292" s="29" t="s">
        <v>4118</v>
      </c>
      <c r="K5292" s="29"/>
      <c r="L5292" s="29" t="s">
        <v>1546</v>
      </c>
      <c r="M5292" s="29"/>
      <c r="N5292" s="29" t="s">
        <v>1547</v>
      </c>
      <c r="O5292" s="29"/>
      <c r="P5292" s="29" t="s">
        <v>627</v>
      </c>
      <c r="Q5292" t="s">
        <v>2041</v>
      </c>
      <c r="R5292" t="s">
        <v>2634</v>
      </c>
      <c r="S5292">
        <v>35</v>
      </c>
      <c r="T5292" s="43" t="str">
        <f t="shared" si="246"/>
        <v>2019.012D.zip</v>
      </c>
      <c r="U5292" s="43" t="str">
        <f>HYPERLINK("https://ictv.global/taxonomy/taxondetails?taxnode_id=202203338","ictv.global=202203338")</f>
        <v>ictv.global=202203338</v>
      </c>
    </row>
    <row r="5293" spans="1:21">
      <c r="A5293">
        <v>5292</v>
      </c>
      <c r="B5293" s="29" t="s">
        <v>4053</v>
      </c>
      <c r="C5293" s="29"/>
      <c r="D5293" s="29" t="s">
        <v>4082</v>
      </c>
      <c r="E5293" s="29"/>
      <c r="F5293" s="29" t="s">
        <v>4106</v>
      </c>
      <c r="G5293" s="29"/>
      <c r="H5293" s="29" t="s">
        <v>4117</v>
      </c>
      <c r="I5293" s="29"/>
      <c r="J5293" s="29" t="s">
        <v>4118</v>
      </c>
      <c r="K5293" s="29"/>
      <c r="L5293" s="29" t="s">
        <v>1546</v>
      </c>
      <c r="M5293" s="29"/>
      <c r="N5293" s="29" t="s">
        <v>1547</v>
      </c>
      <c r="O5293" s="29"/>
      <c r="P5293" s="29" t="s">
        <v>628</v>
      </c>
      <c r="Q5293" t="s">
        <v>2041</v>
      </c>
      <c r="R5293" t="s">
        <v>2634</v>
      </c>
      <c r="S5293">
        <v>35</v>
      </c>
      <c r="T5293" s="43" t="str">
        <f t="shared" si="246"/>
        <v>2019.012D.zip</v>
      </c>
      <c r="U5293" s="43" t="str">
        <f>HYPERLINK("https://ictv.global/taxonomy/taxondetails?taxnode_id=202203339","ictv.global=202203339")</f>
        <v>ictv.global=202203339</v>
      </c>
    </row>
    <row r="5294" spans="1:21">
      <c r="A5294">
        <v>5293</v>
      </c>
      <c r="B5294" s="29" t="s">
        <v>4053</v>
      </c>
      <c r="C5294" s="29"/>
      <c r="D5294" s="29" t="s">
        <v>4082</v>
      </c>
      <c r="E5294" s="29"/>
      <c r="F5294" s="29" t="s">
        <v>4106</v>
      </c>
      <c r="G5294" s="29"/>
      <c r="H5294" s="29" t="s">
        <v>4117</v>
      </c>
      <c r="I5294" s="29"/>
      <c r="J5294" s="29" t="s">
        <v>4118</v>
      </c>
      <c r="K5294" s="29"/>
      <c r="L5294" s="29" t="s">
        <v>1546</v>
      </c>
      <c r="M5294" s="29"/>
      <c r="N5294" s="29" t="s">
        <v>1547</v>
      </c>
      <c r="O5294" s="29"/>
      <c r="P5294" s="29" t="s">
        <v>2234</v>
      </c>
      <c r="Q5294" t="s">
        <v>2041</v>
      </c>
      <c r="R5294" t="s">
        <v>2634</v>
      </c>
      <c r="S5294">
        <v>35</v>
      </c>
      <c r="T5294" s="43" t="str">
        <f t="shared" si="246"/>
        <v>2019.012D.zip</v>
      </c>
      <c r="U5294" s="43" t="str">
        <f>HYPERLINK("https://ictv.global/taxonomy/taxondetails?taxnode_id=202203340","ictv.global=202203340")</f>
        <v>ictv.global=202203340</v>
      </c>
    </row>
    <row r="5295" spans="1:21">
      <c r="A5295">
        <v>5294</v>
      </c>
      <c r="B5295" s="29" t="s">
        <v>4053</v>
      </c>
      <c r="C5295" s="29"/>
      <c r="D5295" s="29" t="s">
        <v>4082</v>
      </c>
      <c r="E5295" s="29"/>
      <c r="F5295" s="29" t="s">
        <v>4106</v>
      </c>
      <c r="G5295" s="29"/>
      <c r="H5295" s="29" t="s">
        <v>4117</v>
      </c>
      <c r="I5295" s="29"/>
      <c r="J5295" s="29" t="s">
        <v>4118</v>
      </c>
      <c r="K5295" s="29"/>
      <c r="L5295" s="29" t="s">
        <v>1546</v>
      </c>
      <c r="M5295" s="29"/>
      <c r="N5295" s="29" t="s">
        <v>1547</v>
      </c>
      <c r="O5295" s="29"/>
      <c r="P5295" s="29" t="s">
        <v>629</v>
      </c>
      <c r="Q5295" t="s">
        <v>2041</v>
      </c>
      <c r="R5295" t="s">
        <v>2634</v>
      </c>
      <c r="S5295">
        <v>35</v>
      </c>
      <c r="T5295" s="43" t="str">
        <f t="shared" si="246"/>
        <v>2019.012D.zip</v>
      </c>
      <c r="U5295" s="43" t="str">
        <f>HYPERLINK("https://ictv.global/taxonomy/taxondetails?taxnode_id=202203341","ictv.global=202203341")</f>
        <v>ictv.global=202203341</v>
      </c>
    </row>
    <row r="5296" spans="1:21">
      <c r="A5296">
        <v>5295</v>
      </c>
      <c r="B5296" s="29" t="s">
        <v>4053</v>
      </c>
      <c r="C5296" s="29"/>
      <c r="D5296" s="29" t="s">
        <v>4082</v>
      </c>
      <c r="E5296" s="29"/>
      <c r="F5296" s="29" t="s">
        <v>4106</v>
      </c>
      <c r="G5296" s="29"/>
      <c r="H5296" s="29" t="s">
        <v>4117</v>
      </c>
      <c r="I5296" s="29"/>
      <c r="J5296" s="29" t="s">
        <v>4118</v>
      </c>
      <c r="K5296" s="29"/>
      <c r="L5296" s="29" t="s">
        <v>1546</v>
      </c>
      <c r="M5296" s="29"/>
      <c r="N5296" s="29" t="s">
        <v>1547</v>
      </c>
      <c r="O5296" s="29"/>
      <c r="P5296" s="29" t="s">
        <v>1829</v>
      </c>
      <c r="Q5296" t="s">
        <v>2041</v>
      </c>
      <c r="R5296" t="s">
        <v>2634</v>
      </c>
      <c r="S5296">
        <v>35</v>
      </c>
      <c r="T5296" s="43" t="str">
        <f t="shared" si="246"/>
        <v>2019.012D.zip</v>
      </c>
      <c r="U5296" s="43" t="str">
        <f>HYPERLINK("https://ictv.global/taxonomy/taxondetails?taxnode_id=202203342","ictv.global=202203342")</f>
        <v>ictv.global=202203342</v>
      </c>
    </row>
    <row r="5297" spans="1:21">
      <c r="A5297">
        <v>5296</v>
      </c>
      <c r="B5297" s="29" t="s">
        <v>4053</v>
      </c>
      <c r="C5297" s="29"/>
      <c r="D5297" s="29" t="s">
        <v>4082</v>
      </c>
      <c r="E5297" s="29"/>
      <c r="F5297" s="29" t="s">
        <v>4106</v>
      </c>
      <c r="G5297" s="29"/>
      <c r="H5297" s="29" t="s">
        <v>4117</v>
      </c>
      <c r="I5297" s="29"/>
      <c r="J5297" s="29" t="s">
        <v>4118</v>
      </c>
      <c r="K5297" s="29"/>
      <c r="L5297" s="29" t="s">
        <v>1546</v>
      </c>
      <c r="M5297" s="29"/>
      <c r="N5297" s="29" t="s">
        <v>1547</v>
      </c>
      <c r="O5297" s="29"/>
      <c r="P5297" s="29" t="s">
        <v>2884</v>
      </c>
      <c r="Q5297" t="s">
        <v>2041</v>
      </c>
      <c r="R5297" t="s">
        <v>2634</v>
      </c>
      <c r="S5297">
        <v>35</v>
      </c>
      <c r="T5297" s="43" t="str">
        <f t="shared" si="246"/>
        <v>2019.012D.zip</v>
      </c>
      <c r="U5297" s="43" t="str">
        <f>HYPERLINK("https://ictv.global/taxonomy/taxondetails?taxnode_id=202205828","ictv.global=202205828")</f>
        <v>ictv.global=202205828</v>
      </c>
    </row>
    <row r="5298" spans="1:21">
      <c r="A5298">
        <v>5297</v>
      </c>
      <c r="B5298" s="29" t="s">
        <v>4053</v>
      </c>
      <c r="C5298" s="29"/>
      <c r="D5298" s="29" t="s">
        <v>4082</v>
      </c>
      <c r="E5298" s="29"/>
      <c r="F5298" s="29" t="s">
        <v>4106</v>
      </c>
      <c r="G5298" s="29"/>
      <c r="H5298" s="29" t="s">
        <v>4117</v>
      </c>
      <c r="I5298" s="29"/>
      <c r="J5298" s="29" t="s">
        <v>4118</v>
      </c>
      <c r="K5298" s="29"/>
      <c r="L5298" s="29" t="s">
        <v>1546</v>
      </c>
      <c r="M5298" s="29"/>
      <c r="N5298" s="29" t="s">
        <v>1547</v>
      </c>
      <c r="O5298" s="29"/>
      <c r="P5298" s="29" t="s">
        <v>630</v>
      </c>
      <c r="Q5298" t="s">
        <v>2041</v>
      </c>
      <c r="R5298" t="s">
        <v>2634</v>
      </c>
      <c r="S5298">
        <v>35</v>
      </c>
      <c r="T5298" s="43" t="str">
        <f t="shared" si="246"/>
        <v>2019.012D.zip</v>
      </c>
      <c r="U5298" s="43" t="str">
        <f>HYPERLINK("https://ictv.global/taxonomy/taxondetails?taxnode_id=202203343","ictv.global=202203343")</f>
        <v>ictv.global=202203343</v>
      </c>
    </row>
    <row r="5299" spans="1:21">
      <c r="A5299">
        <v>5298</v>
      </c>
      <c r="B5299" s="29" t="s">
        <v>4053</v>
      </c>
      <c r="C5299" s="29"/>
      <c r="D5299" s="29" t="s">
        <v>4082</v>
      </c>
      <c r="E5299" s="29"/>
      <c r="F5299" s="29" t="s">
        <v>4106</v>
      </c>
      <c r="G5299" s="29"/>
      <c r="H5299" s="29" t="s">
        <v>4117</v>
      </c>
      <c r="I5299" s="29"/>
      <c r="J5299" s="29" t="s">
        <v>4118</v>
      </c>
      <c r="K5299" s="29"/>
      <c r="L5299" s="29" t="s">
        <v>1546</v>
      </c>
      <c r="M5299" s="29"/>
      <c r="N5299" s="29" t="s">
        <v>1547</v>
      </c>
      <c r="O5299" s="29"/>
      <c r="P5299" s="29" t="s">
        <v>4922</v>
      </c>
      <c r="Q5299" t="s">
        <v>2265</v>
      </c>
      <c r="R5299" t="s">
        <v>2632</v>
      </c>
      <c r="S5299">
        <v>36</v>
      </c>
      <c r="T5299" s="43" t="str">
        <f>HYPERLINK("https://ictv.global/ictv/proposals/2020.006P.R.Begomovirus_22nsp.zip","2020.006P.R.Begomovirus_22nsp.zip")</f>
        <v>2020.006P.R.Begomovirus_22nsp.zip</v>
      </c>
      <c r="U5299" s="43" t="str">
        <f>HYPERLINK("https://ictv.global/taxonomy/taxondetails?taxnode_id=202209132","ictv.global=202209132")</f>
        <v>ictv.global=202209132</v>
      </c>
    </row>
    <row r="5300" spans="1:21">
      <c r="A5300">
        <v>5299</v>
      </c>
      <c r="B5300" s="29" t="s">
        <v>4053</v>
      </c>
      <c r="C5300" s="29"/>
      <c r="D5300" s="29" t="s">
        <v>4082</v>
      </c>
      <c r="E5300" s="29"/>
      <c r="F5300" s="29" t="s">
        <v>4106</v>
      </c>
      <c r="G5300" s="29"/>
      <c r="H5300" s="29" t="s">
        <v>4117</v>
      </c>
      <c r="I5300" s="29"/>
      <c r="J5300" s="29" t="s">
        <v>4118</v>
      </c>
      <c r="K5300" s="29"/>
      <c r="L5300" s="29" t="s">
        <v>1546</v>
      </c>
      <c r="M5300" s="29"/>
      <c r="N5300" s="29" t="s">
        <v>1547</v>
      </c>
      <c r="O5300" s="29"/>
      <c r="P5300" s="29" t="s">
        <v>631</v>
      </c>
      <c r="Q5300" t="s">
        <v>2041</v>
      </c>
      <c r="R5300" t="s">
        <v>2634</v>
      </c>
      <c r="S5300">
        <v>35</v>
      </c>
      <c r="T5300" s="43" t="str">
        <f t="shared" ref="T5300:T5308" si="247">HYPERLINK("https://ictv.global/ictv/proposals/2019.012D.zip","2019.012D.zip")</f>
        <v>2019.012D.zip</v>
      </c>
      <c r="U5300" s="43" t="str">
        <f>HYPERLINK("https://ictv.global/taxonomy/taxondetails?taxnode_id=202203344","ictv.global=202203344")</f>
        <v>ictv.global=202203344</v>
      </c>
    </row>
    <row r="5301" spans="1:21">
      <c r="A5301">
        <v>5300</v>
      </c>
      <c r="B5301" s="29" t="s">
        <v>4053</v>
      </c>
      <c r="C5301" s="29"/>
      <c r="D5301" s="29" t="s">
        <v>4082</v>
      </c>
      <c r="E5301" s="29"/>
      <c r="F5301" s="29" t="s">
        <v>4106</v>
      </c>
      <c r="G5301" s="29"/>
      <c r="H5301" s="29" t="s">
        <v>4117</v>
      </c>
      <c r="I5301" s="29"/>
      <c r="J5301" s="29" t="s">
        <v>4118</v>
      </c>
      <c r="K5301" s="29"/>
      <c r="L5301" s="29" t="s">
        <v>1546</v>
      </c>
      <c r="M5301" s="29"/>
      <c r="N5301" s="29" t="s">
        <v>1547</v>
      </c>
      <c r="O5301" s="29"/>
      <c r="P5301" s="29" t="s">
        <v>632</v>
      </c>
      <c r="Q5301" t="s">
        <v>2041</v>
      </c>
      <c r="R5301" t="s">
        <v>2634</v>
      </c>
      <c r="S5301">
        <v>35</v>
      </c>
      <c r="T5301" s="43" t="str">
        <f t="shared" si="247"/>
        <v>2019.012D.zip</v>
      </c>
      <c r="U5301" s="43" t="str">
        <f>HYPERLINK("https://ictv.global/taxonomy/taxondetails?taxnode_id=202203345","ictv.global=202203345")</f>
        <v>ictv.global=202203345</v>
      </c>
    </row>
    <row r="5302" spans="1:21">
      <c r="A5302">
        <v>5301</v>
      </c>
      <c r="B5302" s="29" t="s">
        <v>4053</v>
      </c>
      <c r="C5302" s="29"/>
      <c r="D5302" s="29" t="s">
        <v>4082</v>
      </c>
      <c r="E5302" s="29"/>
      <c r="F5302" s="29" t="s">
        <v>4106</v>
      </c>
      <c r="G5302" s="29"/>
      <c r="H5302" s="29" t="s">
        <v>4117</v>
      </c>
      <c r="I5302" s="29"/>
      <c r="J5302" s="29" t="s">
        <v>4118</v>
      </c>
      <c r="K5302" s="29"/>
      <c r="L5302" s="29" t="s">
        <v>1546</v>
      </c>
      <c r="M5302" s="29"/>
      <c r="N5302" s="29" t="s">
        <v>1547</v>
      </c>
      <c r="O5302" s="29"/>
      <c r="P5302" s="29" t="s">
        <v>1830</v>
      </c>
      <c r="Q5302" t="s">
        <v>2041</v>
      </c>
      <c r="R5302" t="s">
        <v>2634</v>
      </c>
      <c r="S5302">
        <v>35</v>
      </c>
      <c r="T5302" s="43" t="str">
        <f t="shared" si="247"/>
        <v>2019.012D.zip</v>
      </c>
      <c r="U5302" s="43" t="str">
        <f>HYPERLINK("https://ictv.global/taxonomy/taxondetails?taxnode_id=202203346","ictv.global=202203346")</f>
        <v>ictv.global=202203346</v>
      </c>
    </row>
    <row r="5303" spans="1:21">
      <c r="A5303">
        <v>5302</v>
      </c>
      <c r="B5303" s="29" t="s">
        <v>4053</v>
      </c>
      <c r="C5303" s="29"/>
      <c r="D5303" s="29" t="s">
        <v>4082</v>
      </c>
      <c r="E5303" s="29"/>
      <c r="F5303" s="29" t="s">
        <v>4106</v>
      </c>
      <c r="G5303" s="29"/>
      <c r="H5303" s="29" t="s">
        <v>4117</v>
      </c>
      <c r="I5303" s="29"/>
      <c r="J5303" s="29" t="s">
        <v>4118</v>
      </c>
      <c r="K5303" s="29"/>
      <c r="L5303" s="29" t="s">
        <v>1546</v>
      </c>
      <c r="M5303" s="29"/>
      <c r="N5303" s="29" t="s">
        <v>1547</v>
      </c>
      <c r="O5303" s="29"/>
      <c r="P5303" s="29" t="s">
        <v>1831</v>
      </c>
      <c r="Q5303" t="s">
        <v>2041</v>
      </c>
      <c r="R5303" t="s">
        <v>2634</v>
      </c>
      <c r="S5303">
        <v>35</v>
      </c>
      <c r="T5303" s="43" t="str">
        <f t="shared" si="247"/>
        <v>2019.012D.zip</v>
      </c>
      <c r="U5303" s="43" t="str">
        <f>HYPERLINK("https://ictv.global/taxonomy/taxondetails?taxnode_id=202203347","ictv.global=202203347")</f>
        <v>ictv.global=202203347</v>
      </c>
    </row>
    <row r="5304" spans="1:21">
      <c r="A5304">
        <v>5303</v>
      </c>
      <c r="B5304" s="29" t="s">
        <v>4053</v>
      </c>
      <c r="C5304" s="29"/>
      <c r="D5304" s="29" t="s">
        <v>4082</v>
      </c>
      <c r="E5304" s="29"/>
      <c r="F5304" s="29" t="s">
        <v>4106</v>
      </c>
      <c r="G5304" s="29"/>
      <c r="H5304" s="29" t="s">
        <v>4117</v>
      </c>
      <c r="I5304" s="29"/>
      <c r="J5304" s="29" t="s">
        <v>4118</v>
      </c>
      <c r="K5304" s="29"/>
      <c r="L5304" s="29" t="s">
        <v>1546</v>
      </c>
      <c r="M5304" s="29"/>
      <c r="N5304" s="29" t="s">
        <v>1547</v>
      </c>
      <c r="O5304" s="29"/>
      <c r="P5304" s="29" t="s">
        <v>1832</v>
      </c>
      <c r="Q5304" t="s">
        <v>2041</v>
      </c>
      <c r="R5304" t="s">
        <v>2634</v>
      </c>
      <c r="S5304">
        <v>35</v>
      </c>
      <c r="T5304" s="43" t="str">
        <f t="shared" si="247"/>
        <v>2019.012D.zip</v>
      </c>
      <c r="U5304" s="43" t="str">
        <f>HYPERLINK("https://ictv.global/taxonomy/taxondetails?taxnode_id=202203348","ictv.global=202203348")</f>
        <v>ictv.global=202203348</v>
      </c>
    </row>
    <row r="5305" spans="1:21">
      <c r="A5305">
        <v>5304</v>
      </c>
      <c r="B5305" s="29" t="s">
        <v>4053</v>
      </c>
      <c r="C5305" s="29"/>
      <c r="D5305" s="29" t="s">
        <v>4082</v>
      </c>
      <c r="E5305" s="29"/>
      <c r="F5305" s="29" t="s">
        <v>4106</v>
      </c>
      <c r="G5305" s="29"/>
      <c r="H5305" s="29" t="s">
        <v>4117</v>
      </c>
      <c r="I5305" s="29"/>
      <c r="J5305" s="29" t="s">
        <v>4118</v>
      </c>
      <c r="K5305" s="29"/>
      <c r="L5305" s="29" t="s">
        <v>1546</v>
      </c>
      <c r="M5305" s="29"/>
      <c r="N5305" s="29" t="s">
        <v>1547</v>
      </c>
      <c r="O5305" s="29"/>
      <c r="P5305" s="29" t="s">
        <v>1833</v>
      </c>
      <c r="Q5305" t="s">
        <v>2041</v>
      </c>
      <c r="R5305" t="s">
        <v>2634</v>
      </c>
      <c r="S5305">
        <v>35</v>
      </c>
      <c r="T5305" s="43" t="str">
        <f t="shared" si="247"/>
        <v>2019.012D.zip</v>
      </c>
      <c r="U5305" s="43" t="str">
        <f>HYPERLINK("https://ictv.global/taxonomy/taxondetails?taxnode_id=202203349","ictv.global=202203349")</f>
        <v>ictv.global=202203349</v>
      </c>
    </row>
    <row r="5306" spans="1:21">
      <c r="A5306">
        <v>5305</v>
      </c>
      <c r="B5306" s="29" t="s">
        <v>4053</v>
      </c>
      <c r="C5306" s="29"/>
      <c r="D5306" s="29" t="s">
        <v>4082</v>
      </c>
      <c r="E5306" s="29"/>
      <c r="F5306" s="29" t="s">
        <v>4106</v>
      </c>
      <c r="G5306" s="29"/>
      <c r="H5306" s="29" t="s">
        <v>4117</v>
      </c>
      <c r="I5306" s="29"/>
      <c r="J5306" s="29" t="s">
        <v>4118</v>
      </c>
      <c r="K5306" s="29"/>
      <c r="L5306" s="29" t="s">
        <v>1546</v>
      </c>
      <c r="M5306" s="29"/>
      <c r="N5306" s="29" t="s">
        <v>1547</v>
      </c>
      <c r="O5306" s="29"/>
      <c r="P5306" s="29" t="s">
        <v>1834</v>
      </c>
      <c r="Q5306" t="s">
        <v>2041</v>
      </c>
      <c r="R5306" t="s">
        <v>2634</v>
      </c>
      <c r="S5306">
        <v>35</v>
      </c>
      <c r="T5306" s="43" t="str">
        <f t="shared" si="247"/>
        <v>2019.012D.zip</v>
      </c>
      <c r="U5306" s="43" t="str">
        <f>HYPERLINK("https://ictv.global/taxonomy/taxondetails?taxnode_id=202203350","ictv.global=202203350")</f>
        <v>ictv.global=202203350</v>
      </c>
    </row>
    <row r="5307" spans="1:21">
      <c r="A5307">
        <v>5306</v>
      </c>
      <c r="B5307" s="29" t="s">
        <v>4053</v>
      </c>
      <c r="C5307" s="29"/>
      <c r="D5307" s="29" t="s">
        <v>4082</v>
      </c>
      <c r="E5307" s="29"/>
      <c r="F5307" s="29" t="s">
        <v>4106</v>
      </c>
      <c r="G5307" s="29"/>
      <c r="H5307" s="29" t="s">
        <v>4117</v>
      </c>
      <c r="I5307" s="29"/>
      <c r="J5307" s="29" t="s">
        <v>4118</v>
      </c>
      <c r="K5307" s="29"/>
      <c r="L5307" s="29" t="s">
        <v>1546</v>
      </c>
      <c r="M5307" s="29"/>
      <c r="N5307" s="29" t="s">
        <v>1547</v>
      </c>
      <c r="O5307" s="29"/>
      <c r="P5307" s="29" t="s">
        <v>633</v>
      </c>
      <c r="Q5307" t="s">
        <v>2041</v>
      </c>
      <c r="R5307" t="s">
        <v>2634</v>
      </c>
      <c r="S5307">
        <v>35</v>
      </c>
      <c r="T5307" s="43" t="str">
        <f t="shared" si="247"/>
        <v>2019.012D.zip</v>
      </c>
      <c r="U5307" s="43" t="str">
        <f>HYPERLINK("https://ictv.global/taxonomy/taxondetails?taxnode_id=202203351","ictv.global=202203351")</f>
        <v>ictv.global=202203351</v>
      </c>
    </row>
    <row r="5308" spans="1:21">
      <c r="A5308">
        <v>5307</v>
      </c>
      <c r="B5308" s="29" t="s">
        <v>4053</v>
      </c>
      <c r="C5308" s="29"/>
      <c r="D5308" s="29" t="s">
        <v>4082</v>
      </c>
      <c r="E5308" s="29"/>
      <c r="F5308" s="29" t="s">
        <v>4106</v>
      </c>
      <c r="G5308" s="29"/>
      <c r="H5308" s="29" t="s">
        <v>4117</v>
      </c>
      <c r="I5308" s="29"/>
      <c r="J5308" s="29" t="s">
        <v>4118</v>
      </c>
      <c r="K5308" s="29"/>
      <c r="L5308" s="29" t="s">
        <v>1546</v>
      </c>
      <c r="M5308" s="29"/>
      <c r="N5308" s="29" t="s">
        <v>1547</v>
      </c>
      <c r="O5308" s="29"/>
      <c r="P5308" s="29" t="s">
        <v>1835</v>
      </c>
      <c r="Q5308" t="s">
        <v>2041</v>
      </c>
      <c r="R5308" t="s">
        <v>2634</v>
      </c>
      <c r="S5308">
        <v>35</v>
      </c>
      <c r="T5308" s="43" t="str">
        <f t="shared" si="247"/>
        <v>2019.012D.zip</v>
      </c>
      <c r="U5308" s="43" t="str">
        <f>HYPERLINK("https://ictv.global/taxonomy/taxondetails?taxnode_id=202203352","ictv.global=202203352")</f>
        <v>ictv.global=202203352</v>
      </c>
    </row>
    <row r="5309" spans="1:21">
      <c r="A5309">
        <v>5308</v>
      </c>
      <c r="B5309" s="29" t="s">
        <v>4053</v>
      </c>
      <c r="C5309" s="29"/>
      <c r="D5309" s="29" t="s">
        <v>4082</v>
      </c>
      <c r="E5309" s="29"/>
      <c r="F5309" s="29" t="s">
        <v>4106</v>
      </c>
      <c r="G5309" s="29"/>
      <c r="H5309" s="29" t="s">
        <v>4117</v>
      </c>
      <c r="I5309" s="29"/>
      <c r="J5309" s="29" t="s">
        <v>4118</v>
      </c>
      <c r="K5309" s="29"/>
      <c r="L5309" s="29" t="s">
        <v>1546</v>
      </c>
      <c r="M5309" s="29"/>
      <c r="N5309" s="29" t="s">
        <v>1547</v>
      </c>
      <c r="O5309" s="29"/>
      <c r="P5309" s="29" t="s">
        <v>4923</v>
      </c>
      <c r="Q5309" t="s">
        <v>2265</v>
      </c>
      <c r="R5309" t="s">
        <v>2632</v>
      </c>
      <c r="S5309">
        <v>36</v>
      </c>
      <c r="T5309" s="43" t="str">
        <f>HYPERLINK("https://ictv.global/ictv/proposals/2020.006P.R.Begomovirus_22nsp.zip","2020.006P.R.Begomovirus_22nsp.zip")</f>
        <v>2020.006P.R.Begomovirus_22nsp.zip</v>
      </c>
      <c r="U5309" s="43" t="str">
        <f>HYPERLINK("https://ictv.global/taxonomy/taxondetails?taxnode_id=202209133","ictv.global=202209133")</f>
        <v>ictv.global=202209133</v>
      </c>
    </row>
    <row r="5310" spans="1:21">
      <c r="A5310">
        <v>5309</v>
      </c>
      <c r="B5310" s="29" t="s">
        <v>4053</v>
      </c>
      <c r="C5310" s="29"/>
      <c r="D5310" s="29" t="s">
        <v>4082</v>
      </c>
      <c r="E5310" s="29"/>
      <c r="F5310" s="29" t="s">
        <v>4106</v>
      </c>
      <c r="G5310" s="29"/>
      <c r="H5310" s="29" t="s">
        <v>4117</v>
      </c>
      <c r="I5310" s="29"/>
      <c r="J5310" s="29" t="s">
        <v>4118</v>
      </c>
      <c r="K5310" s="29"/>
      <c r="L5310" s="29" t="s">
        <v>1546</v>
      </c>
      <c r="M5310" s="29"/>
      <c r="N5310" s="29" t="s">
        <v>1547</v>
      </c>
      <c r="O5310" s="29"/>
      <c r="P5310" s="29" t="s">
        <v>2235</v>
      </c>
      <c r="Q5310" t="s">
        <v>2041</v>
      </c>
      <c r="R5310" t="s">
        <v>2634</v>
      </c>
      <c r="S5310">
        <v>35</v>
      </c>
      <c r="T5310" s="43" t="str">
        <f t="shared" ref="T5310:T5342" si="248">HYPERLINK("https://ictv.global/ictv/proposals/2019.012D.zip","2019.012D.zip")</f>
        <v>2019.012D.zip</v>
      </c>
      <c r="U5310" s="43" t="str">
        <f>HYPERLINK("https://ictv.global/taxonomy/taxondetails?taxnode_id=202203353","ictv.global=202203353")</f>
        <v>ictv.global=202203353</v>
      </c>
    </row>
    <row r="5311" spans="1:21">
      <c r="A5311">
        <v>5310</v>
      </c>
      <c r="B5311" s="29" t="s">
        <v>4053</v>
      </c>
      <c r="C5311" s="29"/>
      <c r="D5311" s="29" t="s">
        <v>4082</v>
      </c>
      <c r="E5311" s="29"/>
      <c r="F5311" s="29" t="s">
        <v>4106</v>
      </c>
      <c r="G5311" s="29"/>
      <c r="H5311" s="29" t="s">
        <v>4117</v>
      </c>
      <c r="I5311" s="29"/>
      <c r="J5311" s="29" t="s">
        <v>4118</v>
      </c>
      <c r="K5311" s="29"/>
      <c r="L5311" s="29" t="s">
        <v>1546</v>
      </c>
      <c r="M5311" s="29"/>
      <c r="N5311" s="29" t="s">
        <v>1547</v>
      </c>
      <c r="O5311" s="29"/>
      <c r="P5311" s="29" t="s">
        <v>1836</v>
      </c>
      <c r="Q5311" t="s">
        <v>2041</v>
      </c>
      <c r="R5311" t="s">
        <v>2634</v>
      </c>
      <c r="S5311">
        <v>35</v>
      </c>
      <c r="T5311" s="43" t="str">
        <f t="shared" si="248"/>
        <v>2019.012D.zip</v>
      </c>
      <c r="U5311" s="43" t="str">
        <f>HYPERLINK("https://ictv.global/taxonomy/taxondetails?taxnode_id=202203354","ictv.global=202203354")</f>
        <v>ictv.global=202203354</v>
      </c>
    </row>
    <row r="5312" spans="1:21">
      <c r="A5312">
        <v>5311</v>
      </c>
      <c r="B5312" s="29" t="s">
        <v>4053</v>
      </c>
      <c r="C5312" s="29"/>
      <c r="D5312" s="29" t="s">
        <v>4082</v>
      </c>
      <c r="E5312" s="29"/>
      <c r="F5312" s="29" t="s">
        <v>4106</v>
      </c>
      <c r="G5312" s="29"/>
      <c r="H5312" s="29" t="s">
        <v>4117</v>
      </c>
      <c r="I5312" s="29"/>
      <c r="J5312" s="29" t="s">
        <v>4118</v>
      </c>
      <c r="K5312" s="29"/>
      <c r="L5312" s="29" t="s">
        <v>1546</v>
      </c>
      <c r="M5312" s="29"/>
      <c r="N5312" s="29" t="s">
        <v>1547</v>
      </c>
      <c r="O5312" s="29"/>
      <c r="P5312" s="29" t="s">
        <v>634</v>
      </c>
      <c r="Q5312" t="s">
        <v>2041</v>
      </c>
      <c r="R5312" t="s">
        <v>2634</v>
      </c>
      <c r="S5312">
        <v>35</v>
      </c>
      <c r="T5312" s="43" t="str">
        <f t="shared" si="248"/>
        <v>2019.012D.zip</v>
      </c>
      <c r="U5312" s="43" t="str">
        <f>HYPERLINK("https://ictv.global/taxonomy/taxondetails?taxnode_id=202203355","ictv.global=202203355")</f>
        <v>ictv.global=202203355</v>
      </c>
    </row>
    <row r="5313" spans="1:21">
      <c r="A5313">
        <v>5312</v>
      </c>
      <c r="B5313" s="29" t="s">
        <v>4053</v>
      </c>
      <c r="C5313" s="29"/>
      <c r="D5313" s="29" t="s">
        <v>4082</v>
      </c>
      <c r="E5313" s="29"/>
      <c r="F5313" s="29" t="s">
        <v>4106</v>
      </c>
      <c r="G5313" s="29"/>
      <c r="H5313" s="29" t="s">
        <v>4117</v>
      </c>
      <c r="I5313" s="29"/>
      <c r="J5313" s="29" t="s">
        <v>4118</v>
      </c>
      <c r="K5313" s="29"/>
      <c r="L5313" s="29" t="s">
        <v>1546</v>
      </c>
      <c r="M5313" s="29"/>
      <c r="N5313" s="29" t="s">
        <v>1547</v>
      </c>
      <c r="O5313" s="29"/>
      <c r="P5313" s="29" t="s">
        <v>635</v>
      </c>
      <c r="Q5313" t="s">
        <v>2041</v>
      </c>
      <c r="R5313" t="s">
        <v>2634</v>
      </c>
      <c r="S5313">
        <v>35</v>
      </c>
      <c r="T5313" s="43" t="str">
        <f t="shared" si="248"/>
        <v>2019.012D.zip</v>
      </c>
      <c r="U5313" s="43" t="str">
        <f>HYPERLINK("https://ictv.global/taxonomy/taxondetails?taxnode_id=202203356","ictv.global=202203356")</f>
        <v>ictv.global=202203356</v>
      </c>
    </row>
    <row r="5314" spans="1:21">
      <c r="A5314">
        <v>5313</v>
      </c>
      <c r="B5314" s="29" t="s">
        <v>4053</v>
      </c>
      <c r="C5314" s="29"/>
      <c r="D5314" s="29" t="s">
        <v>4082</v>
      </c>
      <c r="E5314" s="29"/>
      <c r="F5314" s="29" t="s">
        <v>4106</v>
      </c>
      <c r="G5314" s="29"/>
      <c r="H5314" s="29" t="s">
        <v>4117</v>
      </c>
      <c r="I5314" s="29"/>
      <c r="J5314" s="29" t="s">
        <v>4118</v>
      </c>
      <c r="K5314" s="29"/>
      <c r="L5314" s="29" t="s">
        <v>1546</v>
      </c>
      <c r="M5314" s="29"/>
      <c r="N5314" s="29" t="s">
        <v>1547</v>
      </c>
      <c r="O5314" s="29"/>
      <c r="P5314" s="29" t="s">
        <v>1355</v>
      </c>
      <c r="Q5314" t="s">
        <v>2041</v>
      </c>
      <c r="R5314" t="s">
        <v>2634</v>
      </c>
      <c r="S5314">
        <v>35</v>
      </c>
      <c r="T5314" s="43" t="str">
        <f t="shared" si="248"/>
        <v>2019.012D.zip</v>
      </c>
      <c r="U5314" s="43" t="str">
        <f>HYPERLINK("https://ictv.global/taxonomy/taxondetails?taxnode_id=202203357","ictv.global=202203357")</f>
        <v>ictv.global=202203357</v>
      </c>
    </row>
    <row r="5315" spans="1:21">
      <c r="A5315">
        <v>5314</v>
      </c>
      <c r="B5315" s="29" t="s">
        <v>4053</v>
      </c>
      <c r="C5315" s="29"/>
      <c r="D5315" s="29" t="s">
        <v>4082</v>
      </c>
      <c r="E5315" s="29"/>
      <c r="F5315" s="29" t="s">
        <v>4106</v>
      </c>
      <c r="G5315" s="29"/>
      <c r="H5315" s="29" t="s">
        <v>4117</v>
      </c>
      <c r="I5315" s="29"/>
      <c r="J5315" s="29" t="s">
        <v>4118</v>
      </c>
      <c r="K5315" s="29"/>
      <c r="L5315" s="29" t="s">
        <v>1546</v>
      </c>
      <c r="M5315" s="29"/>
      <c r="N5315" s="29" t="s">
        <v>1547</v>
      </c>
      <c r="O5315" s="29"/>
      <c r="P5315" s="29" t="s">
        <v>1837</v>
      </c>
      <c r="Q5315" t="s">
        <v>2041</v>
      </c>
      <c r="R5315" t="s">
        <v>2634</v>
      </c>
      <c r="S5315">
        <v>35</v>
      </c>
      <c r="T5315" s="43" t="str">
        <f t="shared" si="248"/>
        <v>2019.012D.zip</v>
      </c>
      <c r="U5315" s="43" t="str">
        <f>HYPERLINK("https://ictv.global/taxonomy/taxondetails?taxnode_id=202203358","ictv.global=202203358")</f>
        <v>ictv.global=202203358</v>
      </c>
    </row>
    <row r="5316" spans="1:21">
      <c r="A5316">
        <v>5315</v>
      </c>
      <c r="B5316" s="29" t="s">
        <v>4053</v>
      </c>
      <c r="C5316" s="29"/>
      <c r="D5316" s="29" t="s">
        <v>4082</v>
      </c>
      <c r="E5316" s="29"/>
      <c r="F5316" s="29" t="s">
        <v>4106</v>
      </c>
      <c r="G5316" s="29"/>
      <c r="H5316" s="29" t="s">
        <v>4117</v>
      </c>
      <c r="I5316" s="29"/>
      <c r="J5316" s="29" t="s">
        <v>4118</v>
      </c>
      <c r="K5316" s="29"/>
      <c r="L5316" s="29" t="s">
        <v>1546</v>
      </c>
      <c r="M5316" s="29"/>
      <c r="N5316" s="29" t="s">
        <v>1547</v>
      </c>
      <c r="O5316" s="29"/>
      <c r="P5316" s="29" t="s">
        <v>1838</v>
      </c>
      <c r="Q5316" t="s">
        <v>2041</v>
      </c>
      <c r="R5316" t="s">
        <v>2634</v>
      </c>
      <c r="S5316">
        <v>35</v>
      </c>
      <c r="T5316" s="43" t="str">
        <f t="shared" si="248"/>
        <v>2019.012D.zip</v>
      </c>
      <c r="U5316" s="43" t="str">
        <f>HYPERLINK("https://ictv.global/taxonomy/taxondetails?taxnode_id=202203359","ictv.global=202203359")</f>
        <v>ictv.global=202203359</v>
      </c>
    </row>
    <row r="5317" spans="1:21">
      <c r="A5317">
        <v>5316</v>
      </c>
      <c r="B5317" s="29" t="s">
        <v>4053</v>
      </c>
      <c r="C5317" s="29"/>
      <c r="D5317" s="29" t="s">
        <v>4082</v>
      </c>
      <c r="E5317" s="29"/>
      <c r="F5317" s="29" t="s">
        <v>4106</v>
      </c>
      <c r="G5317" s="29"/>
      <c r="H5317" s="29" t="s">
        <v>4117</v>
      </c>
      <c r="I5317" s="29"/>
      <c r="J5317" s="29" t="s">
        <v>4118</v>
      </c>
      <c r="K5317" s="29"/>
      <c r="L5317" s="29" t="s">
        <v>1546</v>
      </c>
      <c r="M5317" s="29"/>
      <c r="N5317" s="29" t="s">
        <v>1547</v>
      </c>
      <c r="O5317" s="29"/>
      <c r="P5317" s="29" t="s">
        <v>1356</v>
      </c>
      <c r="Q5317" t="s">
        <v>2041</v>
      </c>
      <c r="R5317" t="s">
        <v>2634</v>
      </c>
      <c r="S5317">
        <v>35</v>
      </c>
      <c r="T5317" s="43" t="str">
        <f t="shared" si="248"/>
        <v>2019.012D.zip</v>
      </c>
      <c r="U5317" s="43" t="str">
        <f>HYPERLINK("https://ictv.global/taxonomy/taxondetails?taxnode_id=202203360","ictv.global=202203360")</f>
        <v>ictv.global=202203360</v>
      </c>
    </row>
    <row r="5318" spans="1:21">
      <c r="A5318">
        <v>5317</v>
      </c>
      <c r="B5318" s="29" t="s">
        <v>4053</v>
      </c>
      <c r="C5318" s="29"/>
      <c r="D5318" s="29" t="s">
        <v>4082</v>
      </c>
      <c r="E5318" s="29"/>
      <c r="F5318" s="29" t="s">
        <v>4106</v>
      </c>
      <c r="G5318" s="29"/>
      <c r="H5318" s="29" t="s">
        <v>4117</v>
      </c>
      <c r="I5318" s="29"/>
      <c r="J5318" s="29" t="s">
        <v>4118</v>
      </c>
      <c r="K5318" s="29"/>
      <c r="L5318" s="29" t="s">
        <v>1546</v>
      </c>
      <c r="M5318" s="29"/>
      <c r="N5318" s="29" t="s">
        <v>1547</v>
      </c>
      <c r="O5318" s="29"/>
      <c r="P5318" s="29" t="s">
        <v>1357</v>
      </c>
      <c r="Q5318" t="s">
        <v>2041</v>
      </c>
      <c r="R5318" t="s">
        <v>2634</v>
      </c>
      <c r="S5318">
        <v>35</v>
      </c>
      <c r="T5318" s="43" t="str">
        <f t="shared" si="248"/>
        <v>2019.012D.zip</v>
      </c>
      <c r="U5318" s="43" t="str">
        <f>HYPERLINK("https://ictv.global/taxonomy/taxondetails?taxnode_id=202203361","ictv.global=202203361")</f>
        <v>ictv.global=202203361</v>
      </c>
    </row>
    <row r="5319" spans="1:21">
      <c r="A5319">
        <v>5318</v>
      </c>
      <c r="B5319" s="29" t="s">
        <v>4053</v>
      </c>
      <c r="C5319" s="29"/>
      <c r="D5319" s="29" t="s">
        <v>4082</v>
      </c>
      <c r="E5319" s="29"/>
      <c r="F5319" s="29" t="s">
        <v>4106</v>
      </c>
      <c r="G5319" s="29"/>
      <c r="H5319" s="29" t="s">
        <v>4117</v>
      </c>
      <c r="I5319" s="29"/>
      <c r="J5319" s="29" t="s">
        <v>4118</v>
      </c>
      <c r="K5319" s="29"/>
      <c r="L5319" s="29" t="s">
        <v>1546</v>
      </c>
      <c r="M5319" s="29"/>
      <c r="N5319" s="29" t="s">
        <v>1547</v>
      </c>
      <c r="O5319" s="29"/>
      <c r="P5319" s="29" t="s">
        <v>2236</v>
      </c>
      <c r="Q5319" t="s">
        <v>2041</v>
      </c>
      <c r="R5319" t="s">
        <v>2634</v>
      </c>
      <c r="S5319">
        <v>35</v>
      </c>
      <c r="T5319" s="43" t="str">
        <f t="shared" si="248"/>
        <v>2019.012D.zip</v>
      </c>
      <c r="U5319" s="43" t="str">
        <f>HYPERLINK("https://ictv.global/taxonomy/taxondetails?taxnode_id=202203362","ictv.global=202203362")</f>
        <v>ictv.global=202203362</v>
      </c>
    </row>
    <row r="5320" spans="1:21">
      <c r="A5320">
        <v>5319</v>
      </c>
      <c r="B5320" s="29" t="s">
        <v>4053</v>
      </c>
      <c r="C5320" s="29"/>
      <c r="D5320" s="29" t="s">
        <v>4082</v>
      </c>
      <c r="E5320" s="29"/>
      <c r="F5320" s="29" t="s">
        <v>4106</v>
      </c>
      <c r="G5320" s="29"/>
      <c r="H5320" s="29" t="s">
        <v>4117</v>
      </c>
      <c r="I5320" s="29"/>
      <c r="J5320" s="29" t="s">
        <v>4118</v>
      </c>
      <c r="K5320" s="29"/>
      <c r="L5320" s="29" t="s">
        <v>1546</v>
      </c>
      <c r="M5320" s="29"/>
      <c r="N5320" s="29" t="s">
        <v>1547</v>
      </c>
      <c r="O5320" s="29"/>
      <c r="P5320" s="29" t="s">
        <v>1358</v>
      </c>
      <c r="Q5320" t="s">
        <v>2041</v>
      </c>
      <c r="R5320" t="s">
        <v>2634</v>
      </c>
      <c r="S5320">
        <v>35</v>
      </c>
      <c r="T5320" s="43" t="str">
        <f t="shared" si="248"/>
        <v>2019.012D.zip</v>
      </c>
      <c r="U5320" s="43" t="str">
        <f>HYPERLINK("https://ictv.global/taxonomy/taxondetails?taxnode_id=202203363","ictv.global=202203363")</f>
        <v>ictv.global=202203363</v>
      </c>
    </row>
    <row r="5321" spans="1:21">
      <c r="A5321">
        <v>5320</v>
      </c>
      <c r="B5321" s="29" t="s">
        <v>4053</v>
      </c>
      <c r="C5321" s="29"/>
      <c r="D5321" s="29" t="s">
        <v>4082</v>
      </c>
      <c r="E5321" s="29"/>
      <c r="F5321" s="29" t="s">
        <v>4106</v>
      </c>
      <c r="G5321" s="29"/>
      <c r="H5321" s="29" t="s">
        <v>4117</v>
      </c>
      <c r="I5321" s="29"/>
      <c r="J5321" s="29" t="s">
        <v>4118</v>
      </c>
      <c r="K5321" s="29"/>
      <c r="L5321" s="29" t="s">
        <v>1546</v>
      </c>
      <c r="M5321" s="29"/>
      <c r="N5321" s="29" t="s">
        <v>1547</v>
      </c>
      <c r="O5321" s="29"/>
      <c r="P5321" s="29" t="s">
        <v>1359</v>
      </c>
      <c r="Q5321" t="s">
        <v>2041</v>
      </c>
      <c r="R5321" t="s">
        <v>2634</v>
      </c>
      <c r="S5321">
        <v>35</v>
      </c>
      <c r="T5321" s="43" t="str">
        <f t="shared" si="248"/>
        <v>2019.012D.zip</v>
      </c>
      <c r="U5321" s="43" t="str">
        <f>HYPERLINK("https://ictv.global/taxonomy/taxondetails?taxnode_id=202203364","ictv.global=202203364")</f>
        <v>ictv.global=202203364</v>
      </c>
    </row>
    <row r="5322" spans="1:21">
      <c r="A5322">
        <v>5321</v>
      </c>
      <c r="B5322" s="29" t="s">
        <v>4053</v>
      </c>
      <c r="C5322" s="29"/>
      <c r="D5322" s="29" t="s">
        <v>4082</v>
      </c>
      <c r="E5322" s="29"/>
      <c r="F5322" s="29" t="s">
        <v>4106</v>
      </c>
      <c r="G5322" s="29"/>
      <c r="H5322" s="29" t="s">
        <v>4117</v>
      </c>
      <c r="I5322" s="29"/>
      <c r="J5322" s="29" t="s">
        <v>4118</v>
      </c>
      <c r="K5322" s="29"/>
      <c r="L5322" s="29" t="s">
        <v>1546</v>
      </c>
      <c r="M5322" s="29"/>
      <c r="N5322" s="29" t="s">
        <v>1547</v>
      </c>
      <c r="O5322" s="29"/>
      <c r="P5322" s="29" t="s">
        <v>2885</v>
      </c>
      <c r="Q5322" t="s">
        <v>2041</v>
      </c>
      <c r="R5322" t="s">
        <v>2634</v>
      </c>
      <c r="S5322">
        <v>35</v>
      </c>
      <c r="T5322" s="43" t="str">
        <f t="shared" si="248"/>
        <v>2019.012D.zip</v>
      </c>
      <c r="U5322" s="43" t="str">
        <f>HYPERLINK("https://ictv.global/taxonomy/taxondetails?taxnode_id=202205829","ictv.global=202205829")</f>
        <v>ictv.global=202205829</v>
      </c>
    </row>
    <row r="5323" spans="1:21">
      <c r="A5323">
        <v>5322</v>
      </c>
      <c r="B5323" s="29" t="s">
        <v>4053</v>
      </c>
      <c r="C5323" s="29"/>
      <c r="D5323" s="29" t="s">
        <v>4082</v>
      </c>
      <c r="E5323" s="29"/>
      <c r="F5323" s="29" t="s">
        <v>4106</v>
      </c>
      <c r="G5323" s="29"/>
      <c r="H5323" s="29" t="s">
        <v>4117</v>
      </c>
      <c r="I5323" s="29"/>
      <c r="J5323" s="29" t="s">
        <v>4118</v>
      </c>
      <c r="K5323" s="29"/>
      <c r="L5323" s="29" t="s">
        <v>1546</v>
      </c>
      <c r="M5323" s="29"/>
      <c r="N5323" s="29" t="s">
        <v>1547</v>
      </c>
      <c r="O5323" s="29"/>
      <c r="P5323" s="29" t="s">
        <v>422</v>
      </c>
      <c r="Q5323" t="s">
        <v>2041</v>
      </c>
      <c r="R5323" t="s">
        <v>2634</v>
      </c>
      <c r="S5323">
        <v>35</v>
      </c>
      <c r="T5323" s="43" t="str">
        <f t="shared" si="248"/>
        <v>2019.012D.zip</v>
      </c>
      <c r="U5323" s="43" t="str">
        <f>HYPERLINK("https://ictv.global/taxonomy/taxondetails?taxnode_id=202203365","ictv.global=202203365")</f>
        <v>ictv.global=202203365</v>
      </c>
    </row>
    <row r="5324" spans="1:21">
      <c r="A5324">
        <v>5323</v>
      </c>
      <c r="B5324" s="29" t="s">
        <v>4053</v>
      </c>
      <c r="C5324" s="29"/>
      <c r="D5324" s="29" t="s">
        <v>4082</v>
      </c>
      <c r="E5324" s="29"/>
      <c r="F5324" s="29" t="s">
        <v>4106</v>
      </c>
      <c r="G5324" s="29"/>
      <c r="H5324" s="29" t="s">
        <v>4117</v>
      </c>
      <c r="I5324" s="29"/>
      <c r="J5324" s="29" t="s">
        <v>4118</v>
      </c>
      <c r="K5324" s="29"/>
      <c r="L5324" s="29" t="s">
        <v>1546</v>
      </c>
      <c r="M5324" s="29"/>
      <c r="N5324" s="29" t="s">
        <v>1547</v>
      </c>
      <c r="O5324" s="29"/>
      <c r="P5324" s="29" t="s">
        <v>423</v>
      </c>
      <c r="Q5324" t="s">
        <v>2041</v>
      </c>
      <c r="R5324" t="s">
        <v>2634</v>
      </c>
      <c r="S5324">
        <v>35</v>
      </c>
      <c r="T5324" s="43" t="str">
        <f t="shared" si="248"/>
        <v>2019.012D.zip</v>
      </c>
      <c r="U5324" s="43" t="str">
        <f>HYPERLINK("https://ictv.global/taxonomy/taxondetails?taxnode_id=202203366","ictv.global=202203366")</f>
        <v>ictv.global=202203366</v>
      </c>
    </row>
    <row r="5325" spans="1:21">
      <c r="A5325">
        <v>5324</v>
      </c>
      <c r="B5325" s="29" t="s">
        <v>4053</v>
      </c>
      <c r="C5325" s="29"/>
      <c r="D5325" s="29" t="s">
        <v>4082</v>
      </c>
      <c r="E5325" s="29"/>
      <c r="F5325" s="29" t="s">
        <v>4106</v>
      </c>
      <c r="G5325" s="29"/>
      <c r="H5325" s="29" t="s">
        <v>4117</v>
      </c>
      <c r="I5325" s="29"/>
      <c r="J5325" s="29" t="s">
        <v>4118</v>
      </c>
      <c r="K5325" s="29"/>
      <c r="L5325" s="29" t="s">
        <v>1546</v>
      </c>
      <c r="M5325" s="29"/>
      <c r="N5325" s="29" t="s">
        <v>1547</v>
      </c>
      <c r="O5325" s="29"/>
      <c r="P5325" s="29" t="s">
        <v>2237</v>
      </c>
      <c r="Q5325" t="s">
        <v>2041</v>
      </c>
      <c r="R5325" t="s">
        <v>2634</v>
      </c>
      <c r="S5325">
        <v>35</v>
      </c>
      <c r="T5325" s="43" t="str">
        <f t="shared" si="248"/>
        <v>2019.012D.zip</v>
      </c>
      <c r="U5325" s="43" t="str">
        <f>HYPERLINK("https://ictv.global/taxonomy/taxondetails?taxnode_id=202203367","ictv.global=202203367")</f>
        <v>ictv.global=202203367</v>
      </c>
    </row>
    <row r="5326" spans="1:21">
      <c r="A5326">
        <v>5325</v>
      </c>
      <c r="B5326" s="29" t="s">
        <v>4053</v>
      </c>
      <c r="C5326" s="29"/>
      <c r="D5326" s="29" t="s">
        <v>4082</v>
      </c>
      <c r="E5326" s="29"/>
      <c r="F5326" s="29" t="s">
        <v>4106</v>
      </c>
      <c r="G5326" s="29"/>
      <c r="H5326" s="29" t="s">
        <v>4117</v>
      </c>
      <c r="I5326" s="29"/>
      <c r="J5326" s="29" t="s">
        <v>4118</v>
      </c>
      <c r="K5326" s="29"/>
      <c r="L5326" s="29" t="s">
        <v>1546</v>
      </c>
      <c r="M5326" s="29"/>
      <c r="N5326" s="29" t="s">
        <v>1547</v>
      </c>
      <c r="O5326" s="29"/>
      <c r="P5326" s="29" t="s">
        <v>1839</v>
      </c>
      <c r="Q5326" t="s">
        <v>2041</v>
      </c>
      <c r="R5326" t="s">
        <v>2634</v>
      </c>
      <c r="S5326">
        <v>35</v>
      </c>
      <c r="T5326" s="43" t="str">
        <f t="shared" si="248"/>
        <v>2019.012D.zip</v>
      </c>
      <c r="U5326" s="43" t="str">
        <f>HYPERLINK("https://ictv.global/taxonomy/taxondetails?taxnode_id=202203368","ictv.global=202203368")</f>
        <v>ictv.global=202203368</v>
      </c>
    </row>
    <row r="5327" spans="1:21">
      <c r="A5327">
        <v>5326</v>
      </c>
      <c r="B5327" s="29" t="s">
        <v>4053</v>
      </c>
      <c r="C5327" s="29"/>
      <c r="D5327" s="29" t="s">
        <v>4082</v>
      </c>
      <c r="E5327" s="29"/>
      <c r="F5327" s="29" t="s">
        <v>4106</v>
      </c>
      <c r="G5327" s="29"/>
      <c r="H5327" s="29" t="s">
        <v>4117</v>
      </c>
      <c r="I5327" s="29"/>
      <c r="J5327" s="29" t="s">
        <v>4118</v>
      </c>
      <c r="K5327" s="29"/>
      <c r="L5327" s="29" t="s">
        <v>1546</v>
      </c>
      <c r="M5327" s="29"/>
      <c r="N5327" s="29" t="s">
        <v>1547</v>
      </c>
      <c r="O5327" s="29"/>
      <c r="P5327" s="29" t="s">
        <v>424</v>
      </c>
      <c r="Q5327" t="s">
        <v>2041</v>
      </c>
      <c r="R5327" t="s">
        <v>2634</v>
      </c>
      <c r="S5327">
        <v>35</v>
      </c>
      <c r="T5327" s="43" t="str">
        <f t="shared" si="248"/>
        <v>2019.012D.zip</v>
      </c>
      <c r="U5327" s="43" t="str">
        <f>HYPERLINK("https://ictv.global/taxonomy/taxondetails?taxnode_id=202203369","ictv.global=202203369")</f>
        <v>ictv.global=202203369</v>
      </c>
    </row>
    <row r="5328" spans="1:21">
      <c r="A5328">
        <v>5327</v>
      </c>
      <c r="B5328" s="29" t="s">
        <v>4053</v>
      </c>
      <c r="C5328" s="29"/>
      <c r="D5328" s="29" t="s">
        <v>4082</v>
      </c>
      <c r="E5328" s="29"/>
      <c r="F5328" s="29" t="s">
        <v>4106</v>
      </c>
      <c r="G5328" s="29"/>
      <c r="H5328" s="29" t="s">
        <v>4117</v>
      </c>
      <c r="I5328" s="29"/>
      <c r="J5328" s="29" t="s">
        <v>4118</v>
      </c>
      <c r="K5328" s="29"/>
      <c r="L5328" s="29" t="s">
        <v>1546</v>
      </c>
      <c r="M5328" s="29"/>
      <c r="N5328" s="29" t="s">
        <v>1547</v>
      </c>
      <c r="O5328" s="29"/>
      <c r="P5328" s="29" t="s">
        <v>2238</v>
      </c>
      <c r="Q5328" t="s">
        <v>2041</v>
      </c>
      <c r="R5328" t="s">
        <v>2634</v>
      </c>
      <c r="S5328">
        <v>35</v>
      </c>
      <c r="T5328" s="43" t="str">
        <f t="shared" si="248"/>
        <v>2019.012D.zip</v>
      </c>
      <c r="U5328" s="43" t="str">
        <f>HYPERLINK("https://ictv.global/taxonomy/taxondetails?taxnode_id=202203370","ictv.global=202203370")</f>
        <v>ictv.global=202203370</v>
      </c>
    </row>
    <row r="5329" spans="1:21">
      <c r="A5329">
        <v>5328</v>
      </c>
      <c r="B5329" s="29" t="s">
        <v>4053</v>
      </c>
      <c r="C5329" s="29"/>
      <c r="D5329" s="29" t="s">
        <v>4082</v>
      </c>
      <c r="E5329" s="29"/>
      <c r="F5329" s="29" t="s">
        <v>4106</v>
      </c>
      <c r="G5329" s="29"/>
      <c r="H5329" s="29" t="s">
        <v>4117</v>
      </c>
      <c r="I5329" s="29"/>
      <c r="J5329" s="29" t="s">
        <v>4118</v>
      </c>
      <c r="K5329" s="29"/>
      <c r="L5329" s="29" t="s">
        <v>1546</v>
      </c>
      <c r="M5329" s="29"/>
      <c r="N5329" s="29" t="s">
        <v>1547</v>
      </c>
      <c r="O5329" s="29"/>
      <c r="P5329" s="29" t="s">
        <v>425</v>
      </c>
      <c r="Q5329" t="s">
        <v>2041</v>
      </c>
      <c r="R5329" t="s">
        <v>2634</v>
      </c>
      <c r="S5329">
        <v>35</v>
      </c>
      <c r="T5329" s="43" t="str">
        <f t="shared" si="248"/>
        <v>2019.012D.zip</v>
      </c>
      <c r="U5329" s="43" t="str">
        <f>HYPERLINK("https://ictv.global/taxonomy/taxondetails?taxnode_id=202203371","ictv.global=202203371")</f>
        <v>ictv.global=202203371</v>
      </c>
    </row>
    <row r="5330" spans="1:21">
      <c r="A5330">
        <v>5329</v>
      </c>
      <c r="B5330" s="29" t="s">
        <v>4053</v>
      </c>
      <c r="C5330" s="29"/>
      <c r="D5330" s="29" t="s">
        <v>4082</v>
      </c>
      <c r="E5330" s="29"/>
      <c r="F5330" s="29" t="s">
        <v>4106</v>
      </c>
      <c r="G5330" s="29"/>
      <c r="H5330" s="29" t="s">
        <v>4117</v>
      </c>
      <c r="I5330" s="29"/>
      <c r="J5330" s="29" t="s">
        <v>4118</v>
      </c>
      <c r="K5330" s="29"/>
      <c r="L5330" s="29" t="s">
        <v>1546</v>
      </c>
      <c r="M5330" s="29"/>
      <c r="N5330" s="29" t="s">
        <v>1547</v>
      </c>
      <c r="O5330" s="29"/>
      <c r="P5330" s="29" t="s">
        <v>426</v>
      </c>
      <c r="Q5330" t="s">
        <v>2041</v>
      </c>
      <c r="R5330" t="s">
        <v>2634</v>
      </c>
      <c r="S5330">
        <v>35</v>
      </c>
      <c r="T5330" s="43" t="str">
        <f t="shared" si="248"/>
        <v>2019.012D.zip</v>
      </c>
      <c r="U5330" s="43" t="str">
        <f>HYPERLINK("https://ictv.global/taxonomy/taxondetails?taxnode_id=202203372","ictv.global=202203372")</f>
        <v>ictv.global=202203372</v>
      </c>
    </row>
    <row r="5331" spans="1:21">
      <c r="A5331">
        <v>5330</v>
      </c>
      <c r="B5331" s="29" t="s">
        <v>4053</v>
      </c>
      <c r="C5331" s="29"/>
      <c r="D5331" s="29" t="s">
        <v>4082</v>
      </c>
      <c r="E5331" s="29"/>
      <c r="F5331" s="29" t="s">
        <v>4106</v>
      </c>
      <c r="G5331" s="29"/>
      <c r="H5331" s="29" t="s">
        <v>4117</v>
      </c>
      <c r="I5331" s="29"/>
      <c r="J5331" s="29" t="s">
        <v>4118</v>
      </c>
      <c r="K5331" s="29"/>
      <c r="L5331" s="29" t="s">
        <v>1546</v>
      </c>
      <c r="M5331" s="29"/>
      <c r="N5331" s="29" t="s">
        <v>1547</v>
      </c>
      <c r="O5331" s="29"/>
      <c r="P5331" s="29" t="s">
        <v>427</v>
      </c>
      <c r="Q5331" t="s">
        <v>2041</v>
      </c>
      <c r="R5331" t="s">
        <v>2634</v>
      </c>
      <c r="S5331">
        <v>35</v>
      </c>
      <c r="T5331" s="43" t="str">
        <f t="shared" si="248"/>
        <v>2019.012D.zip</v>
      </c>
      <c r="U5331" s="43" t="str">
        <f>HYPERLINK("https://ictv.global/taxonomy/taxondetails?taxnode_id=202203373","ictv.global=202203373")</f>
        <v>ictv.global=202203373</v>
      </c>
    </row>
    <row r="5332" spans="1:21">
      <c r="A5332">
        <v>5331</v>
      </c>
      <c r="B5332" s="29" t="s">
        <v>4053</v>
      </c>
      <c r="C5332" s="29"/>
      <c r="D5332" s="29" t="s">
        <v>4082</v>
      </c>
      <c r="E5332" s="29"/>
      <c r="F5332" s="29" t="s">
        <v>4106</v>
      </c>
      <c r="G5332" s="29"/>
      <c r="H5332" s="29" t="s">
        <v>4117</v>
      </c>
      <c r="I5332" s="29"/>
      <c r="J5332" s="29" t="s">
        <v>4118</v>
      </c>
      <c r="K5332" s="29"/>
      <c r="L5332" s="29" t="s">
        <v>1546</v>
      </c>
      <c r="M5332" s="29"/>
      <c r="N5332" s="29" t="s">
        <v>1547</v>
      </c>
      <c r="O5332" s="29"/>
      <c r="P5332" s="29" t="s">
        <v>428</v>
      </c>
      <c r="Q5332" t="s">
        <v>2041</v>
      </c>
      <c r="R5332" t="s">
        <v>2634</v>
      </c>
      <c r="S5332">
        <v>35</v>
      </c>
      <c r="T5332" s="43" t="str">
        <f t="shared" si="248"/>
        <v>2019.012D.zip</v>
      </c>
      <c r="U5332" s="43" t="str">
        <f>HYPERLINK("https://ictv.global/taxonomy/taxondetails?taxnode_id=202203374","ictv.global=202203374")</f>
        <v>ictv.global=202203374</v>
      </c>
    </row>
    <row r="5333" spans="1:21">
      <c r="A5333">
        <v>5332</v>
      </c>
      <c r="B5333" s="29" t="s">
        <v>4053</v>
      </c>
      <c r="C5333" s="29"/>
      <c r="D5333" s="29" t="s">
        <v>4082</v>
      </c>
      <c r="E5333" s="29"/>
      <c r="F5333" s="29" t="s">
        <v>4106</v>
      </c>
      <c r="G5333" s="29"/>
      <c r="H5333" s="29" t="s">
        <v>4117</v>
      </c>
      <c r="I5333" s="29"/>
      <c r="J5333" s="29" t="s">
        <v>4118</v>
      </c>
      <c r="K5333" s="29"/>
      <c r="L5333" s="29" t="s">
        <v>1546</v>
      </c>
      <c r="M5333" s="29"/>
      <c r="N5333" s="29" t="s">
        <v>1547</v>
      </c>
      <c r="O5333" s="29"/>
      <c r="P5333" s="29" t="s">
        <v>429</v>
      </c>
      <c r="Q5333" t="s">
        <v>2041</v>
      </c>
      <c r="R5333" t="s">
        <v>2634</v>
      </c>
      <c r="S5333">
        <v>35</v>
      </c>
      <c r="T5333" s="43" t="str">
        <f t="shared" si="248"/>
        <v>2019.012D.zip</v>
      </c>
      <c r="U5333" s="43" t="str">
        <f>HYPERLINK("https://ictv.global/taxonomy/taxondetails?taxnode_id=202203375","ictv.global=202203375")</f>
        <v>ictv.global=202203375</v>
      </c>
    </row>
    <row r="5334" spans="1:21">
      <c r="A5334">
        <v>5333</v>
      </c>
      <c r="B5334" s="29" t="s">
        <v>4053</v>
      </c>
      <c r="C5334" s="29"/>
      <c r="D5334" s="29" t="s">
        <v>4082</v>
      </c>
      <c r="E5334" s="29"/>
      <c r="F5334" s="29" t="s">
        <v>4106</v>
      </c>
      <c r="G5334" s="29"/>
      <c r="H5334" s="29" t="s">
        <v>4117</v>
      </c>
      <c r="I5334" s="29"/>
      <c r="J5334" s="29" t="s">
        <v>4118</v>
      </c>
      <c r="K5334" s="29"/>
      <c r="L5334" s="29" t="s">
        <v>1546</v>
      </c>
      <c r="M5334" s="29"/>
      <c r="N5334" s="29" t="s">
        <v>1547</v>
      </c>
      <c r="O5334" s="29"/>
      <c r="P5334" s="29" t="s">
        <v>430</v>
      </c>
      <c r="Q5334" t="s">
        <v>2041</v>
      </c>
      <c r="R5334" t="s">
        <v>2634</v>
      </c>
      <c r="S5334">
        <v>35</v>
      </c>
      <c r="T5334" s="43" t="str">
        <f t="shared" si="248"/>
        <v>2019.012D.zip</v>
      </c>
      <c r="U5334" s="43" t="str">
        <f>HYPERLINK("https://ictv.global/taxonomy/taxondetails?taxnode_id=202203376","ictv.global=202203376")</f>
        <v>ictv.global=202203376</v>
      </c>
    </row>
    <row r="5335" spans="1:21">
      <c r="A5335">
        <v>5334</v>
      </c>
      <c r="B5335" s="29" t="s">
        <v>4053</v>
      </c>
      <c r="C5335" s="29"/>
      <c r="D5335" s="29" t="s">
        <v>4082</v>
      </c>
      <c r="E5335" s="29"/>
      <c r="F5335" s="29" t="s">
        <v>4106</v>
      </c>
      <c r="G5335" s="29"/>
      <c r="H5335" s="29" t="s">
        <v>4117</v>
      </c>
      <c r="I5335" s="29"/>
      <c r="J5335" s="29" t="s">
        <v>4118</v>
      </c>
      <c r="K5335" s="29"/>
      <c r="L5335" s="29" t="s">
        <v>1546</v>
      </c>
      <c r="M5335" s="29"/>
      <c r="N5335" s="29" t="s">
        <v>1547</v>
      </c>
      <c r="O5335" s="29"/>
      <c r="P5335" s="29" t="s">
        <v>431</v>
      </c>
      <c r="Q5335" t="s">
        <v>2041</v>
      </c>
      <c r="R5335" t="s">
        <v>2634</v>
      </c>
      <c r="S5335">
        <v>35</v>
      </c>
      <c r="T5335" s="43" t="str">
        <f t="shared" si="248"/>
        <v>2019.012D.zip</v>
      </c>
      <c r="U5335" s="43" t="str">
        <f>HYPERLINK("https://ictv.global/taxonomy/taxondetails?taxnode_id=202203377","ictv.global=202203377")</f>
        <v>ictv.global=202203377</v>
      </c>
    </row>
    <row r="5336" spans="1:21">
      <c r="A5336">
        <v>5335</v>
      </c>
      <c r="B5336" s="29" t="s">
        <v>4053</v>
      </c>
      <c r="C5336" s="29"/>
      <c r="D5336" s="29" t="s">
        <v>4082</v>
      </c>
      <c r="E5336" s="29"/>
      <c r="F5336" s="29" t="s">
        <v>4106</v>
      </c>
      <c r="G5336" s="29"/>
      <c r="H5336" s="29" t="s">
        <v>4117</v>
      </c>
      <c r="I5336" s="29"/>
      <c r="J5336" s="29" t="s">
        <v>4118</v>
      </c>
      <c r="K5336" s="29"/>
      <c r="L5336" s="29" t="s">
        <v>1546</v>
      </c>
      <c r="M5336" s="29"/>
      <c r="N5336" s="29" t="s">
        <v>1547</v>
      </c>
      <c r="O5336" s="29"/>
      <c r="P5336" s="29" t="s">
        <v>2239</v>
      </c>
      <c r="Q5336" t="s">
        <v>2041</v>
      </c>
      <c r="R5336" t="s">
        <v>2634</v>
      </c>
      <c r="S5336">
        <v>35</v>
      </c>
      <c r="T5336" s="43" t="str">
        <f t="shared" si="248"/>
        <v>2019.012D.zip</v>
      </c>
      <c r="U5336" s="43" t="str">
        <f>HYPERLINK("https://ictv.global/taxonomy/taxondetails?taxnode_id=202203378","ictv.global=202203378")</f>
        <v>ictv.global=202203378</v>
      </c>
    </row>
    <row r="5337" spans="1:21">
      <c r="A5337">
        <v>5336</v>
      </c>
      <c r="B5337" s="29" t="s">
        <v>4053</v>
      </c>
      <c r="C5337" s="29"/>
      <c r="D5337" s="29" t="s">
        <v>4082</v>
      </c>
      <c r="E5337" s="29"/>
      <c r="F5337" s="29" t="s">
        <v>4106</v>
      </c>
      <c r="G5337" s="29"/>
      <c r="H5337" s="29" t="s">
        <v>4117</v>
      </c>
      <c r="I5337" s="29"/>
      <c r="J5337" s="29" t="s">
        <v>4118</v>
      </c>
      <c r="K5337" s="29"/>
      <c r="L5337" s="29" t="s">
        <v>1546</v>
      </c>
      <c r="M5337" s="29"/>
      <c r="N5337" s="29" t="s">
        <v>1547</v>
      </c>
      <c r="O5337" s="29"/>
      <c r="P5337" s="29" t="s">
        <v>2886</v>
      </c>
      <c r="Q5337" t="s">
        <v>2041</v>
      </c>
      <c r="R5337" t="s">
        <v>2634</v>
      </c>
      <c r="S5337">
        <v>35</v>
      </c>
      <c r="T5337" s="43" t="str">
        <f t="shared" si="248"/>
        <v>2019.012D.zip</v>
      </c>
      <c r="U5337" s="43" t="str">
        <f>HYPERLINK("https://ictv.global/taxonomy/taxondetails?taxnode_id=202205830","ictv.global=202205830")</f>
        <v>ictv.global=202205830</v>
      </c>
    </row>
    <row r="5338" spans="1:21">
      <c r="A5338">
        <v>5337</v>
      </c>
      <c r="B5338" s="29" t="s">
        <v>4053</v>
      </c>
      <c r="C5338" s="29"/>
      <c r="D5338" s="29" t="s">
        <v>4082</v>
      </c>
      <c r="E5338" s="29"/>
      <c r="F5338" s="29" t="s">
        <v>4106</v>
      </c>
      <c r="G5338" s="29"/>
      <c r="H5338" s="29" t="s">
        <v>4117</v>
      </c>
      <c r="I5338" s="29"/>
      <c r="J5338" s="29" t="s">
        <v>4118</v>
      </c>
      <c r="K5338" s="29"/>
      <c r="L5338" s="29" t="s">
        <v>1546</v>
      </c>
      <c r="M5338" s="29"/>
      <c r="N5338" s="29" t="s">
        <v>1547</v>
      </c>
      <c r="O5338" s="29"/>
      <c r="P5338" s="29" t="s">
        <v>432</v>
      </c>
      <c r="Q5338" t="s">
        <v>2041</v>
      </c>
      <c r="R5338" t="s">
        <v>2634</v>
      </c>
      <c r="S5338">
        <v>35</v>
      </c>
      <c r="T5338" s="43" t="str">
        <f t="shared" si="248"/>
        <v>2019.012D.zip</v>
      </c>
      <c r="U5338" s="43" t="str">
        <f>HYPERLINK("https://ictv.global/taxonomy/taxondetails?taxnode_id=202203379","ictv.global=202203379")</f>
        <v>ictv.global=202203379</v>
      </c>
    </row>
    <row r="5339" spans="1:21">
      <c r="A5339">
        <v>5338</v>
      </c>
      <c r="B5339" s="29" t="s">
        <v>4053</v>
      </c>
      <c r="C5339" s="29"/>
      <c r="D5339" s="29" t="s">
        <v>4082</v>
      </c>
      <c r="E5339" s="29"/>
      <c r="F5339" s="29" t="s">
        <v>4106</v>
      </c>
      <c r="G5339" s="29"/>
      <c r="H5339" s="29" t="s">
        <v>4117</v>
      </c>
      <c r="I5339" s="29"/>
      <c r="J5339" s="29" t="s">
        <v>4118</v>
      </c>
      <c r="K5339" s="29"/>
      <c r="L5339" s="29" t="s">
        <v>1546</v>
      </c>
      <c r="M5339" s="29"/>
      <c r="N5339" s="29" t="s">
        <v>1547</v>
      </c>
      <c r="O5339" s="29"/>
      <c r="P5339" s="29" t="s">
        <v>433</v>
      </c>
      <c r="Q5339" t="s">
        <v>2041</v>
      </c>
      <c r="R5339" t="s">
        <v>2634</v>
      </c>
      <c r="S5339">
        <v>35</v>
      </c>
      <c r="T5339" s="43" t="str">
        <f t="shared" si="248"/>
        <v>2019.012D.zip</v>
      </c>
      <c r="U5339" s="43" t="str">
        <f>HYPERLINK("https://ictv.global/taxonomy/taxondetails?taxnode_id=202203380","ictv.global=202203380")</f>
        <v>ictv.global=202203380</v>
      </c>
    </row>
    <row r="5340" spans="1:21">
      <c r="A5340">
        <v>5339</v>
      </c>
      <c r="B5340" s="29" t="s">
        <v>4053</v>
      </c>
      <c r="C5340" s="29"/>
      <c r="D5340" s="29" t="s">
        <v>4082</v>
      </c>
      <c r="E5340" s="29"/>
      <c r="F5340" s="29" t="s">
        <v>4106</v>
      </c>
      <c r="G5340" s="29"/>
      <c r="H5340" s="29" t="s">
        <v>4117</v>
      </c>
      <c r="I5340" s="29"/>
      <c r="J5340" s="29" t="s">
        <v>4118</v>
      </c>
      <c r="K5340" s="29"/>
      <c r="L5340" s="29" t="s">
        <v>1546</v>
      </c>
      <c r="M5340" s="29"/>
      <c r="N5340" s="29" t="s">
        <v>1547</v>
      </c>
      <c r="O5340" s="29"/>
      <c r="P5340" s="29" t="s">
        <v>434</v>
      </c>
      <c r="Q5340" t="s">
        <v>2041</v>
      </c>
      <c r="R5340" t="s">
        <v>2634</v>
      </c>
      <c r="S5340">
        <v>35</v>
      </c>
      <c r="T5340" s="43" t="str">
        <f t="shared" si="248"/>
        <v>2019.012D.zip</v>
      </c>
      <c r="U5340" s="43" t="str">
        <f>HYPERLINK("https://ictv.global/taxonomy/taxondetails?taxnode_id=202203381","ictv.global=202203381")</f>
        <v>ictv.global=202203381</v>
      </c>
    </row>
    <row r="5341" spans="1:21">
      <c r="A5341">
        <v>5340</v>
      </c>
      <c r="B5341" s="29" t="s">
        <v>4053</v>
      </c>
      <c r="C5341" s="29"/>
      <c r="D5341" s="29" t="s">
        <v>4082</v>
      </c>
      <c r="E5341" s="29"/>
      <c r="F5341" s="29" t="s">
        <v>4106</v>
      </c>
      <c r="G5341" s="29"/>
      <c r="H5341" s="29" t="s">
        <v>4117</v>
      </c>
      <c r="I5341" s="29"/>
      <c r="J5341" s="29" t="s">
        <v>4118</v>
      </c>
      <c r="K5341" s="29"/>
      <c r="L5341" s="29" t="s">
        <v>1546</v>
      </c>
      <c r="M5341" s="29"/>
      <c r="N5341" s="29" t="s">
        <v>1547</v>
      </c>
      <c r="O5341" s="29"/>
      <c r="P5341" s="29" t="s">
        <v>2887</v>
      </c>
      <c r="Q5341" t="s">
        <v>2041</v>
      </c>
      <c r="R5341" t="s">
        <v>2634</v>
      </c>
      <c r="S5341">
        <v>35</v>
      </c>
      <c r="T5341" s="43" t="str">
        <f t="shared" si="248"/>
        <v>2019.012D.zip</v>
      </c>
      <c r="U5341" s="43" t="str">
        <f>HYPERLINK("https://ictv.global/taxonomy/taxondetails?taxnode_id=202205831","ictv.global=202205831")</f>
        <v>ictv.global=202205831</v>
      </c>
    </row>
    <row r="5342" spans="1:21">
      <c r="A5342">
        <v>5341</v>
      </c>
      <c r="B5342" s="29" t="s">
        <v>4053</v>
      </c>
      <c r="C5342" s="29"/>
      <c r="D5342" s="29" t="s">
        <v>4082</v>
      </c>
      <c r="E5342" s="29"/>
      <c r="F5342" s="29" t="s">
        <v>4106</v>
      </c>
      <c r="G5342" s="29"/>
      <c r="H5342" s="29" t="s">
        <v>4117</v>
      </c>
      <c r="I5342" s="29"/>
      <c r="J5342" s="29" t="s">
        <v>4118</v>
      </c>
      <c r="K5342" s="29"/>
      <c r="L5342" s="29" t="s">
        <v>1546</v>
      </c>
      <c r="M5342" s="29"/>
      <c r="N5342" s="29" t="s">
        <v>1547</v>
      </c>
      <c r="O5342" s="29"/>
      <c r="P5342" s="29" t="s">
        <v>2240</v>
      </c>
      <c r="Q5342" t="s">
        <v>2041</v>
      </c>
      <c r="R5342" t="s">
        <v>2634</v>
      </c>
      <c r="S5342">
        <v>35</v>
      </c>
      <c r="T5342" s="43" t="str">
        <f t="shared" si="248"/>
        <v>2019.012D.zip</v>
      </c>
      <c r="U5342" s="43" t="str">
        <f>HYPERLINK("https://ictv.global/taxonomy/taxondetails?taxnode_id=202203382","ictv.global=202203382")</f>
        <v>ictv.global=202203382</v>
      </c>
    </row>
    <row r="5343" spans="1:21">
      <c r="A5343">
        <v>5342</v>
      </c>
      <c r="B5343" s="29" t="s">
        <v>4053</v>
      </c>
      <c r="C5343" s="29"/>
      <c r="D5343" s="29" t="s">
        <v>4082</v>
      </c>
      <c r="E5343" s="29"/>
      <c r="F5343" s="29" t="s">
        <v>4106</v>
      </c>
      <c r="G5343" s="29"/>
      <c r="H5343" s="29" t="s">
        <v>4117</v>
      </c>
      <c r="I5343" s="29"/>
      <c r="J5343" s="29" t="s">
        <v>4118</v>
      </c>
      <c r="K5343" s="29"/>
      <c r="L5343" s="29" t="s">
        <v>1546</v>
      </c>
      <c r="M5343" s="29"/>
      <c r="N5343" s="29" t="s">
        <v>1547</v>
      </c>
      <c r="O5343" s="29"/>
      <c r="P5343" s="29" t="s">
        <v>4130</v>
      </c>
      <c r="Q5343" t="s">
        <v>2265</v>
      </c>
      <c r="R5343" t="s">
        <v>2632</v>
      </c>
      <c r="S5343">
        <v>35</v>
      </c>
      <c r="T5343" s="43" t="str">
        <f>HYPERLINK("https://ictv.global/ictv/proposals/2019.022P.zip","2019.022P.zip")</f>
        <v>2019.022P.zip</v>
      </c>
      <c r="U5343" s="43" t="str">
        <f>HYPERLINK("https://ictv.global/taxonomy/taxondetails?taxnode_id=202207533","ictv.global=202207533")</f>
        <v>ictv.global=202207533</v>
      </c>
    </row>
    <row r="5344" spans="1:21">
      <c r="A5344">
        <v>5343</v>
      </c>
      <c r="B5344" s="29" t="s">
        <v>4053</v>
      </c>
      <c r="C5344" s="29"/>
      <c r="D5344" s="29" t="s">
        <v>4082</v>
      </c>
      <c r="E5344" s="29"/>
      <c r="F5344" s="29" t="s">
        <v>4106</v>
      </c>
      <c r="G5344" s="29"/>
      <c r="H5344" s="29" t="s">
        <v>4117</v>
      </c>
      <c r="I5344" s="29"/>
      <c r="J5344" s="29" t="s">
        <v>4118</v>
      </c>
      <c r="K5344" s="29"/>
      <c r="L5344" s="29" t="s">
        <v>1546</v>
      </c>
      <c r="M5344" s="29"/>
      <c r="N5344" s="29" t="s">
        <v>1547</v>
      </c>
      <c r="O5344" s="29"/>
      <c r="P5344" s="29" t="s">
        <v>1840</v>
      </c>
      <c r="Q5344" t="s">
        <v>2041</v>
      </c>
      <c r="R5344" t="s">
        <v>2634</v>
      </c>
      <c r="S5344">
        <v>35</v>
      </c>
      <c r="T5344" s="43" t="str">
        <f t="shared" ref="T5344:T5355" si="249">HYPERLINK("https://ictv.global/ictv/proposals/2019.012D.zip","2019.012D.zip")</f>
        <v>2019.012D.zip</v>
      </c>
      <c r="U5344" s="43" t="str">
        <f>HYPERLINK("https://ictv.global/taxonomy/taxondetails?taxnode_id=202203383","ictv.global=202203383")</f>
        <v>ictv.global=202203383</v>
      </c>
    </row>
    <row r="5345" spans="1:21">
      <c r="A5345">
        <v>5344</v>
      </c>
      <c r="B5345" s="29" t="s">
        <v>4053</v>
      </c>
      <c r="C5345" s="29"/>
      <c r="D5345" s="29" t="s">
        <v>4082</v>
      </c>
      <c r="E5345" s="29"/>
      <c r="F5345" s="29" t="s">
        <v>4106</v>
      </c>
      <c r="G5345" s="29"/>
      <c r="H5345" s="29" t="s">
        <v>4117</v>
      </c>
      <c r="I5345" s="29"/>
      <c r="J5345" s="29" t="s">
        <v>4118</v>
      </c>
      <c r="K5345" s="29"/>
      <c r="L5345" s="29" t="s">
        <v>1546</v>
      </c>
      <c r="M5345" s="29"/>
      <c r="N5345" s="29" t="s">
        <v>1547</v>
      </c>
      <c r="O5345" s="29"/>
      <c r="P5345" s="29" t="s">
        <v>3647</v>
      </c>
      <c r="Q5345" t="s">
        <v>2041</v>
      </c>
      <c r="R5345" t="s">
        <v>2634</v>
      </c>
      <c r="S5345">
        <v>35</v>
      </c>
      <c r="T5345" s="43" t="str">
        <f t="shared" si="249"/>
        <v>2019.012D.zip</v>
      </c>
      <c r="U5345" s="43" t="str">
        <f>HYPERLINK("https://ictv.global/taxonomy/taxondetails?taxnode_id=202206708","ictv.global=202206708")</f>
        <v>ictv.global=202206708</v>
      </c>
    </row>
    <row r="5346" spans="1:21">
      <c r="A5346">
        <v>5345</v>
      </c>
      <c r="B5346" s="29" t="s">
        <v>4053</v>
      </c>
      <c r="C5346" s="29"/>
      <c r="D5346" s="29" t="s">
        <v>4082</v>
      </c>
      <c r="E5346" s="29"/>
      <c r="F5346" s="29" t="s">
        <v>4106</v>
      </c>
      <c r="G5346" s="29"/>
      <c r="H5346" s="29" t="s">
        <v>4117</v>
      </c>
      <c r="I5346" s="29"/>
      <c r="J5346" s="29" t="s">
        <v>4118</v>
      </c>
      <c r="K5346" s="29"/>
      <c r="L5346" s="29" t="s">
        <v>1546</v>
      </c>
      <c r="M5346" s="29"/>
      <c r="N5346" s="29" t="s">
        <v>1547</v>
      </c>
      <c r="O5346" s="29"/>
      <c r="P5346" s="29" t="s">
        <v>2241</v>
      </c>
      <c r="Q5346" t="s">
        <v>2041</v>
      </c>
      <c r="R5346" t="s">
        <v>2634</v>
      </c>
      <c r="S5346">
        <v>35</v>
      </c>
      <c r="T5346" s="43" t="str">
        <f t="shared" si="249"/>
        <v>2019.012D.zip</v>
      </c>
      <c r="U5346" s="43" t="str">
        <f>HYPERLINK("https://ictv.global/taxonomy/taxondetails?taxnode_id=202203384","ictv.global=202203384")</f>
        <v>ictv.global=202203384</v>
      </c>
    </row>
    <row r="5347" spans="1:21">
      <c r="A5347">
        <v>5346</v>
      </c>
      <c r="B5347" s="29" t="s">
        <v>4053</v>
      </c>
      <c r="C5347" s="29"/>
      <c r="D5347" s="29" t="s">
        <v>4082</v>
      </c>
      <c r="E5347" s="29"/>
      <c r="F5347" s="29" t="s">
        <v>4106</v>
      </c>
      <c r="G5347" s="29"/>
      <c r="H5347" s="29" t="s">
        <v>4117</v>
      </c>
      <c r="I5347" s="29"/>
      <c r="J5347" s="29" t="s">
        <v>4118</v>
      </c>
      <c r="K5347" s="29"/>
      <c r="L5347" s="29" t="s">
        <v>1546</v>
      </c>
      <c r="M5347" s="29"/>
      <c r="N5347" s="29" t="s">
        <v>1547</v>
      </c>
      <c r="O5347" s="29"/>
      <c r="P5347" s="29" t="s">
        <v>2242</v>
      </c>
      <c r="Q5347" t="s">
        <v>2041</v>
      </c>
      <c r="R5347" t="s">
        <v>2634</v>
      </c>
      <c r="S5347">
        <v>35</v>
      </c>
      <c r="T5347" s="43" t="str">
        <f t="shared" si="249"/>
        <v>2019.012D.zip</v>
      </c>
      <c r="U5347" s="43" t="str">
        <f>HYPERLINK("https://ictv.global/taxonomy/taxondetails?taxnode_id=202203385","ictv.global=202203385")</f>
        <v>ictv.global=202203385</v>
      </c>
    </row>
    <row r="5348" spans="1:21">
      <c r="A5348">
        <v>5347</v>
      </c>
      <c r="B5348" s="29" t="s">
        <v>4053</v>
      </c>
      <c r="C5348" s="29"/>
      <c r="D5348" s="29" t="s">
        <v>4082</v>
      </c>
      <c r="E5348" s="29"/>
      <c r="F5348" s="29" t="s">
        <v>4106</v>
      </c>
      <c r="G5348" s="29"/>
      <c r="H5348" s="29" t="s">
        <v>4117</v>
      </c>
      <c r="I5348" s="29"/>
      <c r="J5348" s="29" t="s">
        <v>4118</v>
      </c>
      <c r="K5348" s="29"/>
      <c r="L5348" s="29" t="s">
        <v>1546</v>
      </c>
      <c r="M5348" s="29"/>
      <c r="N5348" s="29" t="s">
        <v>1547</v>
      </c>
      <c r="O5348" s="29"/>
      <c r="P5348" s="29" t="s">
        <v>1841</v>
      </c>
      <c r="Q5348" t="s">
        <v>2041</v>
      </c>
      <c r="R5348" t="s">
        <v>2634</v>
      </c>
      <c r="S5348">
        <v>35</v>
      </c>
      <c r="T5348" s="43" t="str">
        <f t="shared" si="249"/>
        <v>2019.012D.zip</v>
      </c>
      <c r="U5348" s="43" t="str">
        <f>HYPERLINK("https://ictv.global/taxonomy/taxondetails?taxnode_id=202203386","ictv.global=202203386")</f>
        <v>ictv.global=202203386</v>
      </c>
    </row>
    <row r="5349" spans="1:21">
      <c r="A5349">
        <v>5348</v>
      </c>
      <c r="B5349" s="29" t="s">
        <v>4053</v>
      </c>
      <c r="C5349" s="29"/>
      <c r="D5349" s="29" t="s">
        <v>4082</v>
      </c>
      <c r="E5349" s="29"/>
      <c r="F5349" s="29" t="s">
        <v>4106</v>
      </c>
      <c r="G5349" s="29"/>
      <c r="H5349" s="29" t="s">
        <v>4117</v>
      </c>
      <c r="I5349" s="29"/>
      <c r="J5349" s="29" t="s">
        <v>4118</v>
      </c>
      <c r="K5349" s="29"/>
      <c r="L5349" s="29" t="s">
        <v>1546</v>
      </c>
      <c r="M5349" s="29"/>
      <c r="N5349" s="29" t="s">
        <v>1547</v>
      </c>
      <c r="O5349" s="29"/>
      <c r="P5349" s="29" t="s">
        <v>435</v>
      </c>
      <c r="Q5349" t="s">
        <v>2041</v>
      </c>
      <c r="R5349" t="s">
        <v>2634</v>
      </c>
      <c r="S5349">
        <v>35</v>
      </c>
      <c r="T5349" s="43" t="str">
        <f t="shared" si="249"/>
        <v>2019.012D.zip</v>
      </c>
      <c r="U5349" s="43" t="str">
        <f>HYPERLINK("https://ictv.global/taxonomy/taxondetails?taxnode_id=202203388","ictv.global=202203388")</f>
        <v>ictv.global=202203388</v>
      </c>
    </row>
    <row r="5350" spans="1:21">
      <c r="A5350">
        <v>5349</v>
      </c>
      <c r="B5350" s="29" t="s">
        <v>4053</v>
      </c>
      <c r="C5350" s="29"/>
      <c r="D5350" s="29" t="s">
        <v>4082</v>
      </c>
      <c r="E5350" s="29"/>
      <c r="F5350" s="29" t="s">
        <v>4106</v>
      </c>
      <c r="G5350" s="29"/>
      <c r="H5350" s="29" t="s">
        <v>4117</v>
      </c>
      <c r="I5350" s="29"/>
      <c r="J5350" s="29" t="s">
        <v>4118</v>
      </c>
      <c r="K5350" s="29"/>
      <c r="L5350" s="29" t="s">
        <v>1546</v>
      </c>
      <c r="M5350" s="29"/>
      <c r="N5350" s="29" t="s">
        <v>1547</v>
      </c>
      <c r="O5350" s="29"/>
      <c r="P5350" s="29" t="s">
        <v>1842</v>
      </c>
      <c r="Q5350" t="s">
        <v>2041</v>
      </c>
      <c r="R5350" t="s">
        <v>2634</v>
      </c>
      <c r="S5350">
        <v>35</v>
      </c>
      <c r="T5350" s="43" t="str">
        <f t="shared" si="249"/>
        <v>2019.012D.zip</v>
      </c>
      <c r="U5350" s="43" t="str">
        <f>HYPERLINK("https://ictv.global/taxonomy/taxondetails?taxnode_id=202203389","ictv.global=202203389")</f>
        <v>ictv.global=202203389</v>
      </c>
    </row>
    <row r="5351" spans="1:21">
      <c r="A5351">
        <v>5350</v>
      </c>
      <c r="B5351" s="29" t="s">
        <v>4053</v>
      </c>
      <c r="C5351" s="29"/>
      <c r="D5351" s="29" t="s">
        <v>4082</v>
      </c>
      <c r="E5351" s="29"/>
      <c r="F5351" s="29" t="s">
        <v>4106</v>
      </c>
      <c r="G5351" s="29"/>
      <c r="H5351" s="29" t="s">
        <v>4117</v>
      </c>
      <c r="I5351" s="29"/>
      <c r="J5351" s="29" t="s">
        <v>4118</v>
      </c>
      <c r="K5351" s="29"/>
      <c r="L5351" s="29" t="s">
        <v>1546</v>
      </c>
      <c r="M5351" s="29"/>
      <c r="N5351" s="29" t="s">
        <v>1547</v>
      </c>
      <c r="O5351" s="29"/>
      <c r="P5351" s="29" t="s">
        <v>2888</v>
      </c>
      <c r="Q5351" t="s">
        <v>2041</v>
      </c>
      <c r="R5351" t="s">
        <v>2634</v>
      </c>
      <c r="S5351">
        <v>35</v>
      </c>
      <c r="T5351" s="43" t="str">
        <f t="shared" si="249"/>
        <v>2019.012D.zip</v>
      </c>
      <c r="U5351" s="43" t="str">
        <f>HYPERLINK("https://ictv.global/taxonomy/taxondetails?taxnode_id=202205832","ictv.global=202205832")</f>
        <v>ictv.global=202205832</v>
      </c>
    </row>
    <row r="5352" spans="1:21">
      <c r="A5352">
        <v>5351</v>
      </c>
      <c r="B5352" s="29" t="s">
        <v>4053</v>
      </c>
      <c r="C5352" s="29"/>
      <c r="D5352" s="29" t="s">
        <v>4082</v>
      </c>
      <c r="E5352" s="29"/>
      <c r="F5352" s="29" t="s">
        <v>4106</v>
      </c>
      <c r="G5352" s="29"/>
      <c r="H5352" s="29" t="s">
        <v>4117</v>
      </c>
      <c r="I5352" s="29"/>
      <c r="J5352" s="29" t="s">
        <v>4118</v>
      </c>
      <c r="K5352" s="29"/>
      <c r="L5352" s="29" t="s">
        <v>1546</v>
      </c>
      <c r="M5352" s="29"/>
      <c r="N5352" s="29" t="s">
        <v>1547</v>
      </c>
      <c r="O5352" s="29"/>
      <c r="P5352" s="29" t="s">
        <v>2889</v>
      </c>
      <c r="Q5352" t="s">
        <v>2041</v>
      </c>
      <c r="R5352" t="s">
        <v>2634</v>
      </c>
      <c r="S5352">
        <v>35</v>
      </c>
      <c r="T5352" s="43" t="str">
        <f t="shared" si="249"/>
        <v>2019.012D.zip</v>
      </c>
      <c r="U5352" s="43" t="str">
        <f>HYPERLINK("https://ictv.global/taxonomy/taxondetails?taxnode_id=202205833","ictv.global=202205833")</f>
        <v>ictv.global=202205833</v>
      </c>
    </row>
    <row r="5353" spans="1:21">
      <c r="A5353">
        <v>5352</v>
      </c>
      <c r="B5353" s="29" t="s">
        <v>4053</v>
      </c>
      <c r="C5353" s="29"/>
      <c r="D5353" s="29" t="s">
        <v>4082</v>
      </c>
      <c r="E5353" s="29"/>
      <c r="F5353" s="29" t="s">
        <v>4106</v>
      </c>
      <c r="G5353" s="29"/>
      <c r="H5353" s="29" t="s">
        <v>4117</v>
      </c>
      <c r="I5353" s="29"/>
      <c r="J5353" s="29" t="s">
        <v>4118</v>
      </c>
      <c r="K5353" s="29"/>
      <c r="L5353" s="29" t="s">
        <v>1546</v>
      </c>
      <c r="M5353" s="29"/>
      <c r="N5353" s="29" t="s">
        <v>1547</v>
      </c>
      <c r="O5353" s="29"/>
      <c r="P5353" s="29" t="s">
        <v>436</v>
      </c>
      <c r="Q5353" t="s">
        <v>2041</v>
      </c>
      <c r="R5353" t="s">
        <v>2634</v>
      </c>
      <c r="S5353">
        <v>35</v>
      </c>
      <c r="T5353" s="43" t="str">
        <f t="shared" si="249"/>
        <v>2019.012D.zip</v>
      </c>
      <c r="U5353" s="43" t="str">
        <f>HYPERLINK("https://ictv.global/taxonomy/taxondetails?taxnode_id=202203390","ictv.global=202203390")</f>
        <v>ictv.global=202203390</v>
      </c>
    </row>
    <row r="5354" spans="1:21">
      <c r="A5354">
        <v>5353</v>
      </c>
      <c r="B5354" s="29" t="s">
        <v>4053</v>
      </c>
      <c r="C5354" s="29"/>
      <c r="D5354" s="29" t="s">
        <v>4082</v>
      </c>
      <c r="E5354" s="29"/>
      <c r="F5354" s="29" t="s">
        <v>4106</v>
      </c>
      <c r="G5354" s="29"/>
      <c r="H5354" s="29" t="s">
        <v>4117</v>
      </c>
      <c r="I5354" s="29"/>
      <c r="J5354" s="29" t="s">
        <v>4118</v>
      </c>
      <c r="K5354" s="29"/>
      <c r="L5354" s="29" t="s">
        <v>1546</v>
      </c>
      <c r="M5354" s="29"/>
      <c r="N5354" s="29" t="s">
        <v>1547</v>
      </c>
      <c r="O5354" s="29"/>
      <c r="P5354" s="29" t="s">
        <v>2243</v>
      </c>
      <c r="Q5354" t="s">
        <v>2041</v>
      </c>
      <c r="R5354" t="s">
        <v>2634</v>
      </c>
      <c r="S5354">
        <v>35</v>
      </c>
      <c r="T5354" s="43" t="str">
        <f t="shared" si="249"/>
        <v>2019.012D.zip</v>
      </c>
      <c r="U5354" s="43" t="str">
        <f>HYPERLINK("https://ictv.global/taxonomy/taxondetails?taxnode_id=202203391","ictv.global=202203391")</f>
        <v>ictv.global=202203391</v>
      </c>
    </row>
    <row r="5355" spans="1:21">
      <c r="A5355">
        <v>5354</v>
      </c>
      <c r="B5355" s="29" t="s">
        <v>4053</v>
      </c>
      <c r="C5355" s="29"/>
      <c r="D5355" s="29" t="s">
        <v>4082</v>
      </c>
      <c r="E5355" s="29"/>
      <c r="F5355" s="29" t="s">
        <v>4106</v>
      </c>
      <c r="G5355" s="29"/>
      <c r="H5355" s="29" t="s">
        <v>4117</v>
      </c>
      <c r="I5355" s="29"/>
      <c r="J5355" s="29" t="s">
        <v>4118</v>
      </c>
      <c r="K5355" s="29"/>
      <c r="L5355" s="29" t="s">
        <v>1546</v>
      </c>
      <c r="M5355" s="29"/>
      <c r="N5355" s="29" t="s">
        <v>1547</v>
      </c>
      <c r="O5355" s="29"/>
      <c r="P5355" s="29" t="s">
        <v>1204</v>
      </c>
      <c r="Q5355" t="s">
        <v>2041</v>
      </c>
      <c r="R5355" t="s">
        <v>2634</v>
      </c>
      <c r="S5355">
        <v>35</v>
      </c>
      <c r="T5355" s="43" t="str">
        <f t="shared" si="249"/>
        <v>2019.012D.zip</v>
      </c>
      <c r="U5355" s="43" t="str">
        <f>HYPERLINK("https://ictv.global/taxonomy/taxondetails?taxnode_id=202203392","ictv.global=202203392")</f>
        <v>ictv.global=202203392</v>
      </c>
    </row>
    <row r="5356" spans="1:21">
      <c r="A5356">
        <v>5355</v>
      </c>
      <c r="B5356" s="29" t="s">
        <v>4053</v>
      </c>
      <c r="C5356" s="29"/>
      <c r="D5356" s="29" t="s">
        <v>4082</v>
      </c>
      <c r="E5356" s="29"/>
      <c r="F5356" s="29" t="s">
        <v>4106</v>
      </c>
      <c r="G5356" s="29"/>
      <c r="H5356" s="29" t="s">
        <v>4117</v>
      </c>
      <c r="I5356" s="29"/>
      <c r="J5356" s="29" t="s">
        <v>4118</v>
      </c>
      <c r="K5356" s="29"/>
      <c r="L5356" s="29" t="s">
        <v>1546</v>
      </c>
      <c r="M5356" s="29"/>
      <c r="N5356" s="29" t="s">
        <v>1547</v>
      </c>
      <c r="O5356" s="29"/>
      <c r="P5356" s="29" t="s">
        <v>4131</v>
      </c>
      <c r="Q5356" t="s">
        <v>2265</v>
      </c>
      <c r="R5356" t="s">
        <v>2632</v>
      </c>
      <c r="S5356">
        <v>35</v>
      </c>
      <c r="T5356" s="43" t="str">
        <f>HYPERLINK("https://ictv.global/ictv/proposals/2019.022P.zip","2019.022P.zip")</f>
        <v>2019.022P.zip</v>
      </c>
      <c r="U5356" s="43" t="str">
        <f>HYPERLINK("https://ictv.global/taxonomy/taxondetails?taxnode_id=202207529","ictv.global=202207529")</f>
        <v>ictv.global=202207529</v>
      </c>
    </row>
    <row r="5357" spans="1:21">
      <c r="A5357">
        <v>5356</v>
      </c>
      <c r="B5357" s="29" t="s">
        <v>4053</v>
      </c>
      <c r="C5357" s="29"/>
      <c r="D5357" s="29" t="s">
        <v>4082</v>
      </c>
      <c r="E5357" s="29"/>
      <c r="F5357" s="29" t="s">
        <v>4106</v>
      </c>
      <c r="G5357" s="29"/>
      <c r="H5357" s="29" t="s">
        <v>4117</v>
      </c>
      <c r="I5357" s="29"/>
      <c r="J5357" s="29" t="s">
        <v>4118</v>
      </c>
      <c r="K5357" s="29"/>
      <c r="L5357" s="29" t="s">
        <v>1546</v>
      </c>
      <c r="M5357" s="29"/>
      <c r="N5357" s="29" t="s">
        <v>1547</v>
      </c>
      <c r="O5357" s="29"/>
      <c r="P5357" s="29" t="s">
        <v>1843</v>
      </c>
      <c r="Q5357" t="s">
        <v>2041</v>
      </c>
      <c r="R5357" t="s">
        <v>2634</v>
      </c>
      <c r="S5357">
        <v>35</v>
      </c>
      <c r="T5357" s="43" t="str">
        <f t="shared" ref="T5357:T5366" si="250">HYPERLINK("https://ictv.global/ictv/proposals/2019.012D.zip","2019.012D.zip")</f>
        <v>2019.012D.zip</v>
      </c>
      <c r="U5357" s="43" t="str">
        <f>HYPERLINK("https://ictv.global/taxonomy/taxondetails?taxnode_id=202203394","ictv.global=202203394")</f>
        <v>ictv.global=202203394</v>
      </c>
    </row>
    <row r="5358" spans="1:21">
      <c r="A5358">
        <v>5357</v>
      </c>
      <c r="B5358" s="29" t="s">
        <v>4053</v>
      </c>
      <c r="C5358" s="29"/>
      <c r="D5358" s="29" t="s">
        <v>4082</v>
      </c>
      <c r="E5358" s="29"/>
      <c r="F5358" s="29" t="s">
        <v>4106</v>
      </c>
      <c r="G5358" s="29"/>
      <c r="H5358" s="29" t="s">
        <v>4117</v>
      </c>
      <c r="I5358" s="29"/>
      <c r="J5358" s="29" t="s">
        <v>4118</v>
      </c>
      <c r="K5358" s="29"/>
      <c r="L5358" s="29" t="s">
        <v>1546</v>
      </c>
      <c r="M5358" s="29"/>
      <c r="N5358" s="29" t="s">
        <v>1547</v>
      </c>
      <c r="O5358" s="29"/>
      <c r="P5358" s="29" t="s">
        <v>1844</v>
      </c>
      <c r="Q5358" t="s">
        <v>2041</v>
      </c>
      <c r="R5358" t="s">
        <v>2634</v>
      </c>
      <c r="S5358">
        <v>35</v>
      </c>
      <c r="T5358" s="43" t="str">
        <f t="shared" si="250"/>
        <v>2019.012D.zip</v>
      </c>
      <c r="U5358" s="43" t="str">
        <f>HYPERLINK("https://ictv.global/taxonomy/taxondetails?taxnode_id=202203395","ictv.global=202203395")</f>
        <v>ictv.global=202203395</v>
      </c>
    </row>
    <row r="5359" spans="1:21">
      <c r="A5359">
        <v>5358</v>
      </c>
      <c r="B5359" s="29" t="s">
        <v>4053</v>
      </c>
      <c r="C5359" s="29"/>
      <c r="D5359" s="29" t="s">
        <v>4082</v>
      </c>
      <c r="E5359" s="29"/>
      <c r="F5359" s="29" t="s">
        <v>4106</v>
      </c>
      <c r="G5359" s="29"/>
      <c r="H5359" s="29" t="s">
        <v>4117</v>
      </c>
      <c r="I5359" s="29"/>
      <c r="J5359" s="29" t="s">
        <v>4118</v>
      </c>
      <c r="K5359" s="29"/>
      <c r="L5359" s="29" t="s">
        <v>1546</v>
      </c>
      <c r="M5359" s="29"/>
      <c r="N5359" s="29" t="s">
        <v>1547</v>
      </c>
      <c r="O5359" s="29"/>
      <c r="P5359" s="29" t="s">
        <v>1205</v>
      </c>
      <c r="Q5359" t="s">
        <v>2041</v>
      </c>
      <c r="R5359" t="s">
        <v>2634</v>
      </c>
      <c r="S5359">
        <v>35</v>
      </c>
      <c r="T5359" s="43" t="str">
        <f t="shared" si="250"/>
        <v>2019.012D.zip</v>
      </c>
      <c r="U5359" s="43" t="str">
        <f>HYPERLINK("https://ictv.global/taxonomy/taxondetails?taxnode_id=202203396","ictv.global=202203396")</f>
        <v>ictv.global=202203396</v>
      </c>
    </row>
    <row r="5360" spans="1:21">
      <c r="A5360">
        <v>5359</v>
      </c>
      <c r="B5360" s="29" t="s">
        <v>4053</v>
      </c>
      <c r="C5360" s="29"/>
      <c r="D5360" s="29" t="s">
        <v>4082</v>
      </c>
      <c r="E5360" s="29"/>
      <c r="F5360" s="29" t="s">
        <v>4106</v>
      </c>
      <c r="G5360" s="29"/>
      <c r="H5360" s="29" t="s">
        <v>4117</v>
      </c>
      <c r="I5360" s="29"/>
      <c r="J5360" s="29" t="s">
        <v>4118</v>
      </c>
      <c r="K5360" s="29"/>
      <c r="L5360" s="29" t="s">
        <v>1546</v>
      </c>
      <c r="M5360" s="29"/>
      <c r="N5360" s="29" t="s">
        <v>1547</v>
      </c>
      <c r="O5360" s="29"/>
      <c r="P5360" s="29" t="s">
        <v>1206</v>
      </c>
      <c r="Q5360" t="s">
        <v>2041</v>
      </c>
      <c r="R5360" t="s">
        <v>2634</v>
      </c>
      <c r="S5360">
        <v>35</v>
      </c>
      <c r="T5360" s="43" t="str">
        <f t="shared" si="250"/>
        <v>2019.012D.zip</v>
      </c>
      <c r="U5360" s="43" t="str">
        <f>HYPERLINK("https://ictv.global/taxonomy/taxondetails?taxnode_id=202203397","ictv.global=202203397")</f>
        <v>ictv.global=202203397</v>
      </c>
    </row>
    <row r="5361" spans="1:21">
      <c r="A5361">
        <v>5360</v>
      </c>
      <c r="B5361" s="29" t="s">
        <v>4053</v>
      </c>
      <c r="C5361" s="29"/>
      <c r="D5361" s="29" t="s">
        <v>4082</v>
      </c>
      <c r="E5361" s="29"/>
      <c r="F5361" s="29" t="s">
        <v>4106</v>
      </c>
      <c r="G5361" s="29"/>
      <c r="H5361" s="29" t="s">
        <v>4117</v>
      </c>
      <c r="I5361" s="29"/>
      <c r="J5361" s="29" t="s">
        <v>4118</v>
      </c>
      <c r="K5361" s="29"/>
      <c r="L5361" s="29" t="s">
        <v>1546</v>
      </c>
      <c r="M5361" s="29"/>
      <c r="N5361" s="29" t="s">
        <v>1547</v>
      </c>
      <c r="O5361" s="29"/>
      <c r="P5361" s="29" t="s">
        <v>1845</v>
      </c>
      <c r="Q5361" t="s">
        <v>2041</v>
      </c>
      <c r="R5361" t="s">
        <v>2634</v>
      </c>
      <c r="S5361">
        <v>35</v>
      </c>
      <c r="T5361" s="43" t="str">
        <f t="shared" si="250"/>
        <v>2019.012D.zip</v>
      </c>
      <c r="U5361" s="43" t="str">
        <f>HYPERLINK("https://ictv.global/taxonomy/taxondetails?taxnode_id=202203398","ictv.global=202203398")</f>
        <v>ictv.global=202203398</v>
      </c>
    </row>
    <row r="5362" spans="1:21">
      <c r="A5362">
        <v>5361</v>
      </c>
      <c r="B5362" s="29" t="s">
        <v>4053</v>
      </c>
      <c r="C5362" s="29"/>
      <c r="D5362" s="29" t="s">
        <v>4082</v>
      </c>
      <c r="E5362" s="29"/>
      <c r="F5362" s="29" t="s">
        <v>4106</v>
      </c>
      <c r="G5362" s="29"/>
      <c r="H5362" s="29" t="s">
        <v>4117</v>
      </c>
      <c r="I5362" s="29"/>
      <c r="J5362" s="29" t="s">
        <v>4118</v>
      </c>
      <c r="K5362" s="29"/>
      <c r="L5362" s="29" t="s">
        <v>1546</v>
      </c>
      <c r="M5362" s="29"/>
      <c r="N5362" s="29" t="s">
        <v>1547</v>
      </c>
      <c r="O5362" s="29"/>
      <c r="P5362" s="29" t="s">
        <v>1846</v>
      </c>
      <c r="Q5362" t="s">
        <v>2041</v>
      </c>
      <c r="R5362" t="s">
        <v>2634</v>
      </c>
      <c r="S5362">
        <v>35</v>
      </c>
      <c r="T5362" s="43" t="str">
        <f t="shared" si="250"/>
        <v>2019.012D.zip</v>
      </c>
      <c r="U5362" s="43" t="str">
        <f>HYPERLINK("https://ictv.global/taxonomy/taxondetails?taxnode_id=202203399","ictv.global=202203399")</f>
        <v>ictv.global=202203399</v>
      </c>
    </row>
    <row r="5363" spans="1:21">
      <c r="A5363">
        <v>5362</v>
      </c>
      <c r="B5363" s="29" t="s">
        <v>4053</v>
      </c>
      <c r="C5363" s="29"/>
      <c r="D5363" s="29" t="s">
        <v>4082</v>
      </c>
      <c r="E5363" s="29"/>
      <c r="F5363" s="29" t="s">
        <v>4106</v>
      </c>
      <c r="G5363" s="29"/>
      <c r="H5363" s="29" t="s">
        <v>4117</v>
      </c>
      <c r="I5363" s="29"/>
      <c r="J5363" s="29" t="s">
        <v>4118</v>
      </c>
      <c r="K5363" s="29"/>
      <c r="L5363" s="29" t="s">
        <v>1546</v>
      </c>
      <c r="M5363" s="29"/>
      <c r="N5363" s="29" t="s">
        <v>1547</v>
      </c>
      <c r="O5363" s="29"/>
      <c r="P5363" s="29" t="s">
        <v>1847</v>
      </c>
      <c r="Q5363" t="s">
        <v>2041</v>
      </c>
      <c r="R5363" t="s">
        <v>2634</v>
      </c>
      <c r="S5363">
        <v>35</v>
      </c>
      <c r="T5363" s="43" t="str">
        <f t="shared" si="250"/>
        <v>2019.012D.zip</v>
      </c>
      <c r="U5363" s="43" t="str">
        <f>HYPERLINK("https://ictv.global/taxonomy/taxondetails?taxnode_id=202203400","ictv.global=202203400")</f>
        <v>ictv.global=202203400</v>
      </c>
    </row>
    <row r="5364" spans="1:21">
      <c r="A5364">
        <v>5363</v>
      </c>
      <c r="B5364" s="29" t="s">
        <v>4053</v>
      </c>
      <c r="C5364" s="29"/>
      <c r="D5364" s="29" t="s">
        <v>4082</v>
      </c>
      <c r="E5364" s="29"/>
      <c r="F5364" s="29" t="s">
        <v>4106</v>
      </c>
      <c r="G5364" s="29"/>
      <c r="H5364" s="29" t="s">
        <v>4117</v>
      </c>
      <c r="I5364" s="29"/>
      <c r="J5364" s="29" t="s">
        <v>4118</v>
      </c>
      <c r="K5364" s="29"/>
      <c r="L5364" s="29" t="s">
        <v>1546</v>
      </c>
      <c r="M5364" s="29"/>
      <c r="N5364" s="29" t="s">
        <v>1547</v>
      </c>
      <c r="O5364" s="29"/>
      <c r="P5364" s="29" t="s">
        <v>2244</v>
      </c>
      <c r="Q5364" t="s">
        <v>2041</v>
      </c>
      <c r="R5364" t="s">
        <v>2634</v>
      </c>
      <c r="S5364">
        <v>35</v>
      </c>
      <c r="T5364" s="43" t="str">
        <f t="shared" si="250"/>
        <v>2019.012D.zip</v>
      </c>
      <c r="U5364" s="43" t="str">
        <f>HYPERLINK("https://ictv.global/taxonomy/taxondetails?taxnode_id=202203401","ictv.global=202203401")</f>
        <v>ictv.global=202203401</v>
      </c>
    </row>
    <row r="5365" spans="1:21">
      <c r="A5365">
        <v>5364</v>
      </c>
      <c r="B5365" s="29" t="s">
        <v>4053</v>
      </c>
      <c r="C5365" s="29"/>
      <c r="D5365" s="29" t="s">
        <v>4082</v>
      </c>
      <c r="E5365" s="29"/>
      <c r="F5365" s="29" t="s">
        <v>4106</v>
      </c>
      <c r="G5365" s="29"/>
      <c r="H5365" s="29" t="s">
        <v>4117</v>
      </c>
      <c r="I5365" s="29"/>
      <c r="J5365" s="29" t="s">
        <v>4118</v>
      </c>
      <c r="K5365" s="29"/>
      <c r="L5365" s="29" t="s">
        <v>1546</v>
      </c>
      <c r="M5365" s="29"/>
      <c r="N5365" s="29" t="s">
        <v>1547</v>
      </c>
      <c r="O5365" s="29"/>
      <c r="P5365" s="29" t="s">
        <v>2245</v>
      </c>
      <c r="Q5365" t="s">
        <v>2041</v>
      </c>
      <c r="R5365" t="s">
        <v>2634</v>
      </c>
      <c r="S5365">
        <v>35</v>
      </c>
      <c r="T5365" s="43" t="str">
        <f t="shared" si="250"/>
        <v>2019.012D.zip</v>
      </c>
      <c r="U5365" s="43" t="str">
        <f>HYPERLINK("https://ictv.global/taxonomy/taxondetails?taxnode_id=202203402","ictv.global=202203402")</f>
        <v>ictv.global=202203402</v>
      </c>
    </row>
    <row r="5366" spans="1:21">
      <c r="A5366">
        <v>5365</v>
      </c>
      <c r="B5366" s="29" t="s">
        <v>4053</v>
      </c>
      <c r="C5366" s="29"/>
      <c r="D5366" s="29" t="s">
        <v>4082</v>
      </c>
      <c r="E5366" s="29"/>
      <c r="F5366" s="29" t="s">
        <v>4106</v>
      </c>
      <c r="G5366" s="29"/>
      <c r="H5366" s="29" t="s">
        <v>4117</v>
      </c>
      <c r="I5366" s="29"/>
      <c r="J5366" s="29" t="s">
        <v>4118</v>
      </c>
      <c r="K5366" s="29"/>
      <c r="L5366" s="29" t="s">
        <v>1546</v>
      </c>
      <c r="M5366" s="29"/>
      <c r="N5366" s="29" t="s">
        <v>1547</v>
      </c>
      <c r="O5366" s="29"/>
      <c r="P5366" s="29" t="s">
        <v>1329</v>
      </c>
      <c r="Q5366" t="s">
        <v>2041</v>
      </c>
      <c r="R5366" t="s">
        <v>2634</v>
      </c>
      <c r="S5366">
        <v>35</v>
      </c>
      <c r="T5366" s="43" t="str">
        <f t="shared" si="250"/>
        <v>2019.012D.zip</v>
      </c>
      <c r="U5366" s="43" t="str">
        <f>HYPERLINK("https://ictv.global/taxonomy/taxondetails?taxnode_id=202203403","ictv.global=202203403")</f>
        <v>ictv.global=202203403</v>
      </c>
    </row>
    <row r="5367" spans="1:21">
      <c r="A5367">
        <v>5366</v>
      </c>
      <c r="B5367" s="29" t="s">
        <v>4053</v>
      </c>
      <c r="C5367" s="29"/>
      <c r="D5367" s="29" t="s">
        <v>4082</v>
      </c>
      <c r="E5367" s="29"/>
      <c r="F5367" s="29" t="s">
        <v>4106</v>
      </c>
      <c r="G5367" s="29"/>
      <c r="H5367" s="29" t="s">
        <v>4117</v>
      </c>
      <c r="I5367" s="29"/>
      <c r="J5367" s="29" t="s">
        <v>4118</v>
      </c>
      <c r="K5367" s="29"/>
      <c r="L5367" s="29" t="s">
        <v>1546</v>
      </c>
      <c r="M5367" s="29"/>
      <c r="N5367" s="29" t="s">
        <v>1547</v>
      </c>
      <c r="O5367" s="29"/>
      <c r="P5367" s="29" t="s">
        <v>4132</v>
      </c>
      <c r="Q5367" t="s">
        <v>2265</v>
      </c>
      <c r="R5367" t="s">
        <v>2632</v>
      </c>
      <c r="S5367">
        <v>35</v>
      </c>
      <c r="T5367" s="43" t="str">
        <f>HYPERLINK("https://ictv.global/ictv/proposals/2019.022P.zip","2019.022P.zip")</f>
        <v>2019.022P.zip</v>
      </c>
      <c r="U5367" s="43" t="str">
        <f>HYPERLINK("https://ictv.global/taxonomy/taxondetails?taxnode_id=202207530","ictv.global=202207530")</f>
        <v>ictv.global=202207530</v>
      </c>
    </row>
    <row r="5368" spans="1:21">
      <c r="A5368">
        <v>5367</v>
      </c>
      <c r="B5368" s="29" t="s">
        <v>4053</v>
      </c>
      <c r="C5368" s="29"/>
      <c r="D5368" s="29" t="s">
        <v>4082</v>
      </c>
      <c r="E5368" s="29"/>
      <c r="F5368" s="29" t="s">
        <v>4106</v>
      </c>
      <c r="G5368" s="29"/>
      <c r="H5368" s="29" t="s">
        <v>4117</v>
      </c>
      <c r="I5368" s="29"/>
      <c r="J5368" s="29" t="s">
        <v>4118</v>
      </c>
      <c r="K5368" s="29"/>
      <c r="L5368" s="29" t="s">
        <v>1546</v>
      </c>
      <c r="M5368" s="29"/>
      <c r="N5368" s="29" t="s">
        <v>1547</v>
      </c>
      <c r="O5368" s="29"/>
      <c r="P5368" s="29" t="s">
        <v>1848</v>
      </c>
      <c r="Q5368" t="s">
        <v>2041</v>
      </c>
      <c r="R5368" t="s">
        <v>2634</v>
      </c>
      <c r="S5368">
        <v>35</v>
      </c>
      <c r="T5368" s="43" t="str">
        <f t="shared" ref="T5368:T5405" si="251">HYPERLINK("https://ictv.global/ictv/proposals/2019.012D.zip","2019.012D.zip")</f>
        <v>2019.012D.zip</v>
      </c>
      <c r="U5368" s="43" t="str">
        <f>HYPERLINK("https://ictv.global/taxonomy/taxondetails?taxnode_id=202203404","ictv.global=202203404")</f>
        <v>ictv.global=202203404</v>
      </c>
    </row>
    <row r="5369" spans="1:21">
      <c r="A5369">
        <v>5368</v>
      </c>
      <c r="B5369" s="29" t="s">
        <v>4053</v>
      </c>
      <c r="C5369" s="29"/>
      <c r="D5369" s="29" t="s">
        <v>4082</v>
      </c>
      <c r="E5369" s="29"/>
      <c r="F5369" s="29" t="s">
        <v>4106</v>
      </c>
      <c r="G5369" s="29"/>
      <c r="H5369" s="29" t="s">
        <v>4117</v>
      </c>
      <c r="I5369" s="29"/>
      <c r="J5369" s="29" t="s">
        <v>4118</v>
      </c>
      <c r="K5369" s="29"/>
      <c r="L5369" s="29" t="s">
        <v>1546</v>
      </c>
      <c r="M5369" s="29"/>
      <c r="N5369" s="29" t="s">
        <v>1547</v>
      </c>
      <c r="O5369" s="29"/>
      <c r="P5369" s="29" t="s">
        <v>2890</v>
      </c>
      <c r="Q5369" t="s">
        <v>2041</v>
      </c>
      <c r="R5369" t="s">
        <v>2634</v>
      </c>
      <c r="S5369">
        <v>35</v>
      </c>
      <c r="T5369" s="43" t="str">
        <f t="shared" si="251"/>
        <v>2019.012D.zip</v>
      </c>
      <c r="U5369" s="43" t="str">
        <f>HYPERLINK("https://ictv.global/taxonomy/taxondetails?taxnode_id=202205834","ictv.global=202205834")</f>
        <v>ictv.global=202205834</v>
      </c>
    </row>
    <row r="5370" spans="1:21">
      <c r="A5370">
        <v>5369</v>
      </c>
      <c r="B5370" s="29" t="s">
        <v>4053</v>
      </c>
      <c r="C5370" s="29"/>
      <c r="D5370" s="29" t="s">
        <v>4082</v>
      </c>
      <c r="E5370" s="29"/>
      <c r="F5370" s="29" t="s">
        <v>4106</v>
      </c>
      <c r="G5370" s="29"/>
      <c r="H5370" s="29" t="s">
        <v>4117</v>
      </c>
      <c r="I5370" s="29"/>
      <c r="J5370" s="29" t="s">
        <v>4118</v>
      </c>
      <c r="K5370" s="29"/>
      <c r="L5370" s="29" t="s">
        <v>1546</v>
      </c>
      <c r="M5370" s="29"/>
      <c r="N5370" s="29" t="s">
        <v>1547</v>
      </c>
      <c r="O5370" s="29"/>
      <c r="P5370" s="29" t="s">
        <v>1330</v>
      </c>
      <c r="Q5370" t="s">
        <v>2041</v>
      </c>
      <c r="R5370" t="s">
        <v>2634</v>
      </c>
      <c r="S5370">
        <v>35</v>
      </c>
      <c r="T5370" s="43" t="str">
        <f t="shared" si="251"/>
        <v>2019.012D.zip</v>
      </c>
      <c r="U5370" s="43" t="str">
        <f>HYPERLINK("https://ictv.global/taxonomy/taxondetails?taxnode_id=202203405","ictv.global=202203405")</f>
        <v>ictv.global=202203405</v>
      </c>
    </row>
    <row r="5371" spans="1:21">
      <c r="A5371">
        <v>5370</v>
      </c>
      <c r="B5371" s="29" t="s">
        <v>4053</v>
      </c>
      <c r="C5371" s="29"/>
      <c r="D5371" s="29" t="s">
        <v>4082</v>
      </c>
      <c r="E5371" s="29"/>
      <c r="F5371" s="29" t="s">
        <v>4106</v>
      </c>
      <c r="G5371" s="29"/>
      <c r="H5371" s="29" t="s">
        <v>4117</v>
      </c>
      <c r="I5371" s="29"/>
      <c r="J5371" s="29" t="s">
        <v>4118</v>
      </c>
      <c r="K5371" s="29"/>
      <c r="L5371" s="29" t="s">
        <v>1546</v>
      </c>
      <c r="M5371" s="29"/>
      <c r="N5371" s="29" t="s">
        <v>1547</v>
      </c>
      <c r="O5371" s="29"/>
      <c r="P5371" s="29" t="s">
        <v>1849</v>
      </c>
      <c r="Q5371" t="s">
        <v>2041</v>
      </c>
      <c r="R5371" t="s">
        <v>2634</v>
      </c>
      <c r="S5371">
        <v>35</v>
      </c>
      <c r="T5371" s="43" t="str">
        <f t="shared" si="251"/>
        <v>2019.012D.zip</v>
      </c>
      <c r="U5371" s="43" t="str">
        <f>HYPERLINK("https://ictv.global/taxonomy/taxondetails?taxnode_id=202203406","ictv.global=202203406")</f>
        <v>ictv.global=202203406</v>
      </c>
    </row>
    <row r="5372" spans="1:21">
      <c r="A5372">
        <v>5371</v>
      </c>
      <c r="B5372" s="29" t="s">
        <v>4053</v>
      </c>
      <c r="C5372" s="29"/>
      <c r="D5372" s="29" t="s">
        <v>4082</v>
      </c>
      <c r="E5372" s="29"/>
      <c r="F5372" s="29" t="s">
        <v>4106</v>
      </c>
      <c r="G5372" s="29"/>
      <c r="H5372" s="29" t="s">
        <v>4117</v>
      </c>
      <c r="I5372" s="29"/>
      <c r="J5372" s="29" t="s">
        <v>4118</v>
      </c>
      <c r="K5372" s="29"/>
      <c r="L5372" s="29" t="s">
        <v>1546</v>
      </c>
      <c r="M5372" s="29"/>
      <c r="N5372" s="29" t="s">
        <v>1547</v>
      </c>
      <c r="O5372" s="29"/>
      <c r="P5372" s="29" t="s">
        <v>1331</v>
      </c>
      <c r="Q5372" t="s">
        <v>2041</v>
      </c>
      <c r="R5372" t="s">
        <v>2634</v>
      </c>
      <c r="S5372">
        <v>35</v>
      </c>
      <c r="T5372" s="43" t="str">
        <f t="shared" si="251"/>
        <v>2019.012D.zip</v>
      </c>
      <c r="U5372" s="43" t="str">
        <f>HYPERLINK("https://ictv.global/taxonomy/taxondetails?taxnode_id=202203407","ictv.global=202203407")</f>
        <v>ictv.global=202203407</v>
      </c>
    </row>
    <row r="5373" spans="1:21">
      <c r="A5373">
        <v>5372</v>
      </c>
      <c r="B5373" s="29" t="s">
        <v>4053</v>
      </c>
      <c r="C5373" s="29"/>
      <c r="D5373" s="29" t="s">
        <v>4082</v>
      </c>
      <c r="E5373" s="29"/>
      <c r="F5373" s="29" t="s">
        <v>4106</v>
      </c>
      <c r="G5373" s="29"/>
      <c r="H5373" s="29" t="s">
        <v>4117</v>
      </c>
      <c r="I5373" s="29"/>
      <c r="J5373" s="29" t="s">
        <v>4118</v>
      </c>
      <c r="K5373" s="29"/>
      <c r="L5373" s="29" t="s">
        <v>1546</v>
      </c>
      <c r="M5373" s="29"/>
      <c r="N5373" s="29" t="s">
        <v>1547</v>
      </c>
      <c r="O5373" s="29"/>
      <c r="P5373" s="29" t="s">
        <v>1850</v>
      </c>
      <c r="Q5373" t="s">
        <v>2041</v>
      </c>
      <c r="R5373" t="s">
        <v>2634</v>
      </c>
      <c r="S5373">
        <v>35</v>
      </c>
      <c r="T5373" s="43" t="str">
        <f t="shared" si="251"/>
        <v>2019.012D.zip</v>
      </c>
      <c r="U5373" s="43" t="str">
        <f>HYPERLINK("https://ictv.global/taxonomy/taxondetails?taxnode_id=202203408","ictv.global=202203408")</f>
        <v>ictv.global=202203408</v>
      </c>
    </row>
    <row r="5374" spans="1:21">
      <c r="A5374">
        <v>5373</v>
      </c>
      <c r="B5374" s="29" t="s">
        <v>4053</v>
      </c>
      <c r="C5374" s="29"/>
      <c r="D5374" s="29" t="s">
        <v>4082</v>
      </c>
      <c r="E5374" s="29"/>
      <c r="F5374" s="29" t="s">
        <v>4106</v>
      </c>
      <c r="G5374" s="29"/>
      <c r="H5374" s="29" t="s">
        <v>4117</v>
      </c>
      <c r="I5374" s="29"/>
      <c r="J5374" s="29" t="s">
        <v>4118</v>
      </c>
      <c r="K5374" s="29"/>
      <c r="L5374" s="29" t="s">
        <v>1546</v>
      </c>
      <c r="M5374" s="29"/>
      <c r="N5374" s="29" t="s">
        <v>1547</v>
      </c>
      <c r="O5374" s="29"/>
      <c r="P5374" s="29" t="s">
        <v>2891</v>
      </c>
      <c r="Q5374" t="s">
        <v>2041</v>
      </c>
      <c r="R5374" t="s">
        <v>2634</v>
      </c>
      <c r="S5374">
        <v>35</v>
      </c>
      <c r="T5374" s="43" t="str">
        <f t="shared" si="251"/>
        <v>2019.012D.zip</v>
      </c>
      <c r="U5374" s="43" t="str">
        <f>HYPERLINK("https://ictv.global/taxonomy/taxondetails?taxnode_id=202205835","ictv.global=202205835")</f>
        <v>ictv.global=202205835</v>
      </c>
    </row>
    <row r="5375" spans="1:21">
      <c r="A5375">
        <v>5374</v>
      </c>
      <c r="B5375" s="29" t="s">
        <v>4053</v>
      </c>
      <c r="C5375" s="29"/>
      <c r="D5375" s="29" t="s">
        <v>4082</v>
      </c>
      <c r="E5375" s="29"/>
      <c r="F5375" s="29" t="s">
        <v>4106</v>
      </c>
      <c r="G5375" s="29"/>
      <c r="H5375" s="29" t="s">
        <v>4117</v>
      </c>
      <c r="I5375" s="29"/>
      <c r="J5375" s="29" t="s">
        <v>4118</v>
      </c>
      <c r="K5375" s="29"/>
      <c r="L5375" s="29" t="s">
        <v>1546</v>
      </c>
      <c r="M5375" s="29"/>
      <c r="N5375" s="29" t="s">
        <v>1547</v>
      </c>
      <c r="O5375" s="29"/>
      <c r="P5375" s="29" t="s">
        <v>2246</v>
      </c>
      <c r="Q5375" t="s">
        <v>2041</v>
      </c>
      <c r="R5375" t="s">
        <v>2634</v>
      </c>
      <c r="S5375">
        <v>35</v>
      </c>
      <c r="T5375" s="43" t="str">
        <f t="shared" si="251"/>
        <v>2019.012D.zip</v>
      </c>
      <c r="U5375" s="43" t="str">
        <f>HYPERLINK("https://ictv.global/taxonomy/taxondetails?taxnode_id=202203409","ictv.global=202203409")</f>
        <v>ictv.global=202203409</v>
      </c>
    </row>
    <row r="5376" spans="1:21">
      <c r="A5376">
        <v>5375</v>
      </c>
      <c r="B5376" s="29" t="s">
        <v>4053</v>
      </c>
      <c r="C5376" s="29"/>
      <c r="D5376" s="29" t="s">
        <v>4082</v>
      </c>
      <c r="E5376" s="29"/>
      <c r="F5376" s="29" t="s">
        <v>4106</v>
      </c>
      <c r="G5376" s="29"/>
      <c r="H5376" s="29" t="s">
        <v>4117</v>
      </c>
      <c r="I5376" s="29"/>
      <c r="J5376" s="29" t="s">
        <v>4118</v>
      </c>
      <c r="K5376" s="29"/>
      <c r="L5376" s="29" t="s">
        <v>1546</v>
      </c>
      <c r="M5376" s="29"/>
      <c r="N5376" s="29" t="s">
        <v>1547</v>
      </c>
      <c r="O5376" s="29"/>
      <c r="P5376" s="29" t="s">
        <v>2892</v>
      </c>
      <c r="Q5376" t="s">
        <v>2041</v>
      </c>
      <c r="R5376" t="s">
        <v>2634</v>
      </c>
      <c r="S5376">
        <v>35</v>
      </c>
      <c r="T5376" s="43" t="str">
        <f t="shared" si="251"/>
        <v>2019.012D.zip</v>
      </c>
      <c r="U5376" s="43" t="str">
        <f>HYPERLINK("https://ictv.global/taxonomy/taxondetails?taxnode_id=202205836","ictv.global=202205836")</f>
        <v>ictv.global=202205836</v>
      </c>
    </row>
    <row r="5377" spans="1:21">
      <c r="A5377">
        <v>5376</v>
      </c>
      <c r="B5377" s="29" t="s">
        <v>4053</v>
      </c>
      <c r="C5377" s="29"/>
      <c r="D5377" s="29" t="s">
        <v>4082</v>
      </c>
      <c r="E5377" s="29"/>
      <c r="F5377" s="29" t="s">
        <v>4106</v>
      </c>
      <c r="G5377" s="29"/>
      <c r="H5377" s="29" t="s">
        <v>4117</v>
      </c>
      <c r="I5377" s="29"/>
      <c r="J5377" s="29" t="s">
        <v>4118</v>
      </c>
      <c r="K5377" s="29"/>
      <c r="L5377" s="29" t="s">
        <v>1546</v>
      </c>
      <c r="M5377" s="29"/>
      <c r="N5377" s="29" t="s">
        <v>1547</v>
      </c>
      <c r="O5377" s="29"/>
      <c r="P5377" s="29" t="s">
        <v>1332</v>
      </c>
      <c r="Q5377" t="s">
        <v>2041</v>
      </c>
      <c r="R5377" t="s">
        <v>2634</v>
      </c>
      <c r="S5377">
        <v>35</v>
      </c>
      <c r="T5377" s="43" t="str">
        <f t="shared" si="251"/>
        <v>2019.012D.zip</v>
      </c>
      <c r="U5377" s="43" t="str">
        <f>HYPERLINK("https://ictv.global/taxonomy/taxondetails?taxnode_id=202203410","ictv.global=202203410")</f>
        <v>ictv.global=202203410</v>
      </c>
    </row>
    <row r="5378" spans="1:21">
      <c r="A5378">
        <v>5377</v>
      </c>
      <c r="B5378" s="29" t="s">
        <v>4053</v>
      </c>
      <c r="C5378" s="29"/>
      <c r="D5378" s="29" t="s">
        <v>4082</v>
      </c>
      <c r="E5378" s="29"/>
      <c r="F5378" s="29" t="s">
        <v>4106</v>
      </c>
      <c r="G5378" s="29"/>
      <c r="H5378" s="29" t="s">
        <v>4117</v>
      </c>
      <c r="I5378" s="29"/>
      <c r="J5378" s="29" t="s">
        <v>4118</v>
      </c>
      <c r="K5378" s="29"/>
      <c r="L5378" s="29" t="s">
        <v>1546</v>
      </c>
      <c r="M5378" s="29"/>
      <c r="N5378" s="29" t="s">
        <v>1547</v>
      </c>
      <c r="O5378" s="29"/>
      <c r="P5378" s="29" t="s">
        <v>1333</v>
      </c>
      <c r="Q5378" t="s">
        <v>2041</v>
      </c>
      <c r="R5378" t="s">
        <v>2634</v>
      </c>
      <c r="S5378">
        <v>35</v>
      </c>
      <c r="T5378" s="43" t="str">
        <f t="shared" si="251"/>
        <v>2019.012D.zip</v>
      </c>
      <c r="U5378" s="43" t="str">
        <f>HYPERLINK("https://ictv.global/taxonomy/taxondetails?taxnode_id=202203411","ictv.global=202203411")</f>
        <v>ictv.global=202203411</v>
      </c>
    </row>
    <row r="5379" spans="1:21">
      <c r="A5379">
        <v>5378</v>
      </c>
      <c r="B5379" s="29" t="s">
        <v>4053</v>
      </c>
      <c r="C5379" s="29"/>
      <c r="D5379" s="29" t="s">
        <v>4082</v>
      </c>
      <c r="E5379" s="29"/>
      <c r="F5379" s="29" t="s">
        <v>4106</v>
      </c>
      <c r="G5379" s="29"/>
      <c r="H5379" s="29" t="s">
        <v>4117</v>
      </c>
      <c r="I5379" s="29"/>
      <c r="J5379" s="29" t="s">
        <v>4118</v>
      </c>
      <c r="K5379" s="29"/>
      <c r="L5379" s="29" t="s">
        <v>1546</v>
      </c>
      <c r="M5379" s="29"/>
      <c r="N5379" s="29" t="s">
        <v>1547</v>
      </c>
      <c r="O5379" s="29"/>
      <c r="P5379" s="29" t="s">
        <v>1851</v>
      </c>
      <c r="Q5379" t="s">
        <v>2041</v>
      </c>
      <c r="R5379" t="s">
        <v>2634</v>
      </c>
      <c r="S5379">
        <v>35</v>
      </c>
      <c r="T5379" s="43" t="str">
        <f t="shared" si="251"/>
        <v>2019.012D.zip</v>
      </c>
      <c r="U5379" s="43" t="str">
        <f>HYPERLINK("https://ictv.global/taxonomy/taxondetails?taxnode_id=202203412","ictv.global=202203412")</f>
        <v>ictv.global=202203412</v>
      </c>
    </row>
    <row r="5380" spans="1:21">
      <c r="A5380">
        <v>5379</v>
      </c>
      <c r="B5380" s="29" t="s">
        <v>4053</v>
      </c>
      <c r="C5380" s="29"/>
      <c r="D5380" s="29" t="s">
        <v>4082</v>
      </c>
      <c r="E5380" s="29"/>
      <c r="F5380" s="29" t="s">
        <v>4106</v>
      </c>
      <c r="G5380" s="29"/>
      <c r="H5380" s="29" t="s">
        <v>4117</v>
      </c>
      <c r="I5380" s="29"/>
      <c r="J5380" s="29" t="s">
        <v>4118</v>
      </c>
      <c r="K5380" s="29"/>
      <c r="L5380" s="29" t="s">
        <v>1546</v>
      </c>
      <c r="M5380" s="29"/>
      <c r="N5380" s="29" t="s">
        <v>1547</v>
      </c>
      <c r="O5380" s="29"/>
      <c r="P5380" s="29" t="s">
        <v>2247</v>
      </c>
      <c r="Q5380" t="s">
        <v>2041</v>
      </c>
      <c r="R5380" t="s">
        <v>2634</v>
      </c>
      <c r="S5380">
        <v>35</v>
      </c>
      <c r="T5380" s="43" t="str">
        <f t="shared" si="251"/>
        <v>2019.012D.zip</v>
      </c>
      <c r="U5380" s="43" t="str">
        <f>HYPERLINK("https://ictv.global/taxonomy/taxondetails?taxnode_id=202203413","ictv.global=202203413")</f>
        <v>ictv.global=202203413</v>
      </c>
    </row>
    <row r="5381" spans="1:21">
      <c r="A5381">
        <v>5380</v>
      </c>
      <c r="B5381" s="29" t="s">
        <v>4053</v>
      </c>
      <c r="C5381" s="29"/>
      <c r="D5381" s="29" t="s">
        <v>4082</v>
      </c>
      <c r="E5381" s="29"/>
      <c r="F5381" s="29" t="s">
        <v>4106</v>
      </c>
      <c r="G5381" s="29"/>
      <c r="H5381" s="29" t="s">
        <v>4117</v>
      </c>
      <c r="I5381" s="29"/>
      <c r="J5381" s="29" t="s">
        <v>4118</v>
      </c>
      <c r="K5381" s="29"/>
      <c r="L5381" s="29" t="s">
        <v>1546</v>
      </c>
      <c r="M5381" s="29"/>
      <c r="N5381" s="29" t="s">
        <v>1547</v>
      </c>
      <c r="O5381" s="29"/>
      <c r="P5381" s="29" t="s">
        <v>2893</v>
      </c>
      <c r="Q5381" t="s">
        <v>2041</v>
      </c>
      <c r="R5381" t="s">
        <v>2634</v>
      </c>
      <c r="S5381">
        <v>35</v>
      </c>
      <c r="T5381" s="43" t="str">
        <f t="shared" si="251"/>
        <v>2019.012D.zip</v>
      </c>
      <c r="U5381" s="43" t="str">
        <f>HYPERLINK("https://ictv.global/taxonomy/taxondetails?taxnode_id=202205837","ictv.global=202205837")</f>
        <v>ictv.global=202205837</v>
      </c>
    </row>
    <row r="5382" spans="1:21">
      <c r="A5382">
        <v>5381</v>
      </c>
      <c r="B5382" s="29" t="s">
        <v>4053</v>
      </c>
      <c r="C5382" s="29"/>
      <c r="D5382" s="29" t="s">
        <v>4082</v>
      </c>
      <c r="E5382" s="29"/>
      <c r="F5382" s="29" t="s">
        <v>4106</v>
      </c>
      <c r="G5382" s="29"/>
      <c r="H5382" s="29" t="s">
        <v>4117</v>
      </c>
      <c r="I5382" s="29"/>
      <c r="J5382" s="29" t="s">
        <v>4118</v>
      </c>
      <c r="K5382" s="29"/>
      <c r="L5382" s="29" t="s">
        <v>1546</v>
      </c>
      <c r="M5382" s="29"/>
      <c r="N5382" s="29" t="s">
        <v>1547</v>
      </c>
      <c r="O5382" s="29"/>
      <c r="P5382" s="29" t="s">
        <v>1852</v>
      </c>
      <c r="Q5382" t="s">
        <v>2041</v>
      </c>
      <c r="R5382" t="s">
        <v>2634</v>
      </c>
      <c r="S5382">
        <v>35</v>
      </c>
      <c r="T5382" s="43" t="str">
        <f t="shared" si="251"/>
        <v>2019.012D.zip</v>
      </c>
      <c r="U5382" s="43" t="str">
        <f>HYPERLINK("https://ictv.global/taxonomy/taxondetails?taxnode_id=202203414","ictv.global=202203414")</f>
        <v>ictv.global=202203414</v>
      </c>
    </row>
    <row r="5383" spans="1:21">
      <c r="A5383">
        <v>5382</v>
      </c>
      <c r="B5383" s="29" t="s">
        <v>4053</v>
      </c>
      <c r="C5383" s="29"/>
      <c r="D5383" s="29" t="s">
        <v>4082</v>
      </c>
      <c r="E5383" s="29"/>
      <c r="F5383" s="29" t="s">
        <v>4106</v>
      </c>
      <c r="G5383" s="29"/>
      <c r="H5383" s="29" t="s">
        <v>4117</v>
      </c>
      <c r="I5383" s="29"/>
      <c r="J5383" s="29" t="s">
        <v>4118</v>
      </c>
      <c r="K5383" s="29"/>
      <c r="L5383" s="29" t="s">
        <v>1546</v>
      </c>
      <c r="M5383" s="29"/>
      <c r="N5383" s="29" t="s">
        <v>1547</v>
      </c>
      <c r="O5383" s="29"/>
      <c r="P5383" s="29" t="s">
        <v>1334</v>
      </c>
      <c r="Q5383" t="s">
        <v>2041</v>
      </c>
      <c r="R5383" t="s">
        <v>2634</v>
      </c>
      <c r="S5383">
        <v>35</v>
      </c>
      <c r="T5383" s="43" t="str">
        <f t="shared" si="251"/>
        <v>2019.012D.zip</v>
      </c>
      <c r="U5383" s="43" t="str">
        <f>HYPERLINK("https://ictv.global/taxonomy/taxondetails?taxnode_id=202203415","ictv.global=202203415")</f>
        <v>ictv.global=202203415</v>
      </c>
    </row>
    <row r="5384" spans="1:21">
      <c r="A5384">
        <v>5383</v>
      </c>
      <c r="B5384" s="29" t="s">
        <v>4053</v>
      </c>
      <c r="C5384" s="29"/>
      <c r="D5384" s="29" t="s">
        <v>4082</v>
      </c>
      <c r="E5384" s="29"/>
      <c r="F5384" s="29" t="s">
        <v>4106</v>
      </c>
      <c r="G5384" s="29"/>
      <c r="H5384" s="29" t="s">
        <v>4117</v>
      </c>
      <c r="I5384" s="29"/>
      <c r="J5384" s="29" t="s">
        <v>4118</v>
      </c>
      <c r="K5384" s="29"/>
      <c r="L5384" s="29" t="s">
        <v>1546</v>
      </c>
      <c r="M5384" s="29"/>
      <c r="N5384" s="29" t="s">
        <v>1547</v>
      </c>
      <c r="O5384" s="29"/>
      <c r="P5384" s="29" t="s">
        <v>1182</v>
      </c>
      <c r="Q5384" t="s">
        <v>2041</v>
      </c>
      <c r="R5384" t="s">
        <v>2634</v>
      </c>
      <c r="S5384">
        <v>35</v>
      </c>
      <c r="T5384" s="43" t="str">
        <f t="shared" si="251"/>
        <v>2019.012D.zip</v>
      </c>
      <c r="U5384" s="43" t="str">
        <f>HYPERLINK("https://ictv.global/taxonomy/taxondetails?taxnode_id=202203416","ictv.global=202203416")</f>
        <v>ictv.global=202203416</v>
      </c>
    </row>
    <row r="5385" spans="1:21">
      <c r="A5385">
        <v>5384</v>
      </c>
      <c r="B5385" s="29" t="s">
        <v>4053</v>
      </c>
      <c r="C5385" s="29"/>
      <c r="D5385" s="29" t="s">
        <v>4082</v>
      </c>
      <c r="E5385" s="29"/>
      <c r="F5385" s="29" t="s">
        <v>4106</v>
      </c>
      <c r="G5385" s="29"/>
      <c r="H5385" s="29" t="s">
        <v>4117</v>
      </c>
      <c r="I5385" s="29"/>
      <c r="J5385" s="29" t="s">
        <v>4118</v>
      </c>
      <c r="K5385" s="29"/>
      <c r="L5385" s="29" t="s">
        <v>1546</v>
      </c>
      <c r="M5385" s="29"/>
      <c r="N5385" s="29" t="s">
        <v>1547</v>
      </c>
      <c r="O5385" s="29"/>
      <c r="P5385" s="29" t="s">
        <v>1183</v>
      </c>
      <c r="Q5385" t="s">
        <v>2041</v>
      </c>
      <c r="R5385" t="s">
        <v>2634</v>
      </c>
      <c r="S5385">
        <v>35</v>
      </c>
      <c r="T5385" s="43" t="str">
        <f t="shared" si="251"/>
        <v>2019.012D.zip</v>
      </c>
      <c r="U5385" s="43" t="str">
        <f>HYPERLINK("https://ictv.global/taxonomy/taxondetails?taxnode_id=202203417","ictv.global=202203417")</f>
        <v>ictv.global=202203417</v>
      </c>
    </row>
    <row r="5386" spans="1:21">
      <c r="A5386">
        <v>5385</v>
      </c>
      <c r="B5386" s="29" t="s">
        <v>4053</v>
      </c>
      <c r="C5386" s="29"/>
      <c r="D5386" s="29" t="s">
        <v>4082</v>
      </c>
      <c r="E5386" s="29"/>
      <c r="F5386" s="29" t="s">
        <v>4106</v>
      </c>
      <c r="G5386" s="29"/>
      <c r="H5386" s="29" t="s">
        <v>4117</v>
      </c>
      <c r="I5386" s="29"/>
      <c r="J5386" s="29" t="s">
        <v>4118</v>
      </c>
      <c r="K5386" s="29"/>
      <c r="L5386" s="29" t="s">
        <v>1546</v>
      </c>
      <c r="M5386" s="29"/>
      <c r="N5386" s="29" t="s">
        <v>1547</v>
      </c>
      <c r="O5386" s="29"/>
      <c r="P5386" s="29" t="s">
        <v>2894</v>
      </c>
      <c r="Q5386" t="s">
        <v>2041</v>
      </c>
      <c r="R5386" t="s">
        <v>2634</v>
      </c>
      <c r="S5386">
        <v>35</v>
      </c>
      <c r="T5386" s="43" t="str">
        <f t="shared" si="251"/>
        <v>2019.012D.zip</v>
      </c>
      <c r="U5386" s="43" t="str">
        <f>HYPERLINK("https://ictv.global/taxonomy/taxondetails?taxnode_id=202205838","ictv.global=202205838")</f>
        <v>ictv.global=202205838</v>
      </c>
    </row>
    <row r="5387" spans="1:21">
      <c r="A5387">
        <v>5386</v>
      </c>
      <c r="B5387" s="29" t="s">
        <v>4053</v>
      </c>
      <c r="C5387" s="29"/>
      <c r="D5387" s="29" t="s">
        <v>4082</v>
      </c>
      <c r="E5387" s="29"/>
      <c r="F5387" s="29" t="s">
        <v>4106</v>
      </c>
      <c r="G5387" s="29"/>
      <c r="H5387" s="29" t="s">
        <v>4117</v>
      </c>
      <c r="I5387" s="29"/>
      <c r="J5387" s="29" t="s">
        <v>4118</v>
      </c>
      <c r="K5387" s="29"/>
      <c r="L5387" s="29" t="s">
        <v>1546</v>
      </c>
      <c r="M5387" s="29"/>
      <c r="N5387" s="29" t="s">
        <v>1547</v>
      </c>
      <c r="O5387" s="29"/>
      <c r="P5387" s="29" t="s">
        <v>1853</v>
      </c>
      <c r="Q5387" t="s">
        <v>2041</v>
      </c>
      <c r="R5387" t="s">
        <v>2634</v>
      </c>
      <c r="S5387">
        <v>35</v>
      </c>
      <c r="T5387" s="43" t="str">
        <f t="shared" si="251"/>
        <v>2019.012D.zip</v>
      </c>
      <c r="U5387" s="43" t="str">
        <f>HYPERLINK("https://ictv.global/taxonomy/taxondetails?taxnode_id=202203418","ictv.global=202203418")</f>
        <v>ictv.global=202203418</v>
      </c>
    </row>
    <row r="5388" spans="1:21">
      <c r="A5388">
        <v>5387</v>
      </c>
      <c r="B5388" s="29" t="s">
        <v>4053</v>
      </c>
      <c r="C5388" s="29"/>
      <c r="D5388" s="29" t="s">
        <v>4082</v>
      </c>
      <c r="E5388" s="29"/>
      <c r="F5388" s="29" t="s">
        <v>4106</v>
      </c>
      <c r="G5388" s="29"/>
      <c r="H5388" s="29" t="s">
        <v>4117</v>
      </c>
      <c r="I5388" s="29"/>
      <c r="J5388" s="29" t="s">
        <v>4118</v>
      </c>
      <c r="K5388" s="29"/>
      <c r="L5388" s="29" t="s">
        <v>1546</v>
      </c>
      <c r="M5388" s="29"/>
      <c r="N5388" s="29" t="s">
        <v>1547</v>
      </c>
      <c r="O5388" s="29"/>
      <c r="P5388" s="29" t="s">
        <v>1416</v>
      </c>
      <c r="Q5388" t="s">
        <v>2041</v>
      </c>
      <c r="R5388" t="s">
        <v>2634</v>
      </c>
      <c r="S5388">
        <v>35</v>
      </c>
      <c r="T5388" s="43" t="str">
        <f t="shared" si="251"/>
        <v>2019.012D.zip</v>
      </c>
      <c r="U5388" s="43" t="str">
        <f>HYPERLINK("https://ictv.global/taxonomy/taxondetails?taxnode_id=202203419","ictv.global=202203419")</f>
        <v>ictv.global=202203419</v>
      </c>
    </row>
    <row r="5389" spans="1:21">
      <c r="A5389">
        <v>5388</v>
      </c>
      <c r="B5389" s="29" t="s">
        <v>4053</v>
      </c>
      <c r="C5389" s="29"/>
      <c r="D5389" s="29" t="s">
        <v>4082</v>
      </c>
      <c r="E5389" s="29"/>
      <c r="F5389" s="29" t="s">
        <v>4106</v>
      </c>
      <c r="G5389" s="29"/>
      <c r="H5389" s="29" t="s">
        <v>4117</v>
      </c>
      <c r="I5389" s="29"/>
      <c r="J5389" s="29" t="s">
        <v>4118</v>
      </c>
      <c r="K5389" s="29"/>
      <c r="L5389" s="29" t="s">
        <v>1546</v>
      </c>
      <c r="M5389" s="29"/>
      <c r="N5389" s="29" t="s">
        <v>1547</v>
      </c>
      <c r="O5389" s="29"/>
      <c r="P5389" s="29" t="s">
        <v>1354</v>
      </c>
      <c r="Q5389" t="s">
        <v>2041</v>
      </c>
      <c r="R5389" t="s">
        <v>2634</v>
      </c>
      <c r="S5389">
        <v>35</v>
      </c>
      <c r="T5389" s="43" t="str">
        <f t="shared" si="251"/>
        <v>2019.012D.zip</v>
      </c>
      <c r="U5389" s="43" t="str">
        <f>HYPERLINK("https://ictv.global/taxonomy/taxondetails?taxnode_id=202203420","ictv.global=202203420")</f>
        <v>ictv.global=202203420</v>
      </c>
    </row>
    <row r="5390" spans="1:21">
      <c r="A5390">
        <v>5389</v>
      </c>
      <c r="B5390" s="29" t="s">
        <v>4053</v>
      </c>
      <c r="C5390" s="29"/>
      <c r="D5390" s="29" t="s">
        <v>4082</v>
      </c>
      <c r="E5390" s="29"/>
      <c r="F5390" s="29" t="s">
        <v>4106</v>
      </c>
      <c r="G5390" s="29"/>
      <c r="H5390" s="29" t="s">
        <v>4117</v>
      </c>
      <c r="I5390" s="29"/>
      <c r="J5390" s="29" t="s">
        <v>4118</v>
      </c>
      <c r="K5390" s="29"/>
      <c r="L5390" s="29" t="s">
        <v>1546</v>
      </c>
      <c r="M5390" s="29"/>
      <c r="N5390" s="29" t="s">
        <v>1547</v>
      </c>
      <c r="O5390" s="29"/>
      <c r="P5390" s="29" t="s">
        <v>1854</v>
      </c>
      <c r="Q5390" t="s">
        <v>2041</v>
      </c>
      <c r="R5390" t="s">
        <v>2634</v>
      </c>
      <c r="S5390">
        <v>35</v>
      </c>
      <c r="T5390" s="43" t="str">
        <f t="shared" si="251"/>
        <v>2019.012D.zip</v>
      </c>
      <c r="U5390" s="43" t="str">
        <f>HYPERLINK("https://ictv.global/taxonomy/taxondetails?taxnode_id=202203421","ictv.global=202203421")</f>
        <v>ictv.global=202203421</v>
      </c>
    </row>
    <row r="5391" spans="1:21">
      <c r="A5391">
        <v>5390</v>
      </c>
      <c r="B5391" s="29" t="s">
        <v>4053</v>
      </c>
      <c r="C5391" s="29"/>
      <c r="D5391" s="29" t="s">
        <v>4082</v>
      </c>
      <c r="E5391" s="29"/>
      <c r="F5391" s="29" t="s">
        <v>4106</v>
      </c>
      <c r="G5391" s="29"/>
      <c r="H5391" s="29" t="s">
        <v>4117</v>
      </c>
      <c r="I5391" s="29"/>
      <c r="J5391" s="29" t="s">
        <v>4118</v>
      </c>
      <c r="K5391" s="29"/>
      <c r="L5391" s="29" t="s">
        <v>1546</v>
      </c>
      <c r="M5391" s="29"/>
      <c r="N5391" s="29" t="s">
        <v>1547</v>
      </c>
      <c r="O5391" s="29"/>
      <c r="P5391" s="29" t="s">
        <v>1855</v>
      </c>
      <c r="Q5391" t="s">
        <v>2041</v>
      </c>
      <c r="R5391" t="s">
        <v>2634</v>
      </c>
      <c r="S5391">
        <v>35</v>
      </c>
      <c r="T5391" s="43" t="str">
        <f t="shared" si="251"/>
        <v>2019.012D.zip</v>
      </c>
      <c r="U5391" s="43" t="str">
        <f>HYPERLINK("https://ictv.global/taxonomy/taxondetails?taxnode_id=202203422","ictv.global=202203422")</f>
        <v>ictv.global=202203422</v>
      </c>
    </row>
    <row r="5392" spans="1:21">
      <c r="A5392">
        <v>5391</v>
      </c>
      <c r="B5392" s="29" t="s">
        <v>4053</v>
      </c>
      <c r="C5392" s="29"/>
      <c r="D5392" s="29" t="s">
        <v>4082</v>
      </c>
      <c r="E5392" s="29"/>
      <c r="F5392" s="29" t="s">
        <v>4106</v>
      </c>
      <c r="G5392" s="29"/>
      <c r="H5392" s="29" t="s">
        <v>4117</v>
      </c>
      <c r="I5392" s="29"/>
      <c r="J5392" s="29" t="s">
        <v>4118</v>
      </c>
      <c r="K5392" s="29"/>
      <c r="L5392" s="29" t="s">
        <v>1546</v>
      </c>
      <c r="M5392" s="29"/>
      <c r="N5392" s="29" t="s">
        <v>1547</v>
      </c>
      <c r="O5392" s="29"/>
      <c r="P5392" s="29" t="s">
        <v>1129</v>
      </c>
      <c r="Q5392" t="s">
        <v>2041</v>
      </c>
      <c r="R5392" t="s">
        <v>2634</v>
      </c>
      <c r="S5392">
        <v>35</v>
      </c>
      <c r="T5392" s="43" t="str">
        <f t="shared" si="251"/>
        <v>2019.012D.zip</v>
      </c>
      <c r="U5392" s="43" t="str">
        <f>HYPERLINK("https://ictv.global/taxonomy/taxondetails?taxnode_id=202203423","ictv.global=202203423")</f>
        <v>ictv.global=202203423</v>
      </c>
    </row>
    <row r="5393" spans="1:21">
      <c r="A5393">
        <v>5392</v>
      </c>
      <c r="B5393" s="29" t="s">
        <v>4053</v>
      </c>
      <c r="C5393" s="29"/>
      <c r="D5393" s="29" t="s">
        <v>4082</v>
      </c>
      <c r="E5393" s="29"/>
      <c r="F5393" s="29" t="s">
        <v>4106</v>
      </c>
      <c r="G5393" s="29"/>
      <c r="H5393" s="29" t="s">
        <v>4117</v>
      </c>
      <c r="I5393" s="29"/>
      <c r="J5393" s="29" t="s">
        <v>4118</v>
      </c>
      <c r="K5393" s="29"/>
      <c r="L5393" s="29" t="s">
        <v>1546</v>
      </c>
      <c r="M5393" s="29"/>
      <c r="N5393" s="29" t="s">
        <v>1547</v>
      </c>
      <c r="O5393" s="29"/>
      <c r="P5393" s="29" t="s">
        <v>374</v>
      </c>
      <c r="Q5393" t="s">
        <v>2041</v>
      </c>
      <c r="R5393" t="s">
        <v>2634</v>
      </c>
      <c r="S5393">
        <v>35</v>
      </c>
      <c r="T5393" s="43" t="str">
        <f t="shared" si="251"/>
        <v>2019.012D.zip</v>
      </c>
      <c r="U5393" s="43" t="str">
        <f>HYPERLINK("https://ictv.global/taxonomy/taxondetails?taxnode_id=202203424","ictv.global=202203424")</f>
        <v>ictv.global=202203424</v>
      </c>
    </row>
    <row r="5394" spans="1:21">
      <c r="A5394">
        <v>5393</v>
      </c>
      <c r="B5394" s="29" t="s">
        <v>4053</v>
      </c>
      <c r="C5394" s="29"/>
      <c r="D5394" s="29" t="s">
        <v>4082</v>
      </c>
      <c r="E5394" s="29"/>
      <c r="F5394" s="29" t="s">
        <v>4106</v>
      </c>
      <c r="G5394" s="29"/>
      <c r="H5394" s="29" t="s">
        <v>4117</v>
      </c>
      <c r="I5394" s="29"/>
      <c r="J5394" s="29" t="s">
        <v>4118</v>
      </c>
      <c r="K5394" s="29"/>
      <c r="L5394" s="29" t="s">
        <v>1546</v>
      </c>
      <c r="M5394" s="29"/>
      <c r="N5394" s="29" t="s">
        <v>1547</v>
      </c>
      <c r="O5394" s="29"/>
      <c r="P5394" s="29" t="s">
        <v>375</v>
      </c>
      <c r="Q5394" t="s">
        <v>2041</v>
      </c>
      <c r="R5394" t="s">
        <v>2634</v>
      </c>
      <c r="S5394">
        <v>35</v>
      </c>
      <c r="T5394" s="43" t="str">
        <f t="shared" si="251"/>
        <v>2019.012D.zip</v>
      </c>
      <c r="U5394" s="43" t="str">
        <f>HYPERLINK("https://ictv.global/taxonomy/taxondetails?taxnode_id=202203425","ictv.global=202203425")</f>
        <v>ictv.global=202203425</v>
      </c>
    </row>
    <row r="5395" spans="1:21">
      <c r="A5395">
        <v>5394</v>
      </c>
      <c r="B5395" s="29" t="s">
        <v>4053</v>
      </c>
      <c r="C5395" s="29"/>
      <c r="D5395" s="29" t="s">
        <v>4082</v>
      </c>
      <c r="E5395" s="29"/>
      <c r="F5395" s="29" t="s">
        <v>4106</v>
      </c>
      <c r="G5395" s="29"/>
      <c r="H5395" s="29" t="s">
        <v>4117</v>
      </c>
      <c r="I5395" s="29"/>
      <c r="J5395" s="29" t="s">
        <v>4118</v>
      </c>
      <c r="K5395" s="29"/>
      <c r="L5395" s="29" t="s">
        <v>1546</v>
      </c>
      <c r="M5395" s="29"/>
      <c r="N5395" s="29" t="s">
        <v>1547</v>
      </c>
      <c r="O5395" s="29"/>
      <c r="P5395" s="29" t="s">
        <v>1856</v>
      </c>
      <c r="Q5395" t="s">
        <v>2041</v>
      </c>
      <c r="R5395" t="s">
        <v>2634</v>
      </c>
      <c r="S5395">
        <v>35</v>
      </c>
      <c r="T5395" s="43" t="str">
        <f t="shared" si="251"/>
        <v>2019.012D.zip</v>
      </c>
      <c r="U5395" s="43" t="str">
        <f>HYPERLINK("https://ictv.global/taxonomy/taxondetails?taxnode_id=202203426","ictv.global=202203426")</f>
        <v>ictv.global=202203426</v>
      </c>
    </row>
    <row r="5396" spans="1:21">
      <c r="A5396">
        <v>5395</v>
      </c>
      <c r="B5396" s="29" t="s">
        <v>4053</v>
      </c>
      <c r="C5396" s="29"/>
      <c r="D5396" s="29" t="s">
        <v>4082</v>
      </c>
      <c r="E5396" s="29"/>
      <c r="F5396" s="29" t="s">
        <v>4106</v>
      </c>
      <c r="G5396" s="29"/>
      <c r="H5396" s="29" t="s">
        <v>4117</v>
      </c>
      <c r="I5396" s="29"/>
      <c r="J5396" s="29" t="s">
        <v>4118</v>
      </c>
      <c r="K5396" s="29"/>
      <c r="L5396" s="29" t="s">
        <v>1546</v>
      </c>
      <c r="M5396" s="29"/>
      <c r="N5396" s="29" t="s">
        <v>1547</v>
      </c>
      <c r="O5396" s="29"/>
      <c r="P5396" s="29" t="s">
        <v>1857</v>
      </c>
      <c r="Q5396" t="s">
        <v>2041</v>
      </c>
      <c r="R5396" t="s">
        <v>2634</v>
      </c>
      <c r="S5396">
        <v>35</v>
      </c>
      <c r="T5396" s="43" t="str">
        <f t="shared" si="251"/>
        <v>2019.012D.zip</v>
      </c>
      <c r="U5396" s="43" t="str">
        <f>HYPERLINK("https://ictv.global/taxonomy/taxondetails?taxnode_id=202203427","ictv.global=202203427")</f>
        <v>ictv.global=202203427</v>
      </c>
    </row>
    <row r="5397" spans="1:21">
      <c r="A5397">
        <v>5396</v>
      </c>
      <c r="B5397" s="29" t="s">
        <v>4053</v>
      </c>
      <c r="C5397" s="29"/>
      <c r="D5397" s="29" t="s">
        <v>4082</v>
      </c>
      <c r="E5397" s="29"/>
      <c r="F5397" s="29" t="s">
        <v>4106</v>
      </c>
      <c r="G5397" s="29"/>
      <c r="H5397" s="29" t="s">
        <v>4117</v>
      </c>
      <c r="I5397" s="29"/>
      <c r="J5397" s="29" t="s">
        <v>4118</v>
      </c>
      <c r="K5397" s="29"/>
      <c r="L5397" s="29" t="s">
        <v>1546</v>
      </c>
      <c r="M5397" s="29"/>
      <c r="N5397" s="29" t="s">
        <v>1547</v>
      </c>
      <c r="O5397" s="29"/>
      <c r="P5397" s="29" t="s">
        <v>361</v>
      </c>
      <c r="Q5397" t="s">
        <v>2041</v>
      </c>
      <c r="R5397" t="s">
        <v>2634</v>
      </c>
      <c r="S5397">
        <v>35</v>
      </c>
      <c r="T5397" s="43" t="str">
        <f t="shared" si="251"/>
        <v>2019.012D.zip</v>
      </c>
      <c r="U5397" s="43" t="str">
        <f>HYPERLINK("https://ictv.global/taxonomy/taxondetails?taxnode_id=202203428","ictv.global=202203428")</f>
        <v>ictv.global=202203428</v>
      </c>
    </row>
    <row r="5398" spans="1:21">
      <c r="A5398">
        <v>5397</v>
      </c>
      <c r="B5398" s="29" t="s">
        <v>4053</v>
      </c>
      <c r="C5398" s="29"/>
      <c r="D5398" s="29" t="s">
        <v>4082</v>
      </c>
      <c r="E5398" s="29"/>
      <c r="F5398" s="29" t="s">
        <v>4106</v>
      </c>
      <c r="G5398" s="29"/>
      <c r="H5398" s="29" t="s">
        <v>4117</v>
      </c>
      <c r="I5398" s="29"/>
      <c r="J5398" s="29" t="s">
        <v>4118</v>
      </c>
      <c r="K5398" s="29"/>
      <c r="L5398" s="29" t="s">
        <v>1546</v>
      </c>
      <c r="M5398" s="29"/>
      <c r="N5398" s="29" t="s">
        <v>1547</v>
      </c>
      <c r="O5398" s="29"/>
      <c r="P5398" s="29" t="s">
        <v>1858</v>
      </c>
      <c r="Q5398" t="s">
        <v>2041</v>
      </c>
      <c r="R5398" t="s">
        <v>2634</v>
      </c>
      <c r="S5398">
        <v>35</v>
      </c>
      <c r="T5398" s="43" t="str">
        <f t="shared" si="251"/>
        <v>2019.012D.zip</v>
      </c>
      <c r="U5398" s="43" t="str">
        <f>HYPERLINK("https://ictv.global/taxonomy/taxondetails?taxnode_id=202203429","ictv.global=202203429")</f>
        <v>ictv.global=202203429</v>
      </c>
    </row>
    <row r="5399" spans="1:21">
      <c r="A5399">
        <v>5398</v>
      </c>
      <c r="B5399" s="29" t="s">
        <v>4053</v>
      </c>
      <c r="C5399" s="29"/>
      <c r="D5399" s="29" t="s">
        <v>4082</v>
      </c>
      <c r="E5399" s="29"/>
      <c r="F5399" s="29" t="s">
        <v>4106</v>
      </c>
      <c r="G5399" s="29"/>
      <c r="H5399" s="29" t="s">
        <v>4117</v>
      </c>
      <c r="I5399" s="29"/>
      <c r="J5399" s="29" t="s">
        <v>4118</v>
      </c>
      <c r="K5399" s="29"/>
      <c r="L5399" s="29" t="s">
        <v>1546</v>
      </c>
      <c r="M5399" s="29"/>
      <c r="N5399" s="29" t="s">
        <v>1547</v>
      </c>
      <c r="O5399" s="29"/>
      <c r="P5399" s="29" t="s">
        <v>3648</v>
      </c>
      <c r="Q5399" t="s">
        <v>2041</v>
      </c>
      <c r="R5399" t="s">
        <v>2634</v>
      </c>
      <c r="S5399">
        <v>35</v>
      </c>
      <c r="T5399" s="43" t="str">
        <f t="shared" si="251"/>
        <v>2019.012D.zip</v>
      </c>
      <c r="U5399" s="43" t="str">
        <f>HYPERLINK("https://ictv.global/taxonomy/taxondetails?taxnode_id=202206709","ictv.global=202206709")</f>
        <v>ictv.global=202206709</v>
      </c>
    </row>
    <row r="5400" spans="1:21">
      <c r="A5400">
        <v>5399</v>
      </c>
      <c r="B5400" s="29" t="s">
        <v>4053</v>
      </c>
      <c r="C5400" s="29"/>
      <c r="D5400" s="29" t="s">
        <v>4082</v>
      </c>
      <c r="E5400" s="29"/>
      <c r="F5400" s="29" t="s">
        <v>4106</v>
      </c>
      <c r="G5400" s="29"/>
      <c r="H5400" s="29" t="s">
        <v>4117</v>
      </c>
      <c r="I5400" s="29"/>
      <c r="J5400" s="29" t="s">
        <v>4118</v>
      </c>
      <c r="K5400" s="29"/>
      <c r="L5400" s="29" t="s">
        <v>1546</v>
      </c>
      <c r="M5400" s="29"/>
      <c r="N5400" s="29" t="s">
        <v>1547</v>
      </c>
      <c r="O5400" s="29"/>
      <c r="P5400" s="29" t="s">
        <v>249</v>
      </c>
      <c r="Q5400" t="s">
        <v>2041</v>
      </c>
      <c r="R5400" t="s">
        <v>2634</v>
      </c>
      <c r="S5400">
        <v>35</v>
      </c>
      <c r="T5400" s="43" t="str">
        <f t="shared" si="251"/>
        <v>2019.012D.zip</v>
      </c>
      <c r="U5400" s="43" t="str">
        <f>HYPERLINK("https://ictv.global/taxonomy/taxondetails?taxnode_id=202203430","ictv.global=202203430")</f>
        <v>ictv.global=202203430</v>
      </c>
    </row>
    <row r="5401" spans="1:21">
      <c r="A5401">
        <v>5400</v>
      </c>
      <c r="B5401" s="29" t="s">
        <v>4053</v>
      </c>
      <c r="C5401" s="29"/>
      <c r="D5401" s="29" t="s">
        <v>4082</v>
      </c>
      <c r="E5401" s="29"/>
      <c r="F5401" s="29" t="s">
        <v>4106</v>
      </c>
      <c r="G5401" s="29"/>
      <c r="H5401" s="29" t="s">
        <v>4117</v>
      </c>
      <c r="I5401" s="29"/>
      <c r="J5401" s="29" t="s">
        <v>4118</v>
      </c>
      <c r="K5401" s="29"/>
      <c r="L5401" s="29" t="s">
        <v>1546</v>
      </c>
      <c r="M5401" s="29"/>
      <c r="N5401" s="29" t="s">
        <v>1547</v>
      </c>
      <c r="O5401" s="29"/>
      <c r="P5401" s="29" t="s">
        <v>253</v>
      </c>
      <c r="Q5401" t="s">
        <v>2041</v>
      </c>
      <c r="R5401" t="s">
        <v>2634</v>
      </c>
      <c r="S5401">
        <v>35</v>
      </c>
      <c r="T5401" s="43" t="str">
        <f t="shared" si="251"/>
        <v>2019.012D.zip</v>
      </c>
      <c r="U5401" s="43" t="str">
        <f>HYPERLINK("https://ictv.global/taxonomy/taxondetails?taxnode_id=202203431","ictv.global=202203431")</f>
        <v>ictv.global=202203431</v>
      </c>
    </row>
    <row r="5402" spans="1:21">
      <c r="A5402">
        <v>5401</v>
      </c>
      <c r="B5402" s="29" t="s">
        <v>4053</v>
      </c>
      <c r="C5402" s="29"/>
      <c r="D5402" s="29" t="s">
        <v>4082</v>
      </c>
      <c r="E5402" s="29"/>
      <c r="F5402" s="29" t="s">
        <v>4106</v>
      </c>
      <c r="G5402" s="29"/>
      <c r="H5402" s="29" t="s">
        <v>4117</v>
      </c>
      <c r="I5402" s="29"/>
      <c r="J5402" s="29" t="s">
        <v>4118</v>
      </c>
      <c r="K5402" s="29"/>
      <c r="L5402" s="29" t="s">
        <v>1546</v>
      </c>
      <c r="M5402" s="29"/>
      <c r="N5402" s="29" t="s">
        <v>1547</v>
      </c>
      <c r="O5402" s="29"/>
      <c r="P5402" s="29" t="s">
        <v>671</v>
      </c>
      <c r="Q5402" t="s">
        <v>2041</v>
      </c>
      <c r="R5402" t="s">
        <v>2634</v>
      </c>
      <c r="S5402">
        <v>35</v>
      </c>
      <c r="T5402" s="43" t="str">
        <f t="shared" si="251"/>
        <v>2019.012D.zip</v>
      </c>
      <c r="U5402" s="43" t="str">
        <f>HYPERLINK("https://ictv.global/taxonomy/taxondetails?taxnode_id=202203432","ictv.global=202203432")</f>
        <v>ictv.global=202203432</v>
      </c>
    </row>
    <row r="5403" spans="1:21">
      <c r="A5403">
        <v>5402</v>
      </c>
      <c r="B5403" s="29" t="s">
        <v>4053</v>
      </c>
      <c r="C5403" s="29"/>
      <c r="D5403" s="29" t="s">
        <v>4082</v>
      </c>
      <c r="E5403" s="29"/>
      <c r="F5403" s="29" t="s">
        <v>4106</v>
      </c>
      <c r="G5403" s="29"/>
      <c r="H5403" s="29" t="s">
        <v>4117</v>
      </c>
      <c r="I5403" s="29"/>
      <c r="J5403" s="29" t="s">
        <v>4118</v>
      </c>
      <c r="K5403" s="29"/>
      <c r="L5403" s="29" t="s">
        <v>1546</v>
      </c>
      <c r="M5403" s="29"/>
      <c r="N5403" s="29" t="s">
        <v>1547</v>
      </c>
      <c r="O5403" s="29"/>
      <c r="P5403" s="29" t="s">
        <v>3649</v>
      </c>
      <c r="Q5403" t="s">
        <v>2041</v>
      </c>
      <c r="R5403" t="s">
        <v>2634</v>
      </c>
      <c r="S5403">
        <v>35</v>
      </c>
      <c r="T5403" s="43" t="str">
        <f t="shared" si="251"/>
        <v>2019.012D.zip</v>
      </c>
      <c r="U5403" s="43" t="str">
        <f>HYPERLINK("https://ictv.global/taxonomy/taxondetails?taxnode_id=202206713","ictv.global=202206713")</f>
        <v>ictv.global=202206713</v>
      </c>
    </row>
    <row r="5404" spans="1:21">
      <c r="A5404">
        <v>5403</v>
      </c>
      <c r="B5404" s="29" t="s">
        <v>4053</v>
      </c>
      <c r="C5404" s="29"/>
      <c r="D5404" s="29" t="s">
        <v>4082</v>
      </c>
      <c r="E5404" s="29"/>
      <c r="F5404" s="29" t="s">
        <v>4106</v>
      </c>
      <c r="G5404" s="29"/>
      <c r="H5404" s="29" t="s">
        <v>4117</v>
      </c>
      <c r="I5404" s="29"/>
      <c r="J5404" s="29" t="s">
        <v>4118</v>
      </c>
      <c r="K5404" s="29"/>
      <c r="L5404" s="29" t="s">
        <v>1546</v>
      </c>
      <c r="M5404" s="29"/>
      <c r="N5404" s="29" t="s">
        <v>1547</v>
      </c>
      <c r="O5404" s="29"/>
      <c r="P5404" s="29" t="s">
        <v>3650</v>
      </c>
      <c r="Q5404" t="s">
        <v>2041</v>
      </c>
      <c r="R5404" t="s">
        <v>2634</v>
      </c>
      <c r="S5404">
        <v>35</v>
      </c>
      <c r="T5404" s="43" t="str">
        <f t="shared" si="251"/>
        <v>2019.012D.zip</v>
      </c>
      <c r="U5404" s="43" t="str">
        <f>HYPERLINK("https://ictv.global/taxonomy/taxondetails?taxnode_id=202206714","ictv.global=202206714")</f>
        <v>ictv.global=202206714</v>
      </c>
    </row>
    <row r="5405" spans="1:21">
      <c r="A5405">
        <v>5404</v>
      </c>
      <c r="B5405" s="29" t="s">
        <v>4053</v>
      </c>
      <c r="C5405" s="29"/>
      <c r="D5405" s="29" t="s">
        <v>4082</v>
      </c>
      <c r="E5405" s="29"/>
      <c r="F5405" s="29" t="s">
        <v>4106</v>
      </c>
      <c r="G5405" s="29"/>
      <c r="H5405" s="29" t="s">
        <v>4117</v>
      </c>
      <c r="I5405" s="29"/>
      <c r="J5405" s="29" t="s">
        <v>4118</v>
      </c>
      <c r="K5405" s="29"/>
      <c r="L5405" s="29" t="s">
        <v>1546</v>
      </c>
      <c r="M5405" s="29"/>
      <c r="N5405" s="29" t="s">
        <v>1547</v>
      </c>
      <c r="O5405" s="29"/>
      <c r="P5405" s="29" t="s">
        <v>1130</v>
      </c>
      <c r="Q5405" t="s">
        <v>2041</v>
      </c>
      <c r="R5405" t="s">
        <v>2634</v>
      </c>
      <c r="S5405">
        <v>35</v>
      </c>
      <c r="T5405" s="43" t="str">
        <f t="shared" si="251"/>
        <v>2019.012D.zip</v>
      </c>
      <c r="U5405" s="43" t="str">
        <f>HYPERLINK("https://ictv.global/taxonomy/taxondetails?taxnode_id=202203433","ictv.global=202203433")</f>
        <v>ictv.global=202203433</v>
      </c>
    </row>
    <row r="5406" spans="1:21">
      <c r="A5406">
        <v>5405</v>
      </c>
      <c r="B5406" s="29" t="s">
        <v>4053</v>
      </c>
      <c r="C5406" s="29"/>
      <c r="D5406" s="29" t="s">
        <v>4082</v>
      </c>
      <c r="E5406" s="29"/>
      <c r="F5406" s="29" t="s">
        <v>4106</v>
      </c>
      <c r="G5406" s="29"/>
      <c r="H5406" s="29" t="s">
        <v>4117</v>
      </c>
      <c r="I5406" s="29"/>
      <c r="J5406" s="29" t="s">
        <v>4118</v>
      </c>
      <c r="K5406" s="29"/>
      <c r="L5406" s="29" t="s">
        <v>1546</v>
      </c>
      <c r="M5406" s="29"/>
      <c r="N5406" s="29" t="s">
        <v>1547</v>
      </c>
      <c r="O5406" s="29"/>
      <c r="P5406" s="29" t="s">
        <v>4924</v>
      </c>
      <c r="Q5406" t="s">
        <v>2265</v>
      </c>
      <c r="R5406" t="s">
        <v>2632</v>
      </c>
      <c r="S5406">
        <v>36</v>
      </c>
      <c r="T5406" s="43" t="str">
        <f>HYPERLINK("https://ictv.global/ictv/proposals/2020.006P.R.Begomovirus_22nsp.zip","2020.006P.R.Begomovirus_22nsp.zip")</f>
        <v>2020.006P.R.Begomovirus_22nsp.zip</v>
      </c>
      <c r="U5406" s="43" t="str">
        <f>HYPERLINK("https://ictv.global/taxonomy/taxondetails?taxnode_id=202209134","ictv.global=202209134")</f>
        <v>ictv.global=202209134</v>
      </c>
    </row>
    <row r="5407" spans="1:21">
      <c r="A5407">
        <v>5406</v>
      </c>
      <c r="B5407" s="29" t="s">
        <v>4053</v>
      </c>
      <c r="C5407" s="29"/>
      <c r="D5407" s="29" t="s">
        <v>4082</v>
      </c>
      <c r="E5407" s="29"/>
      <c r="F5407" s="29" t="s">
        <v>4106</v>
      </c>
      <c r="G5407" s="29"/>
      <c r="H5407" s="29" t="s">
        <v>4117</v>
      </c>
      <c r="I5407" s="29"/>
      <c r="J5407" s="29" t="s">
        <v>4118</v>
      </c>
      <c r="K5407" s="29"/>
      <c r="L5407" s="29" t="s">
        <v>1546</v>
      </c>
      <c r="M5407" s="29"/>
      <c r="N5407" s="29" t="s">
        <v>1547</v>
      </c>
      <c r="O5407" s="29"/>
      <c r="P5407" s="29" t="s">
        <v>1131</v>
      </c>
      <c r="Q5407" t="s">
        <v>2041</v>
      </c>
      <c r="R5407" t="s">
        <v>2634</v>
      </c>
      <c r="S5407">
        <v>35</v>
      </c>
      <c r="T5407" s="43" t="str">
        <f>HYPERLINK("https://ictv.global/ictv/proposals/2019.012D.zip","2019.012D.zip")</f>
        <v>2019.012D.zip</v>
      </c>
      <c r="U5407" s="43" t="str">
        <f>HYPERLINK("https://ictv.global/taxonomy/taxondetails?taxnode_id=202203434","ictv.global=202203434")</f>
        <v>ictv.global=202203434</v>
      </c>
    </row>
    <row r="5408" spans="1:21">
      <c r="A5408">
        <v>5407</v>
      </c>
      <c r="B5408" s="29" t="s">
        <v>4053</v>
      </c>
      <c r="C5408" s="29"/>
      <c r="D5408" s="29" t="s">
        <v>4082</v>
      </c>
      <c r="E5408" s="29"/>
      <c r="F5408" s="29" t="s">
        <v>4106</v>
      </c>
      <c r="G5408" s="29"/>
      <c r="H5408" s="29" t="s">
        <v>4117</v>
      </c>
      <c r="I5408" s="29"/>
      <c r="J5408" s="29" t="s">
        <v>4118</v>
      </c>
      <c r="K5408" s="29"/>
      <c r="L5408" s="29" t="s">
        <v>1546</v>
      </c>
      <c r="M5408" s="29"/>
      <c r="N5408" s="29" t="s">
        <v>1547</v>
      </c>
      <c r="O5408" s="29"/>
      <c r="P5408" s="29" t="s">
        <v>2248</v>
      </c>
      <c r="Q5408" t="s">
        <v>2041</v>
      </c>
      <c r="R5408" t="s">
        <v>2634</v>
      </c>
      <c r="S5408">
        <v>35</v>
      </c>
      <c r="T5408" s="43" t="str">
        <f>HYPERLINK("https://ictv.global/ictv/proposals/2019.012D.zip","2019.012D.zip")</f>
        <v>2019.012D.zip</v>
      </c>
      <c r="U5408" s="43" t="str">
        <f>HYPERLINK("https://ictv.global/taxonomy/taxondetails?taxnode_id=202203435","ictv.global=202203435")</f>
        <v>ictv.global=202203435</v>
      </c>
    </row>
    <row r="5409" spans="1:21">
      <c r="A5409">
        <v>5408</v>
      </c>
      <c r="B5409" s="29" t="s">
        <v>4053</v>
      </c>
      <c r="C5409" s="29"/>
      <c r="D5409" s="29" t="s">
        <v>4082</v>
      </c>
      <c r="E5409" s="29"/>
      <c r="F5409" s="29" t="s">
        <v>4106</v>
      </c>
      <c r="G5409" s="29"/>
      <c r="H5409" s="29" t="s">
        <v>4117</v>
      </c>
      <c r="I5409" s="29"/>
      <c r="J5409" s="29" t="s">
        <v>4118</v>
      </c>
      <c r="K5409" s="29"/>
      <c r="L5409" s="29" t="s">
        <v>1546</v>
      </c>
      <c r="M5409" s="29"/>
      <c r="N5409" s="29" t="s">
        <v>1547</v>
      </c>
      <c r="O5409" s="29"/>
      <c r="P5409" s="29" t="s">
        <v>1132</v>
      </c>
      <c r="Q5409" t="s">
        <v>2041</v>
      </c>
      <c r="R5409" t="s">
        <v>2634</v>
      </c>
      <c r="S5409">
        <v>35</v>
      </c>
      <c r="T5409" s="43" t="str">
        <f>HYPERLINK("https://ictv.global/ictv/proposals/2019.012D.zip","2019.012D.zip")</f>
        <v>2019.012D.zip</v>
      </c>
      <c r="U5409" s="43" t="str">
        <f>HYPERLINK("https://ictv.global/taxonomy/taxondetails?taxnode_id=202203436","ictv.global=202203436")</f>
        <v>ictv.global=202203436</v>
      </c>
    </row>
    <row r="5410" spans="1:21">
      <c r="A5410">
        <v>5409</v>
      </c>
      <c r="B5410" s="29" t="s">
        <v>4053</v>
      </c>
      <c r="C5410" s="29"/>
      <c r="D5410" s="29" t="s">
        <v>4082</v>
      </c>
      <c r="E5410" s="29"/>
      <c r="F5410" s="29" t="s">
        <v>4106</v>
      </c>
      <c r="G5410" s="29"/>
      <c r="H5410" s="29" t="s">
        <v>4117</v>
      </c>
      <c r="I5410" s="29"/>
      <c r="J5410" s="29" t="s">
        <v>4118</v>
      </c>
      <c r="K5410" s="29"/>
      <c r="L5410" s="29" t="s">
        <v>1546</v>
      </c>
      <c r="M5410" s="29"/>
      <c r="N5410" s="29" t="s">
        <v>1547</v>
      </c>
      <c r="O5410" s="29"/>
      <c r="P5410" s="29" t="s">
        <v>4133</v>
      </c>
      <c r="Q5410" t="s">
        <v>2265</v>
      </c>
      <c r="R5410" t="s">
        <v>2632</v>
      </c>
      <c r="S5410">
        <v>35</v>
      </c>
      <c r="T5410" s="43" t="str">
        <f>HYPERLINK("https://ictv.global/ictv/proposals/2019.022P.zip","2019.022P.zip")</f>
        <v>2019.022P.zip</v>
      </c>
      <c r="U5410" s="43" t="str">
        <f>HYPERLINK("https://ictv.global/taxonomy/taxondetails?taxnode_id=202207531","ictv.global=202207531")</f>
        <v>ictv.global=202207531</v>
      </c>
    </row>
    <row r="5411" spans="1:21">
      <c r="A5411">
        <v>5410</v>
      </c>
      <c r="B5411" s="29" t="s">
        <v>4053</v>
      </c>
      <c r="C5411" s="29"/>
      <c r="D5411" s="29" t="s">
        <v>4082</v>
      </c>
      <c r="E5411" s="29"/>
      <c r="F5411" s="29" t="s">
        <v>4106</v>
      </c>
      <c r="G5411" s="29"/>
      <c r="H5411" s="29" t="s">
        <v>4117</v>
      </c>
      <c r="I5411" s="29"/>
      <c r="J5411" s="29" t="s">
        <v>4118</v>
      </c>
      <c r="K5411" s="29"/>
      <c r="L5411" s="29" t="s">
        <v>1546</v>
      </c>
      <c r="M5411" s="29"/>
      <c r="N5411" s="29" t="s">
        <v>1547</v>
      </c>
      <c r="O5411" s="29"/>
      <c r="P5411" s="29" t="s">
        <v>1133</v>
      </c>
      <c r="Q5411" t="s">
        <v>2041</v>
      </c>
      <c r="R5411" t="s">
        <v>2634</v>
      </c>
      <c r="S5411">
        <v>35</v>
      </c>
      <c r="T5411" s="43" t="str">
        <f t="shared" ref="T5411:T5442" si="252">HYPERLINK("https://ictv.global/ictv/proposals/2019.012D.zip","2019.012D.zip")</f>
        <v>2019.012D.zip</v>
      </c>
      <c r="U5411" s="43" t="str">
        <f>HYPERLINK("https://ictv.global/taxonomy/taxondetails?taxnode_id=202203437","ictv.global=202203437")</f>
        <v>ictv.global=202203437</v>
      </c>
    </row>
    <row r="5412" spans="1:21">
      <c r="A5412">
        <v>5411</v>
      </c>
      <c r="B5412" s="29" t="s">
        <v>4053</v>
      </c>
      <c r="C5412" s="29"/>
      <c r="D5412" s="29" t="s">
        <v>4082</v>
      </c>
      <c r="E5412" s="29"/>
      <c r="F5412" s="29" t="s">
        <v>4106</v>
      </c>
      <c r="G5412" s="29"/>
      <c r="H5412" s="29" t="s">
        <v>4117</v>
      </c>
      <c r="I5412" s="29"/>
      <c r="J5412" s="29" t="s">
        <v>4118</v>
      </c>
      <c r="K5412" s="29"/>
      <c r="L5412" s="29" t="s">
        <v>1546</v>
      </c>
      <c r="M5412" s="29"/>
      <c r="N5412" s="29" t="s">
        <v>1547</v>
      </c>
      <c r="O5412" s="29"/>
      <c r="P5412" s="29" t="s">
        <v>1134</v>
      </c>
      <c r="Q5412" t="s">
        <v>2041</v>
      </c>
      <c r="R5412" t="s">
        <v>2634</v>
      </c>
      <c r="S5412">
        <v>35</v>
      </c>
      <c r="T5412" s="43" t="str">
        <f t="shared" si="252"/>
        <v>2019.012D.zip</v>
      </c>
      <c r="U5412" s="43" t="str">
        <f>HYPERLINK("https://ictv.global/taxonomy/taxondetails?taxnode_id=202203438","ictv.global=202203438")</f>
        <v>ictv.global=202203438</v>
      </c>
    </row>
    <row r="5413" spans="1:21">
      <c r="A5413">
        <v>5412</v>
      </c>
      <c r="B5413" s="29" t="s">
        <v>4053</v>
      </c>
      <c r="C5413" s="29"/>
      <c r="D5413" s="29" t="s">
        <v>4082</v>
      </c>
      <c r="E5413" s="29"/>
      <c r="F5413" s="29" t="s">
        <v>4106</v>
      </c>
      <c r="G5413" s="29"/>
      <c r="H5413" s="29" t="s">
        <v>4117</v>
      </c>
      <c r="I5413" s="29"/>
      <c r="J5413" s="29" t="s">
        <v>4118</v>
      </c>
      <c r="K5413" s="29"/>
      <c r="L5413" s="29" t="s">
        <v>1546</v>
      </c>
      <c r="M5413" s="29"/>
      <c r="N5413" s="29" t="s">
        <v>1547</v>
      </c>
      <c r="O5413" s="29"/>
      <c r="P5413" s="29" t="s">
        <v>1859</v>
      </c>
      <c r="Q5413" t="s">
        <v>2041</v>
      </c>
      <c r="R5413" t="s">
        <v>2634</v>
      </c>
      <c r="S5413">
        <v>35</v>
      </c>
      <c r="T5413" s="43" t="str">
        <f t="shared" si="252"/>
        <v>2019.012D.zip</v>
      </c>
      <c r="U5413" s="43" t="str">
        <f>HYPERLINK("https://ictv.global/taxonomy/taxondetails?taxnode_id=202203439","ictv.global=202203439")</f>
        <v>ictv.global=202203439</v>
      </c>
    </row>
    <row r="5414" spans="1:21">
      <c r="A5414">
        <v>5413</v>
      </c>
      <c r="B5414" s="29" t="s">
        <v>4053</v>
      </c>
      <c r="C5414" s="29"/>
      <c r="D5414" s="29" t="s">
        <v>4082</v>
      </c>
      <c r="E5414" s="29"/>
      <c r="F5414" s="29" t="s">
        <v>4106</v>
      </c>
      <c r="G5414" s="29"/>
      <c r="H5414" s="29" t="s">
        <v>4117</v>
      </c>
      <c r="I5414" s="29"/>
      <c r="J5414" s="29" t="s">
        <v>4118</v>
      </c>
      <c r="K5414" s="29"/>
      <c r="L5414" s="29" t="s">
        <v>1546</v>
      </c>
      <c r="M5414" s="29"/>
      <c r="N5414" s="29" t="s">
        <v>1547</v>
      </c>
      <c r="O5414" s="29"/>
      <c r="P5414" s="29" t="s">
        <v>1860</v>
      </c>
      <c r="Q5414" t="s">
        <v>2041</v>
      </c>
      <c r="R5414" t="s">
        <v>2634</v>
      </c>
      <c r="S5414">
        <v>35</v>
      </c>
      <c r="T5414" s="43" t="str">
        <f t="shared" si="252"/>
        <v>2019.012D.zip</v>
      </c>
      <c r="U5414" s="43" t="str">
        <f>HYPERLINK("https://ictv.global/taxonomy/taxondetails?taxnode_id=202203440","ictv.global=202203440")</f>
        <v>ictv.global=202203440</v>
      </c>
    </row>
    <row r="5415" spans="1:21">
      <c r="A5415">
        <v>5414</v>
      </c>
      <c r="B5415" s="29" t="s">
        <v>4053</v>
      </c>
      <c r="C5415" s="29"/>
      <c r="D5415" s="29" t="s">
        <v>4082</v>
      </c>
      <c r="E5415" s="29"/>
      <c r="F5415" s="29" t="s">
        <v>4106</v>
      </c>
      <c r="G5415" s="29"/>
      <c r="H5415" s="29" t="s">
        <v>4117</v>
      </c>
      <c r="I5415" s="29"/>
      <c r="J5415" s="29" t="s">
        <v>4118</v>
      </c>
      <c r="K5415" s="29"/>
      <c r="L5415" s="29" t="s">
        <v>1546</v>
      </c>
      <c r="M5415" s="29"/>
      <c r="N5415" s="29" t="s">
        <v>1547</v>
      </c>
      <c r="O5415" s="29"/>
      <c r="P5415" s="29" t="s">
        <v>1861</v>
      </c>
      <c r="Q5415" t="s">
        <v>2041</v>
      </c>
      <c r="R5415" t="s">
        <v>2634</v>
      </c>
      <c r="S5415">
        <v>35</v>
      </c>
      <c r="T5415" s="43" t="str">
        <f t="shared" si="252"/>
        <v>2019.012D.zip</v>
      </c>
      <c r="U5415" s="43" t="str">
        <f>HYPERLINK("https://ictv.global/taxonomy/taxondetails?taxnode_id=202203441","ictv.global=202203441")</f>
        <v>ictv.global=202203441</v>
      </c>
    </row>
    <row r="5416" spans="1:21">
      <c r="A5416">
        <v>5415</v>
      </c>
      <c r="B5416" s="29" t="s">
        <v>4053</v>
      </c>
      <c r="C5416" s="29"/>
      <c r="D5416" s="29" t="s">
        <v>4082</v>
      </c>
      <c r="E5416" s="29"/>
      <c r="F5416" s="29" t="s">
        <v>4106</v>
      </c>
      <c r="G5416" s="29"/>
      <c r="H5416" s="29" t="s">
        <v>4117</v>
      </c>
      <c r="I5416" s="29"/>
      <c r="J5416" s="29" t="s">
        <v>4118</v>
      </c>
      <c r="K5416" s="29"/>
      <c r="L5416" s="29" t="s">
        <v>1546</v>
      </c>
      <c r="M5416" s="29"/>
      <c r="N5416" s="29" t="s">
        <v>1547</v>
      </c>
      <c r="O5416" s="29"/>
      <c r="P5416" s="29" t="s">
        <v>1135</v>
      </c>
      <c r="Q5416" t="s">
        <v>2041</v>
      </c>
      <c r="R5416" t="s">
        <v>2634</v>
      </c>
      <c r="S5416">
        <v>35</v>
      </c>
      <c r="T5416" s="43" t="str">
        <f t="shared" si="252"/>
        <v>2019.012D.zip</v>
      </c>
      <c r="U5416" s="43" t="str">
        <f>HYPERLINK("https://ictv.global/taxonomy/taxondetails?taxnode_id=202203442","ictv.global=202203442")</f>
        <v>ictv.global=202203442</v>
      </c>
    </row>
    <row r="5417" spans="1:21">
      <c r="A5417">
        <v>5416</v>
      </c>
      <c r="B5417" s="29" t="s">
        <v>4053</v>
      </c>
      <c r="C5417" s="29"/>
      <c r="D5417" s="29" t="s">
        <v>4082</v>
      </c>
      <c r="E5417" s="29"/>
      <c r="F5417" s="29" t="s">
        <v>4106</v>
      </c>
      <c r="G5417" s="29"/>
      <c r="H5417" s="29" t="s">
        <v>4117</v>
      </c>
      <c r="I5417" s="29"/>
      <c r="J5417" s="29" t="s">
        <v>4118</v>
      </c>
      <c r="K5417" s="29"/>
      <c r="L5417" s="29" t="s">
        <v>1546</v>
      </c>
      <c r="M5417" s="29"/>
      <c r="N5417" s="29" t="s">
        <v>1547</v>
      </c>
      <c r="O5417" s="29"/>
      <c r="P5417" s="29" t="s">
        <v>2249</v>
      </c>
      <c r="Q5417" t="s">
        <v>2041</v>
      </c>
      <c r="R5417" t="s">
        <v>2634</v>
      </c>
      <c r="S5417">
        <v>35</v>
      </c>
      <c r="T5417" s="43" t="str">
        <f t="shared" si="252"/>
        <v>2019.012D.zip</v>
      </c>
      <c r="U5417" s="43" t="str">
        <f>HYPERLINK("https://ictv.global/taxonomy/taxondetails?taxnode_id=202203443","ictv.global=202203443")</f>
        <v>ictv.global=202203443</v>
      </c>
    </row>
    <row r="5418" spans="1:21">
      <c r="A5418">
        <v>5417</v>
      </c>
      <c r="B5418" s="29" t="s">
        <v>4053</v>
      </c>
      <c r="C5418" s="29"/>
      <c r="D5418" s="29" t="s">
        <v>4082</v>
      </c>
      <c r="E5418" s="29"/>
      <c r="F5418" s="29" t="s">
        <v>4106</v>
      </c>
      <c r="G5418" s="29"/>
      <c r="H5418" s="29" t="s">
        <v>4117</v>
      </c>
      <c r="I5418" s="29"/>
      <c r="J5418" s="29" t="s">
        <v>4118</v>
      </c>
      <c r="K5418" s="29"/>
      <c r="L5418" s="29" t="s">
        <v>1546</v>
      </c>
      <c r="M5418" s="29"/>
      <c r="N5418" s="29" t="s">
        <v>1547</v>
      </c>
      <c r="O5418" s="29"/>
      <c r="P5418" s="29" t="s">
        <v>2250</v>
      </c>
      <c r="Q5418" t="s">
        <v>2041</v>
      </c>
      <c r="R5418" t="s">
        <v>2634</v>
      </c>
      <c r="S5418">
        <v>35</v>
      </c>
      <c r="T5418" s="43" t="str">
        <f t="shared" si="252"/>
        <v>2019.012D.zip</v>
      </c>
      <c r="U5418" s="43" t="str">
        <f>HYPERLINK("https://ictv.global/taxonomy/taxondetails?taxnode_id=202203444","ictv.global=202203444")</f>
        <v>ictv.global=202203444</v>
      </c>
    </row>
    <row r="5419" spans="1:21">
      <c r="A5419">
        <v>5418</v>
      </c>
      <c r="B5419" s="29" t="s">
        <v>4053</v>
      </c>
      <c r="C5419" s="29"/>
      <c r="D5419" s="29" t="s">
        <v>4082</v>
      </c>
      <c r="E5419" s="29"/>
      <c r="F5419" s="29" t="s">
        <v>4106</v>
      </c>
      <c r="G5419" s="29"/>
      <c r="H5419" s="29" t="s">
        <v>4117</v>
      </c>
      <c r="I5419" s="29"/>
      <c r="J5419" s="29" t="s">
        <v>4118</v>
      </c>
      <c r="K5419" s="29"/>
      <c r="L5419" s="29" t="s">
        <v>1546</v>
      </c>
      <c r="M5419" s="29"/>
      <c r="N5419" s="29" t="s">
        <v>1547</v>
      </c>
      <c r="O5419" s="29"/>
      <c r="P5419" s="29" t="s">
        <v>3651</v>
      </c>
      <c r="Q5419" t="s">
        <v>2041</v>
      </c>
      <c r="R5419" t="s">
        <v>2634</v>
      </c>
      <c r="S5419">
        <v>35</v>
      </c>
      <c r="T5419" s="43" t="str">
        <f t="shared" si="252"/>
        <v>2019.012D.zip</v>
      </c>
      <c r="U5419" s="43" t="str">
        <f>HYPERLINK("https://ictv.global/taxonomy/taxondetails?taxnode_id=202206711","ictv.global=202206711")</f>
        <v>ictv.global=202206711</v>
      </c>
    </row>
    <row r="5420" spans="1:21">
      <c r="A5420">
        <v>5419</v>
      </c>
      <c r="B5420" s="29" t="s">
        <v>4053</v>
      </c>
      <c r="C5420" s="29"/>
      <c r="D5420" s="29" t="s">
        <v>4082</v>
      </c>
      <c r="E5420" s="29"/>
      <c r="F5420" s="29" t="s">
        <v>4106</v>
      </c>
      <c r="G5420" s="29"/>
      <c r="H5420" s="29" t="s">
        <v>4117</v>
      </c>
      <c r="I5420" s="29"/>
      <c r="J5420" s="29" t="s">
        <v>4118</v>
      </c>
      <c r="K5420" s="29"/>
      <c r="L5420" s="29" t="s">
        <v>1546</v>
      </c>
      <c r="M5420" s="29"/>
      <c r="N5420" s="29" t="s">
        <v>1547</v>
      </c>
      <c r="O5420" s="29"/>
      <c r="P5420" s="29" t="s">
        <v>1862</v>
      </c>
      <c r="Q5420" t="s">
        <v>2041</v>
      </c>
      <c r="R5420" t="s">
        <v>2634</v>
      </c>
      <c r="S5420">
        <v>35</v>
      </c>
      <c r="T5420" s="43" t="str">
        <f t="shared" si="252"/>
        <v>2019.012D.zip</v>
      </c>
      <c r="U5420" s="43" t="str">
        <f>HYPERLINK("https://ictv.global/taxonomy/taxondetails?taxnode_id=202203445","ictv.global=202203445")</f>
        <v>ictv.global=202203445</v>
      </c>
    </row>
    <row r="5421" spans="1:21">
      <c r="A5421">
        <v>5420</v>
      </c>
      <c r="B5421" s="29" t="s">
        <v>4053</v>
      </c>
      <c r="C5421" s="29"/>
      <c r="D5421" s="29" t="s">
        <v>4082</v>
      </c>
      <c r="E5421" s="29"/>
      <c r="F5421" s="29" t="s">
        <v>4106</v>
      </c>
      <c r="G5421" s="29"/>
      <c r="H5421" s="29" t="s">
        <v>4117</v>
      </c>
      <c r="I5421" s="29"/>
      <c r="J5421" s="29" t="s">
        <v>4118</v>
      </c>
      <c r="K5421" s="29"/>
      <c r="L5421" s="29" t="s">
        <v>1546</v>
      </c>
      <c r="M5421" s="29"/>
      <c r="N5421" s="29" t="s">
        <v>1547</v>
      </c>
      <c r="O5421" s="29"/>
      <c r="P5421" s="29" t="s">
        <v>2251</v>
      </c>
      <c r="Q5421" t="s">
        <v>2041</v>
      </c>
      <c r="R5421" t="s">
        <v>2634</v>
      </c>
      <c r="S5421">
        <v>35</v>
      </c>
      <c r="T5421" s="43" t="str">
        <f t="shared" si="252"/>
        <v>2019.012D.zip</v>
      </c>
      <c r="U5421" s="43" t="str">
        <f>HYPERLINK("https://ictv.global/taxonomy/taxondetails?taxnode_id=202203447","ictv.global=202203447")</f>
        <v>ictv.global=202203447</v>
      </c>
    </row>
    <row r="5422" spans="1:21">
      <c r="A5422">
        <v>5421</v>
      </c>
      <c r="B5422" s="29" t="s">
        <v>4053</v>
      </c>
      <c r="C5422" s="29"/>
      <c r="D5422" s="29" t="s">
        <v>4082</v>
      </c>
      <c r="E5422" s="29"/>
      <c r="F5422" s="29" t="s">
        <v>4106</v>
      </c>
      <c r="G5422" s="29"/>
      <c r="H5422" s="29" t="s">
        <v>4117</v>
      </c>
      <c r="I5422" s="29"/>
      <c r="J5422" s="29" t="s">
        <v>4118</v>
      </c>
      <c r="K5422" s="29"/>
      <c r="L5422" s="29" t="s">
        <v>1546</v>
      </c>
      <c r="M5422" s="29"/>
      <c r="N5422" s="29" t="s">
        <v>1547</v>
      </c>
      <c r="O5422" s="29"/>
      <c r="P5422" s="29" t="s">
        <v>2252</v>
      </c>
      <c r="Q5422" t="s">
        <v>2041</v>
      </c>
      <c r="R5422" t="s">
        <v>2634</v>
      </c>
      <c r="S5422">
        <v>35</v>
      </c>
      <c r="T5422" s="43" t="str">
        <f t="shared" si="252"/>
        <v>2019.012D.zip</v>
      </c>
      <c r="U5422" s="43" t="str">
        <f>HYPERLINK("https://ictv.global/taxonomy/taxondetails?taxnode_id=202203448","ictv.global=202203448")</f>
        <v>ictv.global=202203448</v>
      </c>
    </row>
    <row r="5423" spans="1:21">
      <c r="A5423">
        <v>5422</v>
      </c>
      <c r="B5423" s="29" t="s">
        <v>4053</v>
      </c>
      <c r="C5423" s="29"/>
      <c r="D5423" s="29" t="s">
        <v>4082</v>
      </c>
      <c r="E5423" s="29"/>
      <c r="F5423" s="29" t="s">
        <v>4106</v>
      </c>
      <c r="G5423" s="29"/>
      <c r="H5423" s="29" t="s">
        <v>4117</v>
      </c>
      <c r="I5423" s="29"/>
      <c r="J5423" s="29" t="s">
        <v>4118</v>
      </c>
      <c r="K5423" s="29"/>
      <c r="L5423" s="29" t="s">
        <v>1546</v>
      </c>
      <c r="M5423" s="29"/>
      <c r="N5423" s="29" t="s">
        <v>1547</v>
      </c>
      <c r="O5423" s="29"/>
      <c r="P5423" s="29" t="s">
        <v>1136</v>
      </c>
      <c r="Q5423" t="s">
        <v>2041</v>
      </c>
      <c r="R5423" t="s">
        <v>2634</v>
      </c>
      <c r="S5423">
        <v>35</v>
      </c>
      <c r="T5423" s="43" t="str">
        <f t="shared" si="252"/>
        <v>2019.012D.zip</v>
      </c>
      <c r="U5423" s="43" t="str">
        <f>HYPERLINK("https://ictv.global/taxonomy/taxondetails?taxnode_id=202203449","ictv.global=202203449")</f>
        <v>ictv.global=202203449</v>
      </c>
    </row>
    <row r="5424" spans="1:21">
      <c r="A5424">
        <v>5423</v>
      </c>
      <c r="B5424" s="29" t="s">
        <v>4053</v>
      </c>
      <c r="C5424" s="29"/>
      <c r="D5424" s="29" t="s">
        <v>4082</v>
      </c>
      <c r="E5424" s="29"/>
      <c r="F5424" s="29" t="s">
        <v>4106</v>
      </c>
      <c r="G5424" s="29"/>
      <c r="H5424" s="29" t="s">
        <v>4117</v>
      </c>
      <c r="I5424" s="29"/>
      <c r="J5424" s="29" t="s">
        <v>4118</v>
      </c>
      <c r="K5424" s="29"/>
      <c r="L5424" s="29" t="s">
        <v>1546</v>
      </c>
      <c r="M5424" s="29"/>
      <c r="N5424" s="29" t="s">
        <v>1547</v>
      </c>
      <c r="O5424" s="29"/>
      <c r="P5424" s="29" t="s">
        <v>1137</v>
      </c>
      <c r="Q5424" t="s">
        <v>2041</v>
      </c>
      <c r="R5424" t="s">
        <v>2634</v>
      </c>
      <c r="S5424">
        <v>35</v>
      </c>
      <c r="T5424" s="43" t="str">
        <f t="shared" si="252"/>
        <v>2019.012D.zip</v>
      </c>
      <c r="U5424" s="43" t="str">
        <f>HYPERLINK("https://ictv.global/taxonomy/taxondetails?taxnode_id=202203450","ictv.global=202203450")</f>
        <v>ictv.global=202203450</v>
      </c>
    </row>
    <row r="5425" spans="1:21">
      <c r="A5425">
        <v>5424</v>
      </c>
      <c r="B5425" s="29" t="s">
        <v>4053</v>
      </c>
      <c r="C5425" s="29"/>
      <c r="D5425" s="29" t="s">
        <v>4082</v>
      </c>
      <c r="E5425" s="29"/>
      <c r="F5425" s="29" t="s">
        <v>4106</v>
      </c>
      <c r="G5425" s="29"/>
      <c r="H5425" s="29" t="s">
        <v>4117</v>
      </c>
      <c r="I5425" s="29"/>
      <c r="J5425" s="29" t="s">
        <v>4118</v>
      </c>
      <c r="K5425" s="29"/>
      <c r="L5425" s="29" t="s">
        <v>1546</v>
      </c>
      <c r="M5425" s="29"/>
      <c r="N5425" s="29" t="s">
        <v>1547</v>
      </c>
      <c r="O5425" s="29"/>
      <c r="P5425" s="29" t="s">
        <v>3652</v>
      </c>
      <c r="Q5425" t="s">
        <v>2041</v>
      </c>
      <c r="R5425" t="s">
        <v>2634</v>
      </c>
      <c r="S5425">
        <v>35</v>
      </c>
      <c r="T5425" s="43" t="str">
        <f t="shared" si="252"/>
        <v>2019.012D.zip</v>
      </c>
      <c r="U5425" s="43" t="str">
        <f>HYPERLINK("https://ictv.global/taxonomy/taxondetails?taxnode_id=202206710","ictv.global=202206710")</f>
        <v>ictv.global=202206710</v>
      </c>
    </row>
    <row r="5426" spans="1:21">
      <c r="A5426">
        <v>5425</v>
      </c>
      <c r="B5426" s="29" t="s">
        <v>4053</v>
      </c>
      <c r="C5426" s="29"/>
      <c r="D5426" s="29" t="s">
        <v>4082</v>
      </c>
      <c r="E5426" s="29"/>
      <c r="F5426" s="29" t="s">
        <v>4106</v>
      </c>
      <c r="G5426" s="29"/>
      <c r="H5426" s="29" t="s">
        <v>4117</v>
      </c>
      <c r="I5426" s="29"/>
      <c r="J5426" s="29" t="s">
        <v>4118</v>
      </c>
      <c r="K5426" s="29"/>
      <c r="L5426" s="29" t="s">
        <v>1546</v>
      </c>
      <c r="M5426" s="29"/>
      <c r="N5426" s="29" t="s">
        <v>1547</v>
      </c>
      <c r="O5426" s="29"/>
      <c r="P5426" s="29" t="s">
        <v>2253</v>
      </c>
      <c r="Q5426" t="s">
        <v>2041</v>
      </c>
      <c r="R5426" t="s">
        <v>2634</v>
      </c>
      <c r="S5426">
        <v>35</v>
      </c>
      <c r="T5426" s="43" t="str">
        <f t="shared" si="252"/>
        <v>2019.012D.zip</v>
      </c>
      <c r="U5426" s="43" t="str">
        <f>HYPERLINK("https://ictv.global/taxonomy/taxondetails?taxnode_id=202203451","ictv.global=202203451")</f>
        <v>ictv.global=202203451</v>
      </c>
    </row>
    <row r="5427" spans="1:21">
      <c r="A5427">
        <v>5426</v>
      </c>
      <c r="B5427" s="29" t="s">
        <v>4053</v>
      </c>
      <c r="C5427" s="29"/>
      <c r="D5427" s="29" t="s">
        <v>4082</v>
      </c>
      <c r="E5427" s="29"/>
      <c r="F5427" s="29" t="s">
        <v>4106</v>
      </c>
      <c r="G5427" s="29"/>
      <c r="H5427" s="29" t="s">
        <v>4117</v>
      </c>
      <c r="I5427" s="29"/>
      <c r="J5427" s="29" t="s">
        <v>4118</v>
      </c>
      <c r="K5427" s="29"/>
      <c r="L5427" s="29" t="s">
        <v>1546</v>
      </c>
      <c r="M5427" s="29"/>
      <c r="N5427" s="29" t="s">
        <v>1547</v>
      </c>
      <c r="O5427" s="29"/>
      <c r="P5427" s="29" t="s">
        <v>1138</v>
      </c>
      <c r="Q5427" t="s">
        <v>2041</v>
      </c>
      <c r="R5427" t="s">
        <v>2634</v>
      </c>
      <c r="S5427">
        <v>35</v>
      </c>
      <c r="T5427" s="43" t="str">
        <f t="shared" si="252"/>
        <v>2019.012D.zip</v>
      </c>
      <c r="U5427" s="43" t="str">
        <f>HYPERLINK("https://ictv.global/taxonomy/taxondetails?taxnode_id=202203452","ictv.global=202203452")</f>
        <v>ictv.global=202203452</v>
      </c>
    </row>
    <row r="5428" spans="1:21">
      <c r="A5428">
        <v>5427</v>
      </c>
      <c r="B5428" s="29" t="s">
        <v>4053</v>
      </c>
      <c r="C5428" s="29"/>
      <c r="D5428" s="29" t="s">
        <v>4082</v>
      </c>
      <c r="E5428" s="29"/>
      <c r="F5428" s="29" t="s">
        <v>4106</v>
      </c>
      <c r="G5428" s="29"/>
      <c r="H5428" s="29" t="s">
        <v>4117</v>
      </c>
      <c r="I5428" s="29"/>
      <c r="J5428" s="29" t="s">
        <v>4118</v>
      </c>
      <c r="K5428" s="29"/>
      <c r="L5428" s="29" t="s">
        <v>1546</v>
      </c>
      <c r="M5428" s="29"/>
      <c r="N5428" s="29" t="s">
        <v>1547</v>
      </c>
      <c r="O5428" s="29"/>
      <c r="P5428" s="29" t="s">
        <v>1139</v>
      </c>
      <c r="Q5428" t="s">
        <v>2041</v>
      </c>
      <c r="R5428" t="s">
        <v>2634</v>
      </c>
      <c r="S5428">
        <v>35</v>
      </c>
      <c r="T5428" s="43" t="str">
        <f t="shared" si="252"/>
        <v>2019.012D.zip</v>
      </c>
      <c r="U5428" s="43" t="str">
        <f>HYPERLINK("https://ictv.global/taxonomy/taxondetails?taxnode_id=202203453","ictv.global=202203453")</f>
        <v>ictv.global=202203453</v>
      </c>
    </row>
    <row r="5429" spans="1:21">
      <c r="A5429">
        <v>5428</v>
      </c>
      <c r="B5429" s="29" t="s">
        <v>4053</v>
      </c>
      <c r="C5429" s="29"/>
      <c r="D5429" s="29" t="s">
        <v>4082</v>
      </c>
      <c r="E5429" s="29"/>
      <c r="F5429" s="29" t="s">
        <v>4106</v>
      </c>
      <c r="G5429" s="29"/>
      <c r="H5429" s="29" t="s">
        <v>4117</v>
      </c>
      <c r="I5429" s="29"/>
      <c r="J5429" s="29" t="s">
        <v>4118</v>
      </c>
      <c r="K5429" s="29"/>
      <c r="L5429" s="29" t="s">
        <v>1546</v>
      </c>
      <c r="M5429" s="29"/>
      <c r="N5429" s="29" t="s">
        <v>1547</v>
      </c>
      <c r="O5429" s="29"/>
      <c r="P5429" s="29" t="s">
        <v>1140</v>
      </c>
      <c r="Q5429" t="s">
        <v>2041</v>
      </c>
      <c r="R5429" t="s">
        <v>2634</v>
      </c>
      <c r="S5429">
        <v>35</v>
      </c>
      <c r="T5429" s="43" t="str">
        <f t="shared" si="252"/>
        <v>2019.012D.zip</v>
      </c>
      <c r="U5429" s="43" t="str">
        <f>HYPERLINK("https://ictv.global/taxonomy/taxondetails?taxnode_id=202203454","ictv.global=202203454")</f>
        <v>ictv.global=202203454</v>
      </c>
    </row>
    <row r="5430" spans="1:21">
      <c r="A5430">
        <v>5429</v>
      </c>
      <c r="B5430" s="29" t="s">
        <v>4053</v>
      </c>
      <c r="C5430" s="29"/>
      <c r="D5430" s="29" t="s">
        <v>4082</v>
      </c>
      <c r="E5430" s="29"/>
      <c r="F5430" s="29" t="s">
        <v>4106</v>
      </c>
      <c r="G5430" s="29"/>
      <c r="H5430" s="29" t="s">
        <v>4117</v>
      </c>
      <c r="I5430" s="29"/>
      <c r="J5430" s="29" t="s">
        <v>4118</v>
      </c>
      <c r="K5430" s="29"/>
      <c r="L5430" s="29" t="s">
        <v>1546</v>
      </c>
      <c r="M5430" s="29"/>
      <c r="N5430" s="29" t="s">
        <v>1547</v>
      </c>
      <c r="O5430" s="29"/>
      <c r="P5430" s="29" t="s">
        <v>1141</v>
      </c>
      <c r="Q5430" t="s">
        <v>2041</v>
      </c>
      <c r="R5430" t="s">
        <v>2634</v>
      </c>
      <c r="S5430">
        <v>35</v>
      </c>
      <c r="T5430" s="43" t="str">
        <f t="shared" si="252"/>
        <v>2019.012D.zip</v>
      </c>
      <c r="U5430" s="43" t="str">
        <f>HYPERLINK("https://ictv.global/taxonomy/taxondetails?taxnode_id=202203455","ictv.global=202203455")</f>
        <v>ictv.global=202203455</v>
      </c>
    </row>
    <row r="5431" spans="1:21">
      <c r="A5431">
        <v>5430</v>
      </c>
      <c r="B5431" s="29" t="s">
        <v>4053</v>
      </c>
      <c r="C5431" s="29"/>
      <c r="D5431" s="29" t="s">
        <v>4082</v>
      </c>
      <c r="E5431" s="29"/>
      <c r="F5431" s="29" t="s">
        <v>4106</v>
      </c>
      <c r="G5431" s="29"/>
      <c r="H5431" s="29" t="s">
        <v>4117</v>
      </c>
      <c r="I5431" s="29"/>
      <c r="J5431" s="29" t="s">
        <v>4118</v>
      </c>
      <c r="K5431" s="29"/>
      <c r="L5431" s="29" t="s">
        <v>1546</v>
      </c>
      <c r="M5431" s="29"/>
      <c r="N5431" s="29" t="s">
        <v>1547</v>
      </c>
      <c r="O5431" s="29"/>
      <c r="P5431" s="29" t="s">
        <v>2254</v>
      </c>
      <c r="Q5431" t="s">
        <v>2041</v>
      </c>
      <c r="R5431" t="s">
        <v>2634</v>
      </c>
      <c r="S5431">
        <v>35</v>
      </c>
      <c r="T5431" s="43" t="str">
        <f t="shared" si="252"/>
        <v>2019.012D.zip</v>
      </c>
      <c r="U5431" s="43" t="str">
        <f>HYPERLINK("https://ictv.global/taxonomy/taxondetails?taxnode_id=202203456","ictv.global=202203456")</f>
        <v>ictv.global=202203456</v>
      </c>
    </row>
    <row r="5432" spans="1:21">
      <c r="A5432">
        <v>5431</v>
      </c>
      <c r="B5432" s="29" t="s">
        <v>4053</v>
      </c>
      <c r="C5432" s="29"/>
      <c r="D5432" s="29" t="s">
        <v>4082</v>
      </c>
      <c r="E5432" s="29"/>
      <c r="F5432" s="29" t="s">
        <v>4106</v>
      </c>
      <c r="G5432" s="29"/>
      <c r="H5432" s="29" t="s">
        <v>4117</v>
      </c>
      <c r="I5432" s="29"/>
      <c r="J5432" s="29" t="s">
        <v>4118</v>
      </c>
      <c r="K5432" s="29"/>
      <c r="L5432" s="29" t="s">
        <v>1546</v>
      </c>
      <c r="M5432" s="29"/>
      <c r="N5432" s="29" t="s">
        <v>1547</v>
      </c>
      <c r="O5432" s="29"/>
      <c r="P5432" s="29" t="s">
        <v>1142</v>
      </c>
      <c r="Q5432" t="s">
        <v>2041</v>
      </c>
      <c r="R5432" t="s">
        <v>2634</v>
      </c>
      <c r="S5432">
        <v>35</v>
      </c>
      <c r="T5432" s="43" t="str">
        <f t="shared" si="252"/>
        <v>2019.012D.zip</v>
      </c>
      <c r="U5432" s="43" t="str">
        <f>HYPERLINK("https://ictv.global/taxonomy/taxondetails?taxnode_id=202203457","ictv.global=202203457")</f>
        <v>ictv.global=202203457</v>
      </c>
    </row>
    <row r="5433" spans="1:21">
      <c r="A5433">
        <v>5432</v>
      </c>
      <c r="B5433" s="29" t="s">
        <v>4053</v>
      </c>
      <c r="C5433" s="29"/>
      <c r="D5433" s="29" t="s">
        <v>4082</v>
      </c>
      <c r="E5433" s="29"/>
      <c r="F5433" s="29" t="s">
        <v>4106</v>
      </c>
      <c r="G5433" s="29"/>
      <c r="H5433" s="29" t="s">
        <v>4117</v>
      </c>
      <c r="I5433" s="29"/>
      <c r="J5433" s="29" t="s">
        <v>4118</v>
      </c>
      <c r="K5433" s="29"/>
      <c r="L5433" s="29" t="s">
        <v>1546</v>
      </c>
      <c r="M5433" s="29"/>
      <c r="N5433" s="29" t="s">
        <v>1547</v>
      </c>
      <c r="O5433" s="29"/>
      <c r="P5433" s="29" t="s">
        <v>3653</v>
      </c>
      <c r="Q5433" t="s">
        <v>2041</v>
      </c>
      <c r="R5433" t="s">
        <v>2634</v>
      </c>
      <c r="S5433">
        <v>35</v>
      </c>
      <c r="T5433" s="43" t="str">
        <f t="shared" si="252"/>
        <v>2019.012D.zip</v>
      </c>
      <c r="U5433" s="43" t="str">
        <f>HYPERLINK("https://ictv.global/taxonomy/taxondetails?taxnode_id=202206712","ictv.global=202206712")</f>
        <v>ictv.global=202206712</v>
      </c>
    </row>
    <row r="5434" spans="1:21">
      <c r="A5434">
        <v>5433</v>
      </c>
      <c r="B5434" s="29" t="s">
        <v>4053</v>
      </c>
      <c r="C5434" s="29"/>
      <c r="D5434" s="29" t="s">
        <v>4082</v>
      </c>
      <c r="E5434" s="29"/>
      <c r="F5434" s="29" t="s">
        <v>4106</v>
      </c>
      <c r="G5434" s="29"/>
      <c r="H5434" s="29" t="s">
        <v>4117</v>
      </c>
      <c r="I5434" s="29"/>
      <c r="J5434" s="29" t="s">
        <v>4118</v>
      </c>
      <c r="K5434" s="29"/>
      <c r="L5434" s="29" t="s">
        <v>1546</v>
      </c>
      <c r="M5434" s="29"/>
      <c r="N5434" s="29" t="s">
        <v>1547</v>
      </c>
      <c r="O5434" s="29"/>
      <c r="P5434" s="29" t="s">
        <v>1863</v>
      </c>
      <c r="Q5434" t="s">
        <v>2041</v>
      </c>
      <c r="R5434" t="s">
        <v>2634</v>
      </c>
      <c r="S5434">
        <v>35</v>
      </c>
      <c r="T5434" s="43" t="str">
        <f t="shared" si="252"/>
        <v>2019.012D.zip</v>
      </c>
      <c r="U5434" s="43" t="str">
        <f>HYPERLINK("https://ictv.global/taxonomy/taxondetails?taxnode_id=202203458","ictv.global=202203458")</f>
        <v>ictv.global=202203458</v>
      </c>
    </row>
    <row r="5435" spans="1:21">
      <c r="A5435">
        <v>5434</v>
      </c>
      <c r="B5435" s="29" t="s">
        <v>4053</v>
      </c>
      <c r="C5435" s="29"/>
      <c r="D5435" s="29" t="s">
        <v>4082</v>
      </c>
      <c r="E5435" s="29"/>
      <c r="F5435" s="29" t="s">
        <v>4106</v>
      </c>
      <c r="G5435" s="29"/>
      <c r="H5435" s="29" t="s">
        <v>4117</v>
      </c>
      <c r="I5435" s="29"/>
      <c r="J5435" s="29" t="s">
        <v>4118</v>
      </c>
      <c r="K5435" s="29"/>
      <c r="L5435" s="29" t="s">
        <v>1546</v>
      </c>
      <c r="M5435" s="29"/>
      <c r="N5435" s="29" t="s">
        <v>1547</v>
      </c>
      <c r="O5435" s="29"/>
      <c r="P5435" s="29" t="s">
        <v>1143</v>
      </c>
      <c r="Q5435" t="s">
        <v>2041</v>
      </c>
      <c r="R5435" t="s">
        <v>2634</v>
      </c>
      <c r="S5435">
        <v>35</v>
      </c>
      <c r="T5435" s="43" t="str">
        <f t="shared" si="252"/>
        <v>2019.012D.zip</v>
      </c>
      <c r="U5435" s="43" t="str">
        <f>HYPERLINK("https://ictv.global/taxonomy/taxondetails?taxnode_id=202203459","ictv.global=202203459")</f>
        <v>ictv.global=202203459</v>
      </c>
    </row>
    <row r="5436" spans="1:21">
      <c r="A5436">
        <v>5435</v>
      </c>
      <c r="B5436" s="29" t="s">
        <v>4053</v>
      </c>
      <c r="C5436" s="29"/>
      <c r="D5436" s="29" t="s">
        <v>4082</v>
      </c>
      <c r="E5436" s="29"/>
      <c r="F5436" s="29" t="s">
        <v>4106</v>
      </c>
      <c r="G5436" s="29"/>
      <c r="H5436" s="29" t="s">
        <v>4117</v>
      </c>
      <c r="I5436" s="29"/>
      <c r="J5436" s="29" t="s">
        <v>4118</v>
      </c>
      <c r="K5436" s="29"/>
      <c r="L5436" s="29" t="s">
        <v>1546</v>
      </c>
      <c r="M5436" s="29"/>
      <c r="N5436" s="29" t="s">
        <v>1547</v>
      </c>
      <c r="O5436" s="29"/>
      <c r="P5436" s="29" t="s">
        <v>1144</v>
      </c>
      <c r="Q5436" t="s">
        <v>2041</v>
      </c>
      <c r="R5436" t="s">
        <v>2634</v>
      </c>
      <c r="S5436">
        <v>35</v>
      </c>
      <c r="T5436" s="43" t="str">
        <f t="shared" si="252"/>
        <v>2019.012D.zip</v>
      </c>
      <c r="U5436" s="43" t="str">
        <f>HYPERLINK("https://ictv.global/taxonomy/taxondetails?taxnode_id=202203460","ictv.global=202203460")</f>
        <v>ictv.global=202203460</v>
      </c>
    </row>
    <row r="5437" spans="1:21">
      <c r="A5437">
        <v>5436</v>
      </c>
      <c r="B5437" s="29" t="s">
        <v>4053</v>
      </c>
      <c r="C5437" s="29"/>
      <c r="D5437" s="29" t="s">
        <v>4082</v>
      </c>
      <c r="E5437" s="29"/>
      <c r="F5437" s="29" t="s">
        <v>4106</v>
      </c>
      <c r="G5437" s="29"/>
      <c r="H5437" s="29" t="s">
        <v>4117</v>
      </c>
      <c r="I5437" s="29"/>
      <c r="J5437" s="29" t="s">
        <v>4118</v>
      </c>
      <c r="K5437" s="29"/>
      <c r="L5437" s="29" t="s">
        <v>1546</v>
      </c>
      <c r="M5437" s="29"/>
      <c r="N5437" s="29" t="s">
        <v>1547</v>
      </c>
      <c r="O5437" s="29"/>
      <c r="P5437" s="29" t="s">
        <v>1145</v>
      </c>
      <c r="Q5437" t="s">
        <v>2041</v>
      </c>
      <c r="R5437" t="s">
        <v>2634</v>
      </c>
      <c r="S5437">
        <v>35</v>
      </c>
      <c r="T5437" s="43" t="str">
        <f t="shared" si="252"/>
        <v>2019.012D.zip</v>
      </c>
      <c r="U5437" s="43" t="str">
        <f>HYPERLINK("https://ictv.global/taxonomy/taxondetails?taxnode_id=202203461","ictv.global=202203461")</f>
        <v>ictv.global=202203461</v>
      </c>
    </row>
    <row r="5438" spans="1:21">
      <c r="A5438">
        <v>5437</v>
      </c>
      <c r="B5438" s="29" t="s">
        <v>4053</v>
      </c>
      <c r="C5438" s="29"/>
      <c r="D5438" s="29" t="s">
        <v>4082</v>
      </c>
      <c r="E5438" s="29"/>
      <c r="F5438" s="29" t="s">
        <v>4106</v>
      </c>
      <c r="G5438" s="29"/>
      <c r="H5438" s="29" t="s">
        <v>4117</v>
      </c>
      <c r="I5438" s="29"/>
      <c r="J5438" s="29" t="s">
        <v>4118</v>
      </c>
      <c r="K5438" s="29"/>
      <c r="L5438" s="29" t="s">
        <v>1546</v>
      </c>
      <c r="M5438" s="29"/>
      <c r="N5438" s="29" t="s">
        <v>1547</v>
      </c>
      <c r="O5438" s="29"/>
      <c r="P5438" s="29" t="s">
        <v>1864</v>
      </c>
      <c r="Q5438" t="s">
        <v>2041</v>
      </c>
      <c r="R5438" t="s">
        <v>2634</v>
      </c>
      <c r="S5438">
        <v>35</v>
      </c>
      <c r="T5438" s="43" t="str">
        <f t="shared" si="252"/>
        <v>2019.012D.zip</v>
      </c>
      <c r="U5438" s="43" t="str">
        <f>HYPERLINK("https://ictv.global/taxonomy/taxondetails?taxnode_id=202203462","ictv.global=202203462")</f>
        <v>ictv.global=202203462</v>
      </c>
    </row>
    <row r="5439" spans="1:21">
      <c r="A5439">
        <v>5438</v>
      </c>
      <c r="B5439" s="29" t="s">
        <v>4053</v>
      </c>
      <c r="C5439" s="29"/>
      <c r="D5439" s="29" t="s">
        <v>4082</v>
      </c>
      <c r="E5439" s="29"/>
      <c r="F5439" s="29" t="s">
        <v>4106</v>
      </c>
      <c r="G5439" s="29"/>
      <c r="H5439" s="29" t="s">
        <v>4117</v>
      </c>
      <c r="I5439" s="29"/>
      <c r="J5439" s="29" t="s">
        <v>4118</v>
      </c>
      <c r="K5439" s="29"/>
      <c r="L5439" s="29" t="s">
        <v>1546</v>
      </c>
      <c r="M5439" s="29"/>
      <c r="N5439" s="29" t="s">
        <v>1547</v>
      </c>
      <c r="O5439" s="29"/>
      <c r="P5439" s="29" t="s">
        <v>1865</v>
      </c>
      <c r="Q5439" t="s">
        <v>2041</v>
      </c>
      <c r="R5439" t="s">
        <v>2634</v>
      </c>
      <c r="S5439">
        <v>35</v>
      </c>
      <c r="T5439" s="43" t="str">
        <f t="shared" si="252"/>
        <v>2019.012D.zip</v>
      </c>
      <c r="U5439" s="43" t="str">
        <f>HYPERLINK("https://ictv.global/taxonomy/taxondetails?taxnode_id=202203463","ictv.global=202203463")</f>
        <v>ictv.global=202203463</v>
      </c>
    </row>
    <row r="5440" spans="1:21">
      <c r="A5440">
        <v>5439</v>
      </c>
      <c r="B5440" s="29" t="s">
        <v>4053</v>
      </c>
      <c r="C5440" s="29"/>
      <c r="D5440" s="29" t="s">
        <v>4082</v>
      </c>
      <c r="E5440" s="29"/>
      <c r="F5440" s="29" t="s">
        <v>4106</v>
      </c>
      <c r="G5440" s="29"/>
      <c r="H5440" s="29" t="s">
        <v>4117</v>
      </c>
      <c r="I5440" s="29"/>
      <c r="J5440" s="29" t="s">
        <v>4118</v>
      </c>
      <c r="K5440" s="29"/>
      <c r="L5440" s="29" t="s">
        <v>1546</v>
      </c>
      <c r="M5440" s="29"/>
      <c r="N5440" s="29" t="s">
        <v>1547</v>
      </c>
      <c r="O5440" s="29"/>
      <c r="P5440" s="29" t="s">
        <v>1866</v>
      </c>
      <c r="Q5440" t="s">
        <v>2041</v>
      </c>
      <c r="R5440" t="s">
        <v>2634</v>
      </c>
      <c r="S5440">
        <v>35</v>
      </c>
      <c r="T5440" s="43" t="str">
        <f t="shared" si="252"/>
        <v>2019.012D.zip</v>
      </c>
      <c r="U5440" s="43" t="str">
        <f>HYPERLINK("https://ictv.global/taxonomy/taxondetails?taxnode_id=202203464","ictv.global=202203464")</f>
        <v>ictv.global=202203464</v>
      </c>
    </row>
    <row r="5441" spans="1:21">
      <c r="A5441">
        <v>5440</v>
      </c>
      <c r="B5441" s="29" t="s">
        <v>4053</v>
      </c>
      <c r="C5441" s="29"/>
      <c r="D5441" s="29" t="s">
        <v>4082</v>
      </c>
      <c r="E5441" s="29"/>
      <c r="F5441" s="29" t="s">
        <v>4106</v>
      </c>
      <c r="G5441" s="29"/>
      <c r="H5441" s="29" t="s">
        <v>4117</v>
      </c>
      <c r="I5441" s="29"/>
      <c r="J5441" s="29" t="s">
        <v>4118</v>
      </c>
      <c r="K5441" s="29"/>
      <c r="L5441" s="29" t="s">
        <v>1546</v>
      </c>
      <c r="M5441" s="29"/>
      <c r="N5441" s="29" t="s">
        <v>1547</v>
      </c>
      <c r="O5441" s="29"/>
      <c r="P5441" s="29" t="s">
        <v>1146</v>
      </c>
      <c r="Q5441" t="s">
        <v>2041</v>
      </c>
      <c r="R5441" t="s">
        <v>2634</v>
      </c>
      <c r="S5441">
        <v>35</v>
      </c>
      <c r="T5441" s="43" t="str">
        <f t="shared" si="252"/>
        <v>2019.012D.zip</v>
      </c>
      <c r="U5441" s="43" t="str">
        <f>HYPERLINK("https://ictv.global/taxonomy/taxondetails?taxnode_id=202203465","ictv.global=202203465")</f>
        <v>ictv.global=202203465</v>
      </c>
    </row>
    <row r="5442" spans="1:21">
      <c r="A5442">
        <v>5441</v>
      </c>
      <c r="B5442" s="29" t="s">
        <v>4053</v>
      </c>
      <c r="C5442" s="29"/>
      <c r="D5442" s="29" t="s">
        <v>4082</v>
      </c>
      <c r="E5442" s="29"/>
      <c r="F5442" s="29" t="s">
        <v>4106</v>
      </c>
      <c r="G5442" s="29"/>
      <c r="H5442" s="29" t="s">
        <v>4117</v>
      </c>
      <c r="I5442" s="29"/>
      <c r="J5442" s="29" t="s">
        <v>4118</v>
      </c>
      <c r="K5442" s="29"/>
      <c r="L5442" s="29" t="s">
        <v>1546</v>
      </c>
      <c r="M5442" s="29"/>
      <c r="N5442" s="29" t="s">
        <v>1547</v>
      </c>
      <c r="O5442" s="29"/>
      <c r="P5442" s="29" t="s">
        <v>1147</v>
      </c>
      <c r="Q5442" t="s">
        <v>2041</v>
      </c>
      <c r="R5442" t="s">
        <v>2634</v>
      </c>
      <c r="S5442">
        <v>35</v>
      </c>
      <c r="T5442" s="43" t="str">
        <f t="shared" si="252"/>
        <v>2019.012D.zip</v>
      </c>
      <c r="U5442" s="43" t="str">
        <f>HYPERLINK("https://ictv.global/taxonomy/taxondetails?taxnode_id=202203466","ictv.global=202203466")</f>
        <v>ictv.global=202203466</v>
      </c>
    </row>
    <row r="5443" spans="1:21">
      <c r="A5443">
        <v>5442</v>
      </c>
      <c r="B5443" s="29" t="s">
        <v>4053</v>
      </c>
      <c r="C5443" s="29"/>
      <c r="D5443" s="29" t="s">
        <v>4082</v>
      </c>
      <c r="E5443" s="29"/>
      <c r="F5443" s="29" t="s">
        <v>4106</v>
      </c>
      <c r="G5443" s="29"/>
      <c r="H5443" s="29" t="s">
        <v>4117</v>
      </c>
      <c r="I5443" s="29"/>
      <c r="J5443" s="29" t="s">
        <v>4118</v>
      </c>
      <c r="K5443" s="29"/>
      <c r="L5443" s="29" t="s">
        <v>1546</v>
      </c>
      <c r="M5443" s="29"/>
      <c r="N5443" s="29" t="s">
        <v>1547</v>
      </c>
      <c r="O5443" s="29"/>
      <c r="P5443" s="29" t="s">
        <v>4925</v>
      </c>
      <c r="Q5443" t="s">
        <v>2265</v>
      </c>
      <c r="R5443" t="s">
        <v>2632</v>
      </c>
      <c r="S5443">
        <v>36</v>
      </c>
      <c r="T5443" s="43" t="str">
        <f>HYPERLINK("https://ictv.global/ictv/proposals/2020.006P.R.Begomovirus_22nsp.zip","2020.006P.R.Begomovirus_22nsp.zip")</f>
        <v>2020.006P.R.Begomovirus_22nsp.zip</v>
      </c>
      <c r="U5443" s="43" t="str">
        <f>HYPERLINK("https://ictv.global/taxonomy/taxondetails?taxnode_id=202209135","ictv.global=202209135")</f>
        <v>ictv.global=202209135</v>
      </c>
    </row>
    <row r="5444" spans="1:21">
      <c r="A5444">
        <v>5443</v>
      </c>
      <c r="B5444" s="29" t="s">
        <v>4053</v>
      </c>
      <c r="C5444" s="29"/>
      <c r="D5444" s="29" t="s">
        <v>4082</v>
      </c>
      <c r="E5444" s="29"/>
      <c r="F5444" s="29" t="s">
        <v>4106</v>
      </c>
      <c r="G5444" s="29"/>
      <c r="H5444" s="29" t="s">
        <v>4117</v>
      </c>
      <c r="I5444" s="29"/>
      <c r="J5444" s="29" t="s">
        <v>4118</v>
      </c>
      <c r="K5444" s="29"/>
      <c r="L5444" s="29" t="s">
        <v>1546</v>
      </c>
      <c r="M5444" s="29"/>
      <c r="N5444" s="29" t="s">
        <v>1547</v>
      </c>
      <c r="O5444" s="29"/>
      <c r="P5444" s="29" t="s">
        <v>1867</v>
      </c>
      <c r="Q5444" t="s">
        <v>2041</v>
      </c>
      <c r="R5444" t="s">
        <v>2634</v>
      </c>
      <c r="S5444">
        <v>35</v>
      </c>
      <c r="T5444" s="43" t="str">
        <f t="shared" ref="T5444:T5452" si="253">HYPERLINK("https://ictv.global/ictv/proposals/2019.012D.zip","2019.012D.zip")</f>
        <v>2019.012D.zip</v>
      </c>
      <c r="U5444" s="43" t="str">
        <f>HYPERLINK("https://ictv.global/taxonomy/taxondetails?taxnode_id=202203467","ictv.global=202203467")</f>
        <v>ictv.global=202203467</v>
      </c>
    </row>
    <row r="5445" spans="1:21">
      <c r="A5445">
        <v>5444</v>
      </c>
      <c r="B5445" s="29" t="s">
        <v>4053</v>
      </c>
      <c r="C5445" s="29"/>
      <c r="D5445" s="29" t="s">
        <v>4082</v>
      </c>
      <c r="E5445" s="29"/>
      <c r="F5445" s="29" t="s">
        <v>4106</v>
      </c>
      <c r="G5445" s="29"/>
      <c r="H5445" s="29" t="s">
        <v>4117</v>
      </c>
      <c r="I5445" s="29"/>
      <c r="J5445" s="29" t="s">
        <v>4118</v>
      </c>
      <c r="K5445" s="29"/>
      <c r="L5445" s="29" t="s">
        <v>1546</v>
      </c>
      <c r="M5445" s="29"/>
      <c r="N5445" s="29" t="s">
        <v>1547</v>
      </c>
      <c r="O5445" s="29"/>
      <c r="P5445" s="29" t="s">
        <v>1370</v>
      </c>
      <c r="Q5445" t="s">
        <v>2041</v>
      </c>
      <c r="R5445" t="s">
        <v>2634</v>
      </c>
      <c r="S5445">
        <v>35</v>
      </c>
      <c r="T5445" s="43" t="str">
        <f t="shared" si="253"/>
        <v>2019.012D.zip</v>
      </c>
      <c r="U5445" s="43" t="str">
        <f>HYPERLINK("https://ictv.global/taxonomy/taxondetails?taxnode_id=202203468","ictv.global=202203468")</f>
        <v>ictv.global=202203468</v>
      </c>
    </row>
    <row r="5446" spans="1:21">
      <c r="A5446">
        <v>5445</v>
      </c>
      <c r="B5446" s="29" t="s">
        <v>4053</v>
      </c>
      <c r="C5446" s="29"/>
      <c r="D5446" s="29" t="s">
        <v>4082</v>
      </c>
      <c r="E5446" s="29"/>
      <c r="F5446" s="29" t="s">
        <v>4106</v>
      </c>
      <c r="G5446" s="29"/>
      <c r="H5446" s="29" t="s">
        <v>4117</v>
      </c>
      <c r="I5446" s="29"/>
      <c r="J5446" s="29" t="s">
        <v>4118</v>
      </c>
      <c r="K5446" s="29"/>
      <c r="L5446" s="29" t="s">
        <v>1546</v>
      </c>
      <c r="M5446" s="29"/>
      <c r="N5446" s="29" t="s">
        <v>1547</v>
      </c>
      <c r="O5446" s="29"/>
      <c r="P5446" s="29" t="s">
        <v>1371</v>
      </c>
      <c r="Q5446" t="s">
        <v>2041</v>
      </c>
      <c r="R5446" t="s">
        <v>2634</v>
      </c>
      <c r="S5446">
        <v>35</v>
      </c>
      <c r="T5446" s="43" t="str">
        <f t="shared" si="253"/>
        <v>2019.012D.zip</v>
      </c>
      <c r="U5446" s="43" t="str">
        <f>HYPERLINK("https://ictv.global/taxonomy/taxondetails?taxnode_id=202203469","ictv.global=202203469")</f>
        <v>ictv.global=202203469</v>
      </c>
    </row>
    <row r="5447" spans="1:21">
      <c r="A5447">
        <v>5446</v>
      </c>
      <c r="B5447" s="29" t="s">
        <v>4053</v>
      </c>
      <c r="C5447" s="29"/>
      <c r="D5447" s="29" t="s">
        <v>4082</v>
      </c>
      <c r="E5447" s="29"/>
      <c r="F5447" s="29" t="s">
        <v>4106</v>
      </c>
      <c r="G5447" s="29"/>
      <c r="H5447" s="29" t="s">
        <v>4117</v>
      </c>
      <c r="I5447" s="29"/>
      <c r="J5447" s="29" t="s">
        <v>4118</v>
      </c>
      <c r="K5447" s="29"/>
      <c r="L5447" s="29" t="s">
        <v>1546</v>
      </c>
      <c r="M5447" s="29"/>
      <c r="N5447" s="29" t="s">
        <v>1547</v>
      </c>
      <c r="O5447" s="29"/>
      <c r="P5447" s="29" t="s">
        <v>2895</v>
      </c>
      <c r="Q5447" t="s">
        <v>2041</v>
      </c>
      <c r="R5447" t="s">
        <v>2634</v>
      </c>
      <c r="S5447">
        <v>35</v>
      </c>
      <c r="T5447" s="43" t="str">
        <f t="shared" si="253"/>
        <v>2019.012D.zip</v>
      </c>
      <c r="U5447" s="43" t="str">
        <f>HYPERLINK("https://ictv.global/taxonomy/taxondetails?taxnode_id=202205839","ictv.global=202205839")</f>
        <v>ictv.global=202205839</v>
      </c>
    </row>
    <row r="5448" spans="1:21">
      <c r="A5448">
        <v>5447</v>
      </c>
      <c r="B5448" s="29" t="s">
        <v>4053</v>
      </c>
      <c r="C5448" s="29"/>
      <c r="D5448" s="29" t="s">
        <v>4082</v>
      </c>
      <c r="E5448" s="29"/>
      <c r="F5448" s="29" t="s">
        <v>4106</v>
      </c>
      <c r="G5448" s="29"/>
      <c r="H5448" s="29" t="s">
        <v>4117</v>
      </c>
      <c r="I5448" s="29"/>
      <c r="J5448" s="29" t="s">
        <v>4118</v>
      </c>
      <c r="K5448" s="29"/>
      <c r="L5448" s="29" t="s">
        <v>1546</v>
      </c>
      <c r="M5448" s="29"/>
      <c r="N5448" s="29" t="s">
        <v>1547</v>
      </c>
      <c r="O5448" s="29"/>
      <c r="P5448" s="29" t="s">
        <v>1372</v>
      </c>
      <c r="Q5448" t="s">
        <v>2041</v>
      </c>
      <c r="R5448" t="s">
        <v>2634</v>
      </c>
      <c r="S5448">
        <v>35</v>
      </c>
      <c r="T5448" s="43" t="str">
        <f t="shared" si="253"/>
        <v>2019.012D.zip</v>
      </c>
      <c r="U5448" s="43" t="str">
        <f>HYPERLINK("https://ictv.global/taxonomy/taxondetails?taxnode_id=202203470","ictv.global=202203470")</f>
        <v>ictv.global=202203470</v>
      </c>
    </row>
    <row r="5449" spans="1:21">
      <c r="A5449">
        <v>5448</v>
      </c>
      <c r="B5449" s="29" t="s">
        <v>4053</v>
      </c>
      <c r="C5449" s="29"/>
      <c r="D5449" s="29" t="s">
        <v>4082</v>
      </c>
      <c r="E5449" s="29"/>
      <c r="F5449" s="29" t="s">
        <v>4106</v>
      </c>
      <c r="G5449" s="29"/>
      <c r="H5449" s="29" t="s">
        <v>4117</v>
      </c>
      <c r="I5449" s="29"/>
      <c r="J5449" s="29" t="s">
        <v>4118</v>
      </c>
      <c r="K5449" s="29"/>
      <c r="L5449" s="29" t="s">
        <v>1546</v>
      </c>
      <c r="M5449" s="29"/>
      <c r="N5449" s="29" t="s">
        <v>1547</v>
      </c>
      <c r="O5449" s="29"/>
      <c r="P5449" s="29" t="s">
        <v>1868</v>
      </c>
      <c r="Q5449" t="s">
        <v>2041</v>
      </c>
      <c r="R5449" t="s">
        <v>2634</v>
      </c>
      <c r="S5449">
        <v>35</v>
      </c>
      <c r="T5449" s="43" t="str">
        <f t="shared" si="253"/>
        <v>2019.012D.zip</v>
      </c>
      <c r="U5449" s="43" t="str">
        <f>HYPERLINK("https://ictv.global/taxonomy/taxondetails?taxnode_id=202203471","ictv.global=202203471")</f>
        <v>ictv.global=202203471</v>
      </c>
    </row>
    <row r="5450" spans="1:21">
      <c r="A5450">
        <v>5449</v>
      </c>
      <c r="B5450" s="29" t="s">
        <v>4053</v>
      </c>
      <c r="C5450" s="29"/>
      <c r="D5450" s="29" t="s">
        <v>4082</v>
      </c>
      <c r="E5450" s="29"/>
      <c r="F5450" s="29" t="s">
        <v>4106</v>
      </c>
      <c r="G5450" s="29"/>
      <c r="H5450" s="29" t="s">
        <v>4117</v>
      </c>
      <c r="I5450" s="29"/>
      <c r="J5450" s="29" t="s">
        <v>4118</v>
      </c>
      <c r="K5450" s="29"/>
      <c r="L5450" s="29" t="s">
        <v>1546</v>
      </c>
      <c r="M5450" s="29"/>
      <c r="N5450" s="29" t="s">
        <v>1547</v>
      </c>
      <c r="O5450" s="29"/>
      <c r="P5450" s="29" t="s">
        <v>3654</v>
      </c>
      <c r="Q5450" t="s">
        <v>2041</v>
      </c>
      <c r="R5450" t="s">
        <v>2634</v>
      </c>
      <c r="S5450">
        <v>35</v>
      </c>
      <c r="T5450" s="43" t="str">
        <f t="shared" si="253"/>
        <v>2019.012D.zip</v>
      </c>
      <c r="U5450" s="43" t="str">
        <f>HYPERLINK("https://ictv.global/taxonomy/taxondetails?taxnode_id=202206715","ictv.global=202206715")</f>
        <v>ictv.global=202206715</v>
      </c>
    </row>
    <row r="5451" spans="1:21">
      <c r="A5451">
        <v>5450</v>
      </c>
      <c r="B5451" s="29" t="s">
        <v>4053</v>
      </c>
      <c r="C5451" s="29"/>
      <c r="D5451" s="29" t="s">
        <v>4082</v>
      </c>
      <c r="E5451" s="29"/>
      <c r="F5451" s="29" t="s">
        <v>4106</v>
      </c>
      <c r="G5451" s="29"/>
      <c r="H5451" s="29" t="s">
        <v>4117</v>
      </c>
      <c r="I5451" s="29"/>
      <c r="J5451" s="29" t="s">
        <v>4118</v>
      </c>
      <c r="K5451" s="29"/>
      <c r="L5451" s="29" t="s">
        <v>1546</v>
      </c>
      <c r="M5451" s="29"/>
      <c r="N5451" s="29" t="s">
        <v>1547</v>
      </c>
      <c r="O5451" s="29"/>
      <c r="P5451" s="29" t="s">
        <v>1373</v>
      </c>
      <c r="Q5451" t="s">
        <v>2041</v>
      </c>
      <c r="R5451" t="s">
        <v>2634</v>
      </c>
      <c r="S5451">
        <v>35</v>
      </c>
      <c r="T5451" s="43" t="str">
        <f t="shared" si="253"/>
        <v>2019.012D.zip</v>
      </c>
      <c r="U5451" s="43" t="str">
        <f>HYPERLINK("https://ictv.global/taxonomy/taxondetails?taxnode_id=202203472","ictv.global=202203472")</f>
        <v>ictv.global=202203472</v>
      </c>
    </row>
    <row r="5452" spans="1:21">
      <c r="A5452">
        <v>5451</v>
      </c>
      <c r="B5452" s="29" t="s">
        <v>4053</v>
      </c>
      <c r="C5452" s="29"/>
      <c r="D5452" s="29" t="s">
        <v>4082</v>
      </c>
      <c r="E5452" s="29"/>
      <c r="F5452" s="29" t="s">
        <v>4106</v>
      </c>
      <c r="G5452" s="29"/>
      <c r="H5452" s="29" t="s">
        <v>4117</v>
      </c>
      <c r="I5452" s="29"/>
      <c r="J5452" s="29" t="s">
        <v>4118</v>
      </c>
      <c r="K5452" s="29"/>
      <c r="L5452" s="29" t="s">
        <v>1546</v>
      </c>
      <c r="M5452" s="29"/>
      <c r="N5452" s="29" t="s">
        <v>1547</v>
      </c>
      <c r="O5452" s="29"/>
      <c r="P5452" s="29" t="s">
        <v>1374</v>
      </c>
      <c r="Q5452" t="s">
        <v>2041</v>
      </c>
      <c r="R5452" t="s">
        <v>2634</v>
      </c>
      <c r="S5452">
        <v>35</v>
      </c>
      <c r="T5452" s="43" t="str">
        <f t="shared" si="253"/>
        <v>2019.012D.zip</v>
      </c>
      <c r="U5452" s="43" t="str">
        <f>HYPERLINK("https://ictv.global/taxonomy/taxondetails?taxnode_id=202203473","ictv.global=202203473")</f>
        <v>ictv.global=202203473</v>
      </c>
    </row>
    <row r="5453" spans="1:21">
      <c r="A5453">
        <v>5452</v>
      </c>
      <c r="B5453" s="29" t="s">
        <v>4053</v>
      </c>
      <c r="C5453" s="29"/>
      <c r="D5453" s="29" t="s">
        <v>4082</v>
      </c>
      <c r="E5453" s="29"/>
      <c r="F5453" s="29" t="s">
        <v>4106</v>
      </c>
      <c r="G5453" s="29"/>
      <c r="H5453" s="29" t="s">
        <v>4117</v>
      </c>
      <c r="I5453" s="29"/>
      <c r="J5453" s="29" t="s">
        <v>4118</v>
      </c>
      <c r="K5453" s="29"/>
      <c r="L5453" s="29" t="s">
        <v>1546</v>
      </c>
      <c r="M5453" s="29"/>
      <c r="N5453" s="29" t="s">
        <v>1547</v>
      </c>
      <c r="O5453" s="29"/>
      <c r="P5453" s="29" t="s">
        <v>4134</v>
      </c>
      <c r="Q5453" t="s">
        <v>2265</v>
      </c>
      <c r="R5453" t="s">
        <v>2632</v>
      </c>
      <c r="S5453">
        <v>35</v>
      </c>
      <c r="T5453" s="43" t="str">
        <f>HYPERLINK("https://ictv.global/ictv/proposals/2019.022P.zip","2019.022P.zip")</f>
        <v>2019.022P.zip</v>
      </c>
      <c r="U5453" s="43" t="str">
        <f>HYPERLINK("https://ictv.global/taxonomy/taxondetails?taxnode_id=202207532","ictv.global=202207532")</f>
        <v>ictv.global=202207532</v>
      </c>
    </row>
    <row r="5454" spans="1:21">
      <c r="A5454">
        <v>5453</v>
      </c>
      <c r="B5454" s="29" t="s">
        <v>4053</v>
      </c>
      <c r="C5454" s="29"/>
      <c r="D5454" s="29" t="s">
        <v>4082</v>
      </c>
      <c r="E5454" s="29"/>
      <c r="F5454" s="29" t="s">
        <v>4106</v>
      </c>
      <c r="G5454" s="29"/>
      <c r="H5454" s="29" t="s">
        <v>4117</v>
      </c>
      <c r="I5454" s="29"/>
      <c r="J5454" s="29" t="s">
        <v>4118</v>
      </c>
      <c r="K5454" s="29"/>
      <c r="L5454" s="29" t="s">
        <v>1546</v>
      </c>
      <c r="M5454" s="29"/>
      <c r="N5454" s="29" t="s">
        <v>1547</v>
      </c>
      <c r="O5454" s="29"/>
      <c r="P5454" s="29" t="s">
        <v>4926</v>
      </c>
      <c r="Q5454" t="s">
        <v>2265</v>
      </c>
      <c r="R5454" t="s">
        <v>2632</v>
      </c>
      <c r="S5454">
        <v>36</v>
      </c>
      <c r="T5454" s="43" t="str">
        <f>HYPERLINK("https://ictv.global/ictv/proposals/2020.006P.R.Begomovirus_22nsp.zip","2020.006P.R.Begomovirus_22nsp.zip")</f>
        <v>2020.006P.R.Begomovirus_22nsp.zip</v>
      </c>
      <c r="U5454" s="43" t="str">
        <f>HYPERLINK("https://ictv.global/taxonomy/taxondetails?taxnode_id=202209136","ictv.global=202209136")</f>
        <v>ictv.global=202209136</v>
      </c>
    </row>
    <row r="5455" spans="1:21">
      <c r="A5455">
        <v>5454</v>
      </c>
      <c r="B5455" s="29" t="s">
        <v>4053</v>
      </c>
      <c r="C5455" s="29"/>
      <c r="D5455" s="29" t="s">
        <v>4082</v>
      </c>
      <c r="E5455" s="29"/>
      <c r="F5455" s="29" t="s">
        <v>4106</v>
      </c>
      <c r="G5455" s="29"/>
      <c r="H5455" s="29" t="s">
        <v>4117</v>
      </c>
      <c r="I5455" s="29"/>
      <c r="J5455" s="29" t="s">
        <v>4118</v>
      </c>
      <c r="K5455" s="29"/>
      <c r="L5455" s="29" t="s">
        <v>1546</v>
      </c>
      <c r="M5455" s="29"/>
      <c r="N5455" s="29" t="s">
        <v>1547</v>
      </c>
      <c r="O5455" s="29"/>
      <c r="P5455" s="29" t="s">
        <v>3655</v>
      </c>
      <c r="Q5455" t="s">
        <v>2041</v>
      </c>
      <c r="R5455" t="s">
        <v>2634</v>
      </c>
      <c r="S5455">
        <v>35</v>
      </c>
      <c r="T5455" s="43" t="str">
        <f t="shared" ref="T5455:T5468" si="254">HYPERLINK("https://ictv.global/ictv/proposals/2019.012D.zip","2019.012D.zip")</f>
        <v>2019.012D.zip</v>
      </c>
      <c r="U5455" s="43" t="str">
        <f>HYPERLINK("https://ictv.global/taxonomy/taxondetails?taxnode_id=202206716","ictv.global=202206716")</f>
        <v>ictv.global=202206716</v>
      </c>
    </row>
    <row r="5456" spans="1:21">
      <c r="A5456">
        <v>5455</v>
      </c>
      <c r="B5456" s="29" t="s">
        <v>4053</v>
      </c>
      <c r="C5456" s="29"/>
      <c r="D5456" s="29" t="s">
        <v>4082</v>
      </c>
      <c r="E5456" s="29"/>
      <c r="F5456" s="29" t="s">
        <v>4106</v>
      </c>
      <c r="G5456" s="29"/>
      <c r="H5456" s="29" t="s">
        <v>4117</v>
      </c>
      <c r="I5456" s="29"/>
      <c r="J5456" s="29" t="s">
        <v>4118</v>
      </c>
      <c r="K5456" s="29"/>
      <c r="L5456" s="29" t="s">
        <v>1546</v>
      </c>
      <c r="M5456" s="29"/>
      <c r="N5456" s="29" t="s">
        <v>1547</v>
      </c>
      <c r="O5456" s="29"/>
      <c r="P5456" s="29" t="s">
        <v>1375</v>
      </c>
      <c r="Q5456" t="s">
        <v>2041</v>
      </c>
      <c r="R5456" t="s">
        <v>2634</v>
      </c>
      <c r="S5456">
        <v>35</v>
      </c>
      <c r="T5456" s="43" t="str">
        <f t="shared" si="254"/>
        <v>2019.012D.zip</v>
      </c>
      <c r="U5456" s="43" t="str">
        <f>HYPERLINK("https://ictv.global/taxonomy/taxondetails?taxnode_id=202203474","ictv.global=202203474")</f>
        <v>ictv.global=202203474</v>
      </c>
    </row>
    <row r="5457" spans="1:21">
      <c r="A5457">
        <v>5456</v>
      </c>
      <c r="B5457" s="29" t="s">
        <v>4053</v>
      </c>
      <c r="C5457" s="29"/>
      <c r="D5457" s="29" t="s">
        <v>4082</v>
      </c>
      <c r="E5457" s="29"/>
      <c r="F5457" s="29" t="s">
        <v>4106</v>
      </c>
      <c r="G5457" s="29"/>
      <c r="H5457" s="29" t="s">
        <v>4117</v>
      </c>
      <c r="I5457" s="29"/>
      <c r="J5457" s="29" t="s">
        <v>4118</v>
      </c>
      <c r="K5457" s="29"/>
      <c r="L5457" s="29" t="s">
        <v>1546</v>
      </c>
      <c r="M5457" s="29"/>
      <c r="N5457" s="29" t="s">
        <v>1547</v>
      </c>
      <c r="O5457" s="29"/>
      <c r="P5457" s="29" t="s">
        <v>1376</v>
      </c>
      <c r="Q5457" t="s">
        <v>2041</v>
      </c>
      <c r="R5457" t="s">
        <v>2634</v>
      </c>
      <c r="S5457">
        <v>35</v>
      </c>
      <c r="T5457" s="43" t="str">
        <f t="shared" si="254"/>
        <v>2019.012D.zip</v>
      </c>
      <c r="U5457" s="43" t="str">
        <f>HYPERLINK("https://ictv.global/taxonomy/taxondetails?taxnode_id=202203475","ictv.global=202203475")</f>
        <v>ictv.global=202203475</v>
      </c>
    </row>
    <row r="5458" spans="1:21">
      <c r="A5458">
        <v>5457</v>
      </c>
      <c r="B5458" s="29" t="s">
        <v>4053</v>
      </c>
      <c r="C5458" s="29"/>
      <c r="D5458" s="29" t="s">
        <v>4082</v>
      </c>
      <c r="E5458" s="29"/>
      <c r="F5458" s="29" t="s">
        <v>4106</v>
      </c>
      <c r="G5458" s="29"/>
      <c r="H5458" s="29" t="s">
        <v>4117</v>
      </c>
      <c r="I5458" s="29"/>
      <c r="J5458" s="29" t="s">
        <v>4118</v>
      </c>
      <c r="K5458" s="29"/>
      <c r="L5458" s="29" t="s">
        <v>1546</v>
      </c>
      <c r="M5458" s="29"/>
      <c r="N5458" s="29" t="s">
        <v>1547</v>
      </c>
      <c r="O5458" s="29"/>
      <c r="P5458" s="29" t="s">
        <v>1377</v>
      </c>
      <c r="Q5458" t="s">
        <v>2041</v>
      </c>
      <c r="R5458" t="s">
        <v>2634</v>
      </c>
      <c r="S5458">
        <v>35</v>
      </c>
      <c r="T5458" s="43" t="str">
        <f t="shared" si="254"/>
        <v>2019.012D.zip</v>
      </c>
      <c r="U5458" s="43" t="str">
        <f>HYPERLINK("https://ictv.global/taxonomy/taxondetails?taxnode_id=202203476","ictv.global=202203476")</f>
        <v>ictv.global=202203476</v>
      </c>
    </row>
    <row r="5459" spans="1:21">
      <c r="A5459">
        <v>5458</v>
      </c>
      <c r="B5459" s="29" t="s">
        <v>4053</v>
      </c>
      <c r="C5459" s="29"/>
      <c r="D5459" s="29" t="s">
        <v>4082</v>
      </c>
      <c r="E5459" s="29"/>
      <c r="F5459" s="29" t="s">
        <v>4106</v>
      </c>
      <c r="G5459" s="29"/>
      <c r="H5459" s="29" t="s">
        <v>4117</v>
      </c>
      <c r="I5459" s="29"/>
      <c r="J5459" s="29" t="s">
        <v>4118</v>
      </c>
      <c r="K5459" s="29"/>
      <c r="L5459" s="29" t="s">
        <v>1546</v>
      </c>
      <c r="M5459" s="29"/>
      <c r="N5459" s="29" t="s">
        <v>1547</v>
      </c>
      <c r="O5459" s="29"/>
      <c r="P5459" s="29" t="s">
        <v>674</v>
      </c>
      <c r="Q5459" t="s">
        <v>2041</v>
      </c>
      <c r="R5459" t="s">
        <v>2634</v>
      </c>
      <c r="S5459">
        <v>35</v>
      </c>
      <c r="T5459" s="43" t="str">
        <f t="shared" si="254"/>
        <v>2019.012D.zip</v>
      </c>
      <c r="U5459" s="43" t="str">
        <f>HYPERLINK("https://ictv.global/taxonomy/taxondetails?taxnode_id=202203477","ictv.global=202203477")</f>
        <v>ictv.global=202203477</v>
      </c>
    </row>
    <row r="5460" spans="1:21">
      <c r="A5460">
        <v>5459</v>
      </c>
      <c r="B5460" s="29" t="s">
        <v>4053</v>
      </c>
      <c r="C5460" s="29"/>
      <c r="D5460" s="29" t="s">
        <v>4082</v>
      </c>
      <c r="E5460" s="29"/>
      <c r="F5460" s="29" t="s">
        <v>4106</v>
      </c>
      <c r="G5460" s="29"/>
      <c r="H5460" s="29" t="s">
        <v>4117</v>
      </c>
      <c r="I5460" s="29"/>
      <c r="J5460" s="29" t="s">
        <v>4118</v>
      </c>
      <c r="K5460" s="29"/>
      <c r="L5460" s="29" t="s">
        <v>1546</v>
      </c>
      <c r="M5460" s="29"/>
      <c r="N5460" s="29" t="s">
        <v>1547</v>
      </c>
      <c r="O5460" s="29"/>
      <c r="P5460" s="29" t="s">
        <v>675</v>
      </c>
      <c r="Q5460" t="s">
        <v>2041</v>
      </c>
      <c r="R5460" t="s">
        <v>2634</v>
      </c>
      <c r="S5460">
        <v>35</v>
      </c>
      <c r="T5460" s="43" t="str">
        <f t="shared" si="254"/>
        <v>2019.012D.zip</v>
      </c>
      <c r="U5460" s="43" t="str">
        <f>HYPERLINK("https://ictv.global/taxonomy/taxondetails?taxnode_id=202203478","ictv.global=202203478")</f>
        <v>ictv.global=202203478</v>
      </c>
    </row>
    <row r="5461" spans="1:21">
      <c r="A5461">
        <v>5460</v>
      </c>
      <c r="B5461" s="29" t="s">
        <v>4053</v>
      </c>
      <c r="C5461" s="29"/>
      <c r="D5461" s="29" t="s">
        <v>4082</v>
      </c>
      <c r="E5461" s="29"/>
      <c r="F5461" s="29" t="s">
        <v>4106</v>
      </c>
      <c r="G5461" s="29"/>
      <c r="H5461" s="29" t="s">
        <v>4117</v>
      </c>
      <c r="I5461" s="29"/>
      <c r="J5461" s="29" t="s">
        <v>4118</v>
      </c>
      <c r="K5461" s="29"/>
      <c r="L5461" s="29" t="s">
        <v>1546</v>
      </c>
      <c r="M5461" s="29"/>
      <c r="N5461" s="29" t="s">
        <v>1547</v>
      </c>
      <c r="O5461" s="29"/>
      <c r="P5461" s="29" t="s">
        <v>1378</v>
      </c>
      <c r="Q5461" t="s">
        <v>2041</v>
      </c>
      <c r="R5461" t="s">
        <v>2634</v>
      </c>
      <c r="S5461">
        <v>35</v>
      </c>
      <c r="T5461" s="43" t="str">
        <f t="shared" si="254"/>
        <v>2019.012D.zip</v>
      </c>
      <c r="U5461" s="43" t="str">
        <f>HYPERLINK("https://ictv.global/taxonomy/taxondetails?taxnode_id=202203479","ictv.global=202203479")</f>
        <v>ictv.global=202203479</v>
      </c>
    </row>
    <row r="5462" spans="1:21">
      <c r="A5462">
        <v>5461</v>
      </c>
      <c r="B5462" s="29" t="s">
        <v>4053</v>
      </c>
      <c r="C5462" s="29"/>
      <c r="D5462" s="29" t="s">
        <v>4082</v>
      </c>
      <c r="E5462" s="29"/>
      <c r="F5462" s="29" t="s">
        <v>4106</v>
      </c>
      <c r="G5462" s="29"/>
      <c r="H5462" s="29" t="s">
        <v>4117</v>
      </c>
      <c r="I5462" s="29"/>
      <c r="J5462" s="29" t="s">
        <v>4118</v>
      </c>
      <c r="K5462" s="29"/>
      <c r="L5462" s="29" t="s">
        <v>1546</v>
      </c>
      <c r="M5462" s="29"/>
      <c r="N5462" s="29" t="s">
        <v>1547</v>
      </c>
      <c r="O5462" s="29"/>
      <c r="P5462" s="29" t="s">
        <v>1417</v>
      </c>
      <c r="Q5462" t="s">
        <v>2041</v>
      </c>
      <c r="R5462" t="s">
        <v>2634</v>
      </c>
      <c r="S5462">
        <v>35</v>
      </c>
      <c r="T5462" s="43" t="str">
        <f t="shared" si="254"/>
        <v>2019.012D.zip</v>
      </c>
      <c r="U5462" s="43" t="str">
        <f>HYPERLINK("https://ictv.global/taxonomy/taxondetails?taxnode_id=202203480","ictv.global=202203480")</f>
        <v>ictv.global=202203480</v>
      </c>
    </row>
    <row r="5463" spans="1:21">
      <c r="A5463">
        <v>5462</v>
      </c>
      <c r="B5463" s="29" t="s">
        <v>4053</v>
      </c>
      <c r="C5463" s="29"/>
      <c r="D5463" s="29" t="s">
        <v>4082</v>
      </c>
      <c r="E5463" s="29"/>
      <c r="F5463" s="29" t="s">
        <v>4106</v>
      </c>
      <c r="G5463" s="29"/>
      <c r="H5463" s="29" t="s">
        <v>4117</v>
      </c>
      <c r="I5463" s="29"/>
      <c r="J5463" s="29" t="s">
        <v>4118</v>
      </c>
      <c r="K5463" s="29"/>
      <c r="L5463" s="29" t="s">
        <v>1546</v>
      </c>
      <c r="M5463" s="29"/>
      <c r="N5463" s="29" t="s">
        <v>1547</v>
      </c>
      <c r="O5463" s="29"/>
      <c r="P5463" s="29" t="s">
        <v>623</v>
      </c>
      <c r="Q5463" t="s">
        <v>2041</v>
      </c>
      <c r="R5463" t="s">
        <v>2634</v>
      </c>
      <c r="S5463">
        <v>35</v>
      </c>
      <c r="T5463" s="43" t="str">
        <f t="shared" si="254"/>
        <v>2019.012D.zip</v>
      </c>
      <c r="U5463" s="43" t="str">
        <f>HYPERLINK("https://ictv.global/taxonomy/taxondetails?taxnode_id=202203481","ictv.global=202203481")</f>
        <v>ictv.global=202203481</v>
      </c>
    </row>
    <row r="5464" spans="1:21">
      <c r="A5464">
        <v>5463</v>
      </c>
      <c r="B5464" s="29" t="s">
        <v>4053</v>
      </c>
      <c r="C5464" s="29"/>
      <c r="D5464" s="29" t="s">
        <v>4082</v>
      </c>
      <c r="E5464" s="29"/>
      <c r="F5464" s="29" t="s">
        <v>4106</v>
      </c>
      <c r="G5464" s="29"/>
      <c r="H5464" s="29" t="s">
        <v>4117</v>
      </c>
      <c r="I5464" s="29"/>
      <c r="J5464" s="29" t="s">
        <v>4118</v>
      </c>
      <c r="K5464" s="29"/>
      <c r="L5464" s="29" t="s">
        <v>1546</v>
      </c>
      <c r="M5464" s="29"/>
      <c r="N5464" s="29" t="s">
        <v>1547</v>
      </c>
      <c r="O5464" s="29"/>
      <c r="P5464" s="29" t="s">
        <v>2896</v>
      </c>
      <c r="Q5464" t="s">
        <v>2041</v>
      </c>
      <c r="R5464" t="s">
        <v>2634</v>
      </c>
      <c r="S5464">
        <v>35</v>
      </c>
      <c r="T5464" s="43" t="str">
        <f t="shared" si="254"/>
        <v>2019.012D.zip</v>
      </c>
      <c r="U5464" s="43" t="str">
        <f>HYPERLINK("https://ictv.global/taxonomy/taxondetails?taxnode_id=202205840","ictv.global=202205840")</f>
        <v>ictv.global=202205840</v>
      </c>
    </row>
    <row r="5465" spans="1:21">
      <c r="A5465">
        <v>5464</v>
      </c>
      <c r="B5465" s="29" t="s">
        <v>4053</v>
      </c>
      <c r="C5465" s="29"/>
      <c r="D5465" s="29" t="s">
        <v>4082</v>
      </c>
      <c r="E5465" s="29"/>
      <c r="F5465" s="29" t="s">
        <v>4106</v>
      </c>
      <c r="G5465" s="29"/>
      <c r="H5465" s="29" t="s">
        <v>4117</v>
      </c>
      <c r="I5465" s="29"/>
      <c r="J5465" s="29" t="s">
        <v>4118</v>
      </c>
      <c r="K5465" s="29"/>
      <c r="L5465" s="29" t="s">
        <v>1546</v>
      </c>
      <c r="M5465" s="29"/>
      <c r="N5465" s="29" t="s">
        <v>1547</v>
      </c>
      <c r="O5465" s="29"/>
      <c r="P5465" s="29" t="s">
        <v>624</v>
      </c>
      <c r="Q5465" t="s">
        <v>2041</v>
      </c>
      <c r="R5465" t="s">
        <v>2634</v>
      </c>
      <c r="S5465">
        <v>35</v>
      </c>
      <c r="T5465" s="43" t="str">
        <f t="shared" si="254"/>
        <v>2019.012D.zip</v>
      </c>
      <c r="U5465" s="43" t="str">
        <f>HYPERLINK("https://ictv.global/taxonomy/taxondetails?taxnode_id=202203482","ictv.global=202203482")</f>
        <v>ictv.global=202203482</v>
      </c>
    </row>
    <row r="5466" spans="1:21">
      <c r="A5466">
        <v>5465</v>
      </c>
      <c r="B5466" s="29" t="s">
        <v>4053</v>
      </c>
      <c r="C5466" s="29"/>
      <c r="D5466" s="29" t="s">
        <v>4082</v>
      </c>
      <c r="E5466" s="29"/>
      <c r="F5466" s="29" t="s">
        <v>4106</v>
      </c>
      <c r="G5466" s="29"/>
      <c r="H5466" s="29" t="s">
        <v>4117</v>
      </c>
      <c r="I5466" s="29"/>
      <c r="J5466" s="29" t="s">
        <v>4118</v>
      </c>
      <c r="K5466" s="29"/>
      <c r="L5466" s="29" t="s">
        <v>1546</v>
      </c>
      <c r="M5466" s="29"/>
      <c r="N5466" s="29" t="s">
        <v>1547</v>
      </c>
      <c r="O5466" s="29"/>
      <c r="P5466" s="29" t="s">
        <v>625</v>
      </c>
      <c r="Q5466" t="s">
        <v>2041</v>
      </c>
      <c r="R5466" t="s">
        <v>2634</v>
      </c>
      <c r="S5466">
        <v>35</v>
      </c>
      <c r="T5466" s="43" t="str">
        <f t="shared" si="254"/>
        <v>2019.012D.zip</v>
      </c>
      <c r="U5466" s="43" t="str">
        <f>HYPERLINK("https://ictv.global/taxonomy/taxondetails?taxnode_id=202203483","ictv.global=202203483")</f>
        <v>ictv.global=202203483</v>
      </c>
    </row>
    <row r="5467" spans="1:21">
      <c r="A5467">
        <v>5466</v>
      </c>
      <c r="B5467" s="29" t="s">
        <v>4053</v>
      </c>
      <c r="C5467" s="29"/>
      <c r="D5467" s="29" t="s">
        <v>4082</v>
      </c>
      <c r="E5467" s="29"/>
      <c r="F5467" s="29" t="s">
        <v>4106</v>
      </c>
      <c r="G5467" s="29"/>
      <c r="H5467" s="29" t="s">
        <v>4117</v>
      </c>
      <c r="I5467" s="29"/>
      <c r="J5467" s="29" t="s">
        <v>4118</v>
      </c>
      <c r="K5467" s="29"/>
      <c r="L5467" s="29" t="s">
        <v>1546</v>
      </c>
      <c r="M5467" s="29"/>
      <c r="N5467" s="29" t="s">
        <v>1547</v>
      </c>
      <c r="O5467" s="29"/>
      <c r="P5467" s="29" t="s">
        <v>1344</v>
      </c>
      <c r="Q5467" t="s">
        <v>2041</v>
      </c>
      <c r="R5467" t="s">
        <v>2634</v>
      </c>
      <c r="S5467">
        <v>35</v>
      </c>
      <c r="T5467" s="43" t="str">
        <f t="shared" si="254"/>
        <v>2019.012D.zip</v>
      </c>
      <c r="U5467" s="43" t="str">
        <f>HYPERLINK("https://ictv.global/taxonomy/taxondetails?taxnode_id=202203484","ictv.global=202203484")</f>
        <v>ictv.global=202203484</v>
      </c>
    </row>
    <row r="5468" spans="1:21">
      <c r="A5468">
        <v>5467</v>
      </c>
      <c r="B5468" s="29" t="s">
        <v>4053</v>
      </c>
      <c r="C5468" s="29"/>
      <c r="D5468" s="29" t="s">
        <v>4082</v>
      </c>
      <c r="E5468" s="29"/>
      <c r="F5468" s="29" t="s">
        <v>4106</v>
      </c>
      <c r="G5468" s="29"/>
      <c r="H5468" s="29" t="s">
        <v>4117</v>
      </c>
      <c r="I5468" s="29"/>
      <c r="J5468" s="29" t="s">
        <v>4118</v>
      </c>
      <c r="K5468" s="29"/>
      <c r="L5468" s="29" t="s">
        <v>1546</v>
      </c>
      <c r="M5468" s="29"/>
      <c r="N5468" s="29" t="s">
        <v>1547</v>
      </c>
      <c r="O5468" s="29"/>
      <c r="P5468" s="29" t="s">
        <v>2897</v>
      </c>
      <c r="Q5468" t="s">
        <v>2041</v>
      </c>
      <c r="R5468" t="s">
        <v>2634</v>
      </c>
      <c r="S5468">
        <v>35</v>
      </c>
      <c r="T5468" s="43" t="str">
        <f t="shared" si="254"/>
        <v>2019.012D.zip</v>
      </c>
      <c r="U5468" s="43" t="str">
        <f>HYPERLINK("https://ictv.global/taxonomy/taxondetails?taxnode_id=202205841","ictv.global=202205841")</f>
        <v>ictv.global=202205841</v>
      </c>
    </row>
    <row r="5469" spans="1:21">
      <c r="A5469">
        <v>5468</v>
      </c>
      <c r="B5469" s="29" t="s">
        <v>4053</v>
      </c>
      <c r="C5469" s="29"/>
      <c r="D5469" s="29" t="s">
        <v>4082</v>
      </c>
      <c r="E5469" s="29"/>
      <c r="F5469" s="29" t="s">
        <v>4106</v>
      </c>
      <c r="G5469" s="29"/>
      <c r="H5469" s="29" t="s">
        <v>4117</v>
      </c>
      <c r="I5469" s="29"/>
      <c r="J5469" s="29" t="s">
        <v>4118</v>
      </c>
      <c r="K5469" s="29"/>
      <c r="L5469" s="29" t="s">
        <v>1546</v>
      </c>
      <c r="M5469" s="29"/>
      <c r="N5469" s="29" t="s">
        <v>1547</v>
      </c>
      <c r="O5469" s="29"/>
      <c r="P5469" s="29" t="s">
        <v>4927</v>
      </c>
      <c r="Q5469" t="s">
        <v>2265</v>
      </c>
      <c r="R5469" t="s">
        <v>2632</v>
      </c>
      <c r="S5469">
        <v>36</v>
      </c>
      <c r="T5469" s="43" t="str">
        <f>HYPERLINK("https://ictv.global/ictv/proposals/2020.006P.R.Begomovirus_22nsp.zip","2020.006P.R.Begomovirus_22nsp.zip")</f>
        <v>2020.006P.R.Begomovirus_22nsp.zip</v>
      </c>
      <c r="U5469" s="43" t="str">
        <f>HYPERLINK("https://ictv.global/taxonomy/taxondetails?taxnode_id=202209137","ictv.global=202209137")</f>
        <v>ictv.global=202209137</v>
      </c>
    </row>
    <row r="5470" spans="1:21">
      <c r="A5470">
        <v>5469</v>
      </c>
      <c r="B5470" s="29" t="s">
        <v>4053</v>
      </c>
      <c r="C5470" s="29"/>
      <c r="D5470" s="29" t="s">
        <v>4082</v>
      </c>
      <c r="E5470" s="29"/>
      <c r="F5470" s="29" t="s">
        <v>4106</v>
      </c>
      <c r="G5470" s="29"/>
      <c r="H5470" s="29" t="s">
        <v>4117</v>
      </c>
      <c r="I5470" s="29"/>
      <c r="J5470" s="29" t="s">
        <v>4118</v>
      </c>
      <c r="K5470" s="29"/>
      <c r="L5470" s="29" t="s">
        <v>1546</v>
      </c>
      <c r="M5470" s="29"/>
      <c r="N5470" s="29" t="s">
        <v>1547</v>
      </c>
      <c r="O5470" s="29"/>
      <c r="P5470" s="29" t="s">
        <v>1869</v>
      </c>
      <c r="Q5470" t="s">
        <v>2041</v>
      </c>
      <c r="R5470" t="s">
        <v>2634</v>
      </c>
      <c r="S5470">
        <v>35</v>
      </c>
      <c r="T5470" s="43" t="str">
        <f t="shared" ref="T5470:T5477" si="255">HYPERLINK("https://ictv.global/ictv/proposals/2019.012D.zip","2019.012D.zip")</f>
        <v>2019.012D.zip</v>
      </c>
      <c r="U5470" s="43" t="str">
        <f>HYPERLINK("https://ictv.global/taxonomy/taxondetails?taxnode_id=202203485","ictv.global=202203485")</f>
        <v>ictv.global=202203485</v>
      </c>
    </row>
    <row r="5471" spans="1:21">
      <c r="A5471">
        <v>5470</v>
      </c>
      <c r="B5471" s="29" t="s">
        <v>4053</v>
      </c>
      <c r="C5471" s="29"/>
      <c r="D5471" s="29" t="s">
        <v>4082</v>
      </c>
      <c r="E5471" s="29"/>
      <c r="F5471" s="29" t="s">
        <v>4106</v>
      </c>
      <c r="G5471" s="29"/>
      <c r="H5471" s="29" t="s">
        <v>4117</v>
      </c>
      <c r="I5471" s="29"/>
      <c r="J5471" s="29" t="s">
        <v>4118</v>
      </c>
      <c r="K5471" s="29"/>
      <c r="L5471" s="29" t="s">
        <v>1546</v>
      </c>
      <c r="M5471" s="29"/>
      <c r="N5471" s="29" t="s">
        <v>1547</v>
      </c>
      <c r="O5471" s="29"/>
      <c r="P5471" s="29" t="s">
        <v>781</v>
      </c>
      <c r="Q5471" t="s">
        <v>2041</v>
      </c>
      <c r="R5471" t="s">
        <v>2634</v>
      </c>
      <c r="S5471">
        <v>35</v>
      </c>
      <c r="T5471" s="43" t="str">
        <f t="shared" si="255"/>
        <v>2019.012D.zip</v>
      </c>
      <c r="U5471" s="43" t="str">
        <f>HYPERLINK("https://ictv.global/taxonomy/taxondetails?taxnode_id=202203486","ictv.global=202203486")</f>
        <v>ictv.global=202203486</v>
      </c>
    </row>
    <row r="5472" spans="1:21">
      <c r="A5472">
        <v>5471</v>
      </c>
      <c r="B5472" s="29" t="s">
        <v>4053</v>
      </c>
      <c r="C5472" s="29"/>
      <c r="D5472" s="29" t="s">
        <v>4082</v>
      </c>
      <c r="E5472" s="29"/>
      <c r="F5472" s="29" t="s">
        <v>4106</v>
      </c>
      <c r="G5472" s="29"/>
      <c r="H5472" s="29" t="s">
        <v>4117</v>
      </c>
      <c r="I5472" s="29"/>
      <c r="J5472" s="29" t="s">
        <v>4118</v>
      </c>
      <c r="K5472" s="29"/>
      <c r="L5472" s="29" t="s">
        <v>1546</v>
      </c>
      <c r="M5472" s="29"/>
      <c r="N5472" s="29" t="s">
        <v>1547</v>
      </c>
      <c r="O5472" s="29"/>
      <c r="P5472" s="29" t="s">
        <v>1870</v>
      </c>
      <c r="Q5472" t="s">
        <v>2041</v>
      </c>
      <c r="R5472" t="s">
        <v>2634</v>
      </c>
      <c r="S5472">
        <v>35</v>
      </c>
      <c r="T5472" s="43" t="str">
        <f t="shared" si="255"/>
        <v>2019.012D.zip</v>
      </c>
      <c r="U5472" s="43" t="str">
        <f>HYPERLINK("https://ictv.global/taxonomy/taxondetails?taxnode_id=202203487","ictv.global=202203487")</f>
        <v>ictv.global=202203487</v>
      </c>
    </row>
    <row r="5473" spans="1:21">
      <c r="A5473">
        <v>5472</v>
      </c>
      <c r="B5473" s="29" t="s">
        <v>4053</v>
      </c>
      <c r="C5473" s="29"/>
      <c r="D5473" s="29" t="s">
        <v>4082</v>
      </c>
      <c r="E5473" s="29"/>
      <c r="F5473" s="29" t="s">
        <v>4106</v>
      </c>
      <c r="G5473" s="29"/>
      <c r="H5473" s="29" t="s">
        <v>4117</v>
      </c>
      <c r="I5473" s="29"/>
      <c r="J5473" s="29" t="s">
        <v>4118</v>
      </c>
      <c r="K5473" s="29"/>
      <c r="L5473" s="29" t="s">
        <v>1546</v>
      </c>
      <c r="M5473" s="29"/>
      <c r="N5473" s="29" t="s">
        <v>1547</v>
      </c>
      <c r="O5473" s="29"/>
      <c r="P5473" s="29" t="s">
        <v>782</v>
      </c>
      <c r="Q5473" t="s">
        <v>2041</v>
      </c>
      <c r="R5473" t="s">
        <v>2634</v>
      </c>
      <c r="S5473">
        <v>35</v>
      </c>
      <c r="T5473" s="43" t="str">
        <f t="shared" si="255"/>
        <v>2019.012D.zip</v>
      </c>
      <c r="U5473" s="43" t="str">
        <f>HYPERLINK("https://ictv.global/taxonomy/taxondetails?taxnode_id=202203488","ictv.global=202203488")</f>
        <v>ictv.global=202203488</v>
      </c>
    </row>
    <row r="5474" spans="1:21">
      <c r="A5474">
        <v>5473</v>
      </c>
      <c r="B5474" s="29" t="s">
        <v>4053</v>
      </c>
      <c r="C5474" s="29"/>
      <c r="D5474" s="29" t="s">
        <v>4082</v>
      </c>
      <c r="E5474" s="29"/>
      <c r="F5474" s="29" t="s">
        <v>4106</v>
      </c>
      <c r="G5474" s="29"/>
      <c r="H5474" s="29" t="s">
        <v>4117</v>
      </c>
      <c r="I5474" s="29"/>
      <c r="J5474" s="29" t="s">
        <v>4118</v>
      </c>
      <c r="K5474" s="29"/>
      <c r="L5474" s="29" t="s">
        <v>1546</v>
      </c>
      <c r="M5474" s="29"/>
      <c r="N5474" s="29" t="s">
        <v>1547</v>
      </c>
      <c r="O5474" s="29"/>
      <c r="P5474" s="29" t="s">
        <v>783</v>
      </c>
      <c r="Q5474" t="s">
        <v>2041</v>
      </c>
      <c r="R5474" t="s">
        <v>2634</v>
      </c>
      <c r="S5474">
        <v>35</v>
      </c>
      <c r="T5474" s="43" t="str">
        <f t="shared" si="255"/>
        <v>2019.012D.zip</v>
      </c>
      <c r="U5474" s="43" t="str">
        <f>HYPERLINK("https://ictv.global/taxonomy/taxondetails?taxnode_id=202203489","ictv.global=202203489")</f>
        <v>ictv.global=202203489</v>
      </c>
    </row>
    <row r="5475" spans="1:21">
      <c r="A5475">
        <v>5474</v>
      </c>
      <c r="B5475" s="29" t="s">
        <v>4053</v>
      </c>
      <c r="C5475" s="29"/>
      <c r="D5475" s="29" t="s">
        <v>4082</v>
      </c>
      <c r="E5475" s="29"/>
      <c r="F5475" s="29" t="s">
        <v>4106</v>
      </c>
      <c r="G5475" s="29"/>
      <c r="H5475" s="29" t="s">
        <v>4117</v>
      </c>
      <c r="I5475" s="29"/>
      <c r="J5475" s="29" t="s">
        <v>4118</v>
      </c>
      <c r="K5475" s="29"/>
      <c r="L5475" s="29" t="s">
        <v>1546</v>
      </c>
      <c r="M5475" s="29"/>
      <c r="N5475" s="29" t="s">
        <v>1547</v>
      </c>
      <c r="O5475" s="29"/>
      <c r="P5475" s="29" t="s">
        <v>2898</v>
      </c>
      <c r="Q5475" t="s">
        <v>2041</v>
      </c>
      <c r="R5475" t="s">
        <v>2634</v>
      </c>
      <c r="S5475">
        <v>35</v>
      </c>
      <c r="T5475" s="43" t="str">
        <f t="shared" si="255"/>
        <v>2019.012D.zip</v>
      </c>
      <c r="U5475" s="43" t="str">
        <f>HYPERLINK("https://ictv.global/taxonomy/taxondetails?taxnode_id=202205842","ictv.global=202205842")</f>
        <v>ictv.global=202205842</v>
      </c>
    </row>
    <row r="5476" spans="1:21">
      <c r="A5476">
        <v>5475</v>
      </c>
      <c r="B5476" s="29" t="s">
        <v>4053</v>
      </c>
      <c r="C5476" s="29"/>
      <c r="D5476" s="29" t="s">
        <v>4082</v>
      </c>
      <c r="E5476" s="29"/>
      <c r="F5476" s="29" t="s">
        <v>4106</v>
      </c>
      <c r="G5476" s="29"/>
      <c r="H5476" s="29" t="s">
        <v>4117</v>
      </c>
      <c r="I5476" s="29"/>
      <c r="J5476" s="29" t="s">
        <v>4118</v>
      </c>
      <c r="K5476" s="29"/>
      <c r="L5476" s="29" t="s">
        <v>1546</v>
      </c>
      <c r="M5476" s="29"/>
      <c r="N5476" s="29" t="s">
        <v>1547</v>
      </c>
      <c r="O5476" s="29"/>
      <c r="P5476" s="29" t="s">
        <v>2899</v>
      </c>
      <c r="Q5476" t="s">
        <v>2041</v>
      </c>
      <c r="R5476" t="s">
        <v>2634</v>
      </c>
      <c r="S5476">
        <v>35</v>
      </c>
      <c r="T5476" s="43" t="str">
        <f t="shared" si="255"/>
        <v>2019.012D.zip</v>
      </c>
      <c r="U5476" s="43" t="str">
        <f>HYPERLINK("https://ictv.global/taxonomy/taxondetails?taxnode_id=202205843","ictv.global=202205843")</f>
        <v>ictv.global=202205843</v>
      </c>
    </row>
    <row r="5477" spans="1:21">
      <c r="A5477">
        <v>5476</v>
      </c>
      <c r="B5477" s="29" t="s">
        <v>4053</v>
      </c>
      <c r="C5477" s="29"/>
      <c r="D5477" s="29" t="s">
        <v>4082</v>
      </c>
      <c r="E5477" s="29"/>
      <c r="F5477" s="29" t="s">
        <v>4106</v>
      </c>
      <c r="G5477" s="29"/>
      <c r="H5477" s="29" t="s">
        <v>4117</v>
      </c>
      <c r="I5477" s="29"/>
      <c r="J5477" s="29" t="s">
        <v>4118</v>
      </c>
      <c r="K5477" s="29"/>
      <c r="L5477" s="29" t="s">
        <v>1546</v>
      </c>
      <c r="M5477" s="29"/>
      <c r="N5477" s="29" t="s">
        <v>1547</v>
      </c>
      <c r="O5477" s="29"/>
      <c r="P5477" s="29" t="s">
        <v>2255</v>
      </c>
      <c r="Q5477" t="s">
        <v>2041</v>
      </c>
      <c r="R5477" t="s">
        <v>2634</v>
      </c>
      <c r="S5477">
        <v>35</v>
      </c>
      <c r="T5477" s="43" t="str">
        <f t="shared" si="255"/>
        <v>2019.012D.zip</v>
      </c>
      <c r="U5477" s="43" t="str">
        <f>HYPERLINK("https://ictv.global/taxonomy/taxondetails?taxnode_id=202203490","ictv.global=202203490")</f>
        <v>ictv.global=202203490</v>
      </c>
    </row>
    <row r="5478" spans="1:21">
      <c r="A5478">
        <v>5477</v>
      </c>
      <c r="B5478" s="29" t="s">
        <v>4053</v>
      </c>
      <c r="C5478" s="29"/>
      <c r="D5478" s="29" t="s">
        <v>4082</v>
      </c>
      <c r="E5478" s="29"/>
      <c r="F5478" s="29" t="s">
        <v>4106</v>
      </c>
      <c r="G5478" s="29"/>
      <c r="H5478" s="29" t="s">
        <v>4117</v>
      </c>
      <c r="I5478" s="29"/>
      <c r="J5478" s="29" t="s">
        <v>4118</v>
      </c>
      <c r="K5478" s="29"/>
      <c r="L5478" s="29" t="s">
        <v>1546</v>
      </c>
      <c r="M5478" s="29"/>
      <c r="N5478" s="29" t="s">
        <v>1547</v>
      </c>
      <c r="O5478" s="29"/>
      <c r="P5478" s="29" t="s">
        <v>4928</v>
      </c>
      <c r="Q5478" t="s">
        <v>2265</v>
      </c>
      <c r="R5478" t="s">
        <v>2632</v>
      </c>
      <c r="S5478">
        <v>36</v>
      </c>
      <c r="T5478" s="43" t="str">
        <f>HYPERLINK("https://ictv.global/ictv/proposals/2020.006P.R.Begomovirus_22nsp.zip","2020.006P.R.Begomovirus_22nsp.zip")</f>
        <v>2020.006P.R.Begomovirus_22nsp.zip</v>
      </c>
      <c r="U5478" s="43" t="str">
        <f>HYPERLINK("https://ictv.global/taxonomy/taxondetails?taxnode_id=202209138","ictv.global=202209138")</f>
        <v>ictv.global=202209138</v>
      </c>
    </row>
    <row r="5479" spans="1:21">
      <c r="A5479">
        <v>5478</v>
      </c>
      <c r="B5479" s="29" t="s">
        <v>4053</v>
      </c>
      <c r="C5479" s="29"/>
      <c r="D5479" s="29" t="s">
        <v>4082</v>
      </c>
      <c r="E5479" s="29"/>
      <c r="F5479" s="29" t="s">
        <v>4106</v>
      </c>
      <c r="G5479" s="29"/>
      <c r="H5479" s="29" t="s">
        <v>4117</v>
      </c>
      <c r="I5479" s="29"/>
      <c r="J5479" s="29" t="s">
        <v>4118</v>
      </c>
      <c r="K5479" s="29"/>
      <c r="L5479" s="29" t="s">
        <v>1546</v>
      </c>
      <c r="M5479" s="29"/>
      <c r="N5479" s="29" t="s">
        <v>1547</v>
      </c>
      <c r="O5479" s="29"/>
      <c r="P5479" s="29" t="s">
        <v>2900</v>
      </c>
      <c r="Q5479" t="s">
        <v>2041</v>
      </c>
      <c r="R5479" t="s">
        <v>2634</v>
      </c>
      <c r="S5479">
        <v>35</v>
      </c>
      <c r="T5479" s="43" t="str">
        <f t="shared" ref="T5479:T5496" si="256">HYPERLINK("https://ictv.global/ictv/proposals/2019.012D.zip","2019.012D.zip")</f>
        <v>2019.012D.zip</v>
      </c>
      <c r="U5479" s="43" t="str">
        <f>HYPERLINK("https://ictv.global/taxonomy/taxondetails?taxnode_id=202205844","ictv.global=202205844")</f>
        <v>ictv.global=202205844</v>
      </c>
    </row>
    <row r="5480" spans="1:21">
      <c r="A5480">
        <v>5479</v>
      </c>
      <c r="B5480" s="29" t="s">
        <v>4053</v>
      </c>
      <c r="C5480" s="29"/>
      <c r="D5480" s="29" t="s">
        <v>4082</v>
      </c>
      <c r="E5480" s="29"/>
      <c r="F5480" s="29" t="s">
        <v>4106</v>
      </c>
      <c r="G5480" s="29"/>
      <c r="H5480" s="29" t="s">
        <v>4117</v>
      </c>
      <c r="I5480" s="29"/>
      <c r="J5480" s="29" t="s">
        <v>4118</v>
      </c>
      <c r="K5480" s="29"/>
      <c r="L5480" s="29" t="s">
        <v>1546</v>
      </c>
      <c r="M5480" s="29"/>
      <c r="N5480" s="29" t="s">
        <v>1547</v>
      </c>
      <c r="O5480" s="29"/>
      <c r="P5480" s="29" t="s">
        <v>3656</v>
      </c>
      <c r="Q5480" t="s">
        <v>2041</v>
      </c>
      <c r="R5480" t="s">
        <v>2634</v>
      </c>
      <c r="S5480">
        <v>35</v>
      </c>
      <c r="T5480" s="43" t="str">
        <f t="shared" si="256"/>
        <v>2019.012D.zip</v>
      </c>
      <c r="U5480" s="43" t="str">
        <f>HYPERLINK("https://ictv.global/taxonomy/taxondetails?taxnode_id=202206717","ictv.global=202206717")</f>
        <v>ictv.global=202206717</v>
      </c>
    </row>
    <row r="5481" spans="1:21">
      <c r="A5481">
        <v>5480</v>
      </c>
      <c r="B5481" s="29" t="s">
        <v>4053</v>
      </c>
      <c r="C5481" s="29"/>
      <c r="D5481" s="29" t="s">
        <v>4082</v>
      </c>
      <c r="E5481" s="29"/>
      <c r="F5481" s="29" t="s">
        <v>4106</v>
      </c>
      <c r="G5481" s="29"/>
      <c r="H5481" s="29" t="s">
        <v>4117</v>
      </c>
      <c r="I5481" s="29"/>
      <c r="J5481" s="29" t="s">
        <v>4118</v>
      </c>
      <c r="K5481" s="29"/>
      <c r="L5481" s="29" t="s">
        <v>1546</v>
      </c>
      <c r="M5481" s="29"/>
      <c r="N5481" s="29" t="s">
        <v>1547</v>
      </c>
      <c r="O5481" s="29"/>
      <c r="P5481" s="29" t="s">
        <v>847</v>
      </c>
      <c r="Q5481" t="s">
        <v>2041</v>
      </c>
      <c r="R5481" t="s">
        <v>2634</v>
      </c>
      <c r="S5481">
        <v>35</v>
      </c>
      <c r="T5481" s="43" t="str">
        <f t="shared" si="256"/>
        <v>2019.012D.zip</v>
      </c>
      <c r="U5481" s="43" t="str">
        <f>HYPERLINK("https://ictv.global/taxonomy/taxondetails?taxnode_id=202203491","ictv.global=202203491")</f>
        <v>ictv.global=202203491</v>
      </c>
    </row>
    <row r="5482" spans="1:21">
      <c r="A5482">
        <v>5481</v>
      </c>
      <c r="B5482" s="29" t="s">
        <v>4053</v>
      </c>
      <c r="C5482" s="29"/>
      <c r="D5482" s="29" t="s">
        <v>4082</v>
      </c>
      <c r="E5482" s="29"/>
      <c r="F5482" s="29" t="s">
        <v>4106</v>
      </c>
      <c r="G5482" s="29"/>
      <c r="H5482" s="29" t="s">
        <v>4117</v>
      </c>
      <c r="I5482" s="29"/>
      <c r="J5482" s="29" t="s">
        <v>4118</v>
      </c>
      <c r="K5482" s="29"/>
      <c r="L5482" s="29" t="s">
        <v>1546</v>
      </c>
      <c r="M5482" s="29"/>
      <c r="N5482" s="29" t="s">
        <v>1547</v>
      </c>
      <c r="O5482" s="29"/>
      <c r="P5482" s="29" t="s">
        <v>2256</v>
      </c>
      <c r="Q5482" t="s">
        <v>2041</v>
      </c>
      <c r="R5482" t="s">
        <v>2634</v>
      </c>
      <c r="S5482">
        <v>35</v>
      </c>
      <c r="T5482" s="43" t="str">
        <f t="shared" si="256"/>
        <v>2019.012D.zip</v>
      </c>
      <c r="U5482" s="43" t="str">
        <f>HYPERLINK("https://ictv.global/taxonomy/taxondetails?taxnode_id=202203492","ictv.global=202203492")</f>
        <v>ictv.global=202203492</v>
      </c>
    </row>
    <row r="5483" spans="1:21">
      <c r="A5483">
        <v>5482</v>
      </c>
      <c r="B5483" s="29" t="s">
        <v>4053</v>
      </c>
      <c r="C5483" s="29"/>
      <c r="D5483" s="29" t="s">
        <v>4082</v>
      </c>
      <c r="E5483" s="29"/>
      <c r="F5483" s="29" t="s">
        <v>4106</v>
      </c>
      <c r="G5483" s="29"/>
      <c r="H5483" s="29" t="s">
        <v>4117</v>
      </c>
      <c r="I5483" s="29"/>
      <c r="J5483" s="29" t="s">
        <v>4118</v>
      </c>
      <c r="K5483" s="29"/>
      <c r="L5483" s="29" t="s">
        <v>1546</v>
      </c>
      <c r="M5483" s="29"/>
      <c r="N5483" s="29" t="s">
        <v>1547</v>
      </c>
      <c r="O5483" s="29"/>
      <c r="P5483" s="29" t="s">
        <v>2901</v>
      </c>
      <c r="Q5483" t="s">
        <v>2041</v>
      </c>
      <c r="R5483" t="s">
        <v>2634</v>
      </c>
      <c r="S5483">
        <v>35</v>
      </c>
      <c r="T5483" s="43" t="str">
        <f t="shared" si="256"/>
        <v>2019.012D.zip</v>
      </c>
      <c r="U5483" s="43" t="str">
        <f>HYPERLINK("https://ictv.global/taxonomy/taxondetails?taxnode_id=202205845","ictv.global=202205845")</f>
        <v>ictv.global=202205845</v>
      </c>
    </row>
    <row r="5484" spans="1:21">
      <c r="A5484">
        <v>5483</v>
      </c>
      <c r="B5484" s="29" t="s">
        <v>4053</v>
      </c>
      <c r="C5484" s="29"/>
      <c r="D5484" s="29" t="s">
        <v>4082</v>
      </c>
      <c r="E5484" s="29"/>
      <c r="F5484" s="29" t="s">
        <v>4106</v>
      </c>
      <c r="G5484" s="29"/>
      <c r="H5484" s="29" t="s">
        <v>4117</v>
      </c>
      <c r="I5484" s="29"/>
      <c r="J5484" s="29" t="s">
        <v>4118</v>
      </c>
      <c r="K5484" s="29"/>
      <c r="L5484" s="29" t="s">
        <v>1546</v>
      </c>
      <c r="M5484" s="29"/>
      <c r="N5484" s="29" t="s">
        <v>1547</v>
      </c>
      <c r="O5484" s="29"/>
      <c r="P5484" s="29" t="s">
        <v>848</v>
      </c>
      <c r="Q5484" t="s">
        <v>2041</v>
      </c>
      <c r="R5484" t="s">
        <v>2634</v>
      </c>
      <c r="S5484">
        <v>35</v>
      </c>
      <c r="T5484" s="43" t="str">
        <f t="shared" si="256"/>
        <v>2019.012D.zip</v>
      </c>
      <c r="U5484" s="43" t="str">
        <f>HYPERLINK("https://ictv.global/taxonomy/taxondetails?taxnode_id=202203493","ictv.global=202203493")</f>
        <v>ictv.global=202203493</v>
      </c>
    </row>
    <row r="5485" spans="1:21">
      <c r="A5485">
        <v>5484</v>
      </c>
      <c r="B5485" s="29" t="s">
        <v>4053</v>
      </c>
      <c r="C5485" s="29"/>
      <c r="D5485" s="29" t="s">
        <v>4082</v>
      </c>
      <c r="E5485" s="29"/>
      <c r="F5485" s="29" t="s">
        <v>4106</v>
      </c>
      <c r="G5485" s="29"/>
      <c r="H5485" s="29" t="s">
        <v>4117</v>
      </c>
      <c r="I5485" s="29"/>
      <c r="J5485" s="29" t="s">
        <v>4118</v>
      </c>
      <c r="K5485" s="29"/>
      <c r="L5485" s="29" t="s">
        <v>1546</v>
      </c>
      <c r="M5485" s="29"/>
      <c r="N5485" s="29" t="s">
        <v>1547</v>
      </c>
      <c r="O5485" s="29"/>
      <c r="P5485" s="29" t="s">
        <v>1871</v>
      </c>
      <c r="Q5485" t="s">
        <v>2041</v>
      </c>
      <c r="R5485" t="s">
        <v>2634</v>
      </c>
      <c r="S5485">
        <v>35</v>
      </c>
      <c r="T5485" s="43" t="str">
        <f t="shared" si="256"/>
        <v>2019.012D.zip</v>
      </c>
      <c r="U5485" s="43" t="str">
        <f>HYPERLINK("https://ictv.global/taxonomy/taxondetails?taxnode_id=202203494","ictv.global=202203494")</f>
        <v>ictv.global=202203494</v>
      </c>
    </row>
    <row r="5486" spans="1:21">
      <c r="A5486">
        <v>5485</v>
      </c>
      <c r="B5486" s="29" t="s">
        <v>4053</v>
      </c>
      <c r="C5486" s="29"/>
      <c r="D5486" s="29" t="s">
        <v>4082</v>
      </c>
      <c r="E5486" s="29"/>
      <c r="F5486" s="29" t="s">
        <v>4106</v>
      </c>
      <c r="G5486" s="29"/>
      <c r="H5486" s="29" t="s">
        <v>4117</v>
      </c>
      <c r="I5486" s="29"/>
      <c r="J5486" s="29" t="s">
        <v>4118</v>
      </c>
      <c r="K5486" s="29"/>
      <c r="L5486" s="29" t="s">
        <v>1546</v>
      </c>
      <c r="M5486" s="29"/>
      <c r="N5486" s="29" t="s">
        <v>1547</v>
      </c>
      <c r="O5486" s="29"/>
      <c r="P5486" s="29" t="s">
        <v>1872</v>
      </c>
      <c r="Q5486" t="s">
        <v>2041</v>
      </c>
      <c r="R5486" t="s">
        <v>2634</v>
      </c>
      <c r="S5486">
        <v>35</v>
      </c>
      <c r="T5486" s="43" t="str">
        <f t="shared" si="256"/>
        <v>2019.012D.zip</v>
      </c>
      <c r="U5486" s="43" t="str">
        <f>HYPERLINK("https://ictv.global/taxonomy/taxondetails?taxnode_id=202203495","ictv.global=202203495")</f>
        <v>ictv.global=202203495</v>
      </c>
    </row>
    <row r="5487" spans="1:21">
      <c r="A5487">
        <v>5486</v>
      </c>
      <c r="B5487" s="29" t="s">
        <v>4053</v>
      </c>
      <c r="C5487" s="29"/>
      <c r="D5487" s="29" t="s">
        <v>4082</v>
      </c>
      <c r="E5487" s="29"/>
      <c r="F5487" s="29" t="s">
        <v>4106</v>
      </c>
      <c r="G5487" s="29"/>
      <c r="H5487" s="29" t="s">
        <v>4117</v>
      </c>
      <c r="I5487" s="29"/>
      <c r="J5487" s="29" t="s">
        <v>4118</v>
      </c>
      <c r="K5487" s="29"/>
      <c r="L5487" s="29" t="s">
        <v>1546</v>
      </c>
      <c r="M5487" s="29"/>
      <c r="N5487" s="29" t="s">
        <v>1547</v>
      </c>
      <c r="O5487" s="29"/>
      <c r="P5487" s="29" t="s">
        <v>3657</v>
      </c>
      <c r="Q5487" t="s">
        <v>2041</v>
      </c>
      <c r="R5487" t="s">
        <v>2634</v>
      </c>
      <c r="S5487">
        <v>35</v>
      </c>
      <c r="T5487" s="43" t="str">
        <f t="shared" si="256"/>
        <v>2019.012D.zip</v>
      </c>
      <c r="U5487" s="43" t="str">
        <f>HYPERLINK("https://ictv.global/taxonomy/taxondetails?taxnode_id=202206718","ictv.global=202206718")</f>
        <v>ictv.global=202206718</v>
      </c>
    </row>
    <row r="5488" spans="1:21">
      <c r="A5488">
        <v>5487</v>
      </c>
      <c r="B5488" s="29" t="s">
        <v>4053</v>
      </c>
      <c r="C5488" s="29"/>
      <c r="D5488" s="29" t="s">
        <v>4082</v>
      </c>
      <c r="E5488" s="29"/>
      <c r="F5488" s="29" t="s">
        <v>4106</v>
      </c>
      <c r="G5488" s="29"/>
      <c r="H5488" s="29" t="s">
        <v>4117</v>
      </c>
      <c r="I5488" s="29"/>
      <c r="J5488" s="29" t="s">
        <v>4118</v>
      </c>
      <c r="K5488" s="29"/>
      <c r="L5488" s="29" t="s">
        <v>1546</v>
      </c>
      <c r="M5488" s="29"/>
      <c r="N5488" s="29" t="s">
        <v>1547</v>
      </c>
      <c r="O5488" s="29"/>
      <c r="P5488" s="29" t="s">
        <v>2902</v>
      </c>
      <c r="Q5488" t="s">
        <v>2041</v>
      </c>
      <c r="R5488" t="s">
        <v>2634</v>
      </c>
      <c r="S5488">
        <v>35</v>
      </c>
      <c r="T5488" s="43" t="str">
        <f t="shared" si="256"/>
        <v>2019.012D.zip</v>
      </c>
      <c r="U5488" s="43" t="str">
        <f>HYPERLINK("https://ictv.global/taxonomy/taxondetails?taxnode_id=202205846","ictv.global=202205846")</f>
        <v>ictv.global=202205846</v>
      </c>
    </row>
    <row r="5489" spans="1:21">
      <c r="A5489">
        <v>5488</v>
      </c>
      <c r="B5489" s="29" t="s">
        <v>4053</v>
      </c>
      <c r="C5489" s="29"/>
      <c r="D5489" s="29" t="s">
        <v>4082</v>
      </c>
      <c r="E5489" s="29"/>
      <c r="F5489" s="29" t="s">
        <v>4106</v>
      </c>
      <c r="G5489" s="29"/>
      <c r="H5489" s="29" t="s">
        <v>4117</v>
      </c>
      <c r="I5489" s="29"/>
      <c r="J5489" s="29" t="s">
        <v>4118</v>
      </c>
      <c r="K5489" s="29"/>
      <c r="L5489" s="29" t="s">
        <v>1546</v>
      </c>
      <c r="M5489" s="29"/>
      <c r="N5489" s="29" t="s">
        <v>1547</v>
      </c>
      <c r="O5489" s="29"/>
      <c r="P5489" s="29" t="s">
        <v>2903</v>
      </c>
      <c r="Q5489" t="s">
        <v>2041</v>
      </c>
      <c r="R5489" t="s">
        <v>2634</v>
      </c>
      <c r="S5489">
        <v>35</v>
      </c>
      <c r="T5489" s="43" t="str">
        <f t="shared" si="256"/>
        <v>2019.012D.zip</v>
      </c>
      <c r="U5489" s="43" t="str">
        <f>HYPERLINK("https://ictv.global/taxonomy/taxondetails?taxnode_id=202205847","ictv.global=202205847")</f>
        <v>ictv.global=202205847</v>
      </c>
    </row>
    <row r="5490" spans="1:21">
      <c r="A5490">
        <v>5489</v>
      </c>
      <c r="B5490" s="29" t="s">
        <v>4053</v>
      </c>
      <c r="C5490" s="29"/>
      <c r="D5490" s="29" t="s">
        <v>4082</v>
      </c>
      <c r="E5490" s="29"/>
      <c r="F5490" s="29" t="s">
        <v>4106</v>
      </c>
      <c r="G5490" s="29"/>
      <c r="H5490" s="29" t="s">
        <v>4117</v>
      </c>
      <c r="I5490" s="29"/>
      <c r="J5490" s="29" t="s">
        <v>4118</v>
      </c>
      <c r="K5490" s="29"/>
      <c r="L5490" s="29" t="s">
        <v>1546</v>
      </c>
      <c r="M5490" s="29"/>
      <c r="N5490" s="29" t="s">
        <v>1547</v>
      </c>
      <c r="O5490" s="29"/>
      <c r="P5490" s="29" t="s">
        <v>2904</v>
      </c>
      <c r="Q5490" t="s">
        <v>2041</v>
      </c>
      <c r="R5490" t="s">
        <v>2634</v>
      </c>
      <c r="S5490">
        <v>35</v>
      </c>
      <c r="T5490" s="43" t="str">
        <f t="shared" si="256"/>
        <v>2019.012D.zip</v>
      </c>
      <c r="U5490" s="43" t="str">
        <f>HYPERLINK("https://ictv.global/taxonomy/taxondetails?taxnode_id=202205848","ictv.global=202205848")</f>
        <v>ictv.global=202205848</v>
      </c>
    </row>
    <row r="5491" spans="1:21">
      <c r="A5491">
        <v>5490</v>
      </c>
      <c r="B5491" s="29" t="s">
        <v>4053</v>
      </c>
      <c r="C5491" s="29"/>
      <c r="D5491" s="29" t="s">
        <v>4082</v>
      </c>
      <c r="E5491" s="29"/>
      <c r="F5491" s="29" t="s">
        <v>4106</v>
      </c>
      <c r="G5491" s="29"/>
      <c r="H5491" s="29" t="s">
        <v>4117</v>
      </c>
      <c r="I5491" s="29"/>
      <c r="J5491" s="29" t="s">
        <v>4118</v>
      </c>
      <c r="K5491" s="29"/>
      <c r="L5491" s="29" t="s">
        <v>1546</v>
      </c>
      <c r="M5491" s="29"/>
      <c r="N5491" s="29" t="s">
        <v>1547</v>
      </c>
      <c r="O5491" s="29"/>
      <c r="P5491" s="29" t="s">
        <v>2905</v>
      </c>
      <c r="Q5491" t="s">
        <v>2041</v>
      </c>
      <c r="R5491" t="s">
        <v>2634</v>
      </c>
      <c r="S5491">
        <v>35</v>
      </c>
      <c r="T5491" s="43" t="str">
        <f t="shared" si="256"/>
        <v>2019.012D.zip</v>
      </c>
      <c r="U5491" s="43" t="str">
        <f>HYPERLINK("https://ictv.global/taxonomy/taxondetails?taxnode_id=202205849","ictv.global=202205849")</f>
        <v>ictv.global=202205849</v>
      </c>
    </row>
    <row r="5492" spans="1:21">
      <c r="A5492">
        <v>5491</v>
      </c>
      <c r="B5492" s="29" t="s">
        <v>4053</v>
      </c>
      <c r="C5492" s="29"/>
      <c r="D5492" s="29" t="s">
        <v>4082</v>
      </c>
      <c r="E5492" s="29"/>
      <c r="F5492" s="29" t="s">
        <v>4106</v>
      </c>
      <c r="G5492" s="29"/>
      <c r="H5492" s="29" t="s">
        <v>4117</v>
      </c>
      <c r="I5492" s="29"/>
      <c r="J5492" s="29" t="s">
        <v>4118</v>
      </c>
      <c r="K5492" s="29"/>
      <c r="L5492" s="29" t="s">
        <v>1546</v>
      </c>
      <c r="M5492" s="29"/>
      <c r="N5492" s="29" t="s">
        <v>1547</v>
      </c>
      <c r="O5492" s="29"/>
      <c r="P5492" s="29" t="s">
        <v>2906</v>
      </c>
      <c r="Q5492" t="s">
        <v>2041</v>
      </c>
      <c r="R5492" t="s">
        <v>2634</v>
      </c>
      <c r="S5492">
        <v>35</v>
      </c>
      <c r="T5492" s="43" t="str">
        <f t="shared" si="256"/>
        <v>2019.012D.zip</v>
      </c>
      <c r="U5492" s="43" t="str">
        <f>HYPERLINK("https://ictv.global/taxonomy/taxondetails?taxnode_id=202205850","ictv.global=202205850")</f>
        <v>ictv.global=202205850</v>
      </c>
    </row>
    <row r="5493" spans="1:21">
      <c r="A5493">
        <v>5492</v>
      </c>
      <c r="B5493" s="29" t="s">
        <v>4053</v>
      </c>
      <c r="C5493" s="29"/>
      <c r="D5493" s="29" t="s">
        <v>4082</v>
      </c>
      <c r="E5493" s="29"/>
      <c r="F5493" s="29" t="s">
        <v>4106</v>
      </c>
      <c r="G5493" s="29"/>
      <c r="H5493" s="29" t="s">
        <v>4117</v>
      </c>
      <c r="I5493" s="29"/>
      <c r="J5493" s="29" t="s">
        <v>4118</v>
      </c>
      <c r="K5493" s="29"/>
      <c r="L5493" s="29" t="s">
        <v>1546</v>
      </c>
      <c r="M5493" s="29"/>
      <c r="N5493" s="29" t="s">
        <v>1547</v>
      </c>
      <c r="O5493" s="29"/>
      <c r="P5493" s="29" t="s">
        <v>2907</v>
      </c>
      <c r="Q5493" t="s">
        <v>2041</v>
      </c>
      <c r="R5493" t="s">
        <v>2634</v>
      </c>
      <c r="S5493">
        <v>35</v>
      </c>
      <c r="T5493" s="43" t="str">
        <f t="shared" si="256"/>
        <v>2019.012D.zip</v>
      </c>
      <c r="U5493" s="43" t="str">
        <f>HYPERLINK("https://ictv.global/taxonomy/taxondetails?taxnode_id=202205851","ictv.global=202205851")</f>
        <v>ictv.global=202205851</v>
      </c>
    </row>
    <row r="5494" spans="1:21">
      <c r="A5494">
        <v>5493</v>
      </c>
      <c r="B5494" s="29" t="s">
        <v>4053</v>
      </c>
      <c r="C5494" s="29"/>
      <c r="D5494" s="29" t="s">
        <v>4082</v>
      </c>
      <c r="E5494" s="29"/>
      <c r="F5494" s="29" t="s">
        <v>4106</v>
      </c>
      <c r="G5494" s="29"/>
      <c r="H5494" s="29" t="s">
        <v>4117</v>
      </c>
      <c r="I5494" s="29"/>
      <c r="J5494" s="29" t="s">
        <v>4118</v>
      </c>
      <c r="K5494" s="29"/>
      <c r="L5494" s="29" t="s">
        <v>1546</v>
      </c>
      <c r="M5494" s="29"/>
      <c r="N5494" s="29" t="s">
        <v>1547</v>
      </c>
      <c r="O5494" s="29"/>
      <c r="P5494" s="29" t="s">
        <v>1873</v>
      </c>
      <c r="Q5494" t="s">
        <v>2041</v>
      </c>
      <c r="R5494" t="s">
        <v>2634</v>
      </c>
      <c r="S5494">
        <v>35</v>
      </c>
      <c r="T5494" s="43" t="str">
        <f t="shared" si="256"/>
        <v>2019.012D.zip</v>
      </c>
      <c r="U5494" s="43" t="str">
        <f>HYPERLINK("https://ictv.global/taxonomy/taxondetails?taxnode_id=202203496","ictv.global=202203496")</f>
        <v>ictv.global=202203496</v>
      </c>
    </row>
    <row r="5495" spans="1:21">
      <c r="A5495">
        <v>5494</v>
      </c>
      <c r="B5495" s="29" t="s">
        <v>4053</v>
      </c>
      <c r="C5495" s="29"/>
      <c r="D5495" s="29" t="s">
        <v>4082</v>
      </c>
      <c r="E5495" s="29"/>
      <c r="F5495" s="29" t="s">
        <v>4106</v>
      </c>
      <c r="G5495" s="29"/>
      <c r="H5495" s="29" t="s">
        <v>4117</v>
      </c>
      <c r="I5495" s="29"/>
      <c r="J5495" s="29" t="s">
        <v>4118</v>
      </c>
      <c r="K5495" s="29"/>
      <c r="L5495" s="29" t="s">
        <v>1546</v>
      </c>
      <c r="M5495" s="29"/>
      <c r="N5495" s="29" t="s">
        <v>1547</v>
      </c>
      <c r="O5495" s="29"/>
      <c r="P5495" s="29" t="s">
        <v>2908</v>
      </c>
      <c r="Q5495" t="s">
        <v>2041</v>
      </c>
      <c r="R5495" t="s">
        <v>2634</v>
      </c>
      <c r="S5495">
        <v>35</v>
      </c>
      <c r="T5495" s="43" t="str">
        <f t="shared" si="256"/>
        <v>2019.012D.zip</v>
      </c>
      <c r="U5495" s="43" t="str">
        <f>HYPERLINK("https://ictv.global/taxonomy/taxondetails?taxnode_id=202205852","ictv.global=202205852")</f>
        <v>ictv.global=202205852</v>
      </c>
    </row>
    <row r="5496" spans="1:21">
      <c r="A5496">
        <v>5495</v>
      </c>
      <c r="B5496" s="29" t="s">
        <v>4053</v>
      </c>
      <c r="C5496" s="29"/>
      <c r="D5496" s="29" t="s">
        <v>4082</v>
      </c>
      <c r="E5496" s="29"/>
      <c r="F5496" s="29" t="s">
        <v>4106</v>
      </c>
      <c r="G5496" s="29"/>
      <c r="H5496" s="29" t="s">
        <v>4117</v>
      </c>
      <c r="I5496" s="29"/>
      <c r="J5496" s="29" t="s">
        <v>4118</v>
      </c>
      <c r="K5496" s="29"/>
      <c r="L5496" s="29" t="s">
        <v>1546</v>
      </c>
      <c r="M5496" s="29"/>
      <c r="N5496" s="29" t="s">
        <v>2518</v>
      </c>
      <c r="O5496" s="29"/>
      <c r="P5496" s="29" t="s">
        <v>2519</v>
      </c>
      <c r="Q5496" t="s">
        <v>2041</v>
      </c>
      <c r="R5496" t="s">
        <v>2634</v>
      </c>
      <c r="S5496">
        <v>35</v>
      </c>
      <c r="T5496" s="43" t="str">
        <f t="shared" si="256"/>
        <v>2019.012D.zip</v>
      </c>
      <c r="U5496" s="43" t="str">
        <f>HYPERLINK("https://ictv.global/taxonomy/taxondetails?taxnode_id=202203498","ictv.global=202203498")</f>
        <v>ictv.global=202203498</v>
      </c>
    </row>
    <row r="5497" spans="1:21">
      <c r="A5497">
        <v>5496</v>
      </c>
      <c r="B5497" s="29" t="s">
        <v>4053</v>
      </c>
      <c r="C5497" s="29"/>
      <c r="D5497" s="29" t="s">
        <v>4082</v>
      </c>
      <c r="E5497" s="29"/>
      <c r="F5497" s="29" t="s">
        <v>4106</v>
      </c>
      <c r="G5497" s="29"/>
      <c r="H5497" s="29" t="s">
        <v>4117</v>
      </c>
      <c r="I5497" s="29"/>
      <c r="J5497" s="29" t="s">
        <v>4118</v>
      </c>
      <c r="K5497" s="29"/>
      <c r="L5497" s="29" t="s">
        <v>1546</v>
      </c>
      <c r="M5497" s="29"/>
      <c r="N5497" s="29" t="s">
        <v>2518</v>
      </c>
      <c r="O5497" s="29"/>
      <c r="P5497" s="29" t="s">
        <v>2520</v>
      </c>
      <c r="Q5497" t="s">
        <v>2041</v>
      </c>
      <c r="R5497" t="s">
        <v>6901</v>
      </c>
      <c r="S5497">
        <v>36</v>
      </c>
      <c r="T5497" s="43" t="str">
        <f>HYPERLINK("https://ictv.global/ictv/proposals/2020.001G.R.Abolish_type_species.pdf","2020.001G.R.Abolish_type_species.pdf")</f>
        <v>2020.001G.R.Abolish_type_species.pdf</v>
      </c>
      <c r="U5497" s="43" t="str">
        <f>HYPERLINK("https://ictv.global/taxonomy/taxondetails?taxnode_id=202203499","ictv.global=202203499")</f>
        <v>ictv.global=202203499</v>
      </c>
    </row>
    <row r="5498" spans="1:21">
      <c r="A5498">
        <v>5497</v>
      </c>
      <c r="B5498" s="29" t="s">
        <v>4053</v>
      </c>
      <c r="C5498" s="29"/>
      <c r="D5498" s="29" t="s">
        <v>4082</v>
      </c>
      <c r="E5498" s="29"/>
      <c r="F5498" s="29" t="s">
        <v>4106</v>
      </c>
      <c r="G5498" s="29"/>
      <c r="H5498" s="29" t="s">
        <v>4117</v>
      </c>
      <c r="I5498" s="29"/>
      <c r="J5498" s="29" t="s">
        <v>4118</v>
      </c>
      <c r="K5498" s="29"/>
      <c r="L5498" s="29" t="s">
        <v>1546</v>
      </c>
      <c r="M5498" s="29"/>
      <c r="N5498" s="29" t="s">
        <v>2518</v>
      </c>
      <c r="O5498" s="29"/>
      <c r="P5498" s="29" t="s">
        <v>2521</v>
      </c>
      <c r="Q5498" t="s">
        <v>2041</v>
      </c>
      <c r="R5498" t="s">
        <v>2634</v>
      </c>
      <c r="S5498">
        <v>35</v>
      </c>
      <c r="T5498" s="43" t="str">
        <f>HYPERLINK("https://ictv.global/ictv/proposals/2019.012D.zip","2019.012D.zip")</f>
        <v>2019.012D.zip</v>
      </c>
      <c r="U5498" s="43" t="str">
        <f>HYPERLINK("https://ictv.global/taxonomy/taxondetails?taxnode_id=202203500","ictv.global=202203500")</f>
        <v>ictv.global=202203500</v>
      </c>
    </row>
    <row r="5499" spans="1:21">
      <c r="A5499">
        <v>5498</v>
      </c>
      <c r="B5499" s="29" t="s">
        <v>4053</v>
      </c>
      <c r="C5499" s="29"/>
      <c r="D5499" s="29" t="s">
        <v>4082</v>
      </c>
      <c r="E5499" s="29"/>
      <c r="F5499" s="29" t="s">
        <v>4106</v>
      </c>
      <c r="G5499" s="29"/>
      <c r="H5499" s="29" t="s">
        <v>4117</v>
      </c>
      <c r="I5499" s="29"/>
      <c r="J5499" s="29" t="s">
        <v>4118</v>
      </c>
      <c r="K5499" s="29"/>
      <c r="L5499" s="29" t="s">
        <v>1546</v>
      </c>
      <c r="M5499" s="29"/>
      <c r="N5499" s="29" t="s">
        <v>2518</v>
      </c>
      <c r="O5499" s="29"/>
      <c r="P5499" s="29" t="s">
        <v>2522</v>
      </c>
      <c r="Q5499" t="s">
        <v>2041</v>
      </c>
      <c r="R5499" t="s">
        <v>2634</v>
      </c>
      <c r="S5499">
        <v>35</v>
      </c>
      <c r="T5499" s="43" t="str">
        <f>HYPERLINK("https://ictv.global/ictv/proposals/2019.012D.zip","2019.012D.zip")</f>
        <v>2019.012D.zip</v>
      </c>
      <c r="U5499" s="43" t="str">
        <f>HYPERLINK("https://ictv.global/taxonomy/taxondetails?taxnode_id=202203501","ictv.global=202203501")</f>
        <v>ictv.global=202203501</v>
      </c>
    </row>
    <row r="5500" spans="1:21">
      <c r="A5500">
        <v>5499</v>
      </c>
      <c r="B5500" s="29" t="s">
        <v>4053</v>
      </c>
      <c r="C5500" s="29"/>
      <c r="D5500" s="29" t="s">
        <v>4082</v>
      </c>
      <c r="E5500" s="29"/>
      <c r="F5500" s="29" t="s">
        <v>4106</v>
      </c>
      <c r="G5500" s="29"/>
      <c r="H5500" s="29" t="s">
        <v>4117</v>
      </c>
      <c r="I5500" s="29"/>
      <c r="J5500" s="29" t="s">
        <v>4118</v>
      </c>
      <c r="K5500" s="29"/>
      <c r="L5500" s="29" t="s">
        <v>1546</v>
      </c>
      <c r="M5500" s="29"/>
      <c r="N5500" s="29" t="s">
        <v>4929</v>
      </c>
      <c r="O5500" s="29"/>
      <c r="P5500" s="29" t="s">
        <v>4930</v>
      </c>
      <c r="Q5500" t="s">
        <v>2265</v>
      </c>
      <c r="R5500" t="s">
        <v>2632</v>
      </c>
      <c r="S5500">
        <v>36</v>
      </c>
      <c r="T5500" s="43" t="str">
        <f>HYPERLINK("https://ictv.global/ictv/proposals/2020.008P.R.Geminiviridae_5ng_11nsp.zip","2020.008P.R.Geminiviridae_5ng_11nsp.zip")</f>
        <v>2020.008P.R.Geminiviridae_5ng_11nsp.zip</v>
      </c>
      <c r="U5500" s="43" t="str">
        <f>HYPERLINK("https://ictv.global/taxonomy/taxondetails?taxnode_id=202209175","ictv.global=202209175")</f>
        <v>ictv.global=202209175</v>
      </c>
    </row>
    <row r="5501" spans="1:21">
      <c r="A5501">
        <v>5500</v>
      </c>
      <c r="B5501" s="29" t="s">
        <v>4053</v>
      </c>
      <c r="C5501" s="29"/>
      <c r="D5501" s="29" t="s">
        <v>4082</v>
      </c>
      <c r="E5501" s="29"/>
      <c r="F5501" s="29" t="s">
        <v>4106</v>
      </c>
      <c r="G5501" s="29"/>
      <c r="H5501" s="29" t="s">
        <v>4117</v>
      </c>
      <c r="I5501" s="29"/>
      <c r="J5501" s="29" t="s">
        <v>4118</v>
      </c>
      <c r="K5501" s="29"/>
      <c r="L5501" s="29" t="s">
        <v>1546</v>
      </c>
      <c r="M5501" s="29"/>
      <c r="N5501" s="29" t="s">
        <v>4929</v>
      </c>
      <c r="O5501" s="29"/>
      <c r="P5501" s="29" t="s">
        <v>2525</v>
      </c>
      <c r="Q5501" t="s">
        <v>2265</v>
      </c>
      <c r="R5501" t="s">
        <v>2634</v>
      </c>
      <c r="S5501">
        <v>36</v>
      </c>
      <c r="T5501" s="43" t="str">
        <f>HYPERLINK("https://ictv.global/ictv/proposals/2020.008P.R.Geminiviridae_5ng_11nsp.zip","2020.008P.R.Geminiviridae_5ng_11nsp.zip")</f>
        <v>2020.008P.R.Geminiviridae_5ng_11nsp.zip</v>
      </c>
      <c r="U5501" s="43" t="str">
        <f>HYPERLINK("https://ictv.global/taxonomy/taxondetails?taxnode_id=202203548","ictv.global=202203548")</f>
        <v>ictv.global=202203548</v>
      </c>
    </row>
    <row r="5502" spans="1:21">
      <c r="A5502">
        <v>5501</v>
      </c>
      <c r="B5502" s="29" t="s">
        <v>4053</v>
      </c>
      <c r="C5502" s="29"/>
      <c r="D5502" s="29" t="s">
        <v>4082</v>
      </c>
      <c r="E5502" s="29"/>
      <c r="F5502" s="29" t="s">
        <v>4106</v>
      </c>
      <c r="G5502" s="29"/>
      <c r="H5502" s="29" t="s">
        <v>4117</v>
      </c>
      <c r="I5502" s="29"/>
      <c r="J5502" s="29" t="s">
        <v>4118</v>
      </c>
      <c r="K5502" s="29"/>
      <c r="L5502" s="29" t="s">
        <v>1546</v>
      </c>
      <c r="M5502" s="29"/>
      <c r="N5502" s="29" t="s">
        <v>4929</v>
      </c>
      <c r="O5502" s="29"/>
      <c r="P5502" s="29" t="s">
        <v>4931</v>
      </c>
      <c r="Q5502" t="s">
        <v>2265</v>
      </c>
      <c r="R5502" t="s">
        <v>2632</v>
      </c>
      <c r="S5502">
        <v>36</v>
      </c>
      <c r="T5502" s="43" t="str">
        <f>HYPERLINK("https://ictv.global/ictv/proposals/2020.027P.R.Geminiviridae_2nsp.zip","2020.027P.R.Geminiviridae_2nsp.zip")</f>
        <v>2020.027P.R.Geminiviridae_2nsp.zip</v>
      </c>
      <c r="U5502" s="43" t="str">
        <f>HYPERLINK("https://ictv.global/taxonomy/taxondetails?taxnode_id=202209792","ictv.global=202209792")</f>
        <v>ictv.global=202209792</v>
      </c>
    </row>
    <row r="5503" spans="1:21">
      <c r="A5503">
        <v>5502</v>
      </c>
      <c r="B5503" s="29" t="s">
        <v>4053</v>
      </c>
      <c r="C5503" s="29"/>
      <c r="D5503" s="29" t="s">
        <v>4082</v>
      </c>
      <c r="E5503" s="29"/>
      <c r="F5503" s="29" t="s">
        <v>4106</v>
      </c>
      <c r="G5503" s="29"/>
      <c r="H5503" s="29" t="s">
        <v>4117</v>
      </c>
      <c r="I5503" s="29"/>
      <c r="J5503" s="29" t="s">
        <v>4118</v>
      </c>
      <c r="K5503" s="29"/>
      <c r="L5503" s="29" t="s">
        <v>1546</v>
      </c>
      <c r="M5503" s="29"/>
      <c r="N5503" s="29" t="s">
        <v>4929</v>
      </c>
      <c r="O5503" s="29"/>
      <c r="P5503" s="29" t="s">
        <v>4932</v>
      </c>
      <c r="Q5503" t="s">
        <v>2265</v>
      </c>
      <c r="R5503" t="s">
        <v>2632</v>
      </c>
      <c r="S5503">
        <v>36</v>
      </c>
      <c r="T5503" s="43" t="str">
        <f>HYPERLINK("https://ictv.global/ictv/proposals/2020.008P.R.Geminiviridae_5ng_11nsp.zip","2020.008P.R.Geminiviridae_5ng_11nsp.zip")</f>
        <v>2020.008P.R.Geminiviridae_5ng_11nsp.zip</v>
      </c>
      <c r="U5503" s="43" t="str">
        <f>HYPERLINK("https://ictv.global/taxonomy/taxondetails?taxnode_id=202209176","ictv.global=202209176")</f>
        <v>ictv.global=202209176</v>
      </c>
    </row>
    <row r="5504" spans="1:21">
      <c r="A5504">
        <v>5503</v>
      </c>
      <c r="B5504" s="29" t="s">
        <v>4053</v>
      </c>
      <c r="C5504" s="29"/>
      <c r="D5504" s="29" t="s">
        <v>4082</v>
      </c>
      <c r="E5504" s="29"/>
      <c r="F5504" s="29" t="s">
        <v>4106</v>
      </c>
      <c r="G5504" s="29"/>
      <c r="H5504" s="29" t="s">
        <v>4117</v>
      </c>
      <c r="I5504" s="29"/>
      <c r="J5504" s="29" t="s">
        <v>4118</v>
      </c>
      <c r="K5504" s="29"/>
      <c r="L5504" s="29" t="s">
        <v>1546</v>
      </c>
      <c r="M5504" s="29"/>
      <c r="N5504" s="29" t="s">
        <v>849</v>
      </c>
      <c r="O5504" s="29"/>
      <c r="P5504" s="29" t="s">
        <v>850</v>
      </c>
      <c r="Q5504" t="s">
        <v>2041</v>
      </c>
      <c r="R5504" t="s">
        <v>6901</v>
      </c>
      <c r="S5504">
        <v>36</v>
      </c>
      <c r="T5504" s="43" t="str">
        <f>HYPERLINK("https://ictv.global/ictv/proposals/2020.001G.R.Abolish_type_species.pdf","2020.001G.R.Abolish_type_species.pdf")</f>
        <v>2020.001G.R.Abolish_type_species.pdf</v>
      </c>
      <c r="U5504" s="43" t="str">
        <f>HYPERLINK("https://ictv.global/taxonomy/taxondetails?taxnode_id=202203503","ictv.global=202203503")</f>
        <v>ictv.global=202203503</v>
      </c>
    </row>
    <row r="5505" spans="1:21">
      <c r="A5505">
        <v>5504</v>
      </c>
      <c r="B5505" s="29" t="s">
        <v>4053</v>
      </c>
      <c r="C5505" s="29"/>
      <c r="D5505" s="29" t="s">
        <v>4082</v>
      </c>
      <c r="E5505" s="29"/>
      <c r="F5505" s="29" t="s">
        <v>4106</v>
      </c>
      <c r="G5505" s="29"/>
      <c r="H5505" s="29" t="s">
        <v>4117</v>
      </c>
      <c r="I5505" s="29"/>
      <c r="J5505" s="29" t="s">
        <v>4118</v>
      </c>
      <c r="K5505" s="29"/>
      <c r="L5505" s="29" t="s">
        <v>1546</v>
      </c>
      <c r="M5505" s="29"/>
      <c r="N5505" s="29" t="s">
        <v>849</v>
      </c>
      <c r="O5505" s="29"/>
      <c r="P5505" s="29" t="s">
        <v>537</v>
      </c>
      <c r="Q5505" t="s">
        <v>2041</v>
      </c>
      <c r="R5505" t="s">
        <v>2634</v>
      </c>
      <c r="S5505">
        <v>35</v>
      </c>
      <c r="T5505" s="43" t="str">
        <f>HYPERLINK("https://ictv.global/ictv/proposals/2019.012D.zip","2019.012D.zip")</f>
        <v>2019.012D.zip</v>
      </c>
      <c r="U5505" s="43" t="str">
        <f>HYPERLINK("https://ictv.global/taxonomy/taxondetails?taxnode_id=202203504","ictv.global=202203504")</f>
        <v>ictv.global=202203504</v>
      </c>
    </row>
    <row r="5506" spans="1:21">
      <c r="A5506">
        <v>5505</v>
      </c>
      <c r="B5506" s="29" t="s">
        <v>4053</v>
      </c>
      <c r="C5506" s="29"/>
      <c r="D5506" s="29" t="s">
        <v>4082</v>
      </c>
      <c r="E5506" s="29"/>
      <c r="F5506" s="29" t="s">
        <v>4106</v>
      </c>
      <c r="G5506" s="29"/>
      <c r="H5506" s="29" t="s">
        <v>4117</v>
      </c>
      <c r="I5506" s="29"/>
      <c r="J5506" s="29" t="s">
        <v>4118</v>
      </c>
      <c r="K5506" s="29"/>
      <c r="L5506" s="29" t="s">
        <v>1546</v>
      </c>
      <c r="M5506" s="29"/>
      <c r="N5506" s="29" t="s">
        <v>849</v>
      </c>
      <c r="O5506" s="29"/>
      <c r="P5506" s="29" t="s">
        <v>1667</v>
      </c>
      <c r="Q5506" t="s">
        <v>2041</v>
      </c>
      <c r="R5506" t="s">
        <v>2634</v>
      </c>
      <c r="S5506">
        <v>35</v>
      </c>
      <c r="T5506" s="43" t="str">
        <f>HYPERLINK("https://ictv.global/ictv/proposals/2019.012D.zip","2019.012D.zip")</f>
        <v>2019.012D.zip</v>
      </c>
      <c r="U5506" s="43" t="str">
        <f>HYPERLINK("https://ictv.global/taxonomy/taxondetails?taxnode_id=202203505","ictv.global=202203505")</f>
        <v>ictv.global=202203505</v>
      </c>
    </row>
    <row r="5507" spans="1:21">
      <c r="A5507">
        <v>5506</v>
      </c>
      <c r="B5507" s="29" t="s">
        <v>4053</v>
      </c>
      <c r="C5507" s="29"/>
      <c r="D5507" s="29" t="s">
        <v>4082</v>
      </c>
      <c r="E5507" s="29"/>
      <c r="F5507" s="29" t="s">
        <v>4106</v>
      </c>
      <c r="G5507" s="29"/>
      <c r="H5507" s="29" t="s">
        <v>4117</v>
      </c>
      <c r="I5507" s="29"/>
      <c r="J5507" s="29" t="s">
        <v>4118</v>
      </c>
      <c r="K5507" s="29"/>
      <c r="L5507" s="29" t="s">
        <v>1546</v>
      </c>
      <c r="M5507" s="29"/>
      <c r="N5507" s="29" t="s">
        <v>1668</v>
      </c>
      <c r="O5507" s="29"/>
      <c r="P5507" s="29" t="s">
        <v>1669</v>
      </c>
      <c r="Q5507" t="s">
        <v>2041</v>
      </c>
      <c r="R5507" t="s">
        <v>6901</v>
      </c>
      <c r="S5507">
        <v>36</v>
      </c>
      <c r="T5507" s="43" t="str">
        <f>HYPERLINK("https://ictv.global/ictv/proposals/2020.001G.R.Abolish_type_species.pdf","2020.001G.R.Abolish_type_species.pdf")</f>
        <v>2020.001G.R.Abolish_type_species.pdf</v>
      </c>
      <c r="U5507" s="43" t="str">
        <f>HYPERLINK("https://ictv.global/taxonomy/taxondetails?taxnode_id=202203507","ictv.global=202203507")</f>
        <v>ictv.global=202203507</v>
      </c>
    </row>
    <row r="5508" spans="1:21">
      <c r="A5508">
        <v>5507</v>
      </c>
      <c r="B5508" s="29" t="s">
        <v>4053</v>
      </c>
      <c r="C5508" s="29"/>
      <c r="D5508" s="29" t="s">
        <v>4082</v>
      </c>
      <c r="E5508" s="29"/>
      <c r="F5508" s="29" t="s">
        <v>4106</v>
      </c>
      <c r="G5508" s="29"/>
      <c r="H5508" s="29" t="s">
        <v>4117</v>
      </c>
      <c r="I5508" s="29"/>
      <c r="J5508" s="29" t="s">
        <v>4118</v>
      </c>
      <c r="K5508" s="29"/>
      <c r="L5508" s="29" t="s">
        <v>1546</v>
      </c>
      <c r="M5508" s="29"/>
      <c r="N5508" s="29" t="s">
        <v>2523</v>
      </c>
      <c r="O5508" s="29"/>
      <c r="P5508" s="29" t="s">
        <v>2524</v>
      </c>
      <c r="Q5508" t="s">
        <v>2041</v>
      </c>
      <c r="R5508" t="s">
        <v>6901</v>
      </c>
      <c r="S5508">
        <v>36</v>
      </c>
      <c r="T5508" s="43" t="str">
        <f>HYPERLINK("https://ictv.global/ictv/proposals/2020.001G.R.Abolish_type_species.pdf","2020.001G.R.Abolish_type_species.pdf")</f>
        <v>2020.001G.R.Abolish_type_species.pdf</v>
      </c>
      <c r="U5508" s="43" t="str">
        <f>HYPERLINK("https://ictv.global/taxonomy/taxondetails?taxnode_id=202203509","ictv.global=202203509")</f>
        <v>ictv.global=202203509</v>
      </c>
    </row>
    <row r="5509" spans="1:21">
      <c r="A5509">
        <v>5508</v>
      </c>
      <c r="B5509" s="29" t="s">
        <v>4053</v>
      </c>
      <c r="C5509" s="29"/>
      <c r="D5509" s="29" t="s">
        <v>4082</v>
      </c>
      <c r="E5509" s="29"/>
      <c r="F5509" s="29" t="s">
        <v>4106</v>
      </c>
      <c r="G5509" s="29"/>
      <c r="H5509" s="29" t="s">
        <v>4117</v>
      </c>
      <c r="I5509" s="29"/>
      <c r="J5509" s="29" t="s">
        <v>4118</v>
      </c>
      <c r="K5509" s="29"/>
      <c r="L5509" s="29" t="s">
        <v>1546</v>
      </c>
      <c r="M5509" s="29"/>
      <c r="N5509" s="29" t="s">
        <v>2523</v>
      </c>
      <c r="O5509" s="29"/>
      <c r="P5509" s="29" t="s">
        <v>3658</v>
      </c>
      <c r="Q5509" t="s">
        <v>2041</v>
      </c>
      <c r="R5509" t="s">
        <v>2634</v>
      </c>
      <c r="S5509">
        <v>35</v>
      </c>
      <c r="T5509" s="43" t="str">
        <f>HYPERLINK("https://ictv.global/ictv/proposals/2019.012D.zip","2019.012D.zip")</f>
        <v>2019.012D.zip</v>
      </c>
      <c r="U5509" s="43" t="str">
        <f>HYPERLINK("https://ictv.global/taxonomy/taxondetails?taxnode_id=202206690","ictv.global=202206690")</f>
        <v>ictv.global=202206690</v>
      </c>
    </row>
    <row r="5510" spans="1:21">
      <c r="A5510">
        <v>5509</v>
      </c>
      <c r="B5510" s="29" t="s">
        <v>4053</v>
      </c>
      <c r="C5510" s="29"/>
      <c r="D5510" s="29" t="s">
        <v>4082</v>
      </c>
      <c r="E5510" s="29"/>
      <c r="F5510" s="29" t="s">
        <v>4106</v>
      </c>
      <c r="G5510" s="29"/>
      <c r="H5510" s="29" t="s">
        <v>4117</v>
      </c>
      <c r="I5510" s="29"/>
      <c r="J5510" s="29" t="s">
        <v>4118</v>
      </c>
      <c r="K5510" s="29"/>
      <c r="L5510" s="29" t="s">
        <v>1546</v>
      </c>
      <c r="M5510" s="29"/>
      <c r="N5510" s="29" t="s">
        <v>2523</v>
      </c>
      <c r="O5510" s="29"/>
      <c r="P5510" s="29" t="s">
        <v>3659</v>
      </c>
      <c r="Q5510" t="s">
        <v>2041</v>
      </c>
      <c r="R5510" t="s">
        <v>2634</v>
      </c>
      <c r="S5510">
        <v>35</v>
      </c>
      <c r="T5510" s="43" t="str">
        <f>HYPERLINK("https://ictv.global/ictv/proposals/2019.012D.zip","2019.012D.zip")</f>
        <v>2019.012D.zip</v>
      </c>
      <c r="U5510" s="43" t="str">
        <f>HYPERLINK("https://ictv.global/taxonomy/taxondetails?taxnode_id=202206689","ictv.global=202206689")</f>
        <v>ictv.global=202206689</v>
      </c>
    </row>
    <row r="5511" spans="1:21">
      <c r="A5511">
        <v>5510</v>
      </c>
      <c r="B5511" s="29" t="s">
        <v>4053</v>
      </c>
      <c r="C5511" s="29"/>
      <c r="D5511" s="29" t="s">
        <v>4082</v>
      </c>
      <c r="E5511" s="29"/>
      <c r="F5511" s="29" t="s">
        <v>4106</v>
      </c>
      <c r="G5511" s="29"/>
      <c r="H5511" s="29" t="s">
        <v>4117</v>
      </c>
      <c r="I5511" s="29"/>
      <c r="J5511" s="29" t="s">
        <v>4118</v>
      </c>
      <c r="K5511" s="29"/>
      <c r="L5511" s="29" t="s">
        <v>1546</v>
      </c>
      <c r="M5511" s="29"/>
      <c r="N5511" s="29" t="s">
        <v>4933</v>
      </c>
      <c r="O5511" s="29"/>
      <c r="P5511" s="29" t="s">
        <v>4934</v>
      </c>
      <c r="Q5511" t="s">
        <v>2265</v>
      </c>
      <c r="R5511" t="s">
        <v>2632</v>
      </c>
      <c r="S5511">
        <v>36</v>
      </c>
      <c r="T5511" s="43" t="str">
        <f>HYPERLINK("https://ictv.global/ictv/proposals/2020.008P.R.Geminiviridae_5ng_11nsp.zip","2020.008P.R.Geminiviridae_5ng_11nsp.zip")</f>
        <v>2020.008P.R.Geminiviridae_5ng_11nsp.zip</v>
      </c>
      <c r="U5511" s="43" t="str">
        <f>HYPERLINK("https://ictv.global/taxonomy/taxondetails?taxnode_id=202209169","ictv.global=202209169")</f>
        <v>ictv.global=202209169</v>
      </c>
    </row>
    <row r="5512" spans="1:21">
      <c r="A5512">
        <v>5511</v>
      </c>
      <c r="B5512" s="29" t="s">
        <v>4053</v>
      </c>
      <c r="C5512" s="29"/>
      <c r="D5512" s="29" t="s">
        <v>4082</v>
      </c>
      <c r="E5512" s="29"/>
      <c r="F5512" s="29" t="s">
        <v>4106</v>
      </c>
      <c r="G5512" s="29"/>
      <c r="H5512" s="29" t="s">
        <v>4117</v>
      </c>
      <c r="I5512" s="29"/>
      <c r="J5512" s="29" t="s">
        <v>4118</v>
      </c>
      <c r="K5512" s="29"/>
      <c r="L5512" s="29" t="s">
        <v>1546</v>
      </c>
      <c r="M5512" s="29"/>
      <c r="N5512" s="29" t="s">
        <v>4933</v>
      </c>
      <c r="O5512" s="29"/>
      <c r="P5512" s="29" t="s">
        <v>4935</v>
      </c>
      <c r="Q5512" t="s">
        <v>2265</v>
      </c>
      <c r="R5512" t="s">
        <v>2632</v>
      </c>
      <c r="S5512">
        <v>36</v>
      </c>
      <c r="T5512" s="43" t="str">
        <f>HYPERLINK("https://ictv.global/ictv/proposals/2020.008P.R.Geminiviridae_5ng_11nsp.zip","2020.008P.R.Geminiviridae_5ng_11nsp.zip")</f>
        <v>2020.008P.R.Geminiviridae_5ng_11nsp.zip</v>
      </c>
      <c r="U5512" s="43" t="str">
        <f>HYPERLINK("https://ictv.global/taxonomy/taxondetails?taxnode_id=202209170","ictv.global=202209170")</f>
        <v>ictv.global=202209170</v>
      </c>
    </row>
    <row r="5513" spans="1:21">
      <c r="A5513">
        <v>5512</v>
      </c>
      <c r="B5513" s="29" t="s">
        <v>4053</v>
      </c>
      <c r="C5513" s="29"/>
      <c r="D5513" s="29" t="s">
        <v>4082</v>
      </c>
      <c r="E5513" s="29"/>
      <c r="F5513" s="29" t="s">
        <v>4106</v>
      </c>
      <c r="G5513" s="29"/>
      <c r="H5513" s="29" t="s">
        <v>4117</v>
      </c>
      <c r="I5513" s="29"/>
      <c r="J5513" s="29" t="s">
        <v>4118</v>
      </c>
      <c r="K5513" s="29"/>
      <c r="L5513" s="29" t="s">
        <v>1546</v>
      </c>
      <c r="M5513" s="29"/>
      <c r="N5513" s="29" t="s">
        <v>4933</v>
      </c>
      <c r="O5513" s="29"/>
      <c r="P5513" s="29" t="s">
        <v>4936</v>
      </c>
      <c r="Q5513" t="s">
        <v>2265</v>
      </c>
      <c r="R5513" t="s">
        <v>2632</v>
      </c>
      <c r="S5513">
        <v>36</v>
      </c>
      <c r="T5513" s="43" t="str">
        <f>HYPERLINK("https://ictv.global/ictv/proposals/2020.008P.R.Geminiviridae_5ng_11nsp.zip","2020.008P.R.Geminiviridae_5ng_11nsp.zip")</f>
        <v>2020.008P.R.Geminiviridae_5ng_11nsp.zip</v>
      </c>
      <c r="U5513" s="43" t="str">
        <f>HYPERLINK("https://ictv.global/taxonomy/taxondetails?taxnode_id=202209171","ictv.global=202209171")</f>
        <v>ictv.global=202209171</v>
      </c>
    </row>
    <row r="5514" spans="1:21">
      <c r="A5514">
        <v>5513</v>
      </c>
      <c r="B5514" s="29" t="s">
        <v>4053</v>
      </c>
      <c r="C5514" s="29"/>
      <c r="D5514" s="29" t="s">
        <v>4082</v>
      </c>
      <c r="E5514" s="29"/>
      <c r="F5514" s="29" t="s">
        <v>4106</v>
      </c>
      <c r="G5514" s="29"/>
      <c r="H5514" s="29" t="s">
        <v>4117</v>
      </c>
      <c r="I5514" s="29"/>
      <c r="J5514" s="29" t="s">
        <v>4118</v>
      </c>
      <c r="K5514" s="29"/>
      <c r="L5514" s="29" t="s">
        <v>1546</v>
      </c>
      <c r="M5514" s="29"/>
      <c r="N5514" s="29" t="s">
        <v>538</v>
      </c>
      <c r="O5514" s="29"/>
      <c r="P5514" s="29" t="s">
        <v>2257</v>
      </c>
      <c r="Q5514" t="s">
        <v>2041</v>
      </c>
      <c r="R5514" t="s">
        <v>2634</v>
      </c>
      <c r="S5514">
        <v>35</v>
      </c>
      <c r="T5514" s="43" t="str">
        <f t="shared" ref="T5514:T5519" si="257">HYPERLINK("https://ictv.global/ictv/proposals/2019.012D.zip","2019.012D.zip")</f>
        <v>2019.012D.zip</v>
      </c>
      <c r="U5514" s="43" t="str">
        <f>HYPERLINK("https://ictv.global/taxonomy/taxondetails?taxnode_id=202203511","ictv.global=202203511")</f>
        <v>ictv.global=202203511</v>
      </c>
    </row>
    <row r="5515" spans="1:21">
      <c r="A5515">
        <v>5514</v>
      </c>
      <c r="B5515" s="29" t="s">
        <v>4053</v>
      </c>
      <c r="C5515" s="29"/>
      <c r="D5515" s="29" t="s">
        <v>4082</v>
      </c>
      <c r="E5515" s="29"/>
      <c r="F5515" s="29" t="s">
        <v>4106</v>
      </c>
      <c r="G5515" s="29"/>
      <c r="H5515" s="29" t="s">
        <v>4117</v>
      </c>
      <c r="I5515" s="29"/>
      <c r="J5515" s="29" t="s">
        <v>4118</v>
      </c>
      <c r="K5515" s="29"/>
      <c r="L5515" s="29" t="s">
        <v>1546</v>
      </c>
      <c r="M5515" s="29"/>
      <c r="N5515" s="29" t="s">
        <v>538</v>
      </c>
      <c r="O5515" s="29"/>
      <c r="P5515" s="29" t="s">
        <v>1670</v>
      </c>
      <c r="Q5515" t="s">
        <v>2041</v>
      </c>
      <c r="R5515" t="s">
        <v>2634</v>
      </c>
      <c r="S5515">
        <v>35</v>
      </c>
      <c r="T5515" s="43" t="str">
        <f t="shared" si="257"/>
        <v>2019.012D.zip</v>
      </c>
      <c r="U5515" s="43" t="str">
        <f>HYPERLINK("https://ictv.global/taxonomy/taxondetails?taxnode_id=202203512","ictv.global=202203512")</f>
        <v>ictv.global=202203512</v>
      </c>
    </row>
    <row r="5516" spans="1:21">
      <c r="A5516">
        <v>5515</v>
      </c>
      <c r="B5516" s="29" t="s">
        <v>4053</v>
      </c>
      <c r="C5516" s="29"/>
      <c r="D5516" s="29" t="s">
        <v>4082</v>
      </c>
      <c r="E5516" s="29"/>
      <c r="F5516" s="29" t="s">
        <v>4106</v>
      </c>
      <c r="G5516" s="29"/>
      <c r="H5516" s="29" t="s">
        <v>4117</v>
      </c>
      <c r="I5516" s="29"/>
      <c r="J5516" s="29" t="s">
        <v>4118</v>
      </c>
      <c r="K5516" s="29"/>
      <c r="L5516" s="29" t="s">
        <v>1546</v>
      </c>
      <c r="M5516" s="29"/>
      <c r="N5516" s="29" t="s">
        <v>538</v>
      </c>
      <c r="O5516" s="29"/>
      <c r="P5516" s="29" t="s">
        <v>1671</v>
      </c>
      <c r="Q5516" t="s">
        <v>2041</v>
      </c>
      <c r="R5516" t="s">
        <v>2634</v>
      </c>
      <c r="S5516">
        <v>35</v>
      </c>
      <c r="T5516" s="43" t="str">
        <f t="shared" si="257"/>
        <v>2019.012D.zip</v>
      </c>
      <c r="U5516" s="43" t="str">
        <f>HYPERLINK("https://ictv.global/taxonomy/taxondetails?taxnode_id=202203513","ictv.global=202203513")</f>
        <v>ictv.global=202203513</v>
      </c>
    </row>
    <row r="5517" spans="1:21">
      <c r="A5517">
        <v>5516</v>
      </c>
      <c r="B5517" s="29" t="s">
        <v>4053</v>
      </c>
      <c r="C5517" s="29"/>
      <c r="D5517" s="29" t="s">
        <v>4082</v>
      </c>
      <c r="E5517" s="29"/>
      <c r="F5517" s="29" t="s">
        <v>4106</v>
      </c>
      <c r="G5517" s="29"/>
      <c r="H5517" s="29" t="s">
        <v>4117</v>
      </c>
      <c r="I5517" s="29"/>
      <c r="J5517" s="29" t="s">
        <v>4118</v>
      </c>
      <c r="K5517" s="29"/>
      <c r="L5517" s="29" t="s">
        <v>1546</v>
      </c>
      <c r="M5517" s="29"/>
      <c r="N5517" s="29" t="s">
        <v>538</v>
      </c>
      <c r="O5517" s="29"/>
      <c r="P5517" s="29" t="s">
        <v>1672</v>
      </c>
      <c r="Q5517" t="s">
        <v>2041</v>
      </c>
      <c r="R5517" t="s">
        <v>2634</v>
      </c>
      <c r="S5517">
        <v>35</v>
      </c>
      <c r="T5517" s="43" t="str">
        <f t="shared" si="257"/>
        <v>2019.012D.zip</v>
      </c>
      <c r="U5517" s="43" t="str">
        <f>HYPERLINK("https://ictv.global/taxonomy/taxondetails?taxnode_id=202203514","ictv.global=202203514")</f>
        <v>ictv.global=202203514</v>
      </c>
    </row>
    <row r="5518" spans="1:21">
      <c r="A5518">
        <v>5517</v>
      </c>
      <c r="B5518" s="29" t="s">
        <v>4053</v>
      </c>
      <c r="C5518" s="29"/>
      <c r="D5518" s="29" t="s">
        <v>4082</v>
      </c>
      <c r="E5518" s="29"/>
      <c r="F5518" s="29" t="s">
        <v>4106</v>
      </c>
      <c r="G5518" s="29"/>
      <c r="H5518" s="29" t="s">
        <v>4117</v>
      </c>
      <c r="I5518" s="29"/>
      <c r="J5518" s="29" t="s">
        <v>4118</v>
      </c>
      <c r="K5518" s="29"/>
      <c r="L5518" s="29" t="s">
        <v>1546</v>
      </c>
      <c r="M5518" s="29"/>
      <c r="N5518" s="29" t="s">
        <v>538</v>
      </c>
      <c r="O5518" s="29"/>
      <c r="P5518" s="29" t="s">
        <v>1673</v>
      </c>
      <c r="Q5518" t="s">
        <v>2041</v>
      </c>
      <c r="R5518" t="s">
        <v>2634</v>
      </c>
      <c r="S5518">
        <v>35</v>
      </c>
      <c r="T5518" s="43" t="str">
        <f t="shared" si="257"/>
        <v>2019.012D.zip</v>
      </c>
      <c r="U5518" s="43" t="str">
        <f>HYPERLINK("https://ictv.global/taxonomy/taxondetails?taxnode_id=202203515","ictv.global=202203515")</f>
        <v>ictv.global=202203515</v>
      </c>
    </row>
    <row r="5519" spans="1:21">
      <c r="A5519">
        <v>5518</v>
      </c>
      <c r="B5519" s="29" t="s">
        <v>4053</v>
      </c>
      <c r="C5519" s="29"/>
      <c r="D5519" s="29" t="s">
        <v>4082</v>
      </c>
      <c r="E5519" s="29"/>
      <c r="F5519" s="29" t="s">
        <v>4106</v>
      </c>
      <c r="G5519" s="29"/>
      <c r="H5519" s="29" t="s">
        <v>4117</v>
      </c>
      <c r="I5519" s="29"/>
      <c r="J5519" s="29" t="s">
        <v>4118</v>
      </c>
      <c r="K5519" s="29"/>
      <c r="L5519" s="29" t="s">
        <v>1546</v>
      </c>
      <c r="M5519" s="29"/>
      <c r="N5519" s="29" t="s">
        <v>538</v>
      </c>
      <c r="O5519" s="29"/>
      <c r="P5519" s="29" t="s">
        <v>1674</v>
      </c>
      <c r="Q5519" t="s">
        <v>2041</v>
      </c>
      <c r="R5519" t="s">
        <v>2634</v>
      </c>
      <c r="S5519">
        <v>35</v>
      </c>
      <c r="T5519" s="43" t="str">
        <f t="shared" si="257"/>
        <v>2019.012D.zip</v>
      </c>
      <c r="U5519" s="43" t="str">
        <f>HYPERLINK("https://ictv.global/taxonomy/taxondetails?taxnode_id=202203516","ictv.global=202203516")</f>
        <v>ictv.global=202203516</v>
      </c>
    </row>
    <row r="5520" spans="1:21">
      <c r="A5520">
        <v>5519</v>
      </c>
      <c r="B5520" s="29" t="s">
        <v>4053</v>
      </c>
      <c r="C5520" s="29"/>
      <c r="D5520" s="29" t="s">
        <v>4082</v>
      </c>
      <c r="E5520" s="29"/>
      <c r="F5520" s="29" t="s">
        <v>4106</v>
      </c>
      <c r="G5520" s="29"/>
      <c r="H5520" s="29" t="s">
        <v>4117</v>
      </c>
      <c r="I5520" s="29"/>
      <c r="J5520" s="29" t="s">
        <v>4118</v>
      </c>
      <c r="K5520" s="29"/>
      <c r="L5520" s="29" t="s">
        <v>1546</v>
      </c>
      <c r="M5520" s="29"/>
      <c r="N5520" s="29" t="s">
        <v>538</v>
      </c>
      <c r="O5520" s="29"/>
      <c r="P5520" s="29" t="s">
        <v>4937</v>
      </c>
      <c r="Q5520" t="s">
        <v>2265</v>
      </c>
      <c r="R5520" t="s">
        <v>2632</v>
      </c>
      <c r="S5520">
        <v>36</v>
      </c>
      <c r="T5520" s="43" t="str">
        <f>HYPERLINK("https://ictv.global/ictv/proposals/2020.005P.R.Mastrevirus_4nsp.zip","2020.005P.R.Mastrevirus_4nsp.zip")</f>
        <v>2020.005P.R.Mastrevirus_4nsp.zip</v>
      </c>
      <c r="U5520" s="43" t="str">
        <f>HYPERLINK("https://ictv.global/taxonomy/taxondetails?taxnode_id=202209104","ictv.global=202209104")</f>
        <v>ictv.global=202209104</v>
      </c>
    </row>
    <row r="5521" spans="1:21">
      <c r="A5521">
        <v>5520</v>
      </c>
      <c r="B5521" s="29" t="s">
        <v>4053</v>
      </c>
      <c r="C5521" s="29"/>
      <c r="D5521" s="29" t="s">
        <v>4082</v>
      </c>
      <c r="E5521" s="29"/>
      <c r="F5521" s="29" t="s">
        <v>4106</v>
      </c>
      <c r="G5521" s="29"/>
      <c r="H5521" s="29" t="s">
        <v>4117</v>
      </c>
      <c r="I5521" s="29"/>
      <c r="J5521" s="29" t="s">
        <v>4118</v>
      </c>
      <c r="K5521" s="29"/>
      <c r="L5521" s="29" t="s">
        <v>1546</v>
      </c>
      <c r="M5521" s="29"/>
      <c r="N5521" s="29" t="s">
        <v>538</v>
      </c>
      <c r="O5521" s="29"/>
      <c r="P5521" s="29" t="s">
        <v>2909</v>
      </c>
      <c r="Q5521" t="s">
        <v>2041</v>
      </c>
      <c r="R5521" t="s">
        <v>2634</v>
      </c>
      <c r="S5521">
        <v>35</v>
      </c>
      <c r="T5521" s="43" t="str">
        <f t="shared" ref="T5521:T5527" si="258">HYPERLINK("https://ictv.global/ictv/proposals/2019.012D.zip","2019.012D.zip")</f>
        <v>2019.012D.zip</v>
      </c>
      <c r="U5521" s="43" t="str">
        <f>HYPERLINK("https://ictv.global/taxonomy/taxondetails?taxnode_id=202205853","ictv.global=202205853")</f>
        <v>ictv.global=202205853</v>
      </c>
    </row>
    <row r="5522" spans="1:21">
      <c r="A5522">
        <v>5521</v>
      </c>
      <c r="B5522" s="29" t="s">
        <v>4053</v>
      </c>
      <c r="C5522" s="29"/>
      <c r="D5522" s="29" t="s">
        <v>4082</v>
      </c>
      <c r="E5522" s="29"/>
      <c r="F5522" s="29" t="s">
        <v>4106</v>
      </c>
      <c r="G5522" s="29"/>
      <c r="H5522" s="29" t="s">
        <v>4117</v>
      </c>
      <c r="I5522" s="29"/>
      <c r="J5522" s="29" t="s">
        <v>4118</v>
      </c>
      <c r="K5522" s="29"/>
      <c r="L5522" s="29" t="s">
        <v>1546</v>
      </c>
      <c r="M5522" s="29"/>
      <c r="N5522" s="29" t="s">
        <v>538</v>
      </c>
      <c r="O5522" s="29"/>
      <c r="P5522" s="29" t="s">
        <v>1675</v>
      </c>
      <c r="Q5522" t="s">
        <v>2041</v>
      </c>
      <c r="R5522" t="s">
        <v>2634</v>
      </c>
      <c r="S5522">
        <v>35</v>
      </c>
      <c r="T5522" s="43" t="str">
        <f t="shared" si="258"/>
        <v>2019.012D.zip</v>
      </c>
      <c r="U5522" s="43" t="str">
        <f>HYPERLINK("https://ictv.global/taxonomy/taxondetails?taxnode_id=202203517","ictv.global=202203517")</f>
        <v>ictv.global=202203517</v>
      </c>
    </row>
    <row r="5523" spans="1:21">
      <c r="A5523">
        <v>5522</v>
      </c>
      <c r="B5523" s="29" t="s">
        <v>4053</v>
      </c>
      <c r="C5523" s="29"/>
      <c r="D5523" s="29" t="s">
        <v>4082</v>
      </c>
      <c r="E5523" s="29"/>
      <c r="F5523" s="29" t="s">
        <v>4106</v>
      </c>
      <c r="G5523" s="29"/>
      <c r="H5523" s="29" t="s">
        <v>4117</v>
      </c>
      <c r="I5523" s="29"/>
      <c r="J5523" s="29" t="s">
        <v>4118</v>
      </c>
      <c r="K5523" s="29"/>
      <c r="L5523" s="29" t="s">
        <v>1546</v>
      </c>
      <c r="M5523" s="29"/>
      <c r="N5523" s="29" t="s">
        <v>538</v>
      </c>
      <c r="O5523" s="29"/>
      <c r="P5523" s="29" t="s">
        <v>1098</v>
      </c>
      <c r="Q5523" t="s">
        <v>2041</v>
      </c>
      <c r="R5523" t="s">
        <v>2634</v>
      </c>
      <c r="S5523">
        <v>35</v>
      </c>
      <c r="T5523" s="43" t="str">
        <f t="shared" si="258"/>
        <v>2019.012D.zip</v>
      </c>
      <c r="U5523" s="43" t="str">
        <f>HYPERLINK("https://ictv.global/taxonomy/taxondetails?taxnode_id=202203518","ictv.global=202203518")</f>
        <v>ictv.global=202203518</v>
      </c>
    </row>
    <row r="5524" spans="1:21">
      <c r="A5524">
        <v>5523</v>
      </c>
      <c r="B5524" s="29" t="s">
        <v>4053</v>
      </c>
      <c r="C5524" s="29"/>
      <c r="D5524" s="29" t="s">
        <v>4082</v>
      </c>
      <c r="E5524" s="29"/>
      <c r="F5524" s="29" t="s">
        <v>4106</v>
      </c>
      <c r="G5524" s="29"/>
      <c r="H5524" s="29" t="s">
        <v>4117</v>
      </c>
      <c r="I5524" s="29"/>
      <c r="J5524" s="29" t="s">
        <v>4118</v>
      </c>
      <c r="K5524" s="29"/>
      <c r="L5524" s="29" t="s">
        <v>1546</v>
      </c>
      <c r="M5524" s="29"/>
      <c r="N5524" s="29" t="s">
        <v>538</v>
      </c>
      <c r="O5524" s="29"/>
      <c r="P5524" s="29" t="s">
        <v>1676</v>
      </c>
      <c r="Q5524" t="s">
        <v>2041</v>
      </c>
      <c r="R5524" t="s">
        <v>2634</v>
      </c>
      <c r="S5524">
        <v>35</v>
      </c>
      <c r="T5524" s="43" t="str">
        <f t="shared" si="258"/>
        <v>2019.012D.zip</v>
      </c>
      <c r="U5524" s="43" t="str">
        <f>HYPERLINK("https://ictv.global/taxonomy/taxondetails?taxnode_id=202203519","ictv.global=202203519")</f>
        <v>ictv.global=202203519</v>
      </c>
    </row>
    <row r="5525" spans="1:21">
      <c r="A5525">
        <v>5524</v>
      </c>
      <c r="B5525" s="29" t="s">
        <v>4053</v>
      </c>
      <c r="C5525" s="29"/>
      <c r="D5525" s="29" t="s">
        <v>4082</v>
      </c>
      <c r="E5525" s="29"/>
      <c r="F5525" s="29" t="s">
        <v>4106</v>
      </c>
      <c r="G5525" s="29"/>
      <c r="H5525" s="29" t="s">
        <v>4117</v>
      </c>
      <c r="I5525" s="29"/>
      <c r="J5525" s="29" t="s">
        <v>4118</v>
      </c>
      <c r="K5525" s="29"/>
      <c r="L5525" s="29" t="s">
        <v>1546</v>
      </c>
      <c r="M5525" s="29"/>
      <c r="N5525" s="29" t="s">
        <v>538</v>
      </c>
      <c r="O5525" s="29"/>
      <c r="P5525" s="29" t="s">
        <v>1677</v>
      </c>
      <c r="Q5525" t="s">
        <v>2041</v>
      </c>
      <c r="R5525" t="s">
        <v>2634</v>
      </c>
      <c r="S5525">
        <v>35</v>
      </c>
      <c r="T5525" s="43" t="str">
        <f t="shared" si="258"/>
        <v>2019.012D.zip</v>
      </c>
      <c r="U5525" s="43" t="str">
        <f>HYPERLINK("https://ictv.global/taxonomy/taxondetails?taxnode_id=202203520","ictv.global=202203520")</f>
        <v>ictv.global=202203520</v>
      </c>
    </row>
    <row r="5526" spans="1:21">
      <c r="A5526">
        <v>5525</v>
      </c>
      <c r="B5526" s="29" t="s">
        <v>4053</v>
      </c>
      <c r="C5526" s="29"/>
      <c r="D5526" s="29" t="s">
        <v>4082</v>
      </c>
      <c r="E5526" s="29"/>
      <c r="F5526" s="29" t="s">
        <v>4106</v>
      </c>
      <c r="G5526" s="29"/>
      <c r="H5526" s="29" t="s">
        <v>4117</v>
      </c>
      <c r="I5526" s="29"/>
      <c r="J5526" s="29" t="s">
        <v>4118</v>
      </c>
      <c r="K5526" s="29"/>
      <c r="L5526" s="29" t="s">
        <v>1546</v>
      </c>
      <c r="M5526" s="29"/>
      <c r="N5526" s="29" t="s">
        <v>538</v>
      </c>
      <c r="O5526" s="29"/>
      <c r="P5526" s="29" t="s">
        <v>1099</v>
      </c>
      <c r="Q5526" t="s">
        <v>2041</v>
      </c>
      <c r="R5526" t="s">
        <v>2634</v>
      </c>
      <c r="S5526">
        <v>35</v>
      </c>
      <c r="T5526" s="43" t="str">
        <f t="shared" si="258"/>
        <v>2019.012D.zip</v>
      </c>
      <c r="U5526" s="43" t="str">
        <f>HYPERLINK("https://ictv.global/taxonomy/taxondetails?taxnode_id=202203521","ictv.global=202203521")</f>
        <v>ictv.global=202203521</v>
      </c>
    </row>
    <row r="5527" spans="1:21">
      <c r="A5527">
        <v>5526</v>
      </c>
      <c r="B5527" s="29" t="s">
        <v>4053</v>
      </c>
      <c r="C5527" s="29"/>
      <c r="D5527" s="29" t="s">
        <v>4082</v>
      </c>
      <c r="E5527" s="29"/>
      <c r="F5527" s="29" t="s">
        <v>4106</v>
      </c>
      <c r="G5527" s="29"/>
      <c r="H5527" s="29" t="s">
        <v>4117</v>
      </c>
      <c r="I5527" s="29"/>
      <c r="J5527" s="29" t="s">
        <v>4118</v>
      </c>
      <c r="K5527" s="29"/>
      <c r="L5527" s="29" t="s">
        <v>1546</v>
      </c>
      <c r="M5527" s="29"/>
      <c r="N5527" s="29" t="s">
        <v>538</v>
      </c>
      <c r="O5527" s="29"/>
      <c r="P5527" s="29" t="s">
        <v>2910</v>
      </c>
      <c r="Q5527" t="s">
        <v>2041</v>
      </c>
      <c r="R5527" t="s">
        <v>2634</v>
      </c>
      <c r="S5527">
        <v>35</v>
      </c>
      <c r="T5527" s="43" t="str">
        <f t="shared" si="258"/>
        <v>2019.012D.zip</v>
      </c>
      <c r="U5527" s="43" t="str">
        <f>HYPERLINK("https://ictv.global/taxonomy/taxondetails?taxnode_id=202205854","ictv.global=202205854")</f>
        <v>ictv.global=202205854</v>
      </c>
    </row>
    <row r="5528" spans="1:21">
      <c r="A5528">
        <v>5527</v>
      </c>
      <c r="B5528" s="29" t="s">
        <v>4053</v>
      </c>
      <c r="C5528" s="29"/>
      <c r="D5528" s="29" t="s">
        <v>4082</v>
      </c>
      <c r="E5528" s="29"/>
      <c r="F5528" s="29" t="s">
        <v>4106</v>
      </c>
      <c r="G5528" s="29"/>
      <c r="H5528" s="29" t="s">
        <v>4117</v>
      </c>
      <c r="I5528" s="29"/>
      <c r="J5528" s="29" t="s">
        <v>4118</v>
      </c>
      <c r="K5528" s="29"/>
      <c r="L5528" s="29" t="s">
        <v>1546</v>
      </c>
      <c r="M5528" s="29"/>
      <c r="N5528" s="29" t="s">
        <v>538</v>
      </c>
      <c r="O5528" s="29"/>
      <c r="P5528" s="29" t="s">
        <v>4938</v>
      </c>
      <c r="Q5528" t="s">
        <v>2265</v>
      </c>
      <c r="R5528" t="s">
        <v>2632</v>
      </c>
      <c r="S5528">
        <v>36</v>
      </c>
      <c r="T5528" s="43" t="str">
        <f>HYPERLINK("https://ictv.global/ictv/proposals/2020.005P.R.Mastrevirus_4nsp.zip","2020.005P.R.Mastrevirus_4nsp.zip")</f>
        <v>2020.005P.R.Mastrevirus_4nsp.zip</v>
      </c>
      <c r="U5528" s="43" t="str">
        <f>HYPERLINK("https://ictv.global/taxonomy/taxondetails?taxnode_id=202209105","ictv.global=202209105")</f>
        <v>ictv.global=202209105</v>
      </c>
    </row>
    <row r="5529" spans="1:21">
      <c r="A5529">
        <v>5528</v>
      </c>
      <c r="B5529" s="29" t="s">
        <v>4053</v>
      </c>
      <c r="C5529" s="29"/>
      <c r="D5529" s="29" t="s">
        <v>4082</v>
      </c>
      <c r="E5529" s="29"/>
      <c r="F5529" s="29" t="s">
        <v>4106</v>
      </c>
      <c r="G5529" s="29"/>
      <c r="H5529" s="29" t="s">
        <v>4117</v>
      </c>
      <c r="I5529" s="29"/>
      <c r="J5529" s="29" t="s">
        <v>4118</v>
      </c>
      <c r="K5529" s="29"/>
      <c r="L5529" s="29" t="s">
        <v>1546</v>
      </c>
      <c r="M5529" s="29"/>
      <c r="N5529" s="29" t="s">
        <v>538</v>
      </c>
      <c r="O5529" s="29"/>
      <c r="P5529" s="29" t="s">
        <v>1678</v>
      </c>
      <c r="Q5529" t="s">
        <v>2041</v>
      </c>
      <c r="R5529" t="s">
        <v>2634</v>
      </c>
      <c r="S5529">
        <v>35</v>
      </c>
      <c r="T5529" s="43" t="str">
        <f>HYPERLINK("https://ictv.global/ictv/proposals/2019.012D.zip","2019.012D.zip")</f>
        <v>2019.012D.zip</v>
      </c>
      <c r="U5529" s="43" t="str">
        <f>HYPERLINK("https://ictv.global/taxonomy/taxondetails?taxnode_id=202203522","ictv.global=202203522")</f>
        <v>ictv.global=202203522</v>
      </c>
    </row>
    <row r="5530" spans="1:21">
      <c r="A5530">
        <v>5529</v>
      </c>
      <c r="B5530" s="29" t="s">
        <v>4053</v>
      </c>
      <c r="C5530" s="29"/>
      <c r="D5530" s="29" t="s">
        <v>4082</v>
      </c>
      <c r="E5530" s="29"/>
      <c r="F5530" s="29" t="s">
        <v>4106</v>
      </c>
      <c r="G5530" s="29"/>
      <c r="H5530" s="29" t="s">
        <v>4117</v>
      </c>
      <c r="I5530" s="29"/>
      <c r="J5530" s="29" t="s">
        <v>4118</v>
      </c>
      <c r="K5530" s="29"/>
      <c r="L5530" s="29" t="s">
        <v>1546</v>
      </c>
      <c r="M5530" s="29"/>
      <c r="N5530" s="29" t="s">
        <v>538</v>
      </c>
      <c r="O5530" s="29"/>
      <c r="P5530" s="29" t="s">
        <v>467</v>
      </c>
      <c r="Q5530" t="s">
        <v>2041</v>
      </c>
      <c r="R5530" t="s">
        <v>2634</v>
      </c>
      <c r="S5530">
        <v>35</v>
      </c>
      <c r="T5530" s="43" t="str">
        <f>HYPERLINK("https://ictv.global/ictv/proposals/2019.012D.zip","2019.012D.zip")</f>
        <v>2019.012D.zip</v>
      </c>
      <c r="U5530" s="43" t="str">
        <f>HYPERLINK("https://ictv.global/taxonomy/taxondetails?taxnode_id=202203523","ictv.global=202203523")</f>
        <v>ictv.global=202203523</v>
      </c>
    </row>
    <row r="5531" spans="1:21">
      <c r="A5531">
        <v>5530</v>
      </c>
      <c r="B5531" s="29" t="s">
        <v>4053</v>
      </c>
      <c r="C5531" s="29"/>
      <c r="D5531" s="29" t="s">
        <v>4082</v>
      </c>
      <c r="E5531" s="29"/>
      <c r="F5531" s="29" t="s">
        <v>4106</v>
      </c>
      <c r="G5531" s="29"/>
      <c r="H5531" s="29" t="s">
        <v>4117</v>
      </c>
      <c r="I5531" s="29"/>
      <c r="J5531" s="29" t="s">
        <v>4118</v>
      </c>
      <c r="K5531" s="29"/>
      <c r="L5531" s="29" t="s">
        <v>1546</v>
      </c>
      <c r="M5531" s="29"/>
      <c r="N5531" s="29" t="s">
        <v>538</v>
      </c>
      <c r="O5531" s="29"/>
      <c r="P5531" s="29" t="s">
        <v>4135</v>
      </c>
      <c r="Q5531" t="s">
        <v>2265</v>
      </c>
      <c r="R5531" t="s">
        <v>2632</v>
      </c>
      <c r="S5531">
        <v>35</v>
      </c>
      <c r="T5531" s="43" t="str">
        <f>HYPERLINK("https://ictv.global/ictv/proposals/2019.002P.zip","2019.002P.zip")</f>
        <v>2019.002P.zip</v>
      </c>
      <c r="U5531" s="43" t="str">
        <f>HYPERLINK("https://ictv.global/taxonomy/taxondetails?taxnode_id=202208695","ictv.global=202208695")</f>
        <v>ictv.global=202208695</v>
      </c>
    </row>
    <row r="5532" spans="1:21">
      <c r="A5532">
        <v>5531</v>
      </c>
      <c r="B5532" s="29" t="s">
        <v>4053</v>
      </c>
      <c r="C5532" s="29"/>
      <c r="D5532" s="29" t="s">
        <v>4082</v>
      </c>
      <c r="E5532" s="29"/>
      <c r="F5532" s="29" t="s">
        <v>4106</v>
      </c>
      <c r="G5532" s="29"/>
      <c r="H5532" s="29" t="s">
        <v>4117</v>
      </c>
      <c r="I5532" s="29"/>
      <c r="J5532" s="29" t="s">
        <v>4118</v>
      </c>
      <c r="K5532" s="29"/>
      <c r="L5532" s="29" t="s">
        <v>1546</v>
      </c>
      <c r="M5532" s="29"/>
      <c r="N5532" s="29" t="s">
        <v>538</v>
      </c>
      <c r="O5532" s="29"/>
      <c r="P5532" s="29" t="s">
        <v>1679</v>
      </c>
      <c r="Q5532" t="s">
        <v>2041</v>
      </c>
      <c r="R5532" t="s">
        <v>2634</v>
      </c>
      <c r="S5532">
        <v>35</v>
      </c>
      <c r="T5532" s="43" t="str">
        <f>HYPERLINK("https://ictv.global/ictv/proposals/2019.012D.zip","2019.012D.zip")</f>
        <v>2019.012D.zip</v>
      </c>
      <c r="U5532" s="43" t="str">
        <f>HYPERLINK("https://ictv.global/taxonomy/taxondetails?taxnode_id=202203524","ictv.global=202203524")</f>
        <v>ictv.global=202203524</v>
      </c>
    </row>
    <row r="5533" spans="1:21">
      <c r="A5533">
        <v>5532</v>
      </c>
      <c r="B5533" s="29" t="s">
        <v>4053</v>
      </c>
      <c r="C5533" s="29"/>
      <c r="D5533" s="29" t="s">
        <v>4082</v>
      </c>
      <c r="E5533" s="29"/>
      <c r="F5533" s="29" t="s">
        <v>4106</v>
      </c>
      <c r="G5533" s="29"/>
      <c r="H5533" s="29" t="s">
        <v>4117</v>
      </c>
      <c r="I5533" s="29"/>
      <c r="J5533" s="29" t="s">
        <v>4118</v>
      </c>
      <c r="K5533" s="29"/>
      <c r="L5533" s="29" t="s">
        <v>1546</v>
      </c>
      <c r="M5533" s="29"/>
      <c r="N5533" s="29" t="s">
        <v>538</v>
      </c>
      <c r="O5533" s="29"/>
      <c r="P5533" s="29" t="s">
        <v>1100</v>
      </c>
      <c r="Q5533" t="s">
        <v>2041</v>
      </c>
      <c r="R5533" t="s">
        <v>6901</v>
      </c>
      <c r="S5533">
        <v>36</v>
      </c>
      <c r="T5533" s="43" t="str">
        <f>HYPERLINK("https://ictv.global/ictv/proposals/2020.001G.R.Abolish_type_species.pdf","2020.001G.R.Abolish_type_species.pdf")</f>
        <v>2020.001G.R.Abolish_type_species.pdf</v>
      </c>
      <c r="U5533" s="43" t="str">
        <f>HYPERLINK("https://ictv.global/taxonomy/taxondetails?taxnode_id=202203525","ictv.global=202203525")</f>
        <v>ictv.global=202203525</v>
      </c>
    </row>
    <row r="5534" spans="1:21">
      <c r="A5534">
        <v>5533</v>
      </c>
      <c r="B5534" s="29" t="s">
        <v>4053</v>
      </c>
      <c r="C5534" s="29"/>
      <c r="D5534" s="29" t="s">
        <v>4082</v>
      </c>
      <c r="E5534" s="29"/>
      <c r="F5534" s="29" t="s">
        <v>4106</v>
      </c>
      <c r="G5534" s="29"/>
      <c r="H5534" s="29" t="s">
        <v>4117</v>
      </c>
      <c r="I5534" s="29"/>
      <c r="J5534" s="29" t="s">
        <v>4118</v>
      </c>
      <c r="K5534" s="29"/>
      <c r="L5534" s="29" t="s">
        <v>1546</v>
      </c>
      <c r="M5534" s="29"/>
      <c r="N5534" s="29" t="s">
        <v>538</v>
      </c>
      <c r="O5534" s="29"/>
      <c r="P5534" s="29" t="s">
        <v>3660</v>
      </c>
      <c r="Q5534" t="s">
        <v>2041</v>
      </c>
      <c r="R5534" t="s">
        <v>2634</v>
      </c>
      <c r="S5534">
        <v>35</v>
      </c>
      <c r="T5534" s="43" t="str">
        <f>HYPERLINK("https://ictv.global/ictv/proposals/2019.012D.zip","2019.012D.zip")</f>
        <v>2019.012D.zip</v>
      </c>
      <c r="U5534" s="43" t="str">
        <f>HYPERLINK("https://ictv.global/taxonomy/taxondetails?taxnode_id=202206685","ictv.global=202206685")</f>
        <v>ictv.global=202206685</v>
      </c>
    </row>
    <row r="5535" spans="1:21">
      <c r="A5535">
        <v>5534</v>
      </c>
      <c r="B5535" s="29" t="s">
        <v>4053</v>
      </c>
      <c r="C5535" s="29"/>
      <c r="D5535" s="29" t="s">
        <v>4082</v>
      </c>
      <c r="E5535" s="29"/>
      <c r="F5535" s="29" t="s">
        <v>4106</v>
      </c>
      <c r="G5535" s="29"/>
      <c r="H5535" s="29" t="s">
        <v>4117</v>
      </c>
      <c r="I5535" s="29"/>
      <c r="J5535" s="29" t="s">
        <v>4118</v>
      </c>
      <c r="K5535" s="29"/>
      <c r="L5535" s="29" t="s">
        <v>1546</v>
      </c>
      <c r="M5535" s="29"/>
      <c r="N5535" s="29" t="s">
        <v>538</v>
      </c>
      <c r="O5535" s="29"/>
      <c r="P5535" s="29" t="s">
        <v>4939</v>
      </c>
      <c r="Q5535" t="s">
        <v>2265</v>
      </c>
      <c r="R5535" t="s">
        <v>2632</v>
      </c>
      <c r="S5535">
        <v>36</v>
      </c>
      <c r="T5535" s="43" t="str">
        <f>HYPERLINK("https://ictv.global/ictv/proposals/2020.005P.R.Mastrevirus_4nsp.zip","2020.005P.R.Mastrevirus_4nsp.zip")</f>
        <v>2020.005P.R.Mastrevirus_4nsp.zip</v>
      </c>
      <c r="U5535" s="43" t="str">
        <f>HYPERLINK("https://ictv.global/taxonomy/taxondetails?taxnode_id=202209106","ictv.global=202209106")</f>
        <v>ictv.global=202209106</v>
      </c>
    </row>
    <row r="5536" spans="1:21">
      <c r="A5536">
        <v>5535</v>
      </c>
      <c r="B5536" s="29" t="s">
        <v>4053</v>
      </c>
      <c r="C5536" s="29"/>
      <c r="D5536" s="29" t="s">
        <v>4082</v>
      </c>
      <c r="E5536" s="29"/>
      <c r="F5536" s="29" t="s">
        <v>4106</v>
      </c>
      <c r="G5536" s="29"/>
      <c r="H5536" s="29" t="s">
        <v>4117</v>
      </c>
      <c r="I5536" s="29"/>
      <c r="J5536" s="29" t="s">
        <v>4118</v>
      </c>
      <c r="K5536" s="29"/>
      <c r="L5536" s="29" t="s">
        <v>1546</v>
      </c>
      <c r="M5536" s="29"/>
      <c r="N5536" s="29" t="s">
        <v>538</v>
      </c>
      <c r="O5536" s="29"/>
      <c r="P5536" s="29" t="s">
        <v>289</v>
      </c>
      <c r="Q5536" t="s">
        <v>2041</v>
      </c>
      <c r="R5536" t="s">
        <v>2634</v>
      </c>
      <c r="S5536">
        <v>35</v>
      </c>
      <c r="T5536" s="43" t="str">
        <f t="shared" ref="T5536:T5543" si="259">HYPERLINK("https://ictv.global/ictv/proposals/2019.012D.zip","2019.012D.zip")</f>
        <v>2019.012D.zip</v>
      </c>
      <c r="U5536" s="43" t="str">
        <f>HYPERLINK("https://ictv.global/taxonomy/taxondetails?taxnode_id=202203526","ictv.global=202203526")</f>
        <v>ictv.global=202203526</v>
      </c>
    </row>
    <row r="5537" spans="1:21">
      <c r="A5537">
        <v>5536</v>
      </c>
      <c r="B5537" s="29" t="s">
        <v>4053</v>
      </c>
      <c r="C5537" s="29"/>
      <c r="D5537" s="29" t="s">
        <v>4082</v>
      </c>
      <c r="E5537" s="29"/>
      <c r="F5537" s="29" t="s">
        <v>4106</v>
      </c>
      <c r="G5537" s="29"/>
      <c r="H5537" s="29" t="s">
        <v>4117</v>
      </c>
      <c r="I5537" s="29"/>
      <c r="J5537" s="29" t="s">
        <v>4118</v>
      </c>
      <c r="K5537" s="29"/>
      <c r="L5537" s="29" t="s">
        <v>1546</v>
      </c>
      <c r="M5537" s="29"/>
      <c r="N5537" s="29" t="s">
        <v>538</v>
      </c>
      <c r="O5537" s="29"/>
      <c r="P5537" s="29" t="s">
        <v>1680</v>
      </c>
      <c r="Q5537" t="s">
        <v>2041</v>
      </c>
      <c r="R5537" t="s">
        <v>2634</v>
      </c>
      <c r="S5537">
        <v>35</v>
      </c>
      <c r="T5537" s="43" t="str">
        <f t="shared" si="259"/>
        <v>2019.012D.zip</v>
      </c>
      <c r="U5537" s="43" t="str">
        <f>HYPERLINK("https://ictv.global/taxonomy/taxondetails?taxnode_id=202203527","ictv.global=202203527")</f>
        <v>ictv.global=202203527</v>
      </c>
    </row>
    <row r="5538" spans="1:21">
      <c r="A5538">
        <v>5537</v>
      </c>
      <c r="B5538" s="29" t="s">
        <v>4053</v>
      </c>
      <c r="C5538" s="29"/>
      <c r="D5538" s="29" t="s">
        <v>4082</v>
      </c>
      <c r="E5538" s="29"/>
      <c r="F5538" s="29" t="s">
        <v>4106</v>
      </c>
      <c r="G5538" s="29"/>
      <c r="H5538" s="29" t="s">
        <v>4117</v>
      </c>
      <c r="I5538" s="29"/>
      <c r="J5538" s="29" t="s">
        <v>4118</v>
      </c>
      <c r="K5538" s="29"/>
      <c r="L5538" s="29" t="s">
        <v>1546</v>
      </c>
      <c r="M5538" s="29"/>
      <c r="N5538" s="29" t="s">
        <v>538</v>
      </c>
      <c r="O5538" s="29"/>
      <c r="P5538" s="29" t="s">
        <v>290</v>
      </c>
      <c r="Q5538" t="s">
        <v>2041</v>
      </c>
      <c r="R5538" t="s">
        <v>2634</v>
      </c>
      <c r="S5538">
        <v>35</v>
      </c>
      <c r="T5538" s="43" t="str">
        <f t="shared" si="259"/>
        <v>2019.012D.zip</v>
      </c>
      <c r="U5538" s="43" t="str">
        <f>HYPERLINK("https://ictv.global/taxonomy/taxondetails?taxnode_id=202203528","ictv.global=202203528")</f>
        <v>ictv.global=202203528</v>
      </c>
    </row>
    <row r="5539" spans="1:21">
      <c r="A5539">
        <v>5538</v>
      </c>
      <c r="B5539" s="29" t="s">
        <v>4053</v>
      </c>
      <c r="C5539" s="29"/>
      <c r="D5539" s="29" t="s">
        <v>4082</v>
      </c>
      <c r="E5539" s="29"/>
      <c r="F5539" s="29" t="s">
        <v>4106</v>
      </c>
      <c r="G5539" s="29"/>
      <c r="H5539" s="29" t="s">
        <v>4117</v>
      </c>
      <c r="I5539" s="29"/>
      <c r="J5539" s="29" t="s">
        <v>4118</v>
      </c>
      <c r="K5539" s="29"/>
      <c r="L5539" s="29" t="s">
        <v>1546</v>
      </c>
      <c r="M5539" s="29"/>
      <c r="N5539" s="29" t="s">
        <v>538</v>
      </c>
      <c r="O5539" s="29"/>
      <c r="P5539" s="29" t="s">
        <v>1681</v>
      </c>
      <c r="Q5539" t="s">
        <v>2041</v>
      </c>
      <c r="R5539" t="s">
        <v>2634</v>
      </c>
      <c r="S5539">
        <v>35</v>
      </c>
      <c r="T5539" s="43" t="str">
        <f t="shared" si="259"/>
        <v>2019.012D.zip</v>
      </c>
      <c r="U5539" s="43" t="str">
        <f>HYPERLINK("https://ictv.global/taxonomy/taxondetails?taxnode_id=202203529","ictv.global=202203529")</f>
        <v>ictv.global=202203529</v>
      </c>
    </row>
    <row r="5540" spans="1:21">
      <c r="A5540">
        <v>5539</v>
      </c>
      <c r="B5540" s="29" t="s">
        <v>4053</v>
      </c>
      <c r="C5540" s="29"/>
      <c r="D5540" s="29" t="s">
        <v>4082</v>
      </c>
      <c r="E5540" s="29"/>
      <c r="F5540" s="29" t="s">
        <v>4106</v>
      </c>
      <c r="G5540" s="29"/>
      <c r="H5540" s="29" t="s">
        <v>4117</v>
      </c>
      <c r="I5540" s="29"/>
      <c r="J5540" s="29" t="s">
        <v>4118</v>
      </c>
      <c r="K5540" s="29"/>
      <c r="L5540" s="29" t="s">
        <v>1546</v>
      </c>
      <c r="M5540" s="29"/>
      <c r="N5540" s="29" t="s">
        <v>538</v>
      </c>
      <c r="O5540" s="29"/>
      <c r="P5540" s="29" t="s">
        <v>1682</v>
      </c>
      <c r="Q5540" t="s">
        <v>2041</v>
      </c>
      <c r="R5540" t="s">
        <v>2634</v>
      </c>
      <c r="S5540">
        <v>35</v>
      </c>
      <c r="T5540" s="43" t="str">
        <f t="shared" si="259"/>
        <v>2019.012D.zip</v>
      </c>
      <c r="U5540" s="43" t="str">
        <f>HYPERLINK("https://ictv.global/taxonomy/taxondetails?taxnode_id=202203530","ictv.global=202203530")</f>
        <v>ictv.global=202203530</v>
      </c>
    </row>
    <row r="5541" spans="1:21">
      <c r="A5541">
        <v>5540</v>
      </c>
      <c r="B5541" s="29" t="s">
        <v>4053</v>
      </c>
      <c r="C5541" s="29"/>
      <c r="D5541" s="29" t="s">
        <v>4082</v>
      </c>
      <c r="E5541" s="29"/>
      <c r="F5541" s="29" t="s">
        <v>4106</v>
      </c>
      <c r="G5541" s="29"/>
      <c r="H5541" s="29" t="s">
        <v>4117</v>
      </c>
      <c r="I5541" s="29"/>
      <c r="J5541" s="29" t="s">
        <v>4118</v>
      </c>
      <c r="K5541" s="29"/>
      <c r="L5541" s="29" t="s">
        <v>1546</v>
      </c>
      <c r="M5541" s="29"/>
      <c r="N5541" s="29" t="s">
        <v>538</v>
      </c>
      <c r="O5541" s="29"/>
      <c r="P5541" s="29" t="s">
        <v>3661</v>
      </c>
      <c r="Q5541" t="s">
        <v>2041</v>
      </c>
      <c r="R5541" t="s">
        <v>2634</v>
      </c>
      <c r="S5541">
        <v>35</v>
      </c>
      <c r="T5541" s="43" t="str">
        <f t="shared" si="259"/>
        <v>2019.012D.zip</v>
      </c>
      <c r="U5541" s="43" t="str">
        <f>HYPERLINK("https://ictv.global/taxonomy/taxondetails?taxnode_id=202206686","ictv.global=202206686")</f>
        <v>ictv.global=202206686</v>
      </c>
    </row>
    <row r="5542" spans="1:21">
      <c r="A5542">
        <v>5541</v>
      </c>
      <c r="B5542" s="29" t="s">
        <v>4053</v>
      </c>
      <c r="C5542" s="29"/>
      <c r="D5542" s="29" t="s">
        <v>4082</v>
      </c>
      <c r="E5542" s="29"/>
      <c r="F5542" s="29" t="s">
        <v>4106</v>
      </c>
      <c r="G5542" s="29"/>
      <c r="H5542" s="29" t="s">
        <v>4117</v>
      </c>
      <c r="I5542" s="29"/>
      <c r="J5542" s="29" t="s">
        <v>4118</v>
      </c>
      <c r="K5542" s="29"/>
      <c r="L5542" s="29" t="s">
        <v>1546</v>
      </c>
      <c r="M5542" s="29"/>
      <c r="N5542" s="29" t="s">
        <v>538</v>
      </c>
      <c r="O5542" s="29"/>
      <c r="P5542" s="29" t="s">
        <v>3662</v>
      </c>
      <c r="Q5542" t="s">
        <v>2041</v>
      </c>
      <c r="R5542" t="s">
        <v>2634</v>
      </c>
      <c r="S5542">
        <v>35</v>
      </c>
      <c r="T5542" s="43" t="str">
        <f t="shared" si="259"/>
        <v>2019.012D.zip</v>
      </c>
      <c r="U5542" s="43" t="str">
        <f>HYPERLINK("https://ictv.global/taxonomy/taxondetails?taxnode_id=202206687","ictv.global=202206687")</f>
        <v>ictv.global=202206687</v>
      </c>
    </row>
    <row r="5543" spans="1:21">
      <c r="A5543">
        <v>5542</v>
      </c>
      <c r="B5543" s="29" t="s">
        <v>4053</v>
      </c>
      <c r="C5543" s="29"/>
      <c r="D5543" s="29" t="s">
        <v>4082</v>
      </c>
      <c r="E5543" s="29"/>
      <c r="F5543" s="29" t="s">
        <v>4106</v>
      </c>
      <c r="G5543" s="29"/>
      <c r="H5543" s="29" t="s">
        <v>4117</v>
      </c>
      <c r="I5543" s="29"/>
      <c r="J5543" s="29" t="s">
        <v>4118</v>
      </c>
      <c r="K5543" s="29"/>
      <c r="L5543" s="29" t="s">
        <v>1546</v>
      </c>
      <c r="M5543" s="29"/>
      <c r="N5543" s="29" t="s">
        <v>538</v>
      </c>
      <c r="O5543" s="29"/>
      <c r="P5543" s="29" t="s">
        <v>1683</v>
      </c>
      <c r="Q5543" t="s">
        <v>2041</v>
      </c>
      <c r="R5543" t="s">
        <v>2634</v>
      </c>
      <c r="S5543">
        <v>35</v>
      </c>
      <c r="T5543" s="43" t="str">
        <f t="shared" si="259"/>
        <v>2019.012D.zip</v>
      </c>
      <c r="U5543" s="43" t="str">
        <f>HYPERLINK("https://ictv.global/taxonomy/taxondetails?taxnode_id=202203531","ictv.global=202203531")</f>
        <v>ictv.global=202203531</v>
      </c>
    </row>
    <row r="5544" spans="1:21">
      <c r="A5544">
        <v>5543</v>
      </c>
      <c r="B5544" s="29" t="s">
        <v>4053</v>
      </c>
      <c r="C5544" s="29"/>
      <c r="D5544" s="29" t="s">
        <v>4082</v>
      </c>
      <c r="E5544" s="29"/>
      <c r="F5544" s="29" t="s">
        <v>4106</v>
      </c>
      <c r="G5544" s="29"/>
      <c r="H5544" s="29" t="s">
        <v>4117</v>
      </c>
      <c r="I5544" s="29"/>
      <c r="J5544" s="29" t="s">
        <v>4118</v>
      </c>
      <c r="K5544" s="29"/>
      <c r="L5544" s="29" t="s">
        <v>1546</v>
      </c>
      <c r="M5544" s="29"/>
      <c r="N5544" s="29" t="s">
        <v>538</v>
      </c>
      <c r="O5544" s="29"/>
      <c r="P5544" s="29" t="s">
        <v>4940</v>
      </c>
      <c r="Q5544" t="s">
        <v>2265</v>
      </c>
      <c r="R5544" t="s">
        <v>2632</v>
      </c>
      <c r="S5544">
        <v>36</v>
      </c>
      <c r="T5544" s="43" t="str">
        <f>HYPERLINK("https://ictv.global/ictv/proposals/2020.005P.R.Mastrevirus_4nsp.zip","2020.005P.R.Mastrevirus_4nsp.zip")</f>
        <v>2020.005P.R.Mastrevirus_4nsp.zip</v>
      </c>
      <c r="U5544" s="43" t="str">
        <f>HYPERLINK("https://ictv.global/taxonomy/taxondetails?taxnode_id=202209107","ictv.global=202209107")</f>
        <v>ictv.global=202209107</v>
      </c>
    </row>
    <row r="5545" spans="1:21">
      <c r="A5545">
        <v>5544</v>
      </c>
      <c r="B5545" s="29" t="s">
        <v>4053</v>
      </c>
      <c r="C5545" s="29"/>
      <c r="D5545" s="29" t="s">
        <v>4082</v>
      </c>
      <c r="E5545" s="29"/>
      <c r="F5545" s="29" t="s">
        <v>4106</v>
      </c>
      <c r="G5545" s="29"/>
      <c r="H5545" s="29" t="s">
        <v>4117</v>
      </c>
      <c r="I5545" s="29"/>
      <c r="J5545" s="29" t="s">
        <v>4118</v>
      </c>
      <c r="K5545" s="29"/>
      <c r="L5545" s="29" t="s">
        <v>1546</v>
      </c>
      <c r="M5545" s="29"/>
      <c r="N5545" s="29" t="s">
        <v>538</v>
      </c>
      <c r="O5545" s="29"/>
      <c r="P5545" s="29" t="s">
        <v>2911</v>
      </c>
      <c r="Q5545" t="s">
        <v>2041</v>
      </c>
      <c r="R5545" t="s">
        <v>2634</v>
      </c>
      <c r="S5545">
        <v>35</v>
      </c>
      <c r="T5545" s="43" t="str">
        <f t="shared" ref="T5545:T5558" si="260">HYPERLINK("https://ictv.global/ictv/proposals/2019.012D.zip","2019.012D.zip")</f>
        <v>2019.012D.zip</v>
      </c>
      <c r="U5545" s="43" t="str">
        <f>HYPERLINK("https://ictv.global/taxonomy/taxondetails?taxnode_id=202203532","ictv.global=202203532")</f>
        <v>ictv.global=202203532</v>
      </c>
    </row>
    <row r="5546" spans="1:21">
      <c r="A5546">
        <v>5545</v>
      </c>
      <c r="B5546" s="29" t="s">
        <v>4053</v>
      </c>
      <c r="C5546" s="29"/>
      <c r="D5546" s="29" t="s">
        <v>4082</v>
      </c>
      <c r="E5546" s="29"/>
      <c r="F5546" s="29" t="s">
        <v>4106</v>
      </c>
      <c r="G5546" s="29"/>
      <c r="H5546" s="29" t="s">
        <v>4117</v>
      </c>
      <c r="I5546" s="29"/>
      <c r="J5546" s="29" t="s">
        <v>4118</v>
      </c>
      <c r="K5546" s="29"/>
      <c r="L5546" s="29" t="s">
        <v>1546</v>
      </c>
      <c r="M5546" s="29"/>
      <c r="N5546" s="29" t="s">
        <v>538</v>
      </c>
      <c r="O5546" s="29"/>
      <c r="P5546" s="29" t="s">
        <v>2912</v>
      </c>
      <c r="Q5546" t="s">
        <v>2041</v>
      </c>
      <c r="R5546" t="s">
        <v>2634</v>
      </c>
      <c r="S5546">
        <v>35</v>
      </c>
      <c r="T5546" s="43" t="str">
        <f t="shared" si="260"/>
        <v>2019.012D.zip</v>
      </c>
      <c r="U5546" s="43" t="str">
        <f>HYPERLINK("https://ictv.global/taxonomy/taxondetails?taxnode_id=202203533","ictv.global=202203533")</f>
        <v>ictv.global=202203533</v>
      </c>
    </row>
    <row r="5547" spans="1:21">
      <c r="A5547">
        <v>5546</v>
      </c>
      <c r="B5547" s="29" t="s">
        <v>4053</v>
      </c>
      <c r="C5547" s="29"/>
      <c r="D5547" s="29" t="s">
        <v>4082</v>
      </c>
      <c r="E5547" s="29"/>
      <c r="F5547" s="29" t="s">
        <v>4106</v>
      </c>
      <c r="G5547" s="29"/>
      <c r="H5547" s="29" t="s">
        <v>4117</v>
      </c>
      <c r="I5547" s="29"/>
      <c r="J5547" s="29" t="s">
        <v>4118</v>
      </c>
      <c r="K5547" s="29"/>
      <c r="L5547" s="29" t="s">
        <v>1546</v>
      </c>
      <c r="M5547" s="29"/>
      <c r="N5547" s="29" t="s">
        <v>538</v>
      </c>
      <c r="O5547" s="29"/>
      <c r="P5547" s="29" t="s">
        <v>2913</v>
      </c>
      <c r="Q5547" t="s">
        <v>2041</v>
      </c>
      <c r="R5547" t="s">
        <v>2634</v>
      </c>
      <c r="S5547">
        <v>35</v>
      </c>
      <c r="T5547" s="43" t="str">
        <f t="shared" si="260"/>
        <v>2019.012D.zip</v>
      </c>
      <c r="U5547" s="43" t="str">
        <f>HYPERLINK("https://ictv.global/taxonomy/taxondetails?taxnode_id=202205855","ictv.global=202205855")</f>
        <v>ictv.global=202205855</v>
      </c>
    </row>
    <row r="5548" spans="1:21">
      <c r="A5548">
        <v>5547</v>
      </c>
      <c r="B5548" s="29" t="s">
        <v>4053</v>
      </c>
      <c r="C5548" s="29"/>
      <c r="D5548" s="29" t="s">
        <v>4082</v>
      </c>
      <c r="E5548" s="29"/>
      <c r="F5548" s="29" t="s">
        <v>4106</v>
      </c>
      <c r="G5548" s="29"/>
      <c r="H5548" s="29" t="s">
        <v>4117</v>
      </c>
      <c r="I5548" s="29"/>
      <c r="J5548" s="29" t="s">
        <v>4118</v>
      </c>
      <c r="K5548" s="29"/>
      <c r="L5548" s="29" t="s">
        <v>1546</v>
      </c>
      <c r="M5548" s="29"/>
      <c r="N5548" s="29" t="s">
        <v>538</v>
      </c>
      <c r="O5548" s="29"/>
      <c r="P5548" s="29" t="s">
        <v>291</v>
      </c>
      <c r="Q5548" t="s">
        <v>2041</v>
      </c>
      <c r="R5548" t="s">
        <v>2634</v>
      </c>
      <c r="S5548">
        <v>35</v>
      </c>
      <c r="T5548" s="43" t="str">
        <f t="shared" si="260"/>
        <v>2019.012D.zip</v>
      </c>
      <c r="U5548" s="43" t="str">
        <f>HYPERLINK("https://ictv.global/taxonomy/taxondetails?taxnode_id=202203534","ictv.global=202203534")</f>
        <v>ictv.global=202203534</v>
      </c>
    </row>
    <row r="5549" spans="1:21">
      <c r="A5549">
        <v>5548</v>
      </c>
      <c r="B5549" s="29" t="s">
        <v>4053</v>
      </c>
      <c r="C5549" s="29"/>
      <c r="D5549" s="29" t="s">
        <v>4082</v>
      </c>
      <c r="E5549" s="29"/>
      <c r="F5549" s="29" t="s">
        <v>4106</v>
      </c>
      <c r="G5549" s="29"/>
      <c r="H5549" s="29" t="s">
        <v>4117</v>
      </c>
      <c r="I5549" s="29"/>
      <c r="J5549" s="29" t="s">
        <v>4118</v>
      </c>
      <c r="K5549" s="29"/>
      <c r="L5549" s="29" t="s">
        <v>1546</v>
      </c>
      <c r="M5549" s="29"/>
      <c r="N5549" s="29" t="s">
        <v>538</v>
      </c>
      <c r="O5549" s="29"/>
      <c r="P5549" s="29" t="s">
        <v>292</v>
      </c>
      <c r="Q5549" t="s">
        <v>2041</v>
      </c>
      <c r="R5549" t="s">
        <v>2634</v>
      </c>
      <c r="S5549">
        <v>35</v>
      </c>
      <c r="T5549" s="43" t="str">
        <f t="shared" si="260"/>
        <v>2019.012D.zip</v>
      </c>
      <c r="U5549" s="43" t="str">
        <f>HYPERLINK("https://ictv.global/taxonomy/taxondetails?taxnode_id=202203535","ictv.global=202203535")</f>
        <v>ictv.global=202203535</v>
      </c>
    </row>
    <row r="5550" spans="1:21">
      <c r="A5550">
        <v>5549</v>
      </c>
      <c r="B5550" s="29" t="s">
        <v>4053</v>
      </c>
      <c r="C5550" s="29"/>
      <c r="D5550" s="29" t="s">
        <v>4082</v>
      </c>
      <c r="E5550" s="29"/>
      <c r="F5550" s="29" t="s">
        <v>4106</v>
      </c>
      <c r="G5550" s="29"/>
      <c r="H5550" s="29" t="s">
        <v>4117</v>
      </c>
      <c r="I5550" s="29"/>
      <c r="J5550" s="29" t="s">
        <v>4118</v>
      </c>
      <c r="K5550" s="29"/>
      <c r="L5550" s="29" t="s">
        <v>1546</v>
      </c>
      <c r="M5550" s="29"/>
      <c r="N5550" s="29" t="s">
        <v>538</v>
      </c>
      <c r="O5550" s="29"/>
      <c r="P5550" s="29" t="s">
        <v>293</v>
      </c>
      <c r="Q5550" t="s">
        <v>2041</v>
      </c>
      <c r="R5550" t="s">
        <v>2634</v>
      </c>
      <c r="S5550">
        <v>35</v>
      </c>
      <c r="T5550" s="43" t="str">
        <f t="shared" si="260"/>
        <v>2019.012D.zip</v>
      </c>
      <c r="U5550" s="43" t="str">
        <f>HYPERLINK("https://ictv.global/taxonomy/taxondetails?taxnode_id=202203536","ictv.global=202203536")</f>
        <v>ictv.global=202203536</v>
      </c>
    </row>
    <row r="5551" spans="1:21">
      <c r="A5551">
        <v>5550</v>
      </c>
      <c r="B5551" s="29" t="s">
        <v>4053</v>
      </c>
      <c r="C5551" s="29"/>
      <c r="D5551" s="29" t="s">
        <v>4082</v>
      </c>
      <c r="E5551" s="29"/>
      <c r="F5551" s="29" t="s">
        <v>4106</v>
      </c>
      <c r="G5551" s="29"/>
      <c r="H5551" s="29" t="s">
        <v>4117</v>
      </c>
      <c r="I5551" s="29"/>
      <c r="J5551" s="29" t="s">
        <v>4118</v>
      </c>
      <c r="K5551" s="29"/>
      <c r="L5551" s="29" t="s">
        <v>1546</v>
      </c>
      <c r="M5551" s="29"/>
      <c r="N5551" s="29" t="s">
        <v>538</v>
      </c>
      <c r="O5551" s="29"/>
      <c r="P5551" s="29" t="s">
        <v>2914</v>
      </c>
      <c r="Q5551" t="s">
        <v>2041</v>
      </c>
      <c r="R5551" t="s">
        <v>2634</v>
      </c>
      <c r="S5551">
        <v>35</v>
      </c>
      <c r="T5551" s="43" t="str">
        <f t="shared" si="260"/>
        <v>2019.012D.zip</v>
      </c>
      <c r="U5551" s="43" t="str">
        <f>HYPERLINK("https://ictv.global/taxonomy/taxondetails?taxnode_id=202205856","ictv.global=202205856")</f>
        <v>ictv.global=202205856</v>
      </c>
    </row>
    <row r="5552" spans="1:21">
      <c r="A5552">
        <v>5551</v>
      </c>
      <c r="B5552" s="29" t="s">
        <v>4053</v>
      </c>
      <c r="C5552" s="29"/>
      <c r="D5552" s="29" t="s">
        <v>4082</v>
      </c>
      <c r="E5552" s="29"/>
      <c r="F5552" s="29" t="s">
        <v>4106</v>
      </c>
      <c r="G5552" s="29"/>
      <c r="H5552" s="29" t="s">
        <v>4117</v>
      </c>
      <c r="I5552" s="29"/>
      <c r="J5552" s="29" t="s">
        <v>4118</v>
      </c>
      <c r="K5552" s="29"/>
      <c r="L5552" s="29" t="s">
        <v>1546</v>
      </c>
      <c r="M5552" s="29"/>
      <c r="N5552" s="29" t="s">
        <v>538</v>
      </c>
      <c r="O5552" s="29"/>
      <c r="P5552" s="29" t="s">
        <v>2258</v>
      </c>
      <c r="Q5552" t="s">
        <v>2041</v>
      </c>
      <c r="R5552" t="s">
        <v>2634</v>
      </c>
      <c r="S5552">
        <v>35</v>
      </c>
      <c r="T5552" s="43" t="str">
        <f t="shared" si="260"/>
        <v>2019.012D.zip</v>
      </c>
      <c r="U5552" s="43" t="str">
        <f>HYPERLINK("https://ictv.global/taxonomy/taxondetails?taxnode_id=202203537","ictv.global=202203537")</f>
        <v>ictv.global=202203537</v>
      </c>
    </row>
    <row r="5553" spans="1:21">
      <c r="A5553">
        <v>5552</v>
      </c>
      <c r="B5553" s="29" t="s">
        <v>4053</v>
      </c>
      <c r="C5553" s="29"/>
      <c r="D5553" s="29" t="s">
        <v>4082</v>
      </c>
      <c r="E5553" s="29"/>
      <c r="F5553" s="29" t="s">
        <v>4106</v>
      </c>
      <c r="G5553" s="29"/>
      <c r="H5553" s="29" t="s">
        <v>4117</v>
      </c>
      <c r="I5553" s="29"/>
      <c r="J5553" s="29" t="s">
        <v>4118</v>
      </c>
      <c r="K5553" s="29"/>
      <c r="L5553" s="29" t="s">
        <v>1546</v>
      </c>
      <c r="M5553" s="29"/>
      <c r="N5553" s="29" t="s">
        <v>538</v>
      </c>
      <c r="O5553" s="29"/>
      <c r="P5553" s="29" t="s">
        <v>2915</v>
      </c>
      <c r="Q5553" t="s">
        <v>2041</v>
      </c>
      <c r="R5553" t="s">
        <v>2634</v>
      </c>
      <c r="S5553">
        <v>35</v>
      </c>
      <c r="T5553" s="43" t="str">
        <f t="shared" si="260"/>
        <v>2019.012D.zip</v>
      </c>
      <c r="U5553" s="43" t="str">
        <f>HYPERLINK("https://ictv.global/taxonomy/taxondetails?taxnode_id=202205857","ictv.global=202205857")</f>
        <v>ictv.global=202205857</v>
      </c>
    </row>
    <row r="5554" spans="1:21">
      <c r="A5554">
        <v>5553</v>
      </c>
      <c r="B5554" s="29" t="s">
        <v>4053</v>
      </c>
      <c r="C5554" s="29"/>
      <c r="D5554" s="29" t="s">
        <v>4082</v>
      </c>
      <c r="E5554" s="29"/>
      <c r="F5554" s="29" t="s">
        <v>4106</v>
      </c>
      <c r="G5554" s="29"/>
      <c r="H5554" s="29" t="s">
        <v>4117</v>
      </c>
      <c r="I5554" s="29"/>
      <c r="J5554" s="29" t="s">
        <v>4118</v>
      </c>
      <c r="K5554" s="29"/>
      <c r="L5554" s="29" t="s">
        <v>1546</v>
      </c>
      <c r="M5554" s="29"/>
      <c r="N5554" s="29" t="s">
        <v>538</v>
      </c>
      <c r="O5554" s="29"/>
      <c r="P5554" s="29" t="s">
        <v>2259</v>
      </c>
      <c r="Q5554" t="s">
        <v>2041</v>
      </c>
      <c r="R5554" t="s">
        <v>2634</v>
      </c>
      <c r="S5554">
        <v>35</v>
      </c>
      <c r="T5554" s="43" t="str">
        <f t="shared" si="260"/>
        <v>2019.012D.zip</v>
      </c>
      <c r="U5554" s="43" t="str">
        <f>HYPERLINK("https://ictv.global/taxonomy/taxondetails?taxnode_id=202203538","ictv.global=202203538")</f>
        <v>ictv.global=202203538</v>
      </c>
    </row>
    <row r="5555" spans="1:21">
      <c r="A5555">
        <v>5554</v>
      </c>
      <c r="B5555" s="29" t="s">
        <v>4053</v>
      </c>
      <c r="C5555" s="29"/>
      <c r="D5555" s="29" t="s">
        <v>4082</v>
      </c>
      <c r="E5555" s="29"/>
      <c r="F5555" s="29" t="s">
        <v>4106</v>
      </c>
      <c r="G5555" s="29"/>
      <c r="H5555" s="29" t="s">
        <v>4117</v>
      </c>
      <c r="I5555" s="29"/>
      <c r="J5555" s="29" t="s">
        <v>4118</v>
      </c>
      <c r="K5555" s="29"/>
      <c r="L5555" s="29" t="s">
        <v>1546</v>
      </c>
      <c r="M5555" s="29"/>
      <c r="N5555" s="29" t="s">
        <v>538</v>
      </c>
      <c r="O5555" s="29"/>
      <c r="P5555" s="29" t="s">
        <v>294</v>
      </c>
      <c r="Q5555" t="s">
        <v>2041</v>
      </c>
      <c r="R5555" t="s">
        <v>2634</v>
      </c>
      <c r="S5555">
        <v>35</v>
      </c>
      <c r="T5555" s="43" t="str">
        <f t="shared" si="260"/>
        <v>2019.012D.zip</v>
      </c>
      <c r="U5555" s="43" t="str">
        <f>HYPERLINK("https://ictv.global/taxonomy/taxondetails?taxnode_id=202203539","ictv.global=202203539")</f>
        <v>ictv.global=202203539</v>
      </c>
    </row>
    <row r="5556" spans="1:21">
      <c r="A5556">
        <v>5555</v>
      </c>
      <c r="B5556" s="29" t="s">
        <v>4053</v>
      </c>
      <c r="C5556" s="29"/>
      <c r="D5556" s="29" t="s">
        <v>4082</v>
      </c>
      <c r="E5556" s="29"/>
      <c r="F5556" s="29" t="s">
        <v>4106</v>
      </c>
      <c r="G5556" s="29"/>
      <c r="H5556" s="29" t="s">
        <v>4117</v>
      </c>
      <c r="I5556" s="29"/>
      <c r="J5556" s="29" t="s">
        <v>4118</v>
      </c>
      <c r="K5556" s="29"/>
      <c r="L5556" s="29" t="s">
        <v>1546</v>
      </c>
      <c r="M5556" s="29"/>
      <c r="N5556" s="29" t="s">
        <v>538</v>
      </c>
      <c r="O5556" s="29"/>
      <c r="P5556" s="29" t="s">
        <v>468</v>
      </c>
      <c r="Q5556" t="s">
        <v>2041</v>
      </c>
      <c r="R5556" t="s">
        <v>2634</v>
      </c>
      <c r="S5556">
        <v>35</v>
      </c>
      <c r="T5556" s="43" t="str">
        <f t="shared" si="260"/>
        <v>2019.012D.zip</v>
      </c>
      <c r="U5556" s="43" t="str">
        <f>HYPERLINK("https://ictv.global/taxonomy/taxondetails?taxnode_id=202203540","ictv.global=202203540")</f>
        <v>ictv.global=202203540</v>
      </c>
    </row>
    <row r="5557" spans="1:21">
      <c r="A5557">
        <v>5556</v>
      </c>
      <c r="B5557" s="29" t="s">
        <v>4053</v>
      </c>
      <c r="C5557" s="29"/>
      <c r="D5557" s="29" t="s">
        <v>4082</v>
      </c>
      <c r="E5557" s="29"/>
      <c r="F5557" s="29" t="s">
        <v>4106</v>
      </c>
      <c r="G5557" s="29"/>
      <c r="H5557" s="29" t="s">
        <v>4117</v>
      </c>
      <c r="I5557" s="29"/>
      <c r="J5557" s="29" t="s">
        <v>4118</v>
      </c>
      <c r="K5557" s="29"/>
      <c r="L5557" s="29" t="s">
        <v>1546</v>
      </c>
      <c r="M5557" s="29"/>
      <c r="N5557" s="29" t="s">
        <v>538</v>
      </c>
      <c r="O5557" s="29"/>
      <c r="P5557" s="29" t="s">
        <v>1684</v>
      </c>
      <c r="Q5557" t="s">
        <v>2041</v>
      </c>
      <c r="R5557" t="s">
        <v>2634</v>
      </c>
      <c r="S5557">
        <v>35</v>
      </c>
      <c r="T5557" s="43" t="str">
        <f t="shared" si="260"/>
        <v>2019.012D.zip</v>
      </c>
      <c r="U5557" s="43" t="str">
        <f>HYPERLINK("https://ictv.global/taxonomy/taxondetails?taxnode_id=202203541","ictv.global=202203541")</f>
        <v>ictv.global=202203541</v>
      </c>
    </row>
    <row r="5558" spans="1:21">
      <c r="A5558">
        <v>5557</v>
      </c>
      <c r="B5558" s="29" t="s">
        <v>4053</v>
      </c>
      <c r="C5558" s="29"/>
      <c r="D5558" s="29" t="s">
        <v>4082</v>
      </c>
      <c r="E5558" s="29"/>
      <c r="F5558" s="29" t="s">
        <v>4106</v>
      </c>
      <c r="G5558" s="29"/>
      <c r="H5558" s="29" t="s">
        <v>4117</v>
      </c>
      <c r="I5558" s="29"/>
      <c r="J5558" s="29" t="s">
        <v>4118</v>
      </c>
      <c r="K5558" s="29"/>
      <c r="L5558" s="29" t="s">
        <v>1546</v>
      </c>
      <c r="M5558" s="29"/>
      <c r="N5558" s="29" t="s">
        <v>538</v>
      </c>
      <c r="O5558" s="29"/>
      <c r="P5558" s="29" t="s">
        <v>295</v>
      </c>
      <c r="Q5558" t="s">
        <v>2041</v>
      </c>
      <c r="R5558" t="s">
        <v>2634</v>
      </c>
      <c r="S5558">
        <v>35</v>
      </c>
      <c r="T5558" s="43" t="str">
        <f t="shared" si="260"/>
        <v>2019.012D.zip</v>
      </c>
      <c r="U5558" s="43" t="str">
        <f>HYPERLINK("https://ictv.global/taxonomy/taxondetails?taxnode_id=202203542","ictv.global=202203542")</f>
        <v>ictv.global=202203542</v>
      </c>
    </row>
    <row r="5559" spans="1:21">
      <c r="A5559">
        <v>5558</v>
      </c>
      <c r="B5559" s="29" t="s">
        <v>4053</v>
      </c>
      <c r="C5559" s="29"/>
      <c r="D5559" s="29" t="s">
        <v>4082</v>
      </c>
      <c r="E5559" s="29"/>
      <c r="F5559" s="29" t="s">
        <v>4106</v>
      </c>
      <c r="G5559" s="29"/>
      <c r="H5559" s="29" t="s">
        <v>4117</v>
      </c>
      <c r="I5559" s="29"/>
      <c r="J5559" s="29" t="s">
        <v>4118</v>
      </c>
      <c r="K5559" s="29"/>
      <c r="L5559" s="29" t="s">
        <v>1546</v>
      </c>
      <c r="M5559" s="29"/>
      <c r="N5559" s="29" t="s">
        <v>4941</v>
      </c>
      <c r="O5559" s="29"/>
      <c r="P5559" s="29" t="s">
        <v>4942</v>
      </c>
      <c r="Q5559" t="s">
        <v>2265</v>
      </c>
      <c r="R5559" t="s">
        <v>2632</v>
      </c>
      <c r="S5559">
        <v>36</v>
      </c>
      <c r="T5559" s="43" t="str">
        <f>HYPERLINK("https://ictv.global/ictv/proposals/2020.008P.R.Geminiviridae_5ng_11nsp.zip","2020.008P.R.Geminiviridae_5ng_11nsp.zip")</f>
        <v>2020.008P.R.Geminiviridae_5ng_11nsp.zip</v>
      </c>
      <c r="U5559" s="43" t="str">
        <f>HYPERLINK("https://ictv.global/taxonomy/taxondetails?taxnode_id=202209181","ictv.global=202209181")</f>
        <v>ictv.global=202209181</v>
      </c>
    </row>
    <row r="5560" spans="1:21">
      <c r="A5560">
        <v>5559</v>
      </c>
      <c r="B5560" s="29" t="s">
        <v>4053</v>
      </c>
      <c r="C5560" s="29"/>
      <c r="D5560" s="29" t="s">
        <v>4082</v>
      </c>
      <c r="E5560" s="29"/>
      <c r="F5560" s="29" t="s">
        <v>4106</v>
      </c>
      <c r="G5560" s="29"/>
      <c r="H5560" s="29" t="s">
        <v>4117</v>
      </c>
      <c r="I5560" s="29"/>
      <c r="J5560" s="29" t="s">
        <v>4118</v>
      </c>
      <c r="K5560" s="29"/>
      <c r="L5560" s="29" t="s">
        <v>1546</v>
      </c>
      <c r="M5560" s="29"/>
      <c r="N5560" s="29" t="s">
        <v>4941</v>
      </c>
      <c r="O5560" s="29"/>
      <c r="P5560" s="29" t="s">
        <v>4943</v>
      </c>
      <c r="Q5560" t="s">
        <v>2265</v>
      </c>
      <c r="R5560" t="s">
        <v>2632</v>
      </c>
      <c r="S5560">
        <v>36</v>
      </c>
      <c r="T5560" s="43" t="str">
        <f>HYPERLINK("https://ictv.global/ictv/proposals/2020.027P.R.Geminiviridae_2nsp.zip","2020.027P.R.Geminiviridae_2nsp.zip")</f>
        <v>2020.027P.R.Geminiviridae_2nsp.zip</v>
      </c>
      <c r="U5560" s="43" t="str">
        <f>HYPERLINK("https://ictv.global/taxonomy/taxondetails?taxnode_id=202209791","ictv.global=202209791")</f>
        <v>ictv.global=202209791</v>
      </c>
    </row>
    <row r="5561" spans="1:21">
      <c r="A5561">
        <v>5560</v>
      </c>
      <c r="B5561" s="29" t="s">
        <v>4053</v>
      </c>
      <c r="C5561" s="29"/>
      <c r="D5561" s="29" t="s">
        <v>4082</v>
      </c>
      <c r="E5561" s="29"/>
      <c r="F5561" s="29" t="s">
        <v>4106</v>
      </c>
      <c r="G5561" s="29"/>
      <c r="H5561" s="29" t="s">
        <v>4117</v>
      </c>
      <c r="I5561" s="29"/>
      <c r="J5561" s="29" t="s">
        <v>4118</v>
      </c>
      <c r="K5561" s="29"/>
      <c r="L5561" s="29" t="s">
        <v>1546</v>
      </c>
      <c r="M5561" s="29"/>
      <c r="N5561" s="29" t="s">
        <v>4944</v>
      </c>
      <c r="O5561" s="29"/>
      <c r="P5561" s="29" t="s">
        <v>4945</v>
      </c>
      <c r="Q5561" t="s">
        <v>2265</v>
      </c>
      <c r="R5561" t="s">
        <v>2632</v>
      </c>
      <c r="S5561">
        <v>36</v>
      </c>
      <c r="T5561" s="43" t="str">
        <f>HYPERLINK("https://ictv.global/ictv/proposals/2020.008P.R.Geminiviridae_5ng_11nsp.zip","2020.008P.R.Geminiviridae_5ng_11nsp.zip")</f>
        <v>2020.008P.R.Geminiviridae_5ng_11nsp.zip</v>
      </c>
      <c r="U5561" s="43" t="str">
        <f>HYPERLINK("https://ictv.global/taxonomy/taxondetails?taxnode_id=202209173","ictv.global=202209173")</f>
        <v>ictv.global=202209173</v>
      </c>
    </row>
    <row r="5562" spans="1:21">
      <c r="A5562">
        <v>5561</v>
      </c>
      <c r="B5562" s="29" t="s">
        <v>4053</v>
      </c>
      <c r="C5562" s="29"/>
      <c r="D5562" s="29" t="s">
        <v>4082</v>
      </c>
      <c r="E5562" s="29"/>
      <c r="F5562" s="29" t="s">
        <v>4106</v>
      </c>
      <c r="G5562" s="29"/>
      <c r="H5562" s="29" t="s">
        <v>4117</v>
      </c>
      <c r="I5562" s="29"/>
      <c r="J5562" s="29" t="s">
        <v>4118</v>
      </c>
      <c r="K5562" s="29"/>
      <c r="L5562" s="29" t="s">
        <v>1546</v>
      </c>
      <c r="M5562" s="29"/>
      <c r="N5562" s="29" t="s">
        <v>4946</v>
      </c>
      <c r="O5562" s="29"/>
      <c r="P5562" s="29" t="s">
        <v>4947</v>
      </c>
      <c r="Q5562" t="s">
        <v>2265</v>
      </c>
      <c r="R5562" t="s">
        <v>2632</v>
      </c>
      <c r="S5562">
        <v>36</v>
      </c>
      <c r="T5562" s="43" t="str">
        <f>HYPERLINK("https://ictv.global/ictv/proposals/2020.008P.R.Geminiviridae_5ng_11nsp.zip","2020.008P.R.Geminiviridae_5ng_11nsp.zip")</f>
        <v>2020.008P.R.Geminiviridae_5ng_11nsp.zip</v>
      </c>
      <c r="U5562" s="43" t="str">
        <f>HYPERLINK("https://ictv.global/taxonomy/taxondetails?taxnode_id=202209178","ictv.global=202209178")</f>
        <v>ictv.global=202209178</v>
      </c>
    </row>
    <row r="5563" spans="1:21">
      <c r="A5563">
        <v>5562</v>
      </c>
      <c r="B5563" s="29" t="s">
        <v>4053</v>
      </c>
      <c r="C5563" s="29"/>
      <c r="D5563" s="29" t="s">
        <v>4082</v>
      </c>
      <c r="E5563" s="29"/>
      <c r="F5563" s="29" t="s">
        <v>4106</v>
      </c>
      <c r="G5563" s="29"/>
      <c r="H5563" s="29" t="s">
        <v>4117</v>
      </c>
      <c r="I5563" s="29"/>
      <c r="J5563" s="29" t="s">
        <v>4118</v>
      </c>
      <c r="K5563" s="29"/>
      <c r="L5563" s="29" t="s">
        <v>1546</v>
      </c>
      <c r="M5563" s="29"/>
      <c r="N5563" s="29" t="s">
        <v>4946</v>
      </c>
      <c r="O5563" s="29"/>
      <c r="P5563" s="29" t="s">
        <v>4948</v>
      </c>
      <c r="Q5563" t="s">
        <v>2265</v>
      </c>
      <c r="R5563" t="s">
        <v>2632</v>
      </c>
      <c r="S5563">
        <v>36</v>
      </c>
      <c r="T5563" s="43" t="str">
        <f>HYPERLINK("https://ictv.global/ictv/proposals/2020.008P.R.Geminiviridae_5ng_11nsp.zip","2020.008P.R.Geminiviridae_5ng_11nsp.zip")</f>
        <v>2020.008P.R.Geminiviridae_5ng_11nsp.zip</v>
      </c>
      <c r="U5563" s="43" t="str">
        <f>HYPERLINK("https://ictv.global/taxonomy/taxondetails?taxnode_id=202209179","ictv.global=202209179")</f>
        <v>ictv.global=202209179</v>
      </c>
    </row>
    <row r="5564" spans="1:21">
      <c r="A5564">
        <v>5563</v>
      </c>
      <c r="B5564" s="29" t="s">
        <v>4053</v>
      </c>
      <c r="C5564" s="29"/>
      <c r="D5564" s="29" t="s">
        <v>4082</v>
      </c>
      <c r="E5564" s="29"/>
      <c r="F5564" s="29" t="s">
        <v>4106</v>
      </c>
      <c r="G5564" s="29"/>
      <c r="H5564" s="29" t="s">
        <v>4117</v>
      </c>
      <c r="I5564" s="29"/>
      <c r="J5564" s="29" t="s">
        <v>4118</v>
      </c>
      <c r="K5564" s="29"/>
      <c r="L5564" s="29" t="s">
        <v>1546</v>
      </c>
      <c r="M5564" s="29"/>
      <c r="N5564" s="29" t="s">
        <v>296</v>
      </c>
      <c r="O5564" s="29"/>
      <c r="P5564" s="29" t="s">
        <v>297</v>
      </c>
      <c r="Q5564" t="s">
        <v>2041</v>
      </c>
      <c r="R5564" t="s">
        <v>6901</v>
      </c>
      <c r="S5564">
        <v>36</v>
      </c>
      <c r="T5564" s="43" t="str">
        <f>HYPERLINK("https://ictv.global/ictv/proposals/2020.001G.R.Abolish_type_species.pdf","2020.001G.R.Abolish_type_species.pdf")</f>
        <v>2020.001G.R.Abolish_type_species.pdf</v>
      </c>
      <c r="U5564" s="43" t="str">
        <f>HYPERLINK("https://ictv.global/taxonomy/taxondetails?taxnode_id=202203544","ictv.global=202203544")</f>
        <v>ictv.global=202203544</v>
      </c>
    </row>
    <row r="5565" spans="1:21">
      <c r="A5565">
        <v>5564</v>
      </c>
      <c r="B5565" s="29" t="s">
        <v>4053</v>
      </c>
      <c r="C5565" s="29"/>
      <c r="D5565" s="29" t="s">
        <v>4082</v>
      </c>
      <c r="E5565" s="29"/>
      <c r="F5565" s="29" t="s">
        <v>4106</v>
      </c>
      <c r="G5565" s="29"/>
      <c r="H5565" s="29" t="s">
        <v>4117</v>
      </c>
      <c r="I5565" s="29"/>
      <c r="J5565" s="29" t="s">
        <v>4118</v>
      </c>
      <c r="K5565" s="29"/>
      <c r="L5565" s="29" t="s">
        <v>1546</v>
      </c>
      <c r="M5565" s="29"/>
      <c r="N5565" s="29" t="s">
        <v>1685</v>
      </c>
      <c r="O5565" s="29"/>
      <c r="P5565" s="29" t="s">
        <v>4136</v>
      </c>
      <c r="Q5565" t="s">
        <v>2265</v>
      </c>
      <c r="R5565" t="s">
        <v>2632</v>
      </c>
      <c r="S5565">
        <v>35</v>
      </c>
      <c r="T5565" s="43" t="str">
        <f>HYPERLINK("https://ictv.global/ictv/proposals/2019.001P.zip","2019.001P.zip")</f>
        <v>2019.001P.zip</v>
      </c>
      <c r="U5565" s="43" t="str">
        <f>HYPERLINK("https://ictv.global/taxonomy/taxondetails?taxnode_id=202208673","ictv.global=202208673")</f>
        <v>ictv.global=202208673</v>
      </c>
    </row>
    <row r="5566" spans="1:21">
      <c r="A5566">
        <v>5565</v>
      </c>
      <c r="B5566" s="29" t="s">
        <v>4053</v>
      </c>
      <c r="C5566" s="29"/>
      <c r="D5566" s="29" t="s">
        <v>4082</v>
      </c>
      <c r="E5566" s="29"/>
      <c r="F5566" s="29" t="s">
        <v>4106</v>
      </c>
      <c r="G5566" s="29"/>
      <c r="H5566" s="29" t="s">
        <v>4117</v>
      </c>
      <c r="I5566" s="29"/>
      <c r="J5566" s="29" t="s">
        <v>4118</v>
      </c>
      <c r="K5566" s="29"/>
      <c r="L5566" s="29" t="s">
        <v>1546</v>
      </c>
      <c r="M5566" s="29"/>
      <c r="N5566" s="29" t="s">
        <v>1685</v>
      </c>
      <c r="O5566" s="29"/>
      <c r="P5566" s="29" t="s">
        <v>1686</v>
      </c>
      <c r="Q5566" t="s">
        <v>2041</v>
      </c>
      <c r="R5566" t="s">
        <v>6901</v>
      </c>
      <c r="S5566">
        <v>36</v>
      </c>
      <c r="T5566" s="43" t="str">
        <f>HYPERLINK("https://ictv.global/ictv/proposals/2020.001G.R.Abolish_type_species.pdf","2020.001G.R.Abolish_type_species.pdf")</f>
        <v>2020.001G.R.Abolish_type_species.pdf</v>
      </c>
      <c r="U5566" s="43" t="str">
        <f>HYPERLINK("https://ictv.global/taxonomy/taxondetails?taxnode_id=202203546","ictv.global=202203546")</f>
        <v>ictv.global=202203546</v>
      </c>
    </row>
    <row r="5567" spans="1:21">
      <c r="A5567">
        <v>5566</v>
      </c>
      <c r="B5567" s="29" t="s">
        <v>4053</v>
      </c>
      <c r="C5567" s="29"/>
      <c r="D5567" s="29" t="s">
        <v>4082</v>
      </c>
      <c r="E5567" s="29"/>
      <c r="F5567" s="29" t="s">
        <v>4106</v>
      </c>
      <c r="G5567" s="29"/>
      <c r="H5567" s="29" t="s">
        <v>4117</v>
      </c>
      <c r="I5567" s="29"/>
      <c r="J5567" s="29" t="s">
        <v>4118</v>
      </c>
      <c r="K5567" s="29"/>
      <c r="L5567" s="29" t="s">
        <v>1546</v>
      </c>
      <c r="M5567" s="29"/>
      <c r="N5567" s="29" t="s">
        <v>1685</v>
      </c>
      <c r="O5567" s="29"/>
      <c r="P5567" s="29" t="s">
        <v>2916</v>
      </c>
      <c r="Q5567" t="s">
        <v>2041</v>
      </c>
      <c r="R5567" t="s">
        <v>2634</v>
      </c>
      <c r="S5567">
        <v>35</v>
      </c>
      <c r="T5567" s="43" t="str">
        <f>HYPERLINK("https://ictv.global/ictv/proposals/2019.012D.zip","2019.012D.zip")</f>
        <v>2019.012D.zip</v>
      </c>
      <c r="U5567" s="43" t="str">
        <f>HYPERLINK("https://ictv.global/taxonomy/taxondetails?taxnode_id=202205858","ictv.global=202205858")</f>
        <v>ictv.global=202205858</v>
      </c>
    </row>
    <row r="5568" spans="1:21">
      <c r="A5568">
        <v>5567</v>
      </c>
      <c r="B5568" s="29" t="s">
        <v>4053</v>
      </c>
      <c r="C5568" s="29"/>
      <c r="D5568" s="29" t="s">
        <v>4082</v>
      </c>
      <c r="E5568" s="29"/>
      <c r="F5568" s="29" t="s">
        <v>4106</v>
      </c>
      <c r="G5568" s="29"/>
      <c r="H5568" s="29" t="s">
        <v>4117</v>
      </c>
      <c r="I5568" s="29"/>
      <c r="J5568" s="29" t="s">
        <v>4118</v>
      </c>
      <c r="K5568" s="29"/>
      <c r="L5568" s="29" t="s">
        <v>2260</v>
      </c>
      <c r="M5568" s="29"/>
      <c r="N5568" s="29" t="s">
        <v>2261</v>
      </c>
      <c r="O5568" s="29"/>
      <c r="P5568" s="29" t="s">
        <v>4949</v>
      </c>
      <c r="Q5568" t="s">
        <v>2194</v>
      </c>
      <c r="R5568" t="s">
        <v>2632</v>
      </c>
      <c r="S5568">
        <v>36</v>
      </c>
      <c r="T5568" s="43" t="str">
        <f t="shared" ref="T5568:T5599" si="261">HYPERLINK("https://ictv.global/ictv/proposals/2020.005F.R.Genomoviridae.zip","2020.005F.R.Genomoviridae.zip")</f>
        <v>2020.005F.R.Genomoviridae.zip</v>
      </c>
      <c r="U5568" s="43" t="str">
        <f>HYPERLINK("https://ictv.global/taxonomy/taxondetails?taxnode_id=202208943","ictv.global=202208943")</f>
        <v>ictv.global=202208943</v>
      </c>
    </row>
    <row r="5569" spans="1:21">
      <c r="A5569">
        <v>5568</v>
      </c>
      <c r="B5569" s="29" t="s">
        <v>4053</v>
      </c>
      <c r="C5569" s="29"/>
      <c r="D5569" s="29" t="s">
        <v>4082</v>
      </c>
      <c r="E5569" s="29"/>
      <c r="F5569" s="29" t="s">
        <v>4106</v>
      </c>
      <c r="G5569" s="29"/>
      <c r="H5569" s="29" t="s">
        <v>4117</v>
      </c>
      <c r="I5569" s="29"/>
      <c r="J5569" s="29" t="s">
        <v>4118</v>
      </c>
      <c r="K5569" s="29"/>
      <c r="L5569" s="29" t="s">
        <v>2260</v>
      </c>
      <c r="M5569" s="29"/>
      <c r="N5569" s="29" t="s">
        <v>2261</v>
      </c>
      <c r="O5569" s="29"/>
      <c r="P5569" s="29" t="s">
        <v>4950</v>
      </c>
      <c r="Q5569" t="s">
        <v>2194</v>
      </c>
      <c r="R5569" t="s">
        <v>2632</v>
      </c>
      <c r="S5569">
        <v>36</v>
      </c>
      <c r="T5569" s="43" t="str">
        <f t="shared" si="261"/>
        <v>2020.005F.R.Genomoviridae.zip</v>
      </c>
      <c r="U5569" s="43" t="str">
        <f>HYPERLINK("https://ictv.global/taxonomy/taxondetails?taxnode_id=202208968","ictv.global=202208968")</f>
        <v>ictv.global=202208968</v>
      </c>
    </row>
    <row r="5570" spans="1:21">
      <c r="A5570">
        <v>5569</v>
      </c>
      <c r="B5570" s="29" t="s">
        <v>4053</v>
      </c>
      <c r="C5570" s="29"/>
      <c r="D5570" s="29" t="s">
        <v>4082</v>
      </c>
      <c r="E5570" s="29"/>
      <c r="F5570" s="29" t="s">
        <v>4106</v>
      </c>
      <c r="G5570" s="29"/>
      <c r="H5570" s="29" t="s">
        <v>4117</v>
      </c>
      <c r="I5570" s="29"/>
      <c r="J5570" s="29" t="s">
        <v>4118</v>
      </c>
      <c r="K5570" s="29"/>
      <c r="L5570" s="29" t="s">
        <v>2260</v>
      </c>
      <c r="M5570" s="29"/>
      <c r="N5570" s="29" t="s">
        <v>2261</v>
      </c>
      <c r="O5570" s="29"/>
      <c r="P5570" s="29" t="s">
        <v>4951</v>
      </c>
      <c r="Q5570" t="s">
        <v>2194</v>
      </c>
      <c r="R5570" t="s">
        <v>2632</v>
      </c>
      <c r="S5570">
        <v>36</v>
      </c>
      <c r="T5570" s="43" t="str">
        <f t="shared" si="261"/>
        <v>2020.005F.R.Genomoviridae.zip</v>
      </c>
      <c r="U5570" s="43" t="str">
        <f>HYPERLINK("https://ictv.global/taxonomy/taxondetails?taxnode_id=202208937","ictv.global=202208937")</f>
        <v>ictv.global=202208937</v>
      </c>
    </row>
    <row r="5571" spans="1:21">
      <c r="A5571">
        <v>5570</v>
      </c>
      <c r="B5571" s="29" t="s">
        <v>4053</v>
      </c>
      <c r="C5571" s="29"/>
      <c r="D5571" s="29" t="s">
        <v>4082</v>
      </c>
      <c r="E5571" s="29"/>
      <c r="F5571" s="29" t="s">
        <v>4106</v>
      </c>
      <c r="G5571" s="29"/>
      <c r="H5571" s="29" t="s">
        <v>4117</v>
      </c>
      <c r="I5571" s="29"/>
      <c r="J5571" s="29" t="s">
        <v>4118</v>
      </c>
      <c r="K5571" s="29"/>
      <c r="L5571" s="29" t="s">
        <v>2260</v>
      </c>
      <c r="M5571" s="29"/>
      <c r="N5571" s="29" t="s">
        <v>2261</v>
      </c>
      <c r="O5571" s="29"/>
      <c r="P5571" s="29" t="s">
        <v>4952</v>
      </c>
      <c r="Q5571" t="s">
        <v>2194</v>
      </c>
      <c r="R5571" t="s">
        <v>2632</v>
      </c>
      <c r="S5571">
        <v>36</v>
      </c>
      <c r="T5571" s="43" t="str">
        <f t="shared" si="261"/>
        <v>2020.005F.R.Genomoviridae.zip</v>
      </c>
      <c r="U5571" s="43" t="str">
        <f>HYPERLINK("https://ictv.global/taxonomy/taxondetails?taxnode_id=202208994","ictv.global=202208994")</f>
        <v>ictv.global=202208994</v>
      </c>
    </row>
    <row r="5572" spans="1:21">
      <c r="A5572">
        <v>5571</v>
      </c>
      <c r="B5572" s="29" t="s">
        <v>4053</v>
      </c>
      <c r="C5572" s="29"/>
      <c r="D5572" s="29" t="s">
        <v>4082</v>
      </c>
      <c r="E5572" s="29"/>
      <c r="F5572" s="29" t="s">
        <v>4106</v>
      </c>
      <c r="G5572" s="29"/>
      <c r="H5572" s="29" t="s">
        <v>4117</v>
      </c>
      <c r="I5572" s="29"/>
      <c r="J5572" s="29" t="s">
        <v>4118</v>
      </c>
      <c r="K5572" s="29"/>
      <c r="L5572" s="29" t="s">
        <v>2260</v>
      </c>
      <c r="M5572" s="29"/>
      <c r="N5572" s="29" t="s">
        <v>2261</v>
      </c>
      <c r="O5572" s="29"/>
      <c r="P5572" s="29" t="s">
        <v>4953</v>
      </c>
      <c r="Q5572" t="s">
        <v>2194</v>
      </c>
      <c r="R5572" t="s">
        <v>2632</v>
      </c>
      <c r="S5572">
        <v>36</v>
      </c>
      <c r="T5572" s="43" t="str">
        <f t="shared" si="261"/>
        <v>2020.005F.R.Genomoviridae.zip</v>
      </c>
      <c r="U5572" s="43" t="str">
        <f>HYPERLINK("https://ictv.global/taxonomy/taxondetails?taxnode_id=202208938","ictv.global=202208938")</f>
        <v>ictv.global=202208938</v>
      </c>
    </row>
    <row r="5573" spans="1:21">
      <c r="A5573">
        <v>5572</v>
      </c>
      <c r="B5573" s="29" t="s">
        <v>4053</v>
      </c>
      <c r="C5573" s="29"/>
      <c r="D5573" s="29" t="s">
        <v>4082</v>
      </c>
      <c r="E5573" s="29"/>
      <c r="F5573" s="29" t="s">
        <v>4106</v>
      </c>
      <c r="G5573" s="29"/>
      <c r="H5573" s="29" t="s">
        <v>4117</v>
      </c>
      <c r="I5573" s="29"/>
      <c r="J5573" s="29" t="s">
        <v>4118</v>
      </c>
      <c r="K5573" s="29"/>
      <c r="L5573" s="29" t="s">
        <v>2260</v>
      </c>
      <c r="M5573" s="29"/>
      <c r="N5573" s="29" t="s">
        <v>2261</v>
      </c>
      <c r="O5573" s="29"/>
      <c r="P5573" s="29" t="s">
        <v>4954</v>
      </c>
      <c r="Q5573" t="s">
        <v>2194</v>
      </c>
      <c r="R5573" t="s">
        <v>2632</v>
      </c>
      <c r="S5573">
        <v>36</v>
      </c>
      <c r="T5573" s="43" t="str">
        <f t="shared" si="261"/>
        <v>2020.005F.R.Genomoviridae.zip</v>
      </c>
      <c r="U5573" s="43" t="str">
        <f>HYPERLINK("https://ictv.global/taxonomy/taxondetails?taxnode_id=202208960","ictv.global=202208960")</f>
        <v>ictv.global=202208960</v>
      </c>
    </row>
    <row r="5574" spans="1:21">
      <c r="A5574">
        <v>5573</v>
      </c>
      <c r="B5574" s="29" t="s">
        <v>4053</v>
      </c>
      <c r="C5574" s="29"/>
      <c r="D5574" s="29" t="s">
        <v>4082</v>
      </c>
      <c r="E5574" s="29"/>
      <c r="F5574" s="29" t="s">
        <v>4106</v>
      </c>
      <c r="G5574" s="29"/>
      <c r="H5574" s="29" t="s">
        <v>4117</v>
      </c>
      <c r="I5574" s="29"/>
      <c r="J5574" s="29" t="s">
        <v>4118</v>
      </c>
      <c r="K5574" s="29"/>
      <c r="L5574" s="29" t="s">
        <v>2260</v>
      </c>
      <c r="M5574" s="29"/>
      <c r="N5574" s="29" t="s">
        <v>2261</v>
      </c>
      <c r="O5574" s="29"/>
      <c r="P5574" s="29" t="s">
        <v>4955</v>
      </c>
      <c r="Q5574" t="s">
        <v>2194</v>
      </c>
      <c r="R5574" t="s">
        <v>2632</v>
      </c>
      <c r="S5574">
        <v>36</v>
      </c>
      <c r="T5574" s="43" t="str">
        <f t="shared" si="261"/>
        <v>2020.005F.R.Genomoviridae.zip</v>
      </c>
      <c r="U5574" s="43" t="str">
        <f>HYPERLINK("https://ictv.global/taxonomy/taxondetails?taxnode_id=202208961","ictv.global=202208961")</f>
        <v>ictv.global=202208961</v>
      </c>
    </row>
    <row r="5575" spans="1:21">
      <c r="A5575">
        <v>5574</v>
      </c>
      <c r="B5575" s="29" t="s">
        <v>4053</v>
      </c>
      <c r="C5575" s="29"/>
      <c r="D5575" s="29" t="s">
        <v>4082</v>
      </c>
      <c r="E5575" s="29"/>
      <c r="F5575" s="29" t="s">
        <v>4106</v>
      </c>
      <c r="G5575" s="29"/>
      <c r="H5575" s="29" t="s">
        <v>4117</v>
      </c>
      <c r="I5575" s="29"/>
      <c r="J5575" s="29" t="s">
        <v>4118</v>
      </c>
      <c r="K5575" s="29"/>
      <c r="L5575" s="29" t="s">
        <v>2260</v>
      </c>
      <c r="M5575" s="29"/>
      <c r="N5575" s="29" t="s">
        <v>2261</v>
      </c>
      <c r="O5575" s="29"/>
      <c r="P5575" s="29" t="s">
        <v>4956</v>
      </c>
      <c r="Q5575" t="s">
        <v>2194</v>
      </c>
      <c r="R5575" t="s">
        <v>2632</v>
      </c>
      <c r="S5575">
        <v>36</v>
      </c>
      <c r="T5575" s="43" t="str">
        <f t="shared" si="261"/>
        <v>2020.005F.R.Genomoviridae.zip</v>
      </c>
      <c r="U5575" s="43" t="str">
        <f>HYPERLINK("https://ictv.global/taxonomy/taxondetails?taxnode_id=202208999","ictv.global=202208999")</f>
        <v>ictv.global=202208999</v>
      </c>
    </row>
    <row r="5576" spans="1:21">
      <c r="A5576">
        <v>5575</v>
      </c>
      <c r="B5576" s="29" t="s">
        <v>4053</v>
      </c>
      <c r="C5576" s="29"/>
      <c r="D5576" s="29" t="s">
        <v>4082</v>
      </c>
      <c r="E5576" s="29"/>
      <c r="F5576" s="29" t="s">
        <v>4106</v>
      </c>
      <c r="G5576" s="29"/>
      <c r="H5576" s="29" t="s">
        <v>4117</v>
      </c>
      <c r="I5576" s="29"/>
      <c r="J5576" s="29" t="s">
        <v>4118</v>
      </c>
      <c r="K5576" s="29"/>
      <c r="L5576" s="29" t="s">
        <v>2260</v>
      </c>
      <c r="M5576" s="29"/>
      <c r="N5576" s="29" t="s">
        <v>2261</v>
      </c>
      <c r="O5576" s="29"/>
      <c r="P5576" s="29" t="s">
        <v>4957</v>
      </c>
      <c r="Q5576" t="s">
        <v>2194</v>
      </c>
      <c r="R5576" t="s">
        <v>2632</v>
      </c>
      <c r="S5576">
        <v>36</v>
      </c>
      <c r="T5576" s="43" t="str">
        <f t="shared" si="261"/>
        <v>2020.005F.R.Genomoviridae.zip</v>
      </c>
      <c r="U5576" s="43" t="str">
        <f>HYPERLINK("https://ictv.global/taxonomy/taxondetails?taxnode_id=202208987","ictv.global=202208987")</f>
        <v>ictv.global=202208987</v>
      </c>
    </row>
    <row r="5577" spans="1:21">
      <c r="A5577">
        <v>5576</v>
      </c>
      <c r="B5577" s="29" t="s">
        <v>4053</v>
      </c>
      <c r="C5577" s="29"/>
      <c r="D5577" s="29" t="s">
        <v>4082</v>
      </c>
      <c r="E5577" s="29"/>
      <c r="F5577" s="29" t="s">
        <v>4106</v>
      </c>
      <c r="G5577" s="29"/>
      <c r="H5577" s="29" t="s">
        <v>4117</v>
      </c>
      <c r="I5577" s="29"/>
      <c r="J5577" s="29" t="s">
        <v>4118</v>
      </c>
      <c r="K5577" s="29"/>
      <c r="L5577" s="29" t="s">
        <v>2260</v>
      </c>
      <c r="M5577" s="29"/>
      <c r="N5577" s="29" t="s">
        <v>2261</v>
      </c>
      <c r="O5577" s="29"/>
      <c r="P5577" s="29" t="s">
        <v>4958</v>
      </c>
      <c r="Q5577" t="s">
        <v>2194</v>
      </c>
      <c r="R5577" t="s">
        <v>2632</v>
      </c>
      <c r="S5577">
        <v>36</v>
      </c>
      <c r="T5577" s="43" t="str">
        <f t="shared" si="261"/>
        <v>2020.005F.R.Genomoviridae.zip</v>
      </c>
      <c r="U5577" s="43" t="str">
        <f>HYPERLINK("https://ictv.global/taxonomy/taxondetails?taxnode_id=202209011","ictv.global=202209011")</f>
        <v>ictv.global=202209011</v>
      </c>
    </row>
    <row r="5578" spans="1:21">
      <c r="A5578">
        <v>5577</v>
      </c>
      <c r="B5578" s="29" t="s">
        <v>4053</v>
      </c>
      <c r="C5578" s="29"/>
      <c r="D5578" s="29" t="s">
        <v>4082</v>
      </c>
      <c r="E5578" s="29"/>
      <c r="F5578" s="29" t="s">
        <v>4106</v>
      </c>
      <c r="G5578" s="29"/>
      <c r="H5578" s="29" t="s">
        <v>4117</v>
      </c>
      <c r="I5578" s="29"/>
      <c r="J5578" s="29" t="s">
        <v>4118</v>
      </c>
      <c r="K5578" s="29"/>
      <c r="L5578" s="29" t="s">
        <v>2260</v>
      </c>
      <c r="M5578" s="29"/>
      <c r="N5578" s="29" t="s">
        <v>2261</v>
      </c>
      <c r="O5578" s="29"/>
      <c r="P5578" s="29" t="s">
        <v>4959</v>
      </c>
      <c r="Q5578" t="s">
        <v>2194</v>
      </c>
      <c r="R5578" t="s">
        <v>2632</v>
      </c>
      <c r="S5578">
        <v>36</v>
      </c>
      <c r="T5578" s="43" t="str">
        <f t="shared" si="261"/>
        <v>2020.005F.R.Genomoviridae.zip</v>
      </c>
      <c r="U5578" s="43" t="str">
        <f>HYPERLINK("https://ictv.global/taxonomy/taxondetails?taxnode_id=202208942","ictv.global=202208942")</f>
        <v>ictv.global=202208942</v>
      </c>
    </row>
    <row r="5579" spans="1:21">
      <c r="A5579">
        <v>5578</v>
      </c>
      <c r="B5579" s="29" t="s">
        <v>4053</v>
      </c>
      <c r="C5579" s="29"/>
      <c r="D5579" s="29" t="s">
        <v>4082</v>
      </c>
      <c r="E5579" s="29"/>
      <c r="F5579" s="29" t="s">
        <v>4106</v>
      </c>
      <c r="G5579" s="29"/>
      <c r="H5579" s="29" t="s">
        <v>4117</v>
      </c>
      <c r="I5579" s="29"/>
      <c r="J5579" s="29" t="s">
        <v>4118</v>
      </c>
      <c r="K5579" s="29"/>
      <c r="L5579" s="29" t="s">
        <v>2260</v>
      </c>
      <c r="M5579" s="29"/>
      <c r="N5579" s="29" t="s">
        <v>2261</v>
      </c>
      <c r="O5579" s="29"/>
      <c r="P5579" s="29" t="s">
        <v>4960</v>
      </c>
      <c r="Q5579" t="s">
        <v>2194</v>
      </c>
      <c r="R5579" t="s">
        <v>2632</v>
      </c>
      <c r="S5579">
        <v>36</v>
      </c>
      <c r="T5579" s="43" t="str">
        <f t="shared" si="261"/>
        <v>2020.005F.R.Genomoviridae.zip</v>
      </c>
      <c r="U5579" s="43" t="str">
        <f>HYPERLINK("https://ictv.global/taxonomy/taxondetails?taxnode_id=202208973","ictv.global=202208973")</f>
        <v>ictv.global=202208973</v>
      </c>
    </row>
    <row r="5580" spans="1:21">
      <c r="A5580">
        <v>5579</v>
      </c>
      <c r="B5580" s="29" t="s">
        <v>4053</v>
      </c>
      <c r="C5580" s="29"/>
      <c r="D5580" s="29" t="s">
        <v>4082</v>
      </c>
      <c r="E5580" s="29"/>
      <c r="F5580" s="29" t="s">
        <v>4106</v>
      </c>
      <c r="G5580" s="29"/>
      <c r="H5580" s="29" t="s">
        <v>4117</v>
      </c>
      <c r="I5580" s="29"/>
      <c r="J5580" s="29" t="s">
        <v>4118</v>
      </c>
      <c r="K5580" s="29"/>
      <c r="L5580" s="29" t="s">
        <v>2260</v>
      </c>
      <c r="M5580" s="29"/>
      <c r="N5580" s="29" t="s">
        <v>2261</v>
      </c>
      <c r="O5580" s="29"/>
      <c r="P5580" s="29" t="s">
        <v>4961</v>
      </c>
      <c r="Q5580" t="s">
        <v>2041</v>
      </c>
      <c r="R5580" t="s">
        <v>2635</v>
      </c>
      <c r="S5580">
        <v>36</v>
      </c>
      <c r="T5580" s="43" t="str">
        <f t="shared" si="261"/>
        <v>2020.005F.R.Genomoviridae.zip</v>
      </c>
      <c r="U5580" s="43" t="str">
        <f>HYPERLINK("https://ictv.global/taxonomy/taxondetails?taxnode_id=202203553","ictv.global=202203553")</f>
        <v>ictv.global=202203553</v>
      </c>
    </row>
    <row r="5581" spans="1:21">
      <c r="A5581">
        <v>5580</v>
      </c>
      <c r="B5581" s="29" t="s">
        <v>4053</v>
      </c>
      <c r="C5581" s="29"/>
      <c r="D5581" s="29" t="s">
        <v>4082</v>
      </c>
      <c r="E5581" s="29"/>
      <c r="F5581" s="29" t="s">
        <v>4106</v>
      </c>
      <c r="G5581" s="29"/>
      <c r="H5581" s="29" t="s">
        <v>4117</v>
      </c>
      <c r="I5581" s="29"/>
      <c r="J5581" s="29" t="s">
        <v>4118</v>
      </c>
      <c r="K5581" s="29"/>
      <c r="L5581" s="29" t="s">
        <v>2260</v>
      </c>
      <c r="M5581" s="29"/>
      <c r="N5581" s="29" t="s">
        <v>2261</v>
      </c>
      <c r="O5581" s="29"/>
      <c r="P5581" s="29" t="s">
        <v>4962</v>
      </c>
      <c r="Q5581" t="s">
        <v>2041</v>
      </c>
      <c r="R5581" t="s">
        <v>2635</v>
      </c>
      <c r="S5581">
        <v>36</v>
      </c>
      <c r="T5581" s="43" t="str">
        <f t="shared" si="261"/>
        <v>2020.005F.R.Genomoviridae.zip</v>
      </c>
      <c r="U5581" s="43" t="str">
        <f>HYPERLINK("https://ictv.global/taxonomy/taxondetails?taxnode_id=202203554","ictv.global=202203554")</f>
        <v>ictv.global=202203554</v>
      </c>
    </row>
    <row r="5582" spans="1:21">
      <c r="A5582">
        <v>5581</v>
      </c>
      <c r="B5582" s="29" t="s">
        <v>4053</v>
      </c>
      <c r="C5582" s="29"/>
      <c r="D5582" s="29" t="s">
        <v>4082</v>
      </c>
      <c r="E5582" s="29"/>
      <c r="F5582" s="29" t="s">
        <v>4106</v>
      </c>
      <c r="G5582" s="29"/>
      <c r="H5582" s="29" t="s">
        <v>4117</v>
      </c>
      <c r="I5582" s="29"/>
      <c r="J5582" s="29" t="s">
        <v>4118</v>
      </c>
      <c r="K5582" s="29"/>
      <c r="L5582" s="29" t="s">
        <v>2260</v>
      </c>
      <c r="M5582" s="29"/>
      <c r="N5582" s="29" t="s">
        <v>2261</v>
      </c>
      <c r="O5582" s="29"/>
      <c r="P5582" s="29" t="s">
        <v>4963</v>
      </c>
      <c r="Q5582" t="s">
        <v>2041</v>
      </c>
      <c r="R5582" t="s">
        <v>2635</v>
      </c>
      <c r="S5582">
        <v>36</v>
      </c>
      <c r="T5582" s="43" t="str">
        <f t="shared" si="261"/>
        <v>2020.005F.R.Genomoviridae.zip</v>
      </c>
      <c r="U5582" s="43" t="str">
        <f>HYPERLINK("https://ictv.global/taxonomy/taxondetails?taxnode_id=202203555","ictv.global=202203555")</f>
        <v>ictv.global=202203555</v>
      </c>
    </row>
    <row r="5583" spans="1:21">
      <c r="A5583">
        <v>5582</v>
      </c>
      <c r="B5583" s="29" t="s">
        <v>4053</v>
      </c>
      <c r="C5583" s="29"/>
      <c r="D5583" s="29" t="s">
        <v>4082</v>
      </c>
      <c r="E5583" s="29"/>
      <c r="F5583" s="29" t="s">
        <v>4106</v>
      </c>
      <c r="G5583" s="29"/>
      <c r="H5583" s="29" t="s">
        <v>4117</v>
      </c>
      <c r="I5583" s="29"/>
      <c r="J5583" s="29" t="s">
        <v>4118</v>
      </c>
      <c r="K5583" s="29"/>
      <c r="L5583" s="29" t="s">
        <v>2260</v>
      </c>
      <c r="M5583" s="29"/>
      <c r="N5583" s="29" t="s">
        <v>2261</v>
      </c>
      <c r="O5583" s="29"/>
      <c r="P5583" s="29" t="s">
        <v>4964</v>
      </c>
      <c r="Q5583" t="s">
        <v>2194</v>
      </c>
      <c r="R5583" t="s">
        <v>2632</v>
      </c>
      <c r="S5583">
        <v>36</v>
      </c>
      <c r="T5583" s="43" t="str">
        <f t="shared" si="261"/>
        <v>2020.005F.R.Genomoviridae.zip</v>
      </c>
      <c r="U5583" s="43" t="str">
        <f>HYPERLINK("https://ictv.global/taxonomy/taxondetails?taxnode_id=202208984","ictv.global=202208984")</f>
        <v>ictv.global=202208984</v>
      </c>
    </row>
    <row r="5584" spans="1:21">
      <c r="A5584">
        <v>5583</v>
      </c>
      <c r="B5584" s="29" t="s">
        <v>4053</v>
      </c>
      <c r="C5584" s="29"/>
      <c r="D5584" s="29" t="s">
        <v>4082</v>
      </c>
      <c r="E5584" s="29"/>
      <c r="F5584" s="29" t="s">
        <v>4106</v>
      </c>
      <c r="G5584" s="29"/>
      <c r="H5584" s="29" t="s">
        <v>4117</v>
      </c>
      <c r="I5584" s="29"/>
      <c r="J5584" s="29" t="s">
        <v>4118</v>
      </c>
      <c r="K5584" s="29"/>
      <c r="L5584" s="29" t="s">
        <v>2260</v>
      </c>
      <c r="M5584" s="29"/>
      <c r="N5584" s="29" t="s">
        <v>2261</v>
      </c>
      <c r="O5584" s="29"/>
      <c r="P5584" s="29" t="s">
        <v>4965</v>
      </c>
      <c r="Q5584" t="s">
        <v>2194</v>
      </c>
      <c r="R5584" t="s">
        <v>2635</v>
      </c>
      <c r="S5584">
        <v>36</v>
      </c>
      <c r="T5584" s="43" t="str">
        <f t="shared" si="261"/>
        <v>2020.005F.R.Genomoviridae.zip</v>
      </c>
      <c r="U5584" s="43" t="str">
        <f>HYPERLINK("https://ictv.global/taxonomy/taxondetails?taxnode_id=202203556","ictv.global=202203556")</f>
        <v>ictv.global=202203556</v>
      </c>
    </row>
    <row r="5585" spans="1:21">
      <c r="A5585">
        <v>5584</v>
      </c>
      <c r="B5585" s="29" t="s">
        <v>4053</v>
      </c>
      <c r="C5585" s="29"/>
      <c r="D5585" s="29" t="s">
        <v>4082</v>
      </c>
      <c r="E5585" s="29"/>
      <c r="F5585" s="29" t="s">
        <v>4106</v>
      </c>
      <c r="G5585" s="29"/>
      <c r="H5585" s="29" t="s">
        <v>4117</v>
      </c>
      <c r="I5585" s="29"/>
      <c r="J5585" s="29" t="s">
        <v>4118</v>
      </c>
      <c r="K5585" s="29"/>
      <c r="L5585" s="29" t="s">
        <v>2260</v>
      </c>
      <c r="M5585" s="29"/>
      <c r="N5585" s="29" t="s">
        <v>2261</v>
      </c>
      <c r="O5585" s="29"/>
      <c r="P5585" s="29" t="s">
        <v>4966</v>
      </c>
      <c r="Q5585" t="s">
        <v>2041</v>
      </c>
      <c r="R5585" t="s">
        <v>2635</v>
      </c>
      <c r="S5585">
        <v>36</v>
      </c>
      <c r="T5585" s="43" t="str">
        <f t="shared" si="261"/>
        <v>2020.005F.R.Genomoviridae.zip</v>
      </c>
      <c r="U5585" s="43" t="str">
        <f>HYPERLINK("https://ictv.global/taxonomy/taxondetails?taxnode_id=202203558","ictv.global=202203558")</f>
        <v>ictv.global=202203558</v>
      </c>
    </row>
    <row r="5586" spans="1:21">
      <c r="A5586">
        <v>5585</v>
      </c>
      <c r="B5586" s="29" t="s">
        <v>4053</v>
      </c>
      <c r="C5586" s="29"/>
      <c r="D5586" s="29" t="s">
        <v>4082</v>
      </c>
      <c r="E5586" s="29"/>
      <c r="F5586" s="29" t="s">
        <v>4106</v>
      </c>
      <c r="G5586" s="29"/>
      <c r="H5586" s="29" t="s">
        <v>4117</v>
      </c>
      <c r="I5586" s="29"/>
      <c r="J5586" s="29" t="s">
        <v>4118</v>
      </c>
      <c r="K5586" s="29"/>
      <c r="L5586" s="29" t="s">
        <v>2260</v>
      </c>
      <c r="M5586" s="29"/>
      <c r="N5586" s="29" t="s">
        <v>2261</v>
      </c>
      <c r="O5586" s="29"/>
      <c r="P5586" s="29" t="s">
        <v>4967</v>
      </c>
      <c r="Q5586" t="s">
        <v>2041</v>
      </c>
      <c r="R5586" t="s">
        <v>2635</v>
      </c>
      <c r="S5586">
        <v>36</v>
      </c>
      <c r="T5586" s="43" t="str">
        <f t="shared" si="261"/>
        <v>2020.005F.R.Genomoviridae.zip</v>
      </c>
      <c r="U5586" s="43" t="str">
        <f>HYPERLINK("https://ictv.global/taxonomy/taxondetails?taxnode_id=202203559","ictv.global=202203559")</f>
        <v>ictv.global=202203559</v>
      </c>
    </row>
    <row r="5587" spans="1:21">
      <c r="A5587">
        <v>5586</v>
      </c>
      <c r="B5587" s="29" t="s">
        <v>4053</v>
      </c>
      <c r="C5587" s="29"/>
      <c r="D5587" s="29" t="s">
        <v>4082</v>
      </c>
      <c r="E5587" s="29"/>
      <c r="F5587" s="29" t="s">
        <v>4106</v>
      </c>
      <c r="G5587" s="29"/>
      <c r="H5587" s="29" t="s">
        <v>4117</v>
      </c>
      <c r="I5587" s="29"/>
      <c r="J5587" s="29" t="s">
        <v>4118</v>
      </c>
      <c r="K5587" s="29"/>
      <c r="L5587" s="29" t="s">
        <v>2260</v>
      </c>
      <c r="M5587" s="29"/>
      <c r="N5587" s="29" t="s">
        <v>2261</v>
      </c>
      <c r="O5587" s="29"/>
      <c r="P5587" s="29" t="s">
        <v>4968</v>
      </c>
      <c r="Q5587" t="s">
        <v>2041</v>
      </c>
      <c r="R5587" t="s">
        <v>2635</v>
      </c>
      <c r="S5587">
        <v>36</v>
      </c>
      <c r="T5587" s="43" t="str">
        <f t="shared" si="261"/>
        <v>2020.005F.R.Genomoviridae.zip</v>
      </c>
      <c r="U5587" s="43" t="str">
        <f>HYPERLINK("https://ictv.global/taxonomy/taxondetails?taxnode_id=202203557","ictv.global=202203557")</f>
        <v>ictv.global=202203557</v>
      </c>
    </row>
    <row r="5588" spans="1:21">
      <c r="A5588">
        <v>5587</v>
      </c>
      <c r="B5588" s="29" t="s">
        <v>4053</v>
      </c>
      <c r="C5588" s="29"/>
      <c r="D5588" s="29" t="s">
        <v>4082</v>
      </c>
      <c r="E5588" s="29"/>
      <c r="F5588" s="29" t="s">
        <v>4106</v>
      </c>
      <c r="G5588" s="29"/>
      <c r="H5588" s="29" t="s">
        <v>4117</v>
      </c>
      <c r="I5588" s="29"/>
      <c r="J5588" s="29" t="s">
        <v>4118</v>
      </c>
      <c r="K5588" s="29"/>
      <c r="L5588" s="29" t="s">
        <v>2260</v>
      </c>
      <c r="M5588" s="29"/>
      <c r="N5588" s="29" t="s">
        <v>2261</v>
      </c>
      <c r="O5588" s="29"/>
      <c r="P5588" s="29" t="s">
        <v>4969</v>
      </c>
      <c r="Q5588" t="s">
        <v>2194</v>
      </c>
      <c r="R5588" t="s">
        <v>2632</v>
      </c>
      <c r="S5588">
        <v>36</v>
      </c>
      <c r="T5588" s="43" t="str">
        <f t="shared" si="261"/>
        <v>2020.005F.R.Genomoviridae.zip</v>
      </c>
      <c r="U5588" s="43" t="str">
        <f>HYPERLINK("https://ictv.global/taxonomy/taxondetails?taxnode_id=202208971","ictv.global=202208971")</f>
        <v>ictv.global=202208971</v>
      </c>
    </row>
    <row r="5589" spans="1:21">
      <c r="A5589">
        <v>5588</v>
      </c>
      <c r="B5589" s="29" t="s">
        <v>4053</v>
      </c>
      <c r="C5589" s="29"/>
      <c r="D5589" s="29" t="s">
        <v>4082</v>
      </c>
      <c r="E5589" s="29"/>
      <c r="F5589" s="29" t="s">
        <v>4106</v>
      </c>
      <c r="G5589" s="29"/>
      <c r="H5589" s="29" t="s">
        <v>4117</v>
      </c>
      <c r="I5589" s="29"/>
      <c r="J5589" s="29" t="s">
        <v>4118</v>
      </c>
      <c r="K5589" s="29"/>
      <c r="L5589" s="29" t="s">
        <v>2260</v>
      </c>
      <c r="M5589" s="29"/>
      <c r="N5589" s="29" t="s">
        <v>2261</v>
      </c>
      <c r="O5589" s="29"/>
      <c r="P5589" s="29" t="s">
        <v>4970</v>
      </c>
      <c r="Q5589" t="s">
        <v>2194</v>
      </c>
      <c r="R5589" t="s">
        <v>2632</v>
      </c>
      <c r="S5589">
        <v>36</v>
      </c>
      <c r="T5589" s="43" t="str">
        <f t="shared" si="261"/>
        <v>2020.005F.R.Genomoviridae.zip</v>
      </c>
      <c r="U5589" s="43" t="str">
        <f>HYPERLINK("https://ictv.global/taxonomy/taxondetails?taxnode_id=202208964","ictv.global=202208964")</f>
        <v>ictv.global=202208964</v>
      </c>
    </row>
    <row r="5590" spans="1:21">
      <c r="A5590">
        <v>5589</v>
      </c>
      <c r="B5590" s="29" t="s">
        <v>4053</v>
      </c>
      <c r="C5590" s="29"/>
      <c r="D5590" s="29" t="s">
        <v>4082</v>
      </c>
      <c r="E5590" s="29"/>
      <c r="F5590" s="29" t="s">
        <v>4106</v>
      </c>
      <c r="G5590" s="29"/>
      <c r="H5590" s="29" t="s">
        <v>4117</v>
      </c>
      <c r="I5590" s="29"/>
      <c r="J5590" s="29" t="s">
        <v>4118</v>
      </c>
      <c r="K5590" s="29"/>
      <c r="L5590" s="29" t="s">
        <v>2260</v>
      </c>
      <c r="M5590" s="29"/>
      <c r="N5590" s="29" t="s">
        <v>2261</v>
      </c>
      <c r="O5590" s="29"/>
      <c r="P5590" s="29" t="s">
        <v>4971</v>
      </c>
      <c r="Q5590" t="s">
        <v>2194</v>
      </c>
      <c r="R5590" t="s">
        <v>2632</v>
      </c>
      <c r="S5590">
        <v>36</v>
      </c>
      <c r="T5590" s="43" t="str">
        <f t="shared" si="261"/>
        <v>2020.005F.R.Genomoviridae.zip</v>
      </c>
      <c r="U5590" s="43" t="str">
        <f>HYPERLINK("https://ictv.global/taxonomy/taxondetails?taxnode_id=202209012","ictv.global=202209012")</f>
        <v>ictv.global=202209012</v>
      </c>
    </row>
    <row r="5591" spans="1:21">
      <c r="A5591">
        <v>5590</v>
      </c>
      <c r="B5591" s="29" t="s">
        <v>4053</v>
      </c>
      <c r="C5591" s="29"/>
      <c r="D5591" s="29" t="s">
        <v>4082</v>
      </c>
      <c r="E5591" s="29"/>
      <c r="F5591" s="29" t="s">
        <v>4106</v>
      </c>
      <c r="G5591" s="29"/>
      <c r="H5591" s="29" t="s">
        <v>4117</v>
      </c>
      <c r="I5591" s="29"/>
      <c r="J5591" s="29" t="s">
        <v>4118</v>
      </c>
      <c r="K5591" s="29"/>
      <c r="L5591" s="29" t="s">
        <v>2260</v>
      </c>
      <c r="M5591" s="29"/>
      <c r="N5591" s="29" t="s">
        <v>2261</v>
      </c>
      <c r="O5591" s="29"/>
      <c r="P5591" s="29" t="s">
        <v>4972</v>
      </c>
      <c r="Q5591" t="s">
        <v>2194</v>
      </c>
      <c r="R5591" t="s">
        <v>2632</v>
      </c>
      <c r="S5591">
        <v>36</v>
      </c>
      <c r="T5591" s="43" t="str">
        <f t="shared" si="261"/>
        <v>2020.005F.R.Genomoviridae.zip</v>
      </c>
      <c r="U5591" s="43" t="str">
        <f>HYPERLINK("https://ictv.global/taxonomy/taxondetails?taxnode_id=202209013","ictv.global=202209013")</f>
        <v>ictv.global=202209013</v>
      </c>
    </row>
    <row r="5592" spans="1:21">
      <c r="A5592">
        <v>5591</v>
      </c>
      <c r="B5592" s="29" t="s">
        <v>4053</v>
      </c>
      <c r="C5592" s="29"/>
      <c r="D5592" s="29" t="s">
        <v>4082</v>
      </c>
      <c r="E5592" s="29"/>
      <c r="F5592" s="29" t="s">
        <v>4106</v>
      </c>
      <c r="G5592" s="29"/>
      <c r="H5592" s="29" t="s">
        <v>4117</v>
      </c>
      <c r="I5592" s="29"/>
      <c r="J5592" s="29" t="s">
        <v>4118</v>
      </c>
      <c r="K5592" s="29"/>
      <c r="L5592" s="29" t="s">
        <v>2260</v>
      </c>
      <c r="M5592" s="29"/>
      <c r="N5592" s="29" t="s">
        <v>2261</v>
      </c>
      <c r="O5592" s="29"/>
      <c r="P5592" s="29" t="s">
        <v>4973</v>
      </c>
      <c r="Q5592" t="s">
        <v>2194</v>
      </c>
      <c r="R5592" t="s">
        <v>2632</v>
      </c>
      <c r="S5592">
        <v>36</v>
      </c>
      <c r="T5592" s="43" t="str">
        <f t="shared" si="261"/>
        <v>2020.005F.R.Genomoviridae.zip</v>
      </c>
      <c r="U5592" s="43" t="str">
        <f>HYPERLINK("https://ictv.global/taxonomy/taxondetails?taxnode_id=202209014","ictv.global=202209014")</f>
        <v>ictv.global=202209014</v>
      </c>
    </row>
    <row r="5593" spans="1:21">
      <c r="A5593">
        <v>5592</v>
      </c>
      <c r="B5593" s="29" t="s">
        <v>4053</v>
      </c>
      <c r="C5593" s="29"/>
      <c r="D5593" s="29" t="s">
        <v>4082</v>
      </c>
      <c r="E5593" s="29"/>
      <c r="F5593" s="29" t="s">
        <v>4106</v>
      </c>
      <c r="G5593" s="29"/>
      <c r="H5593" s="29" t="s">
        <v>4117</v>
      </c>
      <c r="I5593" s="29"/>
      <c r="J5593" s="29" t="s">
        <v>4118</v>
      </c>
      <c r="K5593" s="29"/>
      <c r="L5593" s="29" t="s">
        <v>2260</v>
      </c>
      <c r="M5593" s="29"/>
      <c r="N5593" s="29" t="s">
        <v>2261</v>
      </c>
      <c r="O5593" s="29"/>
      <c r="P5593" s="29" t="s">
        <v>4974</v>
      </c>
      <c r="Q5593" t="s">
        <v>2194</v>
      </c>
      <c r="R5593" t="s">
        <v>2632</v>
      </c>
      <c r="S5593">
        <v>36</v>
      </c>
      <c r="T5593" s="43" t="str">
        <f t="shared" si="261"/>
        <v>2020.005F.R.Genomoviridae.zip</v>
      </c>
      <c r="U5593" s="43" t="str">
        <f>HYPERLINK("https://ictv.global/taxonomy/taxondetails?taxnode_id=202209017","ictv.global=202209017")</f>
        <v>ictv.global=202209017</v>
      </c>
    </row>
    <row r="5594" spans="1:21">
      <c r="A5594">
        <v>5593</v>
      </c>
      <c r="B5594" s="29" t="s">
        <v>4053</v>
      </c>
      <c r="C5594" s="29"/>
      <c r="D5594" s="29" t="s">
        <v>4082</v>
      </c>
      <c r="E5594" s="29"/>
      <c r="F5594" s="29" t="s">
        <v>4106</v>
      </c>
      <c r="G5594" s="29"/>
      <c r="H5594" s="29" t="s">
        <v>4117</v>
      </c>
      <c r="I5594" s="29"/>
      <c r="J5594" s="29" t="s">
        <v>4118</v>
      </c>
      <c r="K5594" s="29"/>
      <c r="L5594" s="29" t="s">
        <v>2260</v>
      </c>
      <c r="M5594" s="29"/>
      <c r="N5594" s="29" t="s">
        <v>2261</v>
      </c>
      <c r="O5594" s="29"/>
      <c r="P5594" s="29" t="s">
        <v>4975</v>
      </c>
      <c r="Q5594" t="s">
        <v>2194</v>
      </c>
      <c r="R5594" t="s">
        <v>2632</v>
      </c>
      <c r="S5594">
        <v>36</v>
      </c>
      <c r="T5594" s="43" t="str">
        <f t="shared" si="261"/>
        <v>2020.005F.R.Genomoviridae.zip</v>
      </c>
      <c r="U5594" s="43" t="str">
        <f>HYPERLINK("https://ictv.global/taxonomy/taxondetails?taxnode_id=202208977","ictv.global=202208977")</f>
        <v>ictv.global=202208977</v>
      </c>
    </row>
    <row r="5595" spans="1:21">
      <c r="A5595">
        <v>5594</v>
      </c>
      <c r="B5595" s="29" t="s">
        <v>4053</v>
      </c>
      <c r="C5595" s="29"/>
      <c r="D5595" s="29" t="s">
        <v>4082</v>
      </c>
      <c r="E5595" s="29"/>
      <c r="F5595" s="29" t="s">
        <v>4106</v>
      </c>
      <c r="G5595" s="29"/>
      <c r="H5595" s="29" t="s">
        <v>4117</v>
      </c>
      <c r="I5595" s="29"/>
      <c r="J5595" s="29" t="s">
        <v>4118</v>
      </c>
      <c r="K5595" s="29"/>
      <c r="L5595" s="29" t="s">
        <v>2260</v>
      </c>
      <c r="M5595" s="29"/>
      <c r="N5595" s="29" t="s">
        <v>2261</v>
      </c>
      <c r="O5595" s="29"/>
      <c r="P5595" s="29" t="s">
        <v>4976</v>
      </c>
      <c r="Q5595" t="s">
        <v>2194</v>
      </c>
      <c r="R5595" t="s">
        <v>2632</v>
      </c>
      <c r="S5595">
        <v>36</v>
      </c>
      <c r="T5595" s="43" t="str">
        <f t="shared" si="261"/>
        <v>2020.005F.R.Genomoviridae.zip</v>
      </c>
      <c r="U5595" s="43" t="str">
        <f>HYPERLINK("https://ictv.global/taxonomy/taxondetails?taxnode_id=202208980","ictv.global=202208980")</f>
        <v>ictv.global=202208980</v>
      </c>
    </row>
    <row r="5596" spans="1:21">
      <c r="A5596">
        <v>5595</v>
      </c>
      <c r="B5596" s="29" t="s">
        <v>4053</v>
      </c>
      <c r="C5596" s="29"/>
      <c r="D5596" s="29" t="s">
        <v>4082</v>
      </c>
      <c r="E5596" s="29"/>
      <c r="F5596" s="29" t="s">
        <v>4106</v>
      </c>
      <c r="G5596" s="29"/>
      <c r="H5596" s="29" t="s">
        <v>4117</v>
      </c>
      <c r="I5596" s="29"/>
      <c r="J5596" s="29" t="s">
        <v>4118</v>
      </c>
      <c r="K5596" s="29"/>
      <c r="L5596" s="29" t="s">
        <v>2260</v>
      </c>
      <c r="M5596" s="29"/>
      <c r="N5596" s="29" t="s">
        <v>2261</v>
      </c>
      <c r="O5596" s="29"/>
      <c r="P5596" s="29" t="s">
        <v>4977</v>
      </c>
      <c r="Q5596" t="s">
        <v>2194</v>
      </c>
      <c r="R5596" t="s">
        <v>2632</v>
      </c>
      <c r="S5596">
        <v>36</v>
      </c>
      <c r="T5596" s="43" t="str">
        <f t="shared" si="261"/>
        <v>2020.005F.R.Genomoviridae.zip</v>
      </c>
      <c r="U5596" s="43" t="str">
        <f>HYPERLINK("https://ictv.global/taxonomy/taxondetails?taxnode_id=202208955","ictv.global=202208955")</f>
        <v>ictv.global=202208955</v>
      </c>
    </row>
    <row r="5597" spans="1:21">
      <c r="A5597">
        <v>5596</v>
      </c>
      <c r="B5597" s="29" t="s">
        <v>4053</v>
      </c>
      <c r="C5597" s="29"/>
      <c r="D5597" s="29" t="s">
        <v>4082</v>
      </c>
      <c r="E5597" s="29"/>
      <c r="F5597" s="29" t="s">
        <v>4106</v>
      </c>
      <c r="G5597" s="29"/>
      <c r="H5597" s="29" t="s">
        <v>4117</v>
      </c>
      <c r="I5597" s="29"/>
      <c r="J5597" s="29" t="s">
        <v>4118</v>
      </c>
      <c r="K5597" s="29"/>
      <c r="L5597" s="29" t="s">
        <v>2260</v>
      </c>
      <c r="M5597" s="29"/>
      <c r="N5597" s="29" t="s">
        <v>2261</v>
      </c>
      <c r="O5597" s="29"/>
      <c r="P5597" s="29" t="s">
        <v>4978</v>
      </c>
      <c r="Q5597" t="s">
        <v>2194</v>
      </c>
      <c r="R5597" t="s">
        <v>2635</v>
      </c>
      <c r="S5597">
        <v>36</v>
      </c>
      <c r="T5597" s="43" t="str">
        <f t="shared" si="261"/>
        <v>2020.005F.R.Genomoviridae.zip</v>
      </c>
      <c r="U5597" s="43" t="str">
        <f>HYPERLINK("https://ictv.global/taxonomy/taxondetails?taxnode_id=202203560","ictv.global=202203560")</f>
        <v>ictv.global=202203560</v>
      </c>
    </row>
    <row r="5598" spans="1:21">
      <c r="A5598">
        <v>5597</v>
      </c>
      <c r="B5598" s="29" t="s">
        <v>4053</v>
      </c>
      <c r="C5598" s="29"/>
      <c r="D5598" s="29" t="s">
        <v>4082</v>
      </c>
      <c r="E5598" s="29"/>
      <c r="F5598" s="29" t="s">
        <v>4106</v>
      </c>
      <c r="G5598" s="29"/>
      <c r="H5598" s="29" t="s">
        <v>4117</v>
      </c>
      <c r="I5598" s="29"/>
      <c r="J5598" s="29" t="s">
        <v>4118</v>
      </c>
      <c r="K5598" s="29"/>
      <c r="L5598" s="29" t="s">
        <v>2260</v>
      </c>
      <c r="M5598" s="29"/>
      <c r="N5598" s="29" t="s">
        <v>2261</v>
      </c>
      <c r="O5598" s="29"/>
      <c r="P5598" s="29" t="s">
        <v>4979</v>
      </c>
      <c r="Q5598" t="s">
        <v>2194</v>
      </c>
      <c r="R5598" t="s">
        <v>2632</v>
      </c>
      <c r="S5598">
        <v>36</v>
      </c>
      <c r="T5598" s="43" t="str">
        <f t="shared" si="261"/>
        <v>2020.005F.R.Genomoviridae.zip</v>
      </c>
      <c r="U5598" s="43" t="str">
        <f>HYPERLINK("https://ictv.global/taxonomy/taxondetails?taxnode_id=202208990","ictv.global=202208990")</f>
        <v>ictv.global=202208990</v>
      </c>
    </row>
    <row r="5599" spans="1:21">
      <c r="A5599">
        <v>5598</v>
      </c>
      <c r="B5599" s="29" t="s">
        <v>4053</v>
      </c>
      <c r="C5599" s="29"/>
      <c r="D5599" s="29" t="s">
        <v>4082</v>
      </c>
      <c r="E5599" s="29"/>
      <c r="F5599" s="29" t="s">
        <v>4106</v>
      </c>
      <c r="G5599" s="29"/>
      <c r="H5599" s="29" t="s">
        <v>4117</v>
      </c>
      <c r="I5599" s="29"/>
      <c r="J5599" s="29" t="s">
        <v>4118</v>
      </c>
      <c r="K5599" s="29"/>
      <c r="L5599" s="29" t="s">
        <v>2260</v>
      </c>
      <c r="M5599" s="29"/>
      <c r="N5599" s="29" t="s">
        <v>2261</v>
      </c>
      <c r="O5599" s="29"/>
      <c r="P5599" s="29" t="s">
        <v>4980</v>
      </c>
      <c r="Q5599" t="s">
        <v>2041</v>
      </c>
      <c r="R5599" t="s">
        <v>2635</v>
      </c>
      <c r="S5599">
        <v>36</v>
      </c>
      <c r="T5599" s="43" t="str">
        <f t="shared" si="261"/>
        <v>2020.005F.R.Genomoviridae.zip</v>
      </c>
      <c r="U5599" s="43" t="str">
        <f>HYPERLINK("https://ictv.global/taxonomy/taxondetails?taxnode_id=202203561","ictv.global=202203561")</f>
        <v>ictv.global=202203561</v>
      </c>
    </row>
    <row r="5600" spans="1:21">
      <c r="A5600">
        <v>5599</v>
      </c>
      <c r="B5600" s="29" t="s">
        <v>4053</v>
      </c>
      <c r="C5600" s="29"/>
      <c r="D5600" s="29" t="s">
        <v>4082</v>
      </c>
      <c r="E5600" s="29"/>
      <c r="F5600" s="29" t="s">
        <v>4106</v>
      </c>
      <c r="G5600" s="29"/>
      <c r="H5600" s="29" t="s">
        <v>4117</v>
      </c>
      <c r="I5600" s="29"/>
      <c r="J5600" s="29" t="s">
        <v>4118</v>
      </c>
      <c r="K5600" s="29"/>
      <c r="L5600" s="29" t="s">
        <v>2260</v>
      </c>
      <c r="M5600" s="29"/>
      <c r="N5600" s="29" t="s">
        <v>2261</v>
      </c>
      <c r="O5600" s="29"/>
      <c r="P5600" s="29" t="s">
        <v>4981</v>
      </c>
      <c r="Q5600" t="s">
        <v>2194</v>
      </c>
      <c r="R5600" t="s">
        <v>2632</v>
      </c>
      <c r="S5600">
        <v>36</v>
      </c>
      <c r="T5600" s="43" t="str">
        <f t="shared" ref="T5600:T5631" si="262">HYPERLINK("https://ictv.global/ictv/proposals/2020.005F.R.Genomoviridae.zip","2020.005F.R.Genomoviridae.zip")</f>
        <v>2020.005F.R.Genomoviridae.zip</v>
      </c>
      <c r="U5600" s="43" t="str">
        <f>HYPERLINK("https://ictv.global/taxonomy/taxondetails?taxnode_id=202208959","ictv.global=202208959")</f>
        <v>ictv.global=202208959</v>
      </c>
    </row>
    <row r="5601" spans="1:21">
      <c r="A5601">
        <v>5600</v>
      </c>
      <c r="B5601" s="29" t="s">
        <v>4053</v>
      </c>
      <c r="C5601" s="29"/>
      <c r="D5601" s="29" t="s">
        <v>4082</v>
      </c>
      <c r="E5601" s="29"/>
      <c r="F5601" s="29" t="s">
        <v>4106</v>
      </c>
      <c r="G5601" s="29"/>
      <c r="H5601" s="29" t="s">
        <v>4117</v>
      </c>
      <c r="I5601" s="29"/>
      <c r="J5601" s="29" t="s">
        <v>4118</v>
      </c>
      <c r="K5601" s="29"/>
      <c r="L5601" s="29" t="s">
        <v>2260</v>
      </c>
      <c r="M5601" s="29"/>
      <c r="N5601" s="29" t="s">
        <v>2261</v>
      </c>
      <c r="O5601" s="29"/>
      <c r="P5601" s="29" t="s">
        <v>4982</v>
      </c>
      <c r="Q5601" t="s">
        <v>2194</v>
      </c>
      <c r="R5601" t="s">
        <v>2632</v>
      </c>
      <c r="S5601">
        <v>36</v>
      </c>
      <c r="T5601" s="43" t="str">
        <f t="shared" si="262"/>
        <v>2020.005F.R.Genomoviridae.zip</v>
      </c>
      <c r="U5601" s="43" t="str">
        <f>HYPERLINK("https://ictv.global/taxonomy/taxondetails?taxnode_id=202208970","ictv.global=202208970")</f>
        <v>ictv.global=202208970</v>
      </c>
    </row>
    <row r="5602" spans="1:21">
      <c r="A5602">
        <v>5601</v>
      </c>
      <c r="B5602" s="29" t="s">
        <v>4053</v>
      </c>
      <c r="C5602" s="29"/>
      <c r="D5602" s="29" t="s">
        <v>4082</v>
      </c>
      <c r="E5602" s="29"/>
      <c r="F5602" s="29" t="s">
        <v>4106</v>
      </c>
      <c r="G5602" s="29"/>
      <c r="H5602" s="29" t="s">
        <v>4117</v>
      </c>
      <c r="I5602" s="29"/>
      <c r="J5602" s="29" t="s">
        <v>4118</v>
      </c>
      <c r="K5602" s="29"/>
      <c r="L5602" s="29" t="s">
        <v>2260</v>
      </c>
      <c r="M5602" s="29"/>
      <c r="N5602" s="29" t="s">
        <v>2261</v>
      </c>
      <c r="O5602" s="29"/>
      <c r="P5602" s="29" t="s">
        <v>4983</v>
      </c>
      <c r="Q5602" t="s">
        <v>2194</v>
      </c>
      <c r="R5602" t="s">
        <v>2635</v>
      </c>
      <c r="S5602">
        <v>36</v>
      </c>
      <c r="T5602" s="43" t="str">
        <f t="shared" si="262"/>
        <v>2020.005F.R.Genomoviridae.zip</v>
      </c>
      <c r="U5602" s="43" t="str">
        <f>HYPERLINK("https://ictv.global/taxonomy/taxondetails?taxnode_id=202203562","ictv.global=202203562")</f>
        <v>ictv.global=202203562</v>
      </c>
    </row>
    <row r="5603" spans="1:21">
      <c r="A5603">
        <v>5602</v>
      </c>
      <c r="B5603" s="29" t="s">
        <v>4053</v>
      </c>
      <c r="C5603" s="29"/>
      <c r="D5603" s="29" t="s">
        <v>4082</v>
      </c>
      <c r="E5603" s="29"/>
      <c r="F5603" s="29" t="s">
        <v>4106</v>
      </c>
      <c r="G5603" s="29"/>
      <c r="H5603" s="29" t="s">
        <v>4117</v>
      </c>
      <c r="I5603" s="29"/>
      <c r="J5603" s="29" t="s">
        <v>4118</v>
      </c>
      <c r="K5603" s="29"/>
      <c r="L5603" s="29" t="s">
        <v>2260</v>
      </c>
      <c r="M5603" s="29"/>
      <c r="N5603" s="29" t="s">
        <v>2261</v>
      </c>
      <c r="O5603" s="29"/>
      <c r="P5603" s="29" t="s">
        <v>4984</v>
      </c>
      <c r="Q5603" t="s">
        <v>2194</v>
      </c>
      <c r="R5603" t="s">
        <v>2635</v>
      </c>
      <c r="S5603">
        <v>36</v>
      </c>
      <c r="T5603" s="43" t="str">
        <f t="shared" si="262"/>
        <v>2020.005F.R.Genomoviridae.zip</v>
      </c>
      <c r="U5603" s="43" t="str">
        <f>HYPERLINK("https://ictv.global/taxonomy/taxondetails?taxnode_id=202203563","ictv.global=202203563")</f>
        <v>ictv.global=202203563</v>
      </c>
    </row>
    <row r="5604" spans="1:21">
      <c r="A5604">
        <v>5603</v>
      </c>
      <c r="B5604" s="29" t="s">
        <v>4053</v>
      </c>
      <c r="C5604" s="29"/>
      <c r="D5604" s="29" t="s">
        <v>4082</v>
      </c>
      <c r="E5604" s="29"/>
      <c r="F5604" s="29" t="s">
        <v>4106</v>
      </c>
      <c r="G5604" s="29"/>
      <c r="H5604" s="29" t="s">
        <v>4117</v>
      </c>
      <c r="I5604" s="29"/>
      <c r="J5604" s="29" t="s">
        <v>4118</v>
      </c>
      <c r="K5604" s="29"/>
      <c r="L5604" s="29" t="s">
        <v>2260</v>
      </c>
      <c r="M5604" s="29"/>
      <c r="N5604" s="29" t="s">
        <v>2261</v>
      </c>
      <c r="O5604" s="29"/>
      <c r="P5604" s="29" t="s">
        <v>4985</v>
      </c>
      <c r="Q5604" t="s">
        <v>2194</v>
      </c>
      <c r="R5604" t="s">
        <v>2635</v>
      </c>
      <c r="S5604">
        <v>36</v>
      </c>
      <c r="T5604" s="43" t="str">
        <f t="shared" si="262"/>
        <v>2020.005F.R.Genomoviridae.zip</v>
      </c>
      <c r="U5604" s="43" t="str">
        <f>HYPERLINK("https://ictv.global/taxonomy/taxondetails?taxnode_id=202203564","ictv.global=202203564")</f>
        <v>ictv.global=202203564</v>
      </c>
    </row>
    <row r="5605" spans="1:21">
      <c r="A5605">
        <v>5604</v>
      </c>
      <c r="B5605" s="29" t="s">
        <v>4053</v>
      </c>
      <c r="C5605" s="29"/>
      <c r="D5605" s="29" t="s">
        <v>4082</v>
      </c>
      <c r="E5605" s="29"/>
      <c r="F5605" s="29" t="s">
        <v>4106</v>
      </c>
      <c r="G5605" s="29"/>
      <c r="H5605" s="29" t="s">
        <v>4117</v>
      </c>
      <c r="I5605" s="29"/>
      <c r="J5605" s="29" t="s">
        <v>4118</v>
      </c>
      <c r="K5605" s="29"/>
      <c r="L5605" s="29" t="s">
        <v>2260</v>
      </c>
      <c r="M5605" s="29"/>
      <c r="N5605" s="29" t="s">
        <v>2261</v>
      </c>
      <c r="O5605" s="29"/>
      <c r="P5605" s="29" t="s">
        <v>4986</v>
      </c>
      <c r="Q5605" t="s">
        <v>2194</v>
      </c>
      <c r="R5605" t="s">
        <v>2635</v>
      </c>
      <c r="S5605">
        <v>36</v>
      </c>
      <c r="T5605" s="43" t="str">
        <f t="shared" si="262"/>
        <v>2020.005F.R.Genomoviridae.zip</v>
      </c>
      <c r="U5605" s="43" t="str">
        <f>HYPERLINK("https://ictv.global/taxonomy/taxondetails?taxnode_id=202203565","ictv.global=202203565")</f>
        <v>ictv.global=202203565</v>
      </c>
    </row>
    <row r="5606" spans="1:21">
      <c r="A5606">
        <v>5605</v>
      </c>
      <c r="B5606" s="29" t="s">
        <v>4053</v>
      </c>
      <c r="C5606" s="29"/>
      <c r="D5606" s="29" t="s">
        <v>4082</v>
      </c>
      <c r="E5606" s="29"/>
      <c r="F5606" s="29" t="s">
        <v>4106</v>
      </c>
      <c r="G5606" s="29"/>
      <c r="H5606" s="29" t="s">
        <v>4117</v>
      </c>
      <c r="I5606" s="29"/>
      <c r="J5606" s="29" t="s">
        <v>4118</v>
      </c>
      <c r="K5606" s="29"/>
      <c r="L5606" s="29" t="s">
        <v>2260</v>
      </c>
      <c r="M5606" s="29"/>
      <c r="N5606" s="29" t="s">
        <v>2261</v>
      </c>
      <c r="O5606" s="29"/>
      <c r="P5606" s="29" t="s">
        <v>4987</v>
      </c>
      <c r="Q5606" t="s">
        <v>2194</v>
      </c>
      <c r="R5606" t="s">
        <v>2632</v>
      </c>
      <c r="S5606">
        <v>36</v>
      </c>
      <c r="T5606" s="43" t="str">
        <f t="shared" si="262"/>
        <v>2020.005F.R.Genomoviridae.zip</v>
      </c>
      <c r="U5606" s="43" t="str">
        <f>HYPERLINK("https://ictv.global/taxonomy/taxondetails?taxnode_id=202208966","ictv.global=202208966")</f>
        <v>ictv.global=202208966</v>
      </c>
    </row>
    <row r="5607" spans="1:21">
      <c r="A5607">
        <v>5606</v>
      </c>
      <c r="B5607" s="29" t="s">
        <v>4053</v>
      </c>
      <c r="C5607" s="29"/>
      <c r="D5607" s="29" t="s">
        <v>4082</v>
      </c>
      <c r="E5607" s="29"/>
      <c r="F5607" s="29" t="s">
        <v>4106</v>
      </c>
      <c r="G5607" s="29"/>
      <c r="H5607" s="29" t="s">
        <v>4117</v>
      </c>
      <c r="I5607" s="29"/>
      <c r="J5607" s="29" t="s">
        <v>4118</v>
      </c>
      <c r="K5607" s="29"/>
      <c r="L5607" s="29" t="s">
        <v>2260</v>
      </c>
      <c r="M5607" s="29"/>
      <c r="N5607" s="29" t="s">
        <v>2261</v>
      </c>
      <c r="O5607" s="29"/>
      <c r="P5607" s="29" t="s">
        <v>4988</v>
      </c>
      <c r="Q5607" t="s">
        <v>2194</v>
      </c>
      <c r="R5607" t="s">
        <v>2632</v>
      </c>
      <c r="S5607">
        <v>36</v>
      </c>
      <c r="T5607" s="43" t="str">
        <f t="shared" si="262"/>
        <v>2020.005F.R.Genomoviridae.zip</v>
      </c>
      <c r="U5607" s="43" t="str">
        <f>HYPERLINK("https://ictv.global/taxonomy/taxondetails?taxnode_id=202208983","ictv.global=202208983")</f>
        <v>ictv.global=202208983</v>
      </c>
    </row>
    <row r="5608" spans="1:21">
      <c r="A5608">
        <v>5607</v>
      </c>
      <c r="B5608" s="29" t="s">
        <v>4053</v>
      </c>
      <c r="C5608" s="29"/>
      <c r="D5608" s="29" t="s">
        <v>4082</v>
      </c>
      <c r="E5608" s="29"/>
      <c r="F5608" s="29" t="s">
        <v>4106</v>
      </c>
      <c r="G5608" s="29"/>
      <c r="H5608" s="29" t="s">
        <v>4117</v>
      </c>
      <c r="I5608" s="29"/>
      <c r="J5608" s="29" t="s">
        <v>4118</v>
      </c>
      <c r="K5608" s="29"/>
      <c r="L5608" s="29" t="s">
        <v>2260</v>
      </c>
      <c r="M5608" s="29"/>
      <c r="N5608" s="29" t="s">
        <v>2261</v>
      </c>
      <c r="O5608" s="29"/>
      <c r="P5608" s="29" t="s">
        <v>4989</v>
      </c>
      <c r="Q5608" t="s">
        <v>2194</v>
      </c>
      <c r="R5608" t="s">
        <v>2632</v>
      </c>
      <c r="S5608">
        <v>36</v>
      </c>
      <c r="T5608" s="43" t="str">
        <f t="shared" si="262"/>
        <v>2020.005F.R.Genomoviridae.zip</v>
      </c>
      <c r="U5608" s="43" t="str">
        <f>HYPERLINK("https://ictv.global/taxonomy/taxondetails?taxnode_id=202208988","ictv.global=202208988")</f>
        <v>ictv.global=202208988</v>
      </c>
    </row>
    <row r="5609" spans="1:21">
      <c r="A5609">
        <v>5608</v>
      </c>
      <c r="B5609" s="29" t="s">
        <v>4053</v>
      </c>
      <c r="C5609" s="29"/>
      <c r="D5609" s="29" t="s">
        <v>4082</v>
      </c>
      <c r="E5609" s="29"/>
      <c r="F5609" s="29" t="s">
        <v>4106</v>
      </c>
      <c r="G5609" s="29"/>
      <c r="H5609" s="29" t="s">
        <v>4117</v>
      </c>
      <c r="I5609" s="29"/>
      <c r="J5609" s="29" t="s">
        <v>4118</v>
      </c>
      <c r="K5609" s="29"/>
      <c r="L5609" s="29" t="s">
        <v>2260</v>
      </c>
      <c r="M5609" s="29"/>
      <c r="N5609" s="29" t="s">
        <v>2261</v>
      </c>
      <c r="O5609" s="29"/>
      <c r="P5609" s="29" t="s">
        <v>4990</v>
      </c>
      <c r="Q5609" t="s">
        <v>2194</v>
      </c>
      <c r="R5609" t="s">
        <v>2632</v>
      </c>
      <c r="S5609">
        <v>36</v>
      </c>
      <c r="T5609" s="43" t="str">
        <f t="shared" si="262"/>
        <v>2020.005F.R.Genomoviridae.zip</v>
      </c>
      <c r="U5609" s="43" t="str">
        <f>HYPERLINK("https://ictv.global/taxonomy/taxondetails?taxnode_id=202208991","ictv.global=202208991")</f>
        <v>ictv.global=202208991</v>
      </c>
    </row>
    <row r="5610" spans="1:21">
      <c r="A5610">
        <v>5609</v>
      </c>
      <c r="B5610" s="29" t="s">
        <v>4053</v>
      </c>
      <c r="C5610" s="29"/>
      <c r="D5610" s="29" t="s">
        <v>4082</v>
      </c>
      <c r="E5610" s="29"/>
      <c r="F5610" s="29" t="s">
        <v>4106</v>
      </c>
      <c r="G5610" s="29"/>
      <c r="H5610" s="29" t="s">
        <v>4117</v>
      </c>
      <c r="I5610" s="29"/>
      <c r="J5610" s="29" t="s">
        <v>4118</v>
      </c>
      <c r="K5610" s="29"/>
      <c r="L5610" s="29" t="s">
        <v>2260</v>
      </c>
      <c r="M5610" s="29"/>
      <c r="N5610" s="29" t="s">
        <v>2261</v>
      </c>
      <c r="O5610" s="29"/>
      <c r="P5610" s="29" t="s">
        <v>4991</v>
      </c>
      <c r="Q5610" t="s">
        <v>2194</v>
      </c>
      <c r="R5610" t="s">
        <v>2632</v>
      </c>
      <c r="S5610">
        <v>36</v>
      </c>
      <c r="T5610" s="43" t="str">
        <f t="shared" si="262"/>
        <v>2020.005F.R.Genomoviridae.zip</v>
      </c>
      <c r="U5610" s="43" t="str">
        <f>HYPERLINK("https://ictv.global/taxonomy/taxondetails?taxnode_id=202208998","ictv.global=202208998")</f>
        <v>ictv.global=202208998</v>
      </c>
    </row>
    <row r="5611" spans="1:21">
      <c r="A5611">
        <v>5610</v>
      </c>
      <c r="B5611" s="29" t="s">
        <v>4053</v>
      </c>
      <c r="C5611" s="29"/>
      <c r="D5611" s="29" t="s">
        <v>4082</v>
      </c>
      <c r="E5611" s="29"/>
      <c r="F5611" s="29" t="s">
        <v>4106</v>
      </c>
      <c r="G5611" s="29"/>
      <c r="H5611" s="29" t="s">
        <v>4117</v>
      </c>
      <c r="I5611" s="29"/>
      <c r="J5611" s="29" t="s">
        <v>4118</v>
      </c>
      <c r="K5611" s="29"/>
      <c r="L5611" s="29" t="s">
        <v>2260</v>
      </c>
      <c r="M5611" s="29"/>
      <c r="N5611" s="29" t="s">
        <v>2261</v>
      </c>
      <c r="O5611" s="29"/>
      <c r="P5611" s="29" t="s">
        <v>4992</v>
      </c>
      <c r="Q5611" t="s">
        <v>2194</v>
      </c>
      <c r="R5611" t="s">
        <v>2632</v>
      </c>
      <c r="S5611">
        <v>36</v>
      </c>
      <c r="T5611" s="43" t="str">
        <f t="shared" si="262"/>
        <v>2020.005F.R.Genomoviridae.zip</v>
      </c>
      <c r="U5611" s="43" t="str">
        <f>HYPERLINK("https://ictv.global/taxonomy/taxondetails?taxnode_id=202209008","ictv.global=202209008")</f>
        <v>ictv.global=202209008</v>
      </c>
    </row>
    <row r="5612" spans="1:21">
      <c r="A5612">
        <v>5611</v>
      </c>
      <c r="B5612" s="29" t="s">
        <v>4053</v>
      </c>
      <c r="C5612" s="29"/>
      <c r="D5612" s="29" t="s">
        <v>4082</v>
      </c>
      <c r="E5612" s="29"/>
      <c r="F5612" s="29" t="s">
        <v>4106</v>
      </c>
      <c r="G5612" s="29"/>
      <c r="H5612" s="29" t="s">
        <v>4117</v>
      </c>
      <c r="I5612" s="29"/>
      <c r="J5612" s="29" t="s">
        <v>4118</v>
      </c>
      <c r="K5612" s="29"/>
      <c r="L5612" s="29" t="s">
        <v>2260</v>
      </c>
      <c r="M5612" s="29"/>
      <c r="N5612" s="29" t="s">
        <v>2261</v>
      </c>
      <c r="O5612" s="29"/>
      <c r="P5612" s="29" t="s">
        <v>4993</v>
      </c>
      <c r="Q5612" t="s">
        <v>2194</v>
      </c>
      <c r="R5612" t="s">
        <v>2632</v>
      </c>
      <c r="S5612">
        <v>36</v>
      </c>
      <c r="T5612" s="43" t="str">
        <f t="shared" si="262"/>
        <v>2020.005F.R.Genomoviridae.zip</v>
      </c>
      <c r="U5612" s="43" t="str">
        <f>HYPERLINK("https://ictv.global/taxonomy/taxondetails?taxnode_id=202209010","ictv.global=202209010")</f>
        <v>ictv.global=202209010</v>
      </c>
    </row>
    <row r="5613" spans="1:21">
      <c r="A5613">
        <v>5612</v>
      </c>
      <c r="B5613" s="29" t="s">
        <v>4053</v>
      </c>
      <c r="C5613" s="29"/>
      <c r="D5613" s="29" t="s">
        <v>4082</v>
      </c>
      <c r="E5613" s="29"/>
      <c r="F5613" s="29" t="s">
        <v>4106</v>
      </c>
      <c r="G5613" s="29"/>
      <c r="H5613" s="29" t="s">
        <v>4117</v>
      </c>
      <c r="I5613" s="29"/>
      <c r="J5613" s="29" t="s">
        <v>4118</v>
      </c>
      <c r="K5613" s="29"/>
      <c r="L5613" s="29" t="s">
        <v>2260</v>
      </c>
      <c r="M5613" s="29"/>
      <c r="N5613" s="29" t="s">
        <v>2261</v>
      </c>
      <c r="O5613" s="29"/>
      <c r="P5613" s="29" t="s">
        <v>4994</v>
      </c>
      <c r="Q5613" t="s">
        <v>2194</v>
      </c>
      <c r="R5613" t="s">
        <v>2632</v>
      </c>
      <c r="S5613">
        <v>36</v>
      </c>
      <c r="T5613" s="43" t="str">
        <f t="shared" si="262"/>
        <v>2020.005F.R.Genomoviridae.zip</v>
      </c>
      <c r="U5613" s="43" t="str">
        <f>HYPERLINK("https://ictv.global/taxonomy/taxondetails?taxnode_id=202208946","ictv.global=202208946")</f>
        <v>ictv.global=202208946</v>
      </c>
    </row>
    <row r="5614" spans="1:21">
      <c r="A5614">
        <v>5613</v>
      </c>
      <c r="B5614" s="29" t="s">
        <v>4053</v>
      </c>
      <c r="C5614" s="29"/>
      <c r="D5614" s="29" t="s">
        <v>4082</v>
      </c>
      <c r="E5614" s="29"/>
      <c r="F5614" s="29" t="s">
        <v>4106</v>
      </c>
      <c r="G5614" s="29"/>
      <c r="H5614" s="29" t="s">
        <v>4117</v>
      </c>
      <c r="I5614" s="29"/>
      <c r="J5614" s="29" t="s">
        <v>4118</v>
      </c>
      <c r="K5614" s="29"/>
      <c r="L5614" s="29" t="s">
        <v>2260</v>
      </c>
      <c r="M5614" s="29"/>
      <c r="N5614" s="29" t="s">
        <v>2261</v>
      </c>
      <c r="O5614" s="29"/>
      <c r="P5614" s="29" t="s">
        <v>4995</v>
      </c>
      <c r="Q5614" t="s">
        <v>2194</v>
      </c>
      <c r="R5614" t="s">
        <v>2632</v>
      </c>
      <c r="S5614">
        <v>36</v>
      </c>
      <c r="T5614" s="43" t="str">
        <f t="shared" si="262"/>
        <v>2020.005F.R.Genomoviridae.zip</v>
      </c>
      <c r="U5614" s="43" t="str">
        <f>HYPERLINK("https://ictv.global/taxonomy/taxondetails?taxnode_id=202208956","ictv.global=202208956")</f>
        <v>ictv.global=202208956</v>
      </c>
    </row>
    <row r="5615" spans="1:21">
      <c r="A5615">
        <v>5614</v>
      </c>
      <c r="B5615" s="29" t="s">
        <v>4053</v>
      </c>
      <c r="C5615" s="29"/>
      <c r="D5615" s="29" t="s">
        <v>4082</v>
      </c>
      <c r="E5615" s="29"/>
      <c r="F5615" s="29" t="s">
        <v>4106</v>
      </c>
      <c r="G5615" s="29"/>
      <c r="H5615" s="29" t="s">
        <v>4117</v>
      </c>
      <c r="I5615" s="29"/>
      <c r="J5615" s="29" t="s">
        <v>4118</v>
      </c>
      <c r="K5615" s="29"/>
      <c r="L5615" s="29" t="s">
        <v>2260</v>
      </c>
      <c r="M5615" s="29"/>
      <c r="N5615" s="29" t="s">
        <v>2261</v>
      </c>
      <c r="O5615" s="29"/>
      <c r="P5615" s="29" t="s">
        <v>4996</v>
      </c>
      <c r="Q5615" t="s">
        <v>2194</v>
      </c>
      <c r="R5615" t="s">
        <v>2632</v>
      </c>
      <c r="S5615">
        <v>36</v>
      </c>
      <c r="T5615" s="43" t="str">
        <f t="shared" si="262"/>
        <v>2020.005F.R.Genomoviridae.zip</v>
      </c>
      <c r="U5615" s="43" t="str">
        <f>HYPERLINK("https://ictv.global/taxonomy/taxondetails?taxnode_id=202209005","ictv.global=202209005")</f>
        <v>ictv.global=202209005</v>
      </c>
    </row>
    <row r="5616" spans="1:21">
      <c r="A5616">
        <v>5615</v>
      </c>
      <c r="B5616" s="29" t="s">
        <v>4053</v>
      </c>
      <c r="C5616" s="29"/>
      <c r="D5616" s="29" t="s">
        <v>4082</v>
      </c>
      <c r="E5616" s="29"/>
      <c r="F5616" s="29" t="s">
        <v>4106</v>
      </c>
      <c r="G5616" s="29"/>
      <c r="H5616" s="29" t="s">
        <v>4117</v>
      </c>
      <c r="I5616" s="29"/>
      <c r="J5616" s="29" t="s">
        <v>4118</v>
      </c>
      <c r="K5616" s="29"/>
      <c r="L5616" s="29" t="s">
        <v>2260</v>
      </c>
      <c r="M5616" s="29"/>
      <c r="N5616" s="29" t="s">
        <v>2261</v>
      </c>
      <c r="O5616" s="29"/>
      <c r="P5616" s="29" t="s">
        <v>4997</v>
      </c>
      <c r="Q5616" t="s">
        <v>2194</v>
      </c>
      <c r="R5616" t="s">
        <v>2632</v>
      </c>
      <c r="S5616">
        <v>36</v>
      </c>
      <c r="T5616" s="43" t="str">
        <f t="shared" si="262"/>
        <v>2020.005F.R.Genomoviridae.zip</v>
      </c>
      <c r="U5616" s="43" t="str">
        <f>HYPERLINK("https://ictv.global/taxonomy/taxondetails?taxnode_id=202209006","ictv.global=202209006")</f>
        <v>ictv.global=202209006</v>
      </c>
    </row>
    <row r="5617" spans="1:21">
      <c r="A5617">
        <v>5616</v>
      </c>
      <c r="B5617" s="29" t="s">
        <v>4053</v>
      </c>
      <c r="C5617" s="29"/>
      <c r="D5617" s="29" t="s">
        <v>4082</v>
      </c>
      <c r="E5617" s="29"/>
      <c r="F5617" s="29" t="s">
        <v>4106</v>
      </c>
      <c r="G5617" s="29"/>
      <c r="H5617" s="29" t="s">
        <v>4117</v>
      </c>
      <c r="I5617" s="29"/>
      <c r="J5617" s="29" t="s">
        <v>4118</v>
      </c>
      <c r="K5617" s="29"/>
      <c r="L5617" s="29" t="s">
        <v>2260</v>
      </c>
      <c r="M5617" s="29"/>
      <c r="N5617" s="29" t="s">
        <v>2261</v>
      </c>
      <c r="O5617" s="29"/>
      <c r="P5617" s="29" t="s">
        <v>4998</v>
      </c>
      <c r="Q5617" t="s">
        <v>2194</v>
      </c>
      <c r="R5617" t="s">
        <v>2632</v>
      </c>
      <c r="S5617">
        <v>36</v>
      </c>
      <c r="T5617" s="43" t="str">
        <f t="shared" si="262"/>
        <v>2020.005F.R.Genomoviridae.zip</v>
      </c>
      <c r="U5617" s="43" t="str">
        <f>HYPERLINK("https://ictv.global/taxonomy/taxondetails?taxnode_id=202208954","ictv.global=202208954")</f>
        <v>ictv.global=202208954</v>
      </c>
    </row>
    <row r="5618" spans="1:21">
      <c r="A5618">
        <v>5617</v>
      </c>
      <c r="B5618" s="29" t="s">
        <v>4053</v>
      </c>
      <c r="C5618" s="29"/>
      <c r="D5618" s="29" t="s">
        <v>4082</v>
      </c>
      <c r="E5618" s="29"/>
      <c r="F5618" s="29" t="s">
        <v>4106</v>
      </c>
      <c r="G5618" s="29"/>
      <c r="H5618" s="29" t="s">
        <v>4117</v>
      </c>
      <c r="I5618" s="29"/>
      <c r="J5618" s="29" t="s">
        <v>4118</v>
      </c>
      <c r="K5618" s="29"/>
      <c r="L5618" s="29" t="s">
        <v>2260</v>
      </c>
      <c r="M5618" s="29"/>
      <c r="N5618" s="29" t="s">
        <v>2261</v>
      </c>
      <c r="O5618" s="29"/>
      <c r="P5618" s="29" t="s">
        <v>4999</v>
      </c>
      <c r="Q5618" t="s">
        <v>2194</v>
      </c>
      <c r="R5618" t="s">
        <v>2632</v>
      </c>
      <c r="S5618">
        <v>36</v>
      </c>
      <c r="T5618" s="43" t="str">
        <f t="shared" si="262"/>
        <v>2020.005F.R.Genomoviridae.zip</v>
      </c>
      <c r="U5618" s="43" t="str">
        <f>HYPERLINK("https://ictv.global/taxonomy/taxondetails?taxnode_id=202208958","ictv.global=202208958")</f>
        <v>ictv.global=202208958</v>
      </c>
    </row>
    <row r="5619" spans="1:21">
      <c r="A5619">
        <v>5618</v>
      </c>
      <c r="B5619" s="29" t="s">
        <v>4053</v>
      </c>
      <c r="C5619" s="29"/>
      <c r="D5619" s="29" t="s">
        <v>4082</v>
      </c>
      <c r="E5619" s="29"/>
      <c r="F5619" s="29" t="s">
        <v>4106</v>
      </c>
      <c r="G5619" s="29"/>
      <c r="H5619" s="29" t="s">
        <v>4117</v>
      </c>
      <c r="I5619" s="29"/>
      <c r="J5619" s="29" t="s">
        <v>4118</v>
      </c>
      <c r="K5619" s="29"/>
      <c r="L5619" s="29" t="s">
        <v>2260</v>
      </c>
      <c r="M5619" s="29"/>
      <c r="N5619" s="29" t="s">
        <v>2261</v>
      </c>
      <c r="O5619" s="29"/>
      <c r="P5619" s="29" t="s">
        <v>5000</v>
      </c>
      <c r="Q5619" t="s">
        <v>2194</v>
      </c>
      <c r="R5619" t="s">
        <v>2632</v>
      </c>
      <c r="S5619">
        <v>36</v>
      </c>
      <c r="T5619" s="43" t="str">
        <f t="shared" si="262"/>
        <v>2020.005F.R.Genomoviridae.zip</v>
      </c>
      <c r="U5619" s="43" t="str">
        <f>HYPERLINK("https://ictv.global/taxonomy/taxondetails?taxnode_id=202209002","ictv.global=202209002")</f>
        <v>ictv.global=202209002</v>
      </c>
    </row>
    <row r="5620" spans="1:21">
      <c r="A5620">
        <v>5619</v>
      </c>
      <c r="B5620" s="29" t="s">
        <v>4053</v>
      </c>
      <c r="C5620" s="29"/>
      <c r="D5620" s="29" t="s">
        <v>4082</v>
      </c>
      <c r="E5620" s="29"/>
      <c r="F5620" s="29" t="s">
        <v>4106</v>
      </c>
      <c r="G5620" s="29"/>
      <c r="H5620" s="29" t="s">
        <v>4117</v>
      </c>
      <c r="I5620" s="29"/>
      <c r="J5620" s="29" t="s">
        <v>4118</v>
      </c>
      <c r="K5620" s="29"/>
      <c r="L5620" s="29" t="s">
        <v>2260</v>
      </c>
      <c r="M5620" s="29"/>
      <c r="N5620" s="29" t="s">
        <v>2261</v>
      </c>
      <c r="O5620" s="29"/>
      <c r="P5620" s="29" t="s">
        <v>5001</v>
      </c>
      <c r="Q5620" t="s">
        <v>2194</v>
      </c>
      <c r="R5620" t="s">
        <v>2632</v>
      </c>
      <c r="S5620">
        <v>36</v>
      </c>
      <c r="T5620" s="43" t="str">
        <f t="shared" si="262"/>
        <v>2020.005F.R.Genomoviridae.zip</v>
      </c>
      <c r="U5620" s="43" t="str">
        <f>HYPERLINK("https://ictv.global/taxonomy/taxondetails?taxnode_id=202208995","ictv.global=202208995")</f>
        <v>ictv.global=202208995</v>
      </c>
    </row>
    <row r="5621" spans="1:21">
      <c r="A5621">
        <v>5620</v>
      </c>
      <c r="B5621" s="29" t="s">
        <v>4053</v>
      </c>
      <c r="C5621" s="29"/>
      <c r="D5621" s="29" t="s">
        <v>4082</v>
      </c>
      <c r="E5621" s="29"/>
      <c r="F5621" s="29" t="s">
        <v>4106</v>
      </c>
      <c r="G5621" s="29"/>
      <c r="H5621" s="29" t="s">
        <v>4117</v>
      </c>
      <c r="I5621" s="29"/>
      <c r="J5621" s="29" t="s">
        <v>4118</v>
      </c>
      <c r="K5621" s="29"/>
      <c r="L5621" s="29" t="s">
        <v>2260</v>
      </c>
      <c r="M5621" s="29"/>
      <c r="N5621" s="29" t="s">
        <v>2261</v>
      </c>
      <c r="O5621" s="29"/>
      <c r="P5621" s="29" t="s">
        <v>5002</v>
      </c>
      <c r="Q5621" t="s">
        <v>2194</v>
      </c>
      <c r="R5621" t="s">
        <v>2635</v>
      </c>
      <c r="S5621">
        <v>36</v>
      </c>
      <c r="T5621" s="43" t="str">
        <f t="shared" si="262"/>
        <v>2020.005F.R.Genomoviridae.zip</v>
      </c>
      <c r="U5621" s="43" t="str">
        <f>HYPERLINK("https://ictv.global/taxonomy/taxondetails?taxnode_id=202203566","ictv.global=202203566")</f>
        <v>ictv.global=202203566</v>
      </c>
    </row>
    <row r="5622" spans="1:21">
      <c r="A5622">
        <v>5621</v>
      </c>
      <c r="B5622" s="29" t="s">
        <v>4053</v>
      </c>
      <c r="C5622" s="29"/>
      <c r="D5622" s="29" t="s">
        <v>4082</v>
      </c>
      <c r="E5622" s="29"/>
      <c r="F5622" s="29" t="s">
        <v>4106</v>
      </c>
      <c r="G5622" s="29"/>
      <c r="H5622" s="29" t="s">
        <v>4117</v>
      </c>
      <c r="I5622" s="29"/>
      <c r="J5622" s="29" t="s">
        <v>4118</v>
      </c>
      <c r="K5622" s="29"/>
      <c r="L5622" s="29" t="s">
        <v>2260</v>
      </c>
      <c r="M5622" s="29"/>
      <c r="N5622" s="29" t="s">
        <v>2261</v>
      </c>
      <c r="O5622" s="29"/>
      <c r="P5622" s="29" t="s">
        <v>5003</v>
      </c>
      <c r="Q5622" t="s">
        <v>2194</v>
      </c>
      <c r="R5622" t="s">
        <v>2632</v>
      </c>
      <c r="S5622">
        <v>36</v>
      </c>
      <c r="T5622" s="43" t="str">
        <f t="shared" si="262"/>
        <v>2020.005F.R.Genomoviridae.zip</v>
      </c>
      <c r="U5622" s="43" t="str">
        <f>HYPERLINK("https://ictv.global/taxonomy/taxondetails?taxnode_id=202208979","ictv.global=202208979")</f>
        <v>ictv.global=202208979</v>
      </c>
    </row>
    <row r="5623" spans="1:21">
      <c r="A5623">
        <v>5622</v>
      </c>
      <c r="B5623" s="29" t="s">
        <v>4053</v>
      </c>
      <c r="C5623" s="29"/>
      <c r="D5623" s="29" t="s">
        <v>4082</v>
      </c>
      <c r="E5623" s="29"/>
      <c r="F5623" s="29" t="s">
        <v>4106</v>
      </c>
      <c r="G5623" s="29"/>
      <c r="H5623" s="29" t="s">
        <v>4117</v>
      </c>
      <c r="I5623" s="29"/>
      <c r="J5623" s="29" t="s">
        <v>4118</v>
      </c>
      <c r="K5623" s="29"/>
      <c r="L5623" s="29" t="s">
        <v>2260</v>
      </c>
      <c r="M5623" s="29"/>
      <c r="N5623" s="29" t="s">
        <v>2261</v>
      </c>
      <c r="O5623" s="29"/>
      <c r="P5623" s="29" t="s">
        <v>5004</v>
      </c>
      <c r="Q5623" t="s">
        <v>2041</v>
      </c>
      <c r="R5623" t="s">
        <v>2635</v>
      </c>
      <c r="S5623">
        <v>36</v>
      </c>
      <c r="T5623" s="43" t="str">
        <f t="shared" si="262"/>
        <v>2020.005F.R.Genomoviridae.zip</v>
      </c>
      <c r="U5623" s="43" t="str">
        <f>HYPERLINK("https://ictv.global/taxonomy/taxondetails?taxnode_id=202203567","ictv.global=202203567")</f>
        <v>ictv.global=202203567</v>
      </c>
    </row>
    <row r="5624" spans="1:21">
      <c r="A5624">
        <v>5623</v>
      </c>
      <c r="B5624" s="29" t="s">
        <v>4053</v>
      </c>
      <c r="C5624" s="29"/>
      <c r="D5624" s="29" t="s">
        <v>4082</v>
      </c>
      <c r="E5624" s="29"/>
      <c r="F5624" s="29" t="s">
        <v>4106</v>
      </c>
      <c r="G5624" s="29"/>
      <c r="H5624" s="29" t="s">
        <v>4117</v>
      </c>
      <c r="I5624" s="29"/>
      <c r="J5624" s="29" t="s">
        <v>4118</v>
      </c>
      <c r="K5624" s="29"/>
      <c r="L5624" s="29" t="s">
        <v>2260</v>
      </c>
      <c r="M5624" s="29"/>
      <c r="N5624" s="29" t="s">
        <v>2261</v>
      </c>
      <c r="O5624" s="29"/>
      <c r="P5624" s="29" t="s">
        <v>5005</v>
      </c>
      <c r="Q5624" t="s">
        <v>2194</v>
      </c>
      <c r="R5624" t="s">
        <v>2632</v>
      </c>
      <c r="S5624">
        <v>36</v>
      </c>
      <c r="T5624" s="43" t="str">
        <f t="shared" si="262"/>
        <v>2020.005F.R.Genomoviridae.zip</v>
      </c>
      <c r="U5624" s="43" t="str">
        <f>HYPERLINK("https://ictv.global/taxonomy/taxondetails?taxnode_id=202208940","ictv.global=202208940")</f>
        <v>ictv.global=202208940</v>
      </c>
    </row>
    <row r="5625" spans="1:21">
      <c r="A5625">
        <v>5624</v>
      </c>
      <c r="B5625" s="29" t="s">
        <v>4053</v>
      </c>
      <c r="C5625" s="29"/>
      <c r="D5625" s="29" t="s">
        <v>4082</v>
      </c>
      <c r="E5625" s="29"/>
      <c r="F5625" s="29" t="s">
        <v>4106</v>
      </c>
      <c r="G5625" s="29"/>
      <c r="H5625" s="29" t="s">
        <v>4117</v>
      </c>
      <c r="I5625" s="29"/>
      <c r="J5625" s="29" t="s">
        <v>4118</v>
      </c>
      <c r="K5625" s="29"/>
      <c r="L5625" s="29" t="s">
        <v>2260</v>
      </c>
      <c r="M5625" s="29"/>
      <c r="N5625" s="29" t="s">
        <v>2261</v>
      </c>
      <c r="O5625" s="29"/>
      <c r="P5625" s="29" t="s">
        <v>5006</v>
      </c>
      <c r="Q5625" t="s">
        <v>2194</v>
      </c>
      <c r="R5625" t="s">
        <v>2632</v>
      </c>
      <c r="S5625">
        <v>36</v>
      </c>
      <c r="T5625" s="43" t="str">
        <f t="shared" si="262"/>
        <v>2020.005F.R.Genomoviridae.zip</v>
      </c>
      <c r="U5625" s="43" t="str">
        <f>HYPERLINK("https://ictv.global/taxonomy/taxondetails?taxnode_id=202208965","ictv.global=202208965")</f>
        <v>ictv.global=202208965</v>
      </c>
    </row>
    <row r="5626" spans="1:21">
      <c r="A5626">
        <v>5625</v>
      </c>
      <c r="B5626" s="29" t="s">
        <v>4053</v>
      </c>
      <c r="C5626" s="29"/>
      <c r="D5626" s="29" t="s">
        <v>4082</v>
      </c>
      <c r="E5626" s="29"/>
      <c r="F5626" s="29" t="s">
        <v>4106</v>
      </c>
      <c r="G5626" s="29"/>
      <c r="H5626" s="29" t="s">
        <v>4117</v>
      </c>
      <c r="I5626" s="29"/>
      <c r="J5626" s="29" t="s">
        <v>4118</v>
      </c>
      <c r="K5626" s="29"/>
      <c r="L5626" s="29" t="s">
        <v>2260</v>
      </c>
      <c r="M5626" s="29"/>
      <c r="N5626" s="29" t="s">
        <v>2261</v>
      </c>
      <c r="O5626" s="29"/>
      <c r="P5626" s="29" t="s">
        <v>5007</v>
      </c>
      <c r="Q5626" t="s">
        <v>2194</v>
      </c>
      <c r="R5626" t="s">
        <v>2632</v>
      </c>
      <c r="S5626">
        <v>36</v>
      </c>
      <c r="T5626" s="43" t="str">
        <f t="shared" si="262"/>
        <v>2020.005F.R.Genomoviridae.zip</v>
      </c>
      <c r="U5626" s="43" t="str">
        <f>HYPERLINK("https://ictv.global/taxonomy/taxondetails?taxnode_id=202209018","ictv.global=202209018")</f>
        <v>ictv.global=202209018</v>
      </c>
    </row>
    <row r="5627" spans="1:21">
      <c r="A5627">
        <v>5626</v>
      </c>
      <c r="B5627" s="29" t="s">
        <v>4053</v>
      </c>
      <c r="C5627" s="29"/>
      <c r="D5627" s="29" t="s">
        <v>4082</v>
      </c>
      <c r="E5627" s="29"/>
      <c r="F5627" s="29" t="s">
        <v>4106</v>
      </c>
      <c r="G5627" s="29"/>
      <c r="H5627" s="29" t="s">
        <v>4117</v>
      </c>
      <c r="I5627" s="29"/>
      <c r="J5627" s="29" t="s">
        <v>4118</v>
      </c>
      <c r="K5627" s="29"/>
      <c r="L5627" s="29" t="s">
        <v>2260</v>
      </c>
      <c r="M5627" s="29"/>
      <c r="N5627" s="29" t="s">
        <v>2261</v>
      </c>
      <c r="O5627" s="29"/>
      <c r="P5627" s="29" t="s">
        <v>5008</v>
      </c>
      <c r="Q5627" t="s">
        <v>2194</v>
      </c>
      <c r="R5627" t="s">
        <v>2632</v>
      </c>
      <c r="S5627">
        <v>36</v>
      </c>
      <c r="T5627" s="43" t="str">
        <f t="shared" si="262"/>
        <v>2020.005F.R.Genomoviridae.zip</v>
      </c>
      <c r="U5627" s="43" t="str">
        <f>HYPERLINK("https://ictv.global/taxonomy/taxondetails?taxnode_id=202208936","ictv.global=202208936")</f>
        <v>ictv.global=202208936</v>
      </c>
    </row>
    <row r="5628" spans="1:21">
      <c r="A5628">
        <v>5627</v>
      </c>
      <c r="B5628" s="29" t="s">
        <v>4053</v>
      </c>
      <c r="C5628" s="29"/>
      <c r="D5628" s="29" t="s">
        <v>4082</v>
      </c>
      <c r="E5628" s="29"/>
      <c r="F5628" s="29" t="s">
        <v>4106</v>
      </c>
      <c r="G5628" s="29"/>
      <c r="H5628" s="29" t="s">
        <v>4117</v>
      </c>
      <c r="I5628" s="29"/>
      <c r="J5628" s="29" t="s">
        <v>4118</v>
      </c>
      <c r="K5628" s="29"/>
      <c r="L5628" s="29" t="s">
        <v>2260</v>
      </c>
      <c r="M5628" s="29"/>
      <c r="N5628" s="29" t="s">
        <v>2261</v>
      </c>
      <c r="O5628" s="29"/>
      <c r="P5628" s="29" t="s">
        <v>5009</v>
      </c>
      <c r="Q5628" t="s">
        <v>2194</v>
      </c>
      <c r="R5628" t="s">
        <v>2632</v>
      </c>
      <c r="S5628">
        <v>36</v>
      </c>
      <c r="T5628" s="43" t="str">
        <f t="shared" si="262"/>
        <v>2020.005F.R.Genomoviridae.zip</v>
      </c>
      <c r="U5628" s="43" t="str">
        <f>HYPERLINK("https://ictv.global/taxonomy/taxondetails?taxnode_id=202209015","ictv.global=202209015")</f>
        <v>ictv.global=202209015</v>
      </c>
    </row>
    <row r="5629" spans="1:21">
      <c r="A5629">
        <v>5628</v>
      </c>
      <c r="B5629" s="29" t="s">
        <v>4053</v>
      </c>
      <c r="C5629" s="29"/>
      <c r="D5629" s="29" t="s">
        <v>4082</v>
      </c>
      <c r="E5629" s="29"/>
      <c r="F5629" s="29" t="s">
        <v>4106</v>
      </c>
      <c r="G5629" s="29"/>
      <c r="H5629" s="29" t="s">
        <v>4117</v>
      </c>
      <c r="I5629" s="29"/>
      <c r="J5629" s="29" t="s">
        <v>4118</v>
      </c>
      <c r="K5629" s="29"/>
      <c r="L5629" s="29" t="s">
        <v>2260</v>
      </c>
      <c r="M5629" s="29"/>
      <c r="N5629" s="29" t="s">
        <v>2261</v>
      </c>
      <c r="O5629" s="29"/>
      <c r="P5629" s="29" t="s">
        <v>5010</v>
      </c>
      <c r="Q5629" t="s">
        <v>2194</v>
      </c>
      <c r="R5629" t="s">
        <v>2632</v>
      </c>
      <c r="S5629">
        <v>36</v>
      </c>
      <c r="T5629" s="43" t="str">
        <f t="shared" si="262"/>
        <v>2020.005F.R.Genomoviridae.zip</v>
      </c>
      <c r="U5629" s="43" t="str">
        <f>HYPERLINK("https://ictv.global/taxonomy/taxondetails?taxnode_id=202209016","ictv.global=202209016")</f>
        <v>ictv.global=202209016</v>
      </c>
    </row>
    <row r="5630" spans="1:21">
      <c r="A5630">
        <v>5629</v>
      </c>
      <c r="B5630" s="29" t="s">
        <v>4053</v>
      </c>
      <c r="C5630" s="29"/>
      <c r="D5630" s="29" t="s">
        <v>4082</v>
      </c>
      <c r="E5630" s="29"/>
      <c r="F5630" s="29" t="s">
        <v>4106</v>
      </c>
      <c r="G5630" s="29"/>
      <c r="H5630" s="29" t="s">
        <v>4117</v>
      </c>
      <c r="I5630" s="29"/>
      <c r="J5630" s="29" t="s">
        <v>4118</v>
      </c>
      <c r="K5630" s="29"/>
      <c r="L5630" s="29" t="s">
        <v>2260</v>
      </c>
      <c r="M5630" s="29"/>
      <c r="N5630" s="29" t="s">
        <v>2261</v>
      </c>
      <c r="O5630" s="29"/>
      <c r="P5630" s="29" t="s">
        <v>5011</v>
      </c>
      <c r="Q5630" t="s">
        <v>2194</v>
      </c>
      <c r="R5630" t="s">
        <v>2632</v>
      </c>
      <c r="S5630">
        <v>36</v>
      </c>
      <c r="T5630" s="43" t="str">
        <f t="shared" si="262"/>
        <v>2020.005F.R.Genomoviridae.zip</v>
      </c>
      <c r="U5630" s="43" t="str">
        <f>HYPERLINK("https://ictv.global/taxonomy/taxondetails?taxnode_id=202208962","ictv.global=202208962")</f>
        <v>ictv.global=202208962</v>
      </c>
    </row>
    <row r="5631" spans="1:21">
      <c r="A5631">
        <v>5630</v>
      </c>
      <c r="B5631" s="29" t="s">
        <v>4053</v>
      </c>
      <c r="C5631" s="29"/>
      <c r="D5631" s="29" t="s">
        <v>4082</v>
      </c>
      <c r="E5631" s="29"/>
      <c r="F5631" s="29" t="s">
        <v>4106</v>
      </c>
      <c r="G5631" s="29"/>
      <c r="H5631" s="29" t="s">
        <v>4117</v>
      </c>
      <c r="I5631" s="29"/>
      <c r="J5631" s="29" t="s">
        <v>4118</v>
      </c>
      <c r="K5631" s="29"/>
      <c r="L5631" s="29" t="s">
        <v>2260</v>
      </c>
      <c r="M5631" s="29"/>
      <c r="N5631" s="29" t="s">
        <v>2261</v>
      </c>
      <c r="O5631" s="29"/>
      <c r="P5631" s="29" t="s">
        <v>5012</v>
      </c>
      <c r="Q5631" t="s">
        <v>2194</v>
      </c>
      <c r="R5631" t="s">
        <v>2632</v>
      </c>
      <c r="S5631">
        <v>36</v>
      </c>
      <c r="T5631" s="43" t="str">
        <f t="shared" si="262"/>
        <v>2020.005F.R.Genomoviridae.zip</v>
      </c>
      <c r="U5631" s="43" t="str">
        <f>HYPERLINK("https://ictv.global/taxonomy/taxondetails?taxnode_id=202209000","ictv.global=202209000")</f>
        <v>ictv.global=202209000</v>
      </c>
    </row>
    <row r="5632" spans="1:21">
      <c r="A5632">
        <v>5631</v>
      </c>
      <c r="B5632" s="29" t="s">
        <v>4053</v>
      </c>
      <c r="C5632" s="29"/>
      <c r="D5632" s="29" t="s">
        <v>4082</v>
      </c>
      <c r="E5632" s="29"/>
      <c r="F5632" s="29" t="s">
        <v>4106</v>
      </c>
      <c r="G5632" s="29"/>
      <c r="H5632" s="29" t="s">
        <v>4117</v>
      </c>
      <c r="I5632" s="29"/>
      <c r="J5632" s="29" t="s">
        <v>4118</v>
      </c>
      <c r="K5632" s="29"/>
      <c r="L5632" s="29" t="s">
        <v>2260</v>
      </c>
      <c r="M5632" s="29"/>
      <c r="N5632" s="29" t="s">
        <v>2261</v>
      </c>
      <c r="O5632" s="29"/>
      <c r="P5632" s="29" t="s">
        <v>5013</v>
      </c>
      <c r="Q5632" t="s">
        <v>2194</v>
      </c>
      <c r="R5632" t="s">
        <v>2632</v>
      </c>
      <c r="S5632">
        <v>36</v>
      </c>
      <c r="T5632" s="43" t="str">
        <f t="shared" ref="T5632:T5663" si="263">HYPERLINK("https://ictv.global/ictv/proposals/2020.005F.R.Genomoviridae.zip","2020.005F.R.Genomoviridae.zip")</f>
        <v>2020.005F.R.Genomoviridae.zip</v>
      </c>
      <c r="U5632" s="43" t="str">
        <f>HYPERLINK("https://ictv.global/taxonomy/taxondetails?taxnode_id=202208967","ictv.global=202208967")</f>
        <v>ictv.global=202208967</v>
      </c>
    </row>
    <row r="5633" spans="1:21">
      <c r="A5633">
        <v>5632</v>
      </c>
      <c r="B5633" s="29" t="s">
        <v>4053</v>
      </c>
      <c r="C5633" s="29"/>
      <c r="D5633" s="29" t="s">
        <v>4082</v>
      </c>
      <c r="E5633" s="29"/>
      <c r="F5633" s="29" t="s">
        <v>4106</v>
      </c>
      <c r="G5633" s="29"/>
      <c r="H5633" s="29" t="s">
        <v>4117</v>
      </c>
      <c r="I5633" s="29"/>
      <c r="J5633" s="29" t="s">
        <v>4118</v>
      </c>
      <c r="K5633" s="29"/>
      <c r="L5633" s="29" t="s">
        <v>2260</v>
      </c>
      <c r="M5633" s="29"/>
      <c r="N5633" s="29" t="s">
        <v>2261</v>
      </c>
      <c r="O5633" s="29"/>
      <c r="P5633" s="29" t="s">
        <v>5014</v>
      </c>
      <c r="Q5633" t="s">
        <v>2194</v>
      </c>
      <c r="R5633" t="s">
        <v>2632</v>
      </c>
      <c r="S5633">
        <v>36</v>
      </c>
      <c r="T5633" s="43" t="str">
        <f t="shared" si="263"/>
        <v>2020.005F.R.Genomoviridae.zip</v>
      </c>
      <c r="U5633" s="43" t="str">
        <f>HYPERLINK("https://ictv.global/taxonomy/taxondetails?taxnode_id=202209001","ictv.global=202209001")</f>
        <v>ictv.global=202209001</v>
      </c>
    </row>
    <row r="5634" spans="1:21">
      <c r="A5634">
        <v>5633</v>
      </c>
      <c r="B5634" s="29" t="s">
        <v>4053</v>
      </c>
      <c r="C5634" s="29"/>
      <c r="D5634" s="29" t="s">
        <v>4082</v>
      </c>
      <c r="E5634" s="29"/>
      <c r="F5634" s="29" t="s">
        <v>4106</v>
      </c>
      <c r="G5634" s="29"/>
      <c r="H5634" s="29" t="s">
        <v>4117</v>
      </c>
      <c r="I5634" s="29"/>
      <c r="J5634" s="29" t="s">
        <v>4118</v>
      </c>
      <c r="K5634" s="29"/>
      <c r="L5634" s="29" t="s">
        <v>2260</v>
      </c>
      <c r="M5634" s="29"/>
      <c r="N5634" s="29" t="s">
        <v>2261</v>
      </c>
      <c r="O5634" s="29"/>
      <c r="P5634" s="29" t="s">
        <v>5015</v>
      </c>
      <c r="Q5634" t="s">
        <v>2194</v>
      </c>
      <c r="R5634" t="s">
        <v>2635</v>
      </c>
      <c r="S5634">
        <v>36</v>
      </c>
      <c r="T5634" s="43" t="str">
        <f t="shared" si="263"/>
        <v>2020.005F.R.Genomoviridae.zip</v>
      </c>
      <c r="U5634" s="43" t="str">
        <f>HYPERLINK("https://ictv.global/taxonomy/taxondetails?taxnode_id=202203568","ictv.global=202203568")</f>
        <v>ictv.global=202203568</v>
      </c>
    </row>
    <row r="5635" spans="1:21">
      <c r="A5635">
        <v>5634</v>
      </c>
      <c r="B5635" s="29" t="s">
        <v>4053</v>
      </c>
      <c r="C5635" s="29"/>
      <c r="D5635" s="29" t="s">
        <v>4082</v>
      </c>
      <c r="E5635" s="29"/>
      <c r="F5635" s="29" t="s">
        <v>4106</v>
      </c>
      <c r="G5635" s="29"/>
      <c r="H5635" s="29" t="s">
        <v>4117</v>
      </c>
      <c r="I5635" s="29"/>
      <c r="J5635" s="29" t="s">
        <v>4118</v>
      </c>
      <c r="K5635" s="29"/>
      <c r="L5635" s="29" t="s">
        <v>2260</v>
      </c>
      <c r="M5635" s="29"/>
      <c r="N5635" s="29" t="s">
        <v>2261</v>
      </c>
      <c r="O5635" s="29"/>
      <c r="P5635" s="29" t="s">
        <v>5016</v>
      </c>
      <c r="Q5635" t="s">
        <v>2041</v>
      </c>
      <c r="R5635" t="s">
        <v>2635</v>
      </c>
      <c r="S5635">
        <v>36</v>
      </c>
      <c r="T5635" s="43" t="str">
        <f t="shared" si="263"/>
        <v>2020.005F.R.Genomoviridae.zip</v>
      </c>
      <c r="U5635" s="43" t="str">
        <f>HYPERLINK("https://ictv.global/taxonomy/taxondetails?taxnode_id=202203569","ictv.global=202203569")</f>
        <v>ictv.global=202203569</v>
      </c>
    </row>
    <row r="5636" spans="1:21">
      <c r="A5636">
        <v>5635</v>
      </c>
      <c r="B5636" s="29" t="s">
        <v>4053</v>
      </c>
      <c r="C5636" s="29"/>
      <c r="D5636" s="29" t="s">
        <v>4082</v>
      </c>
      <c r="E5636" s="29"/>
      <c r="F5636" s="29" t="s">
        <v>4106</v>
      </c>
      <c r="G5636" s="29"/>
      <c r="H5636" s="29" t="s">
        <v>4117</v>
      </c>
      <c r="I5636" s="29"/>
      <c r="J5636" s="29" t="s">
        <v>4118</v>
      </c>
      <c r="K5636" s="29"/>
      <c r="L5636" s="29" t="s">
        <v>2260</v>
      </c>
      <c r="M5636" s="29"/>
      <c r="N5636" s="29" t="s">
        <v>2261</v>
      </c>
      <c r="O5636" s="29"/>
      <c r="P5636" s="29" t="s">
        <v>5017</v>
      </c>
      <c r="Q5636" t="s">
        <v>2194</v>
      </c>
      <c r="R5636" t="s">
        <v>2632</v>
      </c>
      <c r="S5636">
        <v>36</v>
      </c>
      <c r="T5636" s="43" t="str">
        <f t="shared" si="263"/>
        <v>2020.005F.R.Genomoviridae.zip</v>
      </c>
      <c r="U5636" s="43" t="str">
        <f>HYPERLINK("https://ictv.global/taxonomy/taxondetails?taxnode_id=202209004","ictv.global=202209004")</f>
        <v>ictv.global=202209004</v>
      </c>
    </row>
    <row r="5637" spans="1:21">
      <c r="A5637">
        <v>5636</v>
      </c>
      <c r="B5637" s="29" t="s">
        <v>4053</v>
      </c>
      <c r="C5637" s="29"/>
      <c r="D5637" s="29" t="s">
        <v>4082</v>
      </c>
      <c r="E5637" s="29"/>
      <c r="F5637" s="29" t="s">
        <v>4106</v>
      </c>
      <c r="G5637" s="29"/>
      <c r="H5637" s="29" t="s">
        <v>4117</v>
      </c>
      <c r="I5637" s="29"/>
      <c r="J5637" s="29" t="s">
        <v>4118</v>
      </c>
      <c r="K5637" s="29"/>
      <c r="L5637" s="29" t="s">
        <v>2260</v>
      </c>
      <c r="M5637" s="29"/>
      <c r="N5637" s="29" t="s">
        <v>2261</v>
      </c>
      <c r="O5637" s="29"/>
      <c r="P5637" s="29" t="s">
        <v>5018</v>
      </c>
      <c r="Q5637" t="s">
        <v>2194</v>
      </c>
      <c r="R5637" t="s">
        <v>2632</v>
      </c>
      <c r="S5637">
        <v>36</v>
      </c>
      <c r="T5637" s="43" t="str">
        <f t="shared" si="263"/>
        <v>2020.005F.R.Genomoviridae.zip</v>
      </c>
      <c r="U5637" s="43" t="str">
        <f>HYPERLINK("https://ictv.global/taxonomy/taxondetails?taxnode_id=202208947","ictv.global=202208947")</f>
        <v>ictv.global=202208947</v>
      </c>
    </row>
    <row r="5638" spans="1:21">
      <c r="A5638">
        <v>5637</v>
      </c>
      <c r="B5638" s="29" t="s">
        <v>4053</v>
      </c>
      <c r="C5638" s="29"/>
      <c r="D5638" s="29" t="s">
        <v>4082</v>
      </c>
      <c r="E5638" s="29"/>
      <c r="F5638" s="29" t="s">
        <v>4106</v>
      </c>
      <c r="G5638" s="29"/>
      <c r="H5638" s="29" t="s">
        <v>4117</v>
      </c>
      <c r="I5638" s="29"/>
      <c r="J5638" s="29" t="s">
        <v>4118</v>
      </c>
      <c r="K5638" s="29"/>
      <c r="L5638" s="29" t="s">
        <v>2260</v>
      </c>
      <c r="M5638" s="29"/>
      <c r="N5638" s="29" t="s">
        <v>2261</v>
      </c>
      <c r="O5638" s="29"/>
      <c r="P5638" s="29" t="s">
        <v>5019</v>
      </c>
      <c r="Q5638" t="s">
        <v>2194</v>
      </c>
      <c r="R5638" t="s">
        <v>2632</v>
      </c>
      <c r="S5638">
        <v>36</v>
      </c>
      <c r="T5638" s="43" t="str">
        <f t="shared" si="263"/>
        <v>2020.005F.R.Genomoviridae.zip</v>
      </c>
      <c r="U5638" s="43" t="str">
        <f>HYPERLINK("https://ictv.global/taxonomy/taxondetails?taxnode_id=202208997","ictv.global=202208997")</f>
        <v>ictv.global=202208997</v>
      </c>
    </row>
    <row r="5639" spans="1:21">
      <c r="A5639">
        <v>5638</v>
      </c>
      <c r="B5639" s="29" t="s">
        <v>4053</v>
      </c>
      <c r="C5639" s="29"/>
      <c r="D5639" s="29" t="s">
        <v>4082</v>
      </c>
      <c r="E5639" s="29"/>
      <c r="F5639" s="29" t="s">
        <v>4106</v>
      </c>
      <c r="G5639" s="29"/>
      <c r="H5639" s="29" t="s">
        <v>4117</v>
      </c>
      <c r="I5639" s="29"/>
      <c r="J5639" s="29" t="s">
        <v>4118</v>
      </c>
      <c r="K5639" s="29"/>
      <c r="L5639" s="29" t="s">
        <v>2260</v>
      </c>
      <c r="M5639" s="29"/>
      <c r="N5639" s="29" t="s">
        <v>2261</v>
      </c>
      <c r="O5639" s="29"/>
      <c r="P5639" s="29" t="s">
        <v>5020</v>
      </c>
      <c r="Q5639" t="s">
        <v>2194</v>
      </c>
      <c r="R5639" t="s">
        <v>2632</v>
      </c>
      <c r="S5639">
        <v>36</v>
      </c>
      <c r="T5639" s="43" t="str">
        <f t="shared" si="263"/>
        <v>2020.005F.R.Genomoviridae.zip</v>
      </c>
      <c r="U5639" s="43" t="str">
        <f>HYPERLINK("https://ictv.global/taxonomy/taxondetails?taxnode_id=202208945","ictv.global=202208945")</f>
        <v>ictv.global=202208945</v>
      </c>
    </row>
    <row r="5640" spans="1:21">
      <c r="A5640">
        <v>5639</v>
      </c>
      <c r="B5640" s="29" t="s">
        <v>4053</v>
      </c>
      <c r="C5640" s="29"/>
      <c r="D5640" s="29" t="s">
        <v>4082</v>
      </c>
      <c r="E5640" s="29"/>
      <c r="F5640" s="29" t="s">
        <v>4106</v>
      </c>
      <c r="G5640" s="29"/>
      <c r="H5640" s="29" t="s">
        <v>4117</v>
      </c>
      <c r="I5640" s="29"/>
      <c r="J5640" s="29" t="s">
        <v>4118</v>
      </c>
      <c r="K5640" s="29"/>
      <c r="L5640" s="29" t="s">
        <v>2260</v>
      </c>
      <c r="M5640" s="29"/>
      <c r="N5640" s="29" t="s">
        <v>2261</v>
      </c>
      <c r="O5640" s="29"/>
      <c r="P5640" s="29" t="s">
        <v>5021</v>
      </c>
      <c r="Q5640" t="s">
        <v>2194</v>
      </c>
      <c r="R5640" t="s">
        <v>2632</v>
      </c>
      <c r="S5640">
        <v>36</v>
      </c>
      <c r="T5640" s="43" t="str">
        <f t="shared" si="263"/>
        <v>2020.005F.R.Genomoviridae.zip</v>
      </c>
      <c r="U5640" s="43" t="str">
        <f>HYPERLINK("https://ictv.global/taxonomy/taxondetails?taxnode_id=202208950","ictv.global=202208950")</f>
        <v>ictv.global=202208950</v>
      </c>
    </row>
    <row r="5641" spans="1:21">
      <c r="A5641">
        <v>5640</v>
      </c>
      <c r="B5641" s="29" t="s">
        <v>4053</v>
      </c>
      <c r="C5641" s="29"/>
      <c r="D5641" s="29" t="s">
        <v>4082</v>
      </c>
      <c r="E5641" s="29"/>
      <c r="F5641" s="29" t="s">
        <v>4106</v>
      </c>
      <c r="G5641" s="29"/>
      <c r="H5641" s="29" t="s">
        <v>4117</v>
      </c>
      <c r="I5641" s="29"/>
      <c r="J5641" s="29" t="s">
        <v>4118</v>
      </c>
      <c r="K5641" s="29"/>
      <c r="L5641" s="29" t="s">
        <v>2260</v>
      </c>
      <c r="M5641" s="29"/>
      <c r="N5641" s="29" t="s">
        <v>2261</v>
      </c>
      <c r="O5641" s="29"/>
      <c r="P5641" s="29" t="s">
        <v>5022</v>
      </c>
      <c r="Q5641" t="s">
        <v>2194</v>
      </c>
      <c r="R5641" t="s">
        <v>2632</v>
      </c>
      <c r="S5641">
        <v>36</v>
      </c>
      <c r="T5641" s="43" t="str">
        <f t="shared" si="263"/>
        <v>2020.005F.R.Genomoviridae.zip</v>
      </c>
      <c r="U5641" s="43" t="str">
        <f>HYPERLINK("https://ictv.global/taxonomy/taxondetails?taxnode_id=202208975","ictv.global=202208975")</f>
        <v>ictv.global=202208975</v>
      </c>
    </row>
    <row r="5642" spans="1:21">
      <c r="A5642">
        <v>5641</v>
      </c>
      <c r="B5642" s="29" t="s">
        <v>4053</v>
      </c>
      <c r="C5642" s="29"/>
      <c r="D5642" s="29" t="s">
        <v>4082</v>
      </c>
      <c r="E5642" s="29"/>
      <c r="F5642" s="29" t="s">
        <v>4106</v>
      </c>
      <c r="G5642" s="29"/>
      <c r="H5642" s="29" t="s">
        <v>4117</v>
      </c>
      <c r="I5642" s="29"/>
      <c r="J5642" s="29" t="s">
        <v>4118</v>
      </c>
      <c r="K5642" s="29"/>
      <c r="L5642" s="29" t="s">
        <v>2260</v>
      </c>
      <c r="M5642" s="29"/>
      <c r="N5642" s="29" t="s">
        <v>2261</v>
      </c>
      <c r="O5642" s="29"/>
      <c r="P5642" s="29" t="s">
        <v>5023</v>
      </c>
      <c r="Q5642" t="s">
        <v>2194</v>
      </c>
      <c r="R5642" t="s">
        <v>2635</v>
      </c>
      <c r="S5642">
        <v>36</v>
      </c>
      <c r="T5642" s="43" t="str">
        <f t="shared" si="263"/>
        <v>2020.005F.R.Genomoviridae.zip</v>
      </c>
      <c r="U5642" s="43" t="str">
        <f>HYPERLINK("https://ictv.global/taxonomy/taxondetails?taxnode_id=202203570","ictv.global=202203570")</f>
        <v>ictv.global=202203570</v>
      </c>
    </row>
    <row r="5643" spans="1:21">
      <c r="A5643">
        <v>5642</v>
      </c>
      <c r="B5643" s="29" t="s">
        <v>4053</v>
      </c>
      <c r="C5643" s="29"/>
      <c r="D5643" s="29" t="s">
        <v>4082</v>
      </c>
      <c r="E5643" s="29"/>
      <c r="F5643" s="29" t="s">
        <v>4106</v>
      </c>
      <c r="G5643" s="29"/>
      <c r="H5643" s="29" t="s">
        <v>4117</v>
      </c>
      <c r="I5643" s="29"/>
      <c r="J5643" s="29" t="s">
        <v>4118</v>
      </c>
      <c r="K5643" s="29"/>
      <c r="L5643" s="29" t="s">
        <v>2260</v>
      </c>
      <c r="M5643" s="29"/>
      <c r="N5643" s="29" t="s">
        <v>2261</v>
      </c>
      <c r="O5643" s="29"/>
      <c r="P5643" s="29" t="s">
        <v>5024</v>
      </c>
      <c r="Q5643" t="s">
        <v>2041</v>
      </c>
      <c r="R5643" t="s">
        <v>2635</v>
      </c>
      <c r="S5643">
        <v>36</v>
      </c>
      <c r="T5643" s="43" t="str">
        <f t="shared" si="263"/>
        <v>2020.005F.R.Genomoviridae.zip</v>
      </c>
      <c r="U5643" s="43" t="str">
        <f>HYPERLINK("https://ictv.global/taxonomy/taxondetails?taxnode_id=202203571","ictv.global=202203571")</f>
        <v>ictv.global=202203571</v>
      </c>
    </row>
    <row r="5644" spans="1:21">
      <c r="A5644">
        <v>5643</v>
      </c>
      <c r="B5644" s="29" t="s">
        <v>4053</v>
      </c>
      <c r="C5644" s="29"/>
      <c r="D5644" s="29" t="s">
        <v>4082</v>
      </c>
      <c r="E5644" s="29"/>
      <c r="F5644" s="29" t="s">
        <v>4106</v>
      </c>
      <c r="G5644" s="29"/>
      <c r="H5644" s="29" t="s">
        <v>4117</v>
      </c>
      <c r="I5644" s="29"/>
      <c r="J5644" s="29" t="s">
        <v>4118</v>
      </c>
      <c r="K5644" s="29"/>
      <c r="L5644" s="29" t="s">
        <v>2260</v>
      </c>
      <c r="M5644" s="29"/>
      <c r="N5644" s="29" t="s">
        <v>2261</v>
      </c>
      <c r="O5644" s="29"/>
      <c r="P5644" s="29" t="s">
        <v>5025</v>
      </c>
      <c r="Q5644" t="s">
        <v>2194</v>
      </c>
      <c r="R5644" t="s">
        <v>2632</v>
      </c>
      <c r="S5644">
        <v>36</v>
      </c>
      <c r="T5644" s="43" t="str">
        <f t="shared" si="263"/>
        <v>2020.005F.R.Genomoviridae.zip</v>
      </c>
      <c r="U5644" s="43" t="str">
        <f>HYPERLINK("https://ictv.global/taxonomy/taxondetails?taxnode_id=202208953","ictv.global=202208953")</f>
        <v>ictv.global=202208953</v>
      </c>
    </row>
    <row r="5645" spans="1:21">
      <c r="A5645">
        <v>5644</v>
      </c>
      <c r="B5645" s="29" t="s">
        <v>4053</v>
      </c>
      <c r="C5645" s="29"/>
      <c r="D5645" s="29" t="s">
        <v>4082</v>
      </c>
      <c r="E5645" s="29"/>
      <c r="F5645" s="29" t="s">
        <v>4106</v>
      </c>
      <c r="G5645" s="29"/>
      <c r="H5645" s="29" t="s">
        <v>4117</v>
      </c>
      <c r="I5645" s="29"/>
      <c r="J5645" s="29" t="s">
        <v>4118</v>
      </c>
      <c r="K5645" s="29"/>
      <c r="L5645" s="29" t="s">
        <v>2260</v>
      </c>
      <c r="M5645" s="29"/>
      <c r="N5645" s="29" t="s">
        <v>2261</v>
      </c>
      <c r="O5645" s="29"/>
      <c r="P5645" s="29" t="s">
        <v>5026</v>
      </c>
      <c r="Q5645" t="s">
        <v>2194</v>
      </c>
      <c r="R5645" t="s">
        <v>2632</v>
      </c>
      <c r="S5645">
        <v>36</v>
      </c>
      <c r="T5645" s="43" t="str">
        <f t="shared" si="263"/>
        <v>2020.005F.R.Genomoviridae.zip</v>
      </c>
      <c r="U5645" s="43" t="str">
        <f>HYPERLINK("https://ictv.global/taxonomy/taxondetails?taxnode_id=202208976","ictv.global=202208976")</f>
        <v>ictv.global=202208976</v>
      </c>
    </row>
    <row r="5646" spans="1:21">
      <c r="A5646">
        <v>5645</v>
      </c>
      <c r="B5646" s="29" t="s">
        <v>4053</v>
      </c>
      <c r="C5646" s="29"/>
      <c r="D5646" s="29" t="s">
        <v>4082</v>
      </c>
      <c r="E5646" s="29"/>
      <c r="F5646" s="29" t="s">
        <v>4106</v>
      </c>
      <c r="G5646" s="29"/>
      <c r="H5646" s="29" t="s">
        <v>4117</v>
      </c>
      <c r="I5646" s="29"/>
      <c r="J5646" s="29" t="s">
        <v>4118</v>
      </c>
      <c r="K5646" s="29"/>
      <c r="L5646" s="29" t="s">
        <v>2260</v>
      </c>
      <c r="M5646" s="29"/>
      <c r="N5646" s="29" t="s">
        <v>2261</v>
      </c>
      <c r="O5646" s="29"/>
      <c r="P5646" s="29" t="s">
        <v>5027</v>
      </c>
      <c r="Q5646" t="s">
        <v>2194</v>
      </c>
      <c r="R5646" t="s">
        <v>2632</v>
      </c>
      <c r="S5646">
        <v>36</v>
      </c>
      <c r="T5646" s="43" t="str">
        <f t="shared" si="263"/>
        <v>2020.005F.R.Genomoviridae.zip</v>
      </c>
      <c r="U5646" s="43" t="str">
        <f>HYPERLINK("https://ictv.global/taxonomy/taxondetails?taxnode_id=202208978","ictv.global=202208978")</f>
        <v>ictv.global=202208978</v>
      </c>
    </row>
    <row r="5647" spans="1:21">
      <c r="A5647">
        <v>5646</v>
      </c>
      <c r="B5647" s="29" t="s">
        <v>4053</v>
      </c>
      <c r="C5647" s="29"/>
      <c r="D5647" s="29" t="s">
        <v>4082</v>
      </c>
      <c r="E5647" s="29"/>
      <c r="F5647" s="29" t="s">
        <v>4106</v>
      </c>
      <c r="G5647" s="29"/>
      <c r="H5647" s="29" t="s">
        <v>4117</v>
      </c>
      <c r="I5647" s="29"/>
      <c r="J5647" s="29" t="s">
        <v>4118</v>
      </c>
      <c r="K5647" s="29"/>
      <c r="L5647" s="29" t="s">
        <v>2260</v>
      </c>
      <c r="M5647" s="29"/>
      <c r="N5647" s="29" t="s">
        <v>2261</v>
      </c>
      <c r="O5647" s="29"/>
      <c r="P5647" s="29" t="s">
        <v>5028</v>
      </c>
      <c r="Q5647" t="s">
        <v>2194</v>
      </c>
      <c r="R5647" t="s">
        <v>2632</v>
      </c>
      <c r="S5647">
        <v>36</v>
      </c>
      <c r="T5647" s="43" t="str">
        <f t="shared" si="263"/>
        <v>2020.005F.R.Genomoviridae.zip</v>
      </c>
      <c r="U5647" s="43" t="str">
        <f>HYPERLINK("https://ictv.global/taxonomy/taxondetails?taxnode_id=202208982","ictv.global=202208982")</f>
        <v>ictv.global=202208982</v>
      </c>
    </row>
    <row r="5648" spans="1:21">
      <c r="A5648">
        <v>5647</v>
      </c>
      <c r="B5648" s="29" t="s">
        <v>4053</v>
      </c>
      <c r="C5648" s="29"/>
      <c r="D5648" s="29" t="s">
        <v>4082</v>
      </c>
      <c r="E5648" s="29"/>
      <c r="F5648" s="29" t="s">
        <v>4106</v>
      </c>
      <c r="G5648" s="29"/>
      <c r="H5648" s="29" t="s">
        <v>4117</v>
      </c>
      <c r="I5648" s="29"/>
      <c r="J5648" s="29" t="s">
        <v>4118</v>
      </c>
      <c r="K5648" s="29"/>
      <c r="L5648" s="29" t="s">
        <v>2260</v>
      </c>
      <c r="M5648" s="29"/>
      <c r="N5648" s="29" t="s">
        <v>2261</v>
      </c>
      <c r="O5648" s="29"/>
      <c r="P5648" s="29" t="s">
        <v>5029</v>
      </c>
      <c r="Q5648" t="s">
        <v>2194</v>
      </c>
      <c r="R5648" t="s">
        <v>2632</v>
      </c>
      <c r="S5648">
        <v>36</v>
      </c>
      <c r="T5648" s="43" t="str">
        <f t="shared" si="263"/>
        <v>2020.005F.R.Genomoviridae.zip</v>
      </c>
      <c r="U5648" s="43" t="str">
        <f>HYPERLINK("https://ictv.global/taxonomy/taxondetails?taxnode_id=202208989","ictv.global=202208989")</f>
        <v>ictv.global=202208989</v>
      </c>
    </row>
    <row r="5649" spans="1:21">
      <c r="A5649">
        <v>5648</v>
      </c>
      <c r="B5649" s="29" t="s">
        <v>4053</v>
      </c>
      <c r="C5649" s="29"/>
      <c r="D5649" s="29" t="s">
        <v>4082</v>
      </c>
      <c r="E5649" s="29"/>
      <c r="F5649" s="29" t="s">
        <v>4106</v>
      </c>
      <c r="G5649" s="29"/>
      <c r="H5649" s="29" t="s">
        <v>4117</v>
      </c>
      <c r="I5649" s="29"/>
      <c r="J5649" s="29" t="s">
        <v>4118</v>
      </c>
      <c r="K5649" s="29"/>
      <c r="L5649" s="29" t="s">
        <v>2260</v>
      </c>
      <c r="M5649" s="29"/>
      <c r="N5649" s="29" t="s">
        <v>2261</v>
      </c>
      <c r="O5649" s="29"/>
      <c r="P5649" s="29" t="s">
        <v>5030</v>
      </c>
      <c r="Q5649" t="s">
        <v>2194</v>
      </c>
      <c r="R5649" t="s">
        <v>2632</v>
      </c>
      <c r="S5649">
        <v>36</v>
      </c>
      <c r="T5649" s="43" t="str">
        <f t="shared" si="263"/>
        <v>2020.005F.R.Genomoviridae.zip</v>
      </c>
      <c r="U5649" s="43" t="str">
        <f>HYPERLINK("https://ictv.global/taxonomy/taxondetails?taxnode_id=202208993","ictv.global=202208993")</f>
        <v>ictv.global=202208993</v>
      </c>
    </row>
    <row r="5650" spans="1:21">
      <c r="A5650">
        <v>5649</v>
      </c>
      <c r="B5650" s="29" t="s">
        <v>4053</v>
      </c>
      <c r="C5650" s="29"/>
      <c r="D5650" s="29" t="s">
        <v>4082</v>
      </c>
      <c r="E5650" s="29"/>
      <c r="F5650" s="29" t="s">
        <v>4106</v>
      </c>
      <c r="G5650" s="29"/>
      <c r="H5650" s="29" t="s">
        <v>4117</v>
      </c>
      <c r="I5650" s="29"/>
      <c r="J5650" s="29" t="s">
        <v>4118</v>
      </c>
      <c r="K5650" s="29"/>
      <c r="L5650" s="29" t="s">
        <v>2260</v>
      </c>
      <c r="M5650" s="29"/>
      <c r="N5650" s="29" t="s">
        <v>2261</v>
      </c>
      <c r="O5650" s="29"/>
      <c r="P5650" s="29" t="s">
        <v>5031</v>
      </c>
      <c r="Q5650" t="s">
        <v>2194</v>
      </c>
      <c r="R5650" t="s">
        <v>2632</v>
      </c>
      <c r="S5650">
        <v>36</v>
      </c>
      <c r="T5650" s="43" t="str">
        <f t="shared" si="263"/>
        <v>2020.005F.R.Genomoviridae.zip</v>
      </c>
      <c r="U5650" s="43" t="str">
        <f>HYPERLINK("https://ictv.global/taxonomy/taxondetails?taxnode_id=202209009","ictv.global=202209009")</f>
        <v>ictv.global=202209009</v>
      </c>
    </row>
    <row r="5651" spans="1:21">
      <c r="A5651">
        <v>5650</v>
      </c>
      <c r="B5651" s="29" t="s">
        <v>4053</v>
      </c>
      <c r="C5651" s="29"/>
      <c r="D5651" s="29" t="s">
        <v>4082</v>
      </c>
      <c r="E5651" s="29"/>
      <c r="F5651" s="29" t="s">
        <v>4106</v>
      </c>
      <c r="G5651" s="29"/>
      <c r="H5651" s="29" t="s">
        <v>4117</v>
      </c>
      <c r="I5651" s="29"/>
      <c r="J5651" s="29" t="s">
        <v>4118</v>
      </c>
      <c r="K5651" s="29"/>
      <c r="L5651" s="29" t="s">
        <v>2260</v>
      </c>
      <c r="M5651" s="29"/>
      <c r="N5651" s="29" t="s">
        <v>2261</v>
      </c>
      <c r="O5651" s="29"/>
      <c r="P5651" s="29" t="s">
        <v>5032</v>
      </c>
      <c r="Q5651" t="s">
        <v>2194</v>
      </c>
      <c r="R5651" t="s">
        <v>2632</v>
      </c>
      <c r="S5651">
        <v>36</v>
      </c>
      <c r="T5651" s="43" t="str">
        <f t="shared" si="263"/>
        <v>2020.005F.R.Genomoviridae.zip</v>
      </c>
      <c r="U5651" s="43" t="str">
        <f>HYPERLINK("https://ictv.global/taxonomy/taxondetails?taxnode_id=202208941","ictv.global=202208941")</f>
        <v>ictv.global=202208941</v>
      </c>
    </row>
    <row r="5652" spans="1:21">
      <c r="A5652">
        <v>5651</v>
      </c>
      <c r="B5652" s="29" t="s">
        <v>4053</v>
      </c>
      <c r="C5652" s="29"/>
      <c r="D5652" s="29" t="s">
        <v>4082</v>
      </c>
      <c r="E5652" s="29"/>
      <c r="F5652" s="29" t="s">
        <v>4106</v>
      </c>
      <c r="G5652" s="29"/>
      <c r="H5652" s="29" t="s">
        <v>4117</v>
      </c>
      <c r="I5652" s="29"/>
      <c r="J5652" s="29" t="s">
        <v>4118</v>
      </c>
      <c r="K5652" s="29"/>
      <c r="L5652" s="29" t="s">
        <v>2260</v>
      </c>
      <c r="M5652" s="29"/>
      <c r="N5652" s="29" t="s">
        <v>2261</v>
      </c>
      <c r="O5652" s="29"/>
      <c r="P5652" s="29" t="s">
        <v>5033</v>
      </c>
      <c r="Q5652" t="s">
        <v>2194</v>
      </c>
      <c r="R5652" t="s">
        <v>2632</v>
      </c>
      <c r="S5652">
        <v>36</v>
      </c>
      <c r="T5652" s="43" t="str">
        <f t="shared" si="263"/>
        <v>2020.005F.R.Genomoviridae.zip</v>
      </c>
      <c r="U5652" s="43" t="str">
        <f>HYPERLINK("https://ictv.global/taxonomy/taxondetails?taxnode_id=202208948","ictv.global=202208948")</f>
        <v>ictv.global=202208948</v>
      </c>
    </row>
    <row r="5653" spans="1:21">
      <c r="A5653">
        <v>5652</v>
      </c>
      <c r="B5653" s="29" t="s">
        <v>4053</v>
      </c>
      <c r="C5653" s="29"/>
      <c r="D5653" s="29" t="s">
        <v>4082</v>
      </c>
      <c r="E5653" s="29"/>
      <c r="F5653" s="29" t="s">
        <v>4106</v>
      </c>
      <c r="G5653" s="29"/>
      <c r="H5653" s="29" t="s">
        <v>4117</v>
      </c>
      <c r="I5653" s="29"/>
      <c r="J5653" s="29" t="s">
        <v>4118</v>
      </c>
      <c r="K5653" s="29"/>
      <c r="L5653" s="29" t="s">
        <v>2260</v>
      </c>
      <c r="M5653" s="29"/>
      <c r="N5653" s="29" t="s">
        <v>2261</v>
      </c>
      <c r="O5653" s="29"/>
      <c r="P5653" s="29" t="s">
        <v>5034</v>
      </c>
      <c r="Q5653" t="s">
        <v>2194</v>
      </c>
      <c r="R5653" t="s">
        <v>2632</v>
      </c>
      <c r="S5653">
        <v>36</v>
      </c>
      <c r="T5653" s="43" t="str">
        <f t="shared" si="263"/>
        <v>2020.005F.R.Genomoviridae.zip</v>
      </c>
      <c r="U5653" s="43" t="str">
        <f>HYPERLINK("https://ictv.global/taxonomy/taxondetails?taxnode_id=202208951","ictv.global=202208951")</f>
        <v>ictv.global=202208951</v>
      </c>
    </row>
    <row r="5654" spans="1:21">
      <c r="A5654">
        <v>5653</v>
      </c>
      <c r="B5654" s="29" t="s">
        <v>4053</v>
      </c>
      <c r="C5654" s="29"/>
      <c r="D5654" s="29" t="s">
        <v>4082</v>
      </c>
      <c r="E5654" s="29"/>
      <c r="F5654" s="29" t="s">
        <v>4106</v>
      </c>
      <c r="G5654" s="29"/>
      <c r="H5654" s="29" t="s">
        <v>4117</v>
      </c>
      <c r="I5654" s="29"/>
      <c r="J5654" s="29" t="s">
        <v>4118</v>
      </c>
      <c r="K5654" s="29"/>
      <c r="L5654" s="29" t="s">
        <v>2260</v>
      </c>
      <c r="M5654" s="29"/>
      <c r="N5654" s="29" t="s">
        <v>2261</v>
      </c>
      <c r="O5654" s="29"/>
      <c r="P5654" s="29" t="s">
        <v>5035</v>
      </c>
      <c r="Q5654" t="s">
        <v>2194</v>
      </c>
      <c r="R5654" t="s">
        <v>2632</v>
      </c>
      <c r="S5654">
        <v>36</v>
      </c>
      <c r="T5654" s="43" t="str">
        <f t="shared" si="263"/>
        <v>2020.005F.R.Genomoviridae.zip</v>
      </c>
      <c r="U5654" s="43" t="str">
        <f>HYPERLINK("https://ictv.global/taxonomy/taxondetails?taxnode_id=202208952","ictv.global=202208952")</f>
        <v>ictv.global=202208952</v>
      </c>
    </row>
    <row r="5655" spans="1:21">
      <c r="A5655">
        <v>5654</v>
      </c>
      <c r="B5655" s="29" t="s">
        <v>4053</v>
      </c>
      <c r="C5655" s="29"/>
      <c r="D5655" s="29" t="s">
        <v>4082</v>
      </c>
      <c r="E5655" s="29"/>
      <c r="F5655" s="29" t="s">
        <v>4106</v>
      </c>
      <c r="G5655" s="29"/>
      <c r="H5655" s="29" t="s">
        <v>4117</v>
      </c>
      <c r="I5655" s="29"/>
      <c r="J5655" s="29" t="s">
        <v>4118</v>
      </c>
      <c r="K5655" s="29"/>
      <c r="L5655" s="29" t="s">
        <v>2260</v>
      </c>
      <c r="M5655" s="29"/>
      <c r="N5655" s="29" t="s">
        <v>2261</v>
      </c>
      <c r="O5655" s="29"/>
      <c r="P5655" s="29" t="s">
        <v>5036</v>
      </c>
      <c r="Q5655" t="s">
        <v>2194</v>
      </c>
      <c r="R5655" t="s">
        <v>2632</v>
      </c>
      <c r="S5655">
        <v>36</v>
      </c>
      <c r="T5655" s="43" t="str">
        <f t="shared" si="263"/>
        <v>2020.005F.R.Genomoviridae.zip</v>
      </c>
      <c r="U5655" s="43" t="str">
        <f>HYPERLINK("https://ictv.global/taxonomy/taxondetails?taxnode_id=202208985","ictv.global=202208985")</f>
        <v>ictv.global=202208985</v>
      </c>
    </row>
    <row r="5656" spans="1:21">
      <c r="A5656">
        <v>5655</v>
      </c>
      <c r="B5656" s="29" t="s">
        <v>4053</v>
      </c>
      <c r="C5656" s="29"/>
      <c r="D5656" s="29" t="s">
        <v>4082</v>
      </c>
      <c r="E5656" s="29"/>
      <c r="F5656" s="29" t="s">
        <v>4106</v>
      </c>
      <c r="G5656" s="29"/>
      <c r="H5656" s="29" t="s">
        <v>4117</v>
      </c>
      <c r="I5656" s="29"/>
      <c r="J5656" s="29" t="s">
        <v>4118</v>
      </c>
      <c r="K5656" s="29"/>
      <c r="L5656" s="29" t="s">
        <v>2260</v>
      </c>
      <c r="M5656" s="29"/>
      <c r="N5656" s="29" t="s">
        <v>2261</v>
      </c>
      <c r="O5656" s="29"/>
      <c r="P5656" s="29" t="s">
        <v>5037</v>
      </c>
      <c r="Q5656" t="s">
        <v>2041</v>
      </c>
      <c r="R5656" t="s">
        <v>2635</v>
      </c>
      <c r="S5656">
        <v>36</v>
      </c>
      <c r="T5656" s="43" t="str">
        <f t="shared" si="263"/>
        <v>2020.005F.R.Genomoviridae.zip</v>
      </c>
      <c r="U5656" s="43" t="str">
        <f>HYPERLINK("https://ictv.global/taxonomy/taxondetails?taxnode_id=202203572","ictv.global=202203572")</f>
        <v>ictv.global=202203572</v>
      </c>
    </row>
    <row r="5657" spans="1:21">
      <c r="A5657">
        <v>5656</v>
      </c>
      <c r="B5657" s="29" t="s">
        <v>4053</v>
      </c>
      <c r="C5657" s="29"/>
      <c r="D5657" s="29" t="s">
        <v>4082</v>
      </c>
      <c r="E5657" s="29"/>
      <c r="F5657" s="29" t="s">
        <v>4106</v>
      </c>
      <c r="G5657" s="29"/>
      <c r="H5657" s="29" t="s">
        <v>4117</v>
      </c>
      <c r="I5657" s="29"/>
      <c r="J5657" s="29" t="s">
        <v>4118</v>
      </c>
      <c r="K5657" s="29"/>
      <c r="L5657" s="29" t="s">
        <v>2260</v>
      </c>
      <c r="M5657" s="29"/>
      <c r="N5657" s="29" t="s">
        <v>2261</v>
      </c>
      <c r="O5657" s="29"/>
      <c r="P5657" s="29" t="s">
        <v>5038</v>
      </c>
      <c r="Q5657" t="s">
        <v>2041</v>
      </c>
      <c r="R5657" t="s">
        <v>2635</v>
      </c>
      <c r="S5657">
        <v>36</v>
      </c>
      <c r="T5657" s="43" t="str">
        <f t="shared" si="263"/>
        <v>2020.005F.R.Genomoviridae.zip</v>
      </c>
      <c r="U5657" s="43" t="str">
        <f>HYPERLINK("https://ictv.global/taxonomy/taxondetails?taxnode_id=202203573","ictv.global=202203573")</f>
        <v>ictv.global=202203573</v>
      </c>
    </row>
    <row r="5658" spans="1:21">
      <c r="A5658">
        <v>5657</v>
      </c>
      <c r="B5658" s="29" t="s">
        <v>4053</v>
      </c>
      <c r="C5658" s="29"/>
      <c r="D5658" s="29" t="s">
        <v>4082</v>
      </c>
      <c r="E5658" s="29"/>
      <c r="F5658" s="29" t="s">
        <v>4106</v>
      </c>
      <c r="G5658" s="29"/>
      <c r="H5658" s="29" t="s">
        <v>4117</v>
      </c>
      <c r="I5658" s="29"/>
      <c r="J5658" s="29" t="s">
        <v>4118</v>
      </c>
      <c r="K5658" s="29"/>
      <c r="L5658" s="29" t="s">
        <v>2260</v>
      </c>
      <c r="M5658" s="29"/>
      <c r="N5658" s="29" t="s">
        <v>2261</v>
      </c>
      <c r="O5658" s="29"/>
      <c r="P5658" s="29" t="s">
        <v>5039</v>
      </c>
      <c r="Q5658" t="s">
        <v>2194</v>
      </c>
      <c r="R5658" t="s">
        <v>2632</v>
      </c>
      <c r="S5658">
        <v>36</v>
      </c>
      <c r="T5658" s="43" t="str">
        <f t="shared" si="263"/>
        <v>2020.005F.R.Genomoviridae.zip</v>
      </c>
      <c r="U5658" s="43" t="str">
        <f>HYPERLINK("https://ictv.global/taxonomy/taxondetails?taxnode_id=202208969","ictv.global=202208969")</f>
        <v>ictv.global=202208969</v>
      </c>
    </row>
    <row r="5659" spans="1:21">
      <c r="A5659">
        <v>5658</v>
      </c>
      <c r="B5659" s="29" t="s">
        <v>4053</v>
      </c>
      <c r="C5659" s="29"/>
      <c r="D5659" s="29" t="s">
        <v>4082</v>
      </c>
      <c r="E5659" s="29"/>
      <c r="F5659" s="29" t="s">
        <v>4106</v>
      </c>
      <c r="G5659" s="29"/>
      <c r="H5659" s="29" t="s">
        <v>4117</v>
      </c>
      <c r="I5659" s="29"/>
      <c r="J5659" s="29" t="s">
        <v>4118</v>
      </c>
      <c r="K5659" s="29"/>
      <c r="L5659" s="29" t="s">
        <v>2260</v>
      </c>
      <c r="M5659" s="29"/>
      <c r="N5659" s="29" t="s">
        <v>2261</v>
      </c>
      <c r="O5659" s="29"/>
      <c r="P5659" s="29" t="s">
        <v>5040</v>
      </c>
      <c r="Q5659" t="s">
        <v>2194</v>
      </c>
      <c r="R5659" t="s">
        <v>2632</v>
      </c>
      <c r="S5659">
        <v>36</v>
      </c>
      <c r="T5659" s="43" t="str">
        <f t="shared" si="263"/>
        <v>2020.005F.R.Genomoviridae.zip</v>
      </c>
      <c r="U5659" s="43" t="str">
        <f>HYPERLINK("https://ictv.global/taxonomy/taxondetails?taxnode_id=202209007","ictv.global=202209007")</f>
        <v>ictv.global=202209007</v>
      </c>
    </row>
    <row r="5660" spans="1:21">
      <c r="A5660">
        <v>5659</v>
      </c>
      <c r="B5660" s="29" t="s">
        <v>4053</v>
      </c>
      <c r="C5660" s="29"/>
      <c r="D5660" s="29" t="s">
        <v>4082</v>
      </c>
      <c r="E5660" s="29"/>
      <c r="F5660" s="29" t="s">
        <v>4106</v>
      </c>
      <c r="G5660" s="29"/>
      <c r="H5660" s="29" t="s">
        <v>4117</v>
      </c>
      <c r="I5660" s="29"/>
      <c r="J5660" s="29" t="s">
        <v>4118</v>
      </c>
      <c r="K5660" s="29"/>
      <c r="L5660" s="29" t="s">
        <v>2260</v>
      </c>
      <c r="M5660" s="29"/>
      <c r="N5660" s="29" t="s">
        <v>2261</v>
      </c>
      <c r="O5660" s="29"/>
      <c r="P5660" s="29" t="s">
        <v>5041</v>
      </c>
      <c r="Q5660" t="s">
        <v>2194</v>
      </c>
      <c r="R5660" t="s">
        <v>2632</v>
      </c>
      <c r="S5660">
        <v>36</v>
      </c>
      <c r="T5660" s="43" t="str">
        <f t="shared" si="263"/>
        <v>2020.005F.R.Genomoviridae.zip</v>
      </c>
      <c r="U5660" s="43" t="str">
        <f>HYPERLINK("https://ictv.global/taxonomy/taxondetails?taxnode_id=202208974","ictv.global=202208974")</f>
        <v>ictv.global=202208974</v>
      </c>
    </row>
    <row r="5661" spans="1:21">
      <c r="A5661">
        <v>5660</v>
      </c>
      <c r="B5661" s="29" t="s">
        <v>4053</v>
      </c>
      <c r="C5661" s="29"/>
      <c r="D5661" s="29" t="s">
        <v>4082</v>
      </c>
      <c r="E5661" s="29"/>
      <c r="F5661" s="29" t="s">
        <v>4106</v>
      </c>
      <c r="G5661" s="29"/>
      <c r="H5661" s="29" t="s">
        <v>4117</v>
      </c>
      <c r="I5661" s="29"/>
      <c r="J5661" s="29" t="s">
        <v>4118</v>
      </c>
      <c r="K5661" s="29"/>
      <c r="L5661" s="29" t="s">
        <v>2260</v>
      </c>
      <c r="M5661" s="29"/>
      <c r="N5661" s="29" t="s">
        <v>2261</v>
      </c>
      <c r="O5661" s="29"/>
      <c r="P5661" s="29" t="s">
        <v>5042</v>
      </c>
      <c r="Q5661" t="s">
        <v>2194</v>
      </c>
      <c r="R5661" t="s">
        <v>2632</v>
      </c>
      <c r="S5661">
        <v>36</v>
      </c>
      <c r="T5661" s="43" t="str">
        <f t="shared" si="263"/>
        <v>2020.005F.R.Genomoviridae.zip</v>
      </c>
      <c r="U5661" s="43" t="str">
        <f>HYPERLINK("https://ictv.global/taxonomy/taxondetails?taxnode_id=202208986","ictv.global=202208986")</f>
        <v>ictv.global=202208986</v>
      </c>
    </row>
    <row r="5662" spans="1:21">
      <c r="A5662">
        <v>5661</v>
      </c>
      <c r="B5662" s="29" t="s">
        <v>4053</v>
      </c>
      <c r="C5662" s="29"/>
      <c r="D5662" s="29" t="s">
        <v>4082</v>
      </c>
      <c r="E5662" s="29"/>
      <c r="F5662" s="29" t="s">
        <v>4106</v>
      </c>
      <c r="G5662" s="29"/>
      <c r="H5662" s="29" t="s">
        <v>4117</v>
      </c>
      <c r="I5662" s="29"/>
      <c r="J5662" s="29" t="s">
        <v>4118</v>
      </c>
      <c r="K5662" s="29"/>
      <c r="L5662" s="29" t="s">
        <v>2260</v>
      </c>
      <c r="M5662" s="29"/>
      <c r="N5662" s="29" t="s">
        <v>2261</v>
      </c>
      <c r="O5662" s="29"/>
      <c r="P5662" s="29" t="s">
        <v>5043</v>
      </c>
      <c r="Q5662" t="s">
        <v>2041</v>
      </c>
      <c r="R5662" t="s">
        <v>2635</v>
      </c>
      <c r="S5662">
        <v>36</v>
      </c>
      <c r="T5662" s="43" t="str">
        <f t="shared" si="263"/>
        <v>2020.005F.R.Genomoviridae.zip</v>
      </c>
      <c r="U5662" s="43" t="str">
        <f>HYPERLINK("https://ictv.global/taxonomy/taxondetails?taxnode_id=202203574","ictv.global=202203574")</f>
        <v>ictv.global=202203574</v>
      </c>
    </row>
    <row r="5663" spans="1:21">
      <c r="A5663">
        <v>5662</v>
      </c>
      <c r="B5663" s="29" t="s">
        <v>4053</v>
      </c>
      <c r="C5663" s="29"/>
      <c r="D5663" s="29" t="s">
        <v>4082</v>
      </c>
      <c r="E5663" s="29"/>
      <c r="F5663" s="29" t="s">
        <v>4106</v>
      </c>
      <c r="G5663" s="29"/>
      <c r="H5663" s="29" t="s">
        <v>4117</v>
      </c>
      <c r="I5663" s="29"/>
      <c r="J5663" s="29" t="s">
        <v>4118</v>
      </c>
      <c r="K5663" s="29"/>
      <c r="L5663" s="29" t="s">
        <v>2260</v>
      </c>
      <c r="M5663" s="29"/>
      <c r="N5663" s="29" t="s">
        <v>2261</v>
      </c>
      <c r="O5663" s="29"/>
      <c r="P5663" s="29" t="s">
        <v>5044</v>
      </c>
      <c r="Q5663" t="s">
        <v>2041</v>
      </c>
      <c r="R5663" t="s">
        <v>2635</v>
      </c>
      <c r="S5663">
        <v>36</v>
      </c>
      <c r="T5663" s="43" t="str">
        <f t="shared" si="263"/>
        <v>2020.005F.R.Genomoviridae.zip</v>
      </c>
      <c r="U5663" s="43" t="str">
        <f>HYPERLINK("https://ictv.global/taxonomy/taxondetails?taxnode_id=202203575","ictv.global=202203575")</f>
        <v>ictv.global=202203575</v>
      </c>
    </row>
    <row r="5664" spans="1:21">
      <c r="A5664">
        <v>5663</v>
      </c>
      <c r="B5664" s="29" t="s">
        <v>4053</v>
      </c>
      <c r="C5664" s="29"/>
      <c r="D5664" s="29" t="s">
        <v>4082</v>
      </c>
      <c r="E5664" s="29"/>
      <c r="F5664" s="29" t="s">
        <v>4106</v>
      </c>
      <c r="G5664" s="29"/>
      <c r="H5664" s="29" t="s">
        <v>4117</v>
      </c>
      <c r="I5664" s="29"/>
      <c r="J5664" s="29" t="s">
        <v>4118</v>
      </c>
      <c r="K5664" s="29"/>
      <c r="L5664" s="29" t="s">
        <v>2260</v>
      </c>
      <c r="M5664" s="29"/>
      <c r="N5664" s="29" t="s">
        <v>2261</v>
      </c>
      <c r="O5664" s="29"/>
      <c r="P5664" s="29" t="s">
        <v>5045</v>
      </c>
      <c r="Q5664" t="s">
        <v>2194</v>
      </c>
      <c r="R5664" t="s">
        <v>2635</v>
      </c>
      <c r="S5664">
        <v>36</v>
      </c>
      <c r="T5664" s="43" t="str">
        <f t="shared" ref="T5664:T5679" si="264">HYPERLINK("https://ictv.global/ictv/proposals/2020.005F.R.Genomoviridae.zip","2020.005F.R.Genomoviridae.zip")</f>
        <v>2020.005F.R.Genomoviridae.zip</v>
      </c>
      <c r="U5664" s="43" t="str">
        <f>HYPERLINK("https://ictv.global/taxonomy/taxondetails?taxnode_id=202203576","ictv.global=202203576")</f>
        <v>ictv.global=202203576</v>
      </c>
    </row>
    <row r="5665" spans="1:21">
      <c r="A5665">
        <v>5664</v>
      </c>
      <c r="B5665" s="29" t="s">
        <v>4053</v>
      </c>
      <c r="C5665" s="29"/>
      <c r="D5665" s="29" t="s">
        <v>4082</v>
      </c>
      <c r="E5665" s="29"/>
      <c r="F5665" s="29" t="s">
        <v>4106</v>
      </c>
      <c r="G5665" s="29"/>
      <c r="H5665" s="29" t="s">
        <v>4117</v>
      </c>
      <c r="I5665" s="29"/>
      <c r="J5665" s="29" t="s">
        <v>4118</v>
      </c>
      <c r="K5665" s="29"/>
      <c r="L5665" s="29" t="s">
        <v>2260</v>
      </c>
      <c r="M5665" s="29"/>
      <c r="N5665" s="29" t="s">
        <v>2261</v>
      </c>
      <c r="O5665" s="29"/>
      <c r="P5665" s="29" t="s">
        <v>5046</v>
      </c>
      <c r="Q5665" t="s">
        <v>2041</v>
      </c>
      <c r="R5665" t="s">
        <v>2635</v>
      </c>
      <c r="S5665">
        <v>36</v>
      </c>
      <c r="T5665" s="43" t="str">
        <f t="shared" si="264"/>
        <v>2020.005F.R.Genomoviridae.zip</v>
      </c>
      <c r="U5665" s="43" t="str">
        <f>HYPERLINK("https://ictv.global/taxonomy/taxondetails?taxnode_id=202203577","ictv.global=202203577")</f>
        <v>ictv.global=202203577</v>
      </c>
    </row>
    <row r="5666" spans="1:21">
      <c r="A5666">
        <v>5665</v>
      </c>
      <c r="B5666" s="29" t="s">
        <v>4053</v>
      </c>
      <c r="C5666" s="29"/>
      <c r="D5666" s="29" t="s">
        <v>4082</v>
      </c>
      <c r="E5666" s="29"/>
      <c r="F5666" s="29" t="s">
        <v>4106</v>
      </c>
      <c r="G5666" s="29"/>
      <c r="H5666" s="29" t="s">
        <v>4117</v>
      </c>
      <c r="I5666" s="29"/>
      <c r="J5666" s="29" t="s">
        <v>4118</v>
      </c>
      <c r="K5666" s="29"/>
      <c r="L5666" s="29" t="s">
        <v>2260</v>
      </c>
      <c r="M5666" s="29"/>
      <c r="N5666" s="29" t="s">
        <v>2261</v>
      </c>
      <c r="O5666" s="29"/>
      <c r="P5666" s="29" t="s">
        <v>5047</v>
      </c>
      <c r="Q5666" t="s">
        <v>2041</v>
      </c>
      <c r="R5666" t="s">
        <v>2635</v>
      </c>
      <c r="S5666">
        <v>36</v>
      </c>
      <c r="T5666" s="43" t="str">
        <f t="shared" si="264"/>
        <v>2020.005F.R.Genomoviridae.zip</v>
      </c>
      <c r="U5666" s="43" t="str">
        <f>HYPERLINK("https://ictv.global/taxonomy/taxondetails?taxnode_id=202203578","ictv.global=202203578")</f>
        <v>ictv.global=202203578</v>
      </c>
    </row>
    <row r="5667" spans="1:21">
      <c r="A5667">
        <v>5666</v>
      </c>
      <c r="B5667" s="29" t="s">
        <v>4053</v>
      </c>
      <c r="C5667" s="29"/>
      <c r="D5667" s="29" t="s">
        <v>4082</v>
      </c>
      <c r="E5667" s="29"/>
      <c r="F5667" s="29" t="s">
        <v>4106</v>
      </c>
      <c r="G5667" s="29"/>
      <c r="H5667" s="29" t="s">
        <v>4117</v>
      </c>
      <c r="I5667" s="29"/>
      <c r="J5667" s="29" t="s">
        <v>4118</v>
      </c>
      <c r="K5667" s="29"/>
      <c r="L5667" s="29" t="s">
        <v>2260</v>
      </c>
      <c r="M5667" s="29"/>
      <c r="N5667" s="29" t="s">
        <v>2261</v>
      </c>
      <c r="O5667" s="29"/>
      <c r="P5667" s="29" t="s">
        <v>5048</v>
      </c>
      <c r="Q5667" t="s">
        <v>2041</v>
      </c>
      <c r="R5667" t="s">
        <v>2635</v>
      </c>
      <c r="S5667">
        <v>36</v>
      </c>
      <c r="T5667" s="43" t="str">
        <f t="shared" si="264"/>
        <v>2020.005F.R.Genomoviridae.zip</v>
      </c>
      <c r="U5667" s="43" t="str">
        <f>HYPERLINK("https://ictv.global/taxonomy/taxondetails?taxnode_id=202203579","ictv.global=202203579")</f>
        <v>ictv.global=202203579</v>
      </c>
    </row>
    <row r="5668" spans="1:21">
      <c r="A5668">
        <v>5667</v>
      </c>
      <c r="B5668" s="29" t="s">
        <v>4053</v>
      </c>
      <c r="C5668" s="29"/>
      <c r="D5668" s="29" t="s">
        <v>4082</v>
      </c>
      <c r="E5668" s="29"/>
      <c r="F5668" s="29" t="s">
        <v>4106</v>
      </c>
      <c r="G5668" s="29"/>
      <c r="H5668" s="29" t="s">
        <v>4117</v>
      </c>
      <c r="I5668" s="29"/>
      <c r="J5668" s="29" t="s">
        <v>4118</v>
      </c>
      <c r="K5668" s="29"/>
      <c r="L5668" s="29" t="s">
        <v>2260</v>
      </c>
      <c r="M5668" s="29"/>
      <c r="N5668" s="29" t="s">
        <v>2261</v>
      </c>
      <c r="O5668" s="29"/>
      <c r="P5668" s="29" t="s">
        <v>5049</v>
      </c>
      <c r="Q5668" t="s">
        <v>2041</v>
      </c>
      <c r="R5668" t="s">
        <v>2635</v>
      </c>
      <c r="S5668">
        <v>36</v>
      </c>
      <c r="T5668" s="43" t="str">
        <f t="shared" si="264"/>
        <v>2020.005F.R.Genomoviridae.zip</v>
      </c>
      <c r="U5668" s="43" t="str">
        <f>HYPERLINK("https://ictv.global/taxonomy/taxondetails?taxnode_id=202203580","ictv.global=202203580")</f>
        <v>ictv.global=202203580</v>
      </c>
    </row>
    <row r="5669" spans="1:21">
      <c r="A5669">
        <v>5668</v>
      </c>
      <c r="B5669" s="29" t="s">
        <v>4053</v>
      </c>
      <c r="C5669" s="29"/>
      <c r="D5669" s="29" t="s">
        <v>4082</v>
      </c>
      <c r="E5669" s="29"/>
      <c r="F5669" s="29" t="s">
        <v>4106</v>
      </c>
      <c r="G5669" s="29"/>
      <c r="H5669" s="29" t="s">
        <v>4117</v>
      </c>
      <c r="I5669" s="29"/>
      <c r="J5669" s="29" t="s">
        <v>4118</v>
      </c>
      <c r="K5669" s="29"/>
      <c r="L5669" s="29" t="s">
        <v>2260</v>
      </c>
      <c r="M5669" s="29"/>
      <c r="N5669" s="29" t="s">
        <v>2261</v>
      </c>
      <c r="O5669" s="29"/>
      <c r="P5669" s="29" t="s">
        <v>5050</v>
      </c>
      <c r="Q5669" t="s">
        <v>2041</v>
      </c>
      <c r="R5669" t="s">
        <v>2635</v>
      </c>
      <c r="S5669">
        <v>36</v>
      </c>
      <c r="T5669" s="43" t="str">
        <f t="shared" si="264"/>
        <v>2020.005F.R.Genomoviridae.zip</v>
      </c>
      <c r="U5669" s="43" t="str">
        <f>HYPERLINK("https://ictv.global/taxonomy/taxondetails?taxnode_id=202203581","ictv.global=202203581")</f>
        <v>ictv.global=202203581</v>
      </c>
    </row>
    <row r="5670" spans="1:21">
      <c r="A5670">
        <v>5669</v>
      </c>
      <c r="B5670" s="29" t="s">
        <v>4053</v>
      </c>
      <c r="C5670" s="29"/>
      <c r="D5670" s="29" t="s">
        <v>4082</v>
      </c>
      <c r="E5670" s="29"/>
      <c r="F5670" s="29" t="s">
        <v>4106</v>
      </c>
      <c r="G5670" s="29"/>
      <c r="H5670" s="29" t="s">
        <v>4117</v>
      </c>
      <c r="I5670" s="29"/>
      <c r="J5670" s="29" t="s">
        <v>4118</v>
      </c>
      <c r="K5670" s="29"/>
      <c r="L5670" s="29" t="s">
        <v>2260</v>
      </c>
      <c r="M5670" s="29"/>
      <c r="N5670" s="29" t="s">
        <v>2261</v>
      </c>
      <c r="O5670" s="29"/>
      <c r="P5670" s="29" t="s">
        <v>5051</v>
      </c>
      <c r="Q5670" t="s">
        <v>2041</v>
      </c>
      <c r="R5670" t="s">
        <v>2635</v>
      </c>
      <c r="S5670">
        <v>36</v>
      </c>
      <c r="T5670" s="43" t="str">
        <f t="shared" si="264"/>
        <v>2020.005F.R.Genomoviridae.zip</v>
      </c>
      <c r="U5670" s="43" t="str">
        <f>HYPERLINK("https://ictv.global/taxonomy/taxondetails?taxnode_id=202203582","ictv.global=202203582")</f>
        <v>ictv.global=202203582</v>
      </c>
    </row>
    <row r="5671" spans="1:21">
      <c r="A5671">
        <v>5670</v>
      </c>
      <c r="B5671" s="29" t="s">
        <v>4053</v>
      </c>
      <c r="C5671" s="29"/>
      <c r="D5671" s="29" t="s">
        <v>4082</v>
      </c>
      <c r="E5671" s="29"/>
      <c r="F5671" s="29" t="s">
        <v>4106</v>
      </c>
      <c r="G5671" s="29"/>
      <c r="H5671" s="29" t="s">
        <v>4117</v>
      </c>
      <c r="I5671" s="29"/>
      <c r="J5671" s="29" t="s">
        <v>4118</v>
      </c>
      <c r="K5671" s="29"/>
      <c r="L5671" s="29" t="s">
        <v>2260</v>
      </c>
      <c r="M5671" s="29"/>
      <c r="N5671" s="29" t="s">
        <v>2261</v>
      </c>
      <c r="O5671" s="29"/>
      <c r="P5671" s="29" t="s">
        <v>5052</v>
      </c>
      <c r="Q5671" t="s">
        <v>2041</v>
      </c>
      <c r="R5671" t="s">
        <v>2635</v>
      </c>
      <c r="S5671">
        <v>36</v>
      </c>
      <c r="T5671" s="43" t="str">
        <f t="shared" si="264"/>
        <v>2020.005F.R.Genomoviridae.zip</v>
      </c>
      <c r="U5671" s="43" t="str">
        <f>HYPERLINK("https://ictv.global/taxonomy/taxondetails?taxnode_id=202203583","ictv.global=202203583")</f>
        <v>ictv.global=202203583</v>
      </c>
    </row>
    <row r="5672" spans="1:21">
      <c r="A5672">
        <v>5671</v>
      </c>
      <c r="B5672" s="29" t="s">
        <v>4053</v>
      </c>
      <c r="C5672" s="29"/>
      <c r="D5672" s="29" t="s">
        <v>4082</v>
      </c>
      <c r="E5672" s="29"/>
      <c r="F5672" s="29" t="s">
        <v>4106</v>
      </c>
      <c r="G5672" s="29"/>
      <c r="H5672" s="29" t="s">
        <v>4117</v>
      </c>
      <c r="I5672" s="29"/>
      <c r="J5672" s="29" t="s">
        <v>4118</v>
      </c>
      <c r="K5672" s="29"/>
      <c r="L5672" s="29" t="s">
        <v>2260</v>
      </c>
      <c r="M5672" s="29"/>
      <c r="N5672" s="29" t="s">
        <v>2261</v>
      </c>
      <c r="O5672" s="29"/>
      <c r="P5672" s="29" t="s">
        <v>5053</v>
      </c>
      <c r="Q5672" t="s">
        <v>2041</v>
      </c>
      <c r="R5672" t="s">
        <v>2635</v>
      </c>
      <c r="S5672">
        <v>36</v>
      </c>
      <c r="T5672" s="43" t="str">
        <f t="shared" si="264"/>
        <v>2020.005F.R.Genomoviridae.zip</v>
      </c>
      <c r="U5672" s="43" t="str">
        <f>HYPERLINK("https://ictv.global/taxonomy/taxondetails?taxnode_id=202203584","ictv.global=202203584")</f>
        <v>ictv.global=202203584</v>
      </c>
    </row>
    <row r="5673" spans="1:21">
      <c r="A5673">
        <v>5672</v>
      </c>
      <c r="B5673" s="29" t="s">
        <v>4053</v>
      </c>
      <c r="C5673" s="29"/>
      <c r="D5673" s="29" t="s">
        <v>4082</v>
      </c>
      <c r="E5673" s="29"/>
      <c r="F5673" s="29" t="s">
        <v>4106</v>
      </c>
      <c r="G5673" s="29"/>
      <c r="H5673" s="29" t="s">
        <v>4117</v>
      </c>
      <c r="I5673" s="29"/>
      <c r="J5673" s="29" t="s">
        <v>4118</v>
      </c>
      <c r="K5673" s="29"/>
      <c r="L5673" s="29" t="s">
        <v>2260</v>
      </c>
      <c r="M5673" s="29"/>
      <c r="N5673" s="29" t="s">
        <v>2261</v>
      </c>
      <c r="O5673" s="29"/>
      <c r="P5673" s="29" t="s">
        <v>5054</v>
      </c>
      <c r="Q5673" t="s">
        <v>2041</v>
      </c>
      <c r="R5673" t="s">
        <v>2635</v>
      </c>
      <c r="S5673">
        <v>36</v>
      </c>
      <c r="T5673" s="43" t="str">
        <f t="shared" si="264"/>
        <v>2020.005F.R.Genomoviridae.zip</v>
      </c>
      <c r="U5673" s="43" t="str">
        <f>HYPERLINK("https://ictv.global/taxonomy/taxondetails?taxnode_id=202203585","ictv.global=202203585")</f>
        <v>ictv.global=202203585</v>
      </c>
    </row>
    <row r="5674" spans="1:21">
      <c r="A5674">
        <v>5673</v>
      </c>
      <c r="B5674" s="29" t="s">
        <v>4053</v>
      </c>
      <c r="C5674" s="29"/>
      <c r="D5674" s="29" t="s">
        <v>4082</v>
      </c>
      <c r="E5674" s="29"/>
      <c r="F5674" s="29" t="s">
        <v>4106</v>
      </c>
      <c r="G5674" s="29"/>
      <c r="H5674" s="29" t="s">
        <v>4117</v>
      </c>
      <c r="I5674" s="29"/>
      <c r="J5674" s="29" t="s">
        <v>4118</v>
      </c>
      <c r="K5674" s="29"/>
      <c r="L5674" s="29" t="s">
        <v>2260</v>
      </c>
      <c r="M5674" s="29"/>
      <c r="N5674" s="29" t="s">
        <v>2261</v>
      </c>
      <c r="O5674" s="29"/>
      <c r="P5674" s="29" t="s">
        <v>5055</v>
      </c>
      <c r="Q5674" t="s">
        <v>2041</v>
      </c>
      <c r="R5674" t="s">
        <v>2635</v>
      </c>
      <c r="S5674">
        <v>36</v>
      </c>
      <c r="T5674" s="43" t="str">
        <f t="shared" si="264"/>
        <v>2020.005F.R.Genomoviridae.zip</v>
      </c>
      <c r="U5674" s="43" t="str">
        <f>HYPERLINK("https://ictv.global/taxonomy/taxondetails?taxnode_id=202203586","ictv.global=202203586")</f>
        <v>ictv.global=202203586</v>
      </c>
    </row>
    <row r="5675" spans="1:21">
      <c r="A5675">
        <v>5674</v>
      </c>
      <c r="B5675" s="29" t="s">
        <v>4053</v>
      </c>
      <c r="C5675" s="29"/>
      <c r="D5675" s="29" t="s">
        <v>4082</v>
      </c>
      <c r="E5675" s="29"/>
      <c r="F5675" s="29" t="s">
        <v>4106</v>
      </c>
      <c r="G5675" s="29"/>
      <c r="H5675" s="29" t="s">
        <v>4117</v>
      </c>
      <c r="I5675" s="29"/>
      <c r="J5675" s="29" t="s">
        <v>4118</v>
      </c>
      <c r="K5675" s="29"/>
      <c r="L5675" s="29" t="s">
        <v>2260</v>
      </c>
      <c r="M5675" s="29"/>
      <c r="N5675" s="29" t="s">
        <v>2261</v>
      </c>
      <c r="O5675" s="29"/>
      <c r="P5675" s="29" t="s">
        <v>5056</v>
      </c>
      <c r="Q5675" t="s">
        <v>2194</v>
      </c>
      <c r="R5675" t="s">
        <v>2632</v>
      </c>
      <c r="S5675">
        <v>36</v>
      </c>
      <c r="T5675" s="43" t="str">
        <f t="shared" si="264"/>
        <v>2020.005F.R.Genomoviridae.zip</v>
      </c>
      <c r="U5675" s="43" t="str">
        <f>HYPERLINK("https://ictv.global/taxonomy/taxondetails?taxnode_id=202208957","ictv.global=202208957")</f>
        <v>ictv.global=202208957</v>
      </c>
    </row>
    <row r="5676" spans="1:21">
      <c r="A5676">
        <v>5675</v>
      </c>
      <c r="B5676" s="29" t="s">
        <v>4053</v>
      </c>
      <c r="C5676" s="29"/>
      <c r="D5676" s="29" t="s">
        <v>4082</v>
      </c>
      <c r="E5676" s="29"/>
      <c r="F5676" s="29" t="s">
        <v>4106</v>
      </c>
      <c r="G5676" s="29"/>
      <c r="H5676" s="29" t="s">
        <v>4117</v>
      </c>
      <c r="I5676" s="29"/>
      <c r="J5676" s="29" t="s">
        <v>4118</v>
      </c>
      <c r="K5676" s="29"/>
      <c r="L5676" s="29" t="s">
        <v>2260</v>
      </c>
      <c r="M5676" s="29"/>
      <c r="N5676" s="29" t="s">
        <v>2261</v>
      </c>
      <c r="O5676" s="29"/>
      <c r="P5676" s="29" t="s">
        <v>5057</v>
      </c>
      <c r="Q5676" t="s">
        <v>2194</v>
      </c>
      <c r="R5676" t="s">
        <v>2635</v>
      </c>
      <c r="S5676">
        <v>36</v>
      </c>
      <c r="T5676" s="43" t="str">
        <f t="shared" si="264"/>
        <v>2020.005F.R.Genomoviridae.zip</v>
      </c>
      <c r="U5676" s="43" t="str">
        <f>HYPERLINK("https://ictv.global/taxonomy/taxondetails?taxnode_id=202203587","ictv.global=202203587")</f>
        <v>ictv.global=202203587</v>
      </c>
    </row>
    <row r="5677" spans="1:21">
      <c r="A5677">
        <v>5676</v>
      </c>
      <c r="B5677" s="29" t="s">
        <v>4053</v>
      </c>
      <c r="C5677" s="29"/>
      <c r="D5677" s="29" t="s">
        <v>4082</v>
      </c>
      <c r="E5677" s="29"/>
      <c r="F5677" s="29" t="s">
        <v>4106</v>
      </c>
      <c r="G5677" s="29"/>
      <c r="H5677" s="29" t="s">
        <v>4117</v>
      </c>
      <c r="I5677" s="29"/>
      <c r="J5677" s="29" t="s">
        <v>4118</v>
      </c>
      <c r="K5677" s="29"/>
      <c r="L5677" s="29" t="s">
        <v>2260</v>
      </c>
      <c r="M5677" s="29"/>
      <c r="N5677" s="29" t="s">
        <v>2261</v>
      </c>
      <c r="O5677" s="29"/>
      <c r="P5677" s="29" t="s">
        <v>5058</v>
      </c>
      <c r="Q5677" t="s">
        <v>2194</v>
      </c>
      <c r="R5677" t="s">
        <v>2632</v>
      </c>
      <c r="S5677">
        <v>36</v>
      </c>
      <c r="T5677" s="43" t="str">
        <f t="shared" si="264"/>
        <v>2020.005F.R.Genomoviridae.zip</v>
      </c>
      <c r="U5677" s="43" t="str">
        <f>HYPERLINK("https://ictv.global/taxonomy/taxondetails?taxnode_id=202208949","ictv.global=202208949")</f>
        <v>ictv.global=202208949</v>
      </c>
    </row>
    <row r="5678" spans="1:21">
      <c r="A5678">
        <v>5677</v>
      </c>
      <c r="B5678" s="29" t="s">
        <v>4053</v>
      </c>
      <c r="C5678" s="29"/>
      <c r="D5678" s="29" t="s">
        <v>4082</v>
      </c>
      <c r="E5678" s="29"/>
      <c r="F5678" s="29" t="s">
        <v>4106</v>
      </c>
      <c r="G5678" s="29"/>
      <c r="H5678" s="29" t="s">
        <v>4117</v>
      </c>
      <c r="I5678" s="29"/>
      <c r="J5678" s="29" t="s">
        <v>4118</v>
      </c>
      <c r="K5678" s="29"/>
      <c r="L5678" s="29" t="s">
        <v>2260</v>
      </c>
      <c r="M5678" s="29"/>
      <c r="N5678" s="29" t="s">
        <v>2261</v>
      </c>
      <c r="O5678" s="29"/>
      <c r="P5678" s="29" t="s">
        <v>5059</v>
      </c>
      <c r="Q5678" t="s">
        <v>2194</v>
      </c>
      <c r="R5678" t="s">
        <v>2632</v>
      </c>
      <c r="S5678">
        <v>36</v>
      </c>
      <c r="T5678" s="43" t="str">
        <f t="shared" si="264"/>
        <v>2020.005F.R.Genomoviridae.zip</v>
      </c>
      <c r="U5678" s="43" t="str">
        <f>HYPERLINK("https://ictv.global/taxonomy/taxondetails?taxnode_id=202208944","ictv.global=202208944")</f>
        <v>ictv.global=202208944</v>
      </c>
    </row>
    <row r="5679" spans="1:21">
      <c r="A5679">
        <v>5678</v>
      </c>
      <c r="B5679" s="29" t="s">
        <v>4053</v>
      </c>
      <c r="C5679" s="29"/>
      <c r="D5679" s="29" t="s">
        <v>4082</v>
      </c>
      <c r="E5679" s="29"/>
      <c r="F5679" s="29" t="s">
        <v>4106</v>
      </c>
      <c r="G5679" s="29"/>
      <c r="H5679" s="29" t="s">
        <v>4117</v>
      </c>
      <c r="I5679" s="29"/>
      <c r="J5679" s="29" t="s">
        <v>4118</v>
      </c>
      <c r="K5679" s="29"/>
      <c r="L5679" s="29" t="s">
        <v>2260</v>
      </c>
      <c r="M5679" s="29"/>
      <c r="N5679" s="29" t="s">
        <v>2261</v>
      </c>
      <c r="O5679" s="29"/>
      <c r="P5679" s="29" t="s">
        <v>5060</v>
      </c>
      <c r="Q5679" t="s">
        <v>2194</v>
      </c>
      <c r="R5679" t="s">
        <v>2632</v>
      </c>
      <c r="S5679">
        <v>36</v>
      </c>
      <c r="T5679" s="43" t="str">
        <f t="shared" si="264"/>
        <v>2020.005F.R.Genomoviridae.zip</v>
      </c>
      <c r="U5679" s="43" t="str">
        <f>HYPERLINK("https://ictv.global/taxonomy/taxondetails?taxnode_id=202208972","ictv.global=202208972")</f>
        <v>ictv.global=202208972</v>
      </c>
    </row>
    <row r="5680" spans="1:21">
      <c r="A5680">
        <v>5679</v>
      </c>
      <c r="B5680" s="29" t="s">
        <v>4053</v>
      </c>
      <c r="C5680" s="29"/>
      <c r="D5680" s="29" t="s">
        <v>4082</v>
      </c>
      <c r="E5680" s="29"/>
      <c r="F5680" s="29" t="s">
        <v>4106</v>
      </c>
      <c r="G5680" s="29"/>
      <c r="H5680" s="29" t="s">
        <v>4117</v>
      </c>
      <c r="I5680" s="29"/>
      <c r="J5680" s="29" t="s">
        <v>4118</v>
      </c>
      <c r="K5680" s="29"/>
      <c r="L5680" s="29" t="s">
        <v>2260</v>
      </c>
      <c r="M5680" s="29"/>
      <c r="N5680" s="29" t="s">
        <v>2261</v>
      </c>
      <c r="O5680" s="29"/>
      <c r="P5680" s="29" t="s">
        <v>5061</v>
      </c>
      <c r="Q5680" t="s">
        <v>2041</v>
      </c>
      <c r="R5680" t="s">
        <v>6902</v>
      </c>
      <c r="S5680">
        <v>36</v>
      </c>
      <c r="T5680" s="43" t="str">
        <f>HYPERLINK("https://ictv.global/ictv/proposals/2020.005F.R.Genomoviridae.zip","2020.005F.R.Genomoviridae.zip;2020.001G.R.Abolish_type_species.pdf")</f>
        <v>2020.005F.R.Genomoviridae.zip;2020.001G.R.Abolish_type_species.pdf</v>
      </c>
      <c r="U5680" s="43" t="str">
        <f>HYPERLINK("https://ictv.global/taxonomy/taxondetails?taxnode_id=202203588","ictv.global=202203588")</f>
        <v>ictv.global=202203588</v>
      </c>
    </row>
    <row r="5681" spans="1:21">
      <c r="A5681">
        <v>5680</v>
      </c>
      <c r="B5681" s="29" t="s">
        <v>4053</v>
      </c>
      <c r="C5681" s="29"/>
      <c r="D5681" s="29" t="s">
        <v>4082</v>
      </c>
      <c r="E5681" s="29"/>
      <c r="F5681" s="29" t="s">
        <v>4106</v>
      </c>
      <c r="G5681" s="29"/>
      <c r="H5681" s="29" t="s">
        <v>4117</v>
      </c>
      <c r="I5681" s="29"/>
      <c r="J5681" s="29" t="s">
        <v>4118</v>
      </c>
      <c r="K5681" s="29"/>
      <c r="L5681" s="29" t="s">
        <v>2260</v>
      </c>
      <c r="M5681" s="29"/>
      <c r="N5681" s="29" t="s">
        <v>2261</v>
      </c>
      <c r="O5681" s="29"/>
      <c r="P5681" s="29" t="s">
        <v>5062</v>
      </c>
      <c r="Q5681" t="s">
        <v>2194</v>
      </c>
      <c r="R5681" t="s">
        <v>2635</v>
      </c>
      <c r="S5681">
        <v>36</v>
      </c>
      <c r="T5681" s="43" t="str">
        <f t="shared" ref="T5681:T5696" si="265">HYPERLINK("https://ictv.global/ictv/proposals/2020.005F.R.Genomoviridae.zip","2020.005F.R.Genomoviridae.zip")</f>
        <v>2020.005F.R.Genomoviridae.zip</v>
      </c>
      <c r="U5681" s="43" t="str">
        <f>HYPERLINK("https://ictv.global/taxonomy/taxondetails?taxnode_id=202203589","ictv.global=202203589")</f>
        <v>ictv.global=202203589</v>
      </c>
    </row>
    <row r="5682" spans="1:21">
      <c r="A5682">
        <v>5681</v>
      </c>
      <c r="B5682" s="29" t="s">
        <v>4053</v>
      </c>
      <c r="C5682" s="29"/>
      <c r="D5682" s="29" t="s">
        <v>4082</v>
      </c>
      <c r="E5682" s="29"/>
      <c r="F5682" s="29" t="s">
        <v>4106</v>
      </c>
      <c r="G5682" s="29"/>
      <c r="H5682" s="29" t="s">
        <v>4117</v>
      </c>
      <c r="I5682" s="29"/>
      <c r="J5682" s="29" t="s">
        <v>4118</v>
      </c>
      <c r="K5682" s="29"/>
      <c r="L5682" s="29" t="s">
        <v>2260</v>
      </c>
      <c r="M5682" s="29"/>
      <c r="N5682" s="29" t="s">
        <v>2261</v>
      </c>
      <c r="O5682" s="29"/>
      <c r="P5682" s="29" t="s">
        <v>5063</v>
      </c>
      <c r="Q5682" t="s">
        <v>2194</v>
      </c>
      <c r="R5682" t="s">
        <v>2635</v>
      </c>
      <c r="S5682">
        <v>36</v>
      </c>
      <c r="T5682" s="43" t="str">
        <f t="shared" si="265"/>
        <v>2020.005F.R.Genomoviridae.zip</v>
      </c>
      <c r="U5682" s="43" t="str">
        <f>HYPERLINK("https://ictv.global/taxonomy/taxondetails?taxnode_id=202203590","ictv.global=202203590")</f>
        <v>ictv.global=202203590</v>
      </c>
    </row>
    <row r="5683" spans="1:21">
      <c r="A5683">
        <v>5682</v>
      </c>
      <c r="B5683" s="29" t="s">
        <v>4053</v>
      </c>
      <c r="C5683" s="29"/>
      <c r="D5683" s="29" t="s">
        <v>4082</v>
      </c>
      <c r="E5683" s="29"/>
      <c r="F5683" s="29" t="s">
        <v>4106</v>
      </c>
      <c r="G5683" s="29"/>
      <c r="H5683" s="29" t="s">
        <v>4117</v>
      </c>
      <c r="I5683" s="29"/>
      <c r="J5683" s="29" t="s">
        <v>4118</v>
      </c>
      <c r="K5683" s="29"/>
      <c r="L5683" s="29" t="s">
        <v>2260</v>
      </c>
      <c r="M5683" s="29"/>
      <c r="N5683" s="29" t="s">
        <v>2261</v>
      </c>
      <c r="O5683" s="29"/>
      <c r="P5683" s="29" t="s">
        <v>5064</v>
      </c>
      <c r="Q5683" t="s">
        <v>2194</v>
      </c>
      <c r="R5683" t="s">
        <v>2635</v>
      </c>
      <c r="S5683">
        <v>36</v>
      </c>
      <c r="T5683" s="43" t="str">
        <f t="shared" si="265"/>
        <v>2020.005F.R.Genomoviridae.zip</v>
      </c>
      <c r="U5683" s="43" t="str">
        <f>HYPERLINK("https://ictv.global/taxonomy/taxondetails?taxnode_id=202203591","ictv.global=202203591")</f>
        <v>ictv.global=202203591</v>
      </c>
    </row>
    <row r="5684" spans="1:21">
      <c r="A5684">
        <v>5683</v>
      </c>
      <c r="B5684" s="29" t="s">
        <v>4053</v>
      </c>
      <c r="C5684" s="29"/>
      <c r="D5684" s="29" t="s">
        <v>4082</v>
      </c>
      <c r="E5684" s="29"/>
      <c r="F5684" s="29" t="s">
        <v>4106</v>
      </c>
      <c r="G5684" s="29"/>
      <c r="H5684" s="29" t="s">
        <v>4117</v>
      </c>
      <c r="I5684" s="29"/>
      <c r="J5684" s="29" t="s">
        <v>4118</v>
      </c>
      <c r="K5684" s="29"/>
      <c r="L5684" s="29" t="s">
        <v>2260</v>
      </c>
      <c r="M5684" s="29"/>
      <c r="N5684" s="29" t="s">
        <v>2261</v>
      </c>
      <c r="O5684" s="29"/>
      <c r="P5684" s="29" t="s">
        <v>5065</v>
      </c>
      <c r="Q5684" t="s">
        <v>2194</v>
      </c>
      <c r="R5684" t="s">
        <v>2635</v>
      </c>
      <c r="S5684">
        <v>36</v>
      </c>
      <c r="T5684" s="43" t="str">
        <f t="shared" si="265"/>
        <v>2020.005F.R.Genomoviridae.zip</v>
      </c>
      <c r="U5684" s="43" t="str">
        <f>HYPERLINK("https://ictv.global/taxonomy/taxondetails?taxnode_id=202203592","ictv.global=202203592")</f>
        <v>ictv.global=202203592</v>
      </c>
    </row>
    <row r="5685" spans="1:21">
      <c r="A5685">
        <v>5684</v>
      </c>
      <c r="B5685" s="29" t="s">
        <v>4053</v>
      </c>
      <c r="C5685" s="29"/>
      <c r="D5685" s="29" t="s">
        <v>4082</v>
      </c>
      <c r="E5685" s="29"/>
      <c r="F5685" s="29" t="s">
        <v>4106</v>
      </c>
      <c r="G5685" s="29"/>
      <c r="H5685" s="29" t="s">
        <v>4117</v>
      </c>
      <c r="I5685" s="29"/>
      <c r="J5685" s="29" t="s">
        <v>4118</v>
      </c>
      <c r="K5685" s="29"/>
      <c r="L5685" s="29" t="s">
        <v>2260</v>
      </c>
      <c r="M5685" s="29"/>
      <c r="N5685" s="29" t="s">
        <v>2261</v>
      </c>
      <c r="O5685" s="29"/>
      <c r="P5685" s="29" t="s">
        <v>5066</v>
      </c>
      <c r="Q5685" t="s">
        <v>2194</v>
      </c>
      <c r="R5685" t="s">
        <v>2635</v>
      </c>
      <c r="S5685">
        <v>36</v>
      </c>
      <c r="T5685" s="43" t="str">
        <f t="shared" si="265"/>
        <v>2020.005F.R.Genomoviridae.zip</v>
      </c>
      <c r="U5685" s="43" t="str">
        <f>HYPERLINK("https://ictv.global/taxonomy/taxondetails?taxnode_id=202203593","ictv.global=202203593")</f>
        <v>ictv.global=202203593</v>
      </c>
    </row>
    <row r="5686" spans="1:21">
      <c r="A5686">
        <v>5685</v>
      </c>
      <c r="B5686" s="29" t="s">
        <v>4053</v>
      </c>
      <c r="C5686" s="29"/>
      <c r="D5686" s="29" t="s">
        <v>4082</v>
      </c>
      <c r="E5686" s="29"/>
      <c r="F5686" s="29" t="s">
        <v>4106</v>
      </c>
      <c r="G5686" s="29"/>
      <c r="H5686" s="29" t="s">
        <v>4117</v>
      </c>
      <c r="I5686" s="29"/>
      <c r="J5686" s="29" t="s">
        <v>4118</v>
      </c>
      <c r="K5686" s="29"/>
      <c r="L5686" s="29" t="s">
        <v>2260</v>
      </c>
      <c r="M5686" s="29"/>
      <c r="N5686" s="29" t="s">
        <v>2261</v>
      </c>
      <c r="O5686" s="29"/>
      <c r="P5686" s="29" t="s">
        <v>5067</v>
      </c>
      <c r="Q5686" t="s">
        <v>2041</v>
      </c>
      <c r="R5686" t="s">
        <v>2635</v>
      </c>
      <c r="S5686">
        <v>36</v>
      </c>
      <c r="T5686" s="43" t="str">
        <f t="shared" si="265"/>
        <v>2020.005F.R.Genomoviridae.zip</v>
      </c>
      <c r="U5686" s="43" t="str">
        <f>HYPERLINK("https://ictv.global/taxonomy/taxondetails?taxnode_id=202203594","ictv.global=202203594")</f>
        <v>ictv.global=202203594</v>
      </c>
    </row>
    <row r="5687" spans="1:21">
      <c r="A5687">
        <v>5686</v>
      </c>
      <c r="B5687" s="29" t="s">
        <v>4053</v>
      </c>
      <c r="C5687" s="29"/>
      <c r="D5687" s="29" t="s">
        <v>4082</v>
      </c>
      <c r="E5687" s="29"/>
      <c r="F5687" s="29" t="s">
        <v>4106</v>
      </c>
      <c r="G5687" s="29"/>
      <c r="H5687" s="29" t="s">
        <v>4117</v>
      </c>
      <c r="I5687" s="29"/>
      <c r="J5687" s="29" t="s">
        <v>4118</v>
      </c>
      <c r="K5687" s="29"/>
      <c r="L5687" s="29" t="s">
        <v>2260</v>
      </c>
      <c r="M5687" s="29"/>
      <c r="N5687" s="29" t="s">
        <v>2261</v>
      </c>
      <c r="O5687" s="29"/>
      <c r="P5687" s="29" t="s">
        <v>5068</v>
      </c>
      <c r="Q5687" t="s">
        <v>2194</v>
      </c>
      <c r="R5687" t="s">
        <v>2632</v>
      </c>
      <c r="S5687">
        <v>36</v>
      </c>
      <c r="T5687" s="43" t="str">
        <f t="shared" si="265"/>
        <v>2020.005F.R.Genomoviridae.zip</v>
      </c>
      <c r="U5687" s="43" t="str">
        <f>HYPERLINK("https://ictv.global/taxonomy/taxondetails?taxnode_id=202208981","ictv.global=202208981")</f>
        <v>ictv.global=202208981</v>
      </c>
    </row>
    <row r="5688" spans="1:21">
      <c r="A5688">
        <v>5687</v>
      </c>
      <c r="B5688" s="29" t="s">
        <v>4053</v>
      </c>
      <c r="C5688" s="29"/>
      <c r="D5688" s="29" t="s">
        <v>4082</v>
      </c>
      <c r="E5688" s="29"/>
      <c r="F5688" s="29" t="s">
        <v>4106</v>
      </c>
      <c r="G5688" s="29"/>
      <c r="H5688" s="29" t="s">
        <v>4117</v>
      </c>
      <c r="I5688" s="29"/>
      <c r="J5688" s="29" t="s">
        <v>4118</v>
      </c>
      <c r="K5688" s="29"/>
      <c r="L5688" s="29" t="s">
        <v>2260</v>
      </c>
      <c r="M5688" s="29"/>
      <c r="N5688" s="29" t="s">
        <v>2261</v>
      </c>
      <c r="O5688" s="29"/>
      <c r="P5688" s="29" t="s">
        <v>5069</v>
      </c>
      <c r="Q5688" t="s">
        <v>2194</v>
      </c>
      <c r="R5688" t="s">
        <v>2632</v>
      </c>
      <c r="S5688">
        <v>36</v>
      </c>
      <c r="T5688" s="43" t="str">
        <f t="shared" si="265"/>
        <v>2020.005F.R.Genomoviridae.zip</v>
      </c>
      <c r="U5688" s="43" t="str">
        <f>HYPERLINK("https://ictv.global/taxonomy/taxondetails?taxnode_id=202209003","ictv.global=202209003")</f>
        <v>ictv.global=202209003</v>
      </c>
    </row>
    <row r="5689" spans="1:21">
      <c r="A5689">
        <v>5688</v>
      </c>
      <c r="B5689" s="29" t="s">
        <v>4053</v>
      </c>
      <c r="C5689" s="29"/>
      <c r="D5689" s="29" t="s">
        <v>4082</v>
      </c>
      <c r="E5689" s="29"/>
      <c r="F5689" s="29" t="s">
        <v>4106</v>
      </c>
      <c r="G5689" s="29"/>
      <c r="H5689" s="29" t="s">
        <v>4117</v>
      </c>
      <c r="I5689" s="29"/>
      <c r="J5689" s="29" t="s">
        <v>4118</v>
      </c>
      <c r="K5689" s="29"/>
      <c r="L5689" s="29" t="s">
        <v>2260</v>
      </c>
      <c r="M5689" s="29"/>
      <c r="N5689" s="29" t="s">
        <v>2261</v>
      </c>
      <c r="O5689" s="29"/>
      <c r="P5689" s="29" t="s">
        <v>5070</v>
      </c>
      <c r="Q5689" t="s">
        <v>2194</v>
      </c>
      <c r="R5689" t="s">
        <v>2635</v>
      </c>
      <c r="S5689">
        <v>36</v>
      </c>
      <c r="T5689" s="43" t="str">
        <f t="shared" si="265"/>
        <v>2020.005F.R.Genomoviridae.zip</v>
      </c>
      <c r="U5689" s="43" t="str">
        <f>HYPERLINK("https://ictv.global/taxonomy/taxondetails?taxnode_id=202203595","ictv.global=202203595")</f>
        <v>ictv.global=202203595</v>
      </c>
    </row>
    <row r="5690" spans="1:21">
      <c r="A5690">
        <v>5689</v>
      </c>
      <c r="B5690" s="29" t="s">
        <v>4053</v>
      </c>
      <c r="C5690" s="29"/>
      <c r="D5690" s="29" t="s">
        <v>4082</v>
      </c>
      <c r="E5690" s="29"/>
      <c r="F5690" s="29" t="s">
        <v>4106</v>
      </c>
      <c r="G5690" s="29"/>
      <c r="H5690" s="29" t="s">
        <v>4117</v>
      </c>
      <c r="I5690" s="29"/>
      <c r="J5690" s="29" t="s">
        <v>4118</v>
      </c>
      <c r="K5690" s="29"/>
      <c r="L5690" s="29" t="s">
        <v>2260</v>
      </c>
      <c r="M5690" s="29"/>
      <c r="N5690" s="29" t="s">
        <v>2261</v>
      </c>
      <c r="O5690" s="29"/>
      <c r="P5690" s="29" t="s">
        <v>5071</v>
      </c>
      <c r="Q5690" t="s">
        <v>2194</v>
      </c>
      <c r="R5690" t="s">
        <v>2632</v>
      </c>
      <c r="S5690">
        <v>36</v>
      </c>
      <c r="T5690" s="43" t="str">
        <f t="shared" si="265"/>
        <v>2020.005F.R.Genomoviridae.zip</v>
      </c>
      <c r="U5690" s="43" t="str">
        <f>HYPERLINK("https://ictv.global/taxonomy/taxondetails?taxnode_id=202208992","ictv.global=202208992")</f>
        <v>ictv.global=202208992</v>
      </c>
    </row>
    <row r="5691" spans="1:21">
      <c r="A5691">
        <v>5690</v>
      </c>
      <c r="B5691" s="29" t="s">
        <v>4053</v>
      </c>
      <c r="C5691" s="29"/>
      <c r="D5691" s="29" t="s">
        <v>4082</v>
      </c>
      <c r="E5691" s="29"/>
      <c r="F5691" s="29" t="s">
        <v>4106</v>
      </c>
      <c r="G5691" s="29"/>
      <c r="H5691" s="29" t="s">
        <v>4117</v>
      </c>
      <c r="I5691" s="29"/>
      <c r="J5691" s="29" t="s">
        <v>4118</v>
      </c>
      <c r="K5691" s="29"/>
      <c r="L5691" s="29" t="s">
        <v>2260</v>
      </c>
      <c r="M5691" s="29"/>
      <c r="N5691" s="29" t="s">
        <v>2261</v>
      </c>
      <c r="O5691" s="29"/>
      <c r="P5691" s="29" t="s">
        <v>5072</v>
      </c>
      <c r="Q5691" t="s">
        <v>2194</v>
      </c>
      <c r="R5691" t="s">
        <v>2632</v>
      </c>
      <c r="S5691">
        <v>36</v>
      </c>
      <c r="T5691" s="43" t="str">
        <f t="shared" si="265"/>
        <v>2020.005F.R.Genomoviridae.zip</v>
      </c>
      <c r="U5691" s="43" t="str">
        <f>HYPERLINK("https://ictv.global/taxonomy/taxondetails?taxnode_id=202208939","ictv.global=202208939")</f>
        <v>ictv.global=202208939</v>
      </c>
    </row>
    <row r="5692" spans="1:21">
      <c r="A5692">
        <v>5691</v>
      </c>
      <c r="B5692" s="29" t="s">
        <v>4053</v>
      </c>
      <c r="C5692" s="29"/>
      <c r="D5692" s="29" t="s">
        <v>4082</v>
      </c>
      <c r="E5692" s="29"/>
      <c r="F5692" s="29" t="s">
        <v>4106</v>
      </c>
      <c r="G5692" s="29"/>
      <c r="H5692" s="29" t="s">
        <v>4117</v>
      </c>
      <c r="I5692" s="29"/>
      <c r="J5692" s="29" t="s">
        <v>4118</v>
      </c>
      <c r="K5692" s="29"/>
      <c r="L5692" s="29" t="s">
        <v>2260</v>
      </c>
      <c r="M5692" s="29"/>
      <c r="N5692" s="29" t="s">
        <v>2261</v>
      </c>
      <c r="O5692" s="29"/>
      <c r="P5692" s="29" t="s">
        <v>5073</v>
      </c>
      <c r="Q5692" t="s">
        <v>2194</v>
      </c>
      <c r="R5692" t="s">
        <v>2632</v>
      </c>
      <c r="S5692">
        <v>36</v>
      </c>
      <c r="T5692" s="43" t="str">
        <f t="shared" si="265"/>
        <v>2020.005F.R.Genomoviridae.zip</v>
      </c>
      <c r="U5692" s="43" t="str">
        <f>HYPERLINK("https://ictv.global/taxonomy/taxondetails?taxnode_id=202208963","ictv.global=202208963")</f>
        <v>ictv.global=202208963</v>
      </c>
    </row>
    <row r="5693" spans="1:21">
      <c r="A5693">
        <v>5692</v>
      </c>
      <c r="B5693" s="29" t="s">
        <v>4053</v>
      </c>
      <c r="C5693" s="29"/>
      <c r="D5693" s="29" t="s">
        <v>4082</v>
      </c>
      <c r="E5693" s="29"/>
      <c r="F5693" s="29" t="s">
        <v>4106</v>
      </c>
      <c r="G5693" s="29"/>
      <c r="H5693" s="29" t="s">
        <v>4117</v>
      </c>
      <c r="I5693" s="29"/>
      <c r="J5693" s="29" t="s">
        <v>4118</v>
      </c>
      <c r="K5693" s="29"/>
      <c r="L5693" s="29" t="s">
        <v>2260</v>
      </c>
      <c r="M5693" s="29"/>
      <c r="N5693" s="29" t="s">
        <v>2261</v>
      </c>
      <c r="O5693" s="29"/>
      <c r="P5693" s="29" t="s">
        <v>5074</v>
      </c>
      <c r="Q5693" t="s">
        <v>2194</v>
      </c>
      <c r="R5693" t="s">
        <v>2632</v>
      </c>
      <c r="S5693">
        <v>36</v>
      </c>
      <c r="T5693" s="43" t="str">
        <f t="shared" si="265"/>
        <v>2020.005F.R.Genomoviridae.zip</v>
      </c>
      <c r="U5693" s="43" t="str">
        <f>HYPERLINK("https://ictv.global/taxonomy/taxondetails?taxnode_id=202208996","ictv.global=202208996")</f>
        <v>ictv.global=202208996</v>
      </c>
    </row>
    <row r="5694" spans="1:21">
      <c r="A5694">
        <v>5693</v>
      </c>
      <c r="B5694" s="29" t="s">
        <v>4053</v>
      </c>
      <c r="C5694" s="29"/>
      <c r="D5694" s="29" t="s">
        <v>4082</v>
      </c>
      <c r="E5694" s="29"/>
      <c r="F5694" s="29" t="s">
        <v>4106</v>
      </c>
      <c r="G5694" s="29"/>
      <c r="H5694" s="29" t="s">
        <v>4117</v>
      </c>
      <c r="I5694" s="29"/>
      <c r="J5694" s="29" t="s">
        <v>4118</v>
      </c>
      <c r="K5694" s="29"/>
      <c r="L5694" s="29" t="s">
        <v>2260</v>
      </c>
      <c r="M5694" s="29"/>
      <c r="N5694" s="29" t="s">
        <v>2526</v>
      </c>
      <c r="O5694" s="29"/>
      <c r="P5694" s="29" t="s">
        <v>5075</v>
      </c>
      <c r="Q5694" t="s">
        <v>2194</v>
      </c>
      <c r="R5694" t="s">
        <v>2632</v>
      </c>
      <c r="S5694">
        <v>36</v>
      </c>
      <c r="T5694" s="43" t="str">
        <f t="shared" si="265"/>
        <v>2020.005F.R.Genomoviridae.zip</v>
      </c>
      <c r="U5694" s="43" t="str">
        <f>HYPERLINK("https://ictv.global/taxonomy/taxondetails?taxnode_id=202209022","ictv.global=202209022")</f>
        <v>ictv.global=202209022</v>
      </c>
    </row>
    <row r="5695" spans="1:21">
      <c r="A5695">
        <v>5694</v>
      </c>
      <c r="B5695" s="29" t="s">
        <v>4053</v>
      </c>
      <c r="C5695" s="29"/>
      <c r="D5695" s="29" t="s">
        <v>4082</v>
      </c>
      <c r="E5695" s="29"/>
      <c r="F5695" s="29" t="s">
        <v>4106</v>
      </c>
      <c r="G5695" s="29"/>
      <c r="H5695" s="29" t="s">
        <v>4117</v>
      </c>
      <c r="I5695" s="29"/>
      <c r="J5695" s="29" t="s">
        <v>4118</v>
      </c>
      <c r="K5695" s="29"/>
      <c r="L5695" s="29" t="s">
        <v>2260</v>
      </c>
      <c r="M5695" s="29"/>
      <c r="N5695" s="29" t="s">
        <v>2526</v>
      </c>
      <c r="O5695" s="29"/>
      <c r="P5695" s="29" t="s">
        <v>5076</v>
      </c>
      <c r="Q5695" t="s">
        <v>2194</v>
      </c>
      <c r="R5695" t="s">
        <v>2632</v>
      </c>
      <c r="S5695">
        <v>36</v>
      </c>
      <c r="T5695" s="43" t="str">
        <f t="shared" si="265"/>
        <v>2020.005F.R.Genomoviridae.zip</v>
      </c>
      <c r="U5695" s="43" t="str">
        <f>HYPERLINK("https://ictv.global/taxonomy/taxondetails?taxnode_id=202209029","ictv.global=202209029")</f>
        <v>ictv.global=202209029</v>
      </c>
    </row>
    <row r="5696" spans="1:21">
      <c r="A5696">
        <v>5695</v>
      </c>
      <c r="B5696" s="29" t="s">
        <v>4053</v>
      </c>
      <c r="C5696" s="29"/>
      <c r="D5696" s="29" t="s">
        <v>4082</v>
      </c>
      <c r="E5696" s="29"/>
      <c r="F5696" s="29" t="s">
        <v>4106</v>
      </c>
      <c r="G5696" s="29"/>
      <c r="H5696" s="29" t="s">
        <v>4117</v>
      </c>
      <c r="I5696" s="29"/>
      <c r="J5696" s="29" t="s">
        <v>4118</v>
      </c>
      <c r="K5696" s="29"/>
      <c r="L5696" s="29" t="s">
        <v>2260</v>
      </c>
      <c r="M5696" s="29"/>
      <c r="N5696" s="29" t="s">
        <v>2526</v>
      </c>
      <c r="O5696" s="29"/>
      <c r="P5696" s="29" t="s">
        <v>5077</v>
      </c>
      <c r="Q5696" t="s">
        <v>2194</v>
      </c>
      <c r="R5696" t="s">
        <v>2632</v>
      </c>
      <c r="S5696">
        <v>36</v>
      </c>
      <c r="T5696" s="43" t="str">
        <f t="shared" si="265"/>
        <v>2020.005F.R.Genomoviridae.zip</v>
      </c>
      <c r="U5696" s="43" t="str">
        <f>HYPERLINK("https://ictv.global/taxonomy/taxondetails?taxnode_id=202209026","ictv.global=202209026")</f>
        <v>ictv.global=202209026</v>
      </c>
    </row>
    <row r="5697" spans="1:21">
      <c r="A5697">
        <v>5696</v>
      </c>
      <c r="B5697" s="29" t="s">
        <v>4053</v>
      </c>
      <c r="C5697" s="29"/>
      <c r="D5697" s="29" t="s">
        <v>4082</v>
      </c>
      <c r="E5697" s="29"/>
      <c r="F5697" s="29" t="s">
        <v>4106</v>
      </c>
      <c r="G5697" s="29"/>
      <c r="H5697" s="29" t="s">
        <v>4117</v>
      </c>
      <c r="I5697" s="29"/>
      <c r="J5697" s="29" t="s">
        <v>4118</v>
      </c>
      <c r="K5697" s="29"/>
      <c r="L5697" s="29" t="s">
        <v>2260</v>
      </c>
      <c r="M5697" s="29"/>
      <c r="N5697" s="29" t="s">
        <v>2526</v>
      </c>
      <c r="O5697" s="29"/>
      <c r="P5697" s="29" t="s">
        <v>5078</v>
      </c>
      <c r="Q5697" t="s">
        <v>2194</v>
      </c>
      <c r="R5697" t="s">
        <v>6902</v>
      </c>
      <c r="S5697">
        <v>36</v>
      </c>
      <c r="T5697" s="43" t="str">
        <f>HYPERLINK("https://ictv.global/ictv/proposals/2020.005F.R.Genomoviridae.zip","2020.005F.R.Genomoviridae.zip;2020.001G.R.Abolish_type_species.pdf")</f>
        <v>2020.005F.R.Genomoviridae.zip;2020.001G.R.Abolish_type_species.pdf</v>
      </c>
      <c r="U5697" s="43" t="str">
        <f>HYPERLINK("https://ictv.global/taxonomy/taxondetails?taxnode_id=202203597","ictv.global=202203597")</f>
        <v>ictv.global=202203597</v>
      </c>
    </row>
    <row r="5698" spans="1:21">
      <c r="A5698">
        <v>5697</v>
      </c>
      <c r="B5698" s="29" t="s">
        <v>4053</v>
      </c>
      <c r="C5698" s="29"/>
      <c r="D5698" s="29" t="s">
        <v>4082</v>
      </c>
      <c r="E5698" s="29"/>
      <c r="F5698" s="29" t="s">
        <v>4106</v>
      </c>
      <c r="G5698" s="29"/>
      <c r="H5698" s="29" t="s">
        <v>4117</v>
      </c>
      <c r="I5698" s="29"/>
      <c r="J5698" s="29" t="s">
        <v>4118</v>
      </c>
      <c r="K5698" s="29"/>
      <c r="L5698" s="29" t="s">
        <v>2260</v>
      </c>
      <c r="M5698" s="29"/>
      <c r="N5698" s="29" t="s">
        <v>2526</v>
      </c>
      <c r="O5698" s="29"/>
      <c r="P5698" s="29" t="s">
        <v>5079</v>
      </c>
      <c r="Q5698" t="s">
        <v>2194</v>
      </c>
      <c r="R5698" t="s">
        <v>2632</v>
      </c>
      <c r="S5698">
        <v>36</v>
      </c>
      <c r="T5698" s="43" t="str">
        <f t="shared" ref="T5698:T5712" si="266">HYPERLINK("https://ictv.global/ictv/proposals/2020.005F.R.Genomoviridae.zip","2020.005F.R.Genomoviridae.zip")</f>
        <v>2020.005F.R.Genomoviridae.zip</v>
      </c>
      <c r="U5698" s="43" t="str">
        <f>HYPERLINK("https://ictv.global/taxonomy/taxondetails?taxnode_id=202209024","ictv.global=202209024")</f>
        <v>ictv.global=202209024</v>
      </c>
    </row>
    <row r="5699" spans="1:21">
      <c r="A5699">
        <v>5698</v>
      </c>
      <c r="B5699" s="29" t="s">
        <v>4053</v>
      </c>
      <c r="C5699" s="29"/>
      <c r="D5699" s="29" t="s">
        <v>4082</v>
      </c>
      <c r="E5699" s="29"/>
      <c r="F5699" s="29" t="s">
        <v>4106</v>
      </c>
      <c r="G5699" s="29"/>
      <c r="H5699" s="29" t="s">
        <v>4117</v>
      </c>
      <c r="I5699" s="29"/>
      <c r="J5699" s="29" t="s">
        <v>4118</v>
      </c>
      <c r="K5699" s="29"/>
      <c r="L5699" s="29" t="s">
        <v>2260</v>
      </c>
      <c r="M5699" s="29"/>
      <c r="N5699" s="29" t="s">
        <v>2526</v>
      </c>
      <c r="O5699" s="29"/>
      <c r="P5699" s="29" t="s">
        <v>5080</v>
      </c>
      <c r="Q5699" t="s">
        <v>2194</v>
      </c>
      <c r="R5699" t="s">
        <v>2632</v>
      </c>
      <c r="S5699">
        <v>36</v>
      </c>
      <c r="T5699" s="43" t="str">
        <f t="shared" si="266"/>
        <v>2020.005F.R.Genomoviridae.zip</v>
      </c>
      <c r="U5699" s="43" t="str">
        <f>HYPERLINK("https://ictv.global/taxonomy/taxondetails?taxnode_id=202209025","ictv.global=202209025")</f>
        <v>ictv.global=202209025</v>
      </c>
    </row>
    <row r="5700" spans="1:21">
      <c r="A5700">
        <v>5699</v>
      </c>
      <c r="B5700" s="29" t="s">
        <v>4053</v>
      </c>
      <c r="C5700" s="29"/>
      <c r="D5700" s="29" t="s">
        <v>4082</v>
      </c>
      <c r="E5700" s="29"/>
      <c r="F5700" s="29" t="s">
        <v>4106</v>
      </c>
      <c r="G5700" s="29"/>
      <c r="H5700" s="29" t="s">
        <v>4117</v>
      </c>
      <c r="I5700" s="29"/>
      <c r="J5700" s="29" t="s">
        <v>4118</v>
      </c>
      <c r="K5700" s="29"/>
      <c r="L5700" s="29" t="s">
        <v>2260</v>
      </c>
      <c r="M5700" s="29"/>
      <c r="N5700" s="29" t="s">
        <v>2526</v>
      </c>
      <c r="O5700" s="29"/>
      <c r="P5700" s="29" t="s">
        <v>5081</v>
      </c>
      <c r="Q5700" t="s">
        <v>2194</v>
      </c>
      <c r="R5700" t="s">
        <v>2632</v>
      </c>
      <c r="S5700">
        <v>36</v>
      </c>
      <c r="T5700" s="43" t="str">
        <f t="shared" si="266"/>
        <v>2020.005F.R.Genomoviridae.zip</v>
      </c>
      <c r="U5700" s="43" t="str">
        <f>HYPERLINK("https://ictv.global/taxonomy/taxondetails?taxnode_id=202209027","ictv.global=202209027")</f>
        <v>ictv.global=202209027</v>
      </c>
    </row>
    <row r="5701" spans="1:21">
      <c r="A5701">
        <v>5700</v>
      </c>
      <c r="B5701" s="29" t="s">
        <v>4053</v>
      </c>
      <c r="C5701" s="29"/>
      <c r="D5701" s="29" t="s">
        <v>4082</v>
      </c>
      <c r="E5701" s="29"/>
      <c r="F5701" s="29" t="s">
        <v>4106</v>
      </c>
      <c r="G5701" s="29"/>
      <c r="H5701" s="29" t="s">
        <v>4117</v>
      </c>
      <c r="I5701" s="29"/>
      <c r="J5701" s="29" t="s">
        <v>4118</v>
      </c>
      <c r="K5701" s="29"/>
      <c r="L5701" s="29" t="s">
        <v>2260</v>
      </c>
      <c r="M5701" s="29"/>
      <c r="N5701" s="29" t="s">
        <v>2526</v>
      </c>
      <c r="O5701" s="29"/>
      <c r="P5701" s="29" t="s">
        <v>5082</v>
      </c>
      <c r="Q5701" t="s">
        <v>2194</v>
      </c>
      <c r="R5701" t="s">
        <v>2632</v>
      </c>
      <c r="S5701">
        <v>36</v>
      </c>
      <c r="T5701" s="43" t="str">
        <f t="shared" si="266"/>
        <v>2020.005F.R.Genomoviridae.zip</v>
      </c>
      <c r="U5701" s="43" t="str">
        <f>HYPERLINK("https://ictv.global/taxonomy/taxondetails?taxnode_id=202209021","ictv.global=202209021")</f>
        <v>ictv.global=202209021</v>
      </c>
    </row>
    <row r="5702" spans="1:21">
      <c r="A5702">
        <v>5701</v>
      </c>
      <c r="B5702" s="29" t="s">
        <v>4053</v>
      </c>
      <c r="C5702" s="29"/>
      <c r="D5702" s="29" t="s">
        <v>4082</v>
      </c>
      <c r="E5702" s="29"/>
      <c r="F5702" s="29" t="s">
        <v>4106</v>
      </c>
      <c r="G5702" s="29"/>
      <c r="H5702" s="29" t="s">
        <v>4117</v>
      </c>
      <c r="I5702" s="29"/>
      <c r="J5702" s="29" t="s">
        <v>4118</v>
      </c>
      <c r="K5702" s="29"/>
      <c r="L5702" s="29" t="s">
        <v>2260</v>
      </c>
      <c r="M5702" s="29"/>
      <c r="N5702" s="29" t="s">
        <v>2526</v>
      </c>
      <c r="O5702" s="29"/>
      <c r="P5702" s="29" t="s">
        <v>5083</v>
      </c>
      <c r="Q5702" t="s">
        <v>2194</v>
      </c>
      <c r="R5702" t="s">
        <v>2632</v>
      </c>
      <c r="S5702">
        <v>36</v>
      </c>
      <c r="T5702" s="43" t="str">
        <f t="shared" si="266"/>
        <v>2020.005F.R.Genomoviridae.zip</v>
      </c>
      <c r="U5702" s="43" t="str">
        <f>HYPERLINK("https://ictv.global/taxonomy/taxondetails?taxnode_id=202209019","ictv.global=202209019")</f>
        <v>ictv.global=202209019</v>
      </c>
    </row>
    <row r="5703" spans="1:21">
      <c r="A5703">
        <v>5702</v>
      </c>
      <c r="B5703" s="29" t="s">
        <v>4053</v>
      </c>
      <c r="C5703" s="29"/>
      <c r="D5703" s="29" t="s">
        <v>4082</v>
      </c>
      <c r="E5703" s="29"/>
      <c r="F5703" s="29" t="s">
        <v>4106</v>
      </c>
      <c r="G5703" s="29"/>
      <c r="H5703" s="29" t="s">
        <v>4117</v>
      </c>
      <c r="I5703" s="29"/>
      <c r="J5703" s="29" t="s">
        <v>4118</v>
      </c>
      <c r="K5703" s="29"/>
      <c r="L5703" s="29" t="s">
        <v>2260</v>
      </c>
      <c r="M5703" s="29"/>
      <c r="N5703" s="29" t="s">
        <v>2526</v>
      </c>
      <c r="O5703" s="29"/>
      <c r="P5703" s="29" t="s">
        <v>5084</v>
      </c>
      <c r="Q5703" t="s">
        <v>2194</v>
      </c>
      <c r="R5703" t="s">
        <v>2632</v>
      </c>
      <c r="S5703">
        <v>36</v>
      </c>
      <c r="T5703" s="43" t="str">
        <f t="shared" si="266"/>
        <v>2020.005F.R.Genomoviridae.zip</v>
      </c>
      <c r="U5703" s="43" t="str">
        <f>HYPERLINK("https://ictv.global/taxonomy/taxondetails?taxnode_id=202209023","ictv.global=202209023")</f>
        <v>ictv.global=202209023</v>
      </c>
    </row>
    <row r="5704" spans="1:21">
      <c r="A5704">
        <v>5703</v>
      </c>
      <c r="B5704" s="29" t="s">
        <v>4053</v>
      </c>
      <c r="C5704" s="29"/>
      <c r="D5704" s="29" t="s">
        <v>4082</v>
      </c>
      <c r="E5704" s="29"/>
      <c r="F5704" s="29" t="s">
        <v>4106</v>
      </c>
      <c r="G5704" s="29"/>
      <c r="H5704" s="29" t="s">
        <v>4117</v>
      </c>
      <c r="I5704" s="29"/>
      <c r="J5704" s="29" t="s">
        <v>4118</v>
      </c>
      <c r="K5704" s="29"/>
      <c r="L5704" s="29" t="s">
        <v>2260</v>
      </c>
      <c r="M5704" s="29"/>
      <c r="N5704" s="29" t="s">
        <v>2526</v>
      </c>
      <c r="O5704" s="29"/>
      <c r="P5704" s="29" t="s">
        <v>5085</v>
      </c>
      <c r="Q5704" t="s">
        <v>2194</v>
      </c>
      <c r="R5704" t="s">
        <v>2632</v>
      </c>
      <c r="S5704">
        <v>36</v>
      </c>
      <c r="T5704" s="43" t="str">
        <f t="shared" si="266"/>
        <v>2020.005F.R.Genomoviridae.zip</v>
      </c>
      <c r="U5704" s="43" t="str">
        <f>HYPERLINK("https://ictv.global/taxonomy/taxondetails?taxnode_id=202209020","ictv.global=202209020")</f>
        <v>ictv.global=202209020</v>
      </c>
    </row>
    <row r="5705" spans="1:21">
      <c r="A5705">
        <v>5704</v>
      </c>
      <c r="B5705" s="29" t="s">
        <v>4053</v>
      </c>
      <c r="C5705" s="29"/>
      <c r="D5705" s="29" t="s">
        <v>4082</v>
      </c>
      <c r="E5705" s="29"/>
      <c r="F5705" s="29" t="s">
        <v>4106</v>
      </c>
      <c r="G5705" s="29"/>
      <c r="H5705" s="29" t="s">
        <v>4117</v>
      </c>
      <c r="I5705" s="29"/>
      <c r="J5705" s="29" t="s">
        <v>4118</v>
      </c>
      <c r="K5705" s="29"/>
      <c r="L5705" s="29" t="s">
        <v>2260</v>
      </c>
      <c r="M5705" s="29"/>
      <c r="N5705" s="29" t="s">
        <v>2526</v>
      </c>
      <c r="O5705" s="29"/>
      <c r="P5705" s="29" t="s">
        <v>5086</v>
      </c>
      <c r="Q5705" t="s">
        <v>2194</v>
      </c>
      <c r="R5705" t="s">
        <v>2632</v>
      </c>
      <c r="S5705">
        <v>36</v>
      </c>
      <c r="T5705" s="43" t="str">
        <f t="shared" si="266"/>
        <v>2020.005F.R.Genomoviridae.zip</v>
      </c>
      <c r="U5705" s="43" t="str">
        <f>HYPERLINK("https://ictv.global/taxonomy/taxondetails?taxnode_id=202209028","ictv.global=202209028")</f>
        <v>ictv.global=202209028</v>
      </c>
    </row>
    <row r="5706" spans="1:21">
      <c r="A5706">
        <v>5705</v>
      </c>
      <c r="B5706" s="29" t="s">
        <v>4053</v>
      </c>
      <c r="C5706" s="29"/>
      <c r="D5706" s="29" t="s">
        <v>4082</v>
      </c>
      <c r="E5706" s="29"/>
      <c r="F5706" s="29" t="s">
        <v>4106</v>
      </c>
      <c r="G5706" s="29"/>
      <c r="H5706" s="29" t="s">
        <v>4117</v>
      </c>
      <c r="I5706" s="29"/>
      <c r="J5706" s="29" t="s">
        <v>4118</v>
      </c>
      <c r="K5706" s="29"/>
      <c r="L5706" s="29" t="s">
        <v>2260</v>
      </c>
      <c r="M5706" s="29"/>
      <c r="N5706" s="29" t="s">
        <v>2527</v>
      </c>
      <c r="O5706" s="29"/>
      <c r="P5706" s="29" t="s">
        <v>5087</v>
      </c>
      <c r="Q5706" t="s">
        <v>2041</v>
      </c>
      <c r="R5706" t="s">
        <v>2635</v>
      </c>
      <c r="S5706">
        <v>36</v>
      </c>
      <c r="T5706" s="43" t="str">
        <f t="shared" si="266"/>
        <v>2020.005F.R.Genomoviridae.zip</v>
      </c>
      <c r="U5706" s="43" t="str">
        <f>HYPERLINK("https://ictv.global/taxonomy/taxondetails?taxnode_id=202203599","ictv.global=202203599")</f>
        <v>ictv.global=202203599</v>
      </c>
    </row>
    <row r="5707" spans="1:21">
      <c r="A5707">
        <v>5706</v>
      </c>
      <c r="B5707" s="29" t="s">
        <v>4053</v>
      </c>
      <c r="C5707" s="29"/>
      <c r="D5707" s="29" t="s">
        <v>4082</v>
      </c>
      <c r="E5707" s="29"/>
      <c r="F5707" s="29" t="s">
        <v>4106</v>
      </c>
      <c r="G5707" s="29"/>
      <c r="H5707" s="29" t="s">
        <v>4117</v>
      </c>
      <c r="I5707" s="29"/>
      <c r="J5707" s="29" t="s">
        <v>4118</v>
      </c>
      <c r="K5707" s="29"/>
      <c r="L5707" s="29" t="s">
        <v>2260</v>
      </c>
      <c r="M5707" s="29"/>
      <c r="N5707" s="29" t="s">
        <v>2527</v>
      </c>
      <c r="O5707" s="29"/>
      <c r="P5707" s="29" t="s">
        <v>5088</v>
      </c>
      <c r="Q5707" t="s">
        <v>2194</v>
      </c>
      <c r="R5707" t="s">
        <v>2632</v>
      </c>
      <c r="S5707">
        <v>36</v>
      </c>
      <c r="T5707" s="43" t="str">
        <f t="shared" si="266"/>
        <v>2020.005F.R.Genomoviridae.zip</v>
      </c>
      <c r="U5707" s="43" t="str">
        <f>HYPERLINK("https://ictv.global/taxonomy/taxondetails?taxnode_id=202209031","ictv.global=202209031")</f>
        <v>ictv.global=202209031</v>
      </c>
    </row>
    <row r="5708" spans="1:21">
      <c r="A5708">
        <v>5707</v>
      </c>
      <c r="B5708" s="29" t="s">
        <v>4053</v>
      </c>
      <c r="C5708" s="29"/>
      <c r="D5708" s="29" t="s">
        <v>4082</v>
      </c>
      <c r="E5708" s="29"/>
      <c r="F5708" s="29" t="s">
        <v>4106</v>
      </c>
      <c r="G5708" s="29"/>
      <c r="H5708" s="29" t="s">
        <v>4117</v>
      </c>
      <c r="I5708" s="29"/>
      <c r="J5708" s="29" t="s">
        <v>4118</v>
      </c>
      <c r="K5708" s="29"/>
      <c r="L5708" s="29" t="s">
        <v>2260</v>
      </c>
      <c r="M5708" s="29"/>
      <c r="N5708" s="29" t="s">
        <v>2527</v>
      </c>
      <c r="O5708" s="29"/>
      <c r="P5708" s="29" t="s">
        <v>5089</v>
      </c>
      <c r="Q5708" t="s">
        <v>2041</v>
      </c>
      <c r="R5708" t="s">
        <v>2635</v>
      </c>
      <c r="S5708">
        <v>36</v>
      </c>
      <c r="T5708" s="43" t="str">
        <f t="shared" si="266"/>
        <v>2020.005F.R.Genomoviridae.zip</v>
      </c>
      <c r="U5708" s="43" t="str">
        <f>HYPERLINK("https://ictv.global/taxonomy/taxondetails?taxnode_id=202203600","ictv.global=202203600")</f>
        <v>ictv.global=202203600</v>
      </c>
    </row>
    <row r="5709" spans="1:21">
      <c r="A5709">
        <v>5708</v>
      </c>
      <c r="B5709" s="29" t="s">
        <v>4053</v>
      </c>
      <c r="C5709" s="29"/>
      <c r="D5709" s="29" t="s">
        <v>4082</v>
      </c>
      <c r="E5709" s="29"/>
      <c r="F5709" s="29" t="s">
        <v>4106</v>
      </c>
      <c r="G5709" s="29"/>
      <c r="H5709" s="29" t="s">
        <v>4117</v>
      </c>
      <c r="I5709" s="29"/>
      <c r="J5709" s="29" t="s">
        <v>4118</v>
      </c>
      <c r="K5709" s="29"/>
      <c r="L5709" s="29" t="s">
        <v>2260</v>
      </c>
      <c r="M5709" s="29"/>
      <c r="N5709" s="29" t="s">
        <v>2527</v>
      </c>
      <c r="O5709" s="29"/>
      <c r="P5709" s="29" t="s">
        <v>5090</v>
      </c>
      <c r="Q5709" t="s">
        <v>2194</v>
      </c>
      <c r="R5709" t="s">
        <v>2632</v>
      </c>
      <c r="S5709">
        <v>36</v>
      </c>
      <c r="T5709" s="43" t="str">
        <f t="shared" si="266"/>
        <v>2020.005F.R.Genomoviridae.zip</v>
      </c>
      <c r="U5709" s="43" t="str">
        <f>HYPERLINK("https://ictv.global/taxonomy/taxondetails?taxnode_id=202209032","ictv.global=202209032")</f>
        <v>ictv.global=202209032</v>
      </c>
    </row>
    <row r="5710" spans="1:21">
      <c r="A5710">
        <v>5709</v>
      </c>
      <c r="B5710" s="29" t="s">
        <v>4053</v>
      </c>
      <c r="C5710" s="29"/>
      <c r="D5710" s="29" t="s">
        <v>4082</v>
      </c>
      <c r="E5710" s="29"/>
      <c r="F5710" s="29" t="s">
        <v>4106</v>
      </c>
      <c r="G5710" s="29"/>
      <c r="H5710" s="29" t="s">
        <v>4117</v>
      </c>
      <c r="I5710" s="29"/>
      <c r="J5710" s="29" t="s">
        <v>4118</v>
      </c>
      <c r="K5710" s="29"/>
      <c r="L5710" s="29" t="s">
        <v>2260</v>
      </c>
      <c r="M5710" s="29"/>
      <c r="N5710" s="29" t="s">
        <v>2527</v>
      </c>
      <c r="O5710" s="29"/>
      <c r="P5710" s="29" t="s">
        <v>5091</v>
      </c>
      <c r="Q5710" t="s">
        <v>2194</v>
      </c>
      <c r="R5710" t="s">
        <v>2632</v>
      </c>
      <c r="S5710">
        <v>36</v>
      </c>
      <c r="T5710" s="43" t="str">
        <f t="shared" si="266"/>
        <v>2020.005F.R.Genomoviridae.zip</v>
      </c>
      <c r="U5710" s="43" t="str">
        <f>HYPERLINK("https://ictv.global/taxonomy/taxondetails?taxnode_id=202209030","ictv.global=202209030")</f>
        <v>ictv.global=202209030</v>
      </c>
    </row>
    <row r="5711" spans="1:21">
      <c r="A5711">
        <v>5710</v>
      </c>
      <c r="B5711" s="29" t="s">
        <v>4053</v>
      </c>
      <c r="C5711" s="29"/>
      <c r="D5711" s="29" t="s">
        <v>4082</v>
      </c>
      <c r="E5711" s="29"/>
      <c r="F5711" s="29" t="s">
        <v>4106</v>
      </c>
      <c r="G5711" s="29"/>
      <c r="H5711" s="29" t="s">
        <v>4117</v>
      </c>
      <c r="I5711" s="29"/>
      <c r="J5711" s="29" t="s">
        <v>4118</v>
      </c>
      <c r="K5711" s="29"/>
      <c r="L5711" s="29" t="s">
        <v>2260</v>
      </c>
      <c r="M5711" s="29"/>
      <c r="N5711" s="29" t="s">
        <v>2527</v>
      </c>
      <c r="O5711" s="29"/>
      <c r="P5711" s="29" t="s">
        <v>5092</v>
      </c>
      <c r="Q5711" t="s">
        <v>2041</v>
      </c>
      <c r="R5711" t="s">
        <v>2635</v>
      </c>
      <c r="S5711">
        <v>36</v>
      </c>
      <c r="T5711" s="43" t="str">
        <f t="shared" si="266"/>
        <v>2020.005F.R.Genomoviridae.zip</v>
      </c>
      <c r="U5711" s="43" t="str">
        <f>HYPERLINK("https://ictv.global/taxonomy/taxondetails?taxnode_id=202203601","ictv.global=202203601")</f>
        <v>ictv.global=202203601</v>
      </c>
    </row>
    <row r="5712" spans="1:21">
      <c r="A5712">
        <v>5711</v>
      </c>
      <c r="B5712" s="29" t="s">
        <v>4053</v>
      </c>
      <c r="C5712" s="29"/>
      <c r="D5712" s="29" t="s">
        <v>4082</v>
      </c>
      <c r="E5712" s="29"/>
      <c r="F5712" s="29" t="s">
        <v>4106</v>
      </c>
      <c r="G5712" s="29"/>
      <c r="H5712" s="29" t="s">
        <v>4117</v>
      </c>
      <c r="I5712" s="29"/>
      <c r="J5712" s="29" t="s">
        <v>4118</v>
      </c>
      <c r="K5712" s="29"/>
      <c r="L5712" s="29" t="s">
        <v>2260</v>
      </c>
      <c r="M5712" s="29"/>
      <c r="N5712" s="29" t="s">
        <v>2527</v>
      </c>
      <c r="O5712" s="29"/>
      <c r="P5712" s="29" t="s">
        <v>5093</v>
      </c>
      <c r="Q5712" t="s">
        <v>2194</v>
      </c>
      <c r="R5712" t="s">
        <v>2635</v>
      </c>
      <c r="S5712">
        <v>36</v>
      </c>
      <c r="T5712" s="43" t="str">
        <f t="shared" si="266"/>
        <v>2020.005F.R.Genomoviridae.zip</v>
      </c>
      <c r="U5712" s="43" t="str">
        <f>HYPERLINK("https://ictv.global/taxonomy/taxondetails?taxnode_id=202203602","ictv.global=202203602")</f>
        <v>ictv.global=202203602</v>
      </c>
    </row>
    <row r="5713" spans="1:21">
      <c r="A5713">
        <v>5712</v>
      </c>
      <c r="B5713" s="29" t="s">
        <v>4053</v>
      </c>
      <c r="C5713" s="29"/>
      <c r="D5713" s="29" t="s">
        <v>4082</v>
      </c>
      <c r="E5713" s="29"/>
      <c r="F5713" s="29" t="s">
        <v>4106</v>
      </c>
      <c r="G5713" s="29"/>
      <c r="H5713" s="29" t="s">
        <v>4117</v>
      </c>
      <c r="I5713" s="29"/>
      <c r="J5713" s="29" t="s">
        <v>4118</v>
      </c>
      <c r="K5713" s="29"/>
      <c r="L5713" s="29" t="s">
        <v>2260</v>
      </c>
      <c r="M5713" s="29"/>
      <c r="N5713" s="29" t="s">
        <v>2527</v>
      </c>
      <c r="O5713" s="29"/>
      <c r="P5713" s="29" t="s">
        <v>5094</v>
      </c>
      <c r="Q5713" t="s">
        <v>2194</v>
      </c>
      <c r="R5713" t="s">
        <v>6902</v>
      </c>
      <c r="S5713">
        <v>36</v>
      </c>
      <c r="T5713" s="43" t="str">
        <f>HYPERLINK("https://ictv.global/ictv/proposals/2020.005F.R.Genomoviridae.zip","2020.005F.R.Genomoviridae.zip;2020.001G.R.Abolish_type_species.pdf")</f>
        <v>2020.005F.R.Genomoviridae.zip;2020.001G.R.Abolish_type_species.pdf</v>
      </c>
      <c r="U5713" s="43" t="str">
        <f>HYPERLINK("https://ictv.global/taxonomy/taxondetails?taxnode_id=202203603","ictv.global=202203603")</f>
        <v>ictv.global=202203603</v>
      </c>
    </row>
    <row r="5714" spans="1:21">
      <c r="A5714">
        <v>5713</v>
      </c>
      <c r="B5714" s="29" t="s">
        <v>4053</v>
      </c>
      <c r="C5714" s="29"/>
      <c r="D5714" s="29" t="s">
        <v>4082</v>
      </c>
      <c r="E5714" s="29"/>
      <c r="F5714" s="29" t="s">
        <v>4106</v>
      </c>
      <c r="G5714" s="29"/>
      <c r="H5714" s="29" t="s">
        <v>4117</v>
      </c>
      <c r="I5714" s="29"/>
      <c r="J5714" s="29" t="s">
        <v>4118</v>
      </c>
      <c r="K5714" s="29"/>
      <c r="L5714" s="29" t="s">
        <v>2260</v>
      </c>
      <c r="M5714" s="29"/>
      <c r="N5714" s="29" t="s">
        <v>2528</v>
      </c>
      <c r="O5714" s="29"/>
      <c r="P5714" s="29" t="s">
        <v>5095</v>
      </c>
      <c r="Q5714" t="s">
        <v>2194</v>
      </c>
      <c r="R5714" t="s">
        <v>2632</v>
      </c>
      <c r="S5714">
        <v>36</v>
      </c>
      <c r="T5714" s="43" t="str">
        <f t="shared" ref="T5714:T5725" si="267">HYPERLINK("https://ictv.global/ictv/proposals/2020.005F.R.Genomoviridae.zip","2020.005F.R.Genomoviridae.zip")</f>
        <v>2020.005F.R.Genomoviridae.zip</v>
      </c>
      <c r="U5714" s="43" t="str">
        <f>HYPERLINK("https://ictv.global/taxonomy/taxondetails?taxnode_id=202209054","ictv.global=202209054")</f>
        <v>ictv.global=202209054</v>
      </c>
    </row>
    <row r="5715" spans="1:21">
      <c r="A5715">
        <v>5714</v>
      </c>
      <c r="B5715" s="29" t="s">
        <v>4053</v>
      </c>
      <c r="C5715" s="29"/>
      <c r="D5715" s="29" t="s">
        <v>4082</v>
      </c>
      <c r="E5715" s="29"/>
      <c r="F5715" s="29" t="s">
        <v>4106</v>
      </c>
      <c r="G5715" s="29"/>
      <c r="H5715" s="29" t="s">
        <v>4117</v>
      </c>
      <c r="I5715" s="29"/>
      <c r="J5715" s="29" t="s">
        <v>4118</v>
      </c>
      <c r="K5715" s="29"/>
      <c r="L5715" s="29" t="s">
        <v>2260</v>
      </c>
      <c r="M5715" s="29"/>
      <c r="N5715" s="29" t="s">
        <v>2528</v>
      </c>
      <c r="O5715" s="29"/>
      <c r="P5715" s="29" t="s">
        <v>5096</v>
      </c>
      <c r="Q5715" t="s">
        <v>2194</v>
      </c>
      <c r="R5715" t="s">
        <v>2632</v>
      </c>
      <c r="S5715">
        <v>36</v>
      </c>
      <c r="T5715" s="43" t="str">
        <f t="shared" si="267"/>
        <v>2020.005F.R.Genomoviridae.zip</v>
      </c>
      <c r="U5715" s="43" t="str">
        <f>HYPERLINK("https://ictv.global/taxonomy/taxondetails?taxnode_id=202209055","ictv.global=202209055")</f>
        <v>ictv.global=202209055</v>
      </c>
    </row>
    <row r="5716" spans="1:21">
      <c r="A5716">
        <v>5715</v>
      </c>
      <c r="B5716" s="29" t="s">
        <v>4053</v>
      </c>
      <c r="C5716" s="29"/>
      <c r="D5716" s="29" t="s">
        <v>4082</v>
      </c>
      <c r="E5716" s="29"/>
      <c r="F5716" s="29" t="s">
        <v>4106</v>
      </c>
      <c r="G5716" s="29"/>
      <c r="H5716" s="29" t="s">
        <v>4117</v>
      </c>
      <c r="I5716" s="29"/>
      <c r="J5716" s="29" t="s">
        <v>4118</v>
      </c>
      <c r="K5716" s="29"/>
      <c r="L5716" s="29" t="s">
        <v>2260</v>
      </c>
      <c r="M5716" s="29"/>
      <c r="N5716" s="29" t="s">
        <v>2528</v>
      </c>
      <c r="O5716" s="29"/>
      <c r="P5716" s="29" t="s">
        <v>5097</v>
      </c>
      <c r="Q5716" t="s">
        <v>2194</v>
      </c>
      <c r="R5716" t="s">
        <v>2632</v>
      </c>
      <c r="S5716">
        <v>36</v>
      </c>
      <c r="T5716" s="43" t="str">
        <f t="shared" si="267"/>
        <v>2020.005F.R.Genomoviridae.zip</v>
      </c>
      <c r="U5716" s="43" t="str">
        <f>HYPERLINK("https://ictv.global/taxonomy/taxondetails?taxnode_id=202209062","ictv.global=202209062")</f>
        <v>ictv.global=202209062</v>
      </c>
    </row>
    <row r="5717" spans="1:21">
      <c r="A5717">
        <v>5716</v>
      </c>
      <c r="B5717" s="29" t="s">
        <v>4053</v>
      </c>
      <c r="C5717" s="29"/>
      <c r="D5717" s="29" t="s">
        <v>4082</v>
      </c>
      <c r="E5717" s="29"/>
      <c r="F5717" s="29" t="s">
        <v>4106</v>
      </c>
      <c r="G5717" s="29"/>
      <c r="H5717" s="29" t="s">
        <v>4117</v>
      </c>
      <c r="I5717" s="29"/>
      <c r="J5717" s="29" t="s">
        <v>4118</v>
      </c>
      <c r="K5717" s="29"/>
      <c r="L5717" s="29" t="s">
        <v>2260</v>
      </c>
      <c r="M5717" s="29"/>
      <c r="N5717" s="29" t="s">
        <v>2528</v>
      </c>
      <c r="O5717" s="29"/>
      <c r="P5717" s="29" t="s">
        <v>5098</v>
      </c>
      <c r="Q5717" t="s">
        <v>2194</v>
      </c>
      <c r="R5717" t="s">
        <v>2635</v>
      </c>
      <c r="S5717">
        <v>36</v>
      </c>
      <c r="T5717" s="43" t="str">
        <f t="shared" si="267"/>
        <v>2020.005F.R.Genomoviridae.zip</v>
      </c>
      <c r="U5717" s="43" t="str">
        <f>HYPERLINK("https://ictv.global/taxonomy/taxondetails?taxnode_id=202203605","ictv.global=202203605")</f>
        <v>ictv.global=202203605</v>
      </c>
    </row>
    <row r="5718" spans="1:21">
      <c r="A5718">
        <v>5717</v>
      </c>
      <c r="B5718" s="29" t="s">
        <v>4053</v>
      </c>
      <c r="C5718" s="29"/>
      <c r="D5718" s="29" t="s">
        <v>4082</v>
      </c>
      <c r="E5718" s="29"/>
      <c r="F5718" s="29" t="s">
        <v>4106</v>
      </c>
      <c r="G5718" s="29"/>
      <c r="H5718" s="29" t="s">
        <v>4117</v>
      </c>
      <c r="I5718" s="29"/>
      <c r="J5718" s="29" t="s">
        <v>4118</v>
      </c>
      <c r="K5718" s="29"/>
      <c r="L5718" s="29" t="s">
        <v>2260</v>
      </c>
      <c r="M5718" s="29"/>
      <c r="N5718" s="29" t="s">
        <v>2528</v>
      </c>
      <c r="O5718" s="29"/>
      <c r="P5718" s="29" t="s">
        <v>5099</v>
      </c>
      <c r="Q5718" t="s">
        <v>2194</v>
      </c>
      <c r="R5718" t="s">
        <v>2632</v>
      </c>
      <c r="S5718">
        <v>36</v>
      </c>
      <c r="T5718" s="43" t="str">
        <f t="shared" si="267"/>
        <v>2020.005F.R.Genomoviridae.zip</v>
      </c>
      <c r="U5718" s="43" t="str">
        <f>HYPERLINK("https://ictv.global/taxonomy/taxondetails?taxnode_id=202209065","ictv.global=202209065")</f>
        <v>ictv.global=202209065</v>
      </c>
    </row>
    <row r="5719" spans="1:21">
      <c r="A5719">
        <v>5718</v>
      </c>
      <c r="B5719" s="29" t="s">
        <v>4053</v>
      </c>
      <c r="C5719" s="29"/>
      <c r="D5719" s="29" t="s">
        <v>4082</v>
      </c>
      <c r="E5719" s="29"/>
      <c r="F5719" s="29" t="s">
        <v>4106</v>
      </c>
      <c r="G5719" s="29"/>
      <c r="H5719" s="29" t="s">
        <v>4117</v>
      </c>
      <c r="I5719" s="29"/>
      <c r="J5719" s="29" t="s">
        <v>4118</v>
      </c>
      <c r="K5719" s="29"/>
      <c r="L5719" s="29" t="s">
        <v>2260</v>
      </c>
      <c r="M5719" s="29"/>
      <c r="N5719" s="29" t="s">
        <v>2528</v>
      </c>
      <c r="O5719" s="29"/>
      <c r="P5719" s="29" t="s">
        <v>5100</v>
      </c>
      <c r="Q5719" t="s">
        <v>2194</v>
      </c>
      <c r="R5719" t="s">
        <v>2635</v>
      </c>
      <c r="S5719">
        <v>36</v>
      </c>
      <c r="T5719" s="43" t="str">
        <f t="shared" si="267"/>
        <v>2020.005F.R.Genomoviridae.zip</v>
      </c>
      <c r="U5719" s="43" t="str">
        <f>HYPERLINK("https://ictv.global/taxonomy/taxondetails?taxnode_id=202203607","ictv.global=202203607")</f>
        <v>ictv.global=202203607</v>
      </c>
    </row>
    <row r="5720" spans="1:21">
      <c r="A5720">
        <v>5719</v>
      </c>
      <c r="B5720" s="29" t="s">
        <v>4053</v>
      </c>
      <c r="C5720" s="29"/>
      <c r="D5720" s="29" t="s">
        <v>4082</v>
      </c>
      <c r="E5720" s="29"/>
      <c r="F5720" s="29" t="s">
        <v>4106</v>
      </c>
      <c r="G5720" s="29"/>
      <c r="H5720" s="29" t="s">
        <v>4117</v>
      </c>
      <c r="I5720" s="29"/>
      <c r="J5720" s="29" t="s">
        <v>4118</v>
      </c>
      <c r="K5720" s="29"/>
      <c r="L5720" s="29" t="s">
        <v>2260</v>
      </c>
      <c r="M5720" s="29"/>
      <c r="N5720" s="29" t="s">
        <v>2528</v>
      </c>
      <c r="O5720" s="29"/>
      <c r="P5720" s="29" t="s">
        <v>5101</v>
      </c>
      <c r="Q5720" t="s">
        <v>2194</v>
      </c>
      <c r="R5720" t="s">
        <v>2635</v>
      </c>
      <c r="S5720">
        <v>36</v>
      </c>
      <c r="T5720" s="43" t="str">
        <f t="shared" si="267"/>
        <v>2020.005F.R.Genomoviridae.zip</v>
      </c>
      <c r="U5720" s="43" t="str">
        <f>HYPERLINK("https://ictv.global/taxonomy/taxondetails?taxnode_id=202203606","ictv.global=202203606")</f>
        <v>ictv.global=202203606</v>
      </c>
    </row>
    <row r="5721" spans="1:21">
      <c r="A5721">
        <v>5720</v>
      </c>
      <c r="B5721" s="29" t="s">
        <v>4053</v>
      </c>
      <c r="C5721" s="29"/>
      <c r="D5721" s="29" t="s">
        <v>4082</v>
      </c>
      <c r="E5721" s="29"/>
      <c r="F5721" s="29" t="s">
        <v>4106</v>
      </c>
      <c r="G5721" s="29"/>
      <c r="H5721" s="29" t="s">
        <v>4117</v>
      </c>
      <c r="I5721" s="29"/>
      <c r="J5721" s="29" t="s">
        <v>4118</v>
      </c>
      <c r="K5721" s="29"/>
      <c r="L5721" s="29" t="s">
        <v>2260</v>
      </c>
      <c r="M5721" s="29"/>
      <c r="N5721" s="29" t="s">
        <v>2528</v>
      </c>
      <c r="O5721" s="29"/>
      <c r="P5721" s="29" t="s">
        <v>5102</v>
      </c>
      <c r="Q5721" t="s">
        <v>2194</v>
      </c>
      <c r="R5721" t="s">
        <v>2635</v>
      </c>
      <c r="S5721">
        <v>36</v>
      </c>
      <c r="T5721" s="43" t="str">
        <f t="shared" si="267"/>
        <v>2020.005F.R.Genomoviridae.zip</v>
      </c>
      <c r="U5721" s="43" t="str">
        <f>HYPERLINK("https://ictv.global/taxonomy/taxondetails?taxnode_id=202203608","ictv.global=202203608")</f>
        <v>ictv.global=202203608</v>
      </c>
    </row>
    <row r="5722" spans="1:21">
      <c r="A5722">
        <v>5721</v>
      </c>
      <c r="B5722" s="29" t="s">
        <v>4053</v>
      </c>
      <c r="C5722" s="29"/>
      <c r="D5722" s="29" t="s">
        <v>4082</v>
      </c>
      <c r="E5722" s="29"/>
      <c r="F5722" s="29" t="s">
        <v>4106</v>
      </c>
      <c r="G5722" s="29"/>
      <c r="H5722" s="29" t="s">
        <v>4117</v>
      </c>
      <c r="I5722" s="29"/>
      <c r="J5722" s="29" t="s">
        <v>4118</v>
      </c>
      <c r="K5722" s="29"/>
      <c r="L5722" s="29" t="s">
        <v>2260</v>
      </c>
      <c r="M5722" s="29"/>
      <c r="N5722" s="29" t="s">
        <v>2528</v>
      </c>
      <c r="O5722" s="29"/>
      <c r="P5722" s="29" t="s">
        <v>5103</v>
      </c>
      <c r="Q5722" t="s">
        <v>2194</v>
      </c>
      <c r="R5722" t="s">
        <v>2632</v>
      </c>
      <c r="S5722">
        <v>36</v>
      </c>
      <c r="T5722" s="43" t="str">
        <f t="shared" si="267"/>
        <v>2020.005F.R.Genomoviridae.zip</v>
      </c>
      <c r="U5722" s="43" t="str">
        <f>HYPERLINK("https://ictv.global/taxonomy/taxondetails?taxnode_id=202209038","ictv.global=202209038")</f>
        <v>ictv.global=202209038</v>
      </c>
    </row>
    <row r="5723" spans="1:21">
      <c r="A5723">
        <v>5722</v>
      </c>
      <c r="B5723" s="29" t="s">
        <v>4053</v>
      </c>
      <c r="C5723" s="29"/>
      <c r="D5723" s="29" t="s">
        <v>4082</v>
      </c>
      <c r="E5723" s="29"/>
      <c r="F5723" s="29" t="s">
        <v>4106</v>
      </c>
      <c r="G5723" s="29"/>
      <c r="H5723" s="29" t="s">
        <v>4117</v>
      </c>
      <c r="I5723" s="29"/>
      <c r="J5723" s="29" t="s">
        <v>4118</v>
      </c>
      <c r="K5723" s="29"/>
      <c r="L5723" s="29" t="s">
        <v>2260</v>
      </c>
      <c r="M5723" s="29"/>
      <c r="N5723" s="29" t="s">
        <v>2528</v>
      </c>
      <c r="O5723" s="29"/>
      <c r="P5723" s="29" t="s">
        <v>5104</v>
      </c>
      <c r="Q5723" t="s">
        <v>2194</v>
      </c>
      <c r="R5723" t="s">
        <v>2632</v>
      </c>
      <c r="S5723">
        <v>36</v>
      </c>
      <c r="T5723" s="43" t="str">
        <f t="shared" si="267"/>
        <v>2020.005F.R.Genomoviridae.zip</v>
      </c>
      <c r="U5723" s="43" t="str">
        <f>HYPERLINK("https://ictv.global/taxonomy/taxondetails?taxnode_id=202209061","ictv.global=202209061")</f>
        <v>ictv.global=202209061</v>
      </c>
    </row>
    <row r="5724" spans="1:21">
      <c r="A5724">
        <v>5723</v>
      </c>
      <c r="B5724" s="29" t="s">
        <v>4053</v>
      </c>
      <c r="C5724" s="29"/>
      <c r="D5724" s="29" t="s">
        <v>4082</v>
      </c>
      <c r="E5724" s="29"/>
      <c r="F5724" s="29" t="s">
        <v>4106</v>
      </c>
      <c r="G5724" s="29"/>
      <c r="H5724" s="29" t="s">
        <v>4117</v>
      </c>
      <c r="I5724" s="29"/>
      <c r="J5724" s="29" t="s">
        <v>4118</v>
      </c>
      <c r="K5724" s="29"/>
      <c r="L5724" s="29" t="s">
        <v>2260</v>
      </c>
      <c r="M5724" s="29"/>
      <c r="N5724" s="29" t="s">
        <v>2528</v>
      </c>
      <c r="O5724" s="29"/>
      <c r="P5724" s="29" t="s">
        <v>5105</v>
      </c>
      <c r="Q5724" t="s">
        <v>2194</v>
      </c>
      <c r="R5724" t="s">
        <v>2632</v>
      </c>
      <c r="S5724">
        <v>36</v>
      </c>
      <c r="T5724" s="43" t="str">
        <f t="shared" si="267"/>
        <v>2020.005F.R.Genomoviridae.zip</v>
      </c>
      <c r="U5724" s="43" t="str">
        <f>HYPERLINK("https://ictv.global/taxonomy/taxondetails?taxnode_id=202209039","ictv.global=202209039")</f>
        <v>ictv.global=202209039</v>
      </c>
    </row>
    <row r="5725" spans="1:21">
      <c r="A5725">
        <v>5724</v>
      </c>
      <c r="B5725" s="29" t="s">
        <v>4053</v>
      </c>
      <c r="C5725" s="29"/>
      <c r="D5725" s="29" t="s">
        <v>4082</v>
      </c>
      <c r="E5725" s="29"/>
      <c r="F5725" s="29" t="s">
        <v>4106</v>
      </c>
      <c r="G5725" s="29"/>
      <c r="H5725" s="29" t="s">
        <v>4117</v>
      </c>
      <c r="I5725" s="29"/>
      <c r="J5725" s="29" t="s">
        <v>4118</v>
      </c>
      <c r="K5725" s="29"/>
      <c r="L5725" s="29" t="s">
        <v>2260</v>
      </c>
      <c r="M5725" s="29"/>
      <c r="N5725" s="29" t="s">
        <v>2528</v>
      </c>
      <c r="O5725" s="29"/>
      <c r="P5725" s="29" t="s">
        <v>5106</v>
      </c>
      <c r="Q5725" t="s">
        <v>2194</v>
      </c>
      <c r="R5725" t="s">
        <v>2632</v>
      </c>
      <c r="S5725">
        <v>36</v>
      </c>
      <c r="T5725" s="43" t="str">
        <f t="shared" si="267"/>
        <v>2020.005F.R.Genomoviridae.zip</v>
      </c>
      <c r="U5725" s="43" t="str">
        <f>HYPERLINK("https://ictv.global/taxonomy/taxondetails?taxnode_id=202209040","ictv.global=202209040")</f>
        <v>ictv.global=202209040</v>
      </c>
    </row>
    <row r="5726" spans="1:21">
      <c r="A5726">
        <v>5725</v>
      </c>
      <c r="B5726" s="29" t="s">
        <v>4053</v>
      </c>
      <c r="C5726" s="29"/>
      <c r="D5726" s="29" t="s">
        <v>4082</v>
      </c>
      <c r="E5726" s="29"/>
      <c r="F5726" s="29" t="s">
        <v>4106</v>
      </c>
      <c r="G5726" s="29"/>
      <c r="H5726" s="29" t="s">
        <v>4117</v>
      </c>
      <c r="I5726" s="29"/>
      <c r="J5726" s="29" t="s">
        <v>4118</v>
      </c>
      <c r="K5726" s="29"/>
      <c r="L5726" s="29" t="s">
        <v>2260</v>
      </c>
      <c r="M5726" s="29"/>
      <c r="N5726" s="29" t="s">
        <v>2528</v>
      </c>
      <c r="O5726" s="29"/>
      <c r="P5726" s="29" t="s">
        <v>5107</v>
      </c>
      <c r="Q5726" t="s">
        <v>2194</v>
      </c>
      <c r="R5726" t="s">
        <v>6902</v>
      </c>
      <c r="S5726">
        <v>36</v>
      </c>
      <c r="T5726" s="43" t="str">
        <f>HYPERLINK("https://ictv.global/ictv/proposals/2020.005F.R.Genomoviridae.zip","2020.005F.R.Genomoviridae.zip;2020.001G.R.Abolish_type_species.pdf")</f>
        <v>2020.005F.R.Genomoviridae.zip;2020.001G.R.Abolish_type_species.pdf</v>
      </c>
      <c r="U5726" s="43" t="str">
        <f>HYPERLINK("https://ictv.global/taxonomy/taxondetails?taxnode_id=202203609","ictv.global=202203609")</f>
        <v>ictv.global=202203609</v>
      </c>
    </row>
    <row r="5727" spans="1:21">
      <c r="A5727">
        <v>5726</v>
      </c>
      <c r="B5727" s="29" t="s">
        <v>4053</v>
      </c>
      <c r="C5727" s="29"/>
      <c r="D5727" s="29" t="s">
        <v>4082</v>
      </c>
      <c r="E5727" s="29"/>
      <c r="F5727" s="29" t="s">
        <v>4106</v>
      </c>
      <c r="G5727" s="29"/>
      <c r="H5727" s="29" t="s">
        <v>4117</v>
      </c>
      <c r="I5727" s="29"/>
      <c r="J5727" s="29" t="s">
        <v>4118</v>
      </c>
      <c r="K5727" s="29"/>
      <c r="L5727" s="29" t="s">
        <v>2260</v>
      </c>
      <c r="M5727" s="29"/>
      <c r="N5727" s="29" t="s">
        <v>2528</v>
      </c>
      <c r="O5727" s="29"/>
      <c r="P5727" s="29" t="s">
        <v>5108</v>
      </c>
      <c r="Q5727" t="s">
        <v>2194</v>
      </c>
      <c r="R5727" t="s">
        <v>2632</v>
      </c>
      <c r="S5727">
        <v>36</v>
      </c>
      <c r="T5727" s="43" t="str">
        <f t="shared" ref="T5727:T5758" si="268">HYPERLINK("https://ictv.global/ictv/proposals/2020.005F.R.Genomoviridae.zip","2020.005F.R.Genomoviridae.zip")</f>
        <v>2020.005F.R.Genomoviridae.zip</v>
      </c>
      <c r="U5727" s="43" t="str">
        <f>HYPERLINK("https://ictv.global/taxonomy/taxondetails?taxnode_id=202209035","ictv.global=202209035")</f>
        <v>ictv.global=202209035</v>
      </c>
    </row>
    <row r="5728" spans="1:21">
      <c r="A5728">
        <v>5727</v>
      </c>
      <c r="B5728" s="29" t="s">
        <v>4053</v>
      </c>
      <c r="C5728" s="29"/>
      <c r="D5728" s="29" t="s">
        <v>4082</v>
      </c>
      <c r="E5728" s="29"/>
      <c r="F5728" s="29" t="s">
        <v>4106</v>
      </c>
      <c r="G5728" s="29"/>
      <c r="H5728" s="29" t="s">
        <v>4117</v>
      </c>
      <c r="I5728" s="29"/>
      <c r="J5728" s="29" t="s">
        <v>4118</v>
      </c>
      <c r="K5728" s="29"/>
      <c r="L5728" s="29" t="s">
        <v>2260</v>
      </c>
      <c r="M5728" s="29"/>
      <c r="N5728" s="29" t="s">
        <v>2528</v>
      </c>
      <c r="O5728" s="29"/>
      <c r="P5728" s="29" t="s">
        <v>5109</v>
      </c>
      <c r="Q5728" t="s">
        <v>2194</v>
      </c>
      <c r="R5728" t="s">
        <v>2632</v>
      </c>
      <c r="S5728">
        <v>36</v>
      </c>
      <c r="T5728" s="43" t="str">
        <f t="shared" si="268"/>
        <v>2020.005F.R.Genomoviridae.zip</v>
      </c>
      <c r="U5728" s="43" t="str">
        <f>HYPERLINK("https://ictv.global/taxonomy/taxondetails?taxnode_id=202209063","ictv.global=202209063")</f>
        <v>ictv.global=202209063</v>
      </c>
    </row>
    <row r="5729" spans="1:21">
      <c r="A5729">
        <v>5728</v>
      </c>
      <c r="B5729" s="29" t="s">
        <v>4053</v>
      </c>
      <c r="C5729" s="29"/>
      <c r="D5729" s="29" t="s">
        <v>4082</v>
      </c>
      <c r="E5729" s="29"/>
      <c r="F5729" s="29" t="s">
        <v>4106</v>
      </c>
      <c r="G5729" s="29"/>
      <c r="H5729" s="29" t="s">
        <v>4117</v>
      </c>
      <c r="I5729" s="29"/>
      <c r="J5729" s="29" t="s">
        <v>4118</v>
      </c>
      <c r="K5729" s="29"/>
      <c r="L5729" s="29" t="s">
        <v>2260</v>
      </c>
      <c r="M5729" s="29"/>
      <c r="N5729" s="29" t="s">
        <v>2528</v>
      </c>
      <c r="O5729" s="29"/>
      <c r="P5729" s="29" t="s">
        <v>5110</v>
      </c>
      <c r="Q5729" t="s">
        <v>2194</v>
      </c>
      <c r="R5729" t="s">
        <v>2632</v>
      </c>
      <c r="S5729">
        <v>36</v>
      </c>
      <c r="T5729" s="43" t="str">
        <f t="shared" si="268"/>
        <v>2020.005F.R.Genomoviridae.zip</v>
      </c>
      <c r="U5729" s="43" t="str">
        <f>HYPERLINK("https://ictv.global/taxonomy/taxondetails?taxnode_id=202209064","ictv.global=202209064")</f>
        <v>ictv.global=202209064</v>
      </c>
    </row>
    <row r="5730" spans="1:21">
      <c r="A5730">
        <v>5729</v>
      </c>
      <c r="B5730" s="29" t="s">
        <v>4053</v>
      </c>
      <c r="C5730" s="29"/>
      <c r="D5730" s="29" t="s">
        <v>4082</v>
      </c>
      <c r="E5730" s="29"/>
      <c r="F5730" s="29" t="s">
        <v>4106</v>
      </c>
      <c r="G5730" s="29"/>
      <c r="H5730" s="29" t="s">
        <v>4117</v>
      </c>
      <c r="I5730" s="29"/>
      <c r="J5730" s="29" t="s">
        <v>4118</v>
      </c>
      <c r="K5730" s="29"/>
      <c r="L5730" s="29" t="s">
        <v>2260</v>
      </c>
      <c r="M5730" s="29"/>
      <c r="N5730" s="29" t="s">
        <v>2528</v>
      </c>
      <c r="O5730" s="29"/>
      <c r="P5730" s="29" t="s">
        <v>5111</v>
      </c>
      <c r="Q5730" t="s">
        <v>2194</v>
      </c>
      <c r="R5730" t="s">
        <v>2632</v>
      </c>
      <c r="S5730">
        <v>36</v>
      </c>
      <c r="T5730" s="43" t="str">
        <f t="shared" si="268"/>
        <v>2020.005F.R.Genomoviridae.zip</v>
      </c>
      <c r="U5730" s="43" t="str">
        <f>HYPERLINK("https://ictv.global/taxonomy/taxondetails?taxnode_id=202209066","ictv.global=202209066")</f>
        <v>ictv.global=202209066</v>
      </c>
    </row>
    <row r="5731" spans="1:21">
      <c r="A5731">
        <v>5730</v>
      </c>
      <c r="B5731" s="29" t="s">
        <v>4053</v>
      </c>
      <c r="C5731" s="29"/>
      <c r="D5731" s="29" t="s">
        <v>4082</v>
      </c>
      <c r="E5731" s="29"/>
      <c r="F5731" s="29" t="s">
        <v>4106</v>
      </c>
      <c r="G5731" s="29"/>
      <c r="H5731" s="29" t="s">
        <v>4117</v>
      </c>
      <c r="I5731" s="29"/>
      <c r="J5731" s="29" t="s">
        <v>4118</v>
      </c>
      <c r="K5731" s="29"/>
      <c r="L5731" s="29" t="s">
        <v>2260</v>
      </c>
      <c r="M5731" s="29"/>
      <c r="N5731" s="29" t="s">
        <v>2528</v>
      </c>
      <c r="O5731" s="29"/>
      <c r="P5731" s="29" t="s">
        <v>5112</v>
      </c>
      <c r="Q5731" t="s">
        <v>2194</v>
      </c>
      <c r="R5731" t="s">
        <v>2632</v>
      </c>
      <c r="S5731">
        <v>36</v>
      </c>
      <c r="T5731" s="43" t="str">
        <f t="shared" si="268"/>
        <v>2020.005F.R.Genomoviridae.zip</v>
      </c>
      <c r="U5731" s="43" t="str">
        <f>HYPERLINK("https://ictv.global/taxonomy/taxondetails?taxnode_id=202209043","ictv.global=202209043")</f>
        <v>ictv.global=202209043</v>
      </c>
    </row>
    <row r="5732" spans="1:21">
      <c r="A5732">
        <v>5731</v>
      </c>
      <c r="B5732" s="29" t="s">
        <v>4053</v>
      </c>
      <c r="C5732" s="29"/>
      <c r="D5732" s="29" t="s">
        <v>4082</v>
      </c>
      <c r="E5732" s="29"/>
      <c r="F5732" s="29" t="s">
        <v>4106</v>
      </c>
      <c r="G5732" s="29"/>
      <c r="H5732" s="29" t="s">
        <v>4117</v>
      </c>
      <c r="I5732" s="29"/>
      <c r="J5732" s="29" t="s">
        <v>4118</v>
      </c>
      <c r="K5732" s="29"/>
      <c r="L5732" s="29" t="s">
        <v>2260</v>
      </c>
      <c r="M5732" s="29"/>
      <c r="N5732" s="29" t="s">
        <v>2528</v>
      </c>
      <c r="O5732" s="29"/>
      <c r="P5732" s="29" t="s">
        <v>5113</v>
      </c>
      <c r="Q5732" t="s">
        <v>2194</v>
      </c>
      <c r="R5732" t="s">
        <v>2632</v>
      </c>
      <c r="S5732">
        <v>36</v>
      </c>
      <c r="T5732" s="43" t="str">
        <f t="shared" si="268"/>
        <v>2020.005F.R.Genomoviridae.zip</v>
      </c>
      <c r="U5732" s="43" t="str">
        <f>HYPERLINK("https://ictv.global/taxonomy/taxondetails?taxnode_id=202209058","ictv.global=202209058")</f>
        <v>ictv.global=202209058</v>
      </c>
    </row>
    <row r="5733" spans="1:21">
      <c r="A5733">
        <v>5732</v>
      </c>
      <c r="B5733" s="29" t="s">
        <v>4053</v>
      </c>
      <c r="C5733" s="29"/>
      <c r="D5733" s="29" t="s">
        <v>4082</v>
      </c>
      <c r="E5733" s="29"/>
      <c r="F5733" s="29" t="s">
        <v>4106</v>
      </c>
      <c r="G5733" s="29"/>
      <c r="H5733" s="29" t="s">
        <v>4117</v>
      </c>
      <c r="I5733" s="29"/>
      <c r="J5733" s="29" t="s">
        <v>4118</v>
      </c>
      <c r="K5733" s="29"/>
      <c r="L5733" s="29" t="s">
        <v>2260</v>
      </c>
      <c r="M5733" s="29"/>
      <c r="N5733" s="29" t="s">
        <v>2528</v>
      </c>
      <c r="O5733" s="29"/>
      <c r="P5733" s="29" t="s">
        <v>5114</v>
      </c>
      <c r="Q5733" t="s">
        <v>2194</v>
      </c>
      <c r="R5733" t="s">
        <v>2632</v>
      </c>
      <c r="S5733">
        <v>36</v>
      </c>
      <c r="T5733" s="43" t="str">
        <f t="shared" si="268"/>
        <v>2020.005F.R.Genomoviridae.zip</v>
      </c>
      <c r="U5733" s="43" t="str">
        <f>HYPERLINK("https://ictv.global/taxonomy/taxondetails?taxnode_id=202209044","ictv.global=202209044")</f>
        <v>ictv.global=202209044</v>
      </c>
    </row>
    <row r="5734" spans="1:21">
      <c r="A5734">
        <v>5733</v>
      </c>
      <c r="B5734" s="29" t="s">
        <v>4053</v>
      </c>
      <c r="C5734" s="29"/>
      <c r="D5734" s="29" t="s">
        <v>4082</v>
      </c>
      <c r="E5734" s="29"/>
      <c r="F5734" s="29" t="s">
        <v>4106</v>
      </c>
      <c r="G5734" s="29"/>
      <c r="H5734" s="29" t="s">
        <v>4117</v>
      </c>
      <c r="I5734" s="29"/>
      <c r="J5734" s="29" t="s">
        <v>4118</v>
      </c>
      <c r="K5734" s="29"/>
      <c r="L5734" s="29" t="s">
        <v>2260</v>
      </c>
      <c r="M5734" s="29"/>
      <c r="N5734" s="29" t="s">
        <v>2528</v>
      </c>
      <c r="O5734" s="29"/>
      <c r="P5734" s="29" t="s">
        <v>5115</v>
      </c>
      <c r="Q5734" t="s">
        <v>2194</v>
      </c>
      <c r="R5734" t="s">
        <v>2632</v>
      </c>
      <c r="S5734">
        <v>36</v>
      </c>
      <c r="T5734" s="43" t="str">
        <f t="shared" si="268"/>
        <v>2020.005F.R.Genomoviridae.zip</v>
      </c>
      <c r="U5734" s="43" t="str">
        <f>HYPERLINK("https://ictv.global/taxonomy/taxondetails?taxnode_id=202209045","ictv.global=202209045")</f>
        <v>ictv.global=202209045</v>
      </c>
    </row>
    <row r="5735" spans="1:21">
      <c r="A5735">
        <v>5734</v>
      </c>
      <c r="B5735" s="29" t="s">
        <v>4053</v>
      </c>
      <c r="C5735" s="29"/>
      <c r="D5735" s="29" t="s">
        <v>4082</v>
      </c>
      <c r="E5735" s="29"/>
      <c r="F5735" s="29" t="s">
        <v>4106</v>
      </c>
      <c r="G5735" s="29"/>
      <c r="H5735" s="29" t="s">
        <v>4117</v>
      </c>
      <c r="I5735" s="29"/>
      <c r="J5735" s="29" t="s">
        <v>4118</v>
      </c>
      <c r="K5735" s="29"/>
      <c r="L5735" s="29" t="s">
        <v>2260</v>
      </c>
      <c r="M5735" s="29"/>
      <c r="N5735" s="29" t="s">
        <v>2528</v>
      </c>
      <c r="O5735" s="29"/>
      <c r="P5735" s="29" t="s">
        <v>5116</v>
      </c>
      <c r="Q5735" t="s">
        <v>2194</v>
      </c>
      <c r="R5735" t="s">
        <v>2632</v>
      </c>
      <c r="S5735">
        <v>36</v>
      </c>
      <c r="T5735" s="43" t="str">
        <f t="shared" si="268"/>
        <v>2020.005F.R.Genomoviridae.zip</v>
      </c>
      <c r="U5735" s="43" t="str">
        <f>HYPERLINK("https://ictv.global/taxonomy/taxondetails?taxnode_id=202209046","ictv.global=202209046")</f>
        <v>ictv.global=202209046</v>
      </c>
    </row>
    <row r="5736" spans="1:21">
      <c r="A5736">
        <v>5735</v>
      </c>
      <c r="B5736" s="29" t="s">
        <v>4053</v>
      </c>
      <c r="C5736" s="29"/>
      <c r="D5736" s="29" t="s">
        <v>4082</v>
      </c>
      <c r="E5736" s="29"/>
      <c r="F5736" s="29" t="s">
        <v>4106</v>
      </c>
      <c r="G5736" s="29"/>
      <c r="H5736" s="29" t="s">
        <v>4117</v>
      </c>
      <c r="I5736" s="29"/>
      <c r="J5736" s="29" t="s">
        <v>4118</v>
      </c>
      <c r="K5736" s="29"/>
      <c r="L5736" s="29" t="s">
        <v>2260</v>
      </c>
      <c r="M5736" s="29"/>
      <c r="N5736" s="29" t="s">
        <v>2528</v>
      </c>
      <c r="O5736" s="29"/>
      <c r="P5736" s="29" t="s">
        <v>5117</v>
      </c>
      <c r="Q5736" t="s">
        <v>2194</v>
      </c>
      <c r="R5736" t="s">
        <v>2632</v>
      </c>
      <c r="S5736">
        <v>36</v>
      </c>
      <c r="T5736" s="43" t="str">
        <f t="shared" si="268"/>
        <v>2020.005F.R.Genomoviridae.zip</v>
      </c>
      <c r="U5736" s="43" t="str">
        <f>HYPERLINK("https://ictv.global/taxonomy/taxondetails?taxnode_id=202209049","ictv.global=202209049")</f>
        <v>ictv.global=202209049</v>
      </c>
    </row>
    <row r="5737" spans="1:21">
      <c r="A5737">
        <v>5736</v>
      </c>
      <c r="B5737" s="29" t="s">
        <v>4053</v>
      </c>
      <c r="C5737" s="29"/>
      <c r="D5737" s="29" t="s">
        <v>4082</v>
      </c>
      <c r="E5737" s="29"/>
      <c r="F5737" s="29" t="s">
        <v>4106</v>
      </c>
      <c r="G5737" s="29"/>
      <c r="H5737" s="29" t="s">
        <v>4117</v>
      </c>
      <c r="I5737" s="29"/>
      <c r="J5737" s="29" t="s">
        <v>4118</v>
      </c>
      <c r="K5737" s="29"/>
      <c r="L5737" s="29" t="s">
        <v>2260</v>
      </c>
      <c r="M5737" s="29"/>
      <c r="N5737" s="29" t="s">
        <v>2528</v>
      </c>
      <c r="O5737" s="29"/>
      <c r="P5737" s="29" t="s">
        <v>5118</v>
      </c>
      <c r="Q5737" t="s">
        <v>2194</v>
      </c>
      <c r="R5737" t="s">
        <v>2632</v>
      </c>
      <c r="S5737">
        <v>36</v>
      </c>
      <c r="T5737" s="43" t="str">
        <f t="shared" si="268"/>
        <v>2020.005F.R.Genomoviridae.zip</v>
      </c>
      <c r="U5737" s="43" t="str">
        <f>HYPERLINK("https://ictv.global/taxonomy/taxondetails?taxnode_id=202209053","ictv.global=202209053")</f>
        <v>ictv.global=202209053</v>
      </c>
    </row>
    <row r="5738" spans="1:21">
      <c r="A5738">
        <v>5737</v>
      </c>
      <c r="B5738" s="29" t="s">
        <v>4053</v>
      </c>
      <c r="C5738" s="29"/>
      <c r="D5738" s="29" t="s">
        <v>4082</v>
      </c>
      <c r="E5738" s="29"/>
      <c r="F5738" s="29" t="s">
        <v>4106</v>
      </c>
      <c r="G5738" s="29"/>
      <c r="H5738" s="29" t="s">
        <v>4117</v>
      </c>
      <c r="I5738" s="29"/>
      <c r="J5738" s="29" t="s">
        <v>4118</v>
      </c>
      <c r="K5738" s="29"/>
      <c r="L5738" s="29" t="s">
        <v>2260</v>
      </c>
      <c r="M5738" s="29"/>
      <c r="N5738" s="29" t="s">
        <v>2528</v>
      </c>
      <c r="O5738" s="29"/>
      <c r="P5738" s="29" t="s">
        <v>5119</v>
      </c>
      <c r="Q5738" t="s">
        <v>2194</v>
      </c>
      <c r="R5738" t="s">
        <v>2632</v>
      </c>
      <c r="S5738">
        <v>36</v>
      </c>
      <c r="T5738" s="43" t="str">
        <f t="shared" si="268"/>
        <v>2020.005F.R.Genomoviridae.zip</v>
      </c>
      <c r="U5738" s="43" t="str">
        <f>HYPERLINK("https://ictv.global/taxonomy/taxondetails?taxnode_id=202209033","ictv.global=202209033")</f>
        <v>ictv.global=202209033</v>
      </c>
    </row>
    <row r="5739" spans="1:21">
      <c r="A5739">
        <v>5738</v>
      </c>
      <c r="B5739" s="29" t="s">
        <v>4053</v>
      </c>
      <c r="C5739" s="29"/>
      <c r="D5739" s="29" t="s">
        <v>4082</v>
      </c>
      <c r="E5739" s="29"/>
      <c r="F5739" s="29" t="s">
        <v>4106</v>
      </c>
      <c r="G5739" s="29"/>
      <c r="H5739" s="29" t="s">
        <v>4117</v>
      </c>
      <c r="I5739" s="29"/>
      <c r="J5739" s="29" t="s">
        <v>4118</v>
      </c>
      <c r="K5739" s="29"/>
      <c r="L5739" s="29" t="s">
        <v>2260</v>
      </c>
      <c r="M5739" s="29"/>
      <c r="N5739" s="29" t="s">
        <v>2528</v>
      </c>
      <c r="O5739" s="29"/>
      <c r="P5739" s="29" t="s">
        <v>5120</v>
      </c>
      <c r="Q5739" t="s">
        <v>2194</v>
      </c>
      <c r="R5739" t="s">
        <v>2635</v>
      </c>
      <c r="S5739">
        <v>36</v>
      </c>
      <c r="T5739" s="43" t="str">
        <f t="shared" si="268"/>
        <v>2020.005F.R.Genomoviridae.zip</v>
      </c>
      <c r="U5739" s="43" t="str">
        <f>HYPERLINK("https://ictv.global/taxonomy/taxondetails?taxnode_id=202203610","ictv.global=202203610")</f>
        <v>ictv.global=202203610</v>
      </c>
    </row>
    <row r="5740" spans="1:21">
      <c r="A5740">
        <v>5739</v>
      </c>
      <c r="B5740" s="29" t="s">
        <v>4053</v>
      </c>
      <c r="C5740" s="29"/>
      <c r="D5740" s="29" t="s">
        <v>4082</v>
      </c>
      <c r="E5740" s="29"/>
      <c r="F5740" s="29" t="s">
        <v>4106</v>
      </c>
      <c r="G5740" s="29"/>
      <c r="H5740" s="29" t="s">
        <v>4117</v>
      </c>
      <c r="I5740" s="29"/>
      <c r="J5740" s="29" t="s">
        <v>4118</v>
      </c>
      <c r="K5740" s="29"/>
      <c r="L5740" s="29" t="s">
        <v>2260</v>
      </c>
      <c r="M5740" s="29"/>
      <c r="N5740" s="29" t="s">
        <v>2528</v>
      </c>
      <c r="O5740" s="29"/>
      <c r="P5740" s="29" t="s">
        <v>5121</v>
      </c>
      <c r="Q5740" t="s">
        <v>2194</v>
      </c>
      <c r="R5740" t="s">
        <v>2635</v>
      </c>
      <c r="S5740">
        <v>36</v>
      </c>
      <c r="T5740" s="43" t="str">
        <f t="shared" si="268"/>
        <v>2020.005F.R.Genomoviridae.zip</v>
      </c>
      <c r="U5740" s="43" t="str">
        <f>HYPERLINK("https://ictv.global/taxonomy/taxondetails?taxnode_id=202203611","ictv.global=202203611")</f>
        <v>ictv.global=202203611</v>
      </c>
    </row>
    <row r="5741" spans="1:21">
      <c r="A5741">
        <v>5740</v>
      </c>
      <c r="B5741" s="29" t="s">
        <v>4053</v>
      </c>
      <c r="C5741" s="29"/>
      <c r="D5741" s="29" t="s">
        <v>4082</v>
      </c>
      <c r="E5741" s="29"/>
      <c r="F5741" s="29" t="s">
        <v>4106</v>
      </c>
      <c r="G5741" s="29"/>
      <c r="H5741" s="29" t="s">
        <v>4117</v>
      </c>
      <c r="I5741" s="29"/>
      <c r="J5741" s="29" t="s">
        <v>4118</v>
      </c>
      <c r="K5741" s="29"/>
      <c r="L5741" s="29" t="s">
        <v>2260</v>
      </c>
      <c r="M5741" s="29"/>
      <c r="N5741" s="29" t="s">
        <v>2528</v>
      </c>
      <c r="O5741" s="29"/>
      <c r="P5741" s="29" t="s">
        <v>5122</v>
      </c>
      <c r="Q5741" t="s">
        <v>2194</v>
      </c>
      <c r="R5741" t="s">
        <v>2635</v>
      </c>
      <c r="S5741">
        <v>36</v>
      </c>
      <c r="T5741" s="43" t="str">
        <f t="shared" si="268"/>
        <v>2020.005F.R.Genomoviridae.zip</v>
      </c>
      <c r="U5741" s="43" t="str">
        <f>HYPERLINK("https://ictv.global/taxonomy/taxondetails?taxnode_id=202203612","ictv.global=202203612")</f>
        <v>ictv.global=202203612</v>
      </c>
    </row>
    <row r="5742" spans="1:21">
      <c r="A5742">
        <v>5741</v>
      </c>
      <c r="B5742" s="29" t="s">
        <v>4053</v>
      </c>
      <c r="C5742" s="29"/>
      <c r="D5742" s="29" t="s">
        <v>4082</v>
      </c>
      <c r="E5742" s="29"/>
      <c r="F5742" s="29" t="s">
        <v>4106</v>
      </c>
      <c r="G5742" s="29"/>
      <c r="H5742" s="29" t="s">
        <v>4117</v>
      </c>
      <c r="I5742" s="29"/>
      <c r="J5742" s="29" t="s">
        <v>4118</v>
      </c>
      <c r="K5742" s="29"/>
      <c r="L5742" s="29" t="s">
        <v>2260</v>
      </c>
      <c r="M5742" s="29"/>
      <c r="N5742" s="29" t="s">
        <v>2528</v>
      </c>
      <c r="O5742" s="29"/>
      <c r="P5742" s="29" t="s">
        <v>5123</v>
      </c>
      <c r="Q5742" t="s">
        <v>2194</v>
      </c>
      <c r="R5742" t="s">
        <v>2635</v>
      </c>
      <c r="S5742">
        <v>36</v>
      </c>
      <c r="T5742" s="43" t="str">
        <f t="shared" si="268"/>
        <v>2020.005F.R.Genomoviridae.zip</v>
      </c>
      <c r="U5742" s="43" t="str">
        <f>HYPERLINK("https://ictv.global/taxonomy/taxondetails?taxnode_id=202203613","ictv.global=202203613")</f>
        <v>ictv.global=202203613</v>
      </c>
    </row>
    <row r="5743" spans="1:21">
      <c r="A5743">
        <v>5742</v>
      </c>
      <c r="B5743" s="29" t="s">
        <v>4053</v>
      </c>
      <c r="C5743" s="29"/>
      <c r="D5743" s="29" t="s">
        <v>4082</v>
      </c>
      <c r="E5743" s="29"/>
      <c r="F5743" s="29" t="s">
        <v>4106</v>
      </c>
      <c r="G5743" s="29"/>
      <c r="H5743" s="29" t="s">
        <v>4117</v>
      </c>
      <c r="I5743" s="29"/>
      <c r="J5743" s="29" t="s">
        <v>4118</v>
      </c>
      <c r="K5743" s="29"/>
      <c r="L5743" s="29" t="s">
        <v>2260</v>
      </c>
      <c r="M5743" s="29"/>
      <c r="N5743" s="29" t="s">
        <v>2528</v>
      </c>
      <c r="O5743" s="29"/>
      <c r="P5743" s="29" t="s">
        <v>5124</v>
      </c>
      <c r="Q5743" t="s">
        <v>2194</v>
      </c>
      <c r="R5743" t="s">
        <v>2635</v>
      </c>
      <c r="S5743">
        <v>36</v>
      </c>
      <c r="T5743" s="43" t="str">
        <f t="shared" si="268"/>
        <v>2020.005F.R.Genomoviridae.zip</v>
      </c>
      <c r="U5743" s="43" t="str">
        <f>HYPERLINK("https://ictv.global/taxonomy/taxondetails?taxnode_id=202203614","ictv.global=202203614")</f>
        <v>ictv.global=202203614</v>
      </c>
    </row>
    <row r="5744" spans="1:21">
      <c r="A5744">
        <v>5743</v>
      </c>
      <c r="B5744" s="29" t="s">
        <v>4053</v>
      </c>
      <c r="C5744" s="29"/>
      <c r="D5744" s="29" t="s">
        <v>4082</v>
      </c>
      <c r="E5744" s="29"/>
      <c r="F5744" s="29" t="s">
        <v>4106</v>
      </c>
      <c r="G5744" s="29"/>
      <c r="H5744" s="29" t="s">
        <v>4117</v>
      </c>
      <c r="I5744" s="29"/>
      <c r="J5744" s="29" t="s">
        <v>4118</v>
      </c>
      <c r="K5744" s="29"/>
      <c r="L5744" s="29" t="s">
        <v>2260</v>
      </c>
      <c r="M5744" s="29"/>
      <c r="N5744" s="29" t="s">
        <v>2528</v>
      </c>
      <c r="O5744" s="29"/>
      <c r="P5744" s="29" t="s">
        <v>5125</v>
      </c>
      <c r="Q5744" t="s">
        <v>2194</v>
      </c>
      <c r="R5744" t="s">
        <v>2632</v>
      </c>
      <c r="S5744">
        <v>36</v>
      </c>
      <c r="T5744" s="43" t="str">
        <f t="shared" si="268"/>
        <v>2020.005F.R.Genomoviridae.zip</v>
      </c>
      <c r="U5744" s="43" t="str">
        <f>HYPERLINK("https://ictv.global/taxonomy/taxondetails?taxnode_id=202209034","ictv.global=202209034")</f>
        <v>ictv.global=202209034</v>
      </c>
    </row>
    <row r="5745" spans="1:21">
      <c r="A5745">
        <v>5744</v>
      </c>
      <c r="B5745" s="29" t="s">
        <v>4053</v>
      </c>
      <c r="C5745" s="29"/>
      <c r="D5745" s="29" t="s">
        <v>4082</v>
      </c>
      <c r="E5745" s="29"/>
      <c r="F5745" s="29" t="s">
        <v>4106</v>
      </c>
      <c r="G5745" s="29"/>
      <c r="H5745" s="29" t="s">
        <v>4117</v>
      </c>
      <c r="I5745" s="29"/>
      <c r="J5745" s="29" t="s">
        <v>4118</v>
      </c>
      <c r="K5745" s="29"/>
      <c r="L5745" s="29" t="s">
        <v>2260</v>
      </c>
      <c r="M5745" s="29"/>
      <c r="N5745" s="29" t="s">
        <v>2528</v>
      </c>
      <c r="O5745" s="29"/>
      <c r="P5745" s="29" t="s">
        <v>5126</v>
      </c>
      <c r="Q5745" t="s">
        <v>2194</v>
      </c>
      <c r="R5745" t="s">
        <v>2632</v>
      </c>
      <c r="S5745">
        <v>36</v>
      </c>
      <c r="T5745" s="43" t="str">
        <f t="shared" si="268"/>
        <v>2020.005F.R.Genomoviridae.zip</v>
      </c>
      <c r="U5745" s="43" t="str">
        <f>HYPERLINK("https://ictv.global/taxonomy/taxondetails?taxnode_id=202209036","ictv.global=202209036")</f>
        <v>ictv.global=202209036</v>
      </c>
    </row>
    <row r="5746" spans="1:21">
      <c r="A5746">
        <v>5745</v>
      </c>
      <c r="B5746" s="29" t="s">
        <v>4053</v>
      </c>
      <c r="C5746" s="29"/>
      <c r="D5746" s="29" t="s">
        <v>4082</v>
      </c>
      <c r="E5746" s="29"/>
      <c r="F5746" s="29" t="s">
        <v>4106</v>
      </c>
      <c r="G5746" s="29"/>
      <c r="H5746" s="29" t="s">
        <v>4117</v>
      </c>
      <c r="I5746" s="29"/>
      <c r="J5746" s="29" t="s">
        <v>4118</v>
      </c>
      <c r="K5746" s="29"/>
      <c r="L5746" s="29" t="s">
        <v>2260</v>
      </c>
      <c r="M5746" s="29"/>
      <c r="N5746" s="29" t="s">
        <v>2528</v>
      </c>
      <c r="O5746" s="29"/>
      <c r="P5746" s="29" t="s">
        <v>5127</v>
      </c>
      <c r="Q5746" t="s">
        <v>2194</v>
      </c>
      <c r="R5746" t="s">
        <v>2632</v>
      </c>
      <c r="S5746">
        <v>36</v>
      </c>
      <c r="T5746" s="43" t="str">
        <f t="shared" si="268"/>
        <v>2020.005F.R.Genomoviridae.zip</v>
      </c>
      <c r="U5746" s="43" t="str">
        <f>HYPERLINK("https://ictv.global/taxonomy/taxondetails?taxnode_id=202209052","ictv.global=202209052")</f>
        <v>ictv.global=202209052</v>
      </c>
    </row>
    <row r="5747" spans="1:21">
      <c r="A5747">
        <v>5746</v>
      </c>
      <c r="B5747" s="29" t="s">
        <v>4053</v>
      </c>
      <c r="C5747" s="29"/>
      <c r="D5747" s="29" t="s">
        <v>4082</v>
      </c>
      <c r="E5747" s="29"/>
      <c r="F5747" s="29" t="s">
        <v>4106</v>
      </c>
      <c r="G5747" s="29"/>
      <c r="H5747" s="29" t="s">
        <v>4117</v>
      </c>
      <c r="I5747" s="29"/>
      <c r="J5747" s="29" t="s">
        <v>4118</v>
      </c>
      <c r="K5747" s="29"/>
      <c r="L5747" s="29" t="s">
        <v>2260</v>
      </c>
      <c r="M5747" s="29"/>
      <c r="N5747" s="29" t="s">
        <v>2528</v>
      </c>
      <c r="O5747" s="29"/>
      <c r="P5747" s="29" t="s">
        <v>5128</v>
      </c>
      <c r="Q5747" t="s">
        <v>2194</v>
      </c>
      <c r="R5747" t="s">
        <v>2632</v>
      </c>
      <c r="S5747">
        <v>36</v>
      </c>
      <c r="T5747" s="43" t="str">
        <f t="shared" si="268"/>
        <v>2020.005F.R.Genomoviridae.zip</v>
      </c>
      <c r="U5747" s="43" t="str">
        <f>HYPERLINK("https://ictv.global/taxonomy/taxondetails?taxnode_id=202209056","ictv.global=202209056")</f>
        <v>ictv.global=202209056</v>
      </c>
    </row>
    <row r="5748" spans="1:21">
      <c r="A5748">
        <v>5747</v>
      </c>
      <c r="B5748" s="29" t="s">
        <v>4053</v>
      </c>
      <c r="C5748" s="29"/>
      <c r="D5748" s="29" t="s">
        <v>4082</v>
      </c>
      <c r="E5748" s="29"/>
      <c r="F5748" s="29" t="s">
        <v>4106</v>
      </c>
      <c r="G5748" s="29"/>
      <c r="H5748" s="29" t="s">
        <v>4117</v>
      </c>
      <c r="I5748" s="29"/>
      <c r="J5748" s="29" t="s">
        <v>4118</v>
      </c>
      <c r="K5748" s="29"/>
      <c r="L5748" s="29" t="s">
        <v>2260</v>
      </c>
      <c r="M5748" s="29"/>
      <c r="N5748" s="29" t="s">
        <v>2528</v>
      </c>
      <c r="O5748" s="29"/>
      <c r="P5748" s="29" t="s">
        <v>5129</v>
      </c>
      <c r="Q5748" t="s">
        <v>2194</v>
      </c>
      <c r="R5748" t="s">
        <v>2635</v>
      </c>
      <c r="S5748">
        <v>36</v>
      </c>
      <c r="T5748" s="43" t="str">
        <f t="shared" si="268"/>
        <v>2020.005F.R.Genomoviridae.zip</v>
      </c>
      <c r="U5748" s="43" t="str">
        <f>HYPERLINK("https://ictv.global/taxonomy/taxondetails?taxnode_id=202203615","ictv.global=202203615")</f>
        <v>ictv.global=202203615</v>
      </c>
    </row>
    <row r="5749" spans="1:21">
      <c r="A5749">
        <v>5748</v>
      </c>
      <c r="B5749" s="29" t="s">
        <v>4053</v>
      </c>
      <c r="C5749" s="29"/>
      <c r="D5749" s="29" t="s">
        <v>4082</v>
      </c>
      <c r="E5749" s="29"/>
      <c r="F5749" s="29" t="s">
        <v>4106</v>
      </c>
      <c r="G5749" s="29"/>
      <c r="H5749" s="29" t="s">
        <v>4117</v>
      </c>
      <c r="I5749" s="29"/>
      <c r="J5749" s="29" t="s">
        <v>4118</v>
      </c>
      <c r="K5749" s="29"/>
      <c r="L5749" s="29" t="s">
        <v>2260</v>
      </c>
      <c r="M5749" s="29"/>
      <c r="N5749" s="29" t="s">
        <v>2528</v>
      </c>
      <c r="O5749" s="29"/>
      <c r="P5749" s="29" t="s">
        <v>5130</v>
      </c>
      <c r="Q5749" t="s">
        <v>2194</v>
      </c>
      <c r="R5749" t="s">
        <v>2632</v>
      </c>
      <c r="S5749">
        <v>36</v>
      </c>
      <c r="T5749" s="43" t="str">
        <f t="shared" si="268"/>
        <v>2020.005F.R.Genomoviridae.zip</v>
      </c>
      <c r="U5749" s="43" t="str">
        <f>HYPERLINK("https://ictv.global/taxonomy/taxondetails?taxnode_id=202209047","ictv.global=202209047")</f>
        <v>ictv.global=202209047</v>
      </c>
    </row>
    <row r="5750" spans="1:21">
      <c r="A5750">
        <v>5749</v>
      </c>
      <c r="B5750" s="29" t="s">
        <v>4053</v>
      </c>
      <c r="C5750" s="29"/>
      <c r="D5750" s="29" t="s">
        <v>4082</v>
      </c>
      <c r="E5750" s="29"/>
      <c r="F5750" s="29" t="s">
        <v>4106</v>
      </c>
      <c r="G5750" s="29"/>
      <c r="H5750" s="29" t="s">
        <v>4117</v>
      </c>
      <c r="I5750" s="29"/>
      <c r="J5750" s="29" t="s">
        <v>4118</v>
      </c>
      <c r="K5750" s="29"/>
      <c r="L5750" s="29" t="s">
        <v>2260</v>
      </c>
      <c r="M5750" s="29"/>
      <c r="N5750" s="29" t="s">
        <v>2528</v>
      </c>
      <c r="O5750" s="29"/>
      <c r="P5750" s="29" t="s">
        <v>5131</v>
      </c>
      <c r="Q5750" t="s">
        <v>2194</v>
      </c>
      <c r="R5750" t="s">
        <v>2632</v>
      </c>
      <c r="S5750">
        <v>36</v>
      </c>
      <c r="T5750" s="43" t="str">
        <f t="shared" si="268"/>
        <v>2020.005F.R.Genomoviridae.zip</v>
      </c>
      <c r="U5750" s="43" t="str">
        <f>HYPERLINK("https://ictv.global/taxonomy/taxondetails?taxnode_id=202209060","ictv.global=202209060")</f>
        <v>ictv.global=202209060</v>
      </c>
    </row>
    <row r="5751" spans="1:21">
      <c r="A5751">
        <v>5750</v>
      </c>
      <c r="B5751" s="29" t="s">
        <v>4053</v>
      </c>
      <c r="C5751" s="29"/>
      <c r="D5751" s="29" t="s">
        <v>4082</v>
      </c>
      <c r="E5751" s="29"/>
      <c r="F5751" s="29" t="s">
        <v>4106</v>
      </c>
      <c r="G5751" s="29"/>
      <c r="H5751" s="29" t="s">
        <v>4117</v>
      </c>
      <c r="I5751" s="29"/>
      <c r="J5751" s="29" t="s">
        <v>4118</v>
      </c>
      <c r="K5751" s="29"/>
      <c r="L5751" s="29" t="s">
        <v>2260</v>
      </c>
      <c r="M5751" s="29"/>
      <c r="N5751" s="29" t="s">
        <v>2528</v>
      </c>
      <c r="O5751" s="29"/>
      <c r="P5751" s="29" t="s">
        <v>5132</v>
      </c>
      <c r="Q5751" t="s">
        <v>2194</v>
      </c>
      <c r="R5751" t="s">
        <v>2632</v>
      </c>
      <c r="S5751">
        <v>36</v>
      </c>
      <c r="T5751" s="43" t="str">
        <f t="shared" si="268"/>
        <v>2020.005F.R.Genomoviridae.zip</v>
      </c>
      <c r="U5751" s="43" t="str">
        <f>HYPERLINK("https://ictv.global/taxonomy/taxondetails?taxnode_id=202209048","ictv.global=202209048")</f>
        <v>ictv.global=202209048</v>
      </c>
    </row>
    <row r="5752" spans="1:21">
      <c r="A5752">
        <v>5751</v>
      </c>
      <c r="B5752" s="29" t="s">
        <v>4053</v>
      </c>
      <c r="C5752" s="29"/>
      <c r="D5752" s="29" t="s">
        <v>4082</v>
      </c>
      <c r="E5752" s="29"/>
      <c r="F5752" s="29" t="s">
        <v>4106</v>
      </c>
      <c r="G5752" s="29"/>
      <c r="H5752" s="29" t="s">
        <v>4117</v>
      </c>
      <c r="I5752" s="29"/>
      <c r="J5752" s="29" t="s">
        <v>4118</v>
      </c>
      <c r="K5752" s="29"/>
      <c r="L5752" s="29" t="s">
        <v>2260</v>
      </c>
      <c r="M5752" s="29"/>
      <c r="N5752" s="29" t="s">
        <v>2528</v>
      </c>
      <c r="O5752" s="29"/>
      <c r="P5752" s="29" t="s">
        <v>5133</v>
      </c>
      <c r="Q5752" t="s">
        <v>2194</v>
      </c>
      <c r="R5752" t="s">
        <v>2632</v>
      </c>
      <c r="S5752">
        <v>36</v>
      </c>
      <c r="T5752" s="43" t="str">
        <f t="shared" si="268"/>
        <v>2020.005F.R.Genomoviridae.zip</v>
      </c>
      <c r="U5752" s="43" t="str">
        <f>HYPERLINK("https://ictv.global/taxonomy/taxondetails?taxnode_id=202209051","ictv.global=202209051")</f>
        <v>ictv.global=202209051</v>
      </c>
    </row>
    <row r="5753" spans="1:21">
      <c r="A5753">
        <v>5752</v>
      </c>
      <c r="B5753" s="29" t="s">
        <v>4053</v>
      </c>
      <c r="C5753" s="29"/>
      <c r="D5753" s="29" t="s">
        <v>4082</v>
      </c>
      <c r="E5753" s="29"/>
      <c r="F5753" s="29" t="s">
        <v>4106</v>
      </c>
      <c r="G5753" s="29"/>
      <c r="H5753" s="29" t="s">
        <v>4117</v>
      </c>
      <c r="I5753" s="29"/>
      <c r="J5753" s="29" t="s">
        <v>4118</v>
      </c>
      <c r="K5753" s="29"/>
      <c r="L5753" s="29" t="s">
        <v>2260</v>
      </c>
      <c r="M5753" s="29"/>
      <c r="N5753" s="29" t="s">
        <v>2528</v>
      </c>
      <c r="O5753" s="29"/>
      <c r="P5753" s="29" t="s">
        <v>5134</v>
      </c>
      <c r="Q5753" t="s">
        <v>2194</v>
      </c>
      <c r="R5753" t="s">
        <v>2632</v>
      </c>
      <c r="S5753">
        <v>36</v>
      </c>
      <c r="T5753" s="43" t="str">
        <f t="shared" si="268"/>
        <v>2020.005F.R.Genomoviridae.zip</v>
      </c>
      <c r="U5753" s="43" t="str">
        <f>HYPERLINK("https://ictv.global/taxonomy/taxondetails?taxnode_id=202209037","ictv.global=202209037")</f>
        <v>ictv.global=202209037</v>
      </c>
    </row>
    <row r="5754" spans="1:21">
      <c r="A5754">
        <v>5753</v>
      </c>
      <c r="B5754" s="29" t="s">
        <v>4053</v>
      </c>
      <c r="C5754" s="29"/>
      <c r="D5754" s="29" t="s">
        <v>4082</v>
      </c>
      <c r="E5754" s="29"/>
      <c r="F5754" s="29" t="s">
        <v>4106</v>
      </c>
      <c r="G5754" s="29"/>
      <c r="H5754" s="29" t="s">
        <v>4117</v>
      </c>
      <c r="I5754" s="29"/>
      <c r="J5754" s="29" t="s">
        <v>4118</v>
      </c>
      <c r="K5754" s="29"/>
      <c r="L5754" s="29" t="s">
        <v>2260</v>
      </c>
      <c r="M5754" s="29"/>
      <c r="N5754" s="29" t="s">
        <v>2528</v>
      </c>
      <c r="O5754" s="29"/>
      <c r="P5754" s="29" t="s">
        <v>5135</v>
      </c>
      <c r="Q5754" t="s">
        <v>2194</v>
      </c>
      <c r="R5754" t="s">
        <v>2632</v>
      </c>
      <c r="S5754">
        <v>36</v>
      </c>
      <c r="T5754" s="43" t="str">
        <f t="shared" si="268"/>
        <v>2020.005F.R.Genomoviridae.zip</v>
      </c>
      <c r="U5754" s="43" t="str">
        <f>HYPERLINK("https://ictv.global/taxonomy/taxondetails?taxnode_id=202209057","ictv.global=202209057")</f>
        <v>ictv.global=202209057</v>
      </c>
    </row>
    <row r="5755" spans="1:21">
      <c r="A5755">
        <v>5754</v>
      </c>
      <c r="B5755" s="29" t="s">
        <v>4053</v>
      </c>
      <c r="C5755" s="29"/>
      <c r="D5755" s="29" t="s">
        <v>4082</v>
      </c>
      <c r="E5755" s="29"/>
      <c r="F5755" s="29" t="s">
        <v>4106</v>
      </c>
      <c r="G5755" s="29"/>
      <c r="H5755" s="29" t="s">
        <v>4117</v>
      </c>
      <c r="I5755" s="29"/>
      <c r="J5755" s="29" t="s">
        <v>4118</v>
      </c>
      <c r="K5755" s="29"/>
      <c r="L5755" s="29" t="s">
        <v>2260</v>
      </c>
      <c r="M5755" s="29"/>
      <c r="N5755" s="29" t="s">
        <v>2528</v>
      </c>
      <c r="O5755" s="29"/>
      <c r="P5755" s="29" t="s">
        <v>5136</v>
      </c>
      <c r="Q5755" t="s">
        <v>2041</v>
      </c>
      <c r="R5755" t="s">
        <v>2635</v>
      </c>
      <c r="S5755">
        <v>36</v>
      </c>
      <c r="T5755" s="43" t="str">
        <f t="shared" si="268"/>
        <v>2020.005F.R.Genomoviridae.zip</v>
      </c>
      <c r="U5755" s="43" t="str">
        <f>HYPERLINK("https://ictv.global/taxonomy/taxondetails?taxnode_id=202203616","ictv.global=202203616")</f>
        <v>ictv.global=202203616</v>
      </c>
    </row>
    <row r="5756" spans="1:21">
      <c r="A5756">
        <v>5755</v>
      </c>
      <c r="B5756" s="29" t="s">
        <v>4053</v>
      </c>
      <c r="C5756" s="29"/>
      <c r="D5756" s="29" t="s">
        <v>4082</v>
      </c>
      <c r="E5756" s="29"/>
      <c r="F5756" s="29" t="s">
        <v>4106</v>
      </c>
      <c r="G5756" s="29"/>
      <c r="H5756" s="29" t="s">
        <v>4117</v>
      </c>
      <c r="I5756" s="29"/>
      <c r="J5756" s="29" t="s">
        <v>4118</v>
      </c>
      <c r="K5756" s="29"/>
      <c r="L5756" s="29" t="s">
        <v>2260</v>
      </c>
      <c r="M5756" s="29"/>
      <c r="N5756" s="29" t="s">
        <v>2528</v>
      </c>
      <c r="O5756" s="29"/>
      <c r="P5756" s="29" t="s">
        <v>5137</v>
      </c>
      <c r="Q5756" t="s">
        <v>2194</v>
      </c>
      <c r="R5756" t="s">
        <v>2632</v>
      </c>
      <c r="S5756">
        <v>36</v>
      </c>
      <c r="T5756" s="43" t="str">
        <f t="shared" si="268"/>
        <v>2020.005F.R.Genomoviridae.zip</v>
      </c>
      <c r="U5756" s="43" t="str">
        <f>HYPERLINK("https://ictv.global/taxonomy/taxondetails?taxnode_id=202209041","ictv.global=202209041")</f>
        <v>ictv.global=202209041</v>
      </c>
    </row>
    <row r="5757" spans="1:21">
      <c r="A5757">
        <v>5756</v>
      </c>
      <c r="B5757" s="29" t="s">
        <v>4053</v>
      </c>
      <c r="C5757" s="29"/>
      <c r="D5757" s="29" t="s">
        <v>4082</v>
      </c>
      <c r="E5757" s="29"/>
      <c r="F5757" s="29" t="s">
        <v>4106</v>
      </c>
      <c r="G5757" s="29"/>
      <c r="H5757" s="29" t="s">
        <v>4117</v>
      </c>
      <c r="I5757" s="29"/>
      <c r="J5757" s="29" t="s">
        <v>4118</v>
      </c>
      <c r="K5757" s="29"/>
      <c r="L5757" s="29" t="s">
        <v>2260</v>
      </c>
      <c r="M5757" s="29"/>
      <c r="N5757" s="29" t="s">
        <v>2528</v>
      </c>
      <c r="O5757" s="29"/>
      <c r="P5757" s="29" t="s">
        <v>5138</v>
      </c>
      <c r="Q5757" t="s">
        <v>2041</v>
      </c>
      <c r="R5757" t="s">
        <v>2635</v>
      </c>
      <c r="S5757">
        <v>36</v>
      </c>
      <c r="T5757" s="43" t="str">
        <f t="shared" si="268"/>
        <v>2020.005F.R.Genomoviridae.zip</v>
      </c>
      <c r="U5757" s="43" t="str">
        <f>HYPERLINK("https://ictv.global/taxonomy/taxondetails?taxnode_id=202203617","ictv.global=202203617")</f>
        <v>ictv.global=202203617</v>
      </c>
    </row>
    <row r="5758" spans="1:21">
      <c r="A5758">
        <v>5757</v>
      </c>
      <c r="B5758" s="29" t="s">
        <v>4053</v>
      </c>
      <c r="C5758" s="29"/>
      <c r="D5758" s="29" t="s">
        <v>4082</v>
      </c>
      <c r="E5758" s="29"/>
      <c r="F5758" s="29" t="s">
        <v>4106</v>
      </c>
      <c r="G5758" s="29"/>
      <c r="H5758" s="29" t="s">
        <v>4117</v>
      </c>
      <c r="I5758" s="29"/>
      <c r="J5758" s="29" t="s">
        <v>4118</v>
      </c>
      <c r="K5758" s="29"/>
      <c r="L5758" s="29" t="s">
        <v>2260</v>
      </c>
      <c r="M5758" s="29"/>
      <c r="N5758" s="29" t="s">
        <v>2528</v>
      </c>
      <c r="O5758" s="29"/>
      <c r="P5758" s="29" t="s">
        <v>5139</v>
      </c>
      <c r="Q5758" t="s">
        <v>2194</v>
      </c>
      <c r="R5758" t="s">
        <v>2635</v>
      </c>
      <c r="S5758">
        <v>36</v>
      </c>
      <c r="T5758" s="43" t="str">
        <f t="shared" si="268"/>
        <v>2020.005F.R.Genomoviridae.zip</v>
      </c>
      <c r="U5758" s="43" t="str">
        <f>HYPERLINK("https://ictv.global/taxonomy/taxondetails?taxnode_id=202203618","ictv.global=202203618")</f>
        <v>ictv.global=202203618</v>
      </c>
    </row>
    <row r="5759" spans="1:21">
      <c r="A5759">
        <v>5758</v>
      </c>
      <c r="B5759" s="29" t="s">
        <v>4053</v>
      </c>
      <c r="C5759" s="29"/>
      <c r="D5759" s="29" t="s">
        <v>4082</v>
      </c>
      <c r="E5759" s="29"/>
      <c r="F5759" s="29" t="s">
        <v>4106</v>
      </c>
      <c r="G5759" s="29"/>
      <c r="H5759" s="29" t="s">
        <v>4117</v>
      </c>
      <c r="I5759" s="29"/>
      <c r="J5759" s="29" t="s">
        <v>4118</v>
      </c>
      <c r="K5759" s="29"/>
      <c r="L5759" s="29" t="s">
        <v>2260</v>
      </c>
      <c r="M5759" s="29"/>
      <c r="N5759" s="29" t="s">
        <v>2528</v>
      </c>
      <c r="O5759" s="29"/>
      <c r="P5759" s="29" t="s">
        <v>5140</v>
      </c>
      <c r="Q5759" t="s">
        <v>2194</v>
      </c>
      <c r="R5759" t="s">
        <v>2635</v>
      </c>
      <c r="S5759">
        <v>36</v>
      </c>
      <c r="T5759" s="43" t="str">
        <f t="shared" ref="T5759:T5775" si="269">HYPERLINK("https://ictv.global/ictv/proposals/2020.005F.R.Genomoviridae.zip","2020.005F.R.Genomoviridae.zip")</f>
        <v>2020.005F.R.Genomoviridae.zip</v>
      </c>
      <c r="U5759" s="43" t="str">
        <f>HYPERLINK("https://ictv.global/taxonomy/taxondetails?taxnode_id=202203619","ictv.global=202203619")</f>
        <v>ictv.global=202203619</v>
      </c>
    </row>
    <row r="5760" spans="1:21">
      <c r="A5760">
        <v>5759</v>
      </c>
      <c r="B5760" s="29" t="s">
        <v>4053</v>
      </c>
      <c r="C5760" s="29"/>
      <c r="D5760" s="29" t="s">
        <v>4082</v>
      </c>
      <c r="E5760" s="29"/>
      <c r="F5760" s="29" t="s">
        <v>4106</v>
      </c>
      <c r="G5760" s="29"/>
      <c r="H5760" s="29" t="s">
        <v>4117</v>
      </c>
      <c r="I5760" s="29"/>
      <c r="J5760" s="29" t="s">
        <v>4118</v>
      </c>
      <c r="K5760" s="29"/>
      <c r="L5760" s="29" t="s">
        <v>2260</v>
      </c>
      <c r="M5760" s="29"/>
      <c r="N5760" s="29" t="s">
        <v>2528</v>
      </c>
      <c r="O5760" s="29"/>
      <c r="P5760" s="29" t="s">
        <v>5141</v>
      </c>
      <c r="Q5760" t="s">
        <v>2194</v>
      </c>
      <c r="R5760" t="s">
        <v>2635</v>
      </c>
      <c r="S5760">
        <v>36</v>
      </c>
      <c r="T5760" s="43" t="str">
        <f t="shared" si="269"/>
        <v>2020.005F.R.Genomoviridae.zip</v>
      </c>
      <c r="U5760" s="43" t="str">
        <f>HYPERLINK("https://ictv.global/taxonomy/taxondetails?taxnode_id=202203620","ictv.global=202203620")</f>
        <v>ictv.global=202203620</v>
      </c>
    </row>
    <row r="5761" spans="1:21">
      <c r="A5761">
        <v>5760</v>
      </c>
      <c r="B5761" s="29" t="s">
        <v>4053</v>
      </c>
      <c r="C5761" s="29"/>
      <c r="D5761" s="29" t="s">
        <v>4082</v>
      </c>
      <c r="E5761" s="29"/>
      <c r="F5761" s="29" t="s">
        <v>4106</v>
      </c>
      <c r="G5761" s="29"/>
      <c r="H5761" s="29" t="s">
        <v>4117</v>
      </c>
      <c r="I5761" s="29"/>
      <c r="J5761" s="29" t="s">
        <v>4118</v>
      </c>
      <c r="K5761" s="29"/>
      <c r="L5761" s="29" t="s">
        <v>2260</v>
      </c>
      <c r="M5761" s="29"/>
      <c r="N5761" s="29" t="s">
        <v>2528</v>
      </c>
      <c r="O5761" s="29"/>
      <c r="P5761" s="29" t="s">
        <v>5142</v>
      </c>
      <c r="Q5761" t="s">
        <v>2194</v>
      </c>
      <c r="R5761" t="s">
        <v>2632</v>
      </c>
      <c r="S5761">
        <v>36</v>
      </c>
      <c r="T5761" s="43" t="str">
        <f t="shared" si="269"/>
        <v>2020.005F.R.Genomoviridae.zip</v>
      </c>
      <c r="U5761" s="43" t="str">
        <f>HYPERLINK("https://ictv.global/taxonomy/taxondetails?taxnode_id=202209050","ictv.global=202209050")</f>
        <v>ictv.global=202209050</v>
      </c>
    </row>
    <row r="5762" spans="1:21">
      <c r="A5762">
        <v>5761</v>
      </c>
      <c r="B5762" s="29" t="s">
        <v>4053</v>
      </c>
      <c r="C5762" s="29"/>
      <c r="D5762" s="29" t="s">
        <v>4082</v>
      </c>
      <c r="E5762" s="29"/>
      <c r="F5762" s="29" t="s">
        <v>4106</v>
      </c>
      <c r="G5762" s="29"/>
      <c r="H5762" s="29" t="s">
        <v>4117</v>
      </c>
      <c r="I5762" s="29"/>
      <c r="J5762" s="29" t="s">
        <v>4118</v>
      </c>
      <c r="K5762" s="29"/>
      <c r="L5762" s="29" t="s">
        <v>2260</v>
      </c>
      <c r="M5762" s="29"/>
      <c r="N5762" s="29" t="s">
        <v>2528</v>
      </c>
      <c r="O5762" s="29"/>
      <c r="P5762" s="29" t="s">
        <v>5143</v>
      </c>
      <c r="Q5762" t="s">
        <v>2194</v>
      </c>
      <c r="R5762" t="s">
        <v>2632</v>
      </c>
      <c r="S5762">
        <v>36</v>
      </c>
      <c r="T5762" s="43" t="str">
        <f t="shared" si="269"/>
        <v>2020.005F.R.Genomoviridae.zip</v>
      </c>
      <c r="U5762" s="43" t="str">
        <f>HYPERLINK("https://ictv.global/taxonomy/taxondetails?taxnode_id=202209059","ictv.global=202209059")</f>
        <v>ictv.global=202209059</v>
      </c>
    </row>
    <row r="5763" spans="1:21">
      <c r="A5763">
        <v>5762</v>
      </c>
      <c r="B5763" s="29" t="s">
        <v>4053</v>
      </c>
      <c r="C5763" s="29"/>
      <c r="D5763" s="29" t="s">
        <v>4082</v>
      </c>
      <c r="E5763" s="29"/>
      <c r="F5763" s="29" t="s">
        <v>4106</v>
      </c>
      <c r="G5763" s="29"/>
      <c r="H5763" s="29" t="s">
        <v>4117</v>
      </c>
      <c r="I5763" s="29"/>
      <c r="J5763" s="29" t="s">
        <v>4118</v>
      </c>
      <c r="K5763" s="29"/>
      <c r="L5763" s="29" t="s">
        <v>2260</v>
      </c>
      <c r="M5763" s="29"/>
      <c r="N5763" s="29" t="s">
        <v>2528</v>
      </c>
      <c r="O5763" s="29"/>
      <c r="P5763" s="29" t="s">
        <v>5144</v>
      </c>
      <c r="Q5763" t="s">
        <v>2194</v>
      </c>
      <c r="R5763" t="s">
        <v>2632</v>
      </c>
      <c r="S5763">
        <v>36</v>
      </c>
      <c r="T5763" s="43" t="str">
        <f t="shared" si="269"/>
        <v>2020.005F.R.Genomoviridae.zip</v>
      </c>
      <c r="U5763" s="43" t="str">
        <f>HYPERLINK("https://ictv.global/taxonomy/taxondetails?taxnode_id=202209042","ictv.global=202209042")</f>
        <v>ictv.global=202209042</v>
      </c>
    </row>
    <row r="5764" spans="1:21">
      <c r="A5764">
        <v>5763</v>
      </c>
      <c r="B5764" s="29" t="s">
        <v>4053</v>
      </c>
      <c r="C5764" s="29"/>
      <c r="D5764" s="29" t="s">
        <v>4082</v>
      </c>
      <c r="E5764" s="29"/>
      <c r="F5764" s="29" t="s">
        <v>4106</v>
      </c>
      <c r="G5764" s="29"/>
      <c r="H5764" s="29" t="s">
        <v>4117</v>
      </c>
      <c r="I5764" s="29"/>
      <c r="J5764" s="29" t="s">
        <v>4118</v>
      </c>
      <c r="K5764" s="29"/>
      <c r="L5764" s="29" t="s">
        <v>2260</v>
      </c>
      <c r="M5764" s="29"/>
      <c r="N5764" s="29" t="s">
        <v>2529</v>
      </c>
      <c r="O5764" s="29"/>
      <c r="P5764" s="29" t="s">
        <v>5145</v>
      </c>
      <c r="Q5764" t="s">
        <v>2194</v>
      </c>
      <c r="R5764" t="s">
        <v>2632</v>
      </c>
      <c r="S5764">
        <v>36</v>
      </c>
      <c r="T5764" s="43" t="str">
        <f t="shared" si="269"/>
        <v>2020.005F.R.Genomoviridae.zip</v>
      </c>
      <c r="U5764" s="43" t="str">
        <f>HYPERLINK("https://ictv.global/taxonomy/taxondetails?taxnode_id=202209074","ictv.global=202209074")</f>
        <v>ictv.global=202209074</v>
      </c>
    </row>
    <row r="5765" spans="1:21">
      <c r="A5765">
        <v>5764</v>
      </c>
      <c r="B5765" s="29" t="s">
        <v>4053</v>
      </c>
      <c r="C5765" s="29"/>
      <c r="D5765" s="29" t="s">
        <v>4082</v>
      </c>
      <c r="E5765" s="29"/>
      <c r="F5765" s="29" t="s">
        <v>4106</v>
      </c>
      <c r="G5765" s="29"/>
      <c r="H5765" s="29" t="s">
        <v>4117</v>
      </c>
      <c r="I5765" s="29"/>
      <c r="J5765" s="29" t="s">
        <v>4118</v>
      </c>
      <c r="K5765" s="29"/>
      <c r="L5765" s="29" t="s">
        <v>2260</v>
      </c>
      <c r="M5765" s="29"/>
      <c r="N5765" s="29" t="s">
        <v>2529</v>
      </c>
      <c r="O5765" s="29"/>
      <c r="P5765" s="29" t="s">
        <v>5146</v>
      </c>
      <c r="Q5765" t="s">
        <v>2194</v>
      </c>
      <c r="R5765" t="s">
        <v>2632</v>
      </c>
      <c r="S5765">
        <v>36</v>
      </c>
      <c r="T5765" s="43" t="str">
        <f t="shared" si="269"/>
        <v>2020.005F.R.Genomoviridae.zip</v>
      </c>
      <c r="U5765" s="43" t="str">
        <f>HYPERLINK("https://ictv.global/taxonomy/taxondetails?taxnode_id=202209076","ictv.global=202209076")</f>
        <v>ictv.global=202209076</v>
      </c>
    </row>
    <row r="5766" spans="1:21">
      <c r="A5766">
        <v>5765</v>
      </c>
      <c r="B5766" s="29" t="s">
        <v>4053</v>
      </c>
      <c r="C5766" s="29"/>
      <c r="D5766" s="29" t="s">
        <v>4082</v>
      </c>
      <c r="E5766" s="29"/>
      <c r="F5766" s="29" t="s">
        <v>4106</v>
      </c>
      <c r="G5766" s="29"/>
      <c r="H5766" s="29" t="s">
        <v>4117</v>
      </c>
      <c r="I5766" s="29"/>
      <c r="J5766" s="29" t="s">
        <v>4118</v>
      </c>
      <c r="K5766" s="29"/>
      <c r="L5766" s="29" t="s">
        <v>2260</v>
      </c>
      <c r="M5766" s="29"/>
      <c r="N5766" s="29" t="s">
        <v>2529</v>
      </c>
      <c r="O5766" s="29"/>
      <c r="P5766" s="29" t="s">
        <v>5147</v>
      </c>
      <c r="Q5766" t="s">
        <v>2194</v>
      </c>
      <c r="R5766" t="s">
        <v>2632</v>
      </c>
      <c r="S5766">
        <v>36</v>
      </c>
      <c r="T5766" s="43" t="str">
        <f t="shared" si="269"/>
        <v>2020.005F.R.Genomoviridae.zip</v>
      </c>
      <c r="U5766" s="43" t="str">
        <f>HYPERLINK("https://ictv.global/taxonomy/taxondetails?taxnode_id=202209068","ictv.global=202209068")</f>
        <v>ictv.global=202209068</v>
      </c>
    </row>
    <row r="5767" spans="1:21">
      <c r="A5767">
        <v>5766</v>
      </c>
      <c r="B5767" s="29" t="s">
        <v>4053</v>
      </c>
      <c r="C5767" s="29"/>
      <c r="D5767" s="29" t="s">
        <v>4082</v>
      </c>
      <c r="E5767" s="29"/>
      <c r="F5767" s="29" t="s">
        <v>4106</v>
      </c>
      <c r="G5767" s="29"/>
      <c r="H5767" s="29" t="s">
        <v>4117</v>
      </c>
      <c r="I5767" s="29"/>
      <c r="J5767" s="29" t="s">
        <v>4118</v>
      </c>
      <c r="K5767" s="29"/>
      <c r="L5767" s="29" t="s">
        <v>2260</v>
      </c>
      <c r="M5767" s="29"/>
      <c r="N5767" s="29" t="s">
        <v>2529</v>
      </c>
      <c r="O5767" s="29"/>
      <c r="P5767" s="29" t="s">
        <v>5148</v>
      </c>
      <c r="Q5767" t="s">
        <v>2194</v>
      </c>
      <c r="R5767" t="s">
        <v>2632</v>
      </c>
      <c r="S5767">
        <v>36</v>
      </c>
      <c r="T5767" s="43" t="str">
        <f t="shared" si="269"/>
        <v>2020.005F.R.Genomoviridae.zip</v>
      </c>
      <c r="U5767" s="43" t="str">
        <f>HYPERLINK("https://ictv.global/taxonomy/taxondetails?taxnode_id=202209071","ictv.global=202209071")</f>
        <v>ictv.global=202209071</v>
      </c>
    </row>
    <row r="5768" spans="1:21">
      <c r="A5768">
        <v>5767</v>
      </c>
      <c r="B5768" s="29" t="s">
        <v>4053</v>
      </c>
      <c r="C5768" s="29"/>
      <c r="D5768" s="29" t="s">
        <v>4082</v>
      </c>
      <c r="E5768" s="29"/>
      <c r="F5768" s="29" t="s">
        <v>4106</v>
      </c>
      <c r="G5768" s="29"/>
      <c r="H5768" s="29" t="s">
        <v>4117</v>
      </c>
      <c r="I5768" s="29"/>
      <c r="J5768" s="29" t="s">
        <v>4118</v>
      </c>
      <c r="K5768" s="29"/>
      <c r="L5768" s="29" t="s">
        <v>2260</v>
      </c>
      <c r="M5768" s="29"/>
      <c r="N5768" s="29" t="s">
        <v>2529</v>
      </c>
      <c r="O5768" s="29"/>
      <c r="P5768" s="29" t="s">
        <v>5149</v>
      </c>
      <c r="Q5768" t="s">
        <v>2194</v>
      </c>
      <c r="R5768" t="s">
        <v>2632</v>
      </c>
      <c r="S5768">
        <v>36</v>
      </c>
      <c r="T5768" s="43" t="str">
        <f t="shared" si="269"/>
        <v>2020.005F.R.Genomoviridae.zip</v>
      </c>
      <c r="U5768" s="43" t="str">
        <f>HYPERLINK("https://ictv.global/taxonomy/taxondetails?taxnode_id=202209067","ictv.global=202209067")</f>
        <v>ictv.global=202209067</v>
      </c>
    </row>
    <row r="5769" spans="1:21">
      <c r="A5769">
        <v>5768</v>
      </c>
      <c r="B5769" s="29" t="s">
        <v>4053</v>
      </c>
      <c r="C5769" s="29"/>
      <c r="D5769" s="29" t="s">
        <v>4082</v>
      </c>
      <c r="E5769" s="29"/>
      <c r="F5769" s="29" t="s">
        <v>4106</v>
      </c>
      <c r="G5769" s="29"/>
      <c r="H5769" s="29" t="s">
        <v>4117</v>
      </c>
      <c r="I5769" s="29"/>
      <c r="J5769" s="29" t="s">
        <v>4118</v>
      </c>
      <c r="K5769" s="29"/>
      <c r="L5769" s="29" t="s">
        <v>2260</v>
      </c>
      <c r="M5769" s="29"/>
      <c r="N5769" s="29" t="s">
        <v>2529</v>
      </c>
      <c r="O5769" s="29"/>
      <c r="P5769" s="29" t="s">
        <v>5150</v>
      </c>
      <c r="Q5769" t="s">
        <v>2194</v>
      </c>
      <c r="R5769" t="s">
        <v>2632</v>
      </c>
      <c r="S5769">
        <v>36</v>
      </c>
      <c r="T5769" s="43" t="str">
        <f t="shared" si="269"/>
        <v>2020.005F.R.Genomoviridae.zip</v>
      </c>
      <c r="U5769" s="43" t="str">
        <f>HYPERLINK("https://ictv.global/taxonomy/taxondetails?taxnode_id=202209075","ictv.global=202209075")</f>
        <v>ictv.global=202209075</v>
      </c>
    </row>
    <row r="5770" spans="1:21">
      <c r="A5770">
        <v>5769</v>
      </c>
      <c r="B5770" s="29" t="s">
        <v>4053</v>
      </c>
      <c r="C5770" s="29"/>
      <c r="D5770" s="29" t="s">
        <v>4082</v>
      </c>
      <c r="E5770" s="29"/>
      <c r="F5770" s="29" t="s">
        <v>4106</v>
      </c>
      <c r="G5770" s="29"/>
      <c r="H5770" s="29" t="s">
        <v>4117</v>
      </c>
      <c r="I5770" s="29"/>
      <c r="J5770" s="29" t="s">
        <v>4118</v>
      </c>
      <c r="K5770" s="29"/>
      <c r="L5770" s="29" t="s">
        <v>2260</v>
      </c>
      <c r="M5770" s="29"/>
      <c r="N5770" s="29" t="s">
        <v>2529</v>
      </c>
      <c r="O5770" s="29"/>
      <c r="P5770" s="29" t="s">
        <v>5151</v>
      </c>
      <c r="Q5770" t="s">
        <v>2194</v>
      </c>
      <c r="R5770" t="s">
        <v>2632</v>
      </c>
      <c r="S5770">
        <v>36</v>
      </c>
      <c r="T5770" s="43" t="str">
        <f t="shared" si="269"/>
        <v>2020.005F.R.Genomoviridae.zip</v>
      </c>
      <c r="U5770" s="43" t="str">
        <f>HYPERLINK("https://ictv.global/taxonomy/taxondetails?taxnode_id=202209079","ictv.global=202209079")</f>
        <v>ictv.global=202209079</v>
      </c>
    </row>
    <row r="5771" spans="1:21">
      <c r="A5771">
        <v>5770</v>
      </c>
      <c r="B5771" s="29" t="s">
        <v>4053</v>
      </c>
      <c r="C5771" s="29"/>
      <c r="D5771" s="29" t="s">
        <v>4082</v>
      </c>
      <c r="E5771" s="29"/>
      <c r="F5771" s="29" t="s">
        <v>4106</v>
      </c>
      <c r="G5771" s="29"/>
      <c r="H5771" s="29" t="s">
        <v>4117</v>
      </c>
      <c r="I5771" s="29"/>
      <c r="J5771" s="29" t="s">
        <v>4118</v>
      </c>
      <c r="K5771" s="29"/>
      <c r="L5771" s="29" t="s">
        <v>2260</v>
      </c>
      <c r="M5771" s="29"/>
      <c r="N5771" s="29" t="s">
        <v>2529</v>
      </c>
      <c r="O5771" s="29"/>
      <c r="P5771" s="29" t="s">
        <v>5152</v>
      </c>
      <c r="Q5771" t="s">
        <v>2194</v>
      </c>
      <c r="R5771" t="s">
        <v>2632</v>
      </c>
      <c r="S5771">
        <v>36</v>
      </c>
      <c r="T5771" s="43" t="str">
        <f t="shared" si="269"/>
        <v>2020.005F.R.Genomoviridae.zip</v>
      </c>
      <c r="U5771" s="43" t="str">
        <f>HYPERLINK("https://ictv.global/taxonomy/taxondetails?taxnode_id=202209073","ictv.global=202209073")</f>
        <v>ictv.global=202209073</v>
      </c>
    </row>
    <row r="5772" spans="1:21">
      <c r="A5772">
        <v>5771</v>
      </c>
      <c r="B5772" s="29" t="s">
        <v>4053</v>
      </c>
      <c r="C5772" s="29"/>
      <c r="D5772" s="29" t="s">
        <v>4082</v>
      </c>
      <c r="E5772" s="29"/>
      <c r="F5772" s="29" t="s">
        <v>4106</v>
      </c>
      <c r="G5772" s="29"/>
      <c r="H5772" s="29" t="s">
        <v>4117</v>
      </c>
      <c r="I5772" s="29"/>
      <c r="J5772" s="29" t="s">
        <v>4118</v>
      </c>
      <c r="K5772" s="29"/>
      <c r="L5772" s="29" t="s">
        <v>2260</v>
      </c>
      <c r="M5772" s="29"/>
      <c r="N5772" s="29" t="s">
        <v>2529</v>
      </c>
      <c r="O5772" s="29"/>
      <c r="P5772" s="29" t="s">
        <v>5153</v>
      </c>
      <c r="Q5772" t="s">
        <v>2194</v>
      </c>
      <c r="R5772" t="s">
        <v>2632</v>
      </c>
      <c r="S5772">
        <v>36</v>
      </c>
      <c r="T5772" s="43" t="str">
        <f t="shared" si="269"/>
        <v>2020.005F.R.Genomoviridae.zip</v>
      </c>
      <c r="U5772" s="43" t="str">
        <f>HYPERLINK("https://ictv.global/taxonomy/taxondetails?taxnode_id=202209072","ictv.global=202209072")</f>
        <v>ictv.global=202209072</v>
      </c>
    </row>
    <row r="5773" spans="1:21">
      <c r="A5773">
        <v>5772</v>
      </c>
      <c r="B5773" s="29" t="s">
        <v>4053</v>
      </c>
      <c r="C5773" s="29"/>
      <c r="D5773" s="29" t="s">
        <v>4082</v>
      </c>
      <c r="E5773" s="29"/>
      <c r="F5773" s="29" t="s">
        <v>4106</v>
      </c>
      <c r="G5773" s="29"/>
      <c r="H5773" s="29" t="s">
        <v>4117</v>
      </c>
      <c r="I5773" s="29"/>
      <c r="J5773" s="29" t="s">
        <v>4118</v>
      </c>
      <c r="K5773" s="29"/>
      <c r="L5773" s="29" t="s">
        <v>2260</v>
      </c>
      <c r="M5773" s="29"/>
      <c r="N5773" s="29" t="s">
        <v>2529</v>
      </c>
      <c r="O5773" s="29"/>
      <c r="P5773" s="29" t="s">
        <v>5154</v>
      </c>
      <c r="Q5773" t="s">
        <v>2194</v>
      </c>
      <c r="R5773" t="s">
        <v>2632</v>
      </c>
      <c r="S5773">
        <v>36</v>
      </c>
      <c r="T5773" s="43" t="str">
        <f t="shared" si="269"/>
        <v>2020.005F.R.Genomoviridae.zip</v>
      </c>
      <c r="U5773" s="43" t="str">
        <f>HYPERLINK("https://ictv.global/taxonomy/taxondetails?taxnode_id=202209070","ictv.global=202209070")</f>
        <v>ictv.global=202209070</v>
      </c>
    </row>
    <row r="5774" spans="1:21">
      <c r="A5774">
        <v>5773</v>
      </c>
      <c r="B5774" s="29" t="s">
        <v>4053</v>
      </c>
      <c r="C5774" s="29"/>
      <c r="D5774" s="29" t="s">
        <v>4082</v>
      </c>
      <c r="E5774" s="29"/>
      <c r="F5774" s="29" t="s">
        <v>4106</v>
      </c>
      <c r="G5774" s="29"/>
      <c r="H5774" s="29" t="s">
        <v>4117</v>
      </c>
      <c r="I5774" s="29"/>
      <c r="J5774" s="29" t="s">
        <v>4118</v>
      </c>
      <c r="K5774" s="29"/>
      <c r="L5774" s="29" t="s">
        <v>2260</v>
      </c>
      <c r="M5774" s="29"/>
      <c r="N5774" s="29" t="s">
        <v>2529</v>
      </c>
      <c r="O5774" s="29"/>
      <c r="P5774" s="29" t="s">
        <v>5155</v>
      </c>
      <c r="Q5774" t="s">
        <v>2194</v>
      </c>
      <c r="R5774" t="s">
        <v>2632</v>
      </c>
      <c r="S5774">
        <v>36</v>
      </c>
      <c r="T5774" s="43" t="str">
        <f t="shared" si="269"/>
        <v>2020.005F.R.Genomoviridae.zip</v>
      </c>
      <c r="U5774" s="43" t="str">
        <f>HYPERLINK("https://ictv.global/taxonomy/taxondetails?taxnode_id=202209069","ictv.global=202209069")</f>
        <v>ictv.global=202209069</v>
      </c>
    </row>
    <row r="5775" spans="1:21">
      <c r="A5775">
        <v>5774</v>
      </c>
      <c r="B5775" s="29" t="s">
        <v>4053</v>
      </c>
      <c r="C5775" s="29"/>
      <c r="D5775" s="29" t="s">
        <v>4082</v>
      </c>
      <c r="E5775" s="29"/>
      <c r="F5775" s="29" t="s">
        <v>4106</v>
      </c>
      <c r="G5775" s="29"/>
      <c r="H5775" s="29" t="s">
        <v>4117</v>
      </c>
      <c r="I5775" s="29"/>
      <c r="J5775" s="29" t="s">
        <v>4118</v>
      </c>
      <c r="K5775" s="29"/>
      <c r="L5775" s="29" t="s">
        <v>2260</v>
      </c>
      <c r="M5775" s="29"/>
      <c r="N5775" s="29" t="s">
        <v>2529</v>
      </c>
      <c r="O5775" s="29"/>
      <c r="P5775" s="29" t="s">
        <v>5156</v>
      </c>
      <c r="Q5775" t="s">
        <v>2194</v>
      </c>
      <c r="R5775" t="s">
        <v>2632</v>
      </c>
      <c r="S5775">
        <v>36</v>
      </c>
      <c r="T5775" s="43" t="str">
        <f t="shared" si="269"/>
        <v>2020.005F.R.Genomoviridae.zip</v>
      </c>
      <c r="U5775" s="43" t="str">
        <f>HYPERLINK("https://ictv.global/taxonomy/taxondetails?taxnode_id=202209077","ictv.global=202209077")</f>
        <v>ictv.global=202209077</v>
      </c>
    </row>
    <row r="5776" spans="1:21">
      <c r="A5776">
        <v>5775</v>
      </c>
      <c r="B5776" s="29" t="s">
        <v>4053</v>
      </c>
      <c r="C5776" s="29"/>
      <c r="D5776" s="29" t="s">
        <v>4082</v>
      </c>
      <c r="E5776" s="29"/>
      <c r="F5776" s="29" t="s">
        <v>4106</v>
      </c>
      <c r="G5776" s="29"/>
      <c r="H5776" s="29" t="s">
        <v>4117</v>
      </c>
      <c r="I5776" s="29"/>
      <c r="J5776" s="29" t="s">
        <v>4118</v>
      </c>
      <c r="K5776" s="29"/>
      <c r="L5776" s="29" t="s">
        <v>2260</v>
      </c>
      <c r="M5776" s="29"/>
      <c r="N5776" s="29" t="s">
        <v>2529</v>
      </c>
      <c r="O5776" s="29"/>
      <c r="P5776" s="29" t="s">
        <v>5157</v>
      </c>
      <c r="Q5776" t="s">
        <v>2041</v>
      </c>
      <c r="R5776" t="s">
        <v>6902</v>
      </c>
      <c r="S5776">
        <v>36</v>
      </c>
      <c r="T5776" s="43" t="str">
        <f>HYPERLINK("https://ictv.global/ictv/proposals/2020.005F.R.Genomoviridae.zip","2020.005F.R.Genomoviridae.zip;2020.001G.R.Abolish_type_species.pdf")</f>
        <v>2020.005F.R.Genomoviridae.zip;2020.001G.R.Abolish_type_species.pdf</v>
      </c>
      <c r="U5776" s="43" t="str">
        <f>HYPERLINK("https://ictv.global/taxonomy/taxondetails?taxnode_id=202203622","ictv.global=202203622")</f>
        <v>ictv.global=202203622</v>
      </c>
    </row>
    <row r="5777" spans="1:21">
      <c r="A5777">
        <v>5776</v>
      </c>
      <c r="B5777" s="29" t="s">
        <v>4053</v>
      </c>
      <c r="C5777" s="29"/>
      <c r="D5777" s="29" t="s">
        <v>4082</v>
      </c>
      <c r="E5777" s="29"/>
      <c r="F5777" s="29" t="s">
        <v>4106</v>
      </c>
      <c r="G5777" s="29"/>
      <c r="H5777" s="29" t="s">
        <v>4117</v>
      </c>
      <c r="I5777" s="29"/>
      <c r="J5777" s="29" t="s">
        <v>4118</v>
      </c>
      <c r="K5777" s="29"/>
      <c r="L5777" s="29" t="s">
        <v>2260</v>
      </c>
      <c r="M5777" s="29"/>
      <c r="N5777" s="29" t="s">
        <v>2529</v>
      </c>
      <c r="O5777" s="29"/>
      <c r="P5777" s="29" t="s">
        <v>5158</v>
      </c>
      <c r="Q5777" t="s">
        <v>2041</v>
      </c>
      <c r="R5777" t="s">
        <v>2635</v>
      </c>
      <c r="S5777">
        <v>36</v>
      </c>
      <c r="T5777" s="43" t="str">
        <f>HYPERLINK("https://ictv.global/ictv/proposals/2020.005F.R.Genomoviridae.zip","2020.005F.R.Genomoviridae.zip")</f>
        <v>2020.005F.R.Genomoviridae.zip</v>
      </c>
      <c r="U5777" s="43" t="str">
        <f>HYPERLINK("https://ictv.global/taxonomy/taxondetails?taxnode_id=202203623","ictv.global=202203623")</f>
        <v>ictv.global=202203623</v>
      </c>
    </row>
    <row r="5778" spans="1:21">
      <c r="A5778">
        <v>5777</v>
      </c>
      <c r="B5778" s="29" t="s">
        <v>4053</v>
      </c>
      <c r="C5778" s="29"/>
      <c r="D5778" s="29" t="s">
        <v>4082</v>
      </c>
      <c r="E5778" s="29"/>
      <c r="F5778" s="29" t="s">
        <v>4106</v>
      </c>
      <c r="G5778" s="29"/>
      <c r="H5778" s="29" t="s">
        <v>4117</v>
      </c>
      <c r="I5778" s="29"/>
      <c r="J5778" s="29" t="s">
        <v>4118</v>
      </c>
      <c r="K5778" s="29"/>
      <c r="L5778" s="29" t="s">
        <v>2260</v>
      </c>
      <c r="M5778" s="29"/>
      <c r="N5778" s="29" t="s">
        <v>2529</v>
      </c>
      <c r="O5778" s="29"/>
      <c r="P5778" s="29" t="s">
        <v>5159</v>
      </c>
      <c r="Q5778" t="s">
        <v>2194</v>
      </c>
      <c r="R5778" t="s">
        <v>2632</v>
      </c>
      <c r="S5778">
        <v>36</v>
      </c>
      <c r="T5778" s="43" t="str">
        <f>HYPERLINK("https://ictv.global/ictv/proposals/2020.005F.R.Genomoviridae.zip","2020.005F.R.Genomoviridae.zip")</f>
        <v>2020.005F.R.Genomoviridae.zip</v>
      </c>
      <c r="U5778" s="43" t="str">
        <f>HYPERLINK("https://ictv.global/taxonomy/taxondetails?taxnode_id=202209078","ictv.global=202209078")</f>
        <v>ictv.global=202209078</v>
      </c>
    </row>
    <row r="5779" spans="1:21">
      <c r="A5779">
        <v>5778</v>
      </c>
      <c r="B5779" s="29" t="s">
        <v>4053</v>
      </c>
      <c r="C5779" s="29"/>
      <c r="D5779" s="29" t="s">
        <v>4082</v>
      </c>
      <c r="E5779" s="29"/>
      <c r="F5779" s="29" t="s">
        <v>4106</v>
      </c>
      <c r="G5779" s="29"/>
      <c r="H5779" s="29" t="s">
        <v>4117</v>
      </c>
      <c r="I5779" s="29"/>
      <c r="J5779" s="29" t="s">
        <v>4118</v>
      </c>
      <c r="K5779" s="29"/>
      <c r="L5779" s="29" t="s">
        <v>2260</v>
      </c>
      <c r="M5779" s="29"/>
      <c r="N5779" s="29" t="s">
        <v>2529</v>
      </c>
      <c r="O5779" s="29"/>
      <c r="P5779" s="29" t="s">
        <v>5160</v>
      </c>
      <c r="Q5779" t="s">
        <v>2194</v>
      </c>
      <c r="R5779" t="s">
        <v>2632</v>
      </c>
      <c r="S5779">
        <v>36</v>
      </c>
      <c r="T5779" s="43" t="str">
        <f>HYPERLINK("https://ictv.global/ictv/proposals/2020.005F.R.Genomoviridae.zip","2020.005F.R.Genomoviridae.zip")</f>
        <v>2020.005F.R.Genomoviridae.zip</v>
      </c>
      <c r="U5779" s="43" t="str">
        <f>HYPERLINK("https://ictv.global/taxonomy/taxondetails?taxnode_id=202209080","ictv.global=202209080")</f>
        <v>ictv.global=202209080</v>
      </c>
    </row>
    <row r="5780" spans="1:21">
      <c r="A5780">
        <v>5779</v>
      </c>
      <c r="B5780" s="29" t="s">
        <v>4053</v>
      </c>
      <c r="C5780" s="29"/>
      <c r="D5780" s="29" t="s">
        <v>4082</v>
      </c>
      <c r="E5780" s="29"/>
      <c r="F5780" s="29" t="s">
        <v>4106</v>
      </c>
      <c r="G5780" s="29"/>
      <c r="H5780" s="29" t="s">
        <v>4117</v>
      </c>
      <c r="I5780" s="29"/>
      <c r="J5780" s="29" t="s">
        <v>4118</v>
      </c>
      <c r="K5780" s="29"/>
      <c r="L5780" s="29" t="s">
        <v>2260</v>
      </c>
      <c r="M5780" s="29"/>
      <c r="N5780" s="29" t="s">
        <v>2530</v>
      </c>
      <c r="O5780" s="29"/>
      <c r="P5780" s="29" t="s">
        <v>5161</v>
      </c>
      <c r="Q5780" t="s">
        <v>2194</v>
      </c>
      <c r="R5780" t="s">
        <v>2632</v>
      </c>
      <c r="S5780">
        <v>36</v>
      </c>
      <c r="T5780" s="43" t="str">
        <f>HYPERLINK("https://ictv.global/ictv/proposals/2020.005F.R.Genomoviridae.zip","2020.005F.R.Genomoviridae.zip")</f>
        <v>2020.005F.R.Genomoviridae.zip</v>
      </c>
      <c r="U5780" s="43" t="str">
        <f>HYPERLINK("https://ictv.global/taxonomy/taxondetails?taxnode_id=202209083","ictv.global=202209083")</f>
        <v>ictv.global=202209083</v>
      </c>
    </row>
    <row r="5781" spans="1:21">
      <c r="A5781">
        <v>5780</v>
      </c>
      <c r="B5781" s="29" t="s">
        <v>4053</v>
      </c>
      <c r="C5781" s="29"/>
      <c r="D5781" s="29" t="s">
        <v>4082</v>
      </c>
      <c r="E5781" s="29"/>
      <c r="F5781" s="29" t="s">
        <v>4106</v>
      </c>
      <c r="G5781" s="29"/>
      <c r="H5781" s="29" t="s">
        <v>4117</v>
      </c>
      <c r="I5781" s="29"/>
      <c r="J5781" s="29" t="s">
        <v>4118</v>
      </c>
      <c r="K5781" s="29"/>
      <c r="L5781" s="29" t="s">
        <v>2260</v>
      </c>
      <c r="M5781" s="29"/>
      <c r="N5781" s="29" t="s">
        <v>2530</v>
      </c>
      <c r="O5781" s="29"/>
      <c r="P5781" s="29" t="s">
        <v>5162</v>
      </c>
      <c r="Q5781" t="s">
        <v>2194</v>
      </c>
      <c r="R5781" t="s">
        <v>2632</v>
      </c>
      <c r="S5781">
        <v>36</v>
      </c>
      <c r="T5781" s="43" t="str">
        <f>HYPERLINK("https://ictv.global/ictv/proposals/2020.005F.R.Genomoviridae.zip","2020.005F.R.Genomoviridae.zip")</f>
        <v>2020.005F.R.Genomoviridae.zip</v>
      </c>
      <c r="U5781" s="43" t="str">
        <f>HYPERLINK("https://ictv.global/taxonomy/taxondetails?taxnode_id=202209087","ictv.global=202209087")</f>
        <v>ictv.global=202209087</v>
      </c>
    </row>
    <row r="5782" spans="1:21">
      <c r="A5782">
        <v>5781</v>
      </c>
      <c r="B5782" s="29" t="s">
        <v>4053</v>
      </c>
      <c r="C5782" s="29"/>
      <c r="D5782" s="29" t="s">
        <v>4082</v>
      </c>
      <c r="E5782" s="29"/>
      <c r="F5782" s="29" t="s">
        <v>4106</v>
      </c>
      <c r="G5782" s="29"/>
      <c r="H5782" s="29" t="s">
        <v>4117</v>
      </c>
      <c r="I5782" s="29"/>
      <c r="J5782" s="29" t="s">
        <v>4118</v>
      </c>
      <c r="K5782" s="29"/>
      <c r="L5782" s="29" t="s">
        <v>2260</v>
      </c>
      <c r="M5782" s="29"/>
      <c r="N5782" s="29" t="s">
        <v>2530</v>
      </c>
      <c r="O5782" s="29"/>
      <c r="P5782" s="29" t="s">
        <v>5163</v>
      </c>
      <c r="Q5782" t="s">
        <v>2194</v>
      </c>
      <c r="R5782" t="s">
        <v>6902</v>
      </c>
      <c r="S5782">
        <v>36</v>
      </c>
      <c r="T5782" s="43" t="str">
        <f>HYPERLINK("https://ictv.global/ictv/proposals/2020.005F.R.Genomoviridae.zip","2020.005F.R.Genomoviridae.zip;2020.001G.R.Abolish_type_species.pdf")</f>
        <v>2020.005F.R.Genomoviridae.zip;2020.001G.R.Abolish_type_species.pdf</v>
      </c>
      <c r="U5782" s="43" t="str">
        <f>HYPERLINK("https://ictv.global/taxonomy/taxondetails?taxnode_id=202203625","ictv.global=202203625")</f>
        <v>ictv.global=202203625</v>
      </c>
    </row>
    <row r="5783" spans="1:21">
      <c r="A5783">
        <v>5782</v>
      </c>
      <c r="B5783" s="29" t="s">
        <v>4053</v>
      </c>
      <c r="C5783" s="29"/>
      <c r="D5783" s="29" t="s">
        <v>4082</v>
      </c>
      <c r="E5783" s="29"/>
      <c r="F5783" s="29" t="s">
        <v>4106</v>
      </c>
      <c r="G5783" s="29"/>
      <c r="H5783" s="29" t="s">
        <v>4117</v>
      </c>
      <c r="I5783" s="29"/>
      <c r="J5783" s="29" t="s">
        <v>4118</v>
      </c>
      <c r="K5783" s="29"/>
      <c r="L5783" s="29" t="s">
        <v>2260</v>
      </c>
      <c r="M5783" s="29"/>
      <c r="N5783" s="29" t="s">
        <v>2530</v>
      </c>
      <c r="O5783" s="29"/>
      <c r="P5783" s="29" t="s">
        <v>5164</v>
      </c>
      <c r="Q5783" t="s">
        <v>2194</v>
      </c>
      <c r="R5783" t="s">
        <v>2635</v>
      </c>
      <c r="S5783">
        <v>36</v>
      </c>
      <c r="T5783" s="43" t="str">
        <f t="shared" ref="T5783:T5796" si="270">HYPERLINK("https://ictv.global/ictv/proposals/2020.005F.R.Genomoviridae.zip","2020.005F.R.Genomoviridae.zip")</f>
        <v>2020.005F.R.Genomoviridae.zip</v>
      </c>
      <c r="U5783" s="43" t="str">
        <f>HYPERLINK("https://ictv.global/taxonomy/taxondetails?taxnode_id=202203626","ictv.global=202203626")</f>
        <v>ictv.global=202203626</v>
      </c>
    </row>
    <row r="5784" spans="1:21">
      <c r="A5784">
        <v>5783</v>
      </c>
      <c r="B5784" s="29" t="s">
        <v>4053</v>
      </c>
      <c r="C5784" s="29"/>
      <c r="D5784" s="29" t="s">
        <v>4082</v>
      </c>
      <c r="E5784" s="29"/>
      <c r="F5784" s="29" t="s">
        <v>4106</v>
      </c>
      <c r="G5784" s="29"/>
      <c r="H5784" s="29" t="s">
        <v>4117</v>
      </c>
      <c r="I5784" s="29"/>
      <c r="J5784" s="29" t="s">
        <v>4118</v>
      </c>
      <c r="K5784" s="29"/>
      <c r="L5784" s="29" t="s">
        <v>2260</v>
      </c>
      <c r="M5784" s="29"/>
      <c r="N5784" s="29" t="s">
        <v>2530</v>
      </c>
      <c r="O5784" s="29"/>
      <c r="P5784" s="29" t="s">
        <v>5165</v>
      </c>
      <c r="Q5784" t="s">
        <v>2194</v>
      </c>
      <c r="R5784" t="s">
        <v>2632</v>
      </c>
      <c r="S5784">
        <v>36</v>
      </c>
      <c r="T5784" s="43" t="str">
        <f t="shared" si="270"/>
        <v>2020.005F.R.Genomoviridae.zip</v>
      </c>
      <c r="U5784" s="43" t="str">
        <f>HYPERLINK("https://ictv.global/taxonomy/taxondetails?taxnode_id=202209084","ictv.global=202209084")</f>
        <v>ictv.global=202209084</v>
      </c>
    </row>
    <row r="5785" spans="1:21">
      <c r="A5785">
        <v>5784</v>
      </c>
      <c r="B5785" s="29" t="s">
        <v>4053</v>
      </c>
      <c r="C5785" s="29"/>
      <c r="D5785" s="29" t="s">
        <v>4082</v>
      </c>
      <c r="E5785" s="29"/>
      <c r="F5785" s="29" t="s">
        <v>4106</v>
      </c>
      <c r="G5785" s="29"/>
      <c r="H5785" s="29" t="s">
        <v>4117</v>
      </c>
      <c r="I5785" s="29"/>
      <c r="J5785" s="29" t="s">
        <v>4118</v>
      </c>
      <c r="K5785" s="29"/>
      <c r="L5785" s="29" t="s">
        <v>2260</v>
      </c>
      <c r="M5785" s="29"/>
      <c r="N5785" s="29" t="s">
        <v>2530</v>
      </c>
      <c r="O5785" s="29"/>
      <c r="P5785" s="29" t="s">
        <v>5166</v>
      </c>
      <c r="Q5785" t="s">
        <v>2194</v>
      </c>
      <c r="R5785" t="s">
        <v>2632</v>
      </c>
      <c r="S5785">
        <v>36</v>
      </c>
      <c r="T5785" s="43" t="str">
        <f t="shared" si="270"/>
        <v>2020.005F.R.Genomoviridae.zip</v>
      </c>
      <c r="U5785" s="43" t="str">
        <f>HYPERLINK("https://ictv.global/taxonomy/taxondetails?taxnode_id=202209086","ictv.global=202209086")</f>
        <v>ictv.global=202209086</v>
      </c>
    </row>
    <row r="5786" spans="1:21">
      <c r="A5786">
        <v>5785</v>
      </c>
      <c r="B5786" s="29" t="s">
        <v>4053</v>
      </c>
      <c r="C5786" s="29"/>
      <c r="D5786" s="29" t="s">
        <v>4082</v>
      </c>
      <c r="E5786" s="29"/>
      <c r="F5786" s="29" t="s">
        <v>4106</v>
      </c>
      <c r="G5786" s="29"/>
      <c r="H5786" s="29" t="s">
        <v>4117</v>
      </c>
      <c r="I5786" s="29"/>
      <c r="J5786" s="29" t="s">
        <v>4118</v>
      </c>
      <c r="K5786" s="29"/>
      <c r="L5786" s="29" t="s">
        <v>2260</v>
      </c>
      <c r="M5786" s="29"/>
      <c r="N5786" s="29" t="s">
        <v>2530</v>
      </c>
      <c r="O5786" s="29"/>
      <c r="P5786" s="29" t="s">
        <v>5167</v>
      </c>
      <c r="Q5786" t="s">
        <v>2194</v>
      </c>
      <c r="R5786" t="s">
        <v>2632</v>
      </c>
      <c r="S5786">
        <v>36</v>
      </c>
      <c r="T5786" s="43" t="str">
        <f t="shared" si="270"/>
        <v>2020.005F.R.Genomoviridae.zip</v>
      </c>
      <c r="U5786" s="43" t="str">
        <f>HYPERLINK("https://ictv.global/taxonomy/taxondetails?taxnode_id=202209088","ictv.global=202209088")</f>
        <v>ictv.global=202209088</v>
      </c>
    </row>
    <row r="5787" spans="1:21">
      <c r="A5787">
        <v>5786</v>
      </c>
      <c r="B5787" s="29" t="s">
        <v>4053</v>
      </c>
      <c r="C5787" s="29"/>
      <c r="D5787" s="29" t="s">
        <v>4082</v>
      </c>
      <c r="E5787" s="29"/>
      <c r="F5787" s="29" t="s">
        <v>4106</v>
      </c>
      <c r="G5787" s="29"/>
      <c r="H5787" s="29" t="s">
        <v>4117</v>
      </c>
      <c r="I5787" s="29"/>
      <c r="J5787" s="29" t="s">
        <v>4118</v>
      </c>
      <c r="K5787" s="29"/>
      <c r="L5787" s="29" t="s">
        <v>2260</v>
      </c>
      <c r="M5787" s="29"/>
      <c r="N5787" s="29" t="s">
        <v>2530</v>
      </c>
      <c r="O5787" s="29"/>
      <c r="P5787" s="29" t="s">
        <v>5168</v>
      </c>
      <c r="Q5787" t="s">
        <v>2194</v>
      </c>
      <c r="R5787" t="s">
        <v>2632</v>
      </c>
      <c r="S5787">
        <v>36</v>
      </c>
      <c r="T5787" s="43" t="str">
        <f t="shared" si="270"/>
        <v>2020.005F.R.Genomoviridae.zip</v>
      </c>
      <c r="U5787" s="43" t="str">
        <f>HYPERLINK("https://ictv.global/taxonomy/taxondetails?taxnode_id=202209089","ictv.global=202209089")</f>
        <v>ictv.global=202209089</v>
      </c>
    </row>
    <row r="5788" spans="1:21">
      <c r="A5788">
        <v>5787</v>
      </c>
      <c r="B5788" s="29" t="s">
        <v>4053</v>
      </c>
      <c r="C5788" s="29"/>
      <c r="D5788" s="29" t="s">
        <v>4082</v>
      </c>
      <c r="E5788" s="29"/>
      <c r="F5788" s="29" t="s">
        <v>4106</v>
      </c>
      <c r="G5788" s="29"/>
      <c r="H5788" s="29" t="s">
        <v>4117</v>
      </c>
      <c r="I5788" s="29"/>
      <c r="J5788" s="29" t="s">
        <v>4118</v>
      </c>
      <c r="K5788" s="29"/>
      <c r="L5788" s="29" t="s">
        <v>2260</v>
      </c>
      <c r="M5788" s="29"/>
      <c r="N5788" s="29" t="s">
        <v>2530</v>
      </c>
      <c r="O5788" s="29"/>
      <c r="P5788" s="29" t="s">
        <v>5169</v>
      </c>
      <c r="Q5788" t="s">
        <v>2194</v>
      </c>
      <c r="R5788" t="s">
        <v>2632</v>
      </c>
      <c r="S5788">
        <v>36</v>
      </c>
      <c r="T5788" s="43" t="str">
        <f t="shared" si="270"/>
        <v>2020.005F.R.Genomoviridae.zip</v>
      </c>
      <c r="U5788" s="43" t="str">
        <f>HYPERLINK("https://ictv.global/taxonomy/taxondetails?taxnode_id=202209090","ictv.global=202209090")</f>
        <v>ictv.global=202209090</v>
      </c>
    </row>
    <row r="5789" spans="1:21">
      <c r="A5789">
        <v>5788</v>
      </c>
      <c r="B5789" s="29" t="s">
        <v>4053</v>
      </c>
      <c r="C5789" s="29"/>
      <c r="D5789" s="29" t="s">
        <v>4082</v>
      </c>
      <c r="E5789" s="29"/>
      <c r="F5789" s="29" t="s">
        <v>4106</v>
      </c>
      <c r="G5789" s="29"/>
      <c r="H5789" s="29" t="s">
        <v>4117</v>
      </c>
      <c r="I5789" s="29"/>
      <c r="J5789" s="29" t="s">
        <v>4118</v>
      </c>
      <c r="K5789" s="29"/>
      <c r="L5789" s="29" t="s">
        <v>2260</v>
      </c>
      <c r="M5789" s="29"/>
      <c r="N5789" s="29" t="s">
        <v>2530</v>
      </c>
      <c r="O5789" s="29"/>
      <c r="P5789" s="29" t="s">
        <v>5170</v>
      </c>
      <c r="Q5789" t="s">
        <v>2194</v>
      </c>
      <c r="R5789" t="s">
        <v>2632</v>
      </c>
      <c r="S5789">
        <v>36</v>
      </c>
      <c r="T5789" s="43" t="str">
        <f t="shared" si="270"/>
        <v>2020.005F.R.Genomoviridae.zip</v>
      </c>
      <c r="U5789" s="43" t="str">
        <f>HYPERLINK("https://ictv.global/taxonomy/taxondetails?taxnode_id=202209082","ictv.global=202209082")</f>
        <v>ictv.global=202209082</v>
      </c>
    </row>
    <row r="5790" spans="1:21">
      <c r="A5790">
        <v>5789</v>
      </c>
      <c r="B5790" s="29" t="s">
        <v>4053</v>
      </c>
      <c r="C5790" s="29"/>
      <c r="D5790" s="29" t="s">
        <v>4082</v>
      </c>
      <c r="E5790" s="29"/>
      <c r="F5790" s="29" t="s">
        <v>4106</v>
      </c>
      <c r="G5790" s="29"/>
      <c r="H5790" s="29" t="s">
        <v>4117</v>
      </c>
      <c r="I5790" s="29"/>
      <c r="J5790" s="29" t="s">
        <v>4118</v>
      </c>
      <c r="K5790" s="29"/>
      <c r="L5790" s="29" t="s">
        <v>2260</v>
      </c>
      <c r="M5790" s="29"/>
      <c r="N5790" s="29" t="s">
        <v>2530</v>
      </c>
      <c r="O5790" s="29"/>
      <c r="P5790" s="29" t="s">
        <v>5171</v>
      </c>
      <c r="Q5790" t="s">
        <v>2194</v>
      </c>
      <c r="R5790" t="s">
        <v>2632</v>
      </c>
      <c r="S5790">
        <v>36</v>
      </c>
      <c r="T5790" s="43" t="str">
        <f t="shared" si="270"/>
        <v>2020.005F.R.Genomoviridae.zip</v>
      </c>
      <c r="U5790" s="43" t="str">
        <f>HYPERLINK("https://ictv.global/taxonomy/taxondetails?taxnode_id=202209081","ictv.global=202209081")</f>
        <v>ictv.global=202209081</v>
      </c>
    </row>
    <row r="5791" spans="1:21">
      <c r="A5791">
        <v>5790</v>
      </c>
      <c r="B5791" s="29" t="s">
        <v>4053</v>
      </c>
      <c r="C5791" s="29"/>
      <c r="D5791" s="29" t="s">
        <v>4082</v>
      </c>
      <c r="E5791" s="29"/>
      <c r="F5791" s="29" t="s">
        <v>4106</v>
      </c>
      <c r="G5791" s="29"/>
      <c r="H5791" s="29" t="s">
        <v>4117</v>
      </c>
      <c r="I5791" s="29"/>
      <c r="J5791" s="29" t="s">
        <v>4118</v>
      </c>
      <c r="K5791" s="29"/>
      <c r="L5791" s="29" t="s">
        <v>2260</v>
      </c>
      <c r="M5791" s="29"/>
      <c r="N5791" s="29" t="s">
        <v>2530</v>
      </c>
      <c r="O5791" s="29"/>
      <c r="P5791" s="29" t="s">
        <v>5172</v>
      </c>
      <c r="Q5791" t="s">
        <v>2194</v>
      </c>
      <c r="R5791" t="s">
        <v>2632</v>
      </c>
      <c r="S5791">
        <v>36</v>
      </c>
      <c r="T5791" s="43" t="str">
        <f t="shared" si="270"/>
        <v>2020.005F.R.Genomoviridae.zip</v>
      </c>
      <c r="U5791" s="43" t="str">
        <f>HYPERLINK("https://ictv.global/taxonomy/taxondetails?taxnode_id=202209085","ictv.global=202209085")</f>
        <v>ictv.global=202209085</v>
      </c>
    </row>
    <row r="5792" spans="1:21">
      <c r="A5792">
        <v>5791</v>
      </c>
      <c r="B5792" s="29" t="s">
        <v>4053</v>
      </c>
      <c r="C5792" s="29"/>
      <c r="D5792" s="29" t="s">
        <v>4082</v>
      </c>
      <c r="E5792" s="29"/>
      <c r="F5792" s="29" t="s">
        <v>4106</v>
      </c>
      <c r="G5792" s="29"/>
      <c r="H5792" s="29" t="s">
        <v>4117</v>
      </c>
      <c r="I5792" s="29"/>
      <c r="J5792" s="29" t="s">
        <v>4118</v>
      </c>
      <c r="K5792" s="29"/>
      <c r="L5792" s="29" t="s">
        <v>2260</v>
      </c>
      <c r="M5792" s="29"/>
      <c r="N5792" s="29" t="s">
        <v>2530</v>
      </c>
      <c r="O5792" s="29"/>
      <c r="P5792" s="29" t="s">
        <v>5173</v>
      </c>
      <c r="Q5792" t="s">
        <v>2194</v>
      </c>
      <c r="R5792" t="s">
        <v>2635</v>
      </c>
      <c r="S5792">
        <v>36</v>
      </c>
      <c r="T5792" s="43" t="str">
        <f t="shared" si="270"/>
        <v>2020.005F.R.Genomoviridae.zip</v>
      </c>
      <c r="U5792" s="43" t="str">
        <f>HYPERLINK("https://ictv.global/taxonomy/taxondetails?taxnode_id=202203627","ictv.global=202203627")</f>
        <v>ictv.global=202203627</v>
      </c>
    </row>
    <row r="5793" spans="1:21">
      <c r="A5793">
        <v>5792</v>
      </c>
      <c r="B5793" s="29" t="s">
        <v>4053</v>
      </c>
      <c r="C5793" s="29"/>
      <c r="D5793" s="29" t="s">
        <v>4082</v>
      </c>
      <c r="E5793" s="29"/>
      <c r="F5793" s="29" t="s">
        <v>4106</v>
      </c>
      <c r="G5793" s="29"/>
      <c r="H5793" s="29" t="s">
        <v>4117</v>
      </c>
      <c r="I5793" s="29"/>
      <c r="J5793" s="29" t="s">
        <v>4118</v>
      </c>
      <c r="K5793" s="29"/>
      <c r="L5793" s="29" t="s">
        <v>2260</v>
      </c>
      <c r="M5793" s="29"/>
      <c r="N5793" s="29" t="s">
        <v>2531</v>
      </c>
      <c r="O5793" s="29"/>
      <c r="P5793" s="29" t="s">
        <v>5174</v>
      </c>
      <c r="Q5793" t="s">
        <v>2194</v>
      </c>
      <c r="R5793" t="s">
        <v>2632</v>
      </c>
      <c r="S5793">
        <v>36</v>
      </c>
      <c r="T5793" s="43" t="str">
        <f t="shared" si="270"/>
        <v>2020.005F.R.Genomoviridae.zip</v>
      </c>
      <c r="U5793" s="43" t="str">
        <f>HYPERLINK("https://ictv.global/taxonomy/taxondetails?taxnode_id=202209094","ictv.global=202209094")</f>
        <v>ictv.global=202209094</v>
      </c>
    </row>
    <row r="5794" spans="1:21">
      <c r="A5794">
        <v>5793</v>
      </c>
      <c r="B5794" s="29" t="s">
        <v>4053</v>
      </c>
      <c r="C5794" s="29"/>
      <c r="D5794" s="29" t="s">
        <v>4082</v>
      </c>
      <c r="E5794" s="29"/>
      <c r="F5794" s="29" t="s">
        <v>4106</v>
      </c>
      <c r="G5794" s="29"/>
      <c r="H5794" s="29" t="s">
        <v>4117</v>
      </c>
      <c r="I5794" s="29"/>
      <c r="J5794" s="29" t="s">
        <v>4118</v>
      </c>
      <c r="K5794" s="29"/>
      <c r="L5794" s="29" t="s">
        <v>2260</v>
      </c>
      <c r="M5794" s="29"/>
      <c r="N5794" s="29" t="s">
        <v>2531</v>
      </c>
      <c r="O5794" s="29"/>
      <c r="P5794" s="29" t="s">
        <v>5175</v>
      </c>
      <c r="Q5794" t="s">
        <v>2194</v>
      </c>
      <c r="R5794" t="s">
        <v>2632</v>
      </c>
      <c r="S5794">
        <v>36</v>
      </c>
      <c r="T5794" s="43" t="str">
        <f t="shared" si="270"/>
        <v>2020.005F.R.Genomoviridae.zip</v>
      </c>
      <c r="U5794" s="43" t="str">
        <f>HYPERLINK("https://ictv.global/taxonomy/taxondetails?taxnode_id=202209093","ictv.global=202209093")</f>
        <v>ictv.global=202209093</v>
      </c>
    </row>
    <row r="5795" spans="1:21">
      <c r="A5795">
        <v>5794</v>
      </c>
      <c r="B5795" s="29" t="s">
        <v>4053</v>
      </c>
      <c r="C5795" s="29"/>
      <c r="D5795" s="29" t="s">
        <v>4082</v>
      </c>
      <c r="E5795" s="29"/>
      <c r="F5795" s="29" t="s">
        <v>4106</v>
      </c>
      <c r="G5795" s="29"/>
      <c r="H5795" s="29" t="s">
        <v>4117</v>
      </c>
      <c r="I5795" s="29"/>
      <c r="J5795" s="29" t="s">
        <v>4118</v>
      </c>
      <c r="K5795" s="29"/>
      <c r="L5795" s="29" t="s">
        <v>2260</v>
      </c>
      <c r="M5795" s="29"/>
      <c r="N5795" s="29" t="s">
        <v>2531</v>
      </c>
      <c r="O5795" s="29"/>
      <c r="P5795" s="29" t="s">
        <v>5176</v>
      </c>
      <c r="Q5795" t="s">
        <v>2194</v>
      </c>
      <c r="R5795" t="s">
        <v>2632</v>
      </c>
      <c r="S5795">
        <v>36</v>
      </c>
      <c r="T5795" s="43" t="str">
        <f t="shared" si="270"/>
        <v>2020.005F.R.Genomoviridae.zip</v>
      </c>
      <c r="U5795" s="43" t="str">
        <f>HYPERLINK("https://ictv.global/taxonomy/taxondetails?taxnode_id=202209095","ictv.global=202209095")</f>
        <v>ictv.global=202209095</v>
      </c>
    </row>
    <row r="5796" spans="1:21">
      <c r="A5796">
        <v>5795</v>
      </c>
      <c r="B5796" s="29" t="s">
        <v>4053</v>
      </c>
      <c r="C5796" s="29"/>
      <c r="D5796" s="29" t="s">
        <v>4082</v>
      </c>
      <c r="E5796" s="29"/>
      <c r="F5796" s="29" t="s">
        <v>4106</v>
      </c>
      <c r="G5796" s="29"/>
      <c r="H5796" s="29" t="s">
        <v>4117</v>
      </c>
      <c r="I5796" s="29"/>
      <c r="J5796" s="29" t="s">
        <v>4118</v>
      </c>
      <c r="K5796" s="29"/>
      <c r="L5796" s="29" t="s">
        <v>2260</v>
      </c>
      <c r="M5796" s="29"/>
      <c r="N5796" s="29" t="s">
        <v>2531</v>
      </c>
      <c r="O5796" s="29"/>
      <c r="P5796" s="29" t="s">
        <v>5177</v>
      </c>
      <c r="Q5796" t="s">
        <v>2194</v>
      </c>
      <c r="R5796" t="s">
        <v>2632</v>
      </c>
      <c r="S5796">
        <v>36</v>
      </c>
      <c r="T5796" s="43" t="str">
        <f t="shared" si="270"/>
        <v>2020.005F.R.Genomoviridae.zip</v>
      </c>
      <c r="U5796" s="43" t="str">
        <f>HYPERLINK("https://ictv.global/taxonomy/taxondetails?taxnode_id=202209091","ictv.global=202209091")</f>
        <v>ictv.global=202209091</v>
      </c>
    </row>
    <row r="5797" spans="1:21">
      <c r="A5797">
        <v>5796</v>
      </c>
      <c r="B5797" s="29" t="s">
        <v>4053</v>
      </c>
      <c r="C5797" s="29"/>
      <c r="D5797" s="29" t="s">
        <v>4082</v>
      </c>
      <c r="E5797" s="29"/>
      <c r="F5797" s="29" t="s">
        <v>4106</v>
      </c>
      <c r="G5797" s="29"/>
      <c r="H5797" s="29" t="s">
        <v>4117</v>
      </c>
      <c r="I5797" s="29"/>
      <c r="J5797" s="29" t="s">
        <v>4118</v>
      </c>
      <c r="K5797" s="29"/>
      <c r="L5797" s="29" t="s">
        <v>2260</v>
      </c>
      <c r="M5797" s="29"/>
      <c r="N5797" s="29" t="s">
        <v>2531</v>
      </c>
      <c r="O5797" s="29"/>
      <c r="P5797" s="29" t="s">
        <v>5178</v>
      </c>
      <c r="Q5797" t="s">
        <v>2194</v>
      </c>
      <c r="R5797" t="s">
        <v>6902</v>
      </c>
      <c r="S5797">
        <v>36</v>
      </c>
      <c r="T5797" s="43" t="str">
        <f>HYPERLINK("https://ictv.global/ictv/proposals/2020.005F.R.Genomoviridae.zip","2020.005F.R.Genomoviridae.zip;2020.001G.R.Abolish_type_species.pdf")</f>
        <v>2020.005F.R.Genomoviridae.zip;2020.001G.R.Abolish_type_species.pdf</v>
      </c>
      <c r="U5797" s="43" t="str">
        <f>HYPERLINK("https://ictv.global/taxonomy/taxondetails?taxnode_id=202203629","ictv.global=202203629")</f>
        <v>ictv.global=202203629</v>
      </c>
    </row>
    <row r="5798" spans="1:21">
      <c r="A5798">
        <v>5797</v>
      </c>
      <c r="B5798" s="29" t="s">
        <v>4053</v>
      </c>
      <c r="C5798" s="29"/>
      <c r="D5798" s="29" t="s">
        <v>4082</v>
      </c>
      <c r="E5798" s="29"/>
      <c r="F5798" s="29" t="s">
        <v>4106</v>
      </c>
      <c r="G5798" s="29"/>
      <c r="H5798" s="29" t="s">
        <v>4117</v>
      </c>
      <c r="I5798" s="29"/>
      <c r="J5798" s="29" t="s">
        <v>4118</v>
      </c>
      <c r="K5798" s="29"/>
      <c r="L5798" s="29" t="s">
        <v>2260</v>
      </c>
      <c r="M5798" s="29"/>
      <c r="N5798" s="29" t="s">
        <v>2531</v>
      </c>
      <c r="O5798" s="29"/>
      <c r="P5798" s="29" t="s">
        <v>5179</v>
      </c>
      <c r="Q5798" t="s">
        <v>2194</v>
      </c>
      <c r="R5798" t="s">
        <v>2632</v>
      </c>
      <c r="S5798">
        <v>36</v>
      </c>
      <c r="T5798" s="43" t="str">
        <f>HYPERLINK("https://ictv.global/ictv/proposals/2020.005F.R.Genomoviridae.zip","2020.005F.R.Genomoviridae.zip")</f>
        <v>2020.005F.R.Genomoviridae.zip</v>
      </c>
      <c r="U5798" s="43" t="str">
        <f>HYPERLINK("https://ictv.global/taxonomy/taxondetails?taxnode_id=202209092","ictv.global=202209092")</f>
        <v>ictv.global=202209092</v>
      </c>
    </row>
    <row r="5799" spans="1:21">
      <c r="A5799">
        <v>5798</v>
      </c>
      <c r="B5799" s="29" t="s">
        <v>4053</v>
      </c>
      <c r="C5799" s="29"/>
      <c r="D5799" s="29" t="s">
        <v>4082</v>
      </c>
      <c r="E5799" s="29"/>
      <c r="F5799" s="29" t="s">
        <v>4106</v>
      </c>
      <c r="G5799" s="29"/>
      <c r="H5799" s="29" t="s">
        <v>4117</v>
      </c>
      <c r="I5799" s="29"/>
      <c r="J5799" s="29" t="s">
        <v>4118</v>
      </c>
      <c r="K5799" s="29"/>
      <c r="L5799" s="29" t="s">
        <v>2260</v>
      </c>
      <c r="M5799" s="29"/>
      <c r="N5799" s="29" t="s">
        <v>2531</v>
      </c>
      <c r="O5799" s="29"/>
      <c r="P5799" s="29" t="s">
        <v>5180</v>
      </c>
      <c r="Q5799" t="s">
        <v>2194</v>
      </c>
      <c r="R5799" t="s">
        <v>2632</v>
      </c>
      <c r="S5799">
        <v>36</v>
      </c>
      <c r="T5799" s="43" t="str">
        <f>HYPERLINK("https://ictv.global/ictv/proposals/2020.005F.R.Genomoviridae.zip","2020.005F.R.Genomoviridae.zip")</f>
        <v>2020.005F.R.Genomoviridae.zip</v>
      </c>
      <c r="U5799" s="43" t="str">
        <f>HYPERLINK("https://ictv.global/taxonomy/taxondetails?taxnode_id=202209096","ictv.global=202209096")</f>
        <v>ictv.global=202209096</v>
      </c>
    </row>
    <row r="5800" spans="1:21">
      <c r="A5800">
        <v>5799</v>
      </c>
      <c r="B5800" s="29" t="s">
        <v>4053</v>
      </c>
      <c r="C5800" s="29"/>
      <c r="D5800" s="29" t="s">
        <v>4082</v>
      </c>
      <c r="E5800" s="29"/>
      <c r="F5800" s="29" t="s">
        <v>4106</v>
      </c>
      <c r="G5800" s="29"/>
      <c r="H5800" s="29" t="s">
        <v>4117</v>
      </c>
      <c r="I5800" s="29"/>
      <c r="J5800" s="29" t="s">
        <v>4118</v>
      </c>
      <c r="K5800" s="29"/>
      <c r="L5800" s="29" t="s">
        <v>2260</v>
      </c>
      <c r="M5800" s="29"/>
      <c r="N5800" s="29" t="s">
        <v>2532</v>
      </c>
      <c r="O5800" s="29"/>
      <c r="P5800" s="29" t="s">
        <v>5181</v>
      </c>
      <c r="Q5800" t="s">
        <v>2194</v>
      </c>
      <c r="R5800" t="s">
        <v>6902</v>
      </c>
      <c r="S5800">
        <v>36</v>
      </c>
      <c r="T5800" s="43" t="str">
        <f>HYPERLINK("https://ictv.global/ictv/proposals/2020.005F.R.Genomoviridae.zip","2020.005F.R.Genomoviridae.zip;2020.001G.R.Abolish_type_species.pdf")</f>
        <v>2020.005F.R.Genomoviridae.zip;2020.001G.R.Abolish_type_species.pdf</v>
      </c>
      <c r="U5800" s="43" t="str">
        <f>HYPERLINK("https://ictv.global/taxonomy/taxondetails?taxnode_id=202203631","ictv.global=202203631")</f>
        <v>ictv.global=202203631</v>
      </c>
    </row>
    <row r="5801" spans="1:21">
      <c r="A5801">
        <v>5800</v>
      </c>
      <c r="B5801" s="29" t="s">
        <v>4053</v>
      </c>
      <c r="C5801" s="29"/>
      <c r="D5801" s="29" t="s">
        <v>4082</v>
      </c>
      <c r="E5801" s="29"/>
      <c r="F5801" s="29" t="s">
        <v>4106</v>
      </c>
      <c r="G5801" s="29"/>
      <c r="H5801" s="29" t="s">
        <v>4117</v>
      </c>
      <c r="I5801" s="29"/>
      <c r="J5801" s="29" t="s">
        <v>4118</v>
      </c>
      <c r="K5801" s="29"/>
      <c r="L5801" s="29" t="s">
        <v>2260</v>
      </c>
      <c r="M5801" s="29"/>
      <c r="N5801" s="29" t="s">
        <v>5182</v>
      </c>
      <c r="O5801" s="29"/>
      <c r="P5801" s="29" t="s">
        <v>5183</v>
      </c>
      <c r="Q5801" t="s">
        <v>2194</v>
      </c>
      <c r="R5801" t="s">
        <v>2632</v>
      </c>
      <c r="S5801">
        <v>36</v>
      </c>
      <c r="T5801" s="43" t="str">
        <f>HYPERLINK("https://ictv.global/ictv/proposals/2020.005F.R.Genomoviridae.zip","2020.005F.R.Genomoviridae.zip")</f>
        <v>2020.005F.R.Genomoviridae.zip</v>
      </c>
      <c r="U5801" s="43" t="str">
        <f>HYPERLINK("https://ictv.global/taxonomy/taxondetails?taxnode_id=202209100","ictv.global=202209100")</f>
        <v>ictv.global=202209100</v>
      </c>
    </row>
    <row r="5802" spans="1:21">
      <c r="A5802">
        <v>5801</v>
      </c>
      <c r="B5802" s="29" t="s">
        <v>4053</v>
      </c>
      <c r="C5802" s="29"/>
      <c r="D5802" s="29" t="s">
        <v>4082</v>
      </c>
      <c r="E5802" s="29"/>
      <c r="F5802" s="29" t="s">
        <v>4106</v>
      </c>
      <c r="G5802" s="29"/>
      <c r="H5802" s="29" t="s">
        <v>4117</v>
      </c>
      <c r="I5802" s="29"/>
      <c r="J5802" s="29" t="s">
        <v>4118</v>
      </c>
      <c r="K5802" s="29"/>
      <c r="L5802" s="29" t="s">
        <v>2260</v>
      </c>
      <c r="M5802" s="29"/>
      <c r="N5802" s="29" t="s">
        <v>2533</v>
      </c>
      <c r="O5802" s="29"/>
      <c r="P5802" s="29" t="s">
        <v>5184</v>
      </c>
      <c r="Q5802" t="s">
        <v>2194</v>
      </c>
      <c r="R5802" t="s">
        <v>6902</v>
      </c>
      <c r="S5802">
        <v>36</v>
      </c>
      <c r="T5802" s="43" t="str">
        <f>HYPERLINK("https://ictv.global/ictv/proposals/2020.005F.R.Genomoviridae.zip","2020.005F.R.Genomoviridae.zip;2020.001G.R.Abolish_type_species.pdf")</f>
        <v>2020.005F.R.Genomoviridae.zip;2020.001G.R.Abolish_type_species.pdf</v>
      </c>
      <c r="U5802" s="43" t="str">
        <f>HYPERLINK("https://ictv.global/taxonomy/taxondetails?taxnode_id=202203633","ictv.global=202203633")</f>
        <v>ictv.global=202203633</v>
      </c>
    </row>
    <row r="5803" spans="1:21">
      <c r="A5803">
        <v>5802</v>
      </c>
      <c r="B5803" s="29" t="s">
        <v>4053</v>
      </c>
      <c r="C5803" s="29"/>
      <c r="D5803" s="29" t="s">
        <v>4082</v>
      </c>
      <c r="E5803" s="29"/>
      <c r="F5803" s="29" t="s">
        <v>4106</v>
      </c>
      <c r="G5803" s="29"/>
      <c r="H5803" s="29" t="s">
        <v>4117</v>
      </c>
      <c r="I5803" s="29"/>
      <c r="J5803" s="29" t="s">
        <v>4118</v>
      </c>
      <c r="K5803" s="29"/>
      <c r="L5803" s="29" t="s">
        <v>2260</v>
      </c>
      <c r="M5803" s="29"/>
      <c r="N5803" s="29" t="s">
        <v>2533</v>
      </c>
      <c r="O5803" s="29"/>
      <c r="P5803" s="29" t="s">
        <v>5185</v>
      </c>
      <c r="Q5803" t="s">
        <v>2194</v>
      </c>
      <c r="R5803" t="s">
        <v>2632</v>
      </c>
      <c r="S5803">
        <v>36</v>
      </c>
      <c r="T5803" s="43" t="str">
        <f>HYPERLINK("https://ictv.global/ictv/proposals/2020.005F.R.Genomoviridae.zip","2020.005F.R.Genomoviridae.zip")</f>
        <v>2020.005F.R.Genomoviridae.zip</v>
      </c>
      <c r="U5803" s="43" t="str">
        <f>HYPERLINK("https://ictv.global/taxonomy/taxondetails?taxnode_id=202209097","ictv.global=202209097")</f>
        <v>ictv.global=202209097</v>
      </c>
    </row>
    <row r="5804" spans="1:21">
      <c r="A5804">
        <v>5803</v>
      </c>
      <c r="B5804" s="29" t="s">
        <v>4053</v>
      </c>
      <c r="C5804" s="29"/>
      <c r="D5804" s="29" t="s">
        <v>4082</v>
      </c>
      <c r="E5804" s="29"/>
      <c r="F5804" s="29" t="s">
        <v>4106</v>
      </c>
      <c r="G5804" s="29"/>
      <c r="H5804" s="29" t="s">
        <v>4117</v>
      </c>
      <c r="I5804" s="29"/>
      <c r="J5804" s="29" t="s">
        <v>4118</v>
      </c>
      <c r="K5804" s="29"/>
      <c r="L5804" s="29" t="s">
        <v>2260</v>
      </c>
      <c r="M5804" s="29"/>
      <c r="N5804" s="29" t="s">
        <v>2533</v>
      </c>
      <c r="O5804" s="29"/>
      <c r="P5804" s="29" t="s">
        <v>5186</v>
      </c>
      <c r="Q5804" t="s">
        <v>2194</v>
      </c>
      <c r="R5804" t="s">
        <v>2632</v>
      </c>
      <c r="S5804">
        <v>36</v>
      </c>
      <c r="T5804" s="43" t="str">
        <f>HYPERLINK("https://ictv.global/ictv/proposals/2020.005F.R.Genomoviridae.zip","2020.005F.R.Genomoviridae.zip")</f>
        <v>2020.005F.R.Genomoviridae.zip</v>
      </c>
      <c r="U5804" s="43" t="str">
        <f>HYPERLINK("https://ictv.global/taxonomy/taxondetails?taxnode_id=202209098","ictv.global=202209098")</f>
        <v>ictv.global=202209098</v>
      </c>
    </row>
    <row r="5805" spans="1:21">
      <c r="A5805">
        <v>5804</v>
      </c>
      <c r="B5805" s="29" t="s">
        <v>4053</v>
      </c>
      <c r="C5805" s="29"/>
      <c r="D5805" s="29" t="s">
        <v>4137</v>
      </c>
      <c r="E5805" s="29"/>
      <c r="F5805" s="29" t="s">
        <v>4138</v>
      </c>
      <c r="G5805" s="29"/>
      <c r="H5805" s="29" t="s">
        <v>4139</v>
      </c>
      <c r="I5805" s="29"/>
      <c r="J5805" s="29" t="s">
        <v>4140</v>
      </c>
      <c r="K5805" s="29"/>
      <c r="L5805" s="29" t="s">
        <v>2310</v>
      </c>
      <c r="M5805" s="29"/>
      <c r="N5805" s="29" t="s">
        <v>2311</v>
      </c>
      <c r="O5805" s="29"/>
      <c r="P5805" s="29" t="s">
        <v>4141</v>
      </c>
      <c r="Q5805" t="s">
        <v>2038</v>
      </c>
      <c r="R5805" t="s">
        <v>2633</v>
      </c>
      <c r="S5805">
        <v>35</v>
      </c>
      <c r="T5805" s="43" t="str">
        <f>HYPERLINK("https://ictv.global/ictv/proposals/2019.104B.zip","2019.104B.zip")</f>
        <v>2019.104B.zip</v>
      </c>
      <c r="U5805" s="43" t="str">
        <f>HYPERLINK("https://ictv.global/taxonomy/taxondetails?taxnode_id=202204342","ictv.global=202204342")</f>
        <v>ictv.global=202204342</v>
      </c>
    </row>
    <row r="5806" spans="1:21">
      <c r="A5806">
        <v>5805</v>
      </c>
      <c r="B5806" s="29" t="s">
        <v>4053</v>
      </c>
      <c r="C5806" s="29"/>
      <c r="D5806" s="29" t="s">
        <v>4137</v>
      </c>
      <c r="E5806" s="29"/>
      <c r="F5806" s="29" t="s">
        <v>4138</v>
      </c>
      <c r="G5806" s="29"/>
      <c r="H5806" s="29" t="s">
        <v>4139</v>
      </c>
      <c r="I5806" s="29"/>
      <c r="J5806" s="29" t="s">
        <v>4140</v>
      </c>
      <c r="K5806" s="29"/>
      <c r="L5806" s="29" t="s">
        <v>2310</v>
      </c>
      <c r="M5806" s="29"/>
      <c r="N5806" s="29" t="s">
        <v>2311</v>
      </c>
      <c r="O5806" s="29"/>
      <c r="P5806" s="29" t="s">
        <v>4142</v>
      </c>
      <c r="Q5806" t="s">
        <v>2041</v>
      </c>
      <c r="R5806" t="s">
        <v>2633</v>
      </c>
      <c r="S5806">
        <v>35</v>
      </c>
      <c r="T5806" s="43" t="str">
        <f>HYPERLINK("https://ictv.global/ictv/proposals/2019.104B.zip","2019.104B.zip")</f>
        <v>2019.104B.zip</v>
      </c>
      <c r="U5806" s="43" t="str">
        <f>HYPERLINK("https://ictv.global/taxonomy/taxondetails?taxnode_id=202204343","ictv.global=202204343")</f>
        <v>ictv.global=202204343</v>
      </c>
    </row>
    <row r="5807" spans="1:21">
      <c r="A5807">
        <v>5806</v>
      </c>
      <c r="B5807" s="29" t="s">
        <v>4053</v>
      </c>
      <c r="C5807" s="29"/>
      <c r="D5807" s="29" t="s">
        <v>4137</v>
      </c>
      <c r="E5807" s="29"/>
      <c r="F5807" s="29" t="s">
        <v>4138</v>
      </c>
      <c r="G5807" s="29"/>
      <c r="H5807" s="29" t="s">
        <v>4139</v>
      </c>
      <c r="I5807" s="29"/>
      <c r="J5807" s="29" t="s">
        <v>4140</v>
      </c>
      <c r="K5807" s="29"/>
      <c r="L5807" s="29" t="s">
        <v>2310</v>
      </c>
      <c r="M5807" s="29"/>
      <c r="N5807" s="29" t="s">
        <v>2311</v>
      </c>
      <c r="O5807" s="29"/>
      <c r="P5807" s="29" t="s">
        <v>4143</v>
      </c>
      <c r="Q5807" t="s">
        <v>2041</v>
      </c>
      <c r="R5807" t="s">
        <v>6901</v>
      </c>
      <c r="S5807">
        <v>36</v>
      </c>
      <c r="T5807" s="43" t="str">
        <f>HYPERLINK("https://ictv.global/ictv/proposals/2020.001G.R.Abolish_type_species.pdf","2020.001G.R.Abolish_type_species.pdf")</f>
        <v>2020.001G.R.Abolish_type_species.pdf</v>
      </c>
      <c r="U5807" s="43" t="str">
        <f>HYPERLINK("https://ictv.global/taxonomy/taxondetails?taxnode_id=202204344","ictv.global=202204344")</f>
        <v>ictv.global=202204344</v>
      </c>
    </row>
    <row r="5808" spans="1:21">
      <c r="A5808">
        <v>5807</v>
      </c>
      <c r="B5808" s="29" t="s">
        <v>4053</v>
      </c>
      <c r="C5808" s="29"/>
      <c r="D5808" s="29" t="s">
        <v>4137</v>
      </c>
      <c r="E5808" s="29"/>
      <c r="F5808" s="29" t="s">
        <v>4138</v>
      </c>
      <c r="G5808" s="29"/>
      <c r="H5808" s="29" t="s">
        <v>4139</v>
      </c>
      <c r="I5808" s="29"/>
      <c r="J5808" s="29" t="s">
        <v>4140</v>
      </c>
      <c r="K5808" s="29"/>
      <c r="L5808" s="29" t="s">
        <v>2310</v>
      </c>
      <c r="M5808" s="29"/>
      <c r="N5808" s="29" t="s">
        <v>2311</v>
      </c>
      <c r="O5808" s="29"/>
      <c r="P5808" s="29" t="s">
        <v>4144</v>
      </c>
      <c r="Q5808" t="s">
        <v>2041</v>
      </c>
      <c r="R5808" t="s">
        <v>2633</v>
      </c>
      <c r="S5808">
        <v>35</v>
      </c>
      <c r="T5808" s="43" t="str">
        <f>HYPERLINK("https://ictv.global/ictv/proposals/2019.104B.zip","2019.104B.zip")</f>
        <v>2019.104B.zip</v>
      </c>
      <c r="U5808" s="43" t="str">
        <f>HYPERLINK("https://ictv.global/taxonomy/taxondetails?taxnode_id=202204345","ictv.global=202204345")</f>
        <v>ictv.global=202204345</v>
      </c>
    </row>
    <row r="5809" spans="1:21">
      <c r="A5809">
        <v>5808</v>
      </c>
      <c r="B5809" s="29" t="s">
        <v>4053</v>
      </c>
      <c r="C5809" s="29"/>
      <c r="D5809" s="29" t="s">
        <v>4137</v>
      </c>
      <c r="E5809" s="29"/>
      <c r="F5809" s="29" t="s">
        <v>4138</v>
      </c>
      <c r="G5809" s="29"/>
      <c r="H5809" s="29" t="s">
        <v>4139</v>
      </c>
      <c r="I5809" s="29"/>
      <c r="J5809" s="29" t="s">
        <v>4140</v>
      </c>
      <c r="K5809" s="29"/>
      <c r="L5809" s="29" t="s">
        <v>2310</v>
      </c>
      <c r="M5809" s="29"/>
      <c r="N5809" s="29" t="s">
        <v>2311</v>
      </c>
      <c r="O5809" s="29"/>
      <c r="P5809" s="29" t="s">
        <v>4145</v>
      </c>
      <c r="Q5809" t="s">
        <v>2041</v>
      </c>
      <c r="R5809" t="s">
        <v>2633</v>
      </c>
      <c r="S5809">
        <v>35</v>
      </c>
      <c r="T5809" s="43" t="str">
        <f>HYPERLINK("https://ictv.global/ictv/proposals/2019.104B.zip","2019.104B.zip")</f>
        <v>2019.104B.zip</v>
      </c>
      <c r="U5809" s="43" t="str">
        <f>HYPERLINK("https://ictv.global/taxonomy/taxondetails?taxnode_id=202204346","ictv.global=202204346")</f>
        <v>ictv.global=202204346</v>
      </c>
    </row>
    <row r="5810" spans="1:21">
      <c r="A5810">
        <v>5809</v>
      </c>
      <c r="B5810" s="29" t="s">
        <v>4053</v>
      </c>
      <c r="C5810" s="29"/>
      <c r="D5810" s="29" t="s">
        <v>4137</v>
      </c>
      <c r="E5810" s="29"/>
      <c r="F5810" s="29" t="s">
        <v>4138</v>
      </c>
      <c r="G5810" s="29"/>
      <c r="H5810" s="29" t="s">
        <v>4139</v>
      </c>
      <c r="I5810" s="29"/>
      <c r="J5810" s="29" t="s">
        <v>4140</v>
      </c>
      <c r="K5810" s="29"/>
      <c r="L5810" s="29" t="s">
        <v>2310</v>
      </c>
      <c r="M5810" s="29"/>
      <c r="N5810" s="29" t="s">
        <v>2312</v>
      </c>
      <c r="O5810" s="29"/>
      <c r="P5810" s="29" t="s">
        <v>4146</v>
      </c>
      <c r="Q5810" t="s">
        <v>6903</v>
      </c>
      <c r="R5810" t="s">
        <v>2633</v>
      </c>
      <c r="S5810">
        <v>35</v>
      </c>
      <c r="T5810" s="43" t="str">
        <f>HYPERLINK("https://ictv.global/ictv/proposals/2019.104B.zip","2019.104B.zip")</f>
        <v>2019.104B.zip</v>
      </c>
      <c r="U5810" s="43" t="str">
        <f>HYPERLINK("https://ictv.global/taxonomy/taxondetails?taxnode_id=202204348","ictv.global=202204348")</f>
        <v>ictv.global=202204348</v>
      </c>
    </row>
    <row r="5811" spans="1:21">
      <c r="A5811">
        <v>5810</v>
      </c>
      <c r="B5811" s="29" t="s">
        <v>4053</v>
      </c>
      <c r="C5811" s="29"/>
      <c r="D5811" s="29" t="s">
        <v>4137</v>
      </c>
      <c r="E5811" s="29"/>
      <c r="F5811" s="29" t="s">
        <v>4138</v>
      </c>
      <c r="G5811" s="29"/>
      <c r="H5811" s="29" t="s">
        <v>4139</v>
      </c>
      <c r="I5811" s="29"/>
      <c r="J5811" s="29" t="s">
        <v>4140</v>
      </c>
      <c r="K5811" s="29"/>
      <c r="L5811" s="29" t="s">
        <v>2310</v>
      </c>
      <c r="M5811" s="29"/>
      <c r="N5811" s="29" t="s">
        <v>2312</v>
      </c>
      <c r="O5811" s="29"/>
      <c r="P5811" s="29" t="s">
        <v>4147</v>
      </c>
      <c r="Q5811" t="s">
        <v>2038</v>
      </c>
      <c r="R5811" t="s">
        <v>2632</v>
      </c>
      <c r="S5811">
        <v>35</v>
      </c>
      <c r="T5811" s="43" t="str">
        <f>HYPERLINK("https://ictv.global/ictv/proposals/2019.105B.zip","2019.105B.zip")</f>
        <v>2019.105B.zip</v>
      </c>
      <c r="U5811" s="43" t="str">
        <f>HYPERLINK("https://ictv.global/taxonomy/taxondetails?taxnode_id=202208635","ictv.global=202208635")</f>
        <v>ictv.global=202208635</v>
      </c>
    </row>
    <row r="5812" spans="1:21">
      <c r="A5812">
        <v>5811</v>
      </c>
      <c r="B5812" s="29" t="s">
        <v>4053</v>
      </c>
      <c r="C5812" s="29"/>
      <c r="D5812" s="29" t="s">
        <v>4137</v>
      </c>
      <c r="E5812" s="29"/>
      <c r="F5812" s="29" t="s">
        <v>4138</v>
      </c>
      <c r="G5812" s="29"/>
      <c r="H5812" s="29" t="s">
        <v>4139</v>
      </c>
      <c r="I5812" s="29"/>
      <c r="J5812" s="29" t="s">
        <v>4140</v>
      </c>
      <c r="K5812" s="29"/>
      <c r="L5812" s="29" t="s">
        <v>2310</v>
      </c>
      <c r="M5812" s="29"/>
      <c r="N5812" s="29" t="s">
        <v>2312</v>
      </c>
      <c r="O5812" s="29"/>
      <c r="P5812" s="29" t="s">
        <v>4148</v>
      </c>
      <c r="Q5812" t="s">
        <v>2038</v>
      </c>
      <c r="R5812" t="s">
        <v>2632</v>
      </c>
      <c r="S5812">
        <v>35</v>
      </c>
      <c r="T5812" s="43" t="str">
        <f>HYPERLINK("https://ictv.global/ictv/proposals/2019.105B.zip","2019.105B.zip")</f>
        <v>2019.105B.zip</v>
      </c>
      <c r="U5812" s="43" t="str">
        <f>HYPERLINK("https://ictv.global/taxonomy/taxondetails?taxnode_id=202208636","ictv.global=202208636")</f>
        <v>ictv.global=202208636</v>
      </c>
    </row>
    <row r="5813" spans="1:21">
      <c r="A5813">
        <v>5812</v>
      </c>
      <c r="B5813" s="29" t="s">
        <v>4053</v>
      </c>
      <c r="C5813" s="29"/>
      <c r="D5813" s="29" t="s">
        <v>4137</v>
      </c>
      <c r="E5813" s="29"/>
      <c r="F5813" s="29" t="s">
        <v>4138</v>
      </c>
      <c r="G5813" s="29"/>
      <c r="H5813" s="29" t="s">
        <v>4139</v>
      </c>
      <c r="I5813" s="29"/>
      <c r="J5813" s="29" t="s">
        <v>4140</v>
      </c>
      <c r="K5813" s="29"/>
      <c r="L5813" s="29" t="s">
        <v>2310</v>
      </c>
      <c r="M5813" s="29"/>
      <c r="N5813" s="29" t="s">
        <v>2312</v>
      </c>
      <c r="O5813" s="29"/>
      <c r="P5813" s="29" t="s">
        <v>4149</v>
      </c>
      <c r="Q5813" t="s">
        <v>6903</v>
      </c>
      <c r="R5813" t="s">
        <v>6901</v>
      </c>
      <c r="S5813">
        <v>36</v>
      </c>
      <c r="T5813" s="43" t="str">
        <f>HYPERLINK("https://ictv.global/ictv/proposals/2020.001G.R.Abolish_type_species.pdf","2020.001G.R.Abolish_type_species.pdf")</f>
        <v>2020.001G.R.Abolish_type_species.pdf</v>
      </c>
      <c r="U5813" s="43" t="str">
        <f>HYPERLINK("https://ictv.global/taxonomy/taxondetails?taxnode_id=202204349","ictv.global=202204349")</f>
        <v>ictv.global=202204349</v>
      </c>
    </row>
    <row r="5814" spans="1:21">
      <c r="A5814">
        <v>5813</v>
      </c>
      <c r="B5814" s="29" t="s">
        <v>4053</v>
      </c>
      <c r="C5814" s="29"/>
      <c r="D5814" s="29" t="s">
        <v>4137</v>
      </c>
      <c r="E5814" s="29"/>
      <c r="F5814" s="29" t="s">
        <v>4138</v>
      </c>
      <c r="G5814" s="29"/>
      <c r="H5814" s="29" t="s">
        <v>4139</v>
      </c>
      <c r="I5814" s="29"/>
      <c r="J5814" s="29" t="s">
        <v>4140</v>
      </c>
      <c r="K5814" s="29"/>
      <c r="L5814" s="29" t="s">
        <v>2310</v>
      </c>
      <c r="M5814" s="29"/>
      <c r="N5814" s="29" t="s">
        <v>2312</v>
      </c>
      <c r="O5814" s="29"/>
      <c r="P5814" s="29" t="s">
        <v>4150</v>
      </c>
      <c r="Q5814" t="s">
        <v>2038</v>
      </c>
      <c r="R5814" t="s">
        <v>2632</v>
      </c>
      <c r="S5814">
        <v>35</v>
      </c>
      <c r="T5814" s="43" t="str">
        <f>HYPERLINK("https://ictv.global/ictv/proposals/2019.105B.zip","2019.105B.zip")</f>
        <v>2019.105B.zip</v>
      </c>
      <c r="U5814" s="43" t="str">
        <f>HYPERLINK("https://ictv.global/taxonomy/taxondetails?taxnode_id=202208637","ictv.global=202208637")</f>
        <v>ictv.global=202208637</v>
      </c>
    </row>
    <row r="5815" spans="1:21">
      <c r="A5815">
        <v>5814</v>
      </c>
      <c r="B5815" s="29" t="s">
        <v>4053</v>
      </c>
      <c r="C5815" s="29"/>
      <c r="D5815" s="29" t="s">
        <v>4137</v>
      </c>
      <c r="E5815" s="29"/>
      <c r="F5815" s="29" t="s">
        <v>4138</v>
      </c>
      <c r="G5815" s="29"/>
      <c r="H5815" s="29" t="s">
        <v>4139</v>
      </c>
      <c r="I5815" s="29"/>
      <c r="J5815" s="29" t="s">
        <v>4140</v>
      </c>
      <c r="K5815" s="29"/>
      <c r="L5815" s="29" t="s">
        <v>2310</v>
      </c>
      <c r="M5815" s="29"/>
      <c r="N5815" s="29" t="s">
        <v>2312</v>
      </c>
      <c r="O5815" s="29"/>
      <c r="P5815" s="29" t="s">
        <v>4151</v>
      </c>
      <c r="Q5815" t="s">
        <v>2038</v>
      </c>
      <c r="R5815" t="s">
        <v>2632</v>
      </c>
      <c r="S5815">
        <v>35</v>
      </c>
      <c r="T5815" s="43" t="str">
        <f>HYPERLINK("https://ictv.global/ictv/proposals/2019.105B.zip","2019.105B.zip")</f>
        <v>2019.105B.zip</v>
      </c>
      <c r="U5815" s="43" t="str">
        <f>HYPERLINK("https://ictv.global/taxonomy/taxondetails?taxnode_id=202208638","ictv.global=202208638")</f>
        <v>ictv.global=202208638</v>
      </c>
    </row>
    <row r="5816" spans="1:21">
      <c r="A5816">
        <v>5815</v>
      </c>
      <c r="B5816" s="29" t="s">
        <v>4053</v>
      </c>
      <c r="C5816" s="29"/>
      <c r="D5816" s="29" t="s">
        <v>4137</v>
      </c>
      <c r="E5816" s="29"/>
      <c r="F5816" s="29" t="s">
        <v>4138</v>
      </c>
      <c r="G5816" s="29"/>
      <c r="H5816" s="29" t="s">
        <v>4139</v>
      </c>
      <c r="I5816" s="29"/>
      <c r="J5816" s="29" t="s">
        <v>4140</v>
      </c>
      <c r="K5816" s="29"/>
      <c r="L5816" s="29" t="s">
        <v>2310</v>
      </c>
      <c r="M5816" s="29"/>
      <c r="N5816" s="29" t="s">
        <v>2312</v>
      </c>
      <c r="O5816" s="29"/>
      <c r="P5816" s="29" t="s">
        <v>4152</v>
      </c>
      <c r="Q5816" t="s">
        <v>2038</v>
      </c>
      <c r="R5816" t="s">
        <v>2632</v>
      </c>
      <c r="S5816">
        <v>35</v>
      </c>
      <c r="T5816" s="43" t="str">
        <f>HYPERLINK("https://ictv.global/ictv/proposals/2019.105B.zip","2019.105B.zip")</f>
        <v>2019.105B.zip</v>
      </c>
      <c r="U5816" s="43" t="str">
        <f>HYPERLINK("https://ictv.global/taxonomy/taxondetails?taxnode_id=202208639","ictv.global=202208639")</f>
        <v>ictv.global=202208639</v>
      </c>
    </row>
    <row r="5817" spans="1:21">
      <c r="A5817">
        <v>5816</v>
      </c>
      <c r="B5817" s="29" t="s">
        <v>4053</v>
      </c>
      <c r="C5817" s="29"/>
      <c r="D5817" s="29" t="s">
        <v>4137</v>
      </c>
      <c r="E5817" s="29"/>
      <c r="F5817" s="29" t="s">
        <v>4138</v>
      </c>
      <c r="G5817" s="29"/>
      <c r="H5817" s="29" t="s">
        <v>4139</v>
      </c>
      <c r="I5817" s="29"/>
      <c r="J5817" s="29" t="s">
        <v>4140</v>
      </c>
      <c r="K5817" s="29"/>
      <c r="L5817" s="29" t="s">
        <v>2310</v>
      </c>
      <c r="M5817" s="29"/>
      <c r="N5817" s="29" t="s">
        <v>2312</v>
      </c>
      <c r="O5817" s="29"/>
      <c r="P5817" s="29" t="s">
        <v>4153</v>
      </c>
      <c r="Q5817" t="s">
        <v>2038</v>
      </c>
      <c r="R5817" t="s">
        <v>2632</v>
      </c>
      <c r="S5817">
        <v>35</v>
      </c>
      <c r="T5817" s="43" t="str">
        <f>HYPERLINK("https://ictv.global/ictv/proposals/2019.105B.zip","2019.105B.zip")</f>
        <v>2019.105B.zip</v>
      </c>
      <c r="U5817" s="43" t="str">
        <f>HYPERLINK("https://ictv.global/taxonomy/taxondetails?taxnode_id=202208640","ictv.global=202208640")</f>
        <v>ictv.global=202208640</v>
      </c>
    </row>
    <row r="5818" spans="1:21">
      <c r="A5818">
        <v>5817</v>
      </c>
      <c r="B5818" s="29" t="s">
        <v>4053</v>
      </c>
      <c r="C5818" s="29"/>
      <c r="D5818" s="29" t="s">
        <v>4137</v>
      </c>
      <c r="E5818" s="29"/>
      <c r="F5818" s="29" t="s">
        <v>4138</v>
      </c>
      <c r="G5818" s="29"/>
      <c r="H5818" s="29" t="s">
        <v>4139</v>
      </c>
      <c r="I5818" s="29"/>
      <c r="J5818" s="29" t="s">
        <v>4140</v>
      </c>
      <c r="K5818" s="29"/>
      <c r="L5818" s="29" t="s">
        <v>2310</v>
      </c>
      <c r="M5818" s="29"/>
      <c r="N5818" s="29" t="s">
        <v>2312</v>
      </c>
      <c r="O5818" s="29"/>
      <c r="P5818" s="29" t="s">
        <v>4154</v>
      </c>
      <c r="Q5818" t="s">
        <v>2038</v>
      </c>
      <c r="R5818" t="s">
        <v>2632</v>
      </c>
      <c r="S5818">
        <v>35</v>
      </c>
      <c r="T5818" s="43" t="str">
        <f>HYPERLINK("https://ictv.global/ictv/proposals/2019.105B.zip","2019.105B.zip")</f>
        <v>2019.105B.zip</v>
      </c>
      <c r="U5818" s="43" t="str">
        <f>HYPERLINK("https://ictv.global/taxonomy/taxondetails?taxnode_id=202208641","ictv.global=202208641")</f>
        <v>ictv.global=202208641</v>
      </c>
    </row>
    <row r="5819" spans="1:21">
      <c r="A5819">
        <v>5818</v>
      </c>
      <c r="B5819" s="29" t="s">
        <v>4053</v>
      </c>
      <c r="C5819" s="29"/>
      <c r="D5819" s="29" t="s">
        <v>4137</v>
      </c>
      <c r="E5819" s="29"/>
      <c r="F5819" s="29" t="s">
        <v>4138</v>
      </c>
      <c r="G5819" s="29"/>
      <c r="H5819" s="29" t="s">
        <v>4139</v>
      </c>
      <c r="I5819" s="29"/>
      <c r="J5819" s="29" t="s">
        <v>4140</v>
      </c>
      <c r="K5819" s="29"/>
      <c r="L5819" s="29" t="s">
        <v>2310</v>
      </c>
      <c r="M5819" s="29"/>
      <c r="N5819" s="29" t="s">
        <v>2313</v>
      </c>
      <c r="O5819" s="29"/>
      <c r="P5819" s="29" t="s">
        <v>12174</v>
      </c>
      <c r="Q5819" t="s">
        <v>2038</v>
      </c>
      <c r="R5819" t="s">
        <v>2632</v>
      </c>
      <c r="S5819">
        <v>37</v>
      </c>
      <c r="T5819" s="43" t="str">
        <f>HYPERLINK("https://ictv.global/ictv/proposals/2021.005A.R.Gammapleolipovirus_1nsp.zip","2021.005A.R.Gammapleolipovirus_1nsp.zip")</f>
        <v>2021.005A.R.Gammapleolipovirus_1nsp.zip</v>
      </c>
      <c r="U5819" s="43" t="str">
        <f>HYPERLINK("https://ictv.global/taxonomy/taxondetails?taxnode_id=202212215","ictv.global=202212215")</f>
        <v>ictv.global=202212215</v>
      </c>
    </row>
    <row r="5820" spans="1:21">
      <c r="A5820">
        <v>5819</v>
      </c>
      <c r="B5820" s="29" t="s">
        <v>4053</v>
      </c>
      <c r="C5820" s="29"/>
      <c r="D5820" s="29" t="s">
        <v>4137</v>
      </c>
      <c r="E5820" s="29"/>
      <c r="F5820" s="29" t="s">
        <v>4138</v>
      </c>
      <c r="G5820" s="29"/>
      <c r="H5820" s="29" t="s">
        <v>4139</v>
      </c>
      <c r="I5820" s="29"/>
      <c r="J5820" s="29" t="s">
        <v>4140</v>
      </c>
      <c r="K5820" s="29"/>
      <c r="L5820" s="29" t="s">
        <v>2310</v>
      </c>
      <c r="M5820" s="29"/>
      <c r="N5820" s="29" t="s">
        <v>2313</v>
      </c>
      <c r="O5820" s="29"/>
      <c r="P5820" s="29" t="s">
        <v>4155</v>
      </c>
      <c r="Q5820" t="s">
        <v>2038</v>
      </c>
      <c r="R5820" t="s">
        <v>6901</v>
      </c>
      <c r="S5820">
        <v>36</v>
      </c>
      <c r="T5820" s="43" t="str">
        <f>HYPERLINK("https://ictv.global/ictv/proposals/2020.001G.R.Abolish_type_species.pdf","2020.001G.R.Abolish_type_species.pdf")</f>
        <v>2020.001G.R.Abolish_type_species.pdf</v>
      </c>
      <c r="U5820" s="43" t="str">
        <f>HYPERLINK("https://ictv.global/taxonomy/taxondetails?taxnode_id=202204351","ictv.global=202204351")</f>
        <v>ictv.global=202204351</v>
      </c>
    </row>
    <row r="5821" spans="1:21">
      <c r="A5821">
        <v>5820</v>
      </c>
      <c r="B5821" s="29" t="s">
        <v>3223</v>
      </c>
      <c r="C5821" s="29"/>
      <c r="D5821" s="29" t="s">
        <v>4156</v>
      </c>
      <c r="E5821" s="29"/>
      <c r="F5821" s="29" t="s">
        <v>4157</v>
      </c>
      <c r="G5821" s="29"/>
      <c r="H5821" s="29" t="s">
        <v>4158</v>
      </c>
      <c r="I5821" s="29"/>
      <c r="J5821" s="29" t="s">
        <v>4159</v>
      </c>
      <c r="K5821" s="29"/>
      <c r="L5821" s="29" t="s">
        <v>12175</v>
      </c>
      <c r="M5821" s="29"/>
      <c r="N5821" s="29" t="s">
        <v>12176</v>
      </c>
      <c r="O5821" s="29"/>
      <c r="P5821" s="29" t="s">
        <v>12177</v>
      </c>
      <c r="Q5821" t="s">
        <v>2042</v>
      </c>
      <c r="R5821" t="s">
        <v>2632</v>
      </c>
      <c r="S5821">
        <v>38</v>
      </c>
      <c r="T5821" s="43" t="str">
        <f>HYPERLINK("https://ictv.global/ictv/proposals/2022.001F.Alternaviridae_newfam.zip","2022.001F.Alternaviridae_newfam.zip")</f>
        <v>2022.001F.Alternaviridae_newfam.zip</v>
      </c>
      <c r="U5821" s="43" t="str">
        <f>HYPERLINK("https://ictv.global/taxonomy/taxondetails?taxnode_id=202214983","ictv.global=202214983")</f>
        <v>ictv.global=202214983</v>
      </c>
    </row>
    <row r="5822" spans="1:21">
      <c r="A5822">
        <v>5821</v>
      </c>
      <c r="B5822" s="29" t="s">
        <v>3223</v>
      </c>
      <c r="C5822" s="29"/>
      <c r="D5822" s="29" t="s">
        <v>4156</v>
      </c>
      <c r="E5822" s="29"/>
      <c r="F5822" s="29" t="s">
        <v>4157</v>
      </c>
      <c r="G5822" s="29"/>
      <c r="H5822" s="29" t="s">
        <v>4158</v>
      </c>
      <c r="I5822" s="29"/>
      <c r="J5822" s="29" t="s">
        <v>4159</v>
      </c>
      <c r="K5822" s="29"/>
      <c r="L5822" s="29" t="s">
        <v>12175</v>
      </c>
      <c r="M5822" s="29"/>
      <c r="N5822" s="29" t="s">
        <v>12176</v>
      </c>
      <c r="O5822" s="29"/>
      <c r="P5822" s="29" t="s">
        <v>12178</v>
      </c>
      <c r="Q5822" t="s">
        <v>2042</v>
      </c>
      <c r="R5822" t="s">
        <v>2632</v>
      </c>
      <c r="S5822">
        <v>38</v>
      </c>
      <c r="T5822" s="43" t="str">
        <f>HYPERLINK("https://ictv.global/ictv/proposals/2022.001F.Alternaviridae_newfam.zip","2022.001F.Alternaviridae_newfam.zip")</f>
        <v>2022.001F.Alternaviridae_newfam.zip</v>
      </c>
      <c r="U5822" s="43" t="str">
        <f>HYPERLINK("https://ictv.global/taxonomy/taxondetails?taxnode_id=202214984","ictv.global=202214984")</f>
        <v>ictv.global=202214984</v>
      </c>
    </row>
    <row r="5823" spans="1:21">
      <c r="A5823">
        <v>5822</v>
      </c>
      <c r="B5823" s="29" t="s">
        <v>3223</v>
      </c>
      <c r="C5823" s="29"/>
      <c r="D5823" s="29" t="s">
        <v>4156</v>
      </c>
      <c r="E5823" s="29"/>
      <c r="F5823" s="29" t="s">
        <v>4157</v>
      </c>
      <c r="G5823" s="29"/>
      <c r="H5823" s="29" t="s">
        <v>4158</v>
      </c>
      <c r="I5823" s="29"/>
      <c r="J5823" s="29" t="s">
        <v>4159</v>
      </c>
      <c r="K5823" s="29"/>
      <c r="L5823" s="29" t="s">
        <v>12175</v>
      </c>
      <c r="M5823" s="29"/>
      <c r="N5823" s="29" t="s">
        <v>12176</v>
      </c>
      <c r="O5823" s="29"/>
      <c r="P5823" s="29" t="s">
        <v>12179</v>
      </c>
      <c r="Q5823" t="s">
        <v>2042</v>
      </c>
      <c r="R5823" t="s">
        <v>2632</v>
      </c>
      <c r="S5823">
        <v>38</v>
      </c>
      <c r="T5823" s="43" t="str">
        <f>HYPERLINK("https://ictv.global/ictv/proposals/2022.001F.Alternaviridae_newfam.zip","2022.001F.Alternaviridae_newfam.zip")</f>
        <v>2022.001F.Alternaviridae_newfam.zip</v>
      </c>
      <c r="U5823" s="43" t="str">
        <f>HYPERLINK("https://ictv.global/taxonomy/taxondetails?taxnode_id=202214985","ictv.global=202214985")</f>
        <v>ictv.global=202214985</v>
      </c>
    </row>
    <row r="5824" spans="1:21">
      <c r="A5824">
        <v>5823</v>
      </c>
      <c r="B5824" s="29" t="s">
        <v>3223</v>
      </c>
      <c r="C5824" s="29"/>
      <c r="D5824" s="29" t="s">
        <v>4156</v>
      </c>
      <c r="E5824" s="29"/>
      <c r="F5824" s="29" t="s">
        <v>4157</v>
      </c>
      <c r="G5824" s="29"/>
      <c r="H5824" s="29" t="s">
        <v>4158</v>
      </c>
      <c r="I5824" s="29"/>
      <c r="J5824" s="29" t="s">
        <v>4159</v>
      </c>
      <c r="K5824" s="29"/>
      <c r="L5824" s="29" t="s">
        <v>12175</v>
      </c>
      <c r="M5824" s="29"/>
      <c r="N5824" s="29" t="s">
        <v>12176</v>
      </c>
      <c r="O5824" s="29"/>
      <c r="P5824" s="29" t="s">
        <v>12180</v>
      </c>
      <c r="Q5824" t="s">
        <v>2042</v>
      </c>
      <c r="R5824" t="s">
        <v>2632</v>
      </c>
      <c r="S5824">
        <v>38</v>
      </c>
      <c r="T5824" s="43" t="str">
        <f>HYPERLINK("https://ictv.global/ictv/proposals/2022.001F.Alternaviridae_newfam.zip","2022.001F.Alternaviridae_newfam.zip")</f>
        <v>2022.001F.Alternaviridae_newfam.zip</v>
      </c>
      <c r="U5824" s="43" t="str">
        <f>HYPERLINK("https://ictv.global/taxonomy/taxondetails?taxnode_id=202214986","ictv.global=202214986")</f>
        <v>ictv.global=202214986</v>
      </c>
    </row>
    <row r="5825" spans="1:21">
      <c r="A5825">
        <v>5824</v>
      </c>
      <c r="B5825" s="29" t="s">
        <v>3223</v>
      </c>
      <c r="C5825" s="29"/>
      <c r="D5825" s="29" t="s">
        <v>4156</v>
      </c>
      <c r="E5825" s="29"/>
      <c r="F5825" s="29" t="s">
        <v>4157</v>
      </c>
      <c r="G5825" s="29"/>
      <c r="H5825" s="29" t="s">
        <v>4158</v>
      </c>
      <c r="I5825" s="29"/>
      <c r="J5825" s="29" t="s">
        <v>4159</v>
      </c>
      <c r="K5825" s="29"/>
      <c r="L5825" s="29" t="s">
        <v>12175</v>
      </c>
      <c r="M5825" s="29"/>
      <c r="N5825" s="29" t="s">
        <v>12176</v>
      </c>
      <c r="O5825" s="29"/>
      <c r="P5825" s="29" t="s">
        <v>12181</v>
      </c>
      <c r="Q5825" t="s">
        <v>2042</v>
      </c>
      <c r="R5825" t="s">
        <v>2632</v>
      </c>
      <c r="S5825">
        <v>38</v>
      </c>
      <c r="T5825" s="43" t="str">
        <f>HYPERLINK("https://ictv.global/ictv/proposals/2022.001F.Alternaviridae_newfam.zip","2022.001F.Alternaviridae_newfam.zip")</f>
        <v>2022.001F.Alternaviridae_newfam.zip</v>
      </c>
      <c r="U5825" s="43" t="str">
        <f>HYPERLINK("https://ictv.global/taxonomy/taxondetails?taxnode_id=202214987","ictv.global=202214987")</f>
        <v>ictv.global=202214987</v>
      </c>
    </row>
    <row r="5826" spans="1:21">
      <c r="A5826">
        <v>5825</v>
      </c>
      <c r="B5826" s="29" t="s">
        <v>3223</v>
      </c>
      <c r="C5826" s="29"/>
      <c r="D5826" s="29" t="s">
        <v>4156</v>
      </c>
      <c r="E5826" s="29"/>
      <c r="F5826" s="29" t="s">
        <v>4157</v>
      </c>
      <c r="G5826" s="29"/>
      <c r="H5826" s="29" t="s">
        <v>4158</v>
      </c>
      <c r="I5826" s="29"/>
      <c r="J5826" s="29" t="s">
        <v>4159</v>
      </c>
      <c r="K5826" s="29"/>
      <c r="L5826" s="29" t="s">
        <v>582</v>
      </c>
      <c r="M5826" s="29"/>
      <c r="N5826" s="29" t="s">
        <v>3337</v>
      </c>
      <c r="O5826" s="29"/>
      <c r="P5826" s="29" t="s">
        <v>12182</v>
      </c>
      <c r="Q5826" t="s">
        <v>2042</v>
      </c>
      <c r="R5826" t="s">
        <v>2635</v>
      </c>
      <c r="S5826">
        <v>37</v>
      </c>
      <c r="T5826" s="43" t="str">
        <f t="shared" ref="T5826:T5856" si="271">HYPERLINK("https://ictv.global/ictv/proposals/2021.002F.R.Chrysoviridae_binomials.zip","2021.002F.R.Chrysoviridae_binomials.zip")</f>
        <v>2021.002F.R.Chrysoviridae_binomials.zip</v>
      </c>
      <c r="U5826" s="43" t="str">
        <f>HYPERLINK("https://ictv.global/taxonomy/taxondetails?taxnode_id=202206297","ictv.global=202206297")</f>
        <v>ictv.global=202206297</v>
      </c>
    </row>
    <row r="5827" spans="1:21">
      <c r="A5827">
        <v>5826</v>
      </c>
      <c r="B5827" s="29" t="s">
        <v>3223</v>
      </c>
      <c r="C5827" s="29"/>
      <c r="D5827" s="29" t="s">
        <v>4156</v>
      </c>
      <c r="E5827" s="29"/>
      <c r="F5827" s="29" t="s">
        <v>4157</v>
      </c>
      <c r="G5827" s="29"/>
      <c r="H5827" s="29" t="s">
        <v>4158</v>
      </c>
      <c r="I5827" s="29"/>
      <c r="J5827" s="29" t="s">
        <v>4159</v>
      </c>
      <c r="K5827" s="29"/>
      <c r="L5827" s="29" t="s">
        <v>582</v>
      </c>
      <c r="M5827" s="29"/>
      <c r="N5827" s="29" t="s">
        <v>3337</v>
      </c>
      <c r="O5827" s="29"/>
      <c r="P5827" s="29" t="s">
        <v>12183</v>
      </c>
      <c r="Q5827" t="s">
        <v>2042</v>
      </c>
      <c r="R5827" t="s">
        <v>2635</v>
      </c>
      <c r="S5827">
        <v>37</v>
      </c>
      <c r="T5827" s="43" t="str">
        <f t="shared" si="271"/>
        <v>2021.002F.R.Chrysoviridae_binomials.zip</v>
      </c>
      <c r="U5827" s="43" t="str">
        <f>HYPERLINK("https://ictv.global/taxonomy/taxondetails?taxnode_id=202202892","ictv.global=202202892")</f>
        <v>ictv.global=202202892</v>
      </c>
    </row>
    <row r="5828" spans="1:21">
      <c r="A5828">
        <v>5827</v>
      </c>
      <c r="B5828" s="29" t="s">
        <v>3223</v>
      </c>
      <c r="C5828" s="29"/>
      <c r="D5828" s="29" t="s">
        <v>4156</v>
      </c>
      <c r="E5828" s="29"/>
      <c r="F5828" s="29" t="s">
        <v>4157</v>
      </c>
      <c r="G5828" s="29"/>
      <c r="H5828" s="29" t="s">
        <v>4158</v>
      </c>
      <c r="I5828" s="29"/>
      <c r="J5828" s="29" t="s">
        <v>4159</v>
      </c>
      <c r="K5828" s="29"/>
      <c r="L5828" s="29" t="s">
        <v>582</v>
      </c>
      <c r="M5828" s="29"/>
      <c r="N5828" s="29" t="s">
        <v>3337</v>
      </c>
      <c r="O5828" s="29"/>
      <c r="P5828" s="29" t="s">
        <v>12184</v>
      </c>
      <c r="Q5828" t="s">
        <v>2042</v>
      </c>
      <c r="R5828" t="s">
        <v>2635</v>
      </c>
      <c r="S5828">
        <v>37</v>
      </c>
      <c r="T5828" s="43" t="str">
        <f t="shared" si="271"/>
        <v>2021.002F.R.Chrysoviridae_binomials.zip</v>
      </c>
      <c r="U5828" s="43" t="str">
        <f>HYPERLINK("https://ictv.global/taxonomy/taxondetails?taxnode_id=202206298","ictv.global=202206298")</f>
        <v>ictv.global=202206298</v>
      </c>
    </row>
    <row r="5829" spans="1:21">
      <c r="A5829">
        <v>5828</v>
      </c>
      <c r="B5829" s="29" t="s">
        <v>3223</v>
      </c>
      <c r="C5829" s="29"/>
      <c r="D5829" s="29" t="s">
        <v>4156</v>
      </c>
      <c r="E5829" s="29"/>
      <c r="F5829" s="29" t="s">
        <v>4157</v>
      </c>
      <c r="G5829" s="29"/>
      <c r="H5829" s="29" t="s">
        <v>4158</v>
      </c>
      <c r="I5829" s="29"/>
      <c r="J5829" s="29" t="s">
        <v>4159</v>
      </c>
      <c r="K5829" s="29"/>
      <c r="L5829" s="29" t="s">
        <v>582</v>
      </c>
      <c r="M5829" s="29"/>
      <c r="N5829" s="29" t="s">
        <v>3337</v>
      </c>
      <c r="O5829" s="29"/>
      <c r="P5829" s="29" t="s">
        <v>12185</v>
      </c>
      <c r="Q5829" t="s">
        <v>2042</v>
      </c>
      <c r="R5829" t="s">
        <v>2635</v>
      </c>
      <c r="S5829">
        <v>37</v>
      </c>
      <c r="T5829" s="43" t="str">
        <f t="shared" si="271"/>
        <v>2021.002F.R.Chrysoviridae_binomials.zip</v>
      </c>
      <c r="U5829" s="43" t="str">
        <f>HYPERLINK("https://ictv.global/taxonomy/taxondetails?taxnode_id=202202891","ictv.global=202202891")</f>
        <v>ictv.global=202202891</v>
      </c>
    </row>
    <row r="5830" spans="1:21">
      <c r="A5830">
        <v>5829</v>
      </c>
      <c r="B5830" s="29" t="s">
        <v>3223</v>
      </c>
      <c r="C5830" s="29"/>
      <c r="D5830" s="29" t="s">
        <v>4156</v>
      </c>
      <c r="E5830" s="29"/>
      <c r="F5830" s="29" t="s">
        <v>4157</v>
      </c>
      <c r="G5830" s="29"/>
      <c r="H5830" s="29" t="s">
        <v>4158</v>
      </c>
      <c r="I5830" s="29"/>
      <c r="J5830" s="29" t="s">
        <v>4159</v>
      </c>
      <c r="K5830" s="29"/>
      <c r="L5830" s="29" t="s">
        <v>582</v>
      </c>
      <c r="M5830" s="29"/>
      <c r="N5830" s="29" t="s">
        <v>3337</v>
      </c>
      <c r="O5830" s="29"/>
      <c r="P5830" s="29" t="s">
        <v>12186</v>
      </c>
      <c r="Q5830" t="s">
        <v>2042</v>
      </c>
      <c r="R5830" t="s">
        <v>2635</v>
      </c>
      <c r="S5830">
        <v>37</v>
      </c>
      <c r="T5830" s="43" t="str">
        <f t="shared" si="271"/>
        <v>2021.002F.R.Chrysoviridae_binomials.zip</v>
      </c>
      <c r="U5830" s="43" t="str">
        <f>HYPERLINK("https://ictv.global/taxonomy/taxondetails?taxnode_id=202208818","ictv.global=202208818")</f>
        <v>ictv.global=202208818</v>
      </c>
    </row>
    <row r="5831" spans="1:21">
      <c r="A5831">
        <v>5830</v>
      </c>
      <c r="B5831" s="29" t="s">
        <v>3223</v>
      </c>
      <c r="C5831" s="29"/>
      <c r="D5831" s="29" t="s">
        <v>4156</v>
      </c>
      <c r="E5831" s="29"/>
      <c r="F5831" s="29" t="s">
        <v>4157</v>
      </c>
      <c r="G5831" s="29"/>
      <c r="H5831" s="29" t="s">
        <v>4158</v>
      </c>
      <c r="I5831" s="29"/>
      <c r="J5831" s="29" t="s">
        <v>4159</v>
      </c>
      <c r="K5831" s="29"/>
      <c r="L5831" s="29" t="s">
        <v>582</v>
      </c>
      <c r="M5831" s="29"/>
      <c r="N5831" s="29" t="s">
        <v>3337</v>
      </c>
      <c r="O5831" s="29"/>
      <c r="P5831" s="29" t="s">
        <v>12187</v>
      </c>
      <c r="Q5831" t="s">
        <v>2042</v>
      </c>
      <c r="R5831" t="s">
        <v>2635</v>
      </c>
      <c r="S5831">
        <v>37</v>
      </c>
      <c r="T5831" s="43" t="str">
        <f t="shared" si="271"/>
        <v>2021.002F.R.Chrysoviridae_binomials.zip</v>
      </c>
      <c r="U5831" s="43" t="str">
        <f>HYPERLINK("https://ictv.global/taxonomy/taxondetails?taxnode_id=202206299","ictv.global=202206299")</f>
        <v>ictv.global=202206299</v>
      </c>
    </row>
    <row r="5832" spans="1:21">
      <c r="A5832">
        <v>5831</v>
      </c>
      <c r="B5832" s="29" t="s">
        <v>3223</v>
      </c>
      <c r="C5832" s="29"/>
      <c r="D5832" s="29" t="s">
        <v>4156</v>
      </c>
      <c r="E5832" s="29"/>
      <c r="F5832" s="29" t="s">
        <v>4157</v>
      </c>
      <c r="G5832" s="29"/>
      <c r="H5832" s="29" t="s">
        <v>4158</v>
      </c>
      <c r="I5832" s="29"/>
      <c r="J5832" s="29" t="s">
        <v>4159</v>
      </c>
      <c r="K5832" s="29"/>
      <c r="L5832" s="29" t="s">
        <v>582</v>
      </c>
      <c r="M5832" s="29"/>
      <c r="N5832" s="29" t="s">
        <v>3337</v>
      </c>
      <c r="O5832" s="29"/>
      <c r="P5832" s="29" t="s">
        <v>12188</v>
      </c>
      <c r="Q5832" t="s">
        <v>2042</v>
      </c>
      <c r="R5832" t="s">
        <v>2635</v>
      </c>
      <c r="S5832">
        <v>37</v>
      </c>
      <c r="T5832" s="43" t="str">
        <f t="shared" si="271"/>
        <v>2021.002F.R.Chrysoviridae_binomials.zip</v>
      </c>
      <c r="U5832" s="43" t="str">
        <f>HYPERLINK("https://ictv.global/taxonomy/taxondetails?taxnode_id=202202893","ictv.global=202202893")</f>
        <v>ictv.global=202202893</v>
      </c>
    </row>
    <row r="5833" spans="1:21">
      <c r="A5833">
        <v>5832</v>
      </c>
      <c r="B5833" s="29" t="s">
        <v>3223</v>
      </c>
      <c r="C5833" s="29"/>
      <c r="D5833" s="29" t="s">
        <v>4156</v>
      </c>
      <c r="E5833" s="29"/>
      <c r="F5833" s="29" t="s">
        <v>4157</v>
      </c>
      <c r="G5833" s="29"/>
      <c r="H5833" s="29" t="s">
        <v>4158</v>
      </c>
      <c r="I5833" s="29"/>
      <c r="J5833" s="29" t="s">
        <v>4159</v>
      </c>
      <c r="K5833" s="29"/>
      <c r="L5833" s="29" t="s">
        <v>582</v>
      </c>
      <c r="M5833" s="29"/>
      <c r="N5833" s="29" t="s">
        <v>3337</v>
      </c>
      <c r="O5833" s="29"/>
      <c r="P5833" s="29" t="s">
        <v>12189</v>
      </c>
      <c r="Q5833" t="s">
        <v>2042</v>
      </c>
      <c r="R5833" t="s">
        <v>2635</v>
      </c>
      <c r="S5833">
        <v>37</v>
      </c>
      <c r="T5833" s="43" t="str">
        <f t="shared" si="271"/>
        <v>2021.002F.R.Chrysoviridae_binomials.zip</v>
      </c>
      <c r="U5833" s="43" t="str">
        <f>HYPERLINK("https://ictv.global/taxonomy/taxondetails?taxnode_id=202202894","ictv.global=202202894")</f>
        <v>ictv.global=202202894</v>
      </c>
    </row>
    <row r="5834" spans="1:21">
      <c r="A5834">
        <v>5833</v>
      </c>
      <c r="B5834" s="29" t="s">
        <v>3223</v>
      </c>
      <c r="C5834" s="29"/>
      <c r="D5834" s="29" t="s">
        <v>4156</v>
      </c>
      <c r="E5834" s="29"/>
      <c r="F5834" s="29" t="s">
        <v>4157</v>
      </c>
      <c r="G5834" s="29"/>
      <c r="H5834" s="29" t="s">
        <v>4158</v>
      </c>
      <c r="I5834" s="29"/>
      <c r="J5834" s="29" t="s">
        <v>4159</v>
      </c>
      <c r="K5834" s="29"/>
      <c r="L5834" s="29" t="s">
        <v>582</v>
      </c>
      <c r="M5834" s="29"/>
      <c r="N5834" s="29" t="s">
        <v>3337</v>
      </c>
      <c r="O5834" s="29"/>
      <c r="P5834" s="29" t="s">
        <v>12190</v>
      </c>
      <c r="Q5834" t="s">
        <v>2042</v>
      </c>
      <c r="R5834" t="s">
        <v>2635</v>
      </c>
      <c r="S5834">
        <v>37</v>
      </c>
      <c r="T5834" s="43" t="str">
        <f t="shared" si="271"/>
        <v>2021.002F.R.Chrysoviridae_binomials.zip</v>
      </c>
      <c r="U5834" s="43" t="str">
        <f>HYPERLINK("https://ictv.global/taxonomy/taxondetails?taxnode_id=202202895","ictv.global=202202895")</f>
        <v>ictv.global=202202895</v>
      </c>
    </row>
    <row r="5835" spans="1:21">
      <c r="A5835">
        <v>5834</v>
      </c>
      <c r="B5835" s="29" t="s">
        <v>3223</v>
      </c>
      <c r="C5835" s="29"/>
      <c r="D5835" s="29" t="s">
        <v>4156</v>
      </c>
      <c r="E5835" s="29"/>
      <c r="F5835" s="29" t="s">
        <v>4157</v>
      </c>
      <c r="G5835" s="29"/>
      <c r="H5835" s="29" t="s">
        <v>4158</v>
      </c>
      <c r="I5835" s="29"/>
      <c r="J5835" s="29" t="s">
        <v>4159</v>
      </c>
      <c r="K5835" s="29"/>
      <c r="L5835" s="29" t="s">
        <v>582</v>
      </c>
      <c r="M5835" s="29"/>
      <c r="N5835" s="29" t="s">
        <v>3337</v>
      </c>
      <c r="O5835" s="29"/>
      <c r="P5835" s="29" t="s">
        <v>12191</v>
      </c>
      <c r="Q5835" t="s">
        <v>2042</v>
      </c>
      <c r="R5835" t="s">
        <v>2635</v>
      </c>
      <c r="S5835">
        <v>37</v>
      </c>
      <c r="T5835" s="43" t="str">
        <f t="shared" si="271"/>
        <v>2021.002F.R.Chrysoviridae_binomials.zip</v>
      </c>
      <c r="U5835" s="43" t="str">
        <f>HYPERLINK("https://ictv.global/taxonomy/taxondetails?taxnode_id=202206300","ictv.global=202206300")</f>
        <v>ictv.global=202206300</v>
      </c>
    </row>
    <row r="5836" spans="1:21">
      <c r="A5836">
        <v>5835</v>
      </c>
      <c r="B5836" s="29" t="s">
        <v>3223</v>
      </c>
      <c r="C5836" s="29"/>
      <c r="D5836" s="29" t="s">
        <v>4156</v>
      </c>
      <c r="E5836" s="29"/>
      <c r="F5836" s="29" t="s">
        <v>4157</v>
      </c>
      <c r="G5836" s="29"/>
      <c r="H5836" s="29" t="s">
        <v>4158</v>
      </c>
      <c r="I5836" s="29"/>
      <c r="J5836" s="29" t="s">
        <v>4159</v>
      </c>
      <c r="K5836" s="29"/>
      <c r="L5836" s="29" t="s">
        <v>582</v>
      </c>
      <c r="M5836" s="29"/>
      <c r="N5836" s="29" t="s">
        <v>3337</v>
      </c>
      <c r="O5836" s="29"/>
      <c r="P5836" s="29" t="s">
        <v>12192</v>
      </c>
      <c r="Q5836" t="s">
        <v>2042</v>
      </c>
      <c r="R5836" t="s">
        <v>2635</v>
      </c>
      <c r="S5836">
        <v>37</v>
      </c>
      <c r="T5836" s="43" t="str">
        <f t="shared" si="271"/>
        <v>2021.002F.R.Chrysoviridae_binomials.zip</v>
      </c>
      <c r="U5836" s="43" t="str">
        <f>HYPERLINK("https://ictv.global/taxonomy/taxondetails?taxnode_id=202206301","ictv.global=202206301")</f>
        <v>ictv.global=202206301</v>
      </c>
    </row>
    <row r="5837" spans="1:21">
      <c r="A5837">
        <v>5836</v>
      </c>
      <c r="B5837" s="29" t="s">
        <v>3223</v>
      </c>
      <c r="C5837" s="29"/>
      <c r="D5837" s="29" t="s">
        <v>4156</v>
      </c>
      <c r="E5837" s="29"/>
      <c r="F5837" s="29" t="s">
        <v>4157</v>
      </c>
      <c r="G5837" s="29"/>
      <c r="H5837" s="29" t="s">
        <v>4158</v>
      </c>
      <c r="I5837" s="29"/>
      <c r="J5837" s="29" t="s">
        <v>4159</v>
      </c>
      <c r="K5837" s="29"/>
      <c r="L5837" s="29" t="s">
        <v>582</v>
      </c>
      <c r="M5837" s="29"/>
      <c r="N5837" s="29" t="s">
        <v>3337</v>
      </c>
      <c r="O5837" s="29"/>
      <c r="P5837" s="29" t="s">
        <v>12193</v>
      </c>
      <c r="Q5837" t="s">
        <v>2042</v>
      </c>
      <c r="R5837" t="s">
        <v>2635</v>
      </c>
      <c r="S5837">
        <v>37</v>
      </c>
      <c r="T5837" s="43" t="str">
        <f t="shared" si="271"/>
        <v>2021.002F.R.Chrysoviridae_binomials.zip</v>
      </c>
      <c r="U5837" s="43" t="str">
        <f>HYPERLINK("https://ictv.global/taxonomy/taxondetails?taxnode_id=202202897","ictv.global=202202897")</f>
        <v>ictv.global=202202897</v>
      </c>
    </row>
    <row r="5838" spans="1:21">
      <c r="A5838">
        <v>5837</v>
      </c>
      <c r="B5838" s="29" t="s">
        <v>3223</v>
      </c>
      <c r="C5838" s="29"/>
      <c r="D5838" s="29" t="s">
        <v>4156</v>
      </c>
      <c r="E5838" s="29"/>
      <c r="F5838" s="29" t="s">
        <v>4157</v>
      </c>
      <c r="G5838" s="29"/>
      <c r="H5838" s="29" t="s">
        <v>4158</v>
      </c>
      <c r="I5838" s="29"/>
      <c r="J5838" s="29" t="s">
        <v>4159</v>
      </c>
      <c r="K5838" s="29"/>
      <c r="L5838" s="29" t="s">
        <v>582</v>
      </c>
      <c r="M5838" s="29"/>
      <c r="N5838" s="29" t="s">
        <v>3337</v>
      </c>
      <c r="O5838" s="29"/>
      <c r="P5838" s="29" t="s">
        <v>12194</v>
      </c>
      <c r="Q5838" t="s">
        <v>2042</v>
      </c>
      <c r="R5838" t="s">
        <v>2635</v>
      </c>
      <c r="S5838">
        <v>37</v>
      </c>
      <c r="T5838" s="43" t="str">
        <f t="shared" si="271"/>
        <v>2021.002F.R.Chrysoviridae_binomials.zip</v>
      </c>
      <c r="U5838" s="43" t="str">
        <f>HYPERLINK("https://ictv.global/taxonomy/taxondetails?taxnode_id=202202896","ictv.global=202202896")</f>
        <v>ictv.global=202202896</v>
      </c>
    </row>
    <row r="5839" spans="1:21">
      <c r="A5839">
        <v>5838</v>
      </c>
      <c r="B5839" s="29" t="s">
        <v>3223</v>
      </c>
      <c r="C5839" s="29"/>
      <c r="D5839" s="29" t="s">
        <v>4156</v>
      </c>
      <c r="E5839" s="29"/>
      <c r="F5839" s="29" t="s">
        <v>4157</v>
      </c>
      <c r="G5839" s="29"/>
      <c r="H5839" s="29" t="s">
        <v>4158</v>
      </c>
      <c r="I5839" s="29"/>
      <c r="J5839" s="29" t="s">
        <v>4159</v>
      </c>
      <c r="K5839" s="29"/>
      <c r="L5839" s="29" t="s">
        <v>582</v>
      </c>
      <c r="M5839" s="29"/>
      <c r="N5839" s="29" t="s">
        <v>3337</v>
      </c>
      <c r="O5839" s="29"/>
      <c r="P5839" s="29" t="s">
        <v>12195</v>
      </c>
      <c r="Q5839" t="s">
        <v>2042</v>
      </c>
      <c r="R5839" t="s">
        <v>2635</v>
      </c>
      <c r="S5839">
        <v>37</v>
      </c>
      <c r="T5839" s="43" t="str">
        <f t="shared" si="271"/>
        <v>2021.002F.R.Chrysoviridae_binomials.zip</v>
      </c>
      <c r="U5839" s="43" t="str">
        <f>HYPERLINK("https://ictv.global/taxonomy/taxondetails?taxnode_id=202202898","ictv.global=202202898")</f>
        <v>ictv.global=202202898</v>
      </c>
    </row>
    <row r="5840" spans="1:21">
      <c r="A5840">
        <v>5839</v>
      </c>
      <c r="B5840" s="29" t="s">
        <v>3223</v>
      </c>
      <c r="C5840" s="29"/>
      <c r="D5840" s="29" t="s">
        <v>4156</v>
      </c>
      <c r="E5840" s="29"/>
      <c r="F5840" s="29" t="s">
        <v>4157</v>
      </c>
      <c r="G5840" s="29"/>
      <c r="H5840" s="29" t="s">
        <v>4158</v>
      </c>
      <c r="I5840" s="29"/>
      <c r="J5840" s="29" t="s">
        <v>4159</v>
      </c>
      <c r="K5840" s="29"/>
      <c r="L5840" s="29" t="s">
        <v>582</v>
      </c>
      <c r="M5840" s="29"/>
      <c r="N5840" s="29" t="s">
        <v>3337</v>
      </c>
      <c r="O5840" s="29"/>
      <c r="P5840" s="29" t="s">
        <v>12196</v>
      </c>
      <c r="Q5840" t="s">
        <v>2042</v>
      </c>
      <c r="R5840" t="s">
        <v>2635</v>
      </c>
      <c r="S5840">
        <v>37</v>
      </c>
      <c r="T5840" s="43" t="str">
        <f t="shared" si="271"/>
        <v>2021.002F.R.Chrysoviridae_binomials.zip</v>
      </c>
      <c r="U5840" s="43" t="str">
        <f>HYPERLINK("https://ictv.global/taxonomy/taxondetails?taxnode_id=202206302","ictv.global=202206302")</f>
        <v>ictv.global=202206302</v>
      </c>
    </row>
    <row r="5841" spans="1:21">
      <c r="A5841">
        <v>5840</v>
      </c>
      <c r="B5841" s="29" t="s">
        <v>3223</v>
      </c>
      <c r="C5841" s="29"/>
      <c r="D5841" s="29" t="s">
        <v>4156</v>
      </c>
      <c r="E5841" s="29"/>
      <c r="F5841" s="29" t="s">
        <v>4157</v>
      </c>
      <c r="G5841" s="29"/>
      <c r="H5841" s="29" t="s">
        <v>4158</v>
      </c>
      <c r="I5841" s="29"/>
      <c r="J5841" s="29" t="s">
        <v>4159</v>
      </c>
      <c r="K5841" s="29"/>
      <c r="L5841" s="29" t="s">
        <v>582</v>
      </c>
      <c r="M5841" s="29"/>
      <c r="N5841" s="29" t="s">
        <v>3337</v>
      </c>
      <c r="O5841" s="29"/>
      <c r="P5841" s="29" t="s">
        <v>12197</v>
      </c>
      <c r="Q5841" t="s">
        <v>2042</v>
      </c>
      <c r="R5841" t="s">
        <v>2635</v>
      </c>
      <c r="S5841">
        <v>37</v>
      </c>
      <c r="T5841" s="43" t="str">
        <f t="shared" si="271"/>
        <v>2021.002F.R.Chrysoviridae_binomials.zip</v>
      </c>
      <c r="U5841" s="43" t="str">
        <f>HYPERLINK("https://ictv.global/taxonomy/taxondetails?taxnode_id=202206303","ictv.global=202206303")</f>
        <v>ictv.global=202206303</v>
      </c>
    </row>
    <row r="5842" spans="1:21">
      <c r="A5842">
        <v>5841</v>
      </c>
      <c r="B5842" s="29" t="s">
        <v>3223</v>
      </c>
      <c r="C5842" s="29"/>
      <c r="D5842" s="29" t="s">
        <v>4156</v>
      </c>
      <c r="E5842" s="29"/>
      <c r="F5842" s="29" t="s">
        <v>4157</v>
      </c>
      <c r="G5842" s="29"/>
      <c r="H5842" s="29" t="s">
        <v>4158</v>
      </c>
      <c r="I5842" s="29"/>
      <c r="J5842" s="29" t="s">
        <v>4159</v>
      </c>
      <c r="K5842" s="29"/>
      <c r="L5842" s="29" t="s">
        <v>582</v>
      </c>
      <c r="M5842" s="29"/>
      <c r="N5842" s="29" t="s">
        <v>3337</v>
      </c>
      <c r="O5842" s="29"/>
      <c r="P5842" s="29" t="s">
        <v>12198</v>
      </c>
      <c r="Q5842" t="s">
        <v>2042</v>
      </c>
      <c r="R5842" t="s">
        <v>2635</v>
      </c>
      <c r="S5842">
        <v>37</v>
      </c>
      <c r="T5842" s="43" t="str">
        <f t="shared" si="271"/>
        <v>2021.002F.R.Chrysoviridae_binomials.zip</v>
      </c>
      <c r="U5842" s="43" t="str">
        <f>HYPERLINK("https://ictv.global/taxonomy/taxondetails?taxnode_id=202208819","ictv.global=202208819")</f>
        <v>ictv.global=202208819</v>
      </c>
    </row>
    <row r="5843" spans="1:21">
      <c r="A5843">
        <v>5842</v>
      </c>
      <c r="B5843" s="29" t="s">
        <v>3223</v>
      </c>
      <c r="C5843" s="29"/>
      <c r="D5843" s="29" t="s">
        <v>4156</v>
      </c>
      <c r="E5843" s="29"/>
      <c r="F5843" s="29" t="s">
        <v>4157</v>
      </c>
      <c r="G5843" s="29"/>
      <c r="H5843" s="29" t="s">
        <v>4158</v>
      </c>
      <c r="I5843" s="29"/>
      <c r="J5843" s="29" t="s">
        <v>4159</v>
      </c>
      <c r="K5843" s="29"/>
      <c r="L5843" s="29" t="s">
        <v>582</v>
      </c>
      <c r="M5843" s="29"/>
      <c r="N5843" s="29" t="s">
        <v>3337</v>
      </c>
      <c r="O5843" s="29"/>
      <c r="P5843" s="29" t="s">
        <v>12199</v>
      </c>
      <c r="Q5843" t="s">
        <v>2042</v>
      </c>
      <c r="R5843" t="s">
        <v>2635</v>
      </c>
      <c r="S5843">
        <v>37</v>
      </c>
      <c r="T5843" s="43" t="str">
        <f t="shared" si="271"/>
        <v>2021.002F.R.Chrysoviridae_binomials.zip</v>
      </c>
      <c r="U5843" s="43" t="str">
        <f>HYPERLINK("https://ictv.global/taxonomy/taxondetails?taxnode_id=202206304","ictv.global=202206304")</f>
        <v>ictv.global=202206304</v>
      </c>
    </row>
    <row r="5844" spans="1:21">
      <c r="A5844">
        <v>5843</v>
      </c>
      <c r="B5844" s="29" t="s">
        <v>3223</v>
      </c>
      <c r="C5844" s="29"/>
      <c r="D5844" s="29" t="s">
        <v>4156</v>
      </c>
      <c r="E5844" s="29"/>
      <c r="F5844" s="29" t="s">
        <v>4157</v>
      </c>
      <c r="G5844" s="29"/>
      <c r="H5844" s="29" t="s">
        <v>4158</v>
      </c>
      <c r="I5844" s="29"/>
      <c r="J5844" s="29" t="s">
        <v>4159</v>
      </c>
      <c r="K5844" s="29"/>
      <c r="L5844" s="29" t="s">
        <v>582</v>
      </c>
      <c r="M5844" s="29"/>
      <c r="N5844" s="29" t="s">
        <v>3337</v>
      </c>
      <c r="O5844" s="29"/>
      <c r="P5844" s="29" t="s">
        <v>12200</v>
      </c>
      <c r="Q5844" t="s">
        <v>2042</v>
      </c>
      <c r="R5844" t="s">
        <v>2635</v>
      </c>
      <c r="S5844">
        <v>37</v>
      </c>
      <c r="T5844" s="43" t="str">
        <f t="shared" si="271"/>
        <v>2021.002F.R.Chrysoviridae_binomials.zip</v>
      </c>
      <c r="U5844" s="43" t="str">
        <f>HYPERLINK("https://ictv.global/taxonomy/taxondetails?taxnode_id=202202899","ictv.global=202202899")</f>
        <v>ictv.global=202202899</v>
      </c>
    </row>
    <row r="5845" spans="1:21">
      <c r="A5845">
        <v>5844</v>
      </c>
      <c r="B5845" s="29" t="s">
        <v>3223</v>
      </c>
      <c r="C5845" s="29"/>
      <c r="D5845" s="29" t="s">
        <v>4156</v>
      </c>
      <c r="E5845" s="29"/>
      <c r="F5845" s="29" t="s">
        <v>4157</v>
      </c>
      <c r="G5845" s="29"/>
      <c r="H5845" s="29" t="s">
        <v>4158</v>
      </c>
      <c r="I5845" s="29"/>
      <c r="J5845" s="29" t="s">
        <v>4159</v>
      </c>
      <c r="K5845" s="29"/>
      <c r="L5845" s="29" t="s">
        <v>582</v>
      </c>
      <c r="M5845" s="29"/>
      <c r="N5845" s="29" t="s">
        <v>3337</v>
      </c>
      <c r="O5845" s="29"/>
      <c r="P5845" s="29" t="s">
        <v>12201</v>
      </c>
      <c r="Q5845" t="s">
        <v>2042</v>
      </c>
      <c r="R5845" t="s">
        <v>2635</v>
      </c>
      <c r="S5845">
        <v>37</v>
      </c>
      <c r="T5845" s="43" t="str">
        <f t="shared" si="271"/>
        <v>2021.002F.R.Chrysoviridae_binomials.zip</v>
      </c>
      <c r="U5845" s="43" t="str">
        <f>HYPERLINK("https://ictv.global/taxonomy/taxondetails?taxnode_id=202208820","ictv.global=202208820")</f>
        <v>ictv.global=202208820</v>
      </c>
    </row>
    <row r="5846" spans="1:21">
      <c r="A5846">
        <v>5845</v>
      </c>
      <c r="B5846" s="29" t="s">
        <v>3223</v>
      </c>
      <c r="C5846" s="29"/>
      <c r="D5846" s="29" t="s">
        <v>4156</v>
      </c>
      <c r="E5846" s="29"/>
      <c r="F5846" s="29" t="s">
        <v>4157</v>
      </c>
      <c r="G5846" s="29"/>
      <c r="H5846" s="29" t="s">
        <v>4158</v>
      </c>
      <c r="I5846" s="29"/>
      <c r="J5846" s="29" t="s">
        <v>4159</v>
      </c>
      <c r="K5846" s="29"/>
      <c r="L5846" s="29" t="s">
        <v>582</v>
      </c>
      <c r="M5846" s="29"/>
      <c r="N5846" s="29" t="s">
        <v>3338</v>
      </c>
      <c r="O5846" s="29"/>
      <c r="P5846" s="29" t="s">
        <v>12202</v>
      </c>
      <c r="Q5846" t="s">
        <v>2042</v>
      </c>
      <c r="R5846" t="s">
        <v>2635</v>
      </c>
      <c r="S5846">
        <v>37</v>
      </c>
      <c r="T5846" s="43" t="str">
        <f t="shared" si="271"/>
        <v>2021.002F.R.Chrysoviridae_binomials.zip</v>
      </c>
      <c r="U5846" s="43" t="str">
        <f>HYPERLINK("https://ictv.global/taxonomy/taxondetails?taxnode_id=202206305","ictv.global=202206305")</f>
        <v>ictv.global=202206305</v>
      </c>
    </row>
    <row r="5847" spans="1:21">
      <c r="A5847">
        <v>5846</v>
      </c>
      <c r="B5847" s="29" t="s">
        <v>3223</v>
      </c>
      <c r="C5847" s="29"/>
      <c r="D5847" s="29" t="s">
        <v>4156</v>
      </c>
      <c r="E5847" s="29"/>
      <c r="F5847" s="29" t="s">
        <v>4157</v>
      </c>
      <c r="G5847" s="29"/>
      <c r="H5847" s="29" t="s">
        <v>4158</v>
      </c>
      <c r="I5847" s="29"/>
      <c r="J5847" s="29" t="s">
        <v>4159</v>
      </c>
      <c r="K5847" s="29"/>
      <c r="L5847" s="29" t="s">
        <v>582</v>
      </c>
      <c r="M5847" s="29"/>
      <c r="N5847" s="29" t="s">
        <v>3338</v>
      </c>
      <c r="O5847" s="29"/>
      <c r="P5847" s="29" t="s">
        <v>12203</v>
      </c>
      <c r="Q5847" t="s">
        <v>2042</v>
      </c>
      <c r="R5847" t="s">
        <v>2635</v>
      </c>
      <c r="S5847">
        <v>37</v>
      </c>
      <c r="T5847" s="43" t="str">
        <f t="shared" si="271"/>
        <v>2021.002F.R.Chrysoviridae_binomials.zip</v>
      </c>
      <c r="U5847" s="43" t="str">
        <f>HYPERLINK("https://ictv.global/taxonomy/taxondetails?taxnode_id=202208821","ictv.global=202208821")</f>
        <v>ictv.global=202208821</v>
      </c>
    </row>
    <row r="5848" spans="1:21">
      <c r="A5848">
        <v>5847</v>
      </c>
      <c r="B5848" s="29" t="s">
        <v>3223</v>
      </c>
      <c r="C5848" s="29"/>
      <c r="D5848" s="29" t="s">
        <v>4156</v>
      </c>
      <c r="E5848" s="29"/>
      <c r="F5848" s="29" t="s">
        <v>4157</v>
      </c>
      <c r="G5848" s="29"/>
      <c r="H5848" s="29" t="s">
        <v>4158</v>
      </c>
      <c r="I5848" s="29"/>
      <c r="J5848" s="29" t="s">
        <v>4159</v>
      </c>
      <c r="K5848" s="29"/>
      <c r="L5848" s="29" t="s">
        <v>582</v>
      </c>
      <c r="M5848" s="29"/>
      <c r="N5848" s="29" t="s">
        <v>3338</v>
      </c>
      <c r="O5848" s="29"/>
      <c r="P5848" s="29" t="s">
        <v>12204</v>
      </c>
      <c r="Q5848" t="s">
        <v>2042</v>
      </c>
      <c r="R5848" t="s">
        <v>2635</v>
      </c>
      <c r="S5848">
        <v>37</v>
      </c>
      <c r="T5848" s="43" t="str">
        <f t="shared" si="271"/>
        <v>2021.002F.R.Chrysoviridae_binomials.zip</v>
      </c>
      <c r="U5848" s="43" t="str">
        <f>HYPERLINK("https://ictv.global/taxonomy/taxondetails?taxnode_id=202206306","ictv.global=202206306")</f>
        <v>ictv.global=202206306</v>
      </c>
    </row>
    <row r="5849" spans="1:21">
      <c r="A5849">
        <v>5848</v>
      </c>
      <c r="B5849" s="29" t="s">
        <v>3223</v>
      </c>
      <c r="C5849" s="29"/>
      <c r="D5849" s="29" t="s">
        <v>4156</v>
      </c>
      <c r="E5849" s="29"/>
      <c r="F5849" s="29" t="s">
        <v>4157</v>
      </c>
      <c r="G5849" s="29"/>
      <c r="H5849" s="29" t="s">
        <v>4158</v>
      </c>
      <c r="I5849" s="29"/>
      <c r="J5849" s="29" t="s">
        <v>4159</v>
      </c>
      <c r="K5849" s="29"/>
      <c r="L5849" s="29" t="s">
        <v>582</v>
      </c>
      <c r="M5849" s="29"/>
      <c r="N5849" s="29" t="s">
        <v>3338</v>
      </c>
      <c r="O5849" s="29"/>
      <c r="P5849" s="29" t="s">
        <v>12205</v>
      </c>
      <c r="Q5849" t="s">
        <v>2042</v>
      </c>
      <c r="R5849" t="s">
        <v>2635</v>
      </c>
      <c r="S5849">
        <v>37</v>
      </c>
      <c r="T5849" s="43" t="str">
        <f t="shared" si="271"/>
        <v>2021.002F.R.Chrysoviridae_binomials.zip</v>
      </c>
      <c r="U5849" s="43" t="str">
        <f>HYPERLINK("https://ictv.global/taxonomy/taxondetails?taxnode_id=202206307","ictv.global=202206307")</f>
        <v>ictv.global=202206307</v>
      </c>
    </row>
    <row r="5850" spans="1:21">
      <c r="A5850">
        <v>5849</v>
      </c>
      <c r="B5850" s="29" t="s">
        <v>3223</v>
      </c>
      <c r="C5850" s="29"/>
      <c r="D5850" s="29" t="s">
        <v>4156</v>
      </c>
      <c r="E5850" s="29"/>
      <c r="F5850" s="29" t="s">
        <v>4157</v>
      </c>
      <c r="G5850" s="29"/>
      <c r="H5850" s="29" t="s">
        <v>4158</v>
      </c>
      <c r="I5850" s="29"/>
      <c r="J5850" s="29" t="s">
        <v>4159</v>
      </c>
      <c r="K5850" s="29"/>
      <c r="L5850" s="29" t="s">
        <v>582</v>
      </c>
      <c r="M5850" s="29"/>
      <c r="N5850" s="29" t="s">
        <v>3338</v>
      </c>
      <c r="O5850" s="29"/>
      <c r="P5850" s="29" t="s">
        <v>12206</v>
      </c>
      <c r="Q5850" t="s">
        <v>2042</v>
      </c>
      <c r="R5850" t="s">
        <v>2635</v>
      </c>
      <c r="S5850">
        <v>37</v>
      </c>
      <c r="T5850" s="43" t="str">
        <f t="shared" si="271"/>
        <v>2021.002F.R.Chrysoviridae_binomials.zip</v>
      </c>
      <c r="U5850" s="43" t="str">
        <f>HYPERLINK("https://ictv.global/taxonomy/taxondetails?taxnode_id=202208822","ictv.global=202208822")</f>
        <v>ictv.global=202208822</v>
      </c>
    </row>
    <row r="5851" spans="1:21">
      <c r="A5851">
        <v>5850</v>
      </c>
      <c r="B5851" s="29" t="s">
        <v>3223</v>
      </c>
      <c r="C5851" s="29"/>
      <c r="D5851" s="29" t="s">
        <v>4156</v>
      </c>
      <c r="E5851" s="29"/>
      <c r="F5851" s="29" t="s">
        <v>4157</v>
      </c>
      <c r="G5851" s="29"/>
      <c r="H5851" s="29" t="s">
        <v>4158</v>
      </c>
      <c r="I5851" s="29"/>
      <c r="J5851" s="29" t="s">
        <v>4159</v>
      </c>
      <c r="K5851" s="29"/>
      <c r="L5851" s="29" t="s">
        <v>582</v>
      </c>
      <c r="M5851" s="29"/>
      <c r="N5851" s="29" t="s">
        <v>3338</v>
      </c>
      <c r="O5851" s="29"/>
      <c r="P5851" s="29" t="s">
        <v>12207</v>
      </c>
      <c r="Q5851" t="s">
        <v>2042</v>
      </c>
      <c r="R5851" t="s">
        <v>2635</v>
      </c>
      <c r="S5851">
        <v>37</v>
      </c>
      <c r="T5851" s="43" t="str">
        <f t="shared" si="271"/>
        <v>2021.002F.R.Chrysoviridae_binomials.zip</v>
      </c>
      <c r="U5851" s="43" t="str">
        <f>HYPERLINK("https://ictv.global/taxonomy/taxondetails?taxnode_id=202206309","ictv.global=202206309")</f>
        <v>ictv.global=202206309</v>
      </c>
    </row>
    <row r="5852" spans="1:21">
      <c r="A5852">
        <v>5851</v>
      </c>
      <c r="B5852" s="29" t="s">
        <v>3223</v>
      </c>
      <c r="C5852" s="29"/>
      <c r="D5852" s="29" t="s">
        <v>4156</v>
      </c>
      <c r="E5852" s="29"/>
      <c r="F5852" s="29" t="s">
        <v>4157</v>
      </c>
      <c r="G5852" s="29"/>
      <c r="H5852" s="29" t="s">
        <v>4158</v>
      </c>
      <c r="I5852" s="29"/>
      <c r="J5852" s="29" t="s">
        <v>4159</v>
      </c>
      <c r="K5852" s="29"/>
      <c r="L5852" s="29" t="s">
        <v>582</v>
      </c>
      <c r="M5852" s="29"/>
      <c r="N5852" s="29" t="s">
        <v>3338</v>
      </c>
      <c r="O5852" s="29"/>
      <c r="P5852" s="29" t="s">
        <v>12208</v>
      </c>
      <c r="Q5852" t="s">
        <v>2042</v>
      </c>
      <c r="R5852" t="s">
        <v>2635</v>
      </c>
      <c r="S5852">
        <v>37</v>
      </c>
      <c r="T5852" s="43" t="str">
        <f t="shared" si="271"/>
        <v>2021.002F.R.Chrysoviridae_binomials.zip</v>
      </c>
      <c r="U5852" s="43" t="str">
        <f>HYPERLINK("https://ictv.global/taxonomy/taxondetails?taxnode_id=202206308","ictv.global=202206308")</f>
        <v>ictv.global=202206308</v>
      </c>
    </row>
    <row r="5853" spans="1:21">
      <c r="A5853">
        <v>5852</v>
      </c>
      <c r="B5853" s="29" t="s">
        <v>3223</v>
      </c>
      <c r="C5853" s="29"/>
      <c r="D5853" s="29" t="s">
        <v>4156</v>
      </c>
      <c r="E5853" s="29"/>
      <c r="F5853" s="29" t="s">
        <v>4157</v>
      </c>
      <c r="G5853" s="29"/>
      <c r="H5853" s="29" t="s">
        <v>4158</v>
      </c>
      <c r="I5853" s="29"/>
      <c r="J5853" s="29" t="s">
        <v>4159</v>
      </c>
      <c r="K5853" s="29"/>
      <c r="L5853" s="29" t="s">
        <v>582</v>
      </c>
      <c r="M5853" s="29"/>
      <c r="N5853" s="29" t="s">
        <v>3338</v>
      </c>
      <c r="O5853" s="29"/>
      <c r="P5853" s="29" t="s">
        <v>12209</v>
      </c>
      <c r="Q5853" t="s">
        <v>2042</v>
      </c>
      <c r="R5853" t="s">
        <v>2635</v>
      </c>
      <c r="S5853">
        <v>37</v>
      </c>
      <c r="T5853" s="43" t="str">
        <f t="shared" si="271"/>
        <v>2021.002F.R.Chrysoviridae_binomials.zip</v>
      </c>
      <c r="U5853" s="43" t="str">
        <f>HYPERLINK("https://ictv.global/taxonomy/taxondetails?taxnode_id=202206310","ictv.global=202206310")</f>
        <v>ictv.global=202206310</v>
      </c>
    </row>
    <row r="5854" spans="1:21">
      <c r="A5854">
        <v>5853</v>
      </c>
      <c r="B5854" s="29" t="s">
        <v>3223</v>
      </c>
      <c r="C5854" s="29"/>
      <c r="D5854" s="29" t="s">
        <v>4156</v>
      </c>
      <c r="E5854" s="29"/>
      <c r="F5854" s="29" t="s">
        <v>4157</v>
      </c>
      <c r="G5854" s="29"/>
      <c r="H5854" s="29" t="s">
        <v>4158</v>
      </c>
      <c r="I5854" s="29"/>
      <c r="J5854" s="29" t="s">
        <v>4159</v>
      </c>
      <c r="K5854" s="29"/>
      <c r="L5854" s="29" t="s">
        <v>582</v>
      </c>
      <c r="M5854" s="29"/>
      <c r="N5854" s="29" t="s">
        <v>3338</v>
      </c>
      <c r="O5854" s="29"/>
      <c r="P5854" s="29" t="s">
        <v>12210</v>
      </c>
      <c r="Q5854" t="s">
        <v>2042</v>
      </c>
      <c r="R5854" t="s">
        <v>2635</v>
      </c>
      <c r="S5854">
        <v>37</v>
      </c>
      <c r="T5854" s="43" t="str">
        <f t="shared" si="271"/>
        <v>2021.002F.R.Chrysoviridae_binomials.zip</v>
      </c>
      <c r="U5854" s="43" t="str">
        <f>HYPERLINK("https://ictv.global/taxonomy/taxondetails?taxnode_id=202208823","ictv.global=202208823")</f>
        <v>ictv.global=202208823</v>
      </c>
    </row>
    <row r="5855" spans="1:21">
      <c r="A5855">
        <v>5854</v>
      </c>
      <c r="B5855" s="29" t="s">
        <v>3223</v>
      </c>
      <c r="C5855" s="29"/>
      <c r="D5855" s="29" t="s">
        <v>4156</v>
      </c>
      <c r="E5855" s="29"/>
      <c r="F5855" s="29" t="s">
        <v>4157</v>
      </c>
      <c r="G5855" s="29"/>
      <c r="H5855" s="29" t="s">
        <v>4158</v>
      </c>
      <c r="I5855" s="29"/>
      <c r="J5855" s="29" t="s">
        <v>4159</v>
      </c>
      <c r="K5855" s="29"/>
      <c r="L5855" s="29" t="s">
        <v>582</v>
      </c>
      <c r="M5855" s="29"/>
      <c r="N5855" s="29" t="s">
        <v>3338</v>
      </c>
      <c r="O5855" s="29"/>
      <c r="P5855" s="29" t="s">
        <v>12211</v>
      </c>
      <c r="Q5855" t="s">
        <v>2042</v>
      </c>
      <c r="R5855" t="s">
        <v>2635</v>
      </c>
      <c r="S5855">
        <v>37</v>
      </c>
      <c r="T5855" s="43" t="str">
        <f t="shared" si="271"/>
        <v>2021.002F.R.Chrysoviridae_binomials.zip</v>
      </c>
      <c r="U5855" s="43" t="str">
        <f>HYPERLINK("https://ictv.global/taxonomy/taxondetails?taxnode_id=202206311","ictv.global=202206311")</f>
        <v>ictv.global=202206311</v>
      </c>
    </row>
    <row r="5856" spans="1:21">
      <c r="A5856">
        <v>5855</v>
      </c>
      <c r="B5856" s="29" t="s">
        <v>3223</v>
      </c>
      <c r="C5856" s="29"/>
      <c r="D5856" s="29" t="s">
        <v>4156</v>
      </c>
      <c r="E5856" s="29"/>
      <c r="F5856" s="29" t="s">
        <v>4157</v>
      </c>
      <c r="G5856" s="29"/>
      <c r="H5856" s="29" t="s">
        <v>4158</v>
      </c>
      <c r="I5856" s="29"/>
      <c r="J5856" s="29" t="s">
        <v>4159</v>
      </c>
      <c r="K5856" s="29"/>
      <c r="L5856" s="29" t="s">
        <v>582</v>
      </c>
      <c r="M5856" s="29"/>
      <c r="N5856" s="29" t="s">
        <v>3338</v>
      </c>
      <c r="O5856" s="29"/>
      <c r="P5856" s="29" t="s">
        <v>12212</v>
      </c>
      <c r="Q5856" t="s">
        <v>2042</v>
      </c>
      <c r="R5856" t="s">
        <v>2635</v>
      </c>
      <c r="S5856">
        <v>37</v>
      </c>
      <c r="T5856" s="43" t="str">
        <f t="shared" si="271"/>
        <v>2021.002F.R.Chrysoviridae_binomials.zip</v>
      </c>
      <c r="U5856" s="43" t="str">
        <f>HYPERLINK("https://ictv.global/taxonomy/taxondetails?taxnode_id=202206312","ictv.global=202206312")</f>
        <v>ictv.global=202206312</v>
      </c>
    </row>
    <row r="5857" spans="1:21">
      <c r="A5857">
        <v>5856</v>
      </c>
      <c r="B5857" s="29" t="s">
        <v>3223</v>
      </c>
      <c r="C5857" s="29"/>
      <c r="D5857" s="29" t="s">
        <v>4156</v>
      </c>
      <c r="E5857" s="29"/>
      <c r="F5857" s="29" t="s">
        <v>4157</v>
      </c>
      <c r="G5857" s="29"/>
      <c r="H5857" s="29" t="s">
        <v>4158</v>
      </c>
      <c r="I5857" s="29"/>
      <c r="J5857" s="29" t="s">
        <v>4159</v>
      </c>
      <c r="K5857" s="29"/>
      <c r="L5857" s="29" t="s">
        <v>59</v>
      </c>
      <c r="M5857" s="29"/>
      <c r="N5857" s="29" t="s">
        <v>60</v>
      </c>
      <c r="O5857" s="29"/>
      <c r="P5857" s="29" t="s">
        <v>61</v>
      </c>
      <c r="Q5857" t="s">
        <v>2042</v>
      </c>
      <c r="R5857" t="s">
        <v>6901</v>
      </c>
      <c r="S5857">
        <v>36</v>
      </c>
      <c r="T5857" s="43" t="str">
        <f>HYPERLINK("https://ictv.global/ictv/proposals/2020.001G.R.Abolish_type_species.pdf","2020.001G.R.Abolish_type_species.pdf")</f>
        <v>2020.001G.R.Abolish_type_species.pdf</v>
      </c>
      <c r="U5857" s="43" t="str">
        <f>HYPERLINK("https://ictv.global/taxonomy/taxondetails?taxnode_id=202203810","ictv.global=202203810")</f>
        <v>ictv.global=202203810</v>
      </c>
    </row>
    <row r="5858" spans="1:21">
      <c r="A5858">
        <v>5857</v>
      </c>
      <c r="B5858" s="29" t="s">
        <v>3223</v>
      </c>
      <c r="C5858" s="29"/>
      <c r="D5858" s="29" t="s">
        <v>4156</v>
      </c>
      <c r="E5858" s="29"/>
      <c r="F5858" s="29" t="s">
        <v>4157</v>
      </c>
      <c r="G5858" s="29"/>
      <c r="H5858" s="29" t="s">
        <v>4158</v>
      </c>
      <c r="I5858" s="29"/>
      <c r="J5858" s="29" t="s">
        <v>4159</v>
      </c>
      <c r="K5858" s="29"/>
      <c r="L5858" s="29" t="s">
        <v>1691</v>
      </c>
      <c r="M5858" s="29"/>
      <c r="N5858" s="29" t="s">
        <v>1692</v>
      </c>
      <c r="O5858" s="29"/>
      <c r="P5858" s="29" t="s">
        <v>1693</v>
      </c>
      <c r="Q5858" t="s">
        <v>2042</v>
      </c>
      <c r="R5858" t="s">
        <v>6901</v>
      </c>
      <c r="S5858">
        <v>36</v>
      </c>
      <c r="T5858" s="43" t="str">
        <f>HYPERLINK("https://ictv.global/ictv/proposals/2020.001G.R.Abolish_type_species.pdf","2020.001G.R.Abolish_type_species.pdf")</f>
        <v>2020.001G.R.Abolish_type_species.pdf</v>
      </c>
      <c r="U5858" s="43" t="str">
        <f>HYPERLINK("https://ictv.global/taxonomy/taxondetails?taxnode_id=202204870","ictv.global=202204870")</f>
        <v>ictv.global=202204870</v>
      </c>
    </row>
    <row r="5859" spans="1:21">
      <c r="A5859">
        <v>5858</v>
      </c>
      <c r="B5859" s="29" t="s">
        <v>3223</v>
      </c>
      <c r="C5859" s="29"/>
      <c r="D5859" s="29" t="s">
        <v>4156</v>
      </c>
      <c r="E5859" s="29"/>
      <c r="F5859" s="29" t="s">
        <v>4157</v>
      </c>
      <c r="G5859" s="29"/>
      <c r="H5859" s="29" t="s">
        <v>4158</v>
      </c>
      <c r="I5859" s="29"/>
      <c r="J5859" s="29" t="s">
        <v>4159</v>
      </c>
      <c r="K5859" s="29"/>
      <c r="L5859" s="29" t="s">
        <v>1401</v>
      </c>
      <c r="M5859" s="29"/>
      <c r="N5859" s="29" t="s">
        <v>1402</v>
      </c>
      <c r="O5859" s="29"/>
      <c r="P5859" s="29" t="s">
        <v>1195</v>
      </c>
      <c r="Q5859" t="s">
        <v>2042</v>
      </c>
      <c r="R5859" t="s">
        <v>6901</v>
      </c>
      <c r="S5859">
        <v>36</v>
      </c>
      <c r="T5859" s="43" t="str">
        <f>HYPERLINK("https://ictv.global/ictv/proposals/2020.001G.R.Abolish_type_species.pdf","2020.001G.R.Abolish_type_species.pdf")</f>
        <v>2020.001G.R.Abolish_type_species.pdf</v>
      </c>
      <c r="U5859" s="43" t="str">
        <f>HYPERLINK("https://ictv.global/taxonomy/taxondetails?taxnode_id=202205288","ictv.global=202205288")</f>
        <v>ictv.global=202205288</v>
      </c>
    </row>
    <row r="5860" spans="1:21">
      <c r="A5860">
        <v>5859</v>
      </c>
      <c r="B5860" s="29" t="s">
        <v>3223</v>
      </c>
      <c r="C5860" s="29"/>
      <c r="D5860" s="29" t="s">
        <v>4156</v>
      </c>
      <c r="E5860" s="29"/>
      <c r="F5860" s="29" t="s">
        <v>4157</v>
      </c>
      <c r="G5860" s="29"/>
      <c r="H5860" s="29" t="s">
        <v>4158</v>
      </c>
      <c r="I5860" s="29"/>
      <c r="J5860" s="29" t="s">
        <v>4159</v>
      </c>
      <c r="K5860" s="29"/>
      <c r="L5860" s="29" t="s">
        <v>1401</v>
      </c>
      <c r="M5860" s="29"/>
      <c r="N5860" s="29" t="s">
        <v>1196</v>
      </c>
      <c r="O5860" s="29"/>
      <c r="P5860" s="29" t="s">
        <v>1951</v>
      </c>
      <c r="Q5860" t="s">
        <v>2042</v>
      </c>
      <c r="R5860" t="s">
        <v>6901</v>
      </c>
      <c r="S5860">
        <v>36</v>
      </c>
      <c r="T5860" s="43" t="str">
        <f>HYPERLINK("https://ictv.global/ictv/proposals/2020.001G.R.Abolish_type_species.pdf","2020.001G.R.Abolish_type_species.pdf")</f>
        <v>2020.001G.R.Abolish_type_species.pdf</v>
      </c>
      <c r="U5860" s="43" t="str">
        <f>HYPERLINK("https://ictv.global/taxonomy/taxondetails?taxnode_id=202205290","ictv.global=202205290")</f>
        <v>ictv.global=202205290</v>
      </c>
    </row>
    <row r="5861" spans="1:21">
      <c r="A5861">
        <v>5860</v>
      </c>
      <c r="B5861" s="29" t="s">
        <v>3223</v>
      </c>
      <c r="C5861" s="29"/>
      <c r="D5861" s="29" t="s">
        <v>4156</v>
      </c>
      <c r="E5861" s="29"/>
      <c r="F5861" s="29" t="s">
        <v>4157</v>
      </c>
      <c r="G5861" s="29"/>
      <c r="H5861" s="29" t="s">
        <v>4158</v>
      </c>
      <c r="I5861" s="29"/>
      <c r="J5861" s="29" t="s">
        <v>4159</v>
      </c>
      <c r="K5861" s="29"/>
      <c r="L5861" s="29" t="s">
        <v>1401</v>
      </c>
      <c r="M5861" s="29"/>
      <c r="N5861" s="29" t="s">
        <v>1196</v>
      </c>
      <c r="O5861" s="29"/>
      <c r="P5861" s="29" t="s">
        <v>1952</v>
      </c>
      <c r="Q5861" t="s">
        <v>2042</v>
      </c>
      <c r="R5861" t="s">
        <v>2634</v>
      </c>
      <c r="S5861">
        <v>35</v>
      </c>
      <c r="T5861" s="43" t="str">
        <f>HYPERLINK("https://ictv.global/ictv/proposals/2019.006G.zip","2019.006G.zip")</f>
        <v>2019.006G.zip</v>
      </c>
      <c r="U5861" s="43" t="str">
        <f>HYPERLINK("https://ictv.global/taxonomy/taxondetails?taxnode_id=202205291","ictv.global=202205291")</f>
        <v>ictv.global=202205291</v>
      </c>
    </row>
    <row r="5862" spans="1:21">
      <c r="A5862">
        <v>5861</v>
      </c>
      <c r="B5862" s="29" t="s">
        <v>3223</v>
      </c>
      <c r="C5862" s="29"/>
      <c r="D5862" s="29" t="s">
        <v>4156</v>
      </c>
      <c r="E5862" s="29"/>
      <c r="F5862" s="29" t="s">
        <v>4157</v>
      </c>
      <c r="G5862" s="29"/>
      <c r="H5862" s="29" t="s">
        <v>4158</v>
      </c>
      <c r="I5862" s="29"/>
      <c r="J5862" s="29" t="s">
        <v>4159</v>
      </c>
      <c r="K5862" s="29"/>
      <c r="L5862" s="29" t="s">
        <v>1401</v>
      </c>
      <c r="M5862" s="29"/>
      <c r="N5862" s="29" t="s">
        <v>992</v>
      </c>
      <c r="O5862" s="29"/>
      <c r="P5862" s="29" t="s">
        <v>993</v>
      </c>
      <c r="Q5862" t="s">
        <v>2042</v>
      </c>
      <c r="R5862" t="s">
        <v>6901</v>
      </c>
      <c r="S5862">
        <v>36</v>
      </c>
      <c r="T5862" s="43" t="str">
        <f>HYPERLINK("https://ictv.global/ictv/proposals/2020.001G.R.Abolish_type_species.pdf","2020.001G.R.Abolish_type_species.pdf")</f>
        <v>2020.001G.R.Abolish_type_species.pdf</v>
      </c>
      <c r="U5862" s="43" t="str">
        <f>HYPERLINK("https://ictv.global/taxonomy/taxondetails?taxnode_id=202205293","ictv.global=202205293")</f>
        <v>ictv.global=202205293</v>
      </c>
    </row>
    <row r="5863" spans="1:21">
      <c r="A5863">
        <v>5862</v>
      </c>
      <c r="B5863" s="29" t="s">
        <v>3223</v>
      </c>
      <c r="C5863" s="29"/>
      <c r="D5863" s="29" t="s">
        <v>4156</v>
      </c>
      <c r="E5863" s="29"/>
      <c r="F5863" s="29" t="s">
        <v>4157</v>
      </c>
      <c r="G5863" s="29"/>
      <c r="H5863" s="29" t="s">
        <v>4158</v>
      </c>
      <c r="I5863" s="29"/>
      <c r="J5863" s="29" t="s">
        <v>4159</v>
      </c>
      <c r="K5863" s="29"/>
      <c r="L5863" s="29" t="s">
        <v>1401</v>
      </c>
      <c r="M5863" s="29"/>
      <c r="N5863" s="29" t="s">
        <v>992</v>
      </c>
      <c r="O5863" s="29"/>
      <c r="P5863" s="29" t="s">
        <v>2986</v>
      </c>
      <c r="Q5863" t="s">
        <v>2042</v>
      </c>
      <c r="R5863" t="s">
        <v>2634</v>
      </c>
      <c r="S5863">
        <v>35</v>
      </c>
      <c r="T5863" s="43" t="str">
        <f t="shared" ref="T5863:T5868" si="272">HYPERLINK("https://ictv.global/ictv/proposals/2019.006G.zip","2019.006G.zip")</f>
        <v>2019.006G.zip</v>
      </c>
      <c r="U5863" s="43" t="str">
        <f>HYPERLINK("https://ictv.global/taxonomy/taxondetails?taxnode_id=202205294","ictv.global=202205294")</f>
        <v>ictv.global=202205294</v>
      </c>
    </row>
    <row r="5864" spans="1:21">
      <c r="A5864">
        <v>5863</v>
      </c>
      <c r="B5864" s="29" t="s">
        <v>3223</v>
      </c>
      <c r="C5864" s="29"/>
      <c r="D5864" s="29" t="s">
        <v>4156</v>
      </c>
      <c r="E5864" s="29"/>
      <c r="F5864" s="29" t="s">
        <v>4157</v>
      </c>
      <c r="G5864" s="29"/>
      <c r="H5864" s="29" t="s">
        <v>4158</v>
      </c>
      <c r="I5864" s="29"/>
      <c r="J5864" s="29" t="s">
        <v>4159</v>
      </c>
      <c r="K5864" s="29"/>
      <c r="L5864" s="29" t="s">
        <v>1401</v>
      </c>
      <c r="M5864" s="29"/>
      <c r="N5864" s="29" t="s">
        <v>992</v>
      </c>
      <c r="O5864" s="29"/>
      <c r="P5864" s="29" t="s">
        <v>1953</v>
      </c>
      <c r="Q5864" t="s">
        <v>2042</v>
      </c>
      <c r="R5864" t="s">
        <v>2634</v>
      </c>
      <c r="S5864">
        <v>35</v>
      </c>
      <c r="T5864" s="43" t="str">
        <f t="shared" si="272"/>
        <v>2019.006G.zip</v>
      </c>
      <c r="U5864" s="43" t="str">
        <f>HYPERLINK("https://ictv.global/taxonomy/taxondetails?taxnode_id=202205295","ictv.global=202205295")</f>
        <v>ictv.global=202205295</v>
      </c>
    </row>
    <row r="5865" spans="1:21">
      <c r="A5865">
        <v>5864</v>
      </c>
      <c r="B5865" s="29" t="s">
        <v>3223</v>
      </c>
      <c r="C5865" s="29"/>
      <c r="D5865" s="29" t="s">
        <v>4156</v>
      </c>
      <c r="E5865" s="29"/>
      <c r="F5865" s="29" t="s">
        <v>4157</v>
      </c>
      <c r="G5865" s="29"/>
      <c r="H5865" s="29" t="s">
        <v>4158</v>
      </c>
      <c r="I5865" s="29"/>
      <c r="J5865" s="29" t="s">
        <v>4159</v>
      </c>
      <c r="K5865" s="29"/>
      <c r="L5865" s="29" t="s">
        <v>1401</v>
      </c>
      <c r="M5865" s="29"/>
      <c r="N5865" s="29" t="s">
        <v>992</v>
      </c>
      <c r="O5865" s="29"/>
      <c r="P5865" s="29" t="s">
        <v>1954</v>
      </c>
      <c r="Q5865" t="s">
        <v>2042</v>
      </c>
      <c r="R5865" t="s">
        <v>2634</v>
      </c>
      <c r="S5865">
        <v>35</v>
      </c>
      <c r="T5865" s="43" t="str">
        <f t="shared" si="272"/>
        <v>2019.006G.zip</v>
      </c>
      <c r="U5865" s="43" t="str">
        <f>HYPERLINK("https://ictv.global/taxonomy/taxondetails?taxnode_id=202205296","ictv.global=202205296")</f>
        <v>ictv.global=202205296</v>
      </c>
    </row>
    <row r="5866" spans="1:21">
      <c r="A5866">
        <v>5865</v>
      </c>
      <c r="B5866" s="29" t="s">
        <v>3223</v>
      </c>
      <c r="C5866" s="29"/>
      <c r="D5866" s="29" t="s">
        <v>4156</v>
      </c>
      <c r="E5866" s="29"/>
      <c r="F5866" s="29" t="s">
        <v>4157</v>
      </c>
      <c r="G5866" s="29"/>
      <c r="H5866" s="29" t="s">
        <v>4158</v>
      </c>
      <c r="I5866" s="29"/>
      <c r="J5866" s="29" t="s">
        <v>4159</v>
      </c>
      <c r="K5866" s="29"/>
      <c r="L5866" s="29" t="s">
        <v>1401</v>
      </c>
      <c r="M5866" s="29"/>
      <c r="N5866" s="29" t="s">
        <v>992</v>
      </c>
      <c r="O5866" s="29"/>
      <c r="P5866" s="29" t="s">
        <v>994</v>
      </c>
      <c r="Q5866" t="s">
        <v>2042</v>
      </c>
      <c r="R5866" t="s">
        <v>2634</v>
      </c>
      <c r="S5866">
        <v>35</v>
      </c>
      <c r="T5866" s="43" t="str">
        <f t="shared" si="272"/>
        <v>2019.006G.zip</v>
      </c>
      <c r="U5866" s="43" t="str">
        <f>HYPERLINK("https://ictv.global/taxonomy/taxondetails?taxnode_id=202205297","ictv.global=202205297")</f>
        <v>ictv.global=202205297</v>
      </c>
    </row>
    <row r="5867" spans="1:21">
      <c r="A5867">
        <v>5866</v>
      </c>
      <c r="B5867" s="29" t="s">
        <v>3223</v>
      </c>
      <c r="C5867" s="29"/>
      <c r="D5867" s="29" t="s">
        <v>4156</v>
      </c>
      <c r="E5867" s="29"/>
      <c r="F5867" s="29" t="s">
        <v>4157</v>
      </c>
      <c r="G5867" s="29"/>
      <c r="H5867" s="29" t="s">
        <v>4158</v>
      </c>
      <c r="I5867" s="29"/>
      <c r="J5867" s="29" t="s">
        <v>4159</v>
      </c>
      <c r="K5867" s="29"/>
      <c r="L5867" s="29" t="s">
        <v>1401</v>
      </c>
      <c r="M5867" s="29"/>
      <c r="N5867" s="29" t="s">
        <v>992</v>
      </c>
      <c r="O5867" s="29"/>
      <c r="P5867" s="29" t="s">
        <v>1955</v>
      </c>
      <c r="Q5867" t="s">
        <v>2042</v>
      </c>
      <c r="R5867" t="s">
        <v>2634</v>
      </c>
      <c r="S5867">
        <v>35</v>
      </c>
      <c r="T5867" s="43" t="str">
        <f t="shared" si="272"/>
        <v>2019.006G.zip</v>
      </c>
      <c r="U5867" s="43" t="str">
        <f>HYPERLINK("https://ictv.global/taxonomy/taxondetails?taxnode_id=202205298","ictv.global=202205298")</f>
        <v>ictv.global=202205298</v>
      </c>
    </row>
    <row r="5868" spans="1:21">
      <c r="A5868">
        <v>5867</v>
      </c>
      <c r="B5868" s="29" t="s">
        <v>3223</v>
      </c>
      <c r="C5868" s="29"/>
      <c r="D5868" s="29" t="s">
        <v>4156</v>
      </c>
      <c r="E5868" s="29"/>
      <c r="F5868" s="29" t="s">
        <v>4157</v>
      </c>
      <c r="G5868" s="29"/>
      <c r="H5868" s="29" t="s">
        <v>4158</v>
      </c>
      <c r="I5868" s="29"/>
      <c r="J5868" s="29" t="s">
        <v>4159</v>
      </c>
      <c r="K5868" s="29"/>
      <c r="L5868" s="29" t="s">
        <v>1401</v>
      </c>
      <c r="M5868" s="29"/>
      <c r="N5868" s="29" t="s">
        <v>992</v>
      </c>
      <c r="O5868" s="29"/>
      <c r="P5868" s="29" t="s">
        <v>1956</v>
      </c>
      <c r="Q5868" t="s">
        <v>2042</v>
      </c>
      <c r="R5868" t="s">
        <v>2634</v>
      </c>
      <c r="S5868">
        <v>35</v>
      </c>
      <c r="T5868" s="43" t="str">
        <f t="shared" si="272"/>
        <v>2019.006G.zip</v>
      </c>
      <c r="U5868" s="43" t="str">
        <f>HYPERLINK("https://ictv.global/taxonomy/taxondetails?taxnode_id=202205299","ictv.global=202205299")</f>
        <v>ictv.global=202205299</v>
      </c>
    </row>
    <row r="5869" spans="1:21">
      <c r="A5869">
        <v>5868</v>
      </c>
      <c r="B5869" s="29" t="s">
        <v>3223</v>
      </c>
      <c r="C5869" s="29"/>
      <c r="D5869" s="29" t="s">
        <v>4156</v>
      </c>
      <c r="E5869" s="29"/>
      <c r="F5869" s="29" t="s">
        <v>4157</v>
      </c>
      <c r="G5869" s="29"/>
      <c r="H5869" s="29" t="s">
        <v>4158</v>
      </c>
      <c r="I5869" s="29"/>
      <c r="J5869" s="29" t="s">
        <v>4159</v>
      </c>
      <c r="K5869" s="29"/>
      <c r="L5869" s="29" t="s">
        <v>1401</v>
      </c>
      <c r="M5869" s="29"/>
      <c r="N5869" s="29" t="s">
        <v>163</v>
      </c>
      <c r="O5869" s="29"/>
      <c r="P5869" s="29" t="s">
        <v>164</v>
      </c>
      <c r="Q5869" t="s">
        <v>2042</v>
      </c>
      <c r="R5869" t="s">
        <v>6901</v>
      </c>
      <c r="S5869">
        <v>36</v>
      </c>
      <c r="T5869" s="43" t="str">
        <f>HYPERLINK("https://ictv.global/ictv/proposals/2020.001G.R.Abolish_type_species.pdf","2020.001G.R.Abolish_type_species.pdf")</f>
        <v>2020.001G.R.Abolish_type_species.pdf</v>
      </c>
      <c r="U5869" s="43" t="str">
        <f>HYPERLINK("https://ictv.global/taxonomy/taxondetails?taxnode_id=202205301","ictv.global=202205301")</f>
        <v>ictv.global=202205301</v>
      </c>
    </row>
    <row r="5870" spans="1:21">
      <c r="A5870">
        <v>5869</v>
      </c>
      <c r="B5870" s="29" t="s">
        <v>3223</v>
      </c>
      <c r="C5870" s="29"/>
      <c r="D5870" s="29" t="s">
        <v>4156</v>
      </c>
      <c r="E5870" s="29"/>
      <c r="F5870" s="29" t="s">
        <v>4157</v>
      </c>
      <c r="G5870" s="29"/>
      <c r="H5870" s="29" t="s">
        <v>4158</v>
      </c>
      <c r="I5870" s="29"/>
      <c r="J5870" s="29" t="s">
        <v>4159</v>
      </c>
      <c r="K5870" s="29"/>
      <c r="L5870" s="29" t="s">
        <v>1401</v>
      </c>
      <c r="M5870" s="29"/>
      <c r="N5870" s="29" t="s">
        <v>163</v>
      </c>
      <c r="O5870" s="29"/>
      <c r="P5870" s="29" t="s">
        <v>165</v>
      </c>
      <c r="Q5870" t="s">
        <v>2042</v>
      </c>
      <c r="R5870" t="s">
        <v>2634</v>
      </c>
      <c r="S5870">
        <v>35</v>
      </c>
      <c r="T5870" s="43" t="str">
        <f t="shared" ref="T5870:T5879" si="273">HYPERLINK("https://ictv.global/ictv/proposals/2019.006G.zip","2019.006G.zip")</f>
        <v>2019.006G.zip</v>
      </c>
      <c r="U5870" s="43" t="str">
        <f>HYPERLINK("https://ictv.global/taxonomy/taxondetails?taxnode_id=202205302","ictv.global=202205302")</f>
        <v>ictv.global=202205302</v>
      </c>
    </row>
    <row r="5871" spans="1:21">
      <c r="A5871">
        <v>5870</v>
      </c>
      <c r="B5871" s="29" t="s">
        <v>3223</v>
      </c>
      <c r="C5871" s="29"/>
      <c r="D5871" s="29" t="s">
        <v>4156</v>
      </c>
      <c r="E5871" s="29"/>
      <c r="F5871" s="29" t="s">
        <v>4157</v>
      </c>
      <c r="G5871" s="29"/>
      <c r="H5871" s="29" t="s">
        <v>4158</v>
      </c>
      <c r="I5871" s="29"/>
      <c r="J5871" s="29" t="s">
        <v>4159</v>
      </c>
      <c r="K5871" s="29"/>
      <c r="L5871" s="29" t="s">
        <v>1401</v>
      </c>
      <c r="M5871" s="29"/>
      <c r="N5871" s="29" t="s">
        <v>163</v>
      </c>
      <c r="O5871" s="29"/>
      <c r="P5871" s="29" t="s">
        <v>166</v>
      </c>
      <c r="Q5871" t="s">
        <v>2042</v>
      </c>
      <c r="R5871" t="s">
        <v>2634</v>
      </c>
      <c r="S5871">
        <v>35</v>
      </c>
      <c r="T5871" s="43" t="str">
        <f t="shared" si="273"/>
        <v>2019.006G.zip</v>
      </c>
      <c r="U5871" s="43" t="str">
        <f>HYPERLINK("https://ictv.global/taxonomy/taxondetails?taxnode_id=202205303","ictv.global=202205303")</f>
        <v>ictv.global=202205303</v>
      </c>
    </row>
    <row r="5872" spans="1:21">
      <c r="A5872">
        <v>5871</v>
      </c>
      <c r="B5872" s="29" t="s">
        <v>3223</v>
      </c>
      <c r="C5872" s="29"/>
      <c r="D5872" s="29" t="s">
        <v>4156</v>
      </c>
      <c r="E5872" s="29"/>
      <c r="F5872" s="29" t="s">
        <v>4157</v>
      </c>
      <c r="G5872" s="29"/>
      <c r="H5872" s="29" t="s">
        <v>4158</v>
      </c>
      <c r="I5872" s="29"/>
      <c r="J5872" s="29" t="s">
        <v>4159</v>
      </c>
      <c r="K5872" s="29"/>
      <c r="L5872" s="29" t="s">
        <v>1401</v>
      </c>
      <c r="M5872" s="29"/>
      <c r="N5872" s="29" t="s">
        <v>163</v>
      </c>
      <c r="O5872" s="29"/>
      <c r="P5872" s="29" t="s">
        <v>1957</v>
      </c>
      <c r="Q5872" t="s">
        <v>2042</v>
      </c>
      <c r="R5872" t="s">
        <v>2634</v>
      </c>
      <c r="S5872">
        <v>35</v>
      </c>
      <c r="T5872" s="43" t="str">
        <f t="shared" si="273"/>
        <v>2019.006G.zip</v>
      </c>
      <c r="U5872" s="43" t="str">
        <f>HYPERLINK("https://ictv.global/taxonomy/taxondetails?taxnode_id=202205304","ictv.global=202205304")</f>
        <v>ictv.global=202205304</v>
      </c>
    </row>
    <row r="5873" spans="1:21">
      <c r="A5873">
        <v>5872</v>
      </c>
      <c r="B5873" s="29" t="s">
        <v>3223</v>
      </c>
      <c r="C5873" s="29"/>
      <c r="D5873" s="29" t="s">
        <v>4156</v>
      </c>
      <c r="E5873" s="29"/>
      <c r="F5873" s="29" t="s">
        <v>4157</v>
      </c>
      <c r="G5873" s="29"/>
      <c r="H5873" s="29" t="s">
        <v>4158</v>
      </c>
      <c r="I5873" s="29"/>
      <c r="J5873" s="29" t="s">
        <v>4159</v>
      </c>
      <c r="K5873" s="29"/>
      <c r="L5873" s="29" t="s">
        <v>1401</v>
      </c>
      <c r="M5873" s="29"/>
      <c r="N5873" s="29" t="s">
        <v>594</v>
      </c>
      <c r="O5873" s="29"/>
      <c r="P5873" s="29" t="s">
        <v>1958</v>
      </c>
      <c r="Q5873" t="s">
        <v>2042</v>
      </c>
      <c r="R5873" t="s">
        <v>2634</v>
      </c>
      <c r="S5873">
        <v>35</v>
      </c>
      <c r="T5873" s="43" t="str">
        <f t="shared" si="273"/>
        <v>2019.006G.zip</v>
      </c>
      <c r="U5873" s="43" t="str">
        <f>HYPERLINK("https://ictv.global/taxonomy/taxondetails?taxnode_id=202205306","ictv.global=202205306")</f>
        <v>ictv.global=202205306</v>
      </c>
    </row>
    <row r="5874" spans="1:21">
      <c r="A5874">
        <v>5873</v>
      </c>
      <c r="B5874" s="29" t="s">
        <v>3223</v>
      </c>
      <c r="C5874" s="29"/>
      <c r="D5874" s="29" t="s">
        <v>4156</v>
      </c>
      <c r="E5874" s="29"/>
      <c r="F5874" s="29" t="s">
        <v>4157</v>
      </c>
      <c r="G5874" s="29"/>
      <c r="H5874" s="29" t="s">
        <v>4158</v>
      </c>
      <c r="I5874" s="29"/>
      <c r="J5874" s="29" t="s">
        <v>4159</v>
      </c>
      <c r="K5874" s="29"/>
      <c r="L5874" s="29" t="s">
        <v>1401</v>
      </c>
      <c r="M5874" s="29"/>
      <c r="N5874" s="29" t="s">
        <v>594</v>
      </c>
      <c r="O5874" s="29"/>
      <c r="P5874" s="29" t="s">
        <v>1959</v>
      </c>
      <c r="Q5874" t="s">
        <v>2042</v>
      </c>
      <c r="R5874" t="s">
        <v>2634</v>
      </c>
      <c r="S5874">
        <v>35</v>
      </c>
      <c r="T5874" s="43" t="str">
        <f t="shared" si="273"/>
        <v>2019.006G.zip</v>
      </c>
      <c r="U5874" s="43" t="str">
        <f>HYPERLINK("https://ictv.global/taxonomy/taxondetails?taxnode_id=202205307","ictv.global=202205307")</f>
        <v>ictv.global=202205307</v>
      </c>
    </row>
    <row r="5875" spans="1:21">
      <c r="A5875">
        <v>5874</v>
      </c>
      <c r="B5875" s="29" t="s">
        <v>3223</v>
      </c>
      <c r="C5875" s="29"/>
      <c r="D5875" s="29" t="s">
        <v>4156</v>
      </c>
      <c r="E5875" s="29"/>
      <c r="F5875" s="29" t="s">
        <v>4157</v>
      </c>
      <c r="G5875" s="29"/>
      <c r="H5875" s="29" t="s">
        <v>4158</v>
      </c>
      <c r="I5875" s="29"/>
      <c r="J5875" s="29" t="s">
        <v>4159</v>
      </c>
      <c r="K5875" s="29"/>
      <c r="L5875" s="29" t="s">
        <v>1401</v>
      </c>
      <c r="M5875" s="29"/>
      <c r="N5875" s="29" t="s">
        <v>594</v>
      </c>
      <c r="O5875" s="29"/>
      <c r="P5875" s="29" t="s">
        <v>915</v>
      </c>
      <c r="Q5875" t="s">
        <v>2042</v>
      </c>
      <c r="R5875" t="s">
        <v>2634</v>
      </c>
      <c r="S5875">
        <v>35</v>
      </c>
      <c r="T5875" s="43" t="str">
        <f t="shared" si="273"/>
        <v>2019.006G.zip</v>
      </c>
      <c r="U5875" s="43" t="str">
        <f>HYPERLINK("https://ictv.global/taxonomy/taxondetails?taxnode_id=202205308","ictv.global=202205308")</f>
        <v>ictv.global=202205308</v>
      </c>
    </row>
    <row r="5876" spans="1:21">
      <c r="A5876">
        <v>5875</v>
      </c>
      <c r="B5876" s="29" t="s">
        <v>3223</v>
      </c>
      <c r="C5876" s="29"/>
      <c r="D5876" s="29" t="s">
        <v>4156</v>
      </c>
      <c r="E5876" s="29"/>
      <c r="F5876" s="29" t="s">
        <v>4157</v>
      </c>
      <c r="G5876" s="29"/>
      <c r="H5876" s="29" t="s">
        <v>4158</v>
      </c>
      <c r="I5876" s="29"/>
      <c r="J5876" s="29" t="s">
        <v>4159</v>
      </c>
      <c r="K5876" s="29"/>
      <c r="L5876" s="29" t="s">
        <v>1401</v>
      </c>
      <c r="M5876" s="29"/>
      <c r="N5876" s="29" t="s">
        <v>594</v>
      </c>
      <c r="O5876" s="29"/>
      <c r="P5876" s="29" t="s">
        <v>916</v>
      </c>
      <c r="Q5876" t="s">
        <v>2042</v>
      </c>
      <c r="R5876" t="s">
        <v>2634</v>
      </c>
      <c r="S5876">
        <v>35</v>
      </c>
      <c r="T5876" s="43" t="str">
        <f t="shared" si="273"/>
        <v>2019.006G.zip</v>
      </c>
      <c r="U5876" s="43" t="str">
        <f>HYPERLINK("https://ictv.global/taxonomy/taxondetails?taxnode_id=202205309","ictv.global=202205309")</f>
        <v>ictv.global=202205309</v>
      </c>
    </row>
    <row r="5877" spans="1:21">
      <c r="A5877">
        <v>5876</v>
      </c>
      <c r="B5877" s="29" t="s">
        <v>3223</v>
      </c>
      <c r="C5877" s="29"/>
      <c r="D5877" s="29" t="s">
        <v>4156</v>
      </c>
      <c r="E5877" s="29"/>
      <c r="F5877" s="29" t="s">
        <v>4157</v>
      </c>
      <c r="G5877" s="29"/>
      <c r="H5877" s="29" t="s">
        <v>4158</v>
      </c>
      <c r="I5877" s="29"/>
      <c r="J5877" s="29" t="s">
        <v>4159</v>
      </c>
      <c r="K5877" s="29"/>
      <c r="L5877" s="29" t="s">
        <v>1401</v>
      </c>
      <c r="M5877" s="29"/>
      <c r="N5877" s="29" t="s">
        <v>594</v>
      </c>
      <c r="O5877" s="29"/>
      <c r="P5877" s="29" t="s">
        <v>917</v>
      </c>
      <c r="Q5877" t="s">
        <v>2042</v>
      </c>
      <c r="R5877" t="s">
        <v>2634</v>
      </c>
      <c r="S5877">
        <v>35</v>
      </c>
      <c r="T5877" s="43" t="str">
        <f t="shared" si="273"/>
        <v>2019.006G.zip</v>
      </c>
      <c r="U5877" s="43" t="str">
        <f>HYPERLINK("https://ictv.global/taxonomy/taxondetails?taxnode_id=202205310","ictv.global=202205310")</f>
        <v>ictv.global=202205310</v>
      </c>
    </row>
    <row r="5878" spans="1:21">
      <c r="A5878">
        <v>5877</v>
      </c>
      <c r="B5878" s="29" t="s">
        <v>3223</v>
      </c>
      <c r="C5878" s="29"/>
      <c r="D5878" s="29" t="s">
        <v>4156</v>
      </c>
      <c r="E5878" s="29"/>
      <c r="F5878" s="29" t="s">
        <v>4157</v>
      </c>
      <c r="G5878" s="29"/>
      <c r="H5878" s="29" t="s">
        <v>4158</v>
      </c>
      <c r="I5878" s="29"/>
      <c r="J5878" s="29" t="s">
        <v>4159</v>
      </c>
      <c r="K5878" s="29"/>
      <c r="L5878" s="29" t="s">
        <v>1401</v>
      </c>
      <c r="M5878" s="29"/>
      <c r="N5878" s="29" t="s">
        <v>594</v>
      </c>
      <c r="O5878" s="29"/>
      <c r="P5878" s="29" t="s">
        <v>918</v>
      </c>
      <c r="Q5878" t="s">
        <v>2042</v>
      </c>
      <c r="R5878" t="s">
        <v>2634</v>
      </c>
      <c r="S5878">
        <v>35</v>
      </c>
      <c r="T5878" s="43" t="str">
        <f t="shared" si="273"/>
        <v>2019.006G.zip</v>
      </c>
      <c r="U5878" s="43" t="str">
        <f>HYPERLINK("https://ictv.global/taxonomy/taxondetails?taxnode_id=202205311","ictv.global=202205311")</f>
        <v>ictv.global=202205311</v>
      </c>
    </row>
    <row r="5879" spans="1:21">
      <c r="A5879">
        <v>5878</v>
      </c>
      <c r="B5879" s="29" t="s">
        <v>3223</v>
      </c>
      <c r="C5879" s="29"/>
      <c r="D5879" s="29" t="s">
        <v>4156</v>
      </c>
      <c r="E5879" s="29"/>
      <c r="F5879" s="29" t="s">
        <v>4157</v>
      </c>
      <c r="G5879" s="29"/>
      <c r="H5879" s="29" t="s">
        <v>4158</v>
      </c>
      <c r="I5879" s="29"/>
      <c r="J5879" s="29" t="s">
        <v>4159</v>
      </c>
      <c r="K5879" s="29"/>
      <c r="L5879" s="29" t="s">
        <v>1401</v>
      </c>
      <c r="M5879" s="29"/>
      <c r="N5879" s="29" t="s">
        <v>594</v>
      </c>
      <c r="O5879" s="29"/>
      <c r="P5879" s="29" t="s">
        <v>598</v>
      </c>
      <c r="Q5879" t="s">
        <v>2042</v>
      </c>
      <c r="R5879" t="s">
        <v>2634</v>
      </c>
      <c r="S5879">
        <v>35</v>
      </c>
      <c r="T5879" s="43" t="str">
        <f t="shared" si="273"/>
        <v>2019.006G.zip</v>
      </c>
      <c r="U5879" s="43" t="str">
        <f>HYPERLINK("https://ictv.global/taxonomy/taxondetails?taxnode_id=202205312","ictv.global=202205312")</f>
        <v>ictv.global=202205312</v>
      </c>
    </row>
    <row r="5880" spans="1:21">
      <c r="A5880">
        <v>5879</v>
      </c>
      <c r="B5880" s="29" t="s">
        <v>3223</v>
      </c>
      <c r="C5880" s="29"/>
      <c r="D5880" s="29" t="s">
        <v>4156</v>
      </c>
      <c r="E5880" s="29"/>
      <c r="F5880" s="29" t="s">
        <v>4157</v>
      </c>
      <c r="G5880" s="29"/>
      <c r="H5880" s="29" t="s">
        <v>4158</v>
      </c>
      <c r="I5880" s="29"/>
      <c r="J5880" s="29" t="s">
        <v>4159</v>
      </c>
      <c r="K5880" s="29"/>
      <c r="L5880" s="29" t="s">
        <v>1401</v>
      </c>
      <c r="M5880" s="29"/>
      <c r="N5880" s="29" t="s">
        <v>594</v>
      </c>
      <c r="O5880" s="29"/>
      <c r="P5880" s="29" t="s">
        <v>1118</v>
      </c>
      <c r="Q5880" t="s">
        <v>2042</v>
      </c>
      <c r="R5880" t="s">
        <v>6901</v>
      </c>
      <c r="S5880">
        <v>36</v>
      </c>
      <c r="T5880" s="43" t="str">
        <f>HYPERLINK("https://ictv.global/ictv/proposals/2020.001G.R.Abolish_type_species.pdf","2020.001G.R.Abolish_type_species.pdf")</f>
        <v>2020.001G.R.Abolish_type_species.pdf</v>
      </c>
      <c r="U5880" s="43" t="str">
        <f>HYPERLINK("https://ictv.global/taxonomy/taxondetails?taxnode_id=202205313","ictv.global=202205313")</f>
        <v>ictv.global=202205313</v>
      </c>
    </row>
    <row r="5881" spans="1:21">
      <c r="A5881">
        <v>5880</v>
      </c>
      <c r="B5881" s="29" t="s">
        <v>3223</v>
      </c>
      <c r="C5881" s="29"/>
      <c r="D5881" s="29" t="s">
        <v>4156</v>
      </c>
      <c r="E5881" s="29"/>
      <c r="F5881" s="29" t="s">
        <v>4157</v>
      </c>
      <c r="G5881" s="29"/>
      <c r="H5881" s="29" t="s">
        <v>4158</v>
      </c>
      <c r="I5881" s="29"/>
      <c r="J5881" s="29" t="s">
        <v>4159</v>
      </c>
      <c r="K5881" s="29"/>
      <c r="L5881" s="29" t="s">
        <v>1401</v>
      </c>
      <c r="M5881" s="29"/>
      <c r="N5881" s="29" t="s">
        <v>594</v>
      </c>
      <c r="O5881" s="29"/>
      <c r="P5881" s="29" t="s">
        <v>599</v>
      </c>
      <c r="Q5881" t="s">
        <v>2042</v>
      </c>
      <c r="R5881" t="s">
        <v>2634</v>
      </c>
      <c r="S5881">
        <v>35</v>
      </c>
      <c r="T5881" s="43" t="str">
        <f t="shared" ref="T5881:T5886" si="274">HYPERLINK("https://ictv.global/ictv/proposals/2019.006G.zip","2019.006G.zip")</f>
        <v>2019.006G.zip</v>
      </c>
      <c r="U5881" s="43" t="str">
        <f>HYPERLINK("https://ictv.global/taxonomy/taxondetails?taxnode_id=202205314","ictv.global=202205314")</f>
        <v>ictv.global=202205314</v>
      </c>
    </row>
    <row r="5882" spans="1:21">
      <c r="A5882">
        <v>5881</v>
      </c>
      <c r="B5882" s="29" t="s">
        <v>3223</v>
      </c>
      <c r="C5882" s="29"/>
      <c r="D5882" s="29" t="s">
        <v>4156</v>
      </c>
      <c r="E5882" s="29"/>
      <c r="F5882" s="29" t="s">
        <v>4157</v>
      </c>
      <c r="G5882" s="29"/>
      <c r="H5882" s="29" t="s">
        <v>4158</v>
      </c>
      <c r="I5882" s="29"/>
      <c r="J5882" s="29" t="s">
        <v>4159</v>
      </c>
      <c r="K5882" s="29"/>
      <c r="L5882" s="29" t="s">
        <v>1401</v>
      </c>
      <c r="M5882" s="29"/>
      <c r="N5882" s="29" t="s">
        <v>594</v>
      </c>
      <c r="O5882" s="29"/>
      <c r="P5882" s="29" t="s">
        <v>1960</v>
      </c>
      <c r="Q5882" t="s">
        <v>2042</v>
      </c>
      <c r="R5882" t="s">
        <v>2634</v>
      </c>
      <c r="S5882">
        <v>35</v>
      </c>
      <c r="T5882" s="43" t="str">
        <f t="shared" si="274"/>
        <v>2019.006G.zip</v>
      </c>
      <c r="U5882" s="43" t="str">
        <f>HYPERLINK("https://ictv.global/taxonomy/taxondetails?taxnode_id=202205315","ictv.global=202205315")</f>
        <v>ictv.global=202205315</v>
      </c>
    </row>
    <row r="5883" spans="1:21">
      <c r="A5883">
        <v>5882</v>
      </c>
      <c r="B5883" s="29" t="s">
        <v>3223</v>
      </c>
      <c r="C5883" s="29"/>
      <c r="D5883" s="29" t="s">
        <v>4156</v>
      </c>
      <c r="E5883" s="29"/>
      <c r="F5883" s="29" t="s">
        <v>4157</v>
      </c>
      <c r="G5883" s="29"/>
      <c r="H5883" s="29" t="s">
        <v>4158</v>
      </c>
      <c r="I5883" s="29"/>
      <c r="J5883" s="29" t="s">
        <v>4159</v>
      </c>
      <c r="K5883" s="29"/>
      <c r="L5883" s="29" t="s">
        <v>1401</v>
      </c>
      <c r="M5883" s="29"/>
      <c r="N5883" s="29" t="s">
        <v>594</v>
      </c>
      <c r="O5883" s="29"/>
      <c r="P5883" s="29" t="s">
        <v>1961</v>
      </c>
      <c r="Q5883" t="s">
        <v>2042</v>
      </c>
      <c r="R5883" t="s">
        <v>2634</v>
      </c>
      <c r="S5883">
        <v>35</v>
      </c>
      <c r="T5883" s="43" t="str">
        <f t="shared" si="274"/>
        <v>2019.006G.zip</v>
      </c>
      <c r="U5883" s="43" t="str">
        <f>HYPERLINK("https://ictv.global/taxonomy/taxondetails?taxnode_id=202205316","ictv.global=202205316")</f>
        <v>ictv.global=202205316</v>
      </c>
    </row>
    <row r="5884" spans="1:21">
      <c r="A5884">
        <v>5883</v>
      </c>
      <c r="B5884" s="29" t="s">
        <v>3223</v>
      </c>
      <c r="C5884" s="29"/>
      <c r="D5884" s="29" t="s">
        <v>4156</v>
      </c>
      <c r="E5884" s="29"/>
      <c r="F5884" s="29" t="s">
        <v>4157</v>
      </c>
      <c r="G5884" s="29"/>
      <c r="H5884" s="29" t="s">
        <v>4158</v>
      </c>
      <c r="I5884" s="29"/>
      <c r="J5884" s="29" t="s">
        <v>4159</v>
      </c>
      <c r="K5884" s="29"/>
      <c r="L5884" s="29" t="s">
        <v>1401</v>
      </c>
      <c r="M5884" s="29"/>
      <c r="N5884" s="29" t="s">
        <v>594</v>
      </c>
      <c r="O5884" s="29"/>
      <c r="P5884" s="29" t="s">
        <v>600</v>
      </c>
      <c r="Q5884" t="s">
        <v>2042</v>
      </c>
      <c r="R5884" t="s">
        <v>2634</v>
      </c>
      <c r="S5884">
        <v>35</v>
      </c>
      <c r="T5884" s="43" t="str">
        <f t="shared" si="274"/>
        <v>2019.006G.zip</v>
      </c>
      <c r="U5884" s="43" t="str">
        <f>HYPERLINK("https://ictv.global/taxonomy/taxondetails?taxnode_id=202205317","ictv.global=202205317")</f>
        <v>ictv.global=202205317</v>
      </c>
    </row>
    <row r="5885" spans="1:21">
      <c r="A5885">
        <v>5884</v>
      </c>
      <c r="B5885" s="29" t="s">
        <v>3223</v>
      </c>
      <c r="C5885" s="29"/>
      <c r="D5885" s="29" t="s">
        <v>4156</v>
      </c>
      <c r="E5885" s="29"/>
      <c r="F5885" s="29" t="s">
        <v>4157</v>
      </c>
      <c r="G5885" s="29"/>
      <c r="H5885" s="29" t="s">
        <v>4158</v>
      </c>
      <c r="I5885" s="29"/>
      <c r="J5885" s="29" t="s">
        <v>4159</v>
      </c>
      <c r="K5885" s="29"/>
      <c r="L5885" s="29" t="s">
        <v>1401</v>
      </c>
      <c r="M5885" s="29"/>
      <c r="N5885" s="29" t="s">
        <v>594</v>
      </c>
      <c r="O5885" s="29"/>
      <c r="P5885" s="29" t="s">
        <v>601</v>
      </c>
      <c r="Q5885" t="s">
        <v>2042</v>
      </c>
      <c r="R5885" t="s">
        <v>2634</v>
      </c>
      <c r="S5885">
        <v>35</v>
      </c>
      <c r="T5885" s="43" t="str">
        <f t="shared" si="274"/>
        <v>2019.006G.zip</v>
      </c>
      <c r="U5885" s="43" t="str">
        <f>HYPERLINK("https://ictv.global/taxonomy/taxondetails?taxnode_id=202205318","ictv.global=202205318")</f>
        <v>ictv.global=202205318</v>
      </c>
    </row>
    <row r="5886" spans="1:21">
      <c r="A5886">
        <v>5885</v>
      </c>
      <c r="B5886" s="29" t="s">
        <v>3223</v>
      </c>
      <c r="C5886" s="29"/>
      <c r="D5886" s="29" t="s">
        <v>4156</v>
      </c>
      <c r="E5886" s="29"/>
      <c r="F5886" s="29" t="s">
        <v>4157</v>
      </c>
      <c r="G5886" s="29"/>
      <c r="H5886" s="29" t="s">
        <v>4158</v>
      </c>
      <c r="I5886" s="29"/>
      <c r="J5886" s="29" t="s">
        <v>4159</v>
      </c>
      <c r="K5886" s="29"/>
      <c r="L5886" s="29" t="s">
        <v>1401</v>
      </c>
      <c r="M5886" s="29"/>
      <c r="N5886" s="29" t="s">
        <v>594</v>
      </c>
      <c r="O5886" s="29"/>
      <c r="P5886" s="29" t="s">
        <v>1962</v>
      </c>
      <c r="Q5886" t="s">
        <v>2042</v>
      </c>
      <c r="R5886" t="s">
        <v>2634</v>
      </c>
      <c r="S5886">
        <v>35</v>
      </c>
      <c r="T5886" s="43" t="str">
        <f t="shared" si="274"/>
        <v>2019.006G.zip</v>
      </c>
      <c r="U5886" s="43" t="str">
        <f>HYPERLINK("https://ictv.global/taxonomy/taxondetails?taxnode_id=202205319","ictv.global=202205319")</f>
        <v>ictv.global=202205319</v>
      </c>
    </row>
    <row r="5887" spans="1:21">
      <c r="A5887">
        <v>5886</v>
      </c>
      <c r="B5887" s="29" t="s">
        <v>3223</v>
      </c>
      <c r="C5887" s="29"/>
      <c r="D5887" s="29" t="s">
        <v>4156</v>
      </c>
      <c r="E5887" s="29"/>
      <c r="F5887" s="29" t="s">
        <v>4157</v>
      </c>
      <c r="G5887" s="29"/>
      <c r="H5887" s="29" t="s">
        <v>4160</v>
      </c>
      <c r="I5887" s="29"/>
      <c r="J5887" s="29" t="s">
        <v>4161</v>
      </c>
      <c r="K5887" s="29"/>
      <c r="L5887" s="29" t="s">
        <v>12213</v>
      </c>
      <c r="M5887" s="29"/>
      <c r="N5887" s="29" t="s">
        <v>567</v>
      </c>
      <c r="O5887" s="29"/>
      <c r="P5887" s="29" t="s">
        <v>568</v>
      </c>
      <c r="Q5887" t="s">
        <v>2042</v>
      </c>
      <c r="R5887" t="s">
        <v>2634</v>
      </c>
      <c r="S5887">
        <v>37</v>
      </c>
      <c r="T5887" s="43" t="str">
        <f t="shared" ref="T5887:T5918" si="275">HYPERLINK("https://ictv.global/ictv/proposals/2020.028M.R.Reovirales_2nfam.zip","2020.028M.R.Reovirales_2nfam.zip")</f>
        <v>2020.028M.R.Reovirales_2nfam.zip</v>
      </c>
      <c r="U5887" s="43" t="str">
        <f>HYPERLINK("https://ictv.global/taxonomy/taxondetails?taxnode_id=202204874","ictv.global=202204874")</f>
        <v>ictv.global=202204874</v>
      </c>
    </row>
    <row r="5888" spans="1:21">
      <c r="A5888">
        <v>5887</v>
      </c>
      <c r="B5888" s="29" t="s">
        <v>3223</v>
      </c>
      <c r="C5888" s="29"/>
      <c r="D5888" s="29" t="s">
        <v>4156</v>
      </c>
      <c r="E5888" s="29"/>
      <c r="F5888" s="29" t="s">
        <v>4157</v>
      </c>
      <c r="G5888" s="29"/>
      <c r="H5888" s="29" t="s">
        <v>4160</v>
      </c>
      <c r="I5888" s="29"/>
      <c r="J5888" s="29" t="s">
        <v>4161</v>
      </c>
      <c r="K5888" s="29"/>
      <c r="L5888" s="29" t="s">
        <v>12213</v>
      </c>
      <c r="M5888" s="29"/>
      <c r="N5888" s="29" t="s">
        <v>1408</v>
      </c>
      <c r="O5888" s="29"/>
      <c r="P5888" s="29" t="s">
        <v>1409</v>
      </c>
      <c r="Q5888" t="s">
        <v>2042</v>
      </c>
      <c r="R5888" t="s">
        <v>2634</v>
      </c>
      <c r="S5888">
        <v>37</v>
      </c>
      <c r="T5888" s="43" t="str">
        <f t="shared" si="275"/>
        <v>2020.028M.R.Reovirales_2nfam.zip</v>
      </c>
      <c r="U5888" s="43" t="str">
        <f>HYPERLINK("https://ictv.global/taxonomy/taxondetails?taxnode_id=202204876","ictv.global=202204876")</f>
        <v>ictv.global=202204876</v>
      </c>
    </row>
    <row r="5889" spans="1:21">
      <c r="A5889">
        <v>5888</v>
      </c>
      <c r="B5889" s="29" t="s">
        <v>3223</v>
      </c>
      <c r="C5889" s="29"/>
      <c r="D5889" s="29" t="s">
        <v>4156</v>
      </c>
      <c r="E5889" s="29"/>
      <c r="F5889" s="29" t="s">
        <v>4157</v>
      </c>
      <c r="G5889" s="29"/>
      <c r="H5889" s="29" t="s">
        <v>4160</v>
      </c>
      <c r="I5889" s="29"/>
      <c r="J5889" s="29" t="s">
        <v>4161</v>
      </c>
      <c r="K5889" s="29"/>
      <c r="L5889" s="29" t="s">
        <v>12213</v>
      </c>
      <c r="M5889" s="29"/>
      <c r="N5889" s="29" t="s">
        <v>1414</v>
      </c>
      <c r="O5889" s="29"/>
      <c r="P5889" s="29" t="s">
        <v>1020</v>
      </c>
      <c r="Q5889" t="s">
        <v>2042</v>
      </c>
      <c r="R5889" t="s">
        <v>2634</v>
      </c>
      <c r="S5889">
        <v>37</v>
      </c>
      <c r="T5889" s="43" t="str">
        <f t="shared" si="275"/>
        <v>2020.028M.R.Reovirales_2nfam.zip</v>
      </c>
      <c r="U5889" s="43" t="str">
        <f>HYPERLINK("https://ictv.global/taxonomy/taxondetails?taxnode_id=202204878","ictv.global=202204878")</f>
        <v>ictv.global=202204878</v>
      </c>
    </row>
    <row r="5890" spans="1:21">
      <c r="A5890">
        <v>5889</v>
      </c>
      <c r="B5890" s="29" t="s">
        <v>3223</v>
      </c>
      <c r="C5890" s="29"/>
      <c r="D5890" s="29" t="s">
        <v>4156</v>
      </c>
      <c r="E5890" s="29"/>
      <c r="F5890" s="29" t="s">
        <v>4157</v>
      </c>
      <c r="G5890" s="29"/>
      <c r="H5890" s="29" t="s">
        <v>4160</v>
      </c>
      <c r="I5890" s="29"/>
      <c r="J5890" s="29" t="s">
        <v>4161</v>
      </c>
      <c r="K5890" s="29"/>
      <c r="L5890" s="29" t="s">
        <v>12213</v>
      </c>
      <c r="M5890" s="29"/>
      <c r="N5890" s="29" t="s">
        <v>1414</v>
      </c>
      <c r="O5890" s="29"/>
      <c r="P5890" s="29" t="s">
        <v>1021</v>
      </c>
      <c r="Q5890" t="s">
        <v>2042</v>
      </c>
      <c r="R5890" t="s">
        <v>2634</v>
      </c>
      <c r="S5890">
        <v>37</v>
      </c>
      <c r="T5890" s="43" t="str">
        <f t="shared" si="275"/>
        <v>2020.028M.R.Reovirales_2nfam.zip</v>
      </c>
      <c r="U5890" s="43" t="str">
        <f>HYPERLINK("https://ictv.global/taxonomy/taxondetails?taxnode_id=202204879","ictv.global=202204879")</f>
        <v>ictv.global=202204879</v>
      </c>
    </row>
    <row r="5891" spans="1:21">
      <c r="A5891">
        <v>5890</v>
      </c>
      <c r="B5891" s="29" t="s">
        <v>3223</v>
      </c>
      <c r="C5891" s="29"/>
      <c r="D5891" s="29" t="s">
        <v>4156</v>
      </c>
      <c r="E5891" s="29"/>
      <c r="F5891" s="29" t="s">
        <v>4157</v>
      </c>
      <c r="G5891" s="29"/>
      <c r="H5891" s="29" t="s">
        <v>4160</v>
      </c>
      <c r="I5891" s="29"/>
      <c r="J5891" s="29" t="s">
        <v>4161</v>
      </c>
      <c r="K5891" s="29"/>
      <c r="L5891" s="29" t="s">
        <v>12213</v>
      </c>
      <c r="M5891" s="29"/>
      <c r="N5891" s="29" t="s">
        <v>1414</v>
      </c>
      <c r="O5891" s="29"/>
      <c r="P5891" s="29" t="s">
        <v>1022</v>
      </c>
      <c r="Q5891" t="s">
        <v>2042</v>
      </c>
      <c r="R5891" t="s">
        <v>2634</v>
      </c>
      <c r="S5891">
        <v>37</v>
      </c>
      <c r="T5891" s="43" t="str">
        <f t="shared" si="275"/>
        <v>2020.028M.R.Reovirales_2nfam.zip</v>
      </c>
      <c r="U5891" s="43" t="str">
        <f>HYPERLINK("https://ictv.global/taxonomy/taxondetails?taxnode_id=202204880","ictv.global=202204880")</f>
        <v>ictv.global=202204880</v>
      </c>
    </row>
    <row r="5892" spans="1:21">
      <c r="A5892">
        <v>5891</v>
      </c>
      <c r="B5892" s="29" t="s">
        <v>3223</v>
      </c>
      <c r="C5892" s="29"/>
      <c r="D5892" s="29" t="s">
        <v>4156</v>
      </c>
      <c r="E5892" s="29"/>
      <c r="F5892" s="29" t="s">
        <v>4157</v>
      </c>
      <c r="G5892" s="29"/>
      <c r="H5892" s="29" t="s">
        <v>4160</v>
      </c>
      <c r="I5892" s="29"/>
      <c r="J5892" s="29" t="s">
        <v>4161</v>
      </c>
      <c r="K5892" s="29"/>
      <c r="L5892" s="29" t="s">
        <v>12213</v>
      </c>
      <c r="M5892" s="29"/>
      <c r="N5892" s="29" t="s">
        <v>1414</v>
      </c>
      <c r="O5892" s="29"/>
      <c r="P5892" s="29" t="s">
        <v>1023</v>
      </c>
      <c r="Q5892" t="s">
        <v>2042</v>
      </c>
      <c r="R5892" t="s">
        <v>2634</v>
      </c>
      <c r="S5892">
        <v>37</v>
      </c>
      <c r="T5892" s="43" t="str">
        <f t="shared" si="275"/>
        <v>2020.028M.R.Reovirales_2nfam.zip</v>
      </c>
      <c r="U5892" s="43" t="str">
        <f>HYPERLINK("https://ictv.global/taxonomy/taxondetails?taxnode_id=202204881","ictv.global=202204881")</f>
        <v>ictv.global=202204881</v>
      </c>
    </row>
    <row r="5893" spans="1:21">
      <c r="A5893">
        <v>5892</v>
      </c>
      <c r="B5893" s="29" t="s">
        <v>3223</v>
      </c>
      <c r="C5893" s="29"/>
      <c r="D5893" s="29" t="s">
        <v>4156</v>
      </c>
      <c r="E5893" s="29"/>
      <c r="F5893" s="29" t="s">
        <v>4157</v>
      </c>
      <c r="G5893" s="29"/>
      <c r="H5893" s="29" t="s">
        <v>4160</v>
      </c>
      <c r="I5893" s="29"/>
      <c r="J5893" s="29" t="s">
        <v>4161</v>
      </c>
      <c r="K5893" s="29"/>
      <c r="L5893" s="29" t="s">
        <v>12213</v>
      </c>
      <c r="M5893" s="29"/>
      <c r="N5893" s="29" t="s">
        <v>1414</v>
      </c>
      <c r="O5893" s="29"/>
      <c r="P5893" s="29" t="s">
        <v>1024</v>
      </c>
      <c r="Q5893" t="s">
        <v>2042</v>
      </c>
      <c r="R5893" t="s">
        <v>2634</v>
      </c>
      <c r="S5893">
        <v>37</v>
      </c>
      <c r="T5893" s="43" t="str">
        <f t="shared" si="275"/>
        <v>2020.028M.R.Reovirales_2nfam.zip</v>
      </c>
      <c r="U5893" s="43" t="str">
        <f>HYPERLINK("https://ictv.global/taxonomy/taxondetails?taxnode_id=202204882","ictv.global=202204882")</f>
        <v>ictv.global=202204882</v>
      </c>
    </row>
    <row r="5894" spans="1:21">
      <c r="A5894">
        <v>5893</v>
      </c>
      <c r="B5894" s="29" t="s">
        <v>3223</v>
      </c>
      <c r="C5894" s="29"/>
      <c r="D5894" s="29" t="s">
        <v>4156</v>
      </c>
      <c r="E5894" s="29"/>
      <c r="F5894" s="29" t="s">
        <v>4157</v>
      </c>
      <c r="G5894" s="29"/>
      <c r="H5894" s="29" t="s">
        <v>4160</v>
      </c>
      <c r="I5894" s="29"/>
      <c r="J5894" s="29" t="s">
        <v>4161</v>
      </c>
      <c r="K5894" s="29"/>
      <c r="L5894" s="29" t="s">
        <v>12213</v>
      </c>
      <c r="M5894" s="29"/>
      <c r="N5894" s="29" t="s">
        <v>1414</v>
      </c>
      <c r="O5894" s="29"/>
      <c r="P5894" s="29" t="s">
        <v>1025</v>
      </c>
      <c r="Q5894" t="s">
        <v>2042</v>
      </c>
      <c r="R5894" t="s">
        <v>2634</v>
      </c>
      <c r="S5894">
        <v>37</v>
      </c>
      <c r="T5894" s="43" t="str">
        <f t="shared" si="275"/>
        <v>2020.028M.R.Reovirales_2nfam.zip</v>
      </c>
      <c r="U5894" s="43" t="str">
        <f>HYPERLINK("https://ictv.global/taxonomy/taxondetails?taxnode_id=202204883","ictv.global=202204883")</f>
        <v>ictv.global=202204883</v>
      </c>
    </row>
    <row r="5895" spans="1:21">
      <c r="A5895">
        <v>5894</v>
      </c>
      <c r="B5895" s="29" t="s">
        <v>3223</v>
      </c>
      <c r="C5895" s="29"/>
      <c r="D5895" s="29" t="s">
        <v>4156</v>
      </c>
      <c r="E5895" s="29"/>
      <c r="F5895" s="29" t="s">
        <v>4157</v>
      </c>
      <c r="G5895" s="29"/>
      <c r="H5895" s="29" t="s">
        <v>4160</v>
      </c>
      <c r="I5895" s="29"/>
      <c r="J5895" s="29" t="s">
        <v>4161</v>
      </c>
      <c r="K5895" s="29"/>
      <c r="L5895" s="29" t="s">
        <v>12213</v>
      </c>
      <c r="M5895" s="29"/>
      <c r="N5895" s="29" t="s">
        <v>1414</v>
      </c>
      <c r="O5895" s="29"/>
      <c r="P5895" s="29" t="s">
        <v>1033</v>
      </c>
      <c r="Q5895" t="s">
        <v>2042</v>
      </c>
      <c r="R5895" t="s">
        <v>2634</v>
      </c>
      <c r="S5895">
        <v>37</v>
      </c>
      <c r="T5895" s="43" t="str">
        <f t="shared" si="275"/>
        <v>2020.028M.R.Reovirales_2nfam.zip</v>
      </c>
      <c r="U5895" s="43" t="str">
        <f>HYPERLINK("https://ictv.global/taxonomy/taxondetails?taxnode_id=202204884","ictv.global=202204884")</f>
        <v>ictv.global=202204884</v>
      </c>
    </row>
    <row r="5896" spans="1:21">
      <c r="A5896">
        <v>5895</v>
      </c>
      <c r="B5896" s="29" t="s">
        <v>3223</v>
      </c>
      <c r="C5896" s="29"/>
      <c r="D5896" s="29" t="s">
        <v>4156</v>
      </c>
      <c r="E5896" s="29"/>
      <c r="F5896" s="29" t="s">
        <v>4157</v>
      </c>
      <c r="G5896" s="29"/>
      <c r="H5896" s="29" t="s">
        <v>4160</v>
      </c>
      <c r="I5896" s="29"/>
      <c r="J5896" s="29" t="s">
        <v>4161</v>
      </c>
      <c r="K5896" s="29"/>
      <c r="L5896" s="29" t="s">
        <v>12213</v>
      </c>
      <c r="M5896" s="29"/>
      <c r="N5896" s="29" t="s">
        <v>1414</v>
      </c>
      <c r="O5896" s="29"/>
      <c r="P5896" s="29" t="s">
        <v>1034</v>
      </c>
      <c r="Q5896" t="s">
        <v>2042</v>
      </c>
      <c r="R5896" t="s">
        <v>2634</v>
      </c>
      <c r="S5896">
        <v>37</v>
      </c>
      <c r="T5896" s="43" t="str">
        <f t="shared" si="275"/>
        <v>2020.028M.R.Reovirales_2nfam.zip</v>
      </c>
      <c r="U5896" s="43" t="str">
        <f>HYPERLINK("https://ictv.global/taxonomy/taxondetails?taxnode_id=202204885","ictv.global=202204885")</f>
        <v>ictv.global=202204885</v>
      </c>
    </row>
    <row r="5897" spans="1:21">
      <c r="A5897">
        <v>5896</v>
      </c>
      <c r="B5897" s="29" t="s">
        <v>3223</v>
      </c>
      <c r="C5897" s="29"/>
      <c r="D5897" s="29" t="s">
        <v>4156</v>
      </c>
      <c r="E5897" s="29"/>
      <c r="F5897" s="29" t="s">
        <v>4157</v>
      </c>
      <c r="G5897" s="29"/>
      <c r="H5897" s="29" t="s">
        <v>4160</v>
      </c>
      <c r="I5897" s="29"/>
      <c r="J5897" s="29" t="s">
        <v>4161</v>
      </c>
      <c r="K5897" s="29"/>
      <c r="L5897" s="29" t="s">
        <v>12213</v>
      </c>
      <c r="M5897" s="29"/>
      <c r="N5897" s="29" t="s">
        <v>1414</v>
      </c>
      <c r="O5897" s="29"/>
      <c r="P5897" s="29" t="s">
        <v>1035</v>
      </c>
      <c r="Q5897" t="s">
        <v>2042</v>
      </c>
      <c r="R5897" t="s">
        <v>2634</v>
      </c>
      <c r="S5897">
        <v>37</v>
      </c>
      <c r="T5897" s="43" t="str">
        <f t="shared" si="275"/>
        <v>2020.028M.R.Reovirales_2nfam.zip</v>
      </c>
      <c r="U5897" s="43" t="str">
        <f>HYPERLINK("https://ictv.global/taxonomy/taxondetails?taxnode_id=202204886","ictv.global=202204886")</f>
        <v>ictv.global=202204886</v>
      </c>
    </row>
    <row r="5898" spans="1:21">
      <c r="A5898">
        <v>5897</v>
      </c>
      <c r="B5898" s="29" t="s">
        <v>3223</v>
      </c>
      <c r="C5898" s="29"/>
      <c r="D5898" s="29" t="s">
        <v>4156</v>
      </c>
      <c r="E5898" s="29"/>
      <c r="F5898" s="29" t="s">
        <v>4157</v>
      </c>
      <c r="G5898" s="29"/>
      <c r="H5898" s="29" t="s">
        <v>4160</v>
      </c>
      <c r="I5898" s="29"/>
      <c r="J5898" s="29" t="s">
        <v>4161</v>
      </c>
      <c r="K5898" s="29"/>
      <c r="L5898" s="29" t="s">
        <v>12213</v>
      </c>
      <c r="M5898" s="29"/>
      <c r="N5898" s="29" t="s">
        <v>1414</v>
      </c>
      <c r="O5898" s="29"/>
      <c r="P5898" s="29" t="s">
        <v>1036</v>
      </c>
      <c r="Q5898" t="s">
        <v>2042</v>
      </c>
      <c r="R5898" t="s">
        <v>2634</v>
      </c>
      <c r="S5898">
        <v>37</v>
      </c>
      <c r="T5898" s="43" t="str">
        <f t="shared" si="275"/>
        <v>2020.028M.R.Reovirales_2nfam.zip</v>
      </c>
      <c r="U5898" s="43" t="str">
        <f>HYPERLINK("https://ictv.global/taxonomy/taxondetails?taxnode_id=202204887","ictv.global=202204887")</f>
        <v>ictv.global=202204887</v>
      </c>
    </row>
    <row r="5899" spans="1:21">
      <c r="A5899">
        <v>5898</v>
      </c>
      <c r="B5899" s="29" t="s">
        <v>3223</v>
      </c>
      <c r="C5899" s="29"/>
      <c r="D5899" s="29" t="s">
        <v>4156</v>
      </c>
      <c r="E5899" s="29"/>
      <c r="F5899" s="29" t="s">
        <v>4157</v>
      </c>
      <c r="G5899" s="29"/>
      <c r="H5899" s="29" t="s">
        <v>4160</v>
      </c>
      <c r="I5899" s="29"/>
      <c r="J5899" s="29" t="s">
        <v>4161</v>
      </c>
      <c r="K5899" s="29"/>
      <c r="L5899" s="29" t="s">
        <v>12213</v>
      </c>
      <c r="M5899" s="29"/>
      <c r="N5899" s="29" t="s">
        <v>1414</v>
      </c>
      <c r="O5899" s="29"/>
      <c r="P5899" s="29" t="s">
        <v>1037</v>
      </c>
      <c r="Q5899" t="s">
        <v>2042</v>
      </c>
      <c r="R5899" t="s">
        <v>2634</v>
      </c>
      <c r="S5899">
        <v>37</v>
      </c>
      <c r="T5899" s="43" t="str">
        <f t="shared" si="275"/>
        <v>2020.028M.R.Reovirales_2nfam.zip</v>
      </c>
      <c r="U5899" s="43" t="str">
        <f>HYPERLINK("https://ictv.global/taxonomy/taxondetails?taxnode_id=202204888","ictv.global=202204888")</f>
        <v>ictv.global=202204888</v>
      </c>
    </row>
    <row r="5900" spans="1:21">
      <c r="A5900">
        <v>5899</v>
      </c>
      <c r="B5900" s="29" t="s">
        <v>3223</v>
      </c>
      <c r="C5900" s="29"/>
      <c r="D5900" s="29" t="s">
        <v>4156</v>
      </c>
      <c r="E5900" s="29"/>
      <c r="F5900" s="29" t="s">
        <v>4157</v>
      </c>
      <c r="G5900" s="29"/>
      <c r="H5900" s="29" t="s">
        <v>4160</v>
      </c>
      <c r="I5900" s="29"/>
      <c r="J5900" s="29" t="s">
        <v>4161</v>
      </c>
      <c r="K5900" s="29"/>
      <c r="L5900" s="29" t="s">
        <v>12213</v>
      </c>
      <c r="M5900" s="29"/>
      <c r="N5900" s="29" t="s">
        <v>1414</v>
      </c>
      <c r="O5900" s="29"/>
      <c r="P5900" s="29" t="s">
        <v>1038</v>
      </c>
      <c r="Q5900" t="s">
        <v>2042</v>
      </c>
      <c r="R5900" t="s">
        <v>2634</v>
      </c>
      <c r="S5900">
        <v>37</v>
      </c>
      <c r="T5900" s="43" t="str">
        <f t="shared" si="275"/>
        <v>2020.028M.R.Reovirales_2nfam.zip</v>
      </c>
      <c r="U5900" s="43" t="str">
        <f>HYPERLINK("https://ictv.global/taxonomy/taxondetails?taxnode_id=202204889","ictv.global=202204889")</f>
        <v>ictv.global=202204889</v>
      </c>
    </row>
    <row r="5901" spans="1:21">
      <c r="A5901">
        <v>5900</v>
      </c>
      <c r="B5901" s="29" t="s">
        <v>3223</v>
      </c>
      <c r="C5901" s="29"/>
      <c r="D5901" s="29" t="s">
        <v>4156</v>
      </c>
      <c r="E5901" s="29"/>
      <c r="F5901" s="29" t="s">
        <v>4157</v>
      </c>
      <c r="G5901" s="29"/>
      <c r="H5901" s="29" t="s">
        <v>4160</v>
      </c>
      <c r="I5901" s="29"/>
      <c r="J5901" s="29" t="s">
        <v>4161</v>
      </c>
      <c r="K5901" s="29"/>
      <c r="L5901" s="29" t="s">
        <v>12213</v>
      </c>
      <c r="M5901" s="29"/>
      <c r="N5901" s="29" t="s">
        <v>1414</v>
      </c>
      <c r="O5901" s="29"/>
      <c r="P5901" s="29" t="s">
        <v>1043</v>
      </c>
      <c r="Q5901" t="s">
        <v>2042</v>
      </c>
      <c r="R5901" t="s">
        <v>2634</v>
      </c>
      <c r="S5901">
        <v>37</v>
      </c>
      <c r="T5901" s="43" t="str">
        <f t="shared" si="275"/>
        <v>2020.028M.R.Reovirales_2nfam.zip</v>
      </c>
      <c r="U5901" s="43" t="str">
        <f>HYPERLINK("https://ictv.global/taxonomy/taxondetails?taxnode_id=202204890","ictv.global=202204890")</f>
        <v>ictv.global=202204890</v>
      </c>
    </row>
    <row r="5902" spans="1:21">
      <c r="A5902">
        <v>5901</v>
      </c>
      <c r="B5902" s="29" t="s">
        <v>3223</v>
      </c>
      <c r="C5902" s="29"/>
      <c r="D5902" s="29" t="s">
        <v>4156</v>
      </c>
      <c r="E5902" s="29"/>
      <c r="F5902" s="29" t="s">
        <v>4157</v>
      </c>
      <c r="G5902" s="29"/>
      <c r="H5902" s="29" t="s">
        <v>4160</v>
      </c>
      <c r="I5902" s="29"/>
      <c r="J5902" s="29" t="s">
        <v>4161</v>
      </c>
      <c r="K5902" s="29"/>
      <c r="L5902" s="29" t="s">
        <v>12213</v>
      </c>
      <c r="M5902" s="29"/>
      <c r="N5902" s="29" t="s">
        <v>1414</v>
      </c>
      <c r="O5902" s="29"/>
      <c r="P5902" s="29" t="s">
        <v>1044</v>
      </c>
      <c r="Q5902" t="s">
        <v>2042</v>
      </c>
      <c r="R5902" t="s">
        <v>2634</v>
      </c>
      <c r="S5902">
        <v>37</v>
      </c>
      <c r="T5902" s="43" t="str">
        <f t="shared" si="275"/>
        <v>2020.028M.R.Reovirales_2nfam.zip</v>
      </c>
      <c r="U5902" s="43" t="str">
        <f>HYPERLINK("https://ictv.global/taxonomy/taxondetails?taxnode_id=202204891","ictv.global=202204891")</f>
        <v>ictv.global=202204891</v>
      </c>
    </row>
    <row r="5903" spans="1:21">
      <c r="A5903">
        <v>5902</v>
      </c>
      <c r="B5903" s="29" t="s">
        <v>3223</v>
      </c>
      <c r="C5903" s="29"/>
      <c r="D5903" s="29" t="s">
        <v>4156</v>
      </c>
      <c r="E5903" s="29"/>
      <c r="F5903" s="29" t="s">
        <v>4157</v>
      </c>
      <c r="G5903" s="29"/>
      <c r="H5903" s="29" t="s">
        <v>4160</v>
      </c>
      <c r="I5903" s="29"/>
      <c r="J5903" s="29" t="s">
        <v>4161</v>
      </c>
      <c r="K5903" s="29"/>
      <c r="L5903" s="29" t="s">
        <v>12213</v>
      </c>
      <c r="M5903" s="29"/>
      <c r="N5903" s="29" t="s">
        <v>1414</v>
      </c>
      <c r="O5903" s="29"/>
      <c r="P5903" s="29" t="s">
        <v>1045</v>
      </c>
      <c r="Q5903" t="s">
        <v>2042</v>
      </c>
      <c r="R5903" t="s">
        <v>2634</v>
      </c>
      <c r="S5903">
        <v>37</v>
      </c>
      <c r="T5903" s="43" t="str">
        <f t="shared" si="275"/>
        <v>2020.028M.R.Reovirales_2nfam.zip</v>
      </c>
      <c r="U5903" s="43" t="str">
        <f>HYPERLINK("https://ictv.global/taxonomy/taxondetails?taxnode_id=202204892","ictv.global=202204892")</f>
        <v>ictv.global=202204892</v>
      </c>
    </row>
    <row r="5904" spans="1:21">
      <c r="A5904">
        <v>5903</v>
      </c>
      <c r="B5904" s="29" t="s">
        <v>3223</v>
      </c>
      <c r="C5904" s="29"/>
      <c r="D5904" s="29" t="s">
        <v>4156</v>
      </c>
      <c r="E5904" s="29"/>
      <c r="F5904" s="29" t="s">
        <v>4157</v>
      </c>
      <c r="G5904" s="29"/>
      <c r="H5904" s="29" t="s">
        <v>4160</v>
      </c>
      <c r="I5904" s="29"/>
      <c r="J5904" s="29" t="s">
        <v>4161</v>
      </c>
      <c r="K5904" s="29"/>
      <c r="L5904" s="29" t="s">
        <v>12213</v>
      </c>
      <c r="M5904" s="29"/>
      <c r="N5904" s="29" t="s">
        <v>1414</v>
      </c>
      <c r="O5904" s="29"/>
      <c r="P5904" s="29" t="s">
        <v>967</v>
      </c>
      <c r="Q5904" t="s">
        <v>2042</v>
      </c>
      <c r="R5904" t="s">
        <v>2634</v>
      </c>
      <c r="S5904">
        <v>37</v>
      </c>
      <c r="T5904" s="43" t="str">
        <f t="shared" si="275"/>
        <v>2020.028M.R.Reovirales_2nfam.zip</v>
      </c>
      <c r="U5904" s="43" t="str">
        <f>HYPERLINK("https://ictv.global/taxonomy/taxondetails?taxnode_id=202204893","ictv.global=202204893")</f>
        <v>ictv.global=202204893</v>
      </c>
    </row>
    <row r="5905" spans="1:21">
      <c r="A5905">
        <v>5904</v>
      </c>
      <c r="B5905" s="29" t="s">
        <v>3223</v>
      </c>
      <c r="C5905" s="29"/>
      <c r="D5905" s="29" t="s">
        <v>4156</v>
      </c>
      <c r="E5905" s="29"/>
      <c r="F5905" s="29" t="s">
        <v>4157</v>
      </c>
      <c r="G5905" s="29"/>
      <c r="H5905" s="29" t="s">
        <v>4160</v>
      </c>
      <c r="I5905" s="29"/>
      <c r="J5905" s="29" t="s">
        <v>4161</v>
      </c>
      <c r="K5905" s="29"/>
      <c r="L5905" s="29" t="s">
        <v>12213</v>
      </c>
      <c r="M5905" s="29"/>
      <c r="N5905" s="29" t="s">
        <v>1414</v>
      </c>
      <c r="O5905" s="29"/>
      <c r="P5905" s="29" t="s">
        <v>968</v>
      </c>
      <c r="Q5905" t="s">
        <v>2042</v>
      </c>
      <c r="R5905" t="s">
        <v>2634</v>
      </c>
      <c r="S5905">
        <v>37</v>
      </c>
      <c r="T5905" s="43" t="str">
        <f t="shared" si="275"/>
        <v>2020.028M.R.Reovirales_2nfam.zip</v>
      </c>
      <c r="U5905" s="43" t="str">
        <f>HYPERLINK("https://ictv.global/taxonomy/taxondetails?taxnode_id=202204894","ictv.global=202204894")</f>
        <v>ictv.global=202204894</v>
      </c>
    </row>
    <row r="5906" spans="1:21">
      <c r="A5906">
        <v>5905</v>
      </c>
      <c r="B5906" s="29" t="s">
        <v>3223</v>
      </c>
      <c r="C5906" s="29"/>
      <c r="D5906" s="29" t="s">
        <v>4156</v>
      </c>
      <c r="E5906" s="29"/>
      <c r="F5906" s="29" t="s">
        <v>4157</v>
      </c>
      <c r="G5906" s="29"/>
      <c r="H5906" s="29" t="s">
        <v>4160</v>
      </c>
      <c r="I5906" s="29"/>
      <c r="J5906" s="29" t="s">
        <v>4161</v>
      </c>
      <c r="K5906" s="29"/>
      <c r="L5906" s="29" t="s">
        <v>12213</v>
      </c>
      <c r="M5906" s="29"/>
      <c r="N5906" s="29" t="s">
        <v>1414</v>
      </c>
      <c r="O5906" s="29"/>
      <c r="P5906" s="29" t="s">
        <v>969</v>
      </c>
      <c r="Q5906" t="s">
        <v>2042</v>
      </c>
      <c r="R5906" t="s">
        <v>2634</v>
      </c>
      <c r="S5906">
        <v>37</v>
      </c>
      <c r="T5906" s="43" t="str">
        <f t="shared" si="275"/>
        <v>2020.028M.R.Reovirales_2nfam.zip</v>
      </c>
      <c r="U5906" s="43" t="str">
        <f>HYPERLINK("https://ictv.global/taxonomy/taxondetails?taxnode_id=202204895","ictv.global=202204895")</f>
        <v>ictv.global=202204895</v>
      </c>
    </row>
    <row r="5907" spans="1:21">
      <c r="A5907">
        <v>5906</v>
      </c>
      <c r="B5907" s="29" t="s">
        <v>3223</v>
      </c>
      <c r="C5907" s="29"/>
      <c r="D5907" s="29" t="s">
        <v>4156</v>
      </c>
      <c r="E5907" s="29"/>
      <c r="F5907" s="29" t="s">
        <v>4157</v>
      </c>
      <c r="G5907" s="29"/>
      <c r="H5907" s="29" t="s">
        <v>4160</v>
      </c>
      <c r="I5907" s="29"/>
      <c r="J5907" s="29" t="s">
        <v>4161</v>
      </c>
      <c r="K5907" s="29"/>
      <c r="L5907" s="29" t="s">
        <v>12213</v>
      </c>
      <c r="M5907" s="29"/>
      <c r="N5907" s="29" t="s">
        <v>1414</v>
      </c>
      <c r="O5907" s="29"/>
      <c r="P5907" s="29" t="s">
        <v>970</v>
      </c>
      <c r="Q5907" t="s">
        <v>2042</v>
      </c>
      <c r="R5907" t="s">
        <v>2634</v>
      </c>
      <c r="S5907">
        <v>37</v>
      </c>
      <c r="T5907" s="43" t="str">
        <f t="shared" si="275"/>
        <v>2020.028M.R.Reovirales_2nfam.zip</v>
      </c>
      <c r="U5907" s="43" t="str">
        <f>HYPERLINK("https://ictv.global/taxonomy/taxondetails?taxnode_id=202204896","ictv.global=202204896")</f>
        <v>ictv.global=202204896</v>
      </c>
    </row>
    <row r="5908" spans="1:21">
      <c r="A5908">
        <v>5907</v>
      </c>
      <c r="B5908" s="29" t="s">
        <v>3223</v>
      </c>
      <c r="C5908" s="29"/>
      <c r="D5908" s="29" t="s">
        <v>4156</v>
      </c>
      <c r="E5908" s="29"/>
      <c r="F5908" s="29" t="s">
        <v>4157</v>
      </c>
      <c r="G5908" s="29"/>
      <c r="H5908" s="29" t="s">
        <v>4160</v>
      </c>
      <c r="I5908" s="29"/>
      <c r="J5908" s="29" t="s">
        <v>4161</v>
      </c>
      <c r="K5908" s="29"/>
      <c r="L5908" s="29" t="s">
        <v>12213</v>
      </c>
      <c r="M5908" s="29"/>
      <c r="N5908" s="29" t="s">
        <v>1414</v>
      </c>
      <c r="O5908" s="29"/>
      <c r="P5908" s="29" t="s">
        <v>971</v>
      </c>
      <c r="Q5908" t="s">
        <v>2042</v>
      </c>
      <c r="R5908" t="s">
        <v>2634</v>
      </c>
      <c r="S5908">
        <v>37</v>
      </c>
      <c r="T5908" s="43" t="str">
        <f t="shared" si="275"/>
        <v>2020.028M.R.Reovirales_2nfam.zip</v>
      </c>
      <c r="U5908" s="43" t="str">
        <f>HYPERLINK("https://ictv.global/taxonomy/taxondetails?taxnode_id=202204897","ictv.global=202204897")</f>
        <v>ictv.global=202204897</v>
      </c>
    </row>
    <row r="5909" spans="1:21">
      <c r="A5909">
        <v>5908</v>
      </c>
      <c r="B5909" s="29" t="s">
        <v>3223</v>
      </c>
      <c r="C5909" s="29"/>
      <c r="D5909" s="29" t="s">
        <v>4156</v>
      </c>
      <c r="E5909" s="29"/>
      <c r="F5909" s="29" t="s">
        <v>4157</v>
      </c>
      <c r="G5909" s="29"/>
      <c r="H5909" s="29" t="s">
        <v>4160</v>
      </c>
      <c r="I5909" s="29"/>
      <c r="J5909" s="29" t="s">
        <v>4161</v>
      </c>
      <c r="K5909" s="29"/>
      <c r="L5909" s="29" t="s">
        <v>12213</v>
      </c>
      <c r="M5909" s="29"/>
      <c r="N5909" s="29" t="s">
        <v>1414</v>
      </c>
      <c r="O5909" s="29"/>
      <c r="P5909" s="29" t="s">
        <v>972</v>
      </c>
      <c r="Q5909" t="s">
        <v>2042</v>
      </c>
      <c r="R5909" t="s">
        <v>2634</v>
      </c>
      <c r="S5909">
        <v>37</v>
      </c>
      <c r="T5909" s="43" t="str">
        <f t="shared" si="275"/>
        <v>2020.028M.R.Reovirales_2nfam.zip</v>
      </c>
      <c r="U5909" s="43" t="str">
        <f>HYPERLINK("https://ictv.global/taxonomy/taxondetails?taxnode_id=202204898","ictv.global=202204898")</f>
        <v>ictv.global=202204898</v>
      </c>
    </row>
    <row r="5910" spans="1:21">
      <c r="A5910">
        <v>5909</v>
      </c>
      <c r="B5910" s="29" t="s">
        <v>3223</v>
      </c>
      <c r="C5910" s="29"/>
      <c r="D5910" s="29" t="s">
        <v>4156</v>
      </c>
      <c r="E5910" s="29"/>
      <c r="F5910" s="29" t="s">
        <v>4157</v>
      </c>
      <c r="G5910" s="29"/>
      <c r="H5910" s="29" t="s">
        <v>4160</v>
      </c>
      <c r="I5910" s="29"/>
      <c r="J5910" s="29" t="s">
        <v>4161</v>
      </c>
      <c r="K5910" s="29"/>
      <c r="L5910" s="29" t="s">
        <v>12213</v>
      </c>
      <c r="M5910" s="29"/>
      <c r="N5910" s="29" t="s">
        <v>1414</v>
      </c>
      <c r="O5910" s="29"/>
      <c r="P5910" s="29" t="s">
        <v>973</v>
      </c>
      <c r="Q5910" t="s">
        <v>2042</v>
      </c>
      <c r="R5910" t="s">
        <v>2634</v>
      </c>
      <c r="S5910">
        <v>37</v>
      </c>
      <c r="T5910" s="43" t="str">
        <f t="shared" si="275"/>
        <v>2020.028M.R.Reovirales_2nfam.zip</v>
      </c>
      <c r="U5910" s="43" t="str">
        <f>HYPERLINK("https://ictv.global/taxonomy/taxondetails?taxnode_id=202204899","ictv.global=202204899")</f>
        <v>ictv.global=202204899</v>
      </c>
    </row>
    <row r="5911" spans="1:21">
      <c r="A5911">
        <v>5910</v>
      </c>
      <c r="B5911" s="29" t="s">
        <v>3223</v>
      </c>
      <c r="C5911" s="29"/>
      <c r="D5911" s="29" t="s">
        <v>4156</v>
      </c>
      <c r="E5911" s="29"/>
      <c r="F5911" s="29" t="s">
        <v>4157</v>
      </c>
      <c r="G5911" s="29"/>
      <c r="H5911" s="29" t="s">
        <v>4160</v>
      </c>
      <c r="I5911" s="29"/>
      <c r="J5911" s="29" t="s">
        <v>4161</v>
      </c>
      <c r="K5911" s="29"/>
      <c r="L5911" s="29" t="s">
        <v>12213</v>
      </c>
      <c r="M5911" s="29"/>
      <c r="N5911" s="29" t="s">
        <v>194</v>
      </c>
      <c r="O5911" s="29"/>
      <c r="P5911" s="29" t="s">
        <v>273</v>
      </c>
      <c r="Q5911" t="s">
        <v>2042</v>
      </c>
      <c r="R5911" t="s">
        <v>2634</v>
      </c>
      <c r="S5911">
        <v>37</v>
      </c>
      <c r="T5911" s="43" t="str">
        <f t="shared" si="275"/>
        <v>2020.028M.R.Reovirales_2nfam.zip</v>
      </c>
      <c r="U5911" s="43" t="str">
        <f>HYPERLINK("https://ictv.global/taxonomy/taxondetails?taxnode_id=202204901","ictv.global=202204901")</f>
        <v>ictv.global=202204901</v>
      </c>
    </row>
    <row r="5912" spans="1:21">
      <c r="A5912">
        <v>5911</v>
      </c>
      <c r="B5912" s="29" t="s">
        <v>3223</v>
      </c>
      <c r="C5912" s="29"/>
      <c r="D5912" s="29" t="s">
        <v>4156</v>
      </c>
      <c r="E5912" s="29"/>
      <c r="F5912" s="29" t="s">
        <v>4157</v>
      </c>
      <c r="G5912" s="29"/>
      <c r="H5912" s="29" t="s">
        <v>4160</v>
      </c>
      <c r="I5912" s="29"/>
      <c r="J5912" s="29" t="s">
        <v>4161</v>
      </c>
      <c r="K5912" s="29"/>
      <c r="L5912" s="29" t="s">
        <v>12213</v>
      </c>
      <c r="M5912" s="29"/>
      <c r="N5912" s="29" t="s">
        <v>194</v>
      </c>
      <c r="O5912" s="29"/>
      <c r="P5912" s="29" t="s">
        <v>274</v>
      </c>
      <c r="Q5912" t="s">
        <v>2042</v>
      </c>
      <c r="R5912" t="s">
        <v>2634</v>
      </c>
      <c r="S5912">
        <v>37</v>
      </c>
      <c r="T5912" s="43" t="str">
        <f t="shared" si="275"/>
        <v>2020.028M.R.Reovirales_2nfam.zip</v>
      </c>
      <c r="U5912" s="43" t="str">
        <f>HYPERLINK("https://ictv.global/taxonomy/taxondetails?taxnode_id=202204902","ictv.global=202204902")</f>
        <v>ictv.global=202204902</v>
      </c>
    </row>
    <row r="5913" spans="1:21">
      <c r="A5913">
        <v>5912</v>
      </c>
      <c r="B5913" s="29" t="s">
        <v>3223</v>
      </c>
      <c r="C5913" s="29"/>
      <c r="D5913" s="29" t="s">
        <v>4156</v>
      </c>
      <c r="E5913" s="29"/>
      <c r="F5913" s="29" t="s">
        <v>4157</v>
      </c>
      <c r="G5913" s="29"/>
      <c r="H5913" s="29" t="s">
        <v>4160</v>
      </c>
      <c r="I5913" s="29"/>
      <c r="J5913" s="29" t="s">
        <v>4161</v>
      </c>
      <c r="K5913" s="29"/>
      <c r="L5913" s="29" t="s">
        <v>12213</v>
      </c>
      <c r="M5913" s="29"/>
      <c r="N5913" s="29" t="s">
        <v>194</v>
      </c>
      <c r="O5913" s="29"/>
      <c r="P5913" s="29" t="s">
        <v>275</v>
      </c>
      <c r="Q5913" t="s">
        <v>2042</v>
      </c>
      <c r="R5913" t="s">
        <v>2634</v>
      </c>
      <c r="S5913">
        <v>37</v>
      </c>
      <c r="T5913" s="43" t="str">
        <f t="shared" si="275"/>
        <v>2020.028M.R.Reovirales_2nfam.zip</v>
      </c>
      <c r="U5913" s="43" t="str">
        <f>HYPERLINK("https://ictv.global/taxonomy/taxondetails?taxnode_id=202204903","ictv.global=202204903")</f>
        <v>ictv.global=202204903</v>
      </c>
    </row>
    <row r="5914" spans="1:21">
      <c r="A5914">
        <v>5913</v>
      </c>
      <c r="B5914" s="29" t="s">
        <v>3223</v>
      </c>
      <c r="C5914" s="29"/>
      <c r="D5914" s="29" t="s">
        <v>4156</v>
      </c>
      <c r="E5914" s="29"/>
      <c r="F5914" s="29" t="s">
        <v>4157</v>
      </c>
      <c r="G5914" s="29"/>
      <c r="H5914" s="29" t="s">
        <v>4160</v>
      </c>
      <c r="I5914" s="29"/>
      <c r="J5914" s="29" t="s">
        <v>4161</v>
      </c>
      <c r="K5914" s="29"/>
      <c r="L5914" s="29" t="s">
        <v>12213</v>
      </c>
      <c r="M5914" s="29"/>
      <c r="N5914" s="29" t="s">
        <v>182</v>
      </c>
      <c r="O5914" s="29"/>
      <c r="P5914" s="29" t="s">
        <v>277</v>
      </c>
      <c r="Q5914" t="s">
        <v>2042</v>
      </c>
      <c r="R5914" t="s">
        <v>2634</v>
      </c>
      <c r="S5914">
        <v>37</v>
      </c>
      <c r="T5914" s="43" t="str">
        <f t="shared" si="275"/>
        <v>2020.028M.R.Reovirales_2nfam.zip</v>
      </c>
      <c r="U5914" s="43" t="str">
        <f>HYPERLINK("https://ictv.global/taxonomy/taxondetails?taxnode_id=202204905","ictv.global=202204905")</f>
        <v>ictv.global=202204905</v>
      </c>
    </row>
    <row r="5915" spans="1:21">
      <c r="A5915">
        <v>5914</v>
      </c>
      <c r="B5915" s="29" t="s">
        <v>3223</v>
      </c>
      <c r="C5915" s="29"/>
      <c r="D5915" s="29" t="s">
        <v>4156</v>
      </c>
      <c r="E5915" s="29"/>
      <c r="F5915" s="29" t="s">
        <v>4157</v>
      </c>
      <c r="G5915" s="29"/>
      <c r="H5915" s="29" t="s">
        <v>4160</v>
      </c>
      <c r="I5915" s="29"/>
      <c r="J5915" s="29" t="s">
        <v>4161</v>
      </c>
      <c r="K5915" s="29"/>
      <c r="L5915" s="29" t="s">
        <v>12213</v>
      </c>
      <c r="M5915" s="29"/>
      <c r="N5915" s="29" t="s">
        <v>182</v>
      </c>
      <c r="O5915" s="29"/>
      <c r="P5915" s="29" t="s">
        <v>278</v>
      </c>
      <c r="Q5915" t="s">
        <v>2042</v>
      </c>
      <c r="R5915" t="s">
        <v>2634</v>
      </c>
      <c r="S5915">
        <v>37</v>
      </c>
      <c r="T5915" s="43" t="str">
        <f t="shared" si="275"/>
        <v>2020.028M.R.Reovirales_2nfam.zip</v>
      </c>
      <c r="U5915" s="43" t="str">
        <f>HYPERLINK("https://ictv.global/taxonomy/taxondetails?taxnode_id=202204906","ictv.global=202204906")</f>
        <v>ictv.global=202204906</v>
      </c>
    </row>
    <row r="5916" spans="1:21">
      <c r="A5916">
        <v>5915</v>
      </c>
      <c r="B5916" s="29" t="s">
        <v>3223</v>
      </c>
      <c r="C5916" s="29"/>
      <c r="D5916" s="29" t="s">
        <v>4156</v>
      </c>
      <c r="E5916" s="29"/>
      <c r="F5916" s="29" t="s">
        <v>4157</v>
      </c>
      <c r="G5916" s="29"/>
      <c r="H5916" s="29" t="s">
        <v>4160</v>
      </c>
      <c r="I5916" s="29"/>
      <c r="J5916" s="29" t="s">
        <v>4161</v>
      </c>
      <c r="K5916" s="29"/>
      <c r="L5916" s="29" t="s">
        <v>12213</v>
      </c>
      <c r="M5916" s="29"/>
      <c r="N5916" s="29" t="s">
        <v>182</v>
      </c>
      <c r="O5916" s="29"/>
      <c r="P5916" s="29" t="s">
        <v>279</v>
      </c>
      <c r="Q5916" t="s">
        <v>2042</v>
      </c>
      <c r="R5916" t="s">
        <v>2634</v>
      </c>
      <c r="S5916">
        <v>37</v>
      </c>
      <c r="T5916" s="43" t="str">
        <f t="shared" si="275"/>
        <v>2020.028M.R.Reovirales_2nfam.zip</v>
      </c>
      <c r="U5916" s="43" t="str">
        <f>HYPERLINK("https://ictv.global/taxonomy/taxondetails?taxnode_id=202204907","ictv.global=202204907")</f>
        <v>ictv.global=202204907</v>
      </c>
    </row>
    <row r="5917" spans="1:21">
      <c r="A5917">
        <v>5916</v>
      </c>
      <c r="B5917" s="29" t="s">
        <v>3223</v>
      </c>
      <c r="C5917" s="29"/>
      <c r="D5917" s="29" t="s">
        <v>4156</v>
      </c>
      <c r="E5917" s="29"/>
      <c r="F5917" s="29" t="s">
        <v>4157</v>
      </c>
      <c r="G5917" s="29"/>
      <c r="H5917" s="29" t="s">
        <v>4160</v>
      </c>
      <c r="I5917" s="29"/>
      <c r="J5917" s="29" t="s">
        <v>4161</v>
      </c>
      <c r="K5917" s="29"/>
      <c r="L5917" s="29" t="s">
        <v>12213</v>
      </c>
      <c r="M5917" s="29"/>
      <c r="N5917" s="29" t="s">
        <v>182</v>
      </c>
      <c r="O5917" s="29"/>
      <c r="P5917" s="29" t="s">
        <v>280</v>
      </c>
      <c r="Q5917" t="s">
        <v>2042</v>
      </c>
      <c r="R5917" t="s">
        <v>2634</v>
      </c>
      <c r="S5917">
        <v>37</v>
      </c>
      <c r="T5917" s="43" t="str">
        <f t="shared" si="275"/>
        <v>2020.028M.R.Reovirales_2nfam.zip</v>
      </c>
      <c r="U5917" s="43" t="str">
        <f>HYPERLINK("https://ictv.global/taxonomy/taxondetails?taxnode_id=202204908","ictv.global=202204908")</f>
        <v>ictv.global=202204908</v>
      </c>
    </row>
    <row r="5918" spans="1:21">
      <c r="A5918">
        <v>5917</v>
      </c>
      <c r="B5918" s="29" t="s">
        <v>3223</v>
      </c>
      <c r="C5918" s="29"/>
      <c r="D5918" s="29" t="s">
        <v>4156</v>
      </c>
      <c r="E5918" s="29"/>
      <c r="F5918" s="29" t="s">
        <v>4157</v>
      </c>
      <c r="G5918" s="29"/>
      <c r="H5918" s="29" t="s">
        <v>4160</v>
      </c>
      <c r="I5918" s="29"/>
      <c r="J5918" s="29" t="s">
        <v>4161</v>
      </c>
      <c r="K5918" s="29"/>
      <c r="L5918" s="29" t="s">
        <v>12213</v>
      </c>
      <c r="M5918" s="29"/>
      <c r="N5918" s="29" t="s">
        <v>182</v>
      </c>
      <c r="O5918" s="29"/>
      <c r="P5918" s="29" t="s">
        <v>2031</v>
      </c>
      <c r="Q5918" t="s">
        <v>2042</v>
      </c>
      <c r="R5918" t="s">
        <v>2634</v>
      </c>
      <c r="S5918">
        <v>37</v>
      </c>
      <c r="T5918" s="43" t="str">
        <f t="shared" si="275"/>
        <v>2020.028M.R.Reovirales_2nfam.zip</v>
      </c>
      <c r="U5918" s="43" t="str">
        <f>HYPERLINK("https://ictv.global/taxonomy/taxondetails?taxnode_id=202204910","ictv.global=202204910")</f>
        <v>ictv.global=202204910</v>
      </c>
    </row>
    <row r="5919" spans="1:21">
      <c r="A5919">
        <v>5918</v>
      </c>
      <c r="B5919" s="29" t="s">
        <v>3223</v>
      </c>
      <c r="C5919" s="29"/>
      <c r="D5919" s="29" t="s">
        <v>4156</v>
      </c>
      <c r="E5919" s="29"/>
      <c r="F5919" s="29" t="s">
        <v>4157</v>
      </c>
      <c r="G5919" s="29"/>
      <c r="H5919" s="29" t="s">
        <v>4160</v>
      </c>
      <c r="I5919" s="29"/>
      <c r="J5919" s="29" t="s">
        <v>4161</v>
      </c>
      <c r="K5919" s="29"/>
      <c r="L5919" s="29" t="s">
        <v>12213</v>
      </c>
      <c r="M5919" s="29"/>
      <c r="N5919" s="29" t="s">
        <v>182</v>
      </c>
      <c r="O5919" s="29"/>
      <c r="P5919" s="29" t="s">
        <v>2032</v>
      </c>
      <c r="Q5919" t="s">
        <v>2042</v>
      </c>
      <c r="R5919" t="s">
        <v>2634</v>
      </c>
      <c r="S5919">
        <v>37</v>
      </c>
      <c r="T5919" s="43" t="str">
        <f t="shared" ref="T5919:T5950" si="276">HYPERLINK("https://ictv.global/ictv/proposals/2020.028M.R.Reovirales_2nfam.zip","2020.028M.R.Reovirales_2nfam.zip")</f>
        <v>2020.028M.R.Reovirales_2nfam.zip</v>
      </c>
      <c r="U5919" s="43" t="str">
        <f>HYPERLINK("https://ictv.global/taxonomy/taxondetails?taxnode_id=202204911","ictv.global=202204911")</f>
        <v>ictv.global=202204911</v>
      </c>
    </row>
    <row r="5920" spans="1:21">
      <c r="A5920">
        <v>5919</v>
      </c>
      <c r="B5920" s="29" t="s">
        <v>3223</v>
      </c>
      <c r="C5920" s="29"/>
      <c r="D5920" s="29" t="s">
        <v>4156</v>
      </c>
      <c r="E5920" s="29"/>
      <c r="F5920" s="29" t="s">
        <v>4157</v>
      </c>
      <c r="G5920" s="29"/>
      <c r="H5920" s="29" t="s">
        <v>4160</v>
      </c>
      <c r="I5920" s="29"/>
      <c r="J5920" s="29" t="s">
        <v>4161</v>
      </c>
      <c r="K5920" s="29"/>
      <c r="L5920" s="29" t="s">
        <v>12213</v>
      </c>
      <c r="M5920" s="29"/>
      <c r="N5920" s="29" t="s">
        <v>182</v>
      </c>
      <c r="O5920" s="29"/>
      <c r="P5920" s="29" t="s">
        <v>2033</v>
      </c>
      <c r="Q5920" t="s">
        <v>2042</v>
      </c>
      <c r="R5920" t="s">
        <v>2634</v>
      </c>
      <c r="S5920">
        <v>37</v>
      </c>
      <c r="T5920" s="43" t="str">
        <f t="shared" si="276"/>
        <v>2020.028M.R.Reovirales_2nfam.zip</v>
      </c>
      <c r="U5920" s="43" t="str">
        <f>HYPERLINK("https://ictv.global/taxonomy/taxondetails?taxnode_id=202204912","ictv.global=202204912")</f>
        <v>ictv.global=202204912</v>
      </c>
    </row>
    <row r="5921" spans="1:21">
      <c r="A5921">
        <v>5920</v>
      </c>
      <c r="B5921" s="29" t="s">
        <v>3223</v>
      </c>
      <c r="C5921" s="29"/>
      <c r="D5921" s="29" t="s">
        <v>4156</v>
      </c>
      <c r="E5921" s="29"/>
      <c r="F5921" s="29" t="s">
        <v>4157</v>
      </c>
      <c r="G5921" s="29"/>
      <c r="H5921" s="29" t="s">
        <v>4160</v>
      </c>
      <c r="I5921" s="29"/>
      <c r="J5921" s="29" t="s">
        <v>4161</v>
      </c>
      <c r="K5921" s="29"/>
      <c r="L5921" s="29" t="s">
        <v>12213</v>
      </c>
      <c r="M5921" s="29"/>
      <c r="N5921" s="29" t="s">
        <v>182</v>
      </c>
      <c r="O5921" s="29"/>
      <c r="P5921" s="29" t="s">
        <v>2548</v>
      </c>
      <c r="Q5921" t="s">
        <v>2042</v>
      </c>
      <c r="R5921" t="s">
        <v>2634</v>
      </c>
      <c r="S5921">
        <v>37</v>
      </c>
      <c r="T5921" s="43" t="str">
        <f t="shared" si="276"/>
        <v>2020.028M.R.Reovirales_2nfam.zip</v>
      </c>
      <c r="U5921" s="43" t="str">
        <f>HYPERLINK("https://ictv.global/taxonomy/taxondetails?taxnode_id=202204913","ictv.global=202204913")</f>
        <v>ictv.global=202204913</v>
      </c>
    </row>
    <row r="5922" spans="1:21">
      <c r="A5922">
        <v>5921</v>
      </c>
      <c r="B5922" s="29" t="s">
        <v>3223</v>
      </c>
      <c r="C5922" s="29"/>
      <c r="D5922" s="29" t="s">
        <v>4156</v>
      </c>
      <c r="E5922" s="29"/>
      <c r="F5922" s="29" t="s">
        <v>4157</v>
      </c>
      <c r="G5922" s="29"/>
      <c r="H5922" s="29" t="s">
        <v>4160</v>
      </c>
      <c r="I5922" s="29"/>
      <c r="J5922" s="29" t="s">
        <v>4161</v>
      </c>
      <c r="K5922" s="29"/>
      <c r="L5922" s="29" t="s">
        <v>12213</v>
      </c>
      <c r="M5922" s="29"/>
      <c r="N5922" s="29" t="s">
        <v>182</v>
      </c>
      <c r="O5922" s="29"/>
      <c r="P5922" s="29" t="s">
        <v>4162</v>
      </c>
      <c r="Q5922" t="s">
        <v>2042</v>
      </c>
      <c r="R5922" t="s">
        <v>2634</v>
      </c>
      <c r="S5922">
        <v>37</v>
      </c>
      <c r="T5922" s="43" t="str">
        <f t="shared" si="276"/>
        <v>2020.028M.R.Reovirales_2nfam.zip</v>
      </c>
      <c r="U5922" s="43" t="str">
        <f>HYPERLINK("https://ictv.global/taxonomy/taxondetails?taxnode_id=202207663","ictv.global=202207663")</f>
        <v>ictv.global=202207663</v>
      </c>
    </row>
    <row r="5923" spans="1:21">
      <c r="A5923">
        <v>5922</v>
      </c>
      <c r="B5923" s="29" t="s">
        <v>3223</v>
      </c>
      <c r="C5923" s="29"/>
      <c r="D5923" s="29" t="s">
        <v>4156</v>
      </c>
      <c r="E5923" s="29"/>
      <c r="F5923" s="29" t="s">
        <v>4157</v>
      </c>
      <c r="G5923" s="29"/>
      <c r="H5923" s="29" t="s">
        <v>4160</v>
      </c>
      <c r="I5923" s="29"/>
      <c r="J5923" s="29" t="s">
        <v>4161</v>
      </c>
      <c r="K5923" s="29"/>
      <c r="L5923" s="29" t="s">
        <v>12213</v>
      </c>
      <c r="M5923" s="29"/>
      <c r="N5923" s="29" t="s">
        <v>281</v>
      </c>
      <c r="O5923" s="29"/>
      <c r="P5923" s="29" t="s">
        <v>282</v>
      </c>
      <c r="Q5923" t="s">
        <v>2042</v>
      </c>
      <c r="R5923" t="s">
        <v>2634</v>
      </c>
      <c r="S5923">
        <v>37</v>
      </c>
      <c r="T5923" s="43" t="str">
        <f t="shared" si="276"/>
        <v>2020.028M.R.Reovirales_2nfam.zip</v>
      </c>
      <c r="U5923" s="43" t="str">
        <f>HYPERLINK("https://ictv.global/taxonomy/taxondetails?taxnode_id=202204915","ictv.global=202204915")</f>
        <v>ictv.global=202204915</v>
      </c>
    </row>
    <row r="5924" spans="1:21">
      <c r="A5924">
        <v>5923</v>
      </c>
      <c r="B5924" s="29" t="s">
        <v>3223</v>
      </c>
      <c r="C5924" s="29"/>
      <c r="D5924" s="29" t="s">
        <v>4156</v>
      </c>
      <c r="E5924" s="29"/>
      <c r="F5924" s="29" t="s">
        <v>4157</v>
      </c>
      <c r="G5924" s="29"/>
      <c r="H5924" s="29" t="s">
        <v>4160</v>
      </c>
      <c r="I5924" s="29"/>
      <c r="J5924" s="29" t="s">
        <v>4161</v>
      </c>
      <c r="K5924" s="29"/>
      <c r="L5924" s="29" t="s">
        <v>12213</v>
      </c>
      <c r="M5924" s="29"/>
      <c r="N5924" s="29" t="s">
        <v>281</v>
      </c>
      <c r="O5924" s="29"/>
      <c r="P5924" s="29" t="s">
        <v>283</v>
      </c>
      <c r="Q5924" t="s">
        <v>2042</v>
      </c>
      <c r="R5924" t="s">
        <v>2634</v>
      </c>
      <c r="S5924">
        <v>37</v>
      </c>
      <c r="T5924" s="43" t="str">
        <f t="shared" si="276"/>
        <v>2020.028M.R.Reovirales_2nfam.zip</v>
      </c>
      <c r="U5924" s="43" t="str">
        <f>HYPERLINK("https://ictv.global/taxonomy/taxondetails?taxnode_id=202204916","ictv.global=202204916")</f>
        <v>ictv.global=202204916</v>
      </c>
    </row>
    <row r="5925" spans="1:21">
      <c r="A5925">
        <v>5924</v>
      </c>
      <c r="B5925" s="29" t="s">
        <v>3223</v>
      </c>
      <c r="C5925" s="29"/>
      <c r="D5925" s="29" t="s">
        <v>4156</v>
      </c>
      <c r="E5925" s="29"/>
      <c r="F5925" s="29" t="s">
        <v>4157</v>
      </c>
      <c r="G5925" s="29"/>
      <c r="H5925" s="29" t="s">
        <v>4160</v>
      </c>
      <c r="I5925" s="29"/>
      <c r="J5925" s="29" t="s">
        <v>4161</v>
      </c>
      <c r="K5925" s="29"/>
      <c r="L5925" s="29" t="s">
        <v>12213</v>
      </c>
      <c r="M5925" s="29"/>
      <c r="N5925" s="29" t="s">
        <v>281</v>
      </c>
      <c r="O5925" s="29"/>
      <c r="P5925" s="29" t="s">
        <v>284</v>
      </c>
      <c r="Q5925" t="s">
        <v>2042</v>
      </c>
      <c r="R5925" t="s">
        <v>2634</v>
      </c>
      <c r="S5925">
        <v>37</v>
      </c>
      <c r="T5925" s="43" t="str">
        <f t="shared" si="276"/>
        <v>2020.028M.R.Reovirales_2nfam.zip</v>
      </c>
      <c r="U5925" s="43" t="str">
        <f>HYPERLINK("https://ictv.global/taxonomy/taxondetails?taxnode_id=202204917","ictv.global=202204917")</f>
        <v>ictv.global=202204917</v>
      </c>
    </row>
    <row r="5926" spans="1:21">
      <c r="A5926">
        <v>5925</v>
      </c>
      <c r="B5926" s="29" t="s">
        <v>3223</v>
      </c>
      <c r="C5926" s="29"/>
      <c r="D5926" s="29" t="s">
        <v>4156</v>
      </c>
      <c r="E5926" s="29"/>
      <c r="F5926" s="29" t="s">
        <v>4157</v>
      </c>
      <c r="G5926" s="29"/>
      <c r="H5926" s="29" t="s">
        <v>4160</v>
      </c>
      <c r="I5926" s="29"/>
      <c r="J5926" s="29" t="s">
        <v>4161</v>
      </c>
      <c r="K5926" s="29"/>
      <c r="L5926" s="29" t="s">
        <v>12214</v>
      </c>
      <c r="M5926" s="29"/>
      <c r="N5926" s="29" t="s">
        <v>559</v>
      </c>
      <c r="O5926" s="29"/>
      <c r="P5926" s="29" t="s">
        <v>560</v>
      </c>
      <c r="Q5926" t="s">
        <v>2042</v>
      </c>
      <c r="R5926" t="s">
        <v>2634</v>
      </c>
      <c r="S5926">
        <v>37</v>
      </c>
      <c r="T5926" s="43" t="str">
        <f t="shared" si="276"/>
        <v>2020.028M.R.Reovirales_2nfam.zip</v>
      </c>
      <c r="U5926" s="43" t="str">
        <f>HYPERLINK("https://ictv.global/taxonomy/taxondetails?taxnode_id=202204920","ictv.global=202204920")</f>
        <v>ictv.global=202204920</v>
      </c>
    </row>
    <row r="5927" spans="1:21">
      <c r="A5927">
        <v>5926</v>
      </c>
      <c r="B5927" s="29" t="s">
        <v>3223</v>
      </c>
      <c r="C5927" s="29"/>
      <c r="D5927" s="29" t="s">
        <v>4156</v>
      </c>
      <c r="E5927" s="29"/>
      <c r="F5927" s="29" t="s">
        <v>4157</v>
      </c>
      <c r="G5927" s="29"/>
      <c r="H5927" s="29" t="s">
        <v>4160</v>
      </c>
      <c r="I5927" s="29"/>
      <c r="J5927" s="29" t="s">
        <v>4161</v>
      </c>
      <c r="K5927" s="29"/>
      <c r="L5927" s="29" t="s">
        <v>12214</v>
      </c>
      <c r="M5927" s="29"/>
      <c r="N5927" s="29" t="s">
        <v>559</v>
      </c>
      <c r="O5927" s="29"/>
      <c r="P5927" s="29" t="s">
        <v>561</v>
      </c>
      <c r="Q5927" t="s">
        <v>2042</v>
      </c>
      <c r="R5927" t="s">
        <v>2634</v>
      </c>
      <c r="S5927">
        <v>37</v>
      </c>
      <c r="T5927" s="43" t="str">
        <f t="shared" si="276"/>
        <v>2020.028M.R.Reovirales_2nfam.zip</v>
      </c>
      <c r="U5927" s="43" t="str">
        <f>HYPERLINK("https://ictv.global/taxonomy/taxondetails?taxnode_id=202204921","ictv.global=202204921")</f>
        <v>ictv.global=202204921</v>
      </c>
    </row>
    <row r="5928" spans="1:21">
      <c r="A5928">
        <v>5927</v>
      </c>
      <c r="B5928" s="29" t="s">
        <v>3223</v>
      </c>
      <c r="C5928" s="29"/>
      <c r="D5928" s="29" t="s">
        <v>4156</v>
      </c>
      <c r="E5928" s="29"/>
      <c r="F5928" s="29" t="s">
        <v>4157</v>
      </c>
      <c r="G5928" s="29"/>
      <c r="H5928" s="29" t="s">
        <v>4160</v>
      </c>
      <c r="I5928" s="29"/>
      <c r="J5928" s="29" t="s">
        <v>4161</v>
      </c>
      <c r="K5928" s="29"/>
      <c r="L5928" s="29" t="s">
        <v>12214</v>
      </c>
      <c r="M5928" s="29"/>
      <c r="N5928" s="29" t="s">
        <v>559</v>
      </c>
      <c r="O5928" s="29"/>
      <c r="P5928" s="29" t="s">
        <v>562</v>
      </c>
      <c r="Q5928" t="s">
        <v>2042</v>
      </c>
      <c r="R5928" t="s">
        <v>2634</v>
      </c>
      <c r="S5928">
        <v>37</v>
      </c>
      <c r="T5928" s="43" t="str">
        <f t="shared" si="276"/>
        <v>2020.028M.R.Reovirales_2nfam.zip</v>
      </c>
      <c r="U5928" s="43" t="str">
        <f>HYPERLINK("https://ictv.global/taxonomy/taxondetails?taxnode_id=202204922","ictv.global=202204922")</f>
        <v>ictv.global=202204922</v>
      </c>
    </row>
    <row r="5929" spans="1:21">
      <c r="A5929">
        <v>5928</v>
      </c>
      <c r="B5929" s="29" t="s">
        <v>3223</v>
      </c>
      <c r="C5929" s="29"/>
      <c r="D5929" s="29" t="s">
        <v>4156</v>
      </c>
      <c r="E5929" s="29"/>
      <c r="F5929" s="29" t="s">
        <v>4157</v>
      </c>
      <c r="G5929" s="29"/>
      <c r="H5929" s="29" t="s">
        <v>4160</v>
      </c>
      <c r="I5929" s="29"/>
      <c r="J5929" s="29" t="s">
        <v>4161</v>
      </c>
      <c r="K5929" s="29"/>
      <c r="L5929" s="29" t="s">
        <v>12214</v>
      </c>
      <c r="M5929" s="29"/>
      <c r="N5929" s="29" t="s">
        <v>559</v>
      </c>
      <c r="O5929" s="29"/>
      <c r="P5929" s="29" t="s">
        <v>563</v>
      </c>
      <c r="Q5929" t="s">
        <v>2042</v>
      </c>
      <c r="R5929" t="s">
        <v>2634</v>
      </c>
      <c r="S5929">
        <v>37</v>
      </c>
      <c r="T5929" s="43" t="str">
        <f t="shared" si="276"/>
        <v>2020.028M.R.Reovirales_2nfam.zip</v>
      </c>
      <c r="U5929" s="43" t="str">
        <f>HYPERLINK("https://ictv.global/taxonomy/taxondetails?taxnode_id=202204923","ictv.global=202204923")</f>
        <v>ictv.global=202204923</v>
      </c>
    </row>
    <row r="5930" spans="1:21">
      <c r="A5930">
        <v>5929</v>
      </c>
      <c r="B5930" s="29" t="s">
        <v>3223</v>
      </c>
      <c r="C5930" s="29"/>
      <c r="D5930" s="29" t="s">
        <v>4156</v>
      </c>
      <c r="E5930" s="29"/>
      <c r="F5930" s="29" t="s">
        <v>4157</v>
      </c>
      <c r="G5930" s="29"/>
      <c r="H5930" s="29" t="s">
        <v>4160</v>
      </c>
      <c r="I5930" s="29"/>
      <c r="J5930" s="29" t="s">
        <v>4161</v>
      </c>
      <c r="K5930" s="29"/>
      <c r="L5930" s="29" t="s">
        <v>12214</v>
      </c>
      <c r="M5930" s="29"/>
      <c r="N5930" s="29" t="s">
        <v>559</v>
      </c>
      <c r="O5930" s="29"/>
      <c r="P5930" s="29" t="s">
        <v>564</v>
      </c>
      <c r="Q5930" t="s">
        <v>2042</v>
      </c>
      <c r="R5930" t="s">
        <v>2634</v>
      </c>
      <c r="S5930">
        <v>37</v>
      </c>
      <c r="T5930" s="43" t="str">
        <f t="shared" si="276"/>
        <v>2020.028M.R.Reovirales_2nfam.zip</v>
      </c>
      <c r="U5930" s="43" t="str">
        <f>HYPERLINK("https://ictv.global/taxonomy/taxondetails?taxnode_id=202204924","ictv.global=202204924")</f>
        <v>ictv.global=202204924</v>
      </c>
    </row>
    <row r="5931" spans="1:21">
      <c r="A5931">
        <v>5930</v>
      </c>
      <c r="B5931" s="29" t="s">
        <v>3223</v>
      </c>
      <c r="C5931" s="29"/>
      <c r="D5931" s="29" t="s">
        <v>4156</v>
      </c>
      <c r="E5931" s="29"/>
      <c r="F5931" s="29" t="s">
        <v>4157</v>
      </c>
      <c r="G5931" s="29"/>
      <c r="H5931" s="29" t="s">
        <v>4160</v>
      </c>
      <c r="I5931" s="29"/>
      <c r="J5931" s="29" t="s">
        <v>4161</v>
      </c>
      <c r="K5931" s="29"/>
      <c r="L5931" s="29" t="s">
        <v>12214</v>
      </c>
      <c r="M5931" s="29"/>
      <c r="N5931" s="29" t="s">
        <v>559</v>
      </c>
      <c r="O5931" s="29"/>
      <c r="P5931" s="29" t="s">
        <v>565</v>
      </c>
      <c r="Q5931" t="s">
        <v>2042</v>
      </c>
      <c r="R5931" t="s">
        <v>2634</v>
      </c>
      <c r="S5931">
        <v>37</v>
      </c>
      <c r="T5931" s="43" t="str">
        <f t="shared" si="276"/>
        <v>2020.028M.R.Reovirales_2nfam.zip</v>
      </c>
      <c r="U5931" s="43" t="str">
        <f>HYPERLINK("https://ictv.global/taxonomy/taxondetails?taxnode_id=202204925","ictv.global=202204925")</f>
        <v>ictv.global=202204925</v>
      </c>
    </row>
    <row r="5932" spans="1:21">
      <c r="A5932">
        <v>5931</v>
      </c>
      <c r="B5932" s="29" t="s">
        <v>3223</v>
      </c>
      <c r="C5932" s="29"/>
      <c r="D5932" s="29" t="s">
        <v>4156</v>
      </c>
      <c r="E5932" s="29"/>
      <c r="F5932" s="29" t="s">
        <v>4157</v>
      </c>
      <c r="G5932" s="29"/>
      <c r="H5932" s="29" t="s">
        <v>4160</v>
      </c>
      <c r="I5932" s="29"/>
      <c r="J5932" s="29" t="s">
        <v>4161</v>
      </c>
      <c r="K5932" s="29"/>
      <c r="L5932" s="29" t="s">
        <v>12214</v>
      </c>
      <c r="M5932" s="29"/>
      <c r="N5932" s="29" t="s">
        <v>559</v>
      </c>
      <c r="O5932" s="29"/>
      <c r="P5932" s="29" t="s">
        <v>566</v>
      </c>
      <c r="Q5932" t="s">
        <v>2042</v>
      </c>
      <c r="R5932" t="s">
        <v>2634</v>
      </c>
      <c r="S5932">
        <v>37</v>
      </c>
      <c r="T5932" s="43" t="str">
        <f t="shared" si="276"/>
        <v>2020.028M.R.Reovirales_2nfam.zip</v>
      </c>
      <c r="U5932" s="43" t="str">
        <f>HYPERLINK("https://ictv.global/taxonomy/taxondetails?taxnode_id=202204926","ictv.global=202204926")</f>
        <v>ictv.global=202204926</v>
      </c>
    </row>
    <row r="5933" spans="1:21">
      <c r="A5933">
        <v>5932</v>
      </c>
      <c r="B5933" s="29" t="s">
        <v>3223</v>
      </c>
      <c r="C5933" s="29"/>
      <c r="D5933" s="29" t="s">
        <v>4156</v>
      </c>
      <c r="E5933" s="29"/>
      <c r="F5933" s="29" t="s">
        <v>4157</v>
      </c>
      <c r="G5933" s="29"/>
      <c r="H5933" s="29" t="s">
        <v>4160</v>
      </c>
      <c r="I5933" s="29"/>
      <c r="J5933" s="29" t="s">
        <v>4161</v>
      </c>
      <c r="K5933" s="29"/>
      <c r="L5933" s="29" t="s">
        <v>12214</v>
      </c>
      <c r="M5933" s="29"/>
      <c r="N5933" s="29" t="s">
        <v>569</v>
      </c>
      <c r="O5933" s="29"/>
      <c r="P5933" s="29" t="s">
        <v>4163</v>
      </c>
      <c r="Q5933" t="s">
        <v>2042</v>
      </c>
      <c r="R5933" t="s">
        <v>2634</v>
      </c>
      <c r="S5933">
        <v>37</v>
      </c>
      <c r="T5933" s="43" t="str">
        <f t="shared" si="276"/>
        <v>2020.028M.R.Reovirales_2nfam.zip</v>
      </c>
      <c r="U5933" s="43" t="str">
        <f>HYPERLINK("https://ictv.global/taxonomy/taxondetails?taxnode_id=202204928","ictv.global=202204928")</f>
        <v>ictv.global=202204928</v>
      </c>
    </row>
    <row r="5934" spans="1:21">
      <c r="A5934">
        <v>5933</v>
      </c>
      <c r="B5934" s="29" t="s">
        <v>3223</v>
      </c>
      <c r="C5934" s="29"/>
      <c r="D5934" s="29" t="s">
        <v>4156</v>
      </c>
      <c r="E5934" s="29"/>
      <c r="F5934" s="29" t="s">
        <v>4157</v>
      </c>
      <c r="G5934" s="29"/>
      <c r="H5934" s="29" t="s">
        <v>4160</v>
      </c>
      <c r="I5934" s="29"/>
      <c r="J5934" s="29" t="s">
        <v>4161</v>
      </c>
      <c r="K5934" s="29"/>
      <c r="L5934" s="29" t="s">
        <v>12214</v>
      </c>
      <c r="M5934" s="29"/>
      <c r="N5934" s="29" t="s">
        <v>569</v>
      </c>
      <c r="O5934" s="29"/>
      <c r="P5934" s="29" t="s">
        <v>4164</v>
      </c>
      <c r="Q5934" t="s">
        <v>2042</v>
      </c>
      <c r="R5934" t="s">
        <v>2634</v>
      </c>
      <c r="S5934">
        <v>37</v>
      </c>
      <c r="T5934" s="43" t="str">
        <f t="shared" si="276"/>
        <v>2020.028M.R.Reovirales_2nfam.zip</v>
      </c>
      <c r="U5934" s="43" t="str">
        <f>HYPERLINK("https://ictv.global/taxonomy/taxondetails?taxnode_id=202204929","ictv.global=202204929")</f>
        <v>ictv.global=202204929</v>
      </c>
    </row>
    <row r="5935" spans="1:21">
      <c r="A5935">
        <v>5934</v>
      </c>
      <c r="B5935" s="29" t="s">
        <v>3223</v>
      </c>
      <c r="C5935" s="29"/>
      <c r="D5935" s="29" t="s">
        <v>4156</v>
      </c>
      <c r="E5935" s="29"/>
      <c r="F5935" s="29" t="s">
        <v>4157</v>
      </c>
      <c r="G5935" s="29"/>
      <c r="H5935" s="29" t="s">
        <v>4160</v>
      </c>
      <c r="I5935" s="29"/>
      <c r="J5935" s="29" t="s">
        <v>4161</v>
      </c>
      <c r="K5935" s="29"/>
      <c r="L5935" s="29" t="s">
        <v>12214</v>
      </c>
      <c r="M5935" s="29"/>
      <c r="N5935" s="29" t="s">
        <v>569</v>
      </c>
      <c r="O5935" s="29"/>
      <c r="P5935" s="29" t="s">
        <v>4165</v>
      </c>
      <c r="Q5935" t="s">
        <v>2042</v>
      </c>
      <c r="R5935" t="s">
        <v>2634</v>
      </c>
      <c r="S5935">
        <v>37</v>
      </c>
      <c r="T5935" s="43" t="str">
        <f t="shared" si="276"/>
        <v>2020.028M.R.Reovirales_2nfam.zip</v>
      </c>
      <c r="U5935" s="43" t="str">
        <f>HYPERLINK("https://ictv.global/taxonomy/taxondetails?taxnode_id=202207654","ictv.global=202207654")</f>
        <v>ictv.global=202207654</v>
      </c>
    </row>
    <row r="5936" spans="1:21">
      <c r="A5936">
        <v>5935</v>
      </c>
      <c r="B5936" s="29" t="s">
        <v>3223</v>
      </c>
      <c r="C5936" s="29"/>
      <c r="D5936" s="29" t="s">
        <v>4156</v>
      </c>
      <c r="E5936" s="29"/>
      <c r="F5936" s="29" t="s">
        <v>4157</v>
      </c>
      <c r="G5936" s="29"/>
      <c r="H5936" s="29" t="s">
        <v>4160</v>
      </c>
      <c r="I5936" s="29"/>
      <c r="J5936" s="29" t="s">
        <v>4161</v>
      </c>
      <c r="K5936" s="29"/>
      <c r="L5936" s="29" t="s">
        <v>12214</v>
      </c>
      <c r="M5936" s="29"/>
      <c r="N5936" s="29" t="s">
        <v>569</v>
      </c>
      <c r="O5936" s="29"/>
      <c r="P5936" s="29" t="s">
        <v>4166</v>
      </c>
      <c r="Q5936" t="s">
        <v>2042</v>
      </c>
      <c r="R5936" t="s">
        <v>2634</v>
      </c>
      <c r="S5936">
        <v>37</v>
      </c>
      <c r="T5936" s="43" t="str">
        <f t="shared" si="276"/>
        <v>2020.028M.R.Reovirales_2nfam.zip</v>
      </c>
      <c r="U5936" s="43" t="str">
        <f>HYPERLINK("https://ictv.global/taxonomy/taxondetails?taxnode_id=202207655","ictv.global=202207655")</f>
        <v>ictv.global=202207655</v>
      </c>
    </row>
    <row r="5937" spans="1:21">
      <c r="A5937">
        <v>5936</v>
      </c>
      <c r="B5937" s="29" t="s">
        <v>3223</v>
      </c>
      <c r="C5937" s="29"/>
      <c r="D5937" s="29" t="s">
        <v>4156</v>
      </c>
      <c r="E5937" s="29"/>
      <c r="F5937" s="29" t="s">
        <v>4157</v>
      </c>
      <c r="G5937" s="29"/>
      <c r="H5937" s="29" t="s">
        <v>4160</v>
      </c>
      <c r="I5937" s="29"/>
      <c r="J5937" s="29" t="s">
        <v>4161</v>
      </c>
      <c r="K5937" s="29"/>
      <c r="L5937" s="29" t="s">
        <v>12214</v>
      </c>
      <c r="M5937" s="29"/>
      <c r="N5937" s="29" t="s">
        <v>569</v>
      </c>
      <c r="O5937" s="29"/>
      <c r="P5937" s="29" t="s">
        <v>4167</v>
      </c>
      <c r="Q5937" t="s">
        <v>2042</v>
      </c>
      <c r="R5937" t="s">
        <v>2634</v>
      </c>
      <c r="S5937">
        <v>37</v>
      </c>
      <c r="T5937" s="43" t="str">
        <f t="shared" si="276"/>
        <v>2020.028M.R.Reovirales_2nfam.zip</v>
      </c>
      <c r="U5937" s="43" t="str">
        <f>HYPERLINK("https://ictv.global/taxonomy/taxondetails?taxnode_id=202207656","ictv.global=202207656")</f>
        <v>ictv.global=202207656</v>
      </c>
    </row>
    <row r="5938" spans="1:21">
      <c r="A5938">
        <v>5937</v>
      </c>
      <c r="B5938" s="29" t="s">
        <v>3223</v>
      </c>
      <c r="C5938" s="29"/>
      <c r="D5938" s="29" t="s">
        <v>4156</v>
      </c>
      <c r="E5938" s="29"/>
      <c r="F5938" s="29" t="s">
        <v>4157</v>
      </c>
      <c r="G5938" s="29"/>
      <c r="H5938" s="29" t="s">
        <v>4160</v>
      </c>
      <c r="I5938" s="29"/>
      <c r="J5938" s="29" t="s">
        <v>4161</v>
      </c>
      <c r="K5938" s="29"/>
      <c r="L5938" s="29" t="s">
        <v>12214</v>
      </c>
      <c r="M5938" s="29"/>
      <c r="N5938" s="29" t="s">
        <v>570</v>
      </c>
      <c r="O5938" s="29"/>
      <c r="P5938" s="29" t="s">
        <v>1191</v>
      </c>
      <c r="Q5938" t="s">
        <v>2042</v>
      </c>
      <c r="R5938" t="s">
        <v>2634</v>
      </c>
      <c r="S5938">
        <v>37</v>
      </c>
      <c r="T5938" s="43" t="str">
        <f t="shared" si="276"/>
        <v>2020.028M.R.Reovirales_2nfam.zip</v>
      </c>
      <c r="U5938" s="43" t="str">
        <f>HYPERLINK("https://ictv.global/taxonomy/taxondetails?taxnode_id=202204931","ictv.global=202204931")</f>
        <v>ictv.global=202204931</v>
      </c>
    </row>
    <row r="5939" spans="1:21">
      <c r="A5939">
        <v>5938</v>
      </c>
      <c r="B5939" s="29" t="s">
        <v>3223</v>
      </c>
      <c r="C5939" s="29"/>
      <c r="D5939" s="29" t="s">
        <v>4156</v>
      </c>
      <c r="E5939" s="29"/>
      <c r="F5939" s="29" t="s">
        <v>4157</v>
      </c>
      <c r="G5939" s="29"/>
      <c r="H5939" s="29" t="s">
        <v>4160</v>
      </c>
      <c r="I5939" s="29"/>
      <c r="J5939" s="29" t="s">
        <v>4161</v>
      </c>
      <c r="K5939" s="29"/>
      <c r="L5939" s="29" t="s">
        <v>12214</v>
      </c>
      <c r="M5939" s="29"/>
      <c r="N5939" s="29" t="s">
        <v>570</v>
      </c>
      <c r="O5939" s="29"/>
      <c r="P5939" s="29" t="s">
        <v>1188</v>
      </c>
      <c r="Q5939" t="s">
        <v>2042</v>
      </c>
      <c r="R5939" t="s">
        <v>2634</v>
      </c>
      <c r="S5939">
        <v>37</v>
      </c>
      <c r="T5939" s="43" t="str">
        <f t="shared" si="276"/>
        <v>2020.028M.R.Reovirales_2nfam.zip</v>
      </c>
      <c r="U5939" s="43" t="str">
        <f>HYPERLINK("https://ictv.global/taxonomy/taxondetails?taxnode_id=202204932","ictv.global=202204932")</f>
        <v>ictv.global=202204932</v>
      </c>
    </row>
    <row r="5940" spans="1:21">
      <c r="A5940">
        <v>5939</v>
      </c>
      <c r="B5940" s="29" t="s">
        <v>3223</v>
      </c>
      <c r="C5940" s="29"/>
      <c r="D5940" s="29" t="s">
        <v>4156</v>
      </c>
      <c r="E5940" s="29"/>
      <c r="F5940" s="29" t="s">
        <v>4157</v>
      </c>
      <c r="G5940" s="29"/>
      <c r="H5940" s="29" t="s">
        <v>4160</v>
      </c>
      <c r="I5940" s="29"/>
      <c r="J5940" s="29" t="s">
        <v>4161</v>
      </c>
      <c r="K5940" s="29"/>
      <c r="L5940" s="29" t="s">
        <v>12214</v>
      </c>
      <c r="M5940" s="29"/>
      <c r="N5940" s="29" t="s">
        <v>570</v>
      </c>
      <c r="O5940" s="29"/>
      <c r="P5940" s="29" t="s">
        <v>1396</v>
      </c>
      <c r="Q5940" t="s">
        <v>2042</v>
      </c>
      <c r="R5940" t="s">
        <v>2634</v>
      </c>
      <c r="S5940">
        <v>37</v>
      </c>
      <c r="T5940" s="43" t="str">
        <f t="shared" si="276"/>
        <v>2020.028M.R.Reovirales_2nfam.zip</v>
      </c>
      <c r="U5940" s="43" t="str">
        <f>HYPERLINK("https://ictv.global/taxonomy/taxondetails?taxnode_id=202204933","ictv.global=202204933")</f>
        <v>ictv.global=202204933</v>
      </c>
    </row>
    <row r="5941" spans="1:21">
      <c r="A5941">
        <v>5940</v>
      </c>
      <c r="B5941" s="29" t="s">
        <v>3223</v>
      </c>
      <c r="C5941" s="29"/>
      <c r="D5941" s="29" t="s">
        <v>4156</v>
      </c>
      <c r="E5941" s="29"/>
      <c r="F5941" s="29" t="s">
        <v>4157</v>
      </c>
      <c r="G5941" s="29"/>
      <c r="H5941" s="29" t="s">
        <v>4160</v>
      </c>
      <c r="I5941" s="29"/>
      <c r="J5941" s="29" t="s">
        <v>4161</v>
      </c>
      <c r="K5941" s="29"/>
      <c r="L5941" s="29" t="s">
        <v>12214</v>
      </c>
      <c r="M5941" s="29"/>
      <c r="N5941" s="29" t="s">
        <v>570</v>
      </c>
      <c r="O5941" s="29"/>
      <c r="P5941" s="29" t="s">
        <v>1397</v>
      </c>
      <c r="Q5941" t="s">
        <v>2042</v>
      </c>
      <c r="R5941" t="s">
        <v>2634</v>
      </c>
      <c r="S5941">
        <v>37</v>
      </c>
      <c r="T5941" s="43" t="str">
        <f t="shared" si="276"/>
        <v>2020.028M.R.Reovirales_2nfam.zip</v>
      </c>
      <c r="U5941" s="43" t="str">
        <f>HYPERLINK("https://ictv.global/taxonomy/taxondetails?taxnode_id=202204934","ictv.global=202204934")</f>
        <v>ictv.global=202204934</v>
      </c>
    </row>
    <row r="5942" spans="1:21">
      <c r="A5942">
        <v>5941</v>
      </c>
      <c r="B5942" s="29" t="s">
        <v>3223</v>
      </c>
      <c r="C5942" s="29"/>
      <c r="D5942" s="29" t="s">
        <v>4156</v>
      </c>
      <c r="E5942" s="29"/>
      <c r="F5942" s="29" t="s">
        <v>4157</v>
      </c>
      <c r="G5942" s="29"/>
      <c r="H5942" s="29" t="s">
        <v>4160</v>
      </c>
      <c r="I5942" s="29"/>
      <c r="J5942" s="29" t="s">
        <v>4161</v>
      </c>
      <c r="K5942" s="29"/>
      <c r="L5942" s="29" t="s">
        <v>12214</v>
      </c>
      <c r="M5942" s="29"/>
      <c r="N5942" s="29" t="s">
        <v>570</v>
      </c>
      <c r="O5942" s="29"/>
      <c r="P5942" s="29" t="s">
        <v>1398</v>
      </c>
      <c r="Q5942" t="s">
        <v>2042</v>
      </c>
      <c r="R5942" t="s">
        <v>2634</v>
      </c>
      <c r="S5942">
        <v>37</v>
      </c>
      <c r="T5942" s="43" t="str">
        <f t="shared" si="276"/>
        <v>2020.028M.R.Reovirales_2nfam.zip</v>
      </c>
      <c r="U5942" s="43" t="str">
        <f>HYPERLINK("https://ictv.global/taxonomy/taxondetails?taxnode_id=202204935","ictv.global=202204935")</f>
        <v>ictv.global=202204935</v>
      </c>
    </row>
    <row r="5943" spans="1:21">
      <c r="A5943">
        <v>5942</v>
      </c>
      <c r="B5943" s="29" t="s">
        <v>3223</v>
      </c>
      <c r="C5943" s="29"/>
      <c r="D5943" s="29" t="s">
        <v>4156</v>
      </c>
      <c r="E5943" s="29"/>
      <c r="F5943" s="29" t="s">
        <v>4157</v>
      </c>
      <c r="G5943" s="29"/>
      <c r="H5943" s="29" t="s">
        <v>4160</v>
      </c>
      <c r="I5943" s="29"/>
      <c r="J5943" s="29" t="s">
        <v>4161</v>
      </c>
      <c r="K5943" s="29"/>
      <c r="L5943" s="29" t="s">
        <v>12214</v>
      </c>
      <c r="M5943" s="29"/>
      <c r="N5943" s="29" t="s">
        <v>570</v>
      </c>
      <c r="O5943" s="29"/>
      <c r="P5943" s="29" t="s">
        <v>1399</v>
      </c>
      <c r="Q5943" t="s">
        <v>2042</v>
      </c>
      <c r="R5943" t="s">
        <v>2634</v>
      </c>
      <c r="S5943">
        <v>37</v>
      </c>
      <c r="T5943" s="43" t="str">
        <f t="shared" si="276"/>
        <v>2020.028M.R.Reovirales_2nfam.zip</v>
      </c>
      <c r="U5943" s="43" t="str">
        <f>HYPERLINK("https://ictv.global/taxonomy/taxondetails?taxnode_id=202204936","ictv.global=202204936")</f>
        <v>ictv.global=202204936</v>
      </c>
    </row>
    <row r="5944" spans="1:21">
      <c r="A5944">
        <v>5943</v>
      </c>
      <c r="B5944" s="29" t="s">
        <v>3223</v>
      </c>
      <c r="C5944" s="29"/>
      <c r="D5944" s="29" t="s">
        <v>4156</v>
      </c>
      <c r="E5944" s="29"/>
      <c r="F5944" s="29" t="s">
        <v>4157</v>
      </c>
      <c r="G5944" s="29"/>
      <c r="H5944" s="29" t="s">
        <v>4160</v>
      </c>
      <c r="I5944" s="29"/>
      <c r="J5944" s="29" t="s">
        <v>4161</v>
      </c>
      <c r="K5944" s="29"/>
      <c r="L5944" s="29" t="s">
        <v>12214</v>
      </c>
      <c r="M5944" s="29"/>
      <c r="N5944" s="29" t="s">
        <v>570</v>
      </c>
      <c r="O5944" s="29"/>
      <c r="P5944" s="29" t="s">
        <v>1400</v>
      </c>
      <c r="Q5944" t="s">
        <v>2042</v>
      </c>
      <c r="R5944" t="s">
        <v>2634</v>
      </c>
      <c r="S5944">
        <v>37</v>
      </c>
      <c r="T5944" s="43" t="str">
        <f t="shared" si="276"/>
        <v>2020.028M.R.Reovirales_2nfam.zip</v>
      </c>
      <c r="U5944" s="43" t="str">
        <f>HYPERLINK("https://ictv.global/taxonomy/taxondetails?taxnode_id=202204937","ictv.global=202204937")</f>
        <v>ictv.global=202204937</v>
      </c>
    </row>
    <row r="5945" spans="1:21">
      <c r="A5945">
        <v>5944</v>
      </c>
      <c r="B5945" s="29" t="s">
        <v>3223</v>
      </c>
      <c r="C5945" s="29"/>
      <c r="D5945" s="29" t="s">
        <v>4156</v>
      </c>
      <c r="E5945" s="29"/>
      <c r="F5945" s="29" t="s">
        <v>4157</v>
      </c>
      <c r="G5945" s="29"/>
      <c r="H5945" s="29" t="s">
        <v>4160</v>
      </c>
      <c r="I5945" s="29"/>
      <c r="J5945" s="29" t="s">
        <v>4161</v>
      </c>
      <c r="K5945" s="29"/>
      <c r="L5945" s="29" t="s">
        <v>12214</v>
      </c>
      <c r="M5945" s="29"/>
      <c r="N5945" s="29" t="s">
        <v>570</v>
      </c>
      <c r="O5945" s="29"/>
      <c r="P5945" s="29" t="s">
        <v>1192</v>
      </c>
      <c r="Q5945" t="s">
        <v>2042</v>
      </c>
      <c r="R5945" t="s">
        <v>2634</v>
      </c>
      <c r="S5945">
        <v>37</v>
      </c>
      <c r="T5945" s="43" t="str">
        <f t="shared" si="276"/>
        <v>2020.028M.R.Reovirales_2nfam.zip</v>
      </c>
      <c r="U5945" s="43" t="str">
        <f>HYPERLINK("https://ictv.global/taxonomy/taxondetails?taxnode_id=202204938","ictv.global=202204938")</f>
        <v>ictv.global=202204938</v>
      </c>
    </row>
    <row r="5946" spans="1:21">
      <c r="A5946">
        <v>5945</v>
      </c>
      <c r="B5946" s="29" t="s">
        <v>3223</v>
      </c>
      <c r="C5946" s="29"/>
      <c r="D5946" s="29" t="s">
        <v>4156</v>
      </c>
      <c r="E5946" s="29"/>
      <c r="F5946" s="29" t="s">
        <v>4157</v>
      </c>
      <c r="G5946" s="29"/>
      <c r="H5946" s="29" t="s">
        <v>4160</v>
      </c>
      <c r="I5946" s="29"/>
      <c r="J5946" s="29" t="s">
        <v>4161</v>
      </c>
      <c r="K5946" s="29"/>
      <c r="L5946" s="29" t="s">
        <v>12214</v>
      </c>
      <c r="M5946" s="29"/>
      <c r="N5946" s="29" t="s">
        <v>570</v>
      </c>
      <c r="O5946" s="29"/>
      <c r="P5946" s="29" t="s">
        <v>1193</v>
      </c>
      <c r="Q5946" t="s">
        <v>2042</v>
      </c>
      <c r="R5946" t="s">
        <v>2634</v>
      </c>
      <c r="S5946">
        <v>37</v>
      </c>
      <c r="T5946" s="43" t="str">
        <f t="shared" si="276"/>
        <v>2020.028M.R.Reovirales_2nfam.zip</v>
      </c>
      <c r="U5946" s="43" t="str">
        <f>HYPERLINK("https://ictv.global/taxonomy/taxondetails?taxnode_id=202204939","ictv.global=202204939")</f>
        <v>ictv.global=202204939</v>
      </c>
    </row>
    <row r="5947" spans="1:21">
      <c r="A5947">
        <v>5946</v>
      </c>
      <c r="B5947" s="29" t="s">
        <v>3223</v>
      </c>
      <c r="C5947" s="29"/>
      <c r="D5947" s="29" t="s">
        <v>4156</v>
      </c>
      <c r="E5947" s="29"/>
      <c r="F5947" s="29" t="s">
        <v>4157</v>
      </c>
      <c r="G5947" s="29"/>
      <c r="H5947" s="29" t="s">
        <v>4160</v>
      </c>
      <c r="I5947" s="29"/>
      <c r="J5947" s="29" t="s">
        <v>4161</v>
      </c>
      <c r="K5947" s="29"/>
      <c r="L5947" s="29" t="s">
        <v>12214</v>
      </c>
      <c r="M5947" s="29"/>
      <c r="N5947" s="29" t="s">
        <v>570</v>
      </c>
      <c r="O5947" s="29"/>
      <c r="P5947" s="29" t="s">
        <v>1337</v>
      </c>
      <c r="Q5947" t="s">
        <v>2042</v>
      </c>
      <c r="R5947" t="s">
        <v>2634</v>
      </c>
      <c r="S5947">
        <v>37</v>
      </c>
      <c r="T5947" s="43" t="str">
        <f t="shared" si="276"/>
        <v>2020.028M.R.Reovirales_2nfam.zip</v>
      </c>
      <c r="U5947" s="43" t="str">
        <f>HYPERLINK("https://ictv.global/taxonomy/taxondetails?taxnode_id=202204940","ictv.global=202204940")</f>
        <v>ictv.global=202204940</v>
      </c>
    </row>
    <row r="5948" spans="1:21">
      <c r="A5948">
        <v>5947</v>
      </c>
      <c r="B5948" s="29" t="s">
        <v>3223</v>
      </c>
      <c r="C5948" s="29"/>
      <c r="D5948" s="29" t="s">
        <v>4156</v>
      </c>
      <c r="E5948" s="29"/>
      <c r="F5948" s="29" t="s">
        <v>4157</v>
      </c>
      <c r="G5948" s="29"/>
      <c r="H5948" s="29" t="s">
        <v>4160</v>
      </c>
      <c r="I5948" s="29"/>
      <c r="J5948" s="29" t="s">
        <v>4161</v>
      </c>
      <c r="K5948" s="29"/>
      <c r="L5948" s="29" t="s">
        <v>12214</v>
      </c>
      <c r="M5948" s="29"/>
      <c r="N5948" s="29" t="s">
        <v>570</v>
      </c>
      <c r="O5948" s="29"/>
      <c r="P5948" s="29" t="s">
        <v>1338</v>
      </c>
      <c r="Q5948" t="s">
        <v>2042</v>
      </c>
      <c r="R5948" t="s">
        <v>2634</v>
      </c>
      <c r="S5948">
        <v>37</v>
      </c>
      <c r="T5948" s="43" t="str">
        <f t="shared" si="276"/>
        <v>2020.028M.R.Reovirales_2nfam.zip</v>
      </c>
      <c r="U5948" s="43" t="str">
        <f>HYPERLINK("https://ictv.global/taxonomy/taxondetails?taxnode_id=202204941","ictv.global=202204941")</f>
        <v>ictv.global=202204941</v>
      </c>
    </row>
    <row r="5949" spans="1:21">
      <c r="A5949">
        <v>5948</v>
      </c>
      <c r="B5949" s="29" t="s">
        <v>3223</v>
      </c>
      <c r="C5949" s="29"/>
      <c r="D5949" s="29" t="s">
        <v>4156</v>
      </c>
      <c r="E5949" s="29"/>
      <c r="F5949" s="29" t="s">
        <v>4157</v>
      </c>
      <c r="G5949" s="29"/>
      <c r="H5949" s="29" t="s">
        <v>4160</v>
      </c>
      <c r="I5949" s="29"/>
      <c r="J5949" s="29" t="s">
        <v>4161</v>
      </c>
      <c r="K5949" s="29"/>
      <c r="L5949" s="29" t="s">
        <v>12214</v>
      </c>
      <c r="M5949" s="29"/>
      <c r="N5949" s="29" t="s">
        <v>570</v>
      </c>
      <c r="O5949" s="29"/>
      <c r="P5949" s="29" t="s">
        <v>1339</v>
      </c>
      <c r="Q5949" t="s">
        <v>2042</v>
      </c>
      <c r="R5949" t="s">
        <v>2634</v>
      </c>
      <c r="S5949">
        <v>37</v>
      </c>
      <c r="T5949" s="43" t="str">
        <f t="shared" si="276"/>
        <v>2020.028M.R.Reovirales_2nfam.zip</v>
      </c>
      <c r="U5949" s="43" t="str">
        <f>HYPERLINK("https://ictv.global/taxonomy/taxondetails?taxnode_id=202204942","ictv.global=202204942")</f>
        <v>ictv.global=202204942</v>
      </c>
    </row>
    <row r="5950" spans="1:21">
      <c r="A5950">
        <v>5949</v>
      </c>
      <c r="B5950" s="29" t="s">
        <v>3223</v>
      </c>
      <c r="C5950" s="29"/>
      <c r="D5950" s="29" t="s">
        <v>4156</v>
      </c>
      <c r="E5950" s="29"/>
      <c r="F5950" s="29" t="s">
        <v>4157</v>
      </c>
      <c r="G5950" s="29"/>
      <c r="H5950" s="29" t="s">
        <v>4160</v>
      </c>
      <c r="I5950" s="29"/>
      <c r="J5950" s="29" t="s">
        <v>4161</v>
      </c>
      <c r="K5950" s="29"/>
      <c r="L5950" s="29" t="s">
        <v>12214</v>
      </c>
      <c r="M5950" s="29"/>
      <c r="N5950" s="29" t="s">
        <v>570</v>
      </c>
      <c r="O5950" s="29"/>
      <c r="P5950" s="29" t="s">
        <v>1184</v>
      </c>
      <c r="Q5950" t="s">
        <v>2042</v>
      </c>
      <c r="R5950" t="s">
        <v>2634</v>
      </c>
      <c r="S5950">
        <v>37</v>
      </c>
      <c r="T5950" s="43" t="str">
        <f t="shared" si="276"/>
        <v>2020.028M.R.Reovirales_2nfam.zip</v>
      </c>
      <c r="U5950" s="43" t="str">
        <f>HYPERLINK("https://ictv.global/taxonomy/taxondetails?taxnode_id=202204943","ictv.global=202204943")</f>
        <v>ictv.global=202204943</v>
      </c>
    </row>
    <row r="5951" spans="1:21">
      <c r="A5951">
        <v>5950</v>
      </c>
      <c r="B5951" s="29" t="s">
        <v>3223</v>
      </c>
      <c r="C5951" s="29"/>
      <c r="D5951" s="29" t="s">
        <v>4156</v>
      </c>
      <c r="E5951" s="29"/>
      <c r="F5951" s="29" t="s">
        <v>4157</v>
      </c>
      <c r="G5951" s="29"/>
      <c r="H5951" s="29" t="s">
        <v>4160</v>
      </c>
      <c r="I5951" s="29"/>
      <c r="J5951" s="29" t="s">
        <v>4161</v>
      </c>
      <c r="K5951" s="29"/>
      <c r="L5951" s="29" t="s">
        <v>12214</v>
      </c>
      <c r="M5951" s="29"/>
      <c r="N5951" s="29" t="s">
        <v>570</v>
      </c>
      <c r="O5951" s="29"/>
      <c r="P5951" s="29" t="s">
        <v>1185</v>
      </c>
      <c r="Q5951" t="s">
        <v>2042</v>
      </c>
      <c r="R5951" t="s">
        <v>2634</v>
      </c>
      <c r="S5951">
        <v>37</v>
      </c>
      <c r="T5951" s="43" t="str">
        <f t="shared" ref="T5951:T5983" si="277">HYPERLINK("https://ictv.global/ictv/proposals/2020.028M.R.Reovirales_2nfam.zip","2020.028M.R.Reovirales_2nfam.zip")</f>
        <v>2020.028M.R.Reovirales_2nfam.zip</v>
      </c>
      <c r="U5951" s="43" t="str">
        <f>HYPERLINK("https://ictv.global/taxonomy/taxondetails?taxnode_id=202204944","ictv.global=202204944")</f>
        <v>ictv.global=202204944</v>
      </c>
    </row>
    <row r="5952" spans="1:21">
      <c r="A5952">
        <v>5951</v>
      </c>
      <c r="B5952" s="29" t="s">
        <v>3223</v>
      </c>
      <c r="C5952" s="29"/>
      <c r="D5952" s="29" t="s">
        <v>4156</v>
      </c>
      <c r="E5952" s="29"/>
      <c r="F5952" s="29" t="s">
        <v>4157</v>
      </c>
      <c r="G5952" s="29"/>
      <c r="H5952" s="29" t="s">
        <v>4160</v>
      </c>
      <c r="I5952" s="29"/>
      <c r="J5952" s="29" t="s">
        <v>4161</v>
      </c>
      <c r="K5952" s="29"/>
      <c r="L5952" s="29" t="s">
        <v>12214</v>
      </c>
      <c r="M5952" s="29"/>
      <c r="N5952" s="29" t="s">
        <v>570</v>
      </c>
      <c r="O5952" s="29"/>
      <c r="P5952" s="29" t="s">
        <v>1186</v>
      </c>
      <c r="Q5952" t="s">
        <v>2042</v>
      </c>
      <c r="R5952" t="s">
        <v>2634</v>
      </c>
      <c r="S5952">
        <v>37</v>
      </c>
      <c r="T5952" s="43" t="str">
        <f t="shared" si="277"/>
        <v>2020.028M.R.Reovirales_2nfam.zip</v>
      </c>
      <c r="U5952" s="43" t="str">
        <f>HYPERLINK("https://ictv.global/taxonomy/taxondetails?taxnode_id=202204945","ictv.global=202204945")</f>
        <v>ictv.global=202204945</v>
      </c>
    </row>
    <row r="5953" spans="1:21">
      <c r="A5953">
        <v>5952</v>
      </c>
      <c r="B5953" s="29" t="s">
        <v>3223</v>
      </c>
      <c r="C5953" s="29"/>
      <c r="D5953" s="29" t="s">
        <v>4156</v>
      </c>
      <c r="E5953" s="29"/>
      <c r="F5953" s="29" t="s">
        <v>4157</v>
      </c>
      <c r="G5953" s="29"/>
      <c r="H5953" s="29" t="s">
        <v>4160</v>
      </c>
      <c r="I5953" s="29"/>
      <c r="J5953" s="29" t="s">
        <v>4161</v>
      </c>
      <c r="K5953" s="29"/>
      <c r="L5953" s="29" t="s">
        <v>12214</v>
      </c>
      <c r="M5953" s="29"/>
      <c r="N5953" s="29" t="s">
        <v>570</v>
      </c>
      <c r="O5953" s="29"/>
      <c r="P5953" s="29" t="s">
        <v>1187</v>
      </c>
      <c r="Q5953" t="s">
        <v>2042</v>
      </c>
      <c r="R5953" t="s">
        <v>2634</v>
      </c>
      <c r="S5953">
        <v>37</v>
      </c>
      <c r="T5953" s="43" t="str">
        <f t="shared" si="277"/>
        <v>2020.028M.R.Reovirales_2nfam.zip</v>
      </c>
      <c r="U5953" s="43" t="str">
        <f>HYPERLINK("https://ictv.global/taxonomy/taxondetails?taxnode_id=202204946","ictv.global=202204946")</f>
        <v>ictv.global=202204946</v>
      </c>
    </row>
    <row r="5954" spans="1:21">
      <c r="A5954">
        <v>5953</v>
      </c>
      <c r="B5954" s="29" t="s">
        <v>3223</v>
      </c>
      <c r="C5954" s="29"/>
      <c r="D5954" s="29" t="s">
        <v>4156</v>
      </c>
      <c r="E5954" s="29"/>
      <c r="F5954" s="29" t="s">
        <v>4157</v>
      </c>
      <c r="G5954" s="29"/>
      <c r="H5954" s="29" t="s">
        <v>4160</v>
      </c>
      <c r="I5954" s="29"/>
      <c r="J5954" s="29" t="s">
        <v>4161</v>
      </c>
      <c r="K5954" s="29"/>
      <c r="L5954" s="29" t="s">
        <v>12214</v>
      </c>
      <c r="M5954" s="29"/>
      <c r="N5954" s="29" t="s">
        <v>1194</v>
      </c>
      <c r="O5954" s="29"/>
      <c r="P5954" s="29" t="s">
        <v>1340</v>
      </c>
      <c r="Q5954" t="s">
        <v>2042</v>
      </c>
      <c r="R5954" t="s">
        <v>2634</v>
      </c>
      <c r="S5954">
        <v>37</v>
      </c>
      <c r="T5954" s="43" t="str">
        <f t="shared" si="277"/>
        <v>2020.028M.R.Reovirales_2nfam.zip</v>
      </c>
      <c r="U5954" s="43" t="str">
        <f>HYPERLINK("https://ictv.global/taxonomy/taxondetails?taxnode_id=202204948","ictv.global=202204948")</f>
        <v>ictv.global=202204948</v>
      </c>
    </row>
    <row r="5955" spans="1:21">
      <c r="A5955">
        <v>5954</v>
      </c>
      <c r="B5955" s="29" t="s">
        <v>3223</v>
      </c>
      <c r="C5955" s="29"/>
      <c r="D5955" s="29" t="s">
        <v>4156</v>
      </c>
      <c r="E5955" s="29"/>
      <c r="F5955" s="29" t="s">
        <v>4157</v>
      </c>
      <c r="G5955" s="29"/>
      <c r="H5955" s="29" t="s">
        <v>4160</v>
      </c>
      <c r="I5955" s="29"/>
      <c r="J5955" s="29" t="s">
        <v>4161</v>
      </c>
      <c r="K5955" s="29"/>
      <c r="L5955" s="29" t="s">
        <v>12214</v>
      </c>
      <c r="M5955" s="29"/>
      <c r="N5955" s="29" t="s">
        <v>1341</v>
      </c>
      <c r="O5955" s="29"/>
      <c r="P5955" s="29" t="s">
        <v>1342</v>
      </c>
      <c r="Q5955" t="s">
        <v>2042</v>
      </c>
      <c r="R5955" t="s">
        <v>2634</v>
      </c>
      <c r="S5955">
        <v>37</v>
      </c>
      <c r="T5955" s="43" t="str">
        <f t="shared" si="277"/>
        <v>2020.028M.R.Reovirales_2nfam.zip</v>
      </c>
      <c r="U5955" s="43" t="str">
        <f>HYPERLINK("https://ictv.global/taxonomy/taxondetails?taxnode_id=202204950","ictv.global=202204950")</f>
        <v>ictv.global=202204950</v>
      </c>
    </row>
    <row r="5956" spans="1:21">
      <c r="A5956">
        <v>5955</v>
      </c>
      <c r="B5956" s="29" t="s">
        <v>3223</v>
      </c>
      <c r="C5956" s="29"/>
      <c r="D5956" s="29" t="s">
        <v>4156</v>
      </c>
      <c r="E5956" s="29"/>
      <c r="F5956" s="29" t="s">
        <v>4157</v>
      </c>
      <c r="G5956" s="29"/>
      <c r="H5956" s="29" t="s">
        <v>4160</v>
      </c>
      <c r="I5956" s="29"/>
      <c r="J5956" s="29" t="s">
        <v>4161</v>
      </c>
      <c r="K5956" s="29"/>
      <c r="L5956" s="29" t="s">
        <v>12214</v>
      </c>
      <c r="M5956" s="29"/>
      <c r="N5956" s="29" t="s">
        <v>1341</v>
      </c>
      <c r="O5956" s="29"/>
      <c r="P5956" s="29" t="s">
        <v>1343</v>
      </c>
      <c r="Q5956" t="s">
        <v>2042</v>
      </c>
      <c r="R5956" t="s">
        <v>2634</v>
      </c>
      <c r="S5956">
        <v>37</v>
      </c>
      <c r="T5956" s="43" t="str">
        <f t="shared" si="277"/>
        <v>2020.028M.R.Reovirales_2nfam.zip</v>
      </c>
      <c r="U5956" s="43" t="str">
        <f>HYPERLINK("https://ictv.global/taxonomy/taxondetails?taxnode_id=202204951","ictv.global=202204951")</f>
        <v>ictv.global=202204951</v>
      </c>
    </row>
    <row r="5957" spans="1:21">
      <c r="A5957">
        <v>5956</v>
      </c>
      <c r="B5957" s="29" t="s">
        <v>3223</v>
      </c>
      <c r="C5957" s="29"/>
      <c r="D5957" s="29" t="s">
        <v>4156</v>
      </c>
      <c r="E5957" s="29"/>
      <c r="F5957" s="29" t="s">
        <v>4157</v>
      </c>
      <c r="G5957" s="29"/>
      <c r="H5957" s="29" t="s">
        <v>4160</v>
      </c>
      <c r="I5957" s="29"/>
      <c r="J5957" s="29" t="s">
        <v>4161</v>
      </c>
      <c r="K5957" s="29"/>
      <c r="L5957" s="29" t="s">
        <v>12214</v>
      </c>
      <c r="M5957" s="29"/>
      <c r="N5957" s="29" t="s">
        <v>1341</v>
      </c>
      <c r="O5957" s="29"/>
      <c r="P5957" s="29" t="s">
        <v>1199</v>
      </c>
      <c r="Q5957" t="s">
        <v>2042</v>
      </c>
      <c r="R5957" t="s">
        <v>2634</v>
      </c>
      <c r="S5957">
        <v>37</v>
      </c>
      <c r="T5957" s="43" t="str">
        <f t="shared" si="277"/>
        <v>2020.028M.R.Reovirales_2nfam.zip</v>
      </c>
      <c r="U5957" s="43" t="str">
        <f>HYPERLINK("https://ictv.global/taxonomy/taxondetails?taxnode_id=202204952","ictv.global=202204952")</f>
        <v>ictv.global=202204952</v>
      </c>
    </row>
    <row r="5958" spans="1:21">
      <c r="A5958">
        <v>5957</v>
      </c>
      <c r="B5958" s="29" t="s">
        <v>3223</v>
      </c>
      <c r="C5958" s="29"/>
      <c r="D5958" s="29" t="s">
        <v>4156</v>
      </c>
      <c r="E5958" s="29"/>
      <c r="F5958" s="29" t="s">
        <v>4157</v>
      </c>
      <c r="G5958" s="29"/>
      <c r="H5958" s="29" t="s">
        <v>4160</v>
      </c>
      <c r="I5958" s="29"/>
      <c r="J5958" s="29" t="s">
        <v>4161</v>
      </c>
      <c r="K5958" s="29"/>
      <c r="L5958" s="29" t="s">
        <v>12214</v>
      </c>
      <c r="M5958" s="29"/>
      <c r="N5958" s="29" t="s">
        <v>1341</v>
      </c>
      <c r="O5958" s="29"/>
      <c r="P5958" s="29" t="s">
        <v>1200</v>
      </c>
      <c r="Q5958" t="s">
        <v>2042</v>
      </c>
      <c r="R5958" t="s">
        <v>2634</v>
      </c>
      <c r="S5958">
        <v>37</v>
      </c>
      <c r="T5958" s="43" t="str">
        <f t="shared" si="277"/>
        <v>2020.028M.R.Reovirales_2nfam.zip</v>
      </c>
      <c r="U5958" s="43" t="str">
        <f>HYPERLINK("https://ictv.global/taxonomy/taxondetails?taxnode_id=202204953","ictv.global=202204953")</f>
        <v>ictv.global=202204953</v>
      </c>
    </row>
    <row r="5959" spans="1:21">
      <c r="A5959">
        <v>5958</v>
      </c>
      <c r="B5959" s="29" t="s">
        <v>3223</v>
      </c>
      <c r="C5959" s="29"/>
      <c r="D5959" s="29" t="s">
        <v>4156</v>
      </c>
      <c r="E5959" s="29"/>
      <c r="F5959" s="29" t="s">
        <v>4157</v>
      </c>
      <c r="G5959" s="29"/>
      <c r="H5959" s="29" t="s">
        <v>4160</v>
      </c>
      <c r="I5959" s="29"/>
      <c r="J5959" s="29" t="s">
        <v>4161</v>
      </c>
      <c r="K5959" s="29"/>
      <c r="L5959" s="29" t="s">
        <v>12214</v>
      </c>
      <c r="M5959" s="29"/>
      <c r="N5959" s="29" t="s">
        <v>1341</v>
      </c>
      <c r="O5959" s="29"/>
      <c r="P5959" s="29" t="s">
        <v>1201</v>
      </c>
      <c r="Q5959" t="s">
        <v>2042</v>
      </c>
      <c r="R5959" t="s">
        <v>2634</v>
      </c>
      <c r="S5959">
        <v>37</v>
      </c>
      <c r="T5959" s="43" t="str">
        <f t="shared" si="277"/>
        <v>2020.028M.R.Reovirales_2nfam.zip</v>
      </c>
      <c r="U5959" s="43" t="str">
        <f>HYPERLINK("https://ictv.global/taxonomy/taxondetails?taxnode_id=202204954","ictv.global=202204954")</f>
        <v>ictv.global=202204954</v>
      </c>
    </row>
    <row r="5960" spans="1:21">
      <c r="A5960">
        <v>5959</v>
      </c>
      <c r="B5960" s="29" t="s">
        <v>3223</v>
      </c>
      <c r="C5960" s="29"/>
      <c r="D5960" s="29" t="s">
        <v>4156</v>
      </c>
      <c r="E5960" s="29"/>
      <c r="F5960" s="29" t="s">
        <v>4157</v>
      </c>
      <c r="G5960" s="29"/>
      <c r="H5960" s="29" t="s">
        <v>4160</v>
      </c>
      <c r="I5960" s="29"/>
      <c r="J5960" s="29" t="s">
        <v>4161</v>
      </c>
      <c r="K5960" s="29"/>
      <c r="L5960" s="29" t="s">
        <v>12214</v>
      </c>
      <c r="M5960" s="29"/>
      <c r="N5960" s="29" t="s">
        <v>1341</v>
      </c>
      <c r="O5960" s="29"/>
      <c r="P5960" s="29" t="s">
        <v>1120</v>
      </c>
      <c r="Q5960" t="s">
        <v>2042</v>
      </c>
      <c r="R5960" t="s">
        <v>2634</v>
      </c>
      <c r="S5960">
        <v>37</v>
      </c>
      <c r="T5960" s="43" t="str">
        <f t="shared" si="277"/>
        <v>2020.028M.R.Reovirales_2nfam.zip</v>
      </c>
      <c r="U5960" s="43" t="str">
        <f>HYPERLINK("https://ictv.global/taxonomy/taxondetails?taxnode_id=202204955","ictv.global=202204955")</f>
        <v>ictv.global=202204955</v>
      </c>
    </row>
    <row r="5961" spans="1:21">
      <c r="A5961">
        <v>5960</v>
      </c>
      <c r="B5961" s="29" t="s">
        <v>3223</v>
      </c>
      <c r="C5961" s="29"/>
      <c r="D5961" s="29" t="s">
        <v>4156</v>
      </c>
      <c r="E5961" s="29"/>
      <c r="F5961" s="29" t="s">
        <v>4157</v>
      </c>
      <c r="G5961" s="29"/>
      <c r="H5961" s="29" t="s">
        <v>4160</v>
      </c>
      <c r="I5961" s="29"/>
      <c r="J5961" s="29" t="s">
        <v>4161</v>
      </c>
      <c r="K5961" s="29"/>
      <c r="L5961" s="29" t="s">
        <v>12214</v>
      </c>
      <c r="M5961" s="29"/>
      <c r="N5961" s="29" t="s">
        <v>1341</v>
      </c>
      <c r="O5961" s="29"/>
      <c r="P5961" s="29" t="s">
        <v>1121</v>
      </c>
      <c r="Q5961" t="s">
        <v>2042</v>
      </c>
      <c r="R5961" t="s">
        <v>2634</v>
      </c>
      <c r="S5961">
        <v>37</v>
      </c>
      <c r="T5961" s="43" t="str">
        <f t="shared" si="277"/>
        <v>2020.028M.R.Reovirales_2nfam.zip</v>
      </c>
      <c r="U5961" s="43" t="str">
        <f>HYPERLINK("https://ictv.global/taxonomy/taxondetails?taxnode_id=202204956","ictv.global=202204956")</f>
        <v>ictv.global=202204956</v>
      </c>
    </row>
    <row r="5962" spans="1:21">
      <c r="A5962">
        <v>5961</v>
      </c>
      <c r="B5962" s="29" t="s">
        <v>3223</v>
      </c>
      <c r="C5962" s="29"/>
      <c r="D5962" s="29" t="s">
        <v>4156</v>
      </c>
      <c r="E5962" s="29"/>
      <c r="F5962" s="29" t="s">
        <v>4157</v>
      </c>
      <c r="G5962" s="29"/>
      <c r="H5962" s="29" t="s">
        <v>4160</v>
      </c>
      <c r="I5962" s="29"/>
      <c r="J5962" s="29" t="s">
        <v>4161</v>
      </c>
      <c r="K5962" s="29"/>
      <c r="L5962" s="29" t="s">
        <v>12214</v>
      </c>
      <c r="M5962" s="29"/>
      <c r="N5962" s="29" t="s">
        <v>1341</v>
      </c>
      <c r="O5962" s="29"/>
      <c r="P5962" s="29" t="s">
        <v>1202</v>
      </c>
      <c r="Q5962" t="s">
        <v>2042</v>
      </c>
      <c r="R5962" t="s">
        <v>2634</v>
      </c>
      <c r="S5962">
        <v>37</v>
      </c>
      <c r="T5962" s="43" t="str">
        <f t="shared" si="277"/>
        <v>2020.028M.R.Reovirales_2nfam.zip</v>
      </c>
      <c r="U5962" s="43" t="str">
        <f>HYPERLINK("https://ictv.global/taxonomy/taxondetails?taxnode_id=202204957","ictv.global=202204957")</f>
        <v>ictv.global=202204957</v>
      </c>
    </row>
    <row r="5963" spans="1:21">
      <c r="A5963">
        <v>5962</v>
      </c>
      <c r="B5963" s="29" t="s">
        <v>3223</v>
      </c>
      <c r="C5963" s="29"/>
      <c r="D5963" s="29" t="s">
        <v>4156</v>
      </c>
      <c r="E5963" s="29"/>
      <c r="F5963" s="29" t="s">
        <v>4157</v>
      </c>
      <c r="G5963" s="29"/>
      <c r="H5963" s="29" t="s">
        <v>4160</v>
      </c>
      <c r="I5963" s="29"/>
      <c r="J5963" s="29" t="s">
        <v>4161</v>
      </c>
      <c r="K5963" s="29"/>
      <c r="L5963" s="29" t="s">
        <v>12214</v>
      </c>
      <c r="M5963" s="29"/>
      <c r="N5963" s="29" t="s">
        <v>1341</v>
      </c>
      <c r="O5963" s="29"/>
      <c r="P5963" s="29" t="s">
        <v>2324</v>
      </c>
      <c r="Q5963" t="s">
        <v>2042</v>
      </c>
      <c r="R5963" t="s">
        <v>2634</v>
      </c>
      <c r="S5963">
        <v>37</v>
      </c>
      <c r="T5963" s="43" t="str">
        <f t="shared" si="277"/>
        <v>2020.028M.R.Reovirales_2nfam.zip</v>
      </c>
      <c r="U5963" s="43" t="str">
        <f>HYPERLINK("https://ictv.global/taxonomy/taxondetails?taxnode_id=202204958","ictv.global=202204958")</f>
        <v>ictv.global=202204958</v>
      </c>
    </row>
    <row r="5964" spans="1:21">
      <c r="A5964">
        <v>5963</v>
      </c>
      <c r="B5964" s="29" t="s">
        <v>3223</v>
      </c>
      <c r="C5964" s="29"/>
      <c r="D5964" s="29" t="s">
        <v>4156</v>
      </c>
      <c r="E5964" s="29"/>
      <c r="F5964" s="29" t="s">
        <v>4157</v>
      </c>
      <c r="G5964" s="29"/>
      <c r="H5964" s="29" t="s">
        <v>4160</v>
      </c>
      <c r="I5964" s="29"/>
      <c r="J5964" s="29" t="s">
        <v>4161</v>
      </c>
      <c r="K5964" s="29"/>
      <c r="L5964" s="29" t="s">
        <v>12214</v>
      </c>
      <c r="M5964" s="29"/>
      <c r="N5964" s="29" t="s">
        <v>1203</v>
      </c>
      <c r="O5964" s="29"/>
      <c r="P5964" s="29" t="s">
        <v>1010</v>
      </c>
      <c r="Q5964" t="s">
        <v>2042</v>
      </c>
      <c r="R5964" t="s">
        <v>2634</v>
      </c>
      <c r="S5964">
        <v>37</v>
      </c>
      <c r="T5964" s="43" t="str">
        <f t="shared" si="277"/>
        <v>2020.028M.R.Reovirales_2nfam.zip</v>
      </c>
      <c r="U5964" s="43" t="str">
        <f>HYPERLINK("https://ictv.global/taxonomy/taxondetails?taxnode_id=202204960","ictv.global=202204960")</f>
        <v>ictv.global=202204960</v>
      </c>
    </row>
    <row r="5965" spans="1:21">
      <c r="A5965">
        <v>5964</v>
      </c>
      <c r="B5965" s="29" t="s">
        <v>3223</v>
      </c>
      <c r="C5965" s="29"/>
      <c r="D5965" s="29" t="s">
        <v>4156</v>
      </c>
      <c r="E5965" s="29"/>
      <c r="F5965" s="29" t="s">
        <v>4157</v>
      </c>
      <c r="G5965" s="29"/>
      <c r="H5965" s="29" t="s">
        <v>4160</v>
      </c>
      <c r="I5965" s="29"/>
      <c r="J5965" s="29" t="s">
        <v>4161</v>
      </c>
      <c r="K5965" s="29"/>
      <c r="L5965" s="29" t="s">
        <v>12214</v>
      </c>
      <c r="M5965" s="29"/>
      <c r="N5965" s="29" t="s">
        <v>1203</v>
      </c>
      <c r="O5965" s="29"/>
      <c r="P5965" s="29" t="s">
        <v>1011</v>
      </c>
      <c r="Q5965" t="s">
        <v>2042</v>
      </c>
      <c r="R5965" t="s">
        <v>2634</v>
      </c>
      <c r="S5965">
        <v>37</v>
      </c>
      <c r="T5965" s="43" t="str">
        <f t="shared" si="277"/>
        <v>2020.028M.R.Reovirales_2nfam.zip</v>
      </c>
      <c r="U5965" s="43" t="str">
        <f>HYPERLINK("https://ictv.global/taxonomy/taxondetails?taxnode_id=202204961","ictv.global=202204961")</f>
        <v>ictv.global=202204961</v>
      </c>
    </row>
    <row r="5966" spans="1:21">
      <c r="A5966">
        <v>5965</v>
      </c>
      <c r="B5966" s="29" t="s">
        <v>3223</v>
      </c>
      <c r="C5966" s="29"/>
      <c r="D5966" s="29" t="s">
        <v>4156</v>
      </c>
      <c r="E5966" s="29"/>
      <c r="F5966" s="29" t="s">
        <v>4157</v>
      </c>
      <c r="G5966" s="29"/>
      <c r="H5966" s="29" t="s">
        <v>4160</v>
      </c>
      <c r="I5966" s="29"/>
      <c r="J5966" s="29" t="s">
        <v>4161</v>
      </c>
      <c r="K5966" s="29"/>
      <c r="L5966" s="29" t="s">
        <v>12214</v>
      </c>
      <c r="M5966" s="29"/>
      <c r="N5966" s="29" t="s">
        <v>1203</v>
      </c>
      <c r="O5966" s="29"/>
      <c r="P5966" s="29" t="s">
        <v>1012</v>
      </c>
      <c r="Q5966" t="s">
        <v>2042</v>
      </c>
      <c r="R5966" t="s">
        <v>2634</v>
      </c>
      <c r="S5966">
        <v>37</v>
      </c>
      <c r="T5966" s="43" t="str">
        <f t="shared" si="277"/>
        <v>2020.028M.R.Reovirales_2nfam.zip</v>
      </c>
      <c r="U5966" s="43" t="str">
        <f>HYPERLINK("https://ictv.global/taxonomy/taxondetails?taxnode_id=202204962","ictv.global=202204962")</f>
        <v>ictv.global=202204962</v>
      </c>
    </row>
    <row r="5967" spans="1:21">
      <c r="A5967">
        <v>5966</v>
      </c>
      <c r="B5967" s="29" t="s">
        <v>3223</v>
      </c>
      <c r="C5967" s="29"/>
      <c r="D5967" s="29" t="s">
        <v>4156</v>
      </c>
      <c r="E5967" s="29"/>
      <c r="F5967" s="29" t="s">
        <v>4157</v>
      </c>
      <c r="G5967" s="29"/>
      <c r="H5967" s="29" t="s">
        <v>4160</v>
      </c>
      <c r="I5967" s="29"/>
      <c r="J5967" s="29" t="s">
        <v>4161</v>
      </c>
      <c r="K5967" s="29"/>
      <c r="L5967" s="29" t="s">
        <v>12214</v>
      </c>
      <c r="M5967" s="29"/>
      <c r="N5967" s="29" t="s">
        <v>1203</v>
      </c>
      <c r="O5967" s="29"/>
      <c r="P5967" s="29" t="s">
        <v>1013</v>
      </c>
      <c r="Q5967" t="s">
        <v>2042</v>
      </c>
      <c r="R5967" t="s">
        <v>2634</v>
      </c>
      <c r="S5967">
        <v>37</v>
      </c>
      <c r="T5967" s="43" t="str">
        <f t="shared" si="277"/>
        <v>2020.028M.R.Reovirales_2nfam.zip</v>
      </c>
      <c r="U5967" s="43" t="str">
        <f>HYPERLINK("https://ictv.global/taxonomy/taxondetails?taxnode_id=202204963","ictv.global=202204963")</f>
        <v>ictv.global=202204963</v>
      </c>
    </row>
    <row r="5968" spans="1:21">
      <c r="A5968">
        <v>5967</v>
      </c>
      <c r="B5968" s="29" t="s">
        <v>3223</v>
      </c>
      <c r="C5968" s="29"/>
      <c r="D5968" s="29" t="s">
        <v>4156</v>
      </c>
      <c r="E5968" s="29"/>
      <c r="F5968" s="29" t="s">
        <v>4157</v>
      </c>
      <c r="G5968" s="29"/>
      <c r="H5968" s="29" t="s">
        <v>4160</v>
      </c>
      <c r="I5968" s="29"/>
      <c r="J5968" s="29" t="s">
        <v>4161</v>
      </c>
      <c r="K5968" s="29"/>
      <c r="L5968" s="29" t="s">
        <v>12214</v>
      </c>
      <c r="M5968" s="29"/>
      <c r="N5968" s="29" t="s">
        <v>1203</v>
      </c>
      <c r="O5968" s="29"/>
      <c r="P5968" s="29" t="s">
        <v>1014</v>
      </c>
      <c r="Q5968" t="s">
        <v>2042</v>
      </c>
      <c r="R5968" t="s">
        <v>2634</v>
      </c>
      <c r="S5968">
        <v>37</v>
      </c>
      <c r="T5968" s="43" t="str">
        <f t="shared" si="277"/>
        <v>2020.028M.R.Reovirales_2nfam.zip</v>
      </c>
      <c r="U5968" s="43" t="str">
        <f>HYPERLINK("https://ictv.global/taxonomy/taxondetails?taxnode_id=202204964","ictv.global=202204964")</f>
        <v>ictv.global=202204964</v>
      </c>
    </row>
    <row r="5969" spans="1:21">
      <c r="A5969">
        <v>5968</v>
      </c>
      <c r="B5969" s="29" t="s">
        <v>3223</v>
      </c>
      <c r="C5969" s="29"/>
      <c r="D5969" s="29" t="s">
        <v>4156</v>
      </c>
      <c r="E5969" s="29"/>
      <c r="F5969" s="29" t="s">
        <v>4157</v>
      </c>
      <c r="G5969" s="29"/>
      <c r="H5969" s="29" t="s">
        <v>4160</v>
      </c>
      <c r="I5969" s="29"/>
      <c r="J5969" s="29" t="s">
        <v>4161</v>
      </c>
      <c r="K5969" s="29"/>
      <c r="L5969" s="29" t="s">
        <v>12214</v>
      </c>
      <c r="M5969" s="29"/>
      <c r="N5969" s="29" t="s">
        <v>1410</v>
      </c>
      <c r="O5969" s="29"/>
      <c r="P5969" s="29" t="s">
        <v>1411</v>
      </c>
      <c r="Q5969" t="s">
        <v>2042</v>
      </c>
      <c r="R5969" t="s">
        <v>2634</v>
      </c>
      <c r="S5969">
        <v>37</v>
      </c>
      <c r="T5969" s="43" t="str">
        <f t="shared" si="277"/>
        <v>2020.028M.R.Reovirales_2nfam.zip</v>
      </c>
      <c r="U5969" s="43" t="str">
        <f>HYPERLINK("https://ictv.global/taxonomy/taxondetails?taxnode_id=202204966","ictv.global=202204966")</f>
        <v>ictv.global=202204966</v>
      </c>
    </row>
    <row r="5970" spans="1:21">
      <c r="A5970">
        <v>5969</v>
      </c>
      <c r="B5970" s="29" t="s">
        <v>3223</v>
      </c>
      <c r="C5970" s="29"/>
      <c r="D5970" s="29" t="s">
        <v>4156</v>
      </c>
      <c r="E5970" s="29"/>
      <c r="F5970" s="29" t="s">
        <v>4157</v>
      </c>
      <c r="G5970" s="29"/>
      <c r="H5970" s="29" t="s">
        <v>4160</v>
      </c>
      <c r="I5970" s="29"/>
      <c r="J5970" s="29" t="s">
        <v>4161</v>
      </c>
      <c r="K5970" s="29"/>
      <c r="L5970" s="29" t="s">
        <v>12214</v>
      </c>
      <c r="M5970" s="29"/>
      <c r="N5970" s="29" t="s">
        <v>1410</v>
      </c>
      <c r="O5970" s="29"/>
      <c r="P5970" s="29" t="s">
        <v>1412</v>
      </c>
      <c r="Q5970" t="s">
        <v>2042</v>
      </c>
      <c r="R5970" t="s">
        <v>2634</v>
      </c>
      <c r="S5970">
        <v>37</v>
      </c>
      <c r="T5970" s="43" t="str">
        <f t="shared" si="277"/>
        <v>2020.028M.R.Reovirales_2nfam.zip</v>
      </c>
      <c r="U5970" s="43" t="str">
        <f>HYPERLINK("https://ictv.global/taxonomy/taxondetails?taxnode_id=202204967","ictv.global=202204967")</f>
        <v>ictv.global=202204967</v>
      </c>
    </row>
    <row r="5971" spans="1:21">
      <c r="A5971">
        <v>5970</v>
      </c>
      <c r="B5971" s="29" t="s">
        <v>3223</v>
      </c>
      <c r="C5971" s="29"/>
      <c r="D5971" s="29" t="s">
        <v>4156</v>
      </c>
      <c r="E5971" s="29"/>
      <c r="F5971" s="29" t="s">
        <v>4157</v>
      </c>
      <c r="G5971" s="29"/>
      <c r="H5971" s="29" t="s">
        <v>4160</v>
      </c>
      <c r="I5971" s="29"/>
      <c r="J5971" s="29" t="s">
        <v>4161</v>
      </c>
      <c r="K5971" s="29"/>
      <c r="L5971" s="29" t="s">
        <v>12214</v>
      </c>
      <c r="M5971" s="29"/>
      <c r="N5971" s="29" t="s">
        <v>1410</v>
      </c>
      <c r="O5971" s="29"/>
      <c r="P5971" s="29" t="s">
        <v>1413</v>
      </c>
      <c r="Q5971" t="s">
        <v>2042</v>
      </c>
      <c r="R5971" t="s">
        <v>2634</v>
      </c>
      <c r="S5971">
        <v>37</v>
      </c>
      <c r="T5971" s="43" t="str">
        <f t="shared" si="277"/>
        <v>2020.028M.R.Reovirales_2nfam.zip</v>
      </c>
      <c r="U5971" s="43" t="str">
        <f>HYPERLINK("https://ictv.global/taxonomy/taxondetails?taxnode_id=202204968","ictv.global=202204968")</f>
        <v>ictv.global=202204968</v>
      </c>
    </row>
    <row r="5972" spans="1:21">
      <c r="A5972">
        <v>5971</v>
      </c>
      <c r="B5972" s="29" t="s">
        <v>3223</v>
      </c>
      <c r="C5972" s="29"/>
      <c r="D5972" s="29" t="s">
        <v>4156</v>
      </c>
      <c r="E5972" s="29"/>
      <c r="F5972" s="29" t="s">
        <v>4157</v>
      </c>
      <c r="G5972" s="29"/>
      <c r="H5972" s="29" t="s">
        <v>4160</v>
      </c>
      <c r="I5972" s="29"/>
      <c r="J5972" s="29" t="s">
        <v>4161</v>
      </c>
      <c r="K5972" s="29"/>
      <c r="L5972" s="29" t="s">
        <v>12214</v>
      </c>
      <c r="M5972" s="29"/>
      <c r="N5972" s="29" t="s">
        <v>974</v>
      </c>
      <c r="O5972" s="29"/>
      <c r="P5972" s="29" t="s">
        <v>975</v>
      </c>
      <c r="Q5972" t="s">
        <v>2042</v>
      </c>
      <c r="R5972" t="s">
        <v>2634</v>
      </c>
      <c r="S5972">
        <v>37</v>
      </c>
      <c r="T5972" s="43" t="str">
        <f t="shared" si="277"/>
        <v>2020.028M.R.Reovirales_2nfam.zip</v>
      </c>
      <c r="U5972" s="43" t="str">
        <f>HYPERLINK("https://ictv.global/taxonomy/taxondetails?taxnode_id=202204970","ictv.global=202204970")</f>
        <v>ictv.global=202204970</v>
      </c>
    </row>
    <row r="5973" spans="1:21">
      <c r="A5973">
        <v>5972</v>
      </c>
      <c r="B5973" s="29" t="s">
        <v>3223</v>
      </c>
      <c r="C5973" s="29"/>
      <c r="D5973" s="29" t="s">
        <v>4156</v>
      </c>
      <c r="E5973" s="29"/>
      <c r="F5973" s="29" t="s">
        <v>4157</v>
      </c>
      <c r="G5973" s="29"/>
      <c r="H5973" s="29" t="s">
        <v>4160</v>
      </c>
      <c r="I5973" s="29"/>
      <c r="J5973" s="29" t="s">
        <v>4161</v>
      </c>
      <c r="K5973" s="29"/>
      <c r="L5973" s="29" t="s">
        <v>12214</v>
      </c>
      <c r="M5973" s="29"/>
      <c r="N5973" s="29" t="s">
        <v>974</v>
      </c>
      <c r="O5973" s="29"/>
      <c r="P5973" s="29" t="s">
        <v>976</v>
      </c>
      <c r="Q5973" t="s">
        <v>2042</v>
      </c>
      <c r="R5973" t="s">
        <v>2634</v>
      </c>
      <c r="S5973">
        <v>37</v>
      </c>
      <c r="T5973" s="43" t="str">
        <f t="shared" si="277"/>
        <v>2020.028M.R.Reovirales_2nfam.zip</v>
      </c>
      <c r="U5973" s="43" t="str">
        <f>HYPERLINK("https://ictv.global/taxonomy/taxondetails?taxnode_id=202204971","ictv.global=202204971")</f>
        <v>ictv.global=202204971</v>
      </c>
    </row>
    <row r="5974" spans="1:21">
      <c r="A5974">
        <v>5973</v>
      </c>
      <c r="B5974" s="29" t="s">
        <v>3223</v>
      </c>
      <c r="C5974" s="29"/>
      <c r="D5974" s="29" t="s">
        <v>4156</v>
      </c>
      <c r="E5974" s="29"/>
      <c r="F5974" s="29" t="s">
        <v>4157</v>
      </c>
      <c r="G5974" s="29"/>
      <c r="H5974" s="29" t="s">
        <v>4160</v>
      </c>
      <c r="I5974" s="29"/>
      <c r="J5974" s="29" t="s">
        <v>4161</v>
      </c>
      <c r="K5974" s="29"/>
      <c r="L5974" s="29" t="s">
        <v>12214</v>
      </c>
      <c r="M5974" s="29"/>
      <c r="N5974" s="29" t="s">
        <v>974</v>
      </c>
      <c r="O5974" s="29"/>
      <c r="P5974" s="29" t="s">
        <v>4168</v>
      </c>
      <c r="Q5974" t="s">
        <v>2042</v>
      </c>
      <c r="R5974" t="s">
        <v>2634</v>
      </c>
      <c r="S5974">
        <v>37</v>
      </c>
      <c r="T5974" s="43" t="str">
        <f t="shared" si="277"/>
        <v>2020.028M.R.Reovirales_2nfam.zip</v>
      </c>
      <c r="U5974" s="43" t="str">
        <f>HYPERLINK("https://ictv.global/taxonomy/taxondetails?taxnode_id=202207547","ictv.global=202207547")</f>
        <v>ictv.global=202207547</v>
      </c>
    </row>
    <row r="5975" spans="1:21">
      <c r="A5975">
        <v>5974</v>
      </c>
      <c r="B5975" s="29" t="s">
        <v>3223</v>
      </c>
      <c r="C5975" s="29"/>
      <c r="D5975" s="29" t="s">
        <v>4156</v>
      </c>
      <c r="E5975" s="29"/>
      <c r="F5975" s="29" t="s">
        <v>4157</v>
      </c>
      <c r="G5975" s="29"/>
      <c r="H5975" s="29" t="s">
        <v>4160</v>
      </c>
      <c r="I5975" s="29"/>
      <c r="J5975" s="29" t="s">
        <v>4161</v>
      </c>
      <c r="K5975" s="29"/>
      <c r="L5975" s="29" t="s">
        <v>12214</v>
      </c>
      <c r="M5975" s="29"/>
      <c r="N5975" s="29" t="s">
        <v>974</v>
      </c>
      <c r="O5975" s="29"/>
      <c r="P5975" s="29" t="s">
        <v>2973</v>
      </c>
      <c r="Q5975" t="s">
        <v>2042</v>
      </c>
      <c r="R5975" t="s">
        <v>2634</v>
      </c>
      <c r="S5975">
        <v>37</v>
      </c>
      <c r="T5975" s="43" t="str">
        <f t="shared" si="277"/>
        <v>2020.028M.R.Reovirales_2nfam.zip</v>
      </c>
      <c r="U5975" s="43" t="str">
        <f>HYPERLINK("https://ictv.global/taxonomy/taxondetails?taxnode_id=202205927","ictv.global=202205927")</f>
        <v>ictv.global=202205927</v>
      </c>
    </row>
    <row r="5976" spans="1:21">
      <c r="A5976">
        <v>5975</v>
      </c>
      <c r="B5976" s="29" t="s">
        <v>3223</v>
      </c>
      <c r="C5976" s="29"/>
      <c r="D5976" s="29" t="s">
        <v>4156</v>
      </c>
      <c r="E5976" s="29"/>
      <c r="F5976" s="29" t="s">
        <v>4157</v>
      </c>
      <c r="G5976" s="29"/>
      <c r="H5976" s="29" t="s">
        <v>4160</v>
      </c>
      <c r="I5976" s="29"/>
      <c r="J5976" s="29" t="s">
        <v>4161</v>
      </c>
      <c r="K5976" s="29"/>
      <c r="L5976" s="29" t="s">
        <v>12214</v>
      </c>
      <c r="M5976" s="29"/>
      <c r="N5976" s="29" t="s">
        <v>974</v>
      </c>
      <c r="O5976" s="29"/>
      <c r="P5976" s="29" t="s">
        <v>977</v>
      </c>
      <c r="Q5976" t="s">
        <v>2042</v>
      </c>
      <c r="R5976" t="s">
        <v>2634</v>
      </c>
      <c r="S5976">
        <v>37</v>
      </c>
      <c r="T5976" s="43" t="str">
        <f t="shared" si="277"/>
        <v>2020.028M.R.Reovirales_2nfam.zip</v>
      </c>
      <c r="U5976" s="43" t="str">
        <f>HYPERLINK("https://ictv.global/taxonomy/taxondetails?taxnode_id=202204972","ictv.global=202204972")</f>
        <v>ictv.global=202204972</v>
      </c>
    </row>
    <row r="5977" spans="1:21">
      <c r="A5977">
        <v>5976</v>
      </c>
      <c r="B5977" s="29" t="s">
        <v>3223</v>
      </c>
      <c r="C5977" s="29"/>
      <c r="D5977" s="29" t="s">
        <v>4156</v>
      </c>
      <c r="E5977" s="29"/>
      <c r="F5977" s="29" t="s">
        <v>4157</v>
      </c>
      <c r="G5977" s="29"/>
      <c r="H5977" s="29" t="s">
        <v>4160</v>
      </c>
      <c r="I5977" s="29"/>
      <c r="J5977" s="29" t="s">
        <v>4161</v>
      </c>
      <c r="K5977" s="29"/>
      <c r="L5977" s="29" t="s">
        <v>12214</v>
      </c>
      <c r="M5977" s="29"/>
      <c r="N5977" s="29" t="s">
        <v>974</v>
      </c>
      <c r="O5977" s="29"/>
      <c r="P5977" s="29" t="s">
        <v>978</v>
      </c>
      <c r="Q5977" t="s">
        <v>2042</v>
      </c>
      <c r="R5977" t="s">
        <v>2634</v>
      </c>
      <c r="S5977">
        <v>37</v>
      </c>
      <c r="T5977" s="43" t="str">
        <f t="shared" si="277"/>
        <v>2020.028M.R.Reovirales_2nfam.zip</v>
      </c>
      <c r="U5977" s="43" t="str">
        <f>HYPERLINK("https://ictv.global/taxonomy/taxondetails?taxnode_id=202204973","ictv.global=202204973")</f>
        <v>ictv.global=202204973</v>
      </c>
    </row>
    <row r="5978" spans="1:21">
      <c r="A5978">
        <v>5977</v>
      </c>
      <c r="B5978" s="29" t="s">
        <v>3223</v>
      </c>
      <c r="C5978" s="29"/>
      <c r="D5978" s="29" t="s">
        <v>4156</v>
      </c>
      <c r="E5978" s="29"/>
      <c r="F5978" s="29" t="s">
        <v>4157</v>
      </c>
      <c r="G5978" s="29"/>
      <c r="H5978" s="29" t="s">
        <v>4160</v>
      </c>
      <c r="I5978" s="29"/>
      <c r="J5978" s="29" t="s">
        <v>4161</v>
      </c>
      <c r="K5978" s="29"/>
      <c r="L5978" s="29" t="s">
        <v>12214</v>
      </c>
      <c r="M5978" s="29"/>
      <c r="N5978" s="29" t="s">
        <v>974</v>
      </c>
      <c r="O5978" s="29"/>
      <c r="P5978" s="29" t="s">
        <v>4169</v>
      </c>
      <c r="Q5978" t="s">
        <v>2042</v>
      </c>
      <c r="R5978" t="s">
        <v>2634</v>
      </c>
      <c r="S5978">
        <v>37</v>
      </c>
      <c r="T5978" s="43" t="str">
        <f t="shared" si="277"/>
        <v>2020.028M.R.Reovirales_2nfam.zip</v>
      </c>
      <c r="U5978" s="43" t="str">
        <f>HYPERLINK("https://ictv.global/taxonomy/taxondetails?taxnode_id=202207548","ictv.global=202207548")</f>
        <v>ictv.global=202207548</v>
      </c>
    </row>
    <row r="5979" spans="1:21">
      <c r="A5979">
        <v>5978</v>
      </c>
      <c r="B5979" s="29" t="s">
        <v>3223</v>
      </c>
      <c r="C5979" s="29"/>
      <c r="D5979" s="29" t="s">
        <v>4156</v>
      </c>
      <c r="E5979" s="29"/>
      <c r="F5979" s="29" t="s">
        <v>4157</v>
      </c>
      <c r="G5979" s="29"/>
      <c r="H5979" s="29" t="s">
        <v>4160</v>
      </c>
      <c r="I5979" s="29"/>
      <c r="J5979" s="29" t="s">
        <v>4161</v>
      </c>
      <c r="K5979" s="29"/>
      <c r="L5979" s="29" t="s">
        <v>12214</v>
      </c>
      <c r="M5979" s="29"/>
      <c r="N5979" s="29" t="s">
        <v>974</v>
      </c>
      <c r="O5979" s="29"/>
      <c r="P5979" s="29" t="s">
        <v>2325</v>
      </c>
      <c r="Q5979" t="s">
        <v>2042</v>
      </c>
      <c r="R5979" t="s">
        <v>2634</v>
      </c>
      <c r="S5979">
        <v>37</v>
      </c>
      <c r="T5979" s="43" t="str">
        <f t="shared" si="277"/>
        <v>2020.028M.R.Reovirales_2nfam.zip</v>
      </c>
      <c r="U5979" s="43" t="str">
        <f>HYPERLINK("https://ictv.global/taxonomy/taxondetails?taxnode_id=202204974","ictv.global=202204974")</f>
        <v>ictv.global=202204974</v>
      </c>
    </row>
    <row r="5980" spans="1:21">
      <c r="A5980">
        <v>5979</v>
      </c>
      <c r="B5980" s="29" t="s">
        <v>3223</v>
      </c>
      <c r="C5980" s="29"/>
      <c r="D5980" s="29" t="s">
        <v>4156</v>
      </c>
      <c r="E5980" s="29"/>
      <c r="F5980" s="29" t="s">
        <v>4157</v>
      </c>
      <c r="G5980" s="29"/>
      <c r="H5980" s="29" t="s">
        <v>4160</v>
      </c>
      <c r="I5980" s="29"/>
      <c r="J5980" s="29" t="s">
        <v>4161</v>
      </c>
      <c r="K5980" s="29"/>
      <c r="L5980" s="29" t="s">
        <v>12214</v>
      </c>
      <c r="M5980" s="29"/>
      <c r="N5980" s="29" t="s">
        <v>974</v>
      </c>
      <c r="O5980" s="29"/>
      <c r="P5980" s="29" t="s">
        <v>979</v>
      </c>
      <c r="Q5980" t="s">
        <v>2042</v>
      </c>
      <c r="R5980" t="s">
        <v>2634</v>
      </c>
      <c r="S5980">
        <v>37</v>
      </c>
      <c r="T5980" s="43" t="str">
        <f t="shared" si="277"/>
        <v>2020.028M.R.Reovirales_2nfam.zip</v>
      </c>
      <c r="U5980" s="43" t="str">
        <f>HYPERLINK("https://ictv.global/taxonomy/taxondetails?taxnode_id=202204975","ictv.global=202204975")</f>
        <v>ictv.global=202204975</v>
      </c>
    </row>
    <row r="5981" spans="1:21">
      <c r="A5981">
        <v>5980</v>
      </c>
      <c r="B5981" s="29" t="s">
        <v>3223</v>
      </c>
      <c r="C5981" s="29"/>
      <c r="D5981" s="29" t="s">
        <v>4156</v>
      </c>
      <c r="E5981" s="29"/>
      <c r="F5981" s="29" t="s">
        <v>4157</v>
      </c>
      <c r="G5981" s="29"/>
      <c r="H5981" s="29" t="s">
        <v>4160</v>
      </c>
      <c r="I5981" s="29"/>
      <c r="J5981" s="29" t="s">
        <v>4161</v>
      </c>
      <c r="K5981" s="29"/>
      <c r="L5981" s="29" t="s">
        <v>12214</v>
      </c>
      <c r="M5981" s="29"/>
      <c r="N5981" s="29" t="s">
        <v>974</v>
      </c>
      <c r="O5981" s="29"/>
      <c r="P5981" s="29" t="s">
        <v>4170</v>
      </c>
      <c r="Q5981" t="s">
        <v>2042</v>
      </c>
      <c r="R5981" t="s">
        <v>2634</v>
      </c>
      <c r="S5981">
        <v>37</v>
      </c>
      <c r="T5981" s="43" t="str">
        <f t="shared" si="277"/>
        <v>2020.028M.R.Reovirales_2nfam.zip</v>
      </c>
      <c r="U5981" s="43" t="str">
        <f>HYPERLINK("https://ictv.global/taxonomy/taxondetails?taxnode_id=202207549","ictv.global=202207549")</f>
        <v>ictv.global=202207549</v>
      </c>
    </row>
    <row r="5982" spans="1:21">
      <c r="A5982">
        <v>5981</v>
      </c>
      <c r="B5982" s="29" t="s">
        <v>3223</v>
      </c>
      <c r="C5982" s="29"/>
      <c r="D5982" s="29" t="s">
        <v>4156</v>
      </c>
      <c r="E5982" s="29"/>
      <c r="F5982" s="29" t="s">
        <v>4157</v>
      </c>
      <c r="G5982" s="29"/>
      <c r="H5982" s="29" t="s">
        <v>4160</v>
      </c>
      <c r="I5982" s="29"/>
      <c r="J5982" s="29" t="s">
        <v>4161</v>
      </c>
      <c r="K5982" s="29"/>
      <c r="L5982" s="29" t="s">
        <v>12214</v>
      </c>
      <c r="M5982" s="29"/>
      <c r="N5982" s="29" t="s">
        <v>980</v>
      </c>
      <c r="O5982" s="29"/>
      <c r="P5982" s="29" t="s">
        <v>981</v>
      </c>
      <c r="Q5982" t="s">
        <v>2042</v>
      </c>
      <c r="R5982" t="s">
        <v>2634</v>
      </c>
      <c r="S5982">
        <v>37</v>
      </c>
      <c r="T5982" s="43" t="str">
        <f t="shared" si="277"/>
        <v>2020.028M.R.Reovirales_2nfam.zip</v>
      </c>
      <c r="U5982" s="43" t="str">
        <f>HYPERLINK("https://ictv.global/taxonomy/taxondetails?taxnode_id=202204977","ictv.global=202204977")</f>
        <v>ictv.global=202204977</v>
      </c>
    </row>
    <row r="5983" spans="1:21">
      <c r="A5983">
        <v>5982</v>
      </c>
      <c r="B5983" s="29" t="s">
        <v>3223</v>
      </c>
      <c r="C5983" s="29"/>
      <c r="D5983" s="29" t="s">
        <v>4156</v>
      </c>
      <c r="E5983" s="29"/>
      <c r="F5983" s="29" t="s">
        <v>4157</v>
      </c>
      <c r="G5983" s="29"/>
      <c r="H5983" s="29" t="s">
        <v>4160</v>
      </c>
      <c r="I5983" s="29"/>
      <c r="J5983" s="29" t="s">
        <v>4161</v>
      </c>
      <c r="K5983" s="29"/>
      <c r="L5983" s="29" t="s">
        <v>12214</v>
      </c>
      <c r="M5983" s="29"/>
      <c r="N5983" s="29" t="s">
        <v>980</v>
      </c>
      <c r="O5983" s="29"/>
      <c r="P5983" s="29" t="s">
        <v>193</v>
      </c>
      <c r="Q5983" t="s">
        <v>2042</v>
      </c>
      <c r="R5983" t="s">
        <v>2634</v>
      </c>
      <c r="S5983">
        <v>37</v>
      </c>
      <c r="T5983" s="43" t="str">
        <f t="shared" si="277"/>
        <v>2020.028M.R.Reovirales_2nfam.zip</v>
      </c>
      <c r="U5983" s="43" t="str">
        <f>HYPERLINK("https://ictv.global/taxonomy/taxondetails?taxnode_id=202204978","ictv.global=202204978")</f>
        <v>ictv.global=202204978</v>
      </c>
    </row>
    <row r="5984" spans="1:21">
      <c r="A5984">
        <v>5983</v>
      </c>
      <c r="B5984" s="29" t="s">
        <v>3223</v>
      </c>
      <c r="C5984" s="29"/>
      <c r="D5984" s="29" t="s">
        <v>4156</v>
      </c>
      <c r="E5984" s="29"/>
      <c r="F5984" s="29" t="s">
        <v>4157</v>
      </c>
      <c r="G5984" s="29"/>
      <c r="H5984" s="29" t="s">
        <v>4171</v>
      </c>
      <c r="I5984" s="29"/>
      <c r="J5984" s="29" t="s">
        <v>4172</v>
      </c>
      <c r="K5984" s="29"/>
      <c r="L5984" s="29" t="s">
        <v>1533</v>
      </c>
      <c r="M5984" s="29"/>
      <c r="N5984" s="29" t="s">
        <v>1538</v>
      </c>
      <c r="O5984" s="29"/>
      <c r="P5984" s="29" t="s">
        <v>12215</v>
      </c>
      <c r="Q5984" t="s">
        <v>2042</v>
      </c>
      <c r="R5984" t="s">
        <v>2635</v>
      </c>
      <c r="S5984">
        <v>37</v>
      </c>
      <c r="T5984" s="43" t="str">
        <f t="shared" ref="T5984:T5990" si="278">HYPERLINK("https://ictv.global/ictv/proposals/2021.010B.R.Binomial_names.zip","2021.010B.R.Binomial_names.zip")</f>
        <v>2021.010B.R.Binomial_names.zip</v>
      </c>
      <c r="U5984" s="43" t="str">
        <f>HYPERLINK("https://ictv.global/taxonomy/taxondetails?taxnode_id=202203041","ictv.global=202203041")</f>
        <v>ictv.global=202203041</v>
      </c>
    </row>
    <row r="5985" spans="1:21">
      <c r="A5985">
        <v>5984</v>
      </c>
      <c r="B5985" s="29" t="s">
        <v>3223</v>
      </c>
      <c r="C5985" s="29"/>
      <c r="D5985" s="29" t="s">
        <v>4156</v>
      </c>
      <c r="E5985" s="29"/>
      <c r="F5985" s="29" t="s">
        <v>4157</v>
      </c>
      <c r="G5985" s="29"/>
      <c r="H5985" s="29" t="s">
        <v>4171</v>
      </c>
      <c r="I5985" s="29"/>
      <c r="J5985" s="29" t="s">
        <v>4172</v>
      </c>
      <c r="K5985" s="29"/>
      <c r="L5985" s="29" t="s">
        <v>1533</v>
      </c>
      <c r="M5985" s="29"/>
      <c r="N5985" s="29" t="s">
        <v>1538</v>
      </c>
      <c r="O5985" s="29"/>
      <c r="P5985" s="29" t="s">
        <v>12216</v>
      </c>
      <c r="Q5985" t="s">
        <v>2042</v>
      </c>
      <c r="R5985" t="s">
        <v>2635</v>
      </c>
      <c r="S5985">
        <v>37</v>
      </c>
      <c r="T5985" s="43" t="str">
        <f t="shared" si="278"/>
        <v>2021.010B.R.Binomial_names.zip</v>
      </c>
      <c r="U5985" s="43" t="str">
        <f>HYPERLINK("https://ictv.global/taxonomy/taxondetails?taxnode_id=202205775","ictv.global=202205775")</f>
        <v>ictv.global=202205775</v>
      </c>
    </row>
    <row r="5986" spans="1:21">
      <c r="A5986">
        <v>5985</v>
      </c>
      <c r="B5986" s="29" t="s">
        <v>3223</v>
      </c>
      <c r="C5986" s="29"/>
      <c r="D5986" s="29" t="s">
        <v>4156</v>
      </c>
      <c r="E5986" s="29"/>
      <c r="F5986" s="29" t="s">
        <v>4157</v>
      </c>
      <c r="G5986" s="29"/>
      <c r="H5986" s="29" t="s">
        <v>4171</v>
      </c>
      <c r="I5986" s="29"/>
      <c r="J5986" s="29" t="s">
        <v>4172</v>
      </c>
      <c r="K5986" s="29"/>
      <c r="L5986" s="29" t="s">
        <v>1533</v>
      </c>
      <c r="M5986" s="29"/>
      <c r="N5986" s="29" t="s">
        <v>1538</v>
      </c>
      <c r="O5986" s="29"/>
      <c r="P5986" s="29" t="s">
        <v>12217</v>
      </c>
      <c r="Q5986" t="s">
        <v>2042</v>
      </c>
      <c r="R5986" t="s">
        <v>2635</v>
      </c>
      <c r="S5986">
        <v>37</v>
      </c>
      <c r="T5986" s="43" t="str">
        <f t="shared" si="278"/>
        <v>2021.010B.R.Binomial_names.zip</v>
      </c>
      <c r="U5986" s="43" t="str">
        <f>HYPERLINK("https://ictv.global/taxonomy/taxondetails?taxnode_id=202205772","ictv.global=202205772")</f>
        <v>ictv.global=202205772</v>
      </c>
    </row>
    <row r="5987" spans="1:21">
      <c r="A5987">
        <v>5986</v>
      </c>
      <c r="B5987" s="29" t="s">
        <v>3223</v>
      </c>
      <c r="C5987" s="29"/>
      <c r="D5987" s="29" t="s">
        <v>4156</v>
      </c>
      <c r="E5987" s="29"/>
      <c r="F5987" s="29" t="s">
        <v>4157</v>
      </c>
      <c r="G5987" s="29"/>
      <c r="H5987" s="29" t="s">
        <v>4171</v>
      </c>
      <c r="I5987" s="29"/>
      <c r="J5987" s="29" t="s">
        <v>4172</v>
      </c>
      <c r="K5987" s="29"/>
      <c r="L5987" s="29" t="s">
        <v>1533</v>
      </c>
      <c r="M5987" s="29"/>
      <c r="N5987" s="29" t="s">
        <v>1538</v>
      </c>
      <c r="O5987" s="29"/>
      <c r="P5987" s="29" t="s">
        <v>12218</v>
      </c>
      <c r="Q5987" t="s">
        <v>2042</v>
      </c>
      <c r="R5987" t="s">
        <v>2635</v>
      </c>
      <c r="S5987">
        <v>37</v>
      </c>
      <c r="T5987" s="43" t="str">
        <f t="shared" si="278"/>
        <v>2021.010B.R.Binomial_names.zip</v>
      </c>
      <c r="U5987" s="43" t="str">
        <f>HYPERLINK("https://ictv.global/taxonomy/taxondetails?taxnode_id=202205773","ictv.global=202205773")</f>
        <v>ictv.global=202205773</v>
      </c>
    </row>
    <row r="5988" spans="1:21">
      <c r="A5988">
        <v>5987</v>
      </c>
      <c r="B5988" s="29" t="s">
        <v>3223</v>
      </c>
      <c r="C5988" s="29"/>
      <c r="D5988" s="29" t="s">
        <v>4156</v>
      </c>
      <c r="E5988" s="29"/>
      <c r="F5988" s="29" t="s">
        <v>4157</v>
      </c>
      <c r="G5988" s="29"/>
      <c r="H5988" s="29" t="s">
        <v>4171</v>
      </c>
      <c r="I5988" s="29"/>
      <c r="J5988" s="29" t="s">
        <v>4172</v>
      </c>
      <c r="K5988" s="29"/>
      <c r="L5988" s="29" t="s">
        <v>1533</v>
      </c>
      <c r="M5988" s="29"/>
      <c r="N5988" s="29" t="s">
        <v>1538</v>
      </c>
      <c r="O5988" s="29"/>
      <c r="P5988" s="29" t="s">
        <v>12219</v>
      </c>
      <c r="Q5988" t="s">
        <v>2042</v>
      </c>
      <c r="R5988" t="s">
        <v>2635</v>
      </c>
      <c r="S5988">
        <v>37</v>
      </c>
      <c r="T5988" s="43" t="str">
        <f t="shared" si="278"/>
        <v>2021.010B.R.Binomial_names.zip</v>
      </c>
      <c r="U5988" s="43" t="str">
        <f>HYPERLINK("https://ictv.global/taxonomy/taxondetails?taxnode_id=202205774","ictv.global=202205774")</f>
        <v>ictv.global=202205774</v>
      </c>
    </row>
    <row r="5989" spans="1:21">
      <c r="A5989">
        <v>5988</v>
      </c>
      <c r="B5989" s="29" t="s">
        <v>3223</v>
      </c>
      <c r="C5989" s="29"/>
      <c r="D5989" s="29" t="s">
        <v>4156</v>
      </c>
      <c r="E5989" s="29"/>
      <c r="F5989" s="29" t="s">
        <v>4157</v>
      </c>
      <c r="G5989" s="29"/>
      <c r="H5989" s="29" t="s">
        <v>4171</v>
      </c>
      <c r="I5989" s="29"/>
      <c r="J5989" s="29" t="s">
        <v>4172</v>
      </c>
      <c r="K5989" s="29"/>
      <c r="L5989" s="29" t="s">
        <v>1533</v>
      </c>
      <c r="M5989" s="29"/>
      <c r="N5989" s="29" t="s">
        <v>1538</v>
      </c>
      <c r="O5989" s="29"/>
      <c r="P5989" s="29" t="s">
        <v>12220</v>
      </c>
      <c r="Q5989" t="s">
        <v>2042</v>
      </c>
      <c r="R5989" t="s">
        <v>2635</v>
      </c>
      <c r="S5989">
        <v>37</v>
      </c>
      <c r="T5989" s="43" t="str">
        <f t="shared" si="278"/>
        <v>2021.010B.R.Binomial_names.zip</v>
      </c>
      <c r="U5989" s="43" t="str">
        <f>HYPERLINK("https://ictv.global/taxonomy/taxondetails?taxnode_id=202205776","ictv.global=202205776")</f>
        <v>ictv.global=202205776</v>
      </c>
    </row>
    <row r="5990" spans="1:21">
      <c r="A5990">
        <v>5989</v>
      </c>
      <c r="B5990" s="29" t="s">
        <v>3223</v>
      </c>
      <c r="C5990" s="29"/>
      <c r="D5990" s="29" t="s">
        <v>4156</v>
      </c>
      <c r="E5990" s="29"/>
      <c r="F5990" s="29" t="s">
        <v>4157</v>
      </c>
      <c r="G5990" s="29"/>
      <c r="H5990" s="29" t="s">
        <v>4171</v>
      </c>
      <c r="I5990" s="29"/>
      <c r="J5990" s="29" t="s">
        <v>4172</v>
      </c>
      <c r="K5990" s="29"/>
      <c r="L5990" s="29" t="s">
        <v>1533</v>
      </c>
      <c r="M5990" s="29"/>
      <c r="N5990" s="29" t="s">
        <v>1538</v>
      </c>
      <c r="O5990" s="29"/>
      <c r="P5990" s="29" t="s">
        <v>12221</v>
      </c>
      <c r="Q5990" t="s">
        <v>2042</v>
      </c>
      <c r="R5990" t="s">
        <v>2635</v>
      </c>
      <c r="S5990">
        <v>37</v>
      </c>
      <c r="T5990" s="43" t="str">
        <f t="shared" si="278"/>
        <v>2021.010B.R.Binomial_names.zip</v>
      </c>
      <c r="U5990" s="43" t="str">
        <f>HYPERLINK("https://ictv.global/taxonomy/taxondetails?taxnode_id=202205777","ictv.global=202205777")</f>
        <v>ictv.global=202205777</v>
      </c>
    </row>
    <row r="5991" spans="1:21">
      <c r="A5991">
        <v>5990</v>
      </c>
      <c r="B5991" s="29" t="s">
        <v>3223</v>
      </c>
      <c r="C5991" s="29"/>
      <c r="D5991" s="29" t="s">
        <v>4156</v>
      </c>
      <c r="E5991" s="29"/>
      <c r="F5991" s="29" t="s">
        <v>4173</v>
      </c>
      <c r="G5991" s="29"/>
      <c r="H5991" s="29" t="s">
        <v>4174</v>
      </c>
      <c r="I5991" s="29"/>
      <c r="J5991" s="29" t="s">
        <v>4175</v>
      </c>
      <c r="K5991" s="29"/>
      <c r="L5991" s="29" t="s">
        <v>11</v>
      </c>
      <c r="M5991" s="29"/>
      <c r="N5991" s="29" t="s">
        <v>1381</v>
      </c>
      <c r="O5991" s="29"/>
      <c r="P5991" s="29" t="s">
        <v>1382</v>
      </c>
      <c r="Q5991" t="s">
        <v>2040</v>
      </c>
      <c r="R5991" t="s">
        <v>2634</v>
      </c>
      <c r="S5991">
        <v>35</v>
      </c>
      <c r="T5991" s="43" t="str">
        <f>HYPERLINK("https://ictv.global/ictv/proposals/2019.006G.zip","2019.006G.zip")</f>
        <v>2019.006G.zip</v>
      </c>
      <c r="U5991" s="43" t="str">
        <f>HYPERLINK("https://ictv.global/taxonomy/taxondetails?taxnode_id=202202459","ictv.global=202202459")</f>
        <v>ictv.global=202202459</v>
      </c>
    </row>
    <row r="5992" spans="1:21">
      <c r="A5992">
        <v>5991</v>
      </c>
      <c r="B5992" s="29" t="s">
        <v>3223</v>
      </c>
      <c r="C5992" s="29"/>
      <c r="D5992" s="29" t="s">
        <v>4156</v>
      </c>
      <c r="E5992" s="29"/>
      <c r="F5992" s="29" t="s">
        <v>4173</v>
      </c>
      <c r="G5992" s="29"/>
      <c r="H5992" s="29" t="s">
        <v>4174</v>
      </c>
      <c r="I5992" s="29"/>
      <c r="J5992" s="29" t="s">
        <v>4175</v>
      </c>
      <c r="K5992" s="29"/>
      <c r="L5992" s="29" t="s">
        <v>11</v>
      </c>
      <c r="M5992" s="29"/>
      <c r="N5992" s="29" t="s">
        <v>1381</v>
      </c>
      <c r="O5992" s="29"/>
      <c r="P5992" s="29" t="s">
        <v>1383</v>
      </c>
      <c r="Q5992" t="s">
        <v>2040</v>
      </c>
      <c r="R5992" t="s">
        <v>2634</v>
      </c>
      <c r="S5992">
        <v>35</v>
      </c>
      <c r="T5992" s="43" t="str">
        <f>HYPERLINK("https://ictv.global/ictv/proposals/2019.006G.zip","2019.006G.zip")</f>
        <v>2019.006G.zip</v>
      </c>
      <c r="U5992" s="43" t="str">
        <f>HYPERLINK("https://ictv.global/taxonomy/taxondetails?taxnode_id=202202460","ictv.global=202202460")</f>
        <v>ictv.global=202202460</v>
      </c>
    </row>
    <row r="5993" spans="1:21">
      <c r="A5993">
        <v>5992</v>
      </c>
      <c r="B5993" s="29" t="s">
        <v>3223</v>
      </c>
      <c r="C5993" s="29"/>
      <c r="D5993" s="29" t="s">
        <v>4156</v>
      </c>
      <c r="E5993" s="29"/>
      <c r="F5993" s="29" t="s">
        <v>4173</v>
      </c>
      <c r="G5993" s="29"/>
      <c r="H5993" s="29" t="s">
        <v>4174</v>
      </c>
      <c r="I5993" s="29"/>
      <c r="J5993" s="29" t="s">
        <v>4175</v>
      </c>
      <c r="K5993" s="29"/>
      <c r="L5993" s="29" t="s">
        <v>11</v>
      </c>
      <c r="M5993" s="29"/>
      <c r="N5993" s="29" t="s">
        <v>1381</v>
      </c>
      <c r="O5993" s="29"/>
      <c r="P5993" s="29" t="s">
        <v>1363</v>
      </c>
      <c r="Q5993" t="s">
        <v>2040</v>
      </c>
      <c r="R5993" t="s">
        <v>2634</v>
      </c>
      <c r="S5993">
        <v>35</v>
      </c>
      <c r="T5993" s="43" t="str">
        <f>HYPERLINK("https://ictv.global/ictv/proposals/2019.006G.zip","2019.006G.zip")</f>
        <v>2019.006G.zip</v>
      </c>
      <c r="U5993" s="43" t="str">
        <f>HYPERLINK("https://ictv.global/taxonomy/taxondetails?taxnode_id=202202461","ictv.global=202202461")</f>
        <v>ictv.global=202202461</v>
      </c>
    </row>
    <row r="5994" spans="1:21">
      <c r="A5994">
        <v>5993</v>
      </c>
      <c r="B5994" s="29" t="s">
        <v>3223</v>
      </c>
      <c r="C5994" s="29"/>
      <c r="D5994" s="29" t="s">
        <v>4156</v>
      </c>
      <c r="E5994" s="29"/>
      <c r="F5994" s="29" t="s">
        <v>4173</v>
      </c>
      <c r="G5994" s="29"/>
      <c r="H5994" s="29" t="s">
        <v>4174</v>
      </c>
      <c r="I5994" s="29"/>
      <c r="J5994" s="29" t="s">
        <v>4175</v>
      </c>
      <c r="K5994" s="29"/>
      <c r="L5994" s="29" t="s">
        <v>11</v>
      </c>
      <c r="M5994" s="29"/>
      <c r="N5994" s="29" t="s">
        <v>1381</v>
      </c>
      <c r="O5994" s="29"/>
      <c r="P5994" s="29" t="s">
        <v>1365</v>
      </c>
      <c r="Q5994" t="s">
        <v>2040</v>
      </c>
      <c r="R5994" t="s">
        <v>6901</v>
      </c>
      <c r="S5994">
        <v>36</v>
      </c>
      <c r="T5994" s="43" t="str">
        <f>HYPERLINK("https://ictv.global/ictv/proposals/2020.001G.R.Abolish_type_species.pdf","2020.001G.R.Abolish_type_species.pdf")</f>
        <v>2020.001G.R.Abolish_type_species.pdf</v>
      </c>
      <c r="U5994" s="43" t="str">
        <f>HYPERLINK("https://ictv.global/taxonomy/taxondetails?taxnode_id=202202462","ictv.global=202202462")</f>
        <v>ictv.global=202202462</v>
      </c>
    </row>
    <row r="5995" spans="1:21">
      <c r="A5995">
        <v>5994</v>
      </c>
      <c r="B5995" s="29" t="s">
        <v>3223</v>
      </c>
      <c r="C5995" s="29"/>
      <c r="D5995" s="29" t="s">
        <v>4156</v>
      </c>
      <c r="E5995" s="29"/>
      <c r="F5995" s="29" t="s">
        <v>4173</v>
      </c>
      <c r="G5995" s="29"/>
      <c r="H5995" s="29" t="s">
        <v>4174</v>
      </c>
      <c r="I5995" s="29"/>
      <c r="J5995" s="29" t="s">
        <v>4175</v>
      </c>
      <c r="K5995" s="29"/>
      <c r="L5995" s="29" t="s">
        <v>11</v>
      </c>
      <c r="M5995" s="29"/>
      <c r="N5995" s="29" t="s">
        <v>1381</v>
      </c>
      <c r="O5995" s="29"/>
      <c r="P5995" s="29" t="s">
        <v>1167</v>
      </c>
      <c r="Q5995" t="s">
        <v>2040</v>
      </c>
      <c r="R5995" t="s">
        <v>2634</v>
      </c>
      <c r="S5995">
        <v>35</v>
      </c>
      <c r="T5995" s="43" t="str">
        <f>HYPERLINK("https://ictv.global/ictv/proposals/2019.006G.zip","2019.006G.zip")</f>
        <v>2019.006G.zip</v>
      </c>
      <c r="U5995" s="43" t="str">
        <f>HYPERLINK("https://ictv.global/taxonomy/taxondetails?taxnode_id=202202463","ictv.global=202202463")</f>
        <v>ictv.global=202202463</v>
      </c>
    </row>
    <row r="5996" spans="1:21">
      <c r="A5996">
        <v>5995</v>
      </c>
      <c r="B5996" s="29" t="s">
        <v>3223</v>
      </c>
      <c r="C5996" s="29"/>
      <c r="D5996" s="29" t="s">
        <v>4156</v>
      </c>
      <c r="E5996" s="29"/>
      <c r="F5996" s="29" t="s">
        <v>4173</v>
      </c>
      <c r="G5996" s="29"/>
      <c r="H5996" s="29" t="s">
        <v>4174</v>
      </c>
      <c r="I5996" s="29"/>
      <c r="J5996" s="29" t="s">
        <v>4175</v>
      </c>
      <c r="K5996" s="29"/>
      <c r="L5996" s="29" t="s">
        <v>11</v>
      </c>
      <c r="M5996" s="29"/>
      <c r="N5996" s="29" t="s">
        <v>1381</v>
      </c>
      <c r="O5996" s="29"/>
      <c r="P5996" s="29" t="s">
        <v>1367</v>
      </c>
      <c r="Q5996" t="s">
        <v>2040</v>
      </c>
      <c r="R5996" t="s">
        <v>2634</v>
      </c>
      <c r="S5996">
        <v>35</v>
      </c>
      <c r="T5996" s="43" t="str">
        <f>HYPERLINK("https://ictv.global/ictv/proposals/2019.006G.zip","2019.006G.zip")</f>
        <v>2019.006G.zip</v>
      </c>
      <c r="U5996" s="43" t="str">
        <f>HYPERLINK("https://ictv.global/taxonomy/taxondetails?taxnode_id=202202464","ictv.global=202202464")</f>
        <v>ictv.global=202202464</v>
      </c>
    </row>
    <row r="5997" spans="1:21">
      <c r="A5997">
        <v>5996</v>
      </c>
      <c r="B5997" s="29" t="s">
        <v>3223</v>
      </c>
      <c r="C5997" s="29"/>
      <c r="D5997" s="29" t="s">
        <v>4156</v>
      </c>
      <c r="E5997" s="29"/>
      <c r="F5997" s="29" t="s">
        <v>4173</v>
      </c>
      <c r="G5997" s="29"/>
      <c r="H5997" s="29" t="s">
        <v>4174</v>
      </c>
      <c r="I5997" s="29"/>
      <c r="J5997" s="29" t="s">
        <v>4175</v>
      </c>
      <c r="K5997" s="29"/>
      <c r="L5997" s="29" t="s">
        <v>11</v>
      </c>
      <c r="M5997" s="29"/>
      <c r="N5997" s="29" t="s">
        <v>1381</v>
      </c>
      <c r="O5997" s="29"/>
      <c r="P5997" s="29" t="s">
        <v>1369</v>
      </c>
      <c r="Q5997" t="s">
        <v>2040</v>
      </c>
      <c r="R5997" t="s">
        <v>2634</v>
      </c>
      <c r="S5997">
        <v>35</v>
      </c>
      <c r="T5997" s="43" t="str">
        <f>HYPERLINK("https://ictv.global/ictv/proposals/2019.006G.zip","2019.006G.zip")</f>
        <v>2019.006G.zip</v>
      </c>
      <c r="U5997" s="43" t="str">
        <f>HYPERLINK("https://ictv.global/taxonomy/taxondetails?taxnode_id=202202465","ictv.global=202202465")</f>
        <v>ictv.global=202202465</v>
      </c>
    </row>
    <row r="5998" spans="1:21">
      <c r="A5998">
        <v>5997</v>
      </c>
      <c r="B5998" s="29" t="s">
        <v>3223</v>
      </c>
      <c r="C5998" s="29"/>
      <c r="D5998" s="29" t="s">
        <v>4156</v>
      </c>
      <c r="E5998" s="29"/>
      <c r="F5998" s="29" t="s">
        <v>4173</v>
      </c>
      <c r="G5998" s="29"/>
      <c r="H5998" s="29" t="s">
        <v>4174</v>
      </c>
      <c r="I5998" s="29"/>
      <c r="J5998" s="29" t="s">
        <v>4175</v>
      </c>
      <c r="K5998" s="29"/>
      <c r="L5998" s="29" t="s">
        <v>11</v>
      </c>
      <c r="M5998" s="29"/>
      <c r="N5998" s="29" t="s">
        <v>650</v>
      </c>
      <c r="O5998" s="29"/>
      <c r="P5998" s="29" t="s">
        <v>651</v>
      </c>
      <c r="Q5998" t="s">
        <v>2040</v>
      </c>
      <c r="R5998" t="s">
        <v>2634</v>
      </c>
      <c r="S5998">
        <v>35</v>
      </c>
      <c r="T5998" s="43" t="str">
        <f>HYPERLINK("https://ictv.global/ictv/proposals/2019.006G.zip","2019.006G.zip")</f>
        <v>2019.006G.zip</v>
      </c>
      <c r="U5998" s="43" t="str">
        <f>HYPERLINK("https://ictv.global/taxonomy/taxondetails?taxnode_id=202202467","ictv.global=202202467")</f>
        <v>ictv.global=202202467</v>
      </c>
    </row>
    <row r="5999" spans="1:21">
      <c r="A5999">
        <v>5998</v>
      </c>
      <c r="B5999" s="29" t="s">
        <v>3223</v>
      </c>
      <c r="C5999" s="29"/>
      <c r="D5999" s="29" t="s">
        <v>4156</v>
      </c>
      <c r="E5999" s="29"/>
      <c r="F5999" s="29" t="s">
        <v>4173</v>
      </c>
      <c r="G5999" s="29"/>
      <c r="H5999" s="29" t="s">
        <v>4174</v>
      </c>
      <c r="I5999" s="29"/>
      <c r="J5999" s="29" t="s">
        <v>4175</v>
      </c>
      <c r="K5999" s="29"/>
      <c r="L5999" s="29" t="s">
        <v>11</v>
      </c>
      <c r="M5999" s="29"/>
      <c r="N5999" s="29" t="s">
        <v>650</v>
      </c>
      <c r="O5999" s="29"/>
      <c r="P5999" s="29" t="s">
        <v>652</v>
      </c>
      <c r="Q5999" t="s">
        <v>2040</v>
      </c>
      <c r="R5999" t="s">
        <v>2634</v>
      </c>
      <c r="S5999">
        <v>35</v>
      </c>
      <c r="T5999" s="43" t="str">
        <f>HYPERLINK("https://ictv.global/ictv/proposals/2019.006G.zip","2019.006G.zip")</f>
        <v>2019.006G.zip</v>
      </c>
      <c r="U5999" s="43" t="str">
        <f>HYPERLINK("https://ictv.global/taxonomy/taxondetails?taxnode_id=202202468","ictv.global=202202468")</f>
        <v>ictv.global=202202468</v>
      </c>
    </row>
    <row r="6000" spans="1:21">
      <c r="A6000">
        <v>5999</v>
      </c>
      <c r="B6000" s="29" t="s">
        <v>3223</v>
      </c>
      <c r="C6000" s="29"/>
      <c r="D6000" s="29" t="s">
        <v>4156</v>
      </c>
      <c r="E6000" s="29"/>
      <c r="F6000" s="29" t="s">
        <v>4173</v>
      </c>
      <c r="G6000" s="29"/>
      <c r="H6000" s="29" t="s">
        <v>4174</v>
      </c>
      <c r="I6000" s="29"/>
      <c r="J6000" s="29" t="s">
        <v>4175</v>
      </c>
      <c r="K6000" s="29"/>
      <c r="L6000" s="29" t="s">
        <v>11</v>
      </c>
      <c r="M6000" s="29"/>
      <c r="N6000" s="29" t="s">
        <v>650</v>
      </c>
      <c r="O6000" s="29"/>
      <c r="P6000" s="29" t="s">
        <v>653</v>
      </c>
      <c r="Q6000" t="s">
        <v>2040</v>
      </c>
      <c r="R6000" t="s">
        <v>6901</v>
      </c>
      <c r="S6000">
        <v>36</v>
      </c>
      <c r="T6000" s="43" t="str">
        <f>HYPERLINK("https://ictv.global/ictv/proposals/2020.001G.R.Abolish_type_species.pdf","2020.001G.R.Abolish_type_species.pdf")</f>
        <v>2020.001G.R.Abolish_type_species.pdf</v>
      </c>
      <c r="U6000" s="43" t="str">
        <f>HYPERLINK("https://ictv.global/taxonomy/taxondetails?taxnode_id=202202469","ictv.global=202202469")</f>
        <v>ictv.global=202202469</v>
      </c>
    </row>
    <row r="6001" spans="1:21">
      <c r="A6001">
        <v>6000</v>
      </c>
      <c r="B6001" s="29" t="s">
        <v>3223</v>
      </c>
      <c r="C6001" s="29"/>
      <c r="D6001" s="29" t="s">
        <v>4156</v>
      </c>
      <c r="E6001" s="29"/>
      <c r="F6001" s="29" t="s">
        <v>4173</v>
      </c>
      <c r="G6001" s="29"/>
      <c r="H6001" s="29" t="s">
        <v>4174</v>
      </c>
      <c r="I6001" s="29"/>
      <c r="J6001" s="29" t="s">
        <v>4175</v>
      </c>
      <c r="K6001" s="29"/>
      <c r="L6001" s="29" t="s">
        <v>1784</v>
      </c>
      <c r="M6001" s="29"/>
      <c r="N6001" s="29" t="s">
        <v>930</v>
      </c>
      <c r="O6001" s="29"/>
      <c r="P6001" s="29" t="s">
        <v>931</v>
      </c>
      <c r="Q6001" t="s">
        <v>2040</v>
      </c>
      <c r="R6001" t="s">
        <v>6901</v>
      </c>
      <c r="S6001">
        <v>36</v>
      </c>
      <c r="T6001" s="43" t="str">
        <f>HYPERLINK("https://ictv.global/ictv/proposals/2020.001G.R.Abolish_type_species.pdf","2020.001G.R.Abolish_type_species.pdf")</f>
        <v>2020.001G.R.Abolish_type_species.pdf</v>
      </c>
      <c r="U6001" s="43" t="str">
        <f>HYPERLINK("https://ictv.global/taxonomy/taxondetails?taxnode_id=202202733","ictv.global=202202733")</f>
        <v>ictv.global=202202733</v>
      </c>
    </row>
    <row r="6002" spans="1:21">
      <c r="A6002">
        <v>6001</v>
      </c>
      <c r="B6002" s="29" t="s">
        <v>3223</v>
      </c>
      <c r="C6002" s="29"/>
      <c r="D6002" s="29" t="s">
        <v>4156</v>
      </c>
      <c r="E6002" s="29"/>
      <c r="F6002" s="29" t="s">
        <v>4173</v>
      </c>
      <c r="G6002" s="29"/>
      <c r="H6002" s="29" t="s">
        <v>4174</v>
      </c>
      <c r="I6002" s="29"/>
      <c r="J6002" s="29" t="s">
        <v>4175</v>
      </c>
      <c r="K6002" s="29"/>
      <c r="L6002" s="29" t="s">
        <v>1784</v>
      </c>
      <c r="M6002" s="29"/>
      <c r="N6002" s="29" t="s">
        <v>930</v>
      </c>
      <c r="O6002" s="29"/>
      <c r="P6002" s="29" t="s">
        <v>932</v>
      </c>
      <c r="Q6002" t="s">
        <v>2040</v>
      </c>
      <c r="R6002" t="s">
        <v>2634</v>
      </c>
      <c r="S6002">
        <v>35</v>
      </c>
      <c r="T6002" s="43" t="str">
        <f>HYPERLINK("https://ictv.global/ictv/proposals/2019.006G.zip","2019.006G.zip")</f>
        <v>2019.006G.zip</v>
      </c>
      <c r="U6002" s="43" t="str">
        <f>HYPERLINK("https://ictv.global/taxonomy/taxondetails?taxnode_id=202202734","ictv.global=202202734")</f>
        <v>ictv.global=202202734</v>
      </c>
    </row>
    <row r="6003" spans="1:21">
      <c r="A6003">
        <v>6002</v>
      </c>
      <c r="B6003" s="29" t="s">
        <v>3223</v>
      </c>
      <c r="C6003" s="29"/>
      <c r="D6003" s="29" t="s">
        <v>4156</v>
      </c>
      <c r="E6003" s="29"/>
      <c r="F6003" s="29" t="s">
        <v>4173</v>
      </c>
      <c r="G6003" s="29"/>
      <c r="H6003" s="29" t="s">
        <v>4174</v>
      </c>
      <c r="I6003" s="29"/>
      <c r="J6003" s="29" t="s">
        <v>4175</v>
      </c>
      <c r="K6003" s="29"/>
      <c r="L6003" s="29" t="s">
        <v>1784</v>
      </c>
      <c r="M6003" s="29"/>
      <c r="N6003" s="29" t="s">
        <v>930</v>
      </c>
      <c r="O6003" s="29"/>
      <c r="P6003" s="29" t="s">
        <v>1785</v>
      </c>
      <c r="Q6003" t="s">
        <v>2040</v>
      </c>
      <c r="R6003" t="s">
        <v>2634</v>
      </c>
      <c r="S6003">
        <v>35</v>
      </c>
      <c r="T6003" s="43" t="str">
        <f>HYPERLINK("https://ictv.global/ictv/proposals/2019.006G.zip","2019.006G.zip")</f>
        <v>2019.006G.zip</v>
      </c>
      <c r="U6003" s="43" t="str">
        <f>HYPERLINK("https://ictv.global/taxonomy/taxondetails?taxnode_id=202202735","ictv.global=202202735")</f>
        <v>ictv.global=202202735</v>
      </c>
    </row>
    <row r="6004" spans="1:21">
      <c r="A6004">
        <v>6003</v>
      </c>
      <c r="B6004" s="29" t="s">
        <v>3223</v>
      </c>
      <c r="C6004" s="29"/>
      <c r="D6004" s="29" t="s">
        <v>4156</v>
      </c>
      <c r="E6004" s="29"/>
      <c r="F6004" s="29" t="s">
        <v>4173</v>
      </c>
      <c r="G6004" s="29"/>
      <c r="H6004" s="29" t="s">
        <v>4174</v>
      </c>
      <c r="I6004" s="29"/>
      <c r="J6004" s="29" t="s">
        <v>4175</v>
      </c>
      <c r="K6004" s="29"/>
      <c r="L6004" s="29" t="s">
        <v>1784</v>
      </c>
      <c r="M6004" s="29"/>
      <c r="N6004" s="29" t="s">
        <v>930</v>
      </c>
      <c r="O6004" s="29"/>
      <c r="P6004" s="29" t="s">
        <v>1700</v>
      </c>
      <c r="Q6004" t="s">
        <v>2040</v>
      </c>
      <c r="R6004" t="s">
        <v>2634</v>
      </c>
      <c r="S6004">
        <v>35</v>
      </c>
      <c r="T6004" s="43" t="str">
        <f>HYPERLINK("https://ictv.global/ictv/proposals/2019.006G.zip","2019.006G.zip")</f>
        <v>2019.006G.zip</v>
      </c>
      <c r="U6004" s="43" t="str">
        <f>HYPERLINK("https://ictv.global/taxonomy/taxondetails?taxnode_id=202202736","ictv.global=202202736")</f>
        <v>ictv.global=202202736</v>
      </c>
    </row>
    <row r="6005" spans="1:21">
      <c r="A6005">
        <v>6004</v>
      </c>
      <c r="B6005" s="29" t="s">
        <v>3223</v>
      </c>
      <c r="C6005" s="29"/>
      <c r="D6005" s="29" t="s">
        <v>4156</v>
      </c>
      <c r="E6005" s="29"/>
      <c r="F6005" s="29" t="s">
        <v>4173</v>
      </c>
      <c r="G6005" s="29"/>
      <c r="H6005" s="29" t="s">
        <v>4174</v>
      </c>
      <c r="I6005" s="29"/>
      <c r="J6005" s="29" t="s">
        <v>4175</v>
      </c>
      <c r="K6005" s="29"/>
      <c r="L6005" s="29" t="s">
        <v>810</v>
      </c>
      <c r="M6005" s="29" t="s">
        <v>12222</v>
      </c>
      <c r="N6005" s="29" t="s">
        <v>12223</v>
      </c>
      <c r="O6005" s="29"/>
      <c r="P6005" s="29" t="s">
        <v>12224</v>
      </c>
      <c r="Q6005" t="s">
        <v>2040</v>
      </c>
      <c r="R6005" t="s">
        <v>2632</v>
      </c>
      <c r="S6005">
        <v>37</v>
      </c>
      <c r="T6005" s="43" t="str">
        <f t="shared" ref="T6005:T6014" si="279">HYPERLINK("https://ictv.global/ictv/proposals/2021.001S.R.Hepeviridae.zip","2021.001S.R.Hepeviridae.zip")</f>
        <v>2021.001S.R.Hepeviridae.zip</v>
      </c>
      <c r="U6005" s="43" t="str">
        <f>HYPERLINK("https://ictv.global/taxonomy/taxondetails?taxnode_id=202213887","ictv.global=202213887")</f>
        <v>ictv.global=202213887</v>
      </c>
    </row>
    <row r="6006" spans="1:21">
      <c r="A6006">
        <v>6005</v>
      </c>
      <c r="B6006" s="29" t="s">
        <v>3223</v>
      </c>
      <c r="C6006" s="29"/>
      <c r="D6006" s="29" t="s">
        <v>4156</v>
      </c>
      <c r="E6006" s="29"/>
      <c r="F6006" s="29" t="s">
        <v>4173</v>
      </c>
      <c r="G6006" s="29"/>
      <c r="H6006" s="29" t="s">
        <v>4174</v>
      </c>
      <c r="I6006" s="29"/>
      <c r="J6006" s="29" t="s">
        <v>4175</v>
      </c>
      <c r="K6006" s="29"/>
      <c r="L6006" s="29" t="s">
        <v>810</v>
      </c>
      <c r="M6006" s="29" t="s">
        <v>12222</v>
      </c>
      <c r="N6006" s="29" t="s">
        <v>12223</v>
      </c>
      <c r="O6006" s="29"/>
      <c r="P6006" s="29" t="s">
        <v>12225</v>
      </c>
      <c r="Q6006" t="s">
        <v>2040</v>
      </c>
      <c r="R6006" t="s">
        <v>2633</v>
      </c>
      <c r="S6006">
        <v>37</v>
      </c>
      <c r="T6006" s="43" t="str">
        <f t="shared" si="279"/>
        <v>2021.001S.R.Hepeviridae.zip</v>
      </c>
      <c r="U6006" s="43" t="str">
        <f>HYPERLINK("https://ictv.global/taxonomy/taxondetails?taxnode_id=202203666","ictv.global=202203666")</f>
        <v>ictv.global=202203666</v>
      </c>
    </row>
    <row r="6007" spans="1:21">
      <c r="A6007">
        <v>6006</v>
      </c>
      <c r="B6007" s="29" t="s">
        <v>3223</v>
      </c>
      <c r="C6007" s="29"/>
      <c r="D6007" s="29" t="s">
        <v>4156</v>
      </c>
      <c r="E6007" s="29"/>
      <c r="F6007" s="29" t="s">
        <v>4173</v>
      </c>
      <c r="G6007" s="29"/>
      <c r="H6007" s="29" t="s">
        <v>4174</v>
      </c>
      <c r="I6007" s="29"/>
      <c r="J6007" s="29" t="s">
        <v>4175</v>
      </c>
      <c r="K6007" s="29"/>
      <c r="L6007" s="29" t="s">
        <v>810</v>
      </c>
      <c r="M6007" s="29" t="s">
        <v>12222</v>
      </c>
      <c r="N6007" s="29" t="s">
        <v>12226</v>
      </c>
      <c r="O6007" s="29"/>
      <c r="P6007" s="29" t="s">
        <v>12227</v>
      </c>
      <c r="Q6007" t="s">
        <v>2040</v>
      </c>
      <c r="R6007" t="s">
        <v>2632</v>
      </c>
      <c r="S6007">
        <v>37</v>
      </c>
      <c r="T6007" s="43" t="str">
        <f t="shared" si="279"/>
        <v>2021.001S.R.Hepeviridae.zip</v>
      </c>
      <c r="U6007" s="43" t="str">
        <f>HYPERLINK("https://ictv.global/taxonomy/taxondetails?taxnode_id=202213892","ictv.global=202213892")</f>
        <v>ictv.global=202213892</v>
      </c>
    </row>
    <row r="6008" spans="1:21">
      <c r="A6008">
        <v>6007</v>
      </c>
      <c r="B6008" s="29" t="s">
        <v>3223</v>
      </c>
      <c r="C6008" s="29"/>
      <c r="D6008" s="29" t="s">
        <v>4156</v>
      </c>
      <c r="E6008" s="29"/>
      <c r="F6008" s="29" t="s">
        <v>4173</v>
      </c>
      <c r="G6008" s="29"/>
      <c r="H6008" s="29" t="s">
        <v>4174</v>
      </c>
      <c r="I6008" s="29"/>
      <c r="J6008" s="29" t="s">
        <v>4175</v>
      </c>
      <c r="K6008" s="29"/>
      <c r="L6008" s="29" t="s">
        <v>810</v>
      </c>
      <c r="M6008" s="29" t="s">
        <v>12222</v>
      </c>
      <c r="N6008" s="29" t="s">
        <v>12226</v>
      </c>
      <c r="O6008" s="29"/>
      <c r="P6008" s="29" t="s">
        <v>12228</v>
      </c>
      <c r="Q6008" t="s">
        <v>2040</v>
      </c>
      <c r="R6008" t="s">
        <v>2633</v>
      </c>
      <c r="S6008">
        <v>37</v>
      </c>
      <c r="T6008" s="43" t="str">
        <f t="shared" si="279"/>
        <v>2021.001S.R.Hepeviridae.zip</v>
      </c>
      <c r="U6008" s="43" t="str">
        <f>HYPERLINK("https://ictv.global/taxonomy/taxondetails?taxnode_id=202203668","ictv.global=202203668")</f>
        <v>ictv.global=202203668</v>
      </c>
    </row>
    <row r="6009" spans="1:21">
      <c r="A6009">
        <v>6008</v>
      </c>
      <c r="B6009" s="29" t="s">
        <v>3223</v>
      </c>
      <c r="C6009" s="29"/>
      <c r="D6009" s="29" t="s">
        <v>4156</v>
      </c>
      <c r="E6009" s="29"/>
      <c r="F6009" s="29" t="s">
        <v>4173</v>
      </c>
      <c r="G6009" s="29"/>
      <c r="H6009" s="29" t="s">
        <v>4174</v>
      </c>
      <c r="I6009" s="29"/>
      <c r="J6009" s="29" t="s">
        <v>4175</v>
      </c>
      <c r="K6009" s="29"/>
      <c r="L6009" s="29" t="s">
        <v>810</v>
      </c>
      <c r="M6009" s="29" t="s">
        <v>12222</v>
      </c>
      <c r="N6009" s="29" t="s">
        <v>12226</v>
      </c>
      <c r="O6009" s="29"/>
      <c r="P6009" s="29" t="s">
        <v>12229</v>
      </c>
      <c r="Q6009" t="s">
        <v>2040</v>
      </c>
      <c r="R6009" t="s">
        <v>2632</v>
      </c>
      <c r="S6009">
        <v>37</v>
      </c>
      <c r="T6009" s="43" t="str">
        <f t="shared" si="279"/>
        <v>2021.001S.R.Hepeviridae.zip</v>
      </c>
      <c r="U6009" s="43" t="str">
        <f>HYPERLINK("https://ictv.global/taxonomy/taxondetails?taxnode_id=202213891","ictv.global=202213891")</f>
        <v>ictv.global=202213891</v>
      </c>
    </row>
    <row r="6010" spans="1:21">
      <c r="A6010">
        <v>6009</v>
      </c>
      <c r="B6010" s="29" t="s">
        <v>3223</v>
      </c>
      <c r="C6010" s="29"/>
      <c r="D6010" s="29" t="s">
        <v>4156</v>
      </c>
      <c r="E6010" s="29"/>
      <c r="F6010" s="29" t="s">
        <v>4173</v>
      </c>
      <c r="G6010" s="29"/>
      <c r="H6010" s="29" t="s">
        <v>4174</v>
      </c>
      <c r="I6010" s="29"/>
      <c r="J6010" s="29" t="s">
        <v>4175</v>
      </c>
      <c r="K6010" s="29"/>
      <c r="L6010" s="29" t="s">
        <v>810</v>
      </c>
      <c r="M6010" s="29" t="s">
        <v>12222</v>
      </c>
      <c r="N6010" s="29" t="s">
        <v>12230</v>
      </c>
      <c r="O6010" s="29"/>
      <c r="P6010" s="29" t="s">
        <v>12231</v>
      </c>
      <c r="Q6010" t="s">
        <v>2040</v>
      </c>
      <c r="R6010" t="s">
        <v>2632</v>
      </c>
      <c r="S6010">
        <v>37</v>
      </c>
      <c r="T6010" s="43" t="str">
        <f t="shared" si="279"/>
        <v>2021.001S.R.Hepeviridae.zip</v>
      </c>
      <c r="U6010" s="43" t="str">
        <f>HYPERLINK("https://ictv.global/taxonomy/taxondetails?taxnode_id=202213885","ictv.global=202213885")</f>
        <v>ictv.global=202213885</v>
      </c>
    </row>
    <row r="6011" spans="1:21">
      <c r="A6011">
        <v>6010</v>
      </c>
      <c r="B6011" s="29" t="s">
        <v>3223</v>
      </c>
      <c r="C6011" s="29"/>
      <c r="D6011" s="29" t="s">
        <v>4156</v>
      </c>
      <c r="E6011" s="29"/>
      <c r="F6011" s="29" t="s">
        <v>4173</v>
      </c>
      <c r="G6011" s="29"/>
      <c r="H6011" s="29" t="s">
        <v>4174</v>
      </c>
      <c r="I6011" s="29"/>
      <c r="J6011" s="29" t="s">
        <v>4175</v>
      </c>
      <c r="K6011" s="29"/>
      <c r="L6011" s="29" t="s">
        <v>810</v>
      </c>
      <c r="M6011" s="29" t="s">
        <v>12222</v>
      </c>
      <c r="N6011" s="29" t="s">
        <v>12230</v>
      </c>
      <c r="O6011" s="29"/>
      <c r="P6011" s="29" t="s">
        <v>12232</v>
      </c>
      <c r="Q6011" t="s">
        <v>2040</v>
      </c>
      <c r="R6011" t="s">
        <v>2633</v>
      </c>
      <c r="S6011">
        <v>37</v>
      </c>
      <c r="T6011" s="43" t="str">
        <f t="shared" si="279"/>
        <v>2021.001S.R.Hepeviridae.zip</v>
      </c>
      <c r="U6011" s="43" t="str">
        <f>HYPERLINK("https://ictv.global/taxonomy/taxondetails?taxnode_id=202203665","ictv.global=202203665")</f>
        <v>ictv.global=202203665</v>
      </c>
    </row>
    <row r="6012" spans="1:21">
      <c r="A6012">
        <v>6011</v>
      </c>
      <c r="B6012" s="29" t="s">
        <v>3223</v>
      </c>
      <c r="C6012" s="29"/>
      <c r="D6012" s="29" t="s">
        <v>4156</v>
      </c>
      <c r="E6012" s="29"/>
      <c r="F6012" s="29" t="s">
        <v>4173</v>
      </c>
      <c r="G6012" s="29"/>
      <c r="H6012" s="29" t="s">
        <v>4174</v>
      </c>
      <c r="I6012" s="29"/>
      <c r="J6012" s="29" t="s">
        <v>4175</v>
      </c>
      <c r="K6012" s="29"/>
      <c r="L6012" s="29" t="s">
        <v>810</v>
      </c>
      <c r="M6012" s="29" t="s">
        <v>12222</v>
      </c>
      <c r="N6012" s="29" t="s">
        <v>12233</v>
      </c>
      <c r="O6012" s="29"/>
      <c r="P6012" s="29" t="s">
        <v>12234</v>
      </c>
      <c r="Q6012" t="s">
        <v>2040</v>
      </c>
      <c r="R6012" t="s">
        <v>2632</v>
      </c>
      <c r="S6012">
        <v>37</v>
      </c>
      <c r="T6012" s="43" t="str">
        <f t="shared" si="279"/>
        <v>2021.001S.R.Hepeviridae.zip</v>
      </c>
      <c r="U6012" s="43" t="str">
        <f>HYPERLINK("https://ictv.global/taxonomy/taxondetails?taxnode_id=202213889","ictv.global=202213889")</f>
        <v>ictv.global=202213889</v>
      </c>
    </row>
    <row r="6013" spans="1:21">
      <c r="A6013">
        <v>6012</v>
      </c>
      <c r="B6013" s="29" t="s">
        <v>3223</v>
      </c>
      <c r="C6013" s="29"/>
      <c r="D6013" s="29" t="s">
        <v>4156</v>
      </c>
      <c r="E6013" s="29"/>
      <c r="F6013" s="29" t="s">
        <v>4173</v>
      </c>
      <c r="G6013" s="29"/>
      <c r="H6013" s="29" t="s">
        <v>4174</v>
      </c>
      <c r="I6013" s="29"/>
      <c r="J6013" s="29" t="s">
        <v>4175</v>
      </c>
      <c r="K6013" s="29"/>
      <c r="L6013" s="29" t="s">
        <v>810</v>
      </c>
      <c r="M6013" s="29" t="s">
        <v>12222</v>
      </c>
      <c r="N6013" s="29" t="s">
        <v>12233</v>
      </c>
      <c r="O6013" s="29"/>
      <c r="P6013" s="29" t="s">
        <v>12235</v>
      </c>
      <c r="Q6013" t="s">
        <v>2040</v>
      </c>
      <c r="R6013" t="s">
        <v>2633</v>
      </c>
      <c r="S6013">
        <v>37</v>
      </c>
      <c r="T6013" s="43" t="str">
        <f t="shared" si="279"/>
        <v>2021.001S.R.Hepeviridae.zip</v>
      </c>
      <c r="U6013" s="43" t="str">
        <f>HYPERLINK("https://ictv.global/taxonomy/taxondetails?taxnode_id=202203667","ictv.global=202203667")</f>
        <v>ictv.global=202203667</v>
      </c>
    </row>
    <row r="6014" spans="1:21">
      <c r="A6014">
        <v>6013</v>
      </c>
      <c r="B6014" s="29" t="s">
        <v>3223</v>
      </c>
      <c r="C6014" s="29"/>
      <c r="D6014" s="29" t="s">
        <v>4156</v>
      </c>
      <c r="E6014" s="29"/>
      <c r="F6014" s="29" t="s">
        <v>4173</v>
      </c>
      <c r="G6014" s="29"/>
      <c r="H6014" s="29" t="s">
        <v>4174</v>
      </c>
      <c r="I6014" s="29"/>
      <c r="J6014" s="29" t="s">
        <v>4175</v>
      </c>
      <c r="K6014" s="29"/>
      <c r="L6014" s="29" t="s">
        <v>810</v>
      </c>
      <c r="M6014" s="29" t="s">
        <v>12236</v>
      </c>
      <c r="N6014" s="29" t="s">
        <v>1991</v>
      </c>
      <c r="O6014" s="29"/>
      <c r="P6014" s="29" t="s">
        <v>12237</v>
      </c>
      <c r="Q6014" t="s">
        <v>2040</v>
      </c>
      <c r="R6014" t="s">
        <v>2633</v>
      </c>
      <c r="S6014">
        <v>37</v>
      </c>
      <c r="T6014" s="43" t="str">
        <f t="shared" si="279"/>
        <v>2021.001S.R.Hepeviridae.zip</v>
      </c>
      <c r="U6014" s="43" t="str">
        <f>HYPERLINK("https://ictv.global/taxonomy/taxondetails?taxnode_id=202203670","ictv.global=202203670")</f>
        <v>ictv.global=202203670</v>
      </c>
    </row>
    <row r="6015" spans="1:21">
      <c r="A6015">
        <v>6014</v>
      </c>
      <c r="B6015" s="29" t="s">
        <v>3223</v>
      </c>
      <c r="C6015" s="29"/>
      <c r="D6015" s="29" t="s">
        <v>4156</v>
      </c>
      <c r="E6015" s="29"/>
      <c r="F6015" s="29" t="s">
        <v>4173</v>
      </c>
      <c r="G6015" s="29"/>
      <c r="H6015" s="29" t="s">
        <v>4174</v>
      </c>
      <c r="I6015" s="29"/>
      <c r="J6015" s="29" t="s">
        <v>4175</v>
      </c>
      <c r="K6015" s="29"/>
      <c r="L6015" s="29" t="s">
        <v>3350</v>
      </c>
      <c r="M6015" s="29"/>
      <c r="N6015" s="29" t="s">
        <v>1326</v>
      </c>
      <c r="O6015" s="29"/>
      <c r="P6015" s="29" t="s">
        <v>5187</v>
      </c>
      <c r="Q6015" t="s">
        <v>2040</v>
      </c>
      <c r="R6015" t="s">
        <v>6902</v>
      </c>
      <c r="S6015">
        <v>36</v>
      </c>
      <c r="T6015" s="43" t="str">
        <f>HYPERLINK("https://ictv.global/ictv/proposals/2020.011S.R.Rubivirus_nspp.zip","2020.011S.R.Rubivirus_nspp.zip;2020.001G.R.Abolish_type_species.pdf")</f>
        <v>2020.011S.R.Rubivirus_nspp.zip;2020.001G.R.Abolish_type_species.pdf</v>
      </c>
      <c r="U6015" s="43" t="str">
        <f>HYPERLINK("https://ictv.global/taxonomy/taxondetails?taxnode_id=202205115","ictv.global=202205115")</f>
        <v>ictv.global=202205115</v>
      </c>
    </row>
    <row r="6016" spans="1:21">
      <c r="A6016">
        <v>6015</v>
      </c>
      <c r="B6016" s="29" t="s">
        <v>3223</v>
      </c>
      <c r="C6016" s="29"/>
      <c r="D6016" s="29" t="s">
        <v>4156</v>
      </c>
      <c r="E6016" s="29"/>
      <c r="F6016" s="29" t="s">
        <v>4173</v>
      </c>
      <c r="G6016" s="29"/>
      <c r="H6016" s="29" t="s">
        <v>4174</v>
      </c>
      <c r="I6016" s="29"/>
      <c r="J6016" s="29" t="s">
        <v>4175</v>
      </c>
      <c r="K6016" s="29"/>
      <c r="L6016" s="29" t="s">
        <v>3350</v>
      </c>
      <c r="M6016" s="29"/>
      <c r="N6016" s="29" t="s">
        <v>1326</v>
      </c>
      <c r="O6016" s="29"/>
      <c r="P6016" s="29" t="s">
        <v>5188</v>
      </c>
      <c r="Q6016" t="s">
        <v>2040</v>
      </c>
      <c r="R6016" t="s">
        <v>2632</v>
      </c>
      <c r="S6016">
        <v>36</v>
      </c>
      <c r="T6016" s="43" t="str">
        <f>HYPERLINK("https://ictv.global/ictv/proposals/2020.011S.R.Rubivirus_nspp.zip","2020.011S.R.Rubivirus_nspp.zip")</f>
        <v>2020.011S.R.Rubivirus_nspp.zip</v>
      </c>
      <c r="U6016" s="43" t="str">
        <f>HYPERLINK("https://ictv.global/taxonomy/taxondetails?taxnode_id=202209288","ictv.global=202209288")</f>
        <v>ictv.global=202209288</v>
      </c>
    </row>
    <row r="6017" spans="1:21">
      <c r="A6017">
        <v>6016</v>
      </c>
      <c r="B6017" s="29" t="s">
        <v>3223</v>
      </c>
      <c r="C6017" s="29"/>
      <c r="D6017" s="29" t="s">
        <v>4156</v>
      </c>
      <c r="E6017" s="29"/>
      <c r="F6017" s="29" t="s">
        <v>4173</v>
      </c>
      <c r="G6017" s="29"/>
      <c r="H6017" s="29" t="s">
        <v>4174</v>
      </c>
      <c r="I6017" s="29"/>
      <c r="J6017" s="29" t="s">
        <v>4175</v>
      </c>
      <c r="K6017" s="29"/>
      <c r="L6017" s="29" t="s">
        <v>3350</v>
      </c>
      <c r="M6017" s="29"/>
      <c r="N6017" s="29" t="s">
        <v>1326</v>
      </c>
      <c r="O6017" s="29"/>
      <c r="P6017" s="29" t="s">
        <v>5189</v>
      </c>
      <c r="Q6017" t="s">
        <v>2040</v>
      </c>
      <c r="R6017" t="s">
        <v>2632</v>
      </c>
      <c r="S6017">
        <v>36</v>
      </c>
      <c r="T6017" s="43" t="str">
        <f>HYPERLINK("https://ictv.global/ictv/proposals/2020.011S.R.Rubivirus_nspp.zip","2020.011S.R.Rubivirus_nspp.zip")</f>
        <v>2020.011S.R.Rubivirus_nspp.zip</v>
      </c>
      <c r="U6017" s="43" t="str">
        <f>HYPERLINK("https://ictv.global/taxonomy/taxondetails?taxnode_id=202209289","ictv.global=202209289")</f>
        <v>ictv.global=202209289</v>
      </c>
    </row>
    <row r="6018" spans="1:21">
      <c r="A6018">
        <v>6017</v>
      </c>
      <c r="B6018" s="29" t="s">
        <v>3223</v>
      </c>
      <c r="C6018" s="29"/>
      <c r="D6018" s="29" t="s">
        <v>4156</v>
      </c>
      <c r="E6018" s="29"/>
      <c r="F6018" s="29" t="s">
        <v>4173</v>
      </c>
      <c r="G6018" s="29"/>
      <c r="H6018" s="29" t="s">
        <v>4174</v>
      </c>
      <c r="I6018" s="29"/>
      <c r="J6018" s="29" t="s">
        <v>4176</v>
      </c>
      <c r="K6018" s="29"/>
      <c r="L6018" s="29" t="s">
        <v>1305</v>
      </c>
      <c r="M6018" s="29"/>
      <c r="N6018" s="29" t="s">
        <v>574</v>
      </c>
      <c r="O6018" s="29"/>
      <c r="P6018" s="29" t="s">
        <v>575</v>
      </c>
      <c r="Q6018" t="s">
        <v>2040</v>
      </c>
      <c r="R6018" t="s">
        <v>6901</v>
      </c>
      <c r="S6018">
        <v>36</v>
      </c>
      <c r="T6018" s="43" t="str">
        <f>HYPERLINK("https://ictv.global/ictv/proposals/2020.001G.R.Abolish_type_species.pdf","2020.001G.R.Abolish_type_species.pdf")</f>
        <v>2020.001G.R.Abolish_type_species.pdf</v>
      </c>
      <c r="U6018" s="43" t="str">
        <f>HYPERLINK("https://ictv.global/taxonomy/taxondetails?taxnode_id=202202760","ictv.global=202202760")</f>
        <v>ictv.global=202202760</v>
      </c>
    </row>
    <row r="6019" spans="1:21">
      <c r="A6019">
        <v>6018</v>
      </c>
      <c r="B6019" s="29" t="s">
        <v>3223</v>
      </c>
      <c r="C6019" s="29"/>
      <c r="D6019" s="29" t="s">
        <v>4156</v>
      </c>
      <c r="E6019" s="29"/>
      <c r="F6019" s="29" t="s">
        <v>4173</v>
      </c>
      <c r="G6019" s="29"/>
      <c r="H6019" s="29" t="s">
        <v>4174</v>
      </c>
      <c r="I6019" s="29"/>
      <c r="J6019" s="29" t="s">
        <v>4176</v>
      </c>
      <c r="K6019" s="29"/>
      <c r="L6019" s="29" t="s">
        <v>1305</v>
      </c>
      <c r="M6019" s="29"/>
      <c r="N6019" s="29" t="s">
        <v>576</v>
      </c>
      <c r="O6019" s="29"/>
      <c r="P6019" s="29" t="s">
        <v>1786</v>
      </c>
      <c r="Q6019" t="s">
        <v>2040</v>
      </c>
      <c r="R6019" t="s">
        <v>2634</v>
      </c>
      <c r="S6019">
        <v>35</v>
      </c>
      <c r="T6019" s="43" t="str">
        <f>HYPERLINK("https://ictv.global/ictv/proposals/2019.006G.zip","2019.006G.zip")</f>
        <v>2019.006G.zip</v>
      </c>
      <c r="U6019" s="43" t="str">
        <f>HYPERLINK("https://ictv.global/taxonomy/taxondetails?taxnode_id=202202762","ictv.global=202202762")</f>
        <v>ictv.global=202202762</v>
      </c>
    </row>
    <row r="6020" spans="1:21">
      <c r="A6020">
        <v>6019</v>
      </c>
      <c r="B6020" s="29" t="s">
        <v>3223</v>
      </c>
      <c r="C6020" s="29"/>
      <c r="D6020" s="29" t="s">
        <v>4156</v>
      </c>
      <c r="E6020" s="29"/>
      <c r="F6020" s="29" t="s">
        <v>4173</v>
      </c>
      <c r="G6020" s="29"/>
      <c r="H6020" s="29" t="s">
        <v>4174</v>
      </c>
      <c r="I6020" s="29"/>
      <c r="J6020" s="29" t="s">
        <v>4176</v>
      </c>
      <c r="K6020" s="29"/>
      <c r="L6020" s="29" t="s">
        <v>1305</v>
      </c>
      <c r="M6020" s="29"/>
      <c r="N6020" s="29" t="s">
        <v>576</v>
      </c>
      <c r="O6020" s="29"/>
      <c r="P6020" s="29" t="s">
        <v>12238</v>
      </c>
      <c r="Q6020" t="s">
        <v>2040</v>
      </c>
      <c r="R6020" t="s">
        <v>2632</v>
      </c>
      <c r="S6020">
        <v>37</v>
      </c>
      <c r="T6020" s="43" t="str">
        <f>HYPERLINK("https://ictv.global/ictv/proposals/2021.004P.R.Anulavirus_1ns.zip","2021.004P.R.Anulavirus_1ns.zip")</f>
        <v>2021.004P.R.Anulavirus_1ns.zip</v>
      </c>
      <c r="U6020" s="43" t="str">
        <f>HYPERLINK("https://ictv.global/taxonomy/taxondetails?taxnode_id=202213833","ictv.global=202213833")</f>
        <v>ictv.global=202213833</v>
      </c>
    </row>
    <row r="6021" spans="1:21">
      <c r="A6021">
        <v>6020</v>
      </c>
      <c r="B6021" s="29" t="s">
        <v>3223</v>
      </c>
      <c r="C6021" s="29"/>
      <c r="D6021" s="29" t="s">
        <v>4156</v>
      </c>
      <c r="E6021" s="29"/>
      <c r="F6021" s="29" t="s">
        <v>4173</v>
      </c>
      <c r="G6021" s="29"/>
      <c r="H6021" s="29" t="s">
        <v>4174</v>
      </c>
      <c r="I6021" s="29"/>
      <c r="J6021" s="29" t="s">
        <v>4176</v>
      </c>
      <c r="K6021" s="29"/>
      <c r="L6021" s="29" t="s">
        <v>1305</v>
      </c>
      <c r="M6021" s="29"/>
      <c r="N6021" s="29" t="s">
        <v>576</v>
      </c>
      <c r="O6021" s="29"/>
      <c r="P6021" s="29" t="s">
        <v>577</v>
      </c>
      <c r="Q6021" t="s">
        <v>2040</v>
      </c>
      <c r="R6021" t="s">
        <v>6901</v>
      </c>
      <c r="S6021">
        <v>36</v>
      </c>
      <c r="T6021" s="43" t="str">
        <f>HYPERLINK("https://ictv.global/ictv/proposals/2020.001G.R.Abolish_type_species.pdf","2020.001G.R.Abolish_type_species.pdf")</f>
        <v>2020.001G.R.Abolish_type_species.pdf</v>
      </c>
      <c r="U6021" s="43" t="str">
        <f>HYPERLINK("https://ictv.global/taxonomy/taxondetails?taxnode_id=202202763","ictv.global=202202763")</f>
        <v>ictv.global=202202763</v>
      </c>
    </row>
    <row r="6022" spans="1:21">
      <c r="A6022">
        <v>6021</v>
      </c>
      <c r="B6022" s="29" t="s">
        <v>3223</v>
      </c>
      <c r="C6022" s="29"/>
      <c r="D6022" s="29" t="s">
        <v>4156</v>
      </c>
      <c r="E6022" s="29"/>
      <c r="F6022" s="29" t="s">
        <v>4173</v>
      </c>
      <c r="G6022" s="29"/>
      <c r="H6022" s="29" t="s">
        <v>4174</v>
      </c>
      <c r="I6022" s="29"/>
      <c r="J6022" s="29" t="s">
        <v>4176</v>
      </c>
      <c r="K6022" s="29"/>
      <c r="L6022" s="29" t="s">
        <v>1305</v>
      </c>
      <c r="M6022" s="29"/>
      <c r="N6022" s="29" t="s">
        <v>578</v>
      </c>
      <c r="O6022" s="29"/>
      <c r="P6022" s="29" t="s">
        <v>579</v>
      </c>
      <c r="Q6022" t="s">
        <v>2040</v>
      </c>
      <c r="R6022" t="s">
        <v>2634</v>
      </c>
      <c r="S6022">
        <v>35</v>
      </c>
      <c r="T6022" s="43" t="str">
        <f>HYPERLINK("https://ictv.global/ictv/proposals/2019.006G.zip","2019.006G.zip")</f>
        <v>2019.006G.zip</v>
      </c>
      <c r="U6022" s="43" t="str">
        <f>HYPERLINK("https://ictv.global/taxonomy/taxondetails?taxnode_id=202202765","ictv.global=202202765")</f>
        <v>ictv.global=202202765</v>
      </c>
    </row>
    <row r="6023" spans="1:21">
      <c r="A6023">
        <v>6022</v>
      </c>
      <c r="B6023" s="29" t="s">
        <v>3223</v>
      </c>
      <c r="C6023" s="29"/>
      <c r="D6023" s="29" t="s">
        <v>4156</v>
      </c>
      <c r="E6023" s="29"/>
      <c r="F6023" s="29" t="s">
        <v>4173</v>
      </c>
      <c r="G6023" s="29"/>
      <c r="H6023" s="29" t="s">
        <v>4174</v>
      </c>
      <c r="I6023" s="29"/>
      <c r="J6023" s="29" t="s">
        <v>4176</v>
      </c>
      <c r="K6023" s="29"/>
      <c r="L6023" s="29" t="s">
        <v>1305</v>
      </c>
      <c r="M6023" s="29"/>
      <c r="N6023" s="29" t="s">
        <v>578</v>
      </c>
      <c r="O6023" s="29"/>
      <c r="P6023" s="29" t="s">
        <v>580</v>
      </c>
      <c r="Q6023" t="s">
        <v>2040</v>
      </c>
      <c r="R6023" t="s">
        <v>6901</v>
      </c>
      <c r="S6023">
        <v>36</v>
      </c>
      <c r="T6023" s="43" t="str">
        <f>HYPERLINK("https://ictv.global/ictv/proposals/2020.001G.R.Abolish_type_species.pdf","2020.001G.R.Abolish_type_species.pdf")</f>
        <v>2020.001G.R.Abolish_type_species.pdf</v>
      </c>
      <c r="U6023" s="43" t="str">
        <f>HYPERLINK("https://ictv.global/taxonomy/taxondetails?taxnode_id=202202766","ictv.global=202202766")</f>
        <v>ictv.global=202202766</v>
      </c>
    </row>
    <row r="6024" spans="1:21">
      <c r="A6024">
        <v>6023</v>
      </c>
      <c r="B6024" s="29" t="s">
        <v>3223</v>
      </c>
      <c r="C6024" s="29"/>
      <c r="D6024" s="29" t="s">
        <v>4156</v>
      </c>
      <c r="E6024" s="29"/>
      <c r="F6024" s="29" t="s">
        <v>4173</v>
      </c>
      <c r="G6024" s="29"/>
      <c r="H6024" s="29" t="s">
        <v>4174</v>
      </c>
      <c r="I6024" s="29"/>
      <c r="J6024" s="29" t="s">
        <v>4176</v>
      </c>
      <c r="K6024" s="29"/>
      <c r="L6024" s="29" t="s">
        <v>1305</v>
      </c>
      <c r="M6024" s="29"/>
      <c r="N6024" s="29" t="s">
        <v>578</v>
      </c>
      <c r="O6024" s="29"/>
      <c r="P6024" s="29" t="s">
        <v>12239</v>
      </c>
      <c r="Q6024" t="s">
        <v>2040</v>
      </c>
      <c r="R6024" t="s">
        <v>2632</v>
      </c>
      <c r="S6024">
        <v>37</v>
      </c>
      <c r="T6024" s="43" t="str">
        <f>HYPERLINK("https://ictv.global/ictv/proposals/2021.005P.R.Bromovirus_1ns.zip","2021.005P.R.Bromovirus_1ns.zip")</f>
        <v>2021.005P.R.Bromovirus_1ns.zip</v>
      </c>
      <c r="U6024" s="43" t="str">
        <f>HYPERLINK("https://ictv.global/taxonomy/taxondetails?taxnode_id=202213834","ictv.global=202213834")</f>
        <v>ictv.global=202213834</v>
      </c>
    </row>
    <row r="6025" spans="1:21">
      <c r="A6025">
        <v>6024</v>
      </c>
      <c r="B6025" s="29" t="s">
        <v>3223</v>
      </c>
      <c r="C6025" s="29"/>
      <c r="D6025" s="29" t="s">
        <v>4156</v>
      </c>
      <c r="E6025" s="29"/>
      <c r="F6025" s="29" t="s">
        <v>4173</v>
      </c>
      <c r="G6025" s="29"/>
      <c r="H6025" s="29" t="s">
        <v>4174</v>
      </c>
      <c r="I6025" s="29"/>
      <c r="J6025" s="29" t="s">
        <v>4176</v>
      </c>
      <c r="K6025" s="29"/>
      <c r="L6025" s="29" t="s">
        <v>1305</v>
      </c>
      <c r="M6025" s="29"/>
      <c r="N6025" s="29" t="s">
        <v>578</v>
      </c>
      <c r="O6025" s="29"/>
      <c r="P6025" s="29" t="s">
        <v>581</v>
      </c>
      <c r="Q6025" t="s">
        <v>2040</v>
      </c>
      <c r="R6025" t="s">
        <v>2634</v>
      </c>
      <c r="S6025">
        <v>35</v>
      </c>
      <c r="T6025" s="43" t="str">
        <f>HYPERLINK("https://ictv.global/ictv/proposals/2019.006G.zip","2019.006G.zip")</f>
        <v>2019.006G.zip</v>
      </c>
      <c r="U6025" s="43" t="str">
        <f>HYPERLINK("https://ictv.global/taxonomy/taxondetails?taxnode_id=202202767","ictv.global=202202767")</f>
        <v>ictv.global=202202767</v>
      </c>
    </row>
    <row r="6026" spans="1:21">
      <c r="A6026">
        <v>6025</v>
      </c>
      <c r="B6026" s="29" t="s">
        <v>3223</v>
      </c>
      <c r="C6026" s="29"/>
      <c r="D6026" s="29" t="s">
        <v>4156</v>
      </c>
      <c r="E6026" s="29"/>
      <c r="F6026" s="29" t="s">
        <v>4173</v>
      </c>
      <c r="G6026" s="29"/>
      <c r="H6026" s="29" t="s">
        <v>4174</v>
      </c>
      <c r="I6026" s="29"/>
      <c r="J6026" s="29" t="s">
        <v>4176</v>
      </c>
      <c r="K6026" s="29"/>
      <c r="L6026" s="29" t="s">
        <v>1305</v>
      </c>
      <c r="M6026" s="29"/>
      <c r="N6026" s="29" t="s">
        <v>578</v>
      </c>
      <c r="O6026" s="29"/>
      <c r="P6026" s="29" t="s">
        <v>1308</v>
      </c>
      <c r="Q6026" t="s">
        <v>2040</v>
      </c>
      <c r="R6026" t="s">
        <v>2634</v>
      </c>
      <c r="S6026">
        <v>35</v>
      </c>
      <c r="T6026" s="43" t="str">
        <f>HYPERLINK("https://ictv.global/ictv/proposals/2019.006G.zip","2019.006G.zip")</f>
        <v>2019.006G.zip</v>
      </c>
      <c r="U6026" s="43" t="str">
        <f>HYPERLINK("https://ictv.global/taxonomy/taxondetails?taxnode_id=202202768","ictv.global=202202768")</f>
        <v>ictv.global=202202768</v>
      </c>
    </row>
    <row r="6027" spans="1:21">
      <c r="A6027">
        <v>6026</v>
      </c>
      <c r="B6027" s="29" t="s">
        <v>3223</v>
      </c>
      <c r="C6027" s="29"/>
      <c r="D6027" s="29" t="s">
        <v>4156</v>
      </c>
      <c r="E6027" s="29"/>
      <c r="F6027" s="29" t="s">
        <v>4173</v>
      </c>
      <c r="G6027" s="29"/>
      <c r="H6027" s="29" t="s">
        <v>4174</v>
      </c>
      <c r="I6027" s="29"/>
      <c r="J6027" s="29" t="s">
        <v>4176</v>
      </c>
      <c r="K6027" s="29"/>
      <c r="L6027" s="29" t="s">
        <v>1305</v>
      </c>
      <c r="M6027" s="29"/>
      <c r="N6027" s="29" t="s">
        <v>578</v>
      </c>
      <c r="O6027" s="29"/>
      <c r="P6027" s="29" t="s">
        <v>1309</v>
      </c>
      <c r="Q6027" t="s">
        <v>2040</v>
      </c>
      <c r="R6027" t="s">
        <v>2634</v>
      </c>
      <c r="S6027">
        <v>35</v>
      </c>
      <c r="T6027" s="43" t="str">
        <f>HYPERLINK("https://ictv.global/ictv/proposals/2019.006G.zip","2019.006G.zip")</f>
        <v>2019.006G.zip</v>
      </c>
      <c r="U6027" s="43" t="str">
        <f>HYPERLINK("https://ictv.global/taxonomy/taxondetails?taxnode_id=202202769","ictv.global=202202769")</f>
        <v>ictv.global=202202769</v>
      </c>
    </row>
    <row r="6028" spans="1:21">
      <c r="A6028">
        <v>6027</v>
      </c>
      <c r="B6028" s="29" t="s">
        <v>3223</v>
      </c>
      <c r="C6028" s="29"/>
      <c r="D6028" s="29" t="s">
        <v>4156</v>
      </c>
      <c r="E6028" s="29"/>
      <c r="F6028" s="29" t="s">
        <v>4173</v>
      </c>
      <c r="G6028" s="29"/>
      <c r="H6028" s="29" t="s">
        <v>4174</v>
      </c>
      <c r="I6028" s="29"/>
      <c r="J6028" s="29" t="s">
        <v>4176</v>
      </c>
      <c r="K6028" s="29"/>
      <c r="L6028" s="29" t="s">
        <v>1305</v>
      </c>
      <c r="M6028" s="29"/>
      <c r="N6028" s="29" t="s">
        <v>578</v>
      </c>
      <c r="O6028" s="29"/>
      <c r="P6028" s="29" t="s">
        <v>518</v>
      </c>
      <c r="Q6028" t="s">
        <v>2040</v>
      </c>
      <c r="R6028" t="s">
        <v>2634</v>
      </c>
      <c r="S6028">
        <v>35</v>
      </c>
      <c r="T6028" s="43" t="str">
        <f>HYPERLINK("https://ictv.global/ictv/proposals/2019.006G.zip","2019.006G.zip")</f>
        <v>2019.006G.zip</v>
      </c>
      <c r="U6028" s="43" t="str">
        <f>HYPERLINK("https://ictv.global/taxonomy/taxondetails?taxnode_id=202202770","ictv.global=202202770")</f>
        <v>ictv.global=202202770</v>
      </c>
    </row>
    <row r="6029" spans="1:21">
      <c r="A6029">
        <v>6028</v>
      </c>
      <c r="B6029" s="29" t="s">
        <v>3223</v>
      </c>
      <c r="C6029" s="29"/>
      <c r="D6029" s="29" t="s">
        <v>4156</v>
      </c>
      <c r="E6029" s="29"/>
      <c r="F6029" s="29" t="s">
        <v>4173</v>
      </c>
      <c r="G6029" s="29"/>
      <c r="H6029" s="29" t="s">
        <v>4174</v>
      </c>
      <c r="I6029" s="29"/>
      <c r="J6029" s="29" t="s">
        <v>4176</v>
      </c>
      <c r="K6029" s="29"/>
      <c r="L6029" s="29" t="s">
        <v>1305</v>
      </c>
      <c r="M6029" s="29"/>
      <c r="N6029" s="29" t="s">
        <v>519</v>
      </c>
      <c r="O6029" s="29"/>
      <c r="P6029" s="29" t="s">
        <v>520</v>
      </c>
      <c r="Q6029" t="s">
        <v>2040</v>
      </c>
      <c r="R6029" t="s">
        <v>6901</v>
      </c>
      <c r="S6029">
        <v>36</v>
      </c>
      <c r="T6029" s="43" t="str">
        <f>HYPERLINK("https://ictv.global/ictv/proposals/2020.001G.R.Abolish_type_species.pdf","2020.001G.R.Abolish_type_species.pdf")</f>
        <v>2020.001G.R.Abolish_type_species.pdf</v>
      </c>
      <c r="U6029" s="43" t="str">
        <f>HYPERLINK("https://ictv.global/taxonomy/taxondetails?taxnode_id=202202772","ictv.global=202202772")</f>
        <v>ictv.global=202202772</v>
      </c>
    </row>
    <row r="6030" spans="1:21">
      <c r="A6030">
        <v>6029</v>
      </c>
      <c r="B6030" s="29" t="s">
        <v>3223</v>
      </c>
      <c r="C6030" s="29"/>
      <c r="D6030" s="29" t="s">
        <v>4156</v>
      </c>
      <c r="E6030" s="29"/>
      <c r="F6030" s="29" t="s">
        <v>4173</v>
      </c>
      <c r="G6030" s="29"/>
      <c r="H6030" s="29" t="s">
        <v>4174</v>
      </c>
      <c r="I6030" s="29"/>
      <c r="J6030" s="29" t="s">
        <v>4176</v>
      </c>
      <c r="K6030" s="29"/>
      <c r="L6030" s="29" t="s">
        <v>1305</v>
      </c>
      <c r="M6030" s="29"/>
      <c r="N6030" s="29" t="s">
        <v>519</v>
      </c>
      <c r="O6030" s="29"/>
      <c r="P6030" s="29" t="s">
        <v>42</v>
      </c>
      <c r="Q6030" t="s">
        <v>2040</v>
      </c>
      <c r="R6030" t="s">
        <v>2634</v>
      </c>
      <c r="S6030">
        <v>35</v>
      </c>
      <c r="T6030" s="43" t="str">
        <f t="shared" ref="T6030:T6051" si="280">HYPERLINK("https://ictv.global/ictv/proposals/2019.006G.zip","2019.006G.zip")</f>
        <v>2019.006G.zip</v>
      </c>
      <c r="U6030" s="43" t="str">
        <f>HYPERLINK("https://ictv.global/taxonomy/taxondetails?taxnode_id=202202773","ictv.global=202202773")</f>
        <v>ictv.global=202202773</v>
      </c>
    </row>
    <row r="6031" spans="1:21">
      <c r="A6031">
        <v>6030</v>
      </c>
      <c r="B6031" s="29" t="s">
        <v>3223</v>
      </c>
      <c r="C6031" s="29"/>
      <c r="D6031" s="29" t="s">
        <v>4156</v>
      </c>
      <c r="E6031" s="29"/>
      <c r="F6031" s="29" t="s">
        <v>4173</v>
      </c>
      <c r="G6031" s="29"/>
      <c r="H6031" s="29" t="s">
        <v>4174</v>
      </c>
      <c r="I6031" s="29"/>
      <c r="J6031" s="29" t="s">
        <v>4176</v>
      </c>
      <c r="K6031" s="29"/>
      <c r="L6031" s="29" t="s">
        <v>1305</v>
      </c>
      <c r="M6031" s="29"/>
      <c r="N6031" s="29" t="s">
        <v>519</v>
      </c>
      <c r="O6031" s="29"/>
      <c r="P6031" s="29" t="s">
        <v>1310</v>
      </c>
      <c r="Q6031" t="s">
        <v>2040</v>
      </c>
      <c r="R6031" t="s">
        <v>2634</v>
      </c>
      <c r="S6031">
        <v>35</v>
      </c>
      <c r="T6031" s="43" t="str">
        <f t="shared" si="280"/>
        <v>2019.006G.zip</v>
      </c>
      <c r="U6031" s="43" t="str">
        <f>HYPERLINK("https://ictv.global/taxonomy/taxondetails?taxnode_id=202202774","ictv.global=202202774")</f>
        <v>ictv.global=202202774</v>
      </c>
    </row>
    <row r="6032" spans="1:21">
      <c r="A6032">
        <v>6031</v>
      </c>
      <c r="B6032" s="29" t="s">
        <v>3223</v>
      </c>
      <c r="C6032" s="29"/>
      <c r="D6032" s="29" t="s">
        <v>4156</v>
      </c>
      <c r="E6032" s="29"/>
      <c r="F6032" s="29" t="s">
        <v>4173</v>
      </c>
      <c r="G6032" s="29"/>
      <c r="H6032" s="29" t="s">
        <v>4174</v>
      </c>
      <c r="I6032" s="29"/>
      <c r="J6032" s="29" t="s">
        <v>4176</v>
      </c>
      <c r="K6032" s="29"/>
      <c r="L6032" s="29" t="s">
        <v>1305</v>
      </c>
      <c r="M6032" s="29"/>
      <c r="N6032" s="29" t="s">
        <v>519</v>
      </c>
      <c r="O6032" s="29"/>
      <c r="P6032" s="29" t="s">
        <v>1311</v>
      </c>
      <c r="Q6032" t="s">
        <v>2040</v>
      </c>
      <c r="R6032" t="s">
        <v>2634</v>
      </c>
      <c r="S6032">
        <v>35</v>
      </c>
      <c r="T6032" s="43" t="str">
        <f t="shared" si="280"/>
        <v>2019.006G.zip</v>
      </c>
      <c r="U6032" s="43" t="str">
        <f>HYPERLINK("https://ictv.global/taxonomy/taxondetails?taxnode_id=202202775","ictv.global=202202775")</f>
        <v>ictv.global=202202775</v>
      </c>
    </row>
    <row r="6033" spans="1:21">
      <c r="A6033">
        <v>6032</v>
      </c>
      <c r="B6033" s="29" t="s">
        <v>3223</v>
      </c>
      <c r="C6033" s="29"/>
      <c r="D6033" s="29" t="s">
        <v>4156</v>
      </c>
      <c r="E6033" s="29"/>
      <c r="F6033" s="29" t="s">
        <v>4173</v>
      </c>
      <c r="G6033" s="29"/>
      <c r="H6033" s="29" t="s">
        <v>4174</v>
      </c>
      <c r="I6033" s="29"/>
      <c r="J6033" s="29" t="s">
        <v>4176</v>
      </c>
      <c r="K6033" s="29"/>
      <c r="L6033" s="29" t="s">
        <v>1305</v>
      </c>
      <c r="M6033" s="29"/>
      <c r="N6033" s="29" t="s">
        <v>1312</v>
      </c>
      <c r="O6033" s="29"/>
      <c r="P6033" s="29" t="s">
        <v>2835</v>
      </c>
      <c r="Q6033" t="s">
        <v>2040</v>
      </c>
      <c r="R6033" t="s">
        <v>2634</v>
      </c>
      <c r="S6033">
        <v>35</v>
      </c>
      <c r="T6033" s="43" t="str">
        <f t="shared" si="280"/>
        <v>2019.006G.zip</v>
      </c>
      <c r="U6033" s="43" t="str">
        <f>HYPERLINK("https://ictv.global/taxonomy/taxondetails?taxnode_id=202205758","ictv.global=202205758")</f>
        <v>ictv.global=202205758</v>
      </c>
    </row>
    <row r="6034" spans="1:21">
      <c r="A6034">
        <v>6033</v>
      </c>
      <c r="B6034" s="29" t="s">
        <v>3223</v>
      </c>
      <c r="C6034" s="29"/>
      <c r="D6034" s="29" t="s">
        <v>4156</v>
      </c>
      <c r="E6034" s="29"/>
      <c r="F6034" s="29" t="s">
        <v>4173</v>
      </c>
      <c r="G6034" s="29"/>
      <c r="H6034" s="29" t="s">
        <v>4174</v>
      </c>
      <c r="I6034" s="29"/>
      <c r="J6034" s="29" t="s">
        <v>4176</v>
      </c>
      <c r="K6034" s="29"/>
      <c r="L6034" s="29" t="s">
        <v>1305</v>
      </c>
      <c r="M6034" s="29"/>
      <c r="N6034" s="29" t="s">
        <v>1312</v>
      </c>
      <c r="O6034" s="29"/>
      <c r="P6034" s="29" t="s">
        <v>1313</v>
      </c>
      <c r="Q6034" t="s">
        <v>2040</v>
      </c>
      <c r="R6034" t="s">
        <v>2634</v>
      </c>
      <c r="S6034">
        <v>35</v>
      </c>
      <c r="T6034" s="43" t="str">
        <f t="shared" si="280"/>
        <v>2019.006G.zip</v>
      </c>
      <c r="U6034" s="43" t="str">
        <f>HYPERLINK("https://ictv.global/taxonomy/taxondetails?taxnode_id=202202777","ictv.global=202202777")</f>
        <v>ictv.global=202202777</v>
      </c>
    </row>
    <row r="6035" spans="1:21">
      <c r="A6035">
        <v>6034</v>
      </c>
      <c r="B6035" s="29" t="s">
        <v>3223</v>
      </c>
      <c r="C6035" s="29"/>
      <c r="D6035" s="29" t="s">
        <v>4156</v>
      </c>
      <c r="E6035" s="29"/>
      <c r="F6035" s="29" t="s">
        <v>4173</v>
      </c>
      <c r="G6035" s="29"/>
      <c r="H6035" s="29" t="s">
        <v>4174</v>
      </c>
      <c r="I6035" s="29"/>
      <c r="J6035" s="29" t="s">
        <v>4176</v>
      </c>
      <c r="K6035" s="29"/>
      <c r="L6035" s="29" t="s">
        <v>1305</v>
      </c>
      <c r="M6035" s="29"/>
      <c r="N6035" s="29" t="s">
        <v>1312</v>
      </c>
      <c r="O6035" s="29"/>
      <c r="P6035" s="29" t="s">
        <v>1314</v>
      </c>
      <c r="Q6035" t="s">
        <v>2040</v>
      </c>
      <c r="R6035" t="s">
        <v>2634</v>
      </c>
      <c r="S6035">
        <v>35</v>
      </c>
      <c r="T6035" s="43" t="str">
        <f t="shared" si="280"/>
        <v>2019.006G.zip</v>
      </c>
      <c r="U6035" s="43" t="str">
        <f>HYPERLINK("https://ictv.global/taxonomy/taxondetails?taxnode_id=202202778","ictv.global=202202778")</f>
        <v>ictv.global=202202778</v>
      </c>
    </row>
    <row r="6036" spans="1:21">
      <c r="A6036">
        <v>6035</v>
      </c>
      <c r="B6036" s="29" t="s">
        <v>3223</v>
      </c>
      <c r="C6036" s="29"/>
      <c r="D6036" s="29" t="s">
        <v>4156</v>
      </c>
      <c r="E6036" s="29"/>
      <c r="F6036" s="29" t="s">
        <v>4173</v>
      </c>
      <c r="G6036" s="29"/>
      <c r="H6036" s="29" t="s">
        <v>4174</v>
      </c>
      <c r="I6036" s="29"/>
      <c r="J6036" s="29" t="s">
        <v>4176</v>
      </c>
      <c r="K6036" s="29"/>
      <c r="L6036" s="29" t="s">
        <v>1305</v>
      </c>
      <c r="M6036" s="29"/>
      <c r="N6036" s="29" t="s">
        <v>1312</v>
      </c>
      <c r="O6036" s="29"/>
      <c r="P6036" s="29" t="s">
        <v>1315</v>
      </c>
      <c r="Q6036" t="s">
        <v>2040</v>
      </c>
      <c r="R6036" t="s">
        <v>2634</v>
      </c>
      <c r="S6036">
        <v>35</v>
      </c>
      <c r="T6036" s="43" t="str">
        <f t="shared" si="280"/>
        <v>2019.006G.zip</v>
      </c>
      <c r="U6036" s="43" t="str">
        <f>HYPERLINK("https://ictv.global/taxonomy/taxondetails?taxnode_id=202202779","ictv.global=202202779")</f>
        <v>ictv.global=202202779</v>
      </c>
    </row>
    <row r="6037" spans="1:21">
      <c r="A6037">
        <v>6036</v>
      </c>
      <c r="B6037" s="29" t="s">
        <v>3223</v>
      </c>
      <c r="C6037" s="29"/>
      <c r="D6037" s="29" t="s">
        <v>4156</v>
      </c>
      <c r="E6037" s="29"/>
      <c r="F6037" s="29" t="s">
        <v>4173</v>
      </c>
      <c r="G6037" s="29"/>
      <c r="H6037" s="29" t="s">
        <v>4174</v>
      </c>
      <c r="I6037" s="29"/>
      <c r="J6037" s="29" t="s">
        <v>4176</v>
      </c>
      <c r="K6037" s="29"/>
      <c r="L6037" s="29" t="s">
        <v>1305</v>
      </c>
      <c r="M6037" s="29"/>
      <c r="N6037" s="29" t="s">
        <v>1312</v>
      </c>
      <c r="O6037" s="29"/>
      <c r="P6037" s="29" t="s">
        <v>43</v>
      </c>
      <c r="Q6037" t="s">
        <v>2040</v>
      </c>
      <c r="R6037" t="s">
        <v>2634</v>
      </c>
      <c r="S6037">
        <v>35</v>
      </c>
      <c r="T6037" s="43" t="str">
        <f t="shared" si="280"/>
        <v>2019.006G.zip</v>
      </c>
      <c r="U6037" s="43" t="str">
        <f>HYPERLINK("https://ictv.global/taxonomy/taxondetails?taxnode_id=202202780","ictv.global=202202780")</f>
        <v>ictv.global=202202780</v>
      </c>
    </row>
    <row r="6038" spans="1:21">
      <c r="A6038">
        <v>6037</v>
      </c>
      <c r="B6038" s="29" t="s">
        <v>3223</v>
      </c>
      <c r="C6038" s="29"/>
      <c r="D6038" s="29" t="s">
        <v>4156</v>
      </c>
      <c r="E6038" s="29"/>
      <c r="F6038" s="29" t="s">
        <v>4173</v>
      </c>
      <c r="G6038" s="29"/>
      <c r="H6038" s="29" t="s">
        <v>4174</v>
      </c>
      <c r="I6038" s="29"/>
      <c r="J6038" s="29" t="s">
        <v>4176</v>
      </c>
      <c r="K6038" s="29"/>
      <c r="L6038" s="29" t="s">
        <v>1305</v>
      </c>
      <c r="M6038" s="29"/>
      <c r="N6038" s="29" t="s">
        <v>1312</v>
      </c>
      <c r="O6038" s="29"/>
      <c r="P6038" s="29" t="s">
        <v>1316</v>
      </c>
      <c r="Q6038" t="s">
        <v>2040</v>
      </c>
      <c r="R6038" t="s">
        <v>2634</v>
      </c>
      <c r="S6038">
        <v>35</v>
      </c>
      <c r="T6038" s="43" t="str">
        <f t="shared" si="280"/>
        <v>2019.006G.zip</v>
      </c>
      <c r="U6038" s="43" t="str">
        <f>HYPERLINK("https://ictv.global/taxonomy/taxondetails?taxnode_id=202202781","ictv.global=202202781")</f>
        <v>ictv.global=202202781</v>
      </c>
    </row>
    <row r="6039" spans="1:21">
      <c r="A6039">
        <v>6038</v>
      </c>
      <c r="B6039" s="29" t="s">
        <v>3223</v>
      </c>
      <c r="C6039" s="29"/>
      <c r="D6039" s="29" t="s">
        <v>4156</v>
      </c>
      <c r="E6039" s="29"/>
      <c r="F6039" s="29" t="s">
        <v>4173</v>
      </c>
      <c r="G6039" s="29"/>
      <c r="H6039" s="29" t="s">
        <v>4174</v>
      </c>
      <c r="I6039" s="29"/>
      <c r="J6039" s="29" t="s">
        <v>4176</v>
      </c>
      <c r="K6039" s="29"/>
      <c r="L6039" s="29" t="s">
        <v>1305</v>
      </c>
      <c r="M6039" s="29"/>
      <c r="N6039" s="29" t="s">
        <v>1312</v>
      </c>
      <c r="O6039" s="29"/>
      <c r="P6039" s="29" t="s">
        <v>1317</v>
      </c>
      <c r="Q6039" t="s">
        <v>2040</v>
      </c>
      <c r="R6039" t="s">
        <v>2634</v>
      </c>
      <c r="S6039">
        <v>35</v>
      </c>
      <c r="T6039" s="43" t="str">
        <f t="shared" si="280"/>
        <v>2019.006G.zip</v>
      </c>
      <c r="U6039" s="43" t="str">
        <f>HYPERLINK("https://ictv.global/taxonomy/taxondetails?taxnode_id=202202782","ictv.global=202202782")</f>
        <v>ictv.global=202202782</v>
      </c>
    </row>
    <row r="6040" spans="1:21">
      <c r="A6040">
        <v>6039</v>
      </c>
      <c r="B6040" s="29" t="s">
        <v>3223</v>
      </c>
      <c r="C6040" s="29"/>
      <c r="D6040" s="29" t="s">
        <v>4156</v>
      </c>
      <c r="E6040" s="29"/>
      <c r="F6040" s="29" t="s">
        <v>4173</v>
      </c>
      <c r="G6040" s="29"/>
      <c r="H6040" s="29" t="s">
        <v>4174</v>
      </c>
      <c r="I6040" s="29"/>
      <c r="J6040" s="29" t="s">
        <v>4176</v>
      </c>
      <c r="K6040" s="29"/>
      <c r="L6040" s="29" t="s">
        <v>1305</v>
      </c>
      <c r="M6040" s="29"/>
      <c r="N6040" s="29" t="s">
        <v>1312</v>
      </c>
      <c r="O6040" s="29"/>
      <c r="P6040" s="29" t="s">
        <v>585</v>
      </c>
      <c r="Q6040" t="s">
        <v>2040</v>
      </c>
      <c r="R6040" t="s">
        <v>2634</v>
      </c>
      <c r="S6040">
        <v>35</v>
      </c>
      <c r="T6040" s="43" t="str">
        <f t="shared" si="280"/>
        <v>2019.006G.zip</v>
      </c>
      <c r="U6040" s="43" t="str">
        <f>HYPERLINK("https://ictv.global/taxonomy/taxondetails?taxnode_id=202202783","ictv.global=202202783")</f>
        <v>ictv.global=202202783</v>
      </c>
    </row>
    <row r="6041" spans="1:21">
      <c r="A6041">
        <v>6040</v>
      </c>
      <c r="B6041" s="29" t="s">
        <v>3223</v>
      </c>
      <c r="C6041" s="29"/>
      <c r="D6041" s="29" t="s">
        <v>4156</v>
      </c>
      <c r="E6041" s="29"/>
      <c r="F6041" s="29" t="s">
        <v>4173</v>
      </c>
      <c r="G6041" s="29"/>
      <c r="H6041" s="29" t="s">
        <v>4174</v>
      </c>
      <c r="I6041" s="29"/>
      <c r="J6041" s="29" t="s">
        <v>4176</v>
      </c>
      <c r="K6041" s="29"/>
      <c r="L6041" s="29" t="s">
        <v>1305</v>
      </c>
      <c r="M6041" s="29"/>
      <c r="N6041" s="29" t="s">
        <v>1312</v>
      </c>
      <c r="O6041" s="29"/>
      <c r="P6041" s="29" t="s">
        <v>586</v>
      </c>
      <c r="Q6041" t="s">
        <v>2040</v>
      </c>
      <c r="R6041" t="s">
        <v>2634</v>
      </c>
      <c r="S6041">
        <v>35</v>
      </c>
      <c r="T6041" s="43" t="str">
        <f t="shared" si="280"/>
        <v>2019.006G.zip</v>
      </c>
      <c r="U6041" s="43" t="str">
        <f>HYPERLINK("https://ictv.global/taxonomy/taxondetails?taxnode_id=202202784","ictv.global=202202784")</f>
        <v>ictv.global=202202784</v>
      </c>
    </row>
    <row r="6042" spans="1:21">
      <c r="A6042">
        <v>6041</v>
      </c>
      <c r="B6042" s="29" t="s">
        <v>3223</v>
      </c>
      <c r="C6042" s="29"/>
      <c r="D6042" s="29" t="s">
        <v>4156</v>
      </c>
      <c r="E6042" s="29"/>
      <c r="F6042" s="29" t="s">
        <v>4173</v>
      </c>
      <c r="G6042" s="29"/>
      <c r="H6042" s="29" t="s">
        <v>4174</v>
      </c>
      <c r="I6042" s="29"/>
      <c r="J6042" s="29" t="s">
        <v>4176</v>
      </c>
      <c r="K6042" s="29"/>
      <c r="L6042" s="29" t="s">
        <v>1305</v>
      </c>
      <c r="M6042" s="29"/>
      <c r="N6042" s="29" t="s">
        <v>1312</v>
      </c>
      <c r="O6042" s="29"/>
      <c r="P6042" s="29" t="s">
        <v>587</v>
      </c>
      <c r="Q6042" t="s">
        <v>2040</v>
      </c>
      <c r="R6042" t="s">
        <v>2634</v>
      </c>
      <c r="S6042">
        <v>35</v>
      </c>
      <c r="T6042" s="43" t="str">
        <f t="shared" si="280"/>
        <v>2019.006G.zip</v>
      </c>
      <c r="U6042" s="43" t="str">
        <f>HYPERLINK("https://ictv.global/taxonomy/taxondetails?taxnode_id=202202785","ictv.global=202202785")</f>
        <v>ictv.global=202202785</v>
      </c>
    </row>
    <row r="6043" spans="1:21">
      <c r="A6043">
        <v>6042</v>
      </c>
      <c r="B6043" s="29" t="s">
        <v>3223</v>
      </c>
      <c r="C6043" s="29"/>
      <c r="D6043" s="29" t="s">
        <v>4156</v>
      </c>
      <c r="E6043" s="29"/>
      <c r="F6043" s="29" t="s">
        <v>4173</v>
      </c>
      <c r="G6043" s="29"/>
      <c r="H6043" s="29" t="s">
        <v>4174</v>
      </c>
      <c r="I6043" s="29"/>
      <c r="J6043" s="29" t="s">
        <v>4176</v>
      </c>
      <c r="K6043" s="29"/>
      <c r="L6043" s="29" t="s">
        <v>1305</v>
      </c>
      <c r="M6043" s="29"/>
      <c r="N6043" s="29" t="s">
        <v>1312</v>
      </c>
      <c r="O6043" s="29"/>
      <c r="P6043" s="29" t="s">
        <v>588</v>
      </c>
      <c r="Q6043" t="s">
        <v>2040</v>
      </c>
      <c r="R6043" t="s">
        <v>2634</v>
      </c>
      <c r="S6043">
        <v>35</v>
      </c>
      <c r="T6043" s="43" t="str">
        <f t="shared" si="280"/>
        <v>2019.006G.zip</v>
      </c>
      <c r="U6043" s="43" t="str">
        <f>HYPERLINK("https://ictv.global/taxonomy/taxondetails?taxnode_id=202202786","ictv.global=202202786")</f>
        <v>ictv.global=202202786</v>
      </c>
    </row>
    <row r="6044" spans="1:21">
      <c r="A6044">
        <v>6043</v>
      </c>
      <c r="B6044" s="29" t="s">
        <v>3223</v>
      </c>
      <c r="C6044" s="29"/>
      <c r="D6044" s="29" t="s">
        <v>4156</v>
      </c>
      <c r="E6044" s="29"/>
      <c r="F6044" s="29" t="s">
        <v>4173</v>
      </c>
      <c r="G6044" s="29"/>
      <c r="H6044" s="29" t="s">
        <v>4174</v>
      </c>
      <c r="I6044" s="29"/>
      <c r="J6044" s="29" t="s">
        <v>4176</v>
      </c>
      <c r="K6044" s="29"/>
      <c r="L6044" s="29" t="s">
        <v>1305</v>
      </c>
      <c r="M6044" s="29"/>
      <c r="N6044" s="29" t="s">
        <v>1312</v>
      </c>
      <c r="O6044" s="29"/>
      <c r="P6044" s="29" t="s">
        <v>44</v>
      </c>
      <c r="Q6044" t="s">
        <v>2040</v>
      </c>
      <c r="R6044" t="s">
        <v>2634</v>
      </c>
      <c r="S6044">
        <v>35</v>
      </c>
      <c r="T6044" s="43" t="str">
        <f t="shared" si="280"/>
        <v>2019.006G.zip</v>
      </c>
      <c r="U6044" s="43" t="str">
        <f>HYPERLINK("https://ictv.global/taxonomy/taxondetails?taxnode_id=202202787","ictv.global=202202787")</f>
        <v>ictv.global=202202787</v>
      </c>
    </row>
    <row r="6045" spans="1:21">
      <c r="A6045">
        <v>6044</v>
      </c>
      <c r="B6045" s="29" t="s">
        <v>3223</v>
      </c>
      <c r="C6045" s="29"/>
      <c r="D6045" s="29" t="s">
        <v>4156</v>
      </c>
      <c r="E6045" s="29"/>
      <c r="F6045" s="29" t="s">
        <v>4173</v>
      </c>
      <c r="G6045" s="29"/>
      <c r="H6045" s="29" t="s">
        <v>4174</v>
      </c>
      <c r="I6045" s="29"/>
      <c r="J6045" s="29" t="s">
        <v>4176</v>
      </c>
      <c r="K6045" s="29"/>
      <c r="L6045" s="29" t="s">
        <v>1305</v>
      </c>
      <c r="M6045" s="29"/>
      <c r="N6045" s="29" t="s">
        <v>1312</v>
      </c>
      <c r="O6045" s="29"/>
      <c r="P6045" s="29" t="s">
        <v>589</v>
      </c>
      <c r="Q6045" t="s">
        <v>2040</v>
      </c>
      <c r="R6045" t="s">
        <v>2634</v>
      </c>
      <c r="S6045">
        <v>35</v>
      </c>
      <c r="T6045" s="43" t="str">
        <f t="shared" si="280"/>
        <v>2019.006G.zip</v>
      </c>
      <c r="U6045" s="43" t="str">
        <f>HYPERLINK("https://ictv.global/taxonomy/taxondetails?taxnode_id=202202788","ictv.global=202202788")</f>
        <v>ictv.global=202202788</v>
      </c>
    </row>
    <row r="6046" spans="1:21">
      <c r="A6046">
        <v>6045</v>
      </c>
      <c r="B6046" s="29" t="s">
        <v>3223</v>
      </c>
      <c r="C6046" s="29"/>
      <c r="D6046" s="29" t="s">
        <v>4156</v>
      </c>
      <c r="E6046" s="29"/>
      <c r="F6046" s="29" t="s">
        <v>4173</v>
      </c>
      <c r="G6046" s="29"/>
      <c r="H6046" s="29" t="s">
        <v>4174</v>
      </c>
      <c r="I6046" s="29"/>
      <c r="J6046" s="29" t="s">
        <v>4176</v>
      </c>
      <c r="K6046" s="29"/>
      <c r="L6046" s="29" t="s">
        <v>1305</v>
      </c>
      <c r="M6046" s="29"/>
      <c r="N6046" s="29" t="s">
        <v>1312</v>
      </c>
      <c r="O6046" s="29"/>
      <c r="P6046" s="29" t="s">
        <v>179</v>
      </c>
      <c r="Q6046" t="s">
        <v>2040</v>
      </c>
      <c r="R6046" t="s">
        <v>2634</v>
      </c>
      <c r="S6046">
        <v>35</v>
      </c>
      <c r="T6046" s="43" t="str">
        <f t="shared" si="280"/>
        <v>2019.006G.zip</v>
      </c>
      <c r="U6046" s="43" t="str">
        <f>HYPERLINK("https://ictv.global/taxonomy/taxondetails?taxnode_id=202202789","ictv.global=202202789")</f>
        <v>ictv.global=202202789</v>
      </c>
    </row>
    <row r="6047" spans="1:21">
      <c r="A6047">
        <v>6046</v>
      </c>
      <c r="B6047" s="29" t="s">
        <v>3223</v>
      </c>
      <c r="C6047" s="29"/>
      <c r="D6047" s="29" t="s">
        <v>4156</v>
      </c>
      <c r="E6047" s="29"/>
      <c r="F6047" s="29" t="s">
        <v>4173</v>
      </c>
      <c r="G6047" s="29"/>
      <c r="H6047" s="29" t="s">
        <v>4174</v>
      </c>
      <c r="I6047" s="29"/>
      <c r="J6047" s="29" t="s">
        <v>4176</v>
      </c>
      <c r="K6047" s="29"/>
      <c r="L6047" s="29" t="s">
        <v>1305</v>
      </c>
      <c r="M6047" s="29"/>
      <c r="N6047" s="29" t="s">
        <v>1312</v>
      </c>
      <c r="O6047" s="29"/>
      <c r="P6047" s="29" t="s">
        <v>2836</v>
      </c>
      <c r="Q6047" t="s">
        <v>2040</v>
      </c>
      <c r="R6047" t="s">
        <v>2634</v>
      </c>
      <c r="S6047">
        <v>35</v>
      </c>
      <c r="T6047" s="43" t="str">
        <f t="shared" si="280"/>
        <v>2019.006G.zip</v>
      </c>
      <c r="U6047" s="43" t="str">
        <f>HYPERLINK("https://ictv.global/taxonomy/taxondetails?taxnode_id=202205759","ictv.global=202205759")</f>
        <v>ictv.global=202205759</v>
      </c>
    </row>
    <row r="6048" spans="1:21">
      <c r="A6048">
        <v>6047</v>
      </c>
      <c r="B6048" s="29" t="s">
        <v>3223</v>
      </c>
      <c r="C6048" s="29"/>
      <c r="D6048" s="29" t="s">
        <v>4156</v>
      </c>
      <c r="E6048" s="29"/>
      <c r="F6048" s="29" t="s">
        <v>4173</v>
      </c>
      <c r="G6048" s="29"/>
      <c r="H6048" s="29" t="s">
        <v>4174</v>
      </c>
      <c r="I6048" s="29"/>
      <c r="J6048" s="29" t="s">
        <v>4176</v>
      </c>
      <c r="K6048" s="29"/>
      <c r="L6048" s="29" t="s">
        <v>1305</v>
      </c>
      <c r="M6048" s="29"/>
      <c r="N6048" s="29" t="s">
        <v>1312</v>
      </c>
      <c r="O6048" s="29"/>
      <c r="P6048" s="29" t="s">
        <v>180</v>
      </c>
      <c r="Q6048" t="s">
        <v>2040</v>
      </c>
      <c r="R6048" t="s">
        <v>2634</v>
      </c>
      <c r="S6048">
        <v>35</v>
      </c>
      <c r="T6048" s="43" t="str">
        <f t="shared" si="280"/>
        <v>2019.006G.zip</v>
      </c>
      <c r="U6048" s="43" t="str">
        <f>HYPERLINK("https://ictv.global/taxonomy/taxondetails?taxnode_id=202202790","ictv.global=202202790")</f>
        <v>ictv.global=202202790</v>
      </c>
    </row>
    <row r="6049" spans="1:21">
      <c r="A6049">
        <v>6048</v>
      </c>
      <c r="B6049" s="29" t="s">
        <v>3223</v>
      </c>
      <c r="C6049" s="29"/>
      <c r="D6049" s="29" t="s">
        <v>4156</v>
      </c>
      <c r="E6049" s="29"/>
      <c r="F6049" s="29" t="s">
        <v>4173</v>
      </c>
      <c r="G6049" s="29"/>
      <c r="H6049" s="29" t="s">
        <v>4174</v>
      </c>
      <c r="I6049" s="29"/>
      <c r="J6049" s="29" t="s">
        <v>4176</v>
      </c>
      <c r="K6049" s="29"/>
      <c r="L6049" s="29" t="s">
        <v>1305</v>
      </c>
      <c r="M6049" s="29"/>
      <c r="N6049" s="29" t="s">
        <v>1312</v>
      </c>
      <c r="O6049" s="29"/>
      <c r="P6049" s="29" t="s">
        <v>181</v>
      </c>
      <c r="Q6049" t="s">
        <v>2040</v>
      </c>
      <c r="R6049" t="s">
        <v>2634</v>
      </c>
      <c r="S6049">
        <v>35</v>
      </c>
      <c r="T6049" s="43" t="str">
        <f t="shared" si="280"/>
        <v>2019.006G.zip</v>
      </c>
      <c r="U6049" s="43" t="str">
        <f>HYPERLINK("https://ictv.global/taxonomy/taxondetails?taxnode_id=202202791","ictv.global=202202791")</f>
        <v>ictv.global=202202791</v>
      </c>
    </row>
    <row r="6050" spans="1:21">
      <c r="A6050">
        <v>6049</v>
      </c>
      <c r="B6050" s="29" t="s">
        <v>3223</v>
      </c>
      <c r="C6050" s="29"/>
      <c r="D6050" s="29" t="s">
        <v>4156</v>
      </c>
      <c r="E6050" s="29"/>
      <c r="F6050" s="29" t="s">
        <v>4173</v>
      </c>
      <c r="G6050" s="29"/>
      <c r="H6050" s="29" t="s">
        <v>4174</v>
      </c>
      <c r="I6050" s="29"/>
      <c r="J6050" s="29" t="s">
        <v>4176</v>
      </c>
      <c r="K6050" s="29"/>
      <c r="L6050" s="29" t="s">
        <v>1305</v>
      </c>
      <c r="M6050" s="29"/>
      <c r="N6050" s="29" t="s">
        <v>1312</v>
      </c>
      <c r="O6050" s="29"/>
      <c r="P6050" s="29" t="s">
        <v>898</v>
      </c>
      <c r="Q6050" t="s">
        <v>2040</v>
      </c>
      <c r="R6050" t="s">
        <v>2634</v>
      </c>
      <c r="S6050">
        <v>35</v>
      </c>
      <c r="T6050" s="43" t="str">
        <f t="shared" si="280"/>
        <v>2019.006G.zip</v>
      </c>
      <c r="U6050" s="43" t="str">
        <f>HYPERLINK("https://ictv.global/taxonomy/taxondetails?taxnode_id=202202792","ictv.global=202202792")</f>
        <v>ictv.global=202202792</v>
      </c>
    </row>
    <row r="6051" spans="1:21">
      <c r="A6051">
        <v>6050</v>
      </c>
      <c r="B6051" s="29" t="s">
        <v>3223</v>
      </c>
      <c r="C6051" s="29"/>
      <c r="D6051" s="29" t="s">
        <v>4156</v>
      </c>
      <c r="E6051" s="29"/>
      <c r="F6051" s="29" t="s">
        <v>4173</v>
      </c>
      <c r="G6051" s="29"/>
      <c r="H6051" s="29" t="s">
        <v>4174</v>
      </c>
      <c r="I6051" s="29"/>
      <c r="J6051" s="29" t="s">
        <v>4176</v>
      </c>
      <c r="K6051" s="29"/>
      <c r="L6051" s="29" t="s">
        <v>1305</v>
      </c>
      <c r="M6051" s="29"/>
      <c r="N6051" s="29" t="s">
        <v>1312</v>
      </c>
      <c r="O6051" s="29"/>
      <c r="P6051" s="29" t="s">
        <v>45</v>
      </c>
      <c r="Q6051" t="s">
        <v>2040</v>
      </c>
      <c r="R6051" t="s">
        <v>2634</v>
      </c>
      <c r="S6051">
        <v>35</v>
      </c>
      <c r="T6051" s="43" t="str">
        <f t="shared" si="280"/>
        <v>2019.006G.zip</v>
      </c>
      <c r="U6051" s="43" t="str">
        <f>HYPERLINK("https://ictv.global/taxonomy/taxondetails?taxnode_id=202202793","ictv.global=202202793")</f>
        <v>ictv.global=202202793</v>
      </c>
    </row>
    <row r="6052" spans="1:21">
      <c r="A6052">
        <v>6051</v>
      </c>
      <c r="B6052" s="29" t="s">
        <v>3223</v>
      </c>
      <c r="C6052" s="29"/>
      <c r="D6052" s="29" t="s">
        <v>4156</v>
      </c>
      <c r="E6052" s="29"/>
      <c r="F6052" s="29" t="s">
        <v>4173</v>
      </c>
      <c r="G6052" s="29"/>
      <c r="H6052" s="29" t="s">
        <v>4174</v>
      </c>
      <c r="I6052" s="29"/>
      <c r="J6052" s="29" t="s">
        <v>4176</v>
      </c>
      <c r="K6052" s="29"/>
      <c r="L6052" s="29" t="s">
        <v>1305</v>
      </c>
      <c r="M6052" s="29"/>
      <c r="N6052" s="29" t="s">
        <v>1312</v>
      </c>
      <c r="O6052" s="29"/>
      <c r="P6052" s="29" t="s">
        <v>1436</v>
      </c>
      <c r="Q6052" t="s">
        <v>2040</v>
      </c>
      <c r="R6052" t="s">
        <v>6901</v>
      </c>
      <c r="S6052">
        <v>36</v>
      </c>
      <c r="T6052" s="43" t="str">
        <f>HYPERLINK("https://ictv.global/ictv/proposals/2020.001G.R.Abolish_type_species.pdf","2020.001G.R.Abolish_type_species.pdf")</f>
        <v>2020.001G.R.Abolish_type_species.pdf</v>
      </c>
      <c r="U6052" s="43" t="str">
        <f>HYPERLINK("https://ictv.global/taxonomy/taxondetails?taxnode_id=202202794","ictv.global=202202794")</f>
        <v>ictv.global=202202794</v>
      </c>
    </row>
    <row r="6053" spans="1:21">
      <c r="A6053">
        <v>6052</v>
      </c>
      <c r="B6053" s="29" t="s">
        <v>3223</v>
      </c>
      <c r="C6053" s="29"/>
      <c r="D6053" s="29" t="s">
        <v>4156</v>
      </c>
      <c r="E6053" s="29"/>
      <c r="F6053" s="29" t="s">
        <v>4173</v>
      </c>
      <c r="G6053" s="29"/>
      <c r="H6053" s="29" t="s">
        <v>4174</v>
      </c>
      <c r="I6053" s="29"/>
      <c r="J6053" s="29" t="s">
        <v>4176</v>
      </c>
      <c r="K6053" s="29"/>
      <c r="L6053" s="29" t="s">
        <v>1305</v>
      </c>
      <c r="M6053" s="29"/>
      <c r="N6053" s="29" t="s">
        <v>1312</v>
      </c>
      <c r="O6053" s="29"/>
      <c r="P6053" s="29" t="s">
        <v>2837</v>
      </c>
      <c r="Q6053" t="s">
        <v>2040</v>
      </c>
      <c r="R6053" t="s">
        <v>2634</v>
      </c>
      <c r="S6053">
        <v>35</v>
      </c>
      <c r="T6053" s="43" t="str">
        <f>HYPERLINK("https://ictv.global/ictv/proposals/2019.006G.zip","2019.006G.zip")</f>
        <v>2019.006G.zip</v>
      </c>
      <c r="U6053" s="43" t="str">
        <f>HYPERLINK("https://ictv.global/taxonomy/taxondetails?taxnode_id=202205760","ictv.global=202205760")</f>
        <v>ictv.global=202205760</v>
      </c>
    </row>
    <row r="6054" spans="1:21">
      <c r="A6054">
        <v>6053</v>
      </c>
      <c r="B6054" s="29" t="s">
        <v>3223</v>
      </c>
      <c r="C6054" s="29"/>
      <c r="D6054" s="29" t="s">
        <v>4156</v>
      </c>
      <c r="E6054" s="29"/>
      <c r="F6054" s="29" t="s">
        <v>4173</v>
      </c>
      <c r="G6054" s="29"/>
      <c r="H6054" s="29" t="s">
        <v>4174</v>
      </c>
      <c r="I6054" s="29"/>
      <c r="J6054" s="29" t="s">
        <v>4176</v>
      </c>
      <c r="K6054" s="29"/>
      <c r="L6054" s="29" t="s">
        <v>1305</v>
      </c>
      <c r="M6054" s="29"/>
      <c r="N6054" s="29" t="s">
        <v>1312</v>
      </c>
      <c r="O6054" s="29"/>
      <c r="P6054" s="29" t="s">
        <v>1437</v>
      </c>
      <c r="Q6054" t="s">
        <v>2040</v>
      </c>
      <c r="R6054" t="s">
        <v>2634</v>
      </c>
      <c r="S6054">
        <v>35</v>
      </c>
      <c r="T6054" s="43" t="str">
        <f>HYPERLINK("https://ictv.global/ictv/proposals/2019.006G.zip","2019.006G.zip")</f>
        <v>2019.006G.zip</v>
      </c>
      <c r="U6054" s="43" t="str">
        <f>HYPERLINK("https://ictv.global/taxonomy/taxondetails?taxnode_id=202202795","ictv.global=202202795")</f>
        <v>ictv.global=202202795</v>
      </c>
    </row>
    <row r="6055" spans="1:21">
      <c r="A6055">
        <v>6054</v>
      </c>
      <c r="B6055" s="29" t="s">
        <v>3223</v>
      </c>
      <c r="C6055" s="29"/>
      <c r="D6055" s="29" t="s">
        <v>4156</v>
      </c>
      <c r="E6055" s="29"/>
      <c r="F6055" s="29" t="s">
        <v>4173</v>
      </c>
      <c r="G6055" s="29"/>
      <c r="H6055" s="29" t="s">
        <v>4174</v>
      </c>
      <c r="I6055" s="29"/>
      <c r="J6055" s="29" t="s">
        <v>4176</v>
      </c>
      <c r="K6055" s="29"/>
      <c r="L6055" s="29" t="s">
        <v>1305</v>
      </c>
      <c r="M6055" s="29"/>
      <c r="N6055" s="29" t="s">
        <v>1438</v>
      </c>
      <c r="O6055" s="29"/>
      <c r="P6055" s="29" t="s">
        <v>1439</v>
      </c>
      <c r="Q6055" t="s">
        <v>2040</v>
      </c>
      <c r="R6055" t="s">
        <v>6901</v>
      </c>
      <c r="S6055">
        <v>36</v>
      </c>
      <c r="T6055" s="43" t="str">
        <f>HYPERLINK("https://ictv.global/ictv/proposals/2020.001G.R.Abolish_type_species.pdf","2020.001G.R.Abolish_type_species.pdf")</f>
        <v>2020.001G.R.Abolish_type_species.pdf</v>
      </c>
      <c r="U6055" s="43" t="str">
        <f>HYPERLINK("https://ictv.global/taxonomy/taxondetails?taxnode_id=202202797","ictv.global=202202797")</f>
        <v>ictv.global=202202797</v>
      </c>
    </row>
    <row r="6056" spans="1:21">
      <c r="A6056">
        <v>6055</v>
      </c>
      <c r="B6056" s="29" t="s">
        <v>3223</v>
      </c>
      <c r="C6056" s="29"/>
      <c r="D6056" s="29" t="s">
        <v>4156</v>
      </c>
      <c r="E6056" s="29"/>
      <c r="F6056" s="29" t="s">
        <v>4173</v>
      </c>
      <c r="G6056" s="29"/>
      <c r="H6056" s="29" t="s">
        <v>4174</v>
      </c>
      <c r="I6056" s="29"/>
      <c r="J6056" s="29" t="s">
        <v>4176</v>
      </c>
      <c r="K6056" s="29"/>
      <c r="L6056" s="29" t="s">
        <v>1434</v>
      </c>
      <c r="M6056" s="29"/>
      <c r="N6056" s="29" t="s">
        <v>1435</v>
      </c>
      <c r="O6056" s="29"/>
      <c r="P6056" s="29" t="s">
        <v>3339</v>
      </c>
      <c r="Q6056" t="s">
        <v>2040</v>
      </c>
      <c r="R6056" t="s">
        <v>2634</v>
      </c>
      <c r="S6056">
        <v>35</v>
      </c>
      <c r="T6056" s="43" t="str">
        <f>HYPERLINK("https://ictv.global/ictv/proposals/2019.006G.zip","2019.006G.zip")</f>
        <v>2019.006G.zip</v>
      </c>
      <c r="U6056" s="43" t="str">
        <f>HYPERLINK("https://ictv.global/taxonomy/taxondetails?taxnode_id=202206656","ictv.global=202206656")</f>
        <v>ictv.global=202206656</v>
      </c>
    </row>
    <row r="6057" spans="1:21">
      <c r="A6057">
        <v>6056</v>
      </c>
      <c r="B6057" s="29" t="s">
        <v>3223</v>
      </c>
      <c r="C6057" s="29"/>
      <c r="D6057" s="29" t="s">
        <v>4156</v>
      </c>
      <c r="E6057" s="29"/>
      <c r="F6057" s="29" t="s">
        <v>4173</v>
      </c>
      <c r="G6057" s="29"/>
      <c r="H6057" s="29" t="s">
        <v>4174</v>
      </c>
      <c r="I6057" s="29"/>
      <c r="J6057" s="29" t="s">
        <v>4176</v>
      </c>
      <c r="K6057" s="29"/>
      <c r="L6057" s="29" t="s">
        <v>1434</v>
      </c>
      <c r="M6057" s="29"/>
      <c r="N6057" s="29" t="s">
        <v>1435</v>
      </c>
      <c r="O6057" s="29"/>
      <c r="P6057" s="29" t="s">
        <v>2196</v>
      </c>
      <c r="Q6057" t="s">
        <v>2040</v>
      </c>
      <c r="R6057" t="s">
        <v>2634</v>
      </c>
      <c r="S6057">
        <v>35</v>
      </c>
      <c r="T6057" s="43" t="str">
        <f>HYPERLINK("https://ictv.global/ictv/proposals/2019.006G.zip","2019.006G.zip")</f>
        <v>2019.006G.zip</v>
      </c>
      <c r="U6057" s="43" t="str">
        <f>HYPERLINK("https://ictv.global/taxonomy/taxondetails?taxnode_id=202202981","ictv.global=202202981")</f>
        <v>ictv.global=202202981</v>
      </c>
    </row>
    <row r="6058" spans="1:21">
      <c r="A6058">
        <v>6057</v>
      </c>
      <c r="B6058" s="29" t="s">
        <v>3223</v>
      </c>
      <c r="C6058" s="29"/>
      <c r="D6058" s="29" t="s">
        <v>4156</v>
      </c>
      <c r="E6058" s="29"/>
      <c r="F6058" s="29" t="s">
        <v>4173</v>
      </c>
      <c r="G6058" s="29"/>
      <c r="H6058" s="29" t="s">
        <v>4174</v>
      </c>
      <c r="I6058" s="29"/>
      <c r="J6058" s="29" t="s">
        <v>4176</v>
      </c>
      <c r="K6058" s="29"/>
      <c r="L6058" s="29" t="s">
        <v>1434</v>
      </c>
      <c r="M6058" s="29"/>
      <c r="N6058" s="29" t="s">
        <v>1435</v>
      </c>
      <c r="O6058" s="29"/>
      <c r="P6058" s="29" t="s">
        <v>1512</v>
      </c>
      <c r="Q6058" t="s">
        <v>2040</v>
      </c>
      <c r="R6058" t="s">
        <v>2634</v>
      </c>
      <c r="S6058">
        <v>35</v>
      </c>
      <c r="T6058" s="43" t="str">
        <f>HYPERLINK("https://ictv.global/ictv/proposals/2019.006G.zip","2019.006G.zip")</f>
        <v>2019.006G.zip</v>
      </c>
      <c r="U6058" s="43" t="str">
        <f>HYPERLINK("https://ictv.global/taxonomy/taxondetails?taxnode_id=202202982","ictv.global=202202982")</f>
        <v>ictv.global=202202982</v>
      </c>
    </row>
    <row r="6059" spans="1:21">
      <c r="A6059">
        <v>6058</v>
      </c>
      <c r="B6059" s="29" t="s">
        <v>3223</v>
      </c>
      <c r="C6059" s="29"/>
      <c r="D6059" s="29" t="s">
        <v>4156</v>
      </c>
      <c r="E6059" s="29"/>
      <c r="F6059" s="29" t="s">
        <v>4173</v>
      </c>
      <c r="G6059" s="29"/>
      <c r="H6059" s="29" t="s">
        <v>4174</v>
      </c>
      <c r="I6059" s="29"/>
      <c r="J6059" s="29" t="s">
        <v>4176</v>
      </c>
      <c r="K6059" s="29"/>
      <c r="L6059" s="29" t="s">
        <v>1434</v>
      </c>
      <c r="M6059" s="29"/>
      <c r="N6059" s="29" t="s">
        <v>1435</v>
      </c>
      <c r="O6059" s="29"/>
      <c r="P6059" s="29" t="s">
        <v>1513</v>
      </c>
      <c r="Q6059" t="s">
        <v>2040</v>
      </c>
      <c r="R6059" t="s">
        <v>6901</v>
      </c>
      <c r="S6059">
        <v>36</v>
      </c>
      <c r="T6059" s="43" t="str">
        <f>HYPERLINK("https://ictv.global/ictv/proposals/2020.001G.R.Abolish_type_species.pdf","2020.001G.R.Abolish_type_species.pdf")</f>
        <v>2020.001G.R.Abolish_type_species.pdf</v>
      </c>
      <c r="U6059" s="43" t="str">
        <f>HYPERLINK("https://ictv.global/taxonomy/taxondetails?taxnode_id=202202983","ictv.global=202202983")</f>
        <v>ictv.global=202202983</v>
      </c>
    </row>
    <row r="6060" spans="1:21">
      <c r="A6060">
        <v>6059</v>
      </c>
      <c r="B6060" s="29" t="s">
        <v>3223</v>
      </c>
      <c r="C6060" s="29"/>
      <c r="D6060" s="29" t="s">
        <v>4156</v>
      </c>
      <c r="E6060" s="29"/>
      <c r="F6060" s="29" t="s">
        <v>4173</v>
      </c>
      <c r="G6060" s="29"/>
      <c r="H6060" s="29" t="s">
        <v>4174</v>
      </c>
      <c r="I6060" s="29"/>
      <c r="J6060" s="29" t="s">
        <v>4176</v>
      </c>
      <c r="K6060" s="29"/>
      <c r="L6060" s="29" t="s">
        <v>1434</v>
      </c>
      <c r="M6060" s="29"/>
      <c r="N6060" s="29" t="s">
        <v>1435</v>
      </c>
      <c r="O6060" s="29"/>
      <c r="P6060" s="29" t="s">
        <v>1652</v>
      </c>
      <c r="Q6060" t="s">
        <v>2040</v>
      </c>
      <c r="R6060" t="s">
        <v>2634</v>
      </c>
      <c r="S6060">
        <v>35</v>
      </c>
      <c r="T6060" s="43" t="str">
        <f t="shared" ref="T6060:T6065" si="281">HYPERLINK("https://ictv.global/ictv/proposals/2019.006G.zip","2019.006G.zip")</f>
        <v>2019.006G.zip</v>
      </c>
      <c r="U6060" s="43" t="str">
        <f>HYPERLINK("https://ictv.global/taxonomy/taxondetails?taxnode_id=202202984","ictv.global=202202984")</f>
        <v>ictv.global=202202984</v>
      </c>
    </row>
    <row r="6061" spans="1:21">
      <c r="A6061">
        <v>6060</v>
      </c>
      <c r="B6061" s="29" t="s">
        <v>3223</v>
      </c>
      <c r="C6061" s="29"/>
      <c r="D6061" s="29" t="s">
        <v>4156</v>
      </c>
      <c r="E6061" s="29"/>
      <c r="F6061" s="29" t="s">
        <v>4173</v>
      </c>
      <c r="G6061" s="29"/>
      <c r="H6061" s="29" t="s">
        <v>4174</v>
      </c>
      <c r="I6061" s="29"/>
      <c r="J6061" s="29" t="s">
        <v>4176</v>
      </c>
      <c r="K6061" s="29"/>
      <c r="L6061" s="29" t="s">
        <v>1434</v>
      </c>
      <c r="M6061" s="29"/>
      <c r="N6061" s="29" t="s">
        <v>1435</v>
      </c>
      <c r="O6061" s="29"/>
      <c r="P6061" s="29" t="s">
        <v>2839</v>
      </c>
      <c r="Q6061" t="s">
        <v>2040</v>
      </c>
      <c r="R6061" t="s">
        <v>2634</v>
      </c>
      <c r="S6061">
        <v>35</v>
      </c>
      <c r="T6061" s="43" t="str">
        <f t="shared" si="281"/>
        <v>2019.006G.zip</v>
      </c>
      <c r="U6061" s="43" t="str">
        <f>HYPERLINK("https://ictv.global/taxonomy/taxondetails?taxnode_id=202205771","ictv.global=202205771")</f>
        <v>ictv.global=202205771</v>
      </c>
    </row>
    <row r="6062" spans="1:21">
      <c r="A6062">
        <v>6061</v>
      </c>
      <c r="B6062" s="29" t="s">
        <v>3223</v>
      </c>
      <c r="C6062" s="29"/>
      <c r="D6062" s="29" t="s">
        <v>4156</v>
      </c>
      <c r="E6062" s="29"/>
      <c r="F6062" s="29" t="s">
        <v>4173</v>
      </c>
      <c r="G6062" s="29"/>
      <c r="H6062" s="29" t="s">
        <v>4174</v>
      </c>
      <c r="I6062" s="29"/>
      <c r="J6062" s="29" t="s">
        <v>4176</v>
      </c>
      <c r="K6062" s="29"/>
      <c r="L6062" s="29" t="s">
        <v>1434</v>
      </c>
      <c r="M6062" s="29"/>
      <c r="N6062" s="29" t="s">
        <v>1435</v>
      </c>
      <c r="O6062" s="29"/>
      <c r="P6062" s="29" t="s">
        <v>1514</v>
      </c>
      <c r="Q6062" t="s">
        <v>2040</v>
      </c>
      <c r="R6062" t="s">
        <v>2634</v>
      </c>
      <c r="S6062">
        <v>35</v>
      </c>
      <c r="T6062" s="43" t="str">
        <f t="shared" si="281"/>
        <v>2019.006G.zip</v>
      </c>
      <c r="U6062" s="43" t="str">
        <f>HYPERLINK("https://ictv.global/taxonomy/taxondetails?taxnode_id=202202985","ictv.global=202202985")</f>
        <v>ictv.global=202202985</v>
      </c>
    </row>
    <row r="6063" spans="1:21">
      <c r="A6063">
        <v>6062</v>
      </c>
      <c r="B6063" s="29" t="s">
        <v>3223</v>
      </c>
      <c r="C6063" s="29"/>
      <c r="D6063" s="29" t="s">
        <v>4156</v>
      </c>
      <c r="E6063" s="29"/>
      <c r="F6063" s="29" t="s">
        <v>4173</v>
      </c>
      <c r="G6063" s="29"/>
      <c r="H6063" s="29" t="s">
        <v>4174</v>
      </c>
      <c r="I6063" s="29"/>
      <c r="J6063" s="29" t="s">
        <v>4176</v>
      </c>
      <c r="K6063" s="29"/>
      <c r="L6063" s="29" t="s">
        <v>1434</v>
      </c>
      <c r="M6063" s="29"/>
      <c r="N6063" s="29" t="s">
        <v>1435</v>
      </c>
      <c r="O6063" s="29"/>
      <c r="P6063" s="29" t="s">
        <v>1515</v>
      </c>
      <c r="Q6063" t="s">
        <v>2040</v>
      </c>
      <c r="R6063" t="s">
        <v>2634</v>
      </c>
      <c r="S6063">
        <v>35</v>
      </c>
      <c r="T6063" s="43" t="str">
        <f t="shared" si="281"/>
        <v>2019.006G.zip</v>
      </c>
      <c r="U6063" s="43" t="str">
        <f>HYPERLINK("https://ictv.global/taxonomy/taxondetails?taxnode_id=202202986","ictv.global=202202986")</f>
        <v>ictv.global=202202986</v>
      </c>
    </row>
    <row r="6064" spans="1:21">
      <c r="A6064">
        <v>6063</v>
      </c>
      <c r="B6064" s="29" t="s">
        <v>3223</v>
      </c>
      <c r="C6064" s="29"/>
      <c r="D6064" s="29" t="s">
        <v>4156</v>
      </c>
      <c r="E6064" s="29"/>
      <c r="F6064" s="29" t="s">
        <v>4173</v>
      </c>
      <c r="G6064" s="29"/>
      <c r="H6064" s="29" t="s">
        <v>4174</v>
      </c>
      <c r="I6064" s="29"/>
      <c r="J6064" s="29" t="s">
        <v>4176</v>
      </c>
      <c r="K6064" s="29"/>
      <c r="L6064" s="29" t="s">
        <v>1434</v>
      </c>
      <c r="M6064" s="29"/>
      <c r="N6064" s="29" t="s">
        <v>1435</v>
      </c>
      <c r="O6064" s="29"/>
      <c r="P6064" s="29" t="s">
        <v>1516</v>
      </c>
      <c r="Q6064" t="s">
        <v>2040</v>
      </c>
      <c r="R6064" t="s">
        <v>2634</v>
      </c>
      <c r="S6064">
        <v>35</v>
      </c>
      <c r="T6064" s="43" t="str">
        <f t="shared" si="281"/>
        <v>2019.006G.zip</v>
      </c>
      <c r="U6064" s="43" t="str">
        <f>HYPERLINK("https://ictv.global/taxonomy/taxondetails?taxnode_id=202202987","ictv.global=202202987")</f>
        <v>ictv.global=202202987</v>
      </c>
    </row>
    <row r="6065" spans="1:21">
      <c r="A6065">
        <v>6064</v>
      </c>
      <c r="B6065" s="29" t="s">
        <v>3223</v>
      </c>
      <c r="C6065" s="29"/>
      <c r="D6065" s="29" t="s">
        <v>4156</v>
      </c>
      <c r="E6065" s="29"/>
      <c r="F6065" s="29" t="s">
        <v>4173</v>
      </c>
      <c r="G6065" s="29"/>
      <c r="H6065" s="29" t="s">
        <v>4174</v>
      </c>
      <c r="I6065" s="29"/>
      <c r="J6065" s="29" t="s">
        <v>4176</v>
      </c>
      <c r="K6065" s="29"/>
      <c r="L6065" s="29" t="s">
        <v>1434</v>
      </c>
      <c r="M6065" s="29"/>
      <c r="N6065" s="29" t="s">
        <v>1435</v>
      </c>
      <c r="O6065" s="29"/>
      <c r="P6065" s="29" t="s">
        <v>1335</v>
      </c>
      <c r="Q6065" t="s">
        <v>2040</v>
      </c>
      <c r="R6065" t="s">
        <v>2634</v>
      </c>
      <c r="S6065">
        <v>35</v>
      </c>
      <c r="T6065" s="43" t="str">
        <f t="shared" si="281"/>
        <v>2019.006G.zip</v>
      </c>
      <c r="U6065" s="43" t="str">
        <f>HYPERLINK("https://ictv.global/taxonomy/taxondetails?taxnode_id=202202988","ictv.global=202202988")</f>
        <v>ictv.global=202202988</v>
      </c>
    </row>
    <row r="6066" spans="1:21">
      <c r="A6066">
        <v>6065</v>
      </c>
      <c r="B6066" s="29" t="s">
        <v>3223</v>
      </c>
      <c r="C6066" s="29"/>
      <c r="D6066" s="29" t="s">
        <v>4156</v>
      </c>
      <c r="E6066" s="29"/>
      <c r="F6066" s="29" t="s">
        <v>4173</v>
      </c>
      <c r="G6066" s="29"/>
      <c r="H6066" s="29" t="s">
        <v>4174</v>
      </c>
      <c r="I6066" s="29"/>
      <c r="J6066" s="29" t="s">
        <v>4176</v>
      </c>
      <c r="K6066" s="29"/>
      <c r="L6066" s="29" t="s">
        <v>1434</v>
      </c>
      <c r="M6066" s="29"/>
      <c r="N6066" s="29" t="s">
        <v>1435</v>
      </c>
      <c r="O6066" s="29"/>
      <c r="P6066" s="29" t="s">
        <v>4177</v>
      </c>
      <c r="Q6066" t="s">
        <v>2040</v>
      </c>
      <c r="R6066" t="s">
        <v>2632</v>
      </c>
      <c r="S6066">
        <v>35</v>
      </c>
      <c r="T6066" s="43" t="str">
        <f>HYPERLINK("https://ictv.global/ictv/proposals/2019.007P.zip","2019.007P.zip")</f>
        <v>2019.007P.zip</v>
      </c>
      <c r="U6066" s="43" t="str">
        <f>HYPERLINK("https://ictv.global/taxonomy/taxondetails?taxnode_id=202207265","ictv.global=202207265")</f>
        <v>ictv.global=202207265</v>
      </c>
    </row>
    <row r="6067" spans="1:21">
      <c r="A6067">
        <v>6066</v>
      </c>
      <c r="B6067" s="29" t="s">
        <v>3223</v>
      </c>
      <c r="C6067" s="29"/>
      <c r="D6067" s="29" t="s">
        <v>4156</v>
      </c>
      <c r="E6067" s="29"/>
      <c r="F6067" s="29" t="s">
        <v>4173</v>
      </c>
      <c r="G6067" s="29"/>
      <c r="H6067" s="29" t="s">
        <v>4174</v>
      </c>
      <c r="I6067" s="29"/>
      <c r="J6067" s="29" t="s">
        <v>4176</v>
      </c>
      <c r="K6067" s="29"/>
      <c r="L6067" s="29" t="s">
        <v>1434</v>
      </c>
      <c r="M6067" s="29"/>
      <c r="N6067" s="29" t="s">
        <v>1435</v>
      </c>
      <c r="O6067" s="29"/>
      <c r="P6067" s="29" t="s">
        <v>1578</v>
      </c>
      <c r="Q6067" t="s">
        <v>2040</v>
      </c>
      <c r="R6067" t="s">
        <v>2634</v>
      </c>
      <c r="S6067">
        <v>35</v>
      </c>
      <c r="T6067" s="43" t="str">
        <f>HYPERLINK("https://ictv.global/ictv/proposals/2019.006G.zip","2019.006G.zip")</f>
        <v>2019.006G.zip</v>
      </c>
      <c r="U6067" s="43" t="str">
        <f>HYPERLINK("https://ictv.global/taxonomy/taxondetails?taxnode_id=202202989","ictv.global=202202989")</f>
        <v>ictv.global=202202989</v>
      </c>
    </row>
    <row r="6068" spans="1:21">
      <c r="A6068">
        <v>6067</v>
      </c>
      <c r="B6068" s="29" t="s">
        <v>3223</v>
      </c>
      <c r="C6068" s="29"/>
      <c r="D6068" s="29" t="s">
        <v>4156</v>
      </c>
      <c r="E6068" s="29"/>
      <c r="F6068" s="29" t="s">
        <v>4173</v>
      </c>
      <c r="G6068" s="29"/>
      <c r="H6068" s="29" t="s">
        <v>4174</v>
      </c>
      <c r="I6068" s="29"/>
      <c r="J6068" s="29" t="s">
        <v>4176</v>
      </c>
      <c r="K6068" s="29"/>
      <c r="L6068" s="29" t="s">
        <v>1434</v>
      </c>
      <c r="M6068" s="29"/>
      <c r="N6068" s="29" t="s">
        <v>1435</v>
      </c>
      <c r="O6068" s="29"/>
      <c r="P6068" s="29" t="s">
        <v>5190</v>
      </c>
      <c r="Q6068" t="s">
        <v>2040</v>
      </c>
      <c r="R6068" t="s">
        <v>2632</v>
      </c>
      <c r="S6068">
        <v>36</v>
      </c>
      <c r="T6068" s="43" t="str">
        <f>HYPERLINK("https://ictv.global/ictv/proposals/2020.004P.R.Closteroviridae_3nsp.zip","2020.004P.R.Closteroviridae_3nsp.zip")</f>
        <v>2020.004P.R.Closteroviridae_3nsp.zip</v>
      </c>
      <c r="U6068" s="43" t="str">
        <f>HYPERLINK("https://ictv.global/taxonomy/taxondetails?taxnode_id=202208911","ictv.global=202208911")</f>
        <v>ictv.global=202208911</v>
      </c>
    </row>
    <row r="6069" spans="1:21">
      <c r="A6069">
        <v>6068</v>
      </c>
      <c r="B6069" s="29" t="s">
        <v>3223</v>
      </c>
      <c r="C6069" s="29"/>
      <c r="D6069" s="29" t="s">
        <v>4156</v>
      </c>
      <c r="E6069" s="29"/>
      <c r="F6069" s="29" t="s">
        <v>4173</v>
      </c>
      <c r="G6069" s="29"/>
      <c r="H6069" s="29" t="s">
        <v>4174</v>
      </c>
      <c r="I6069" s="29"/>
      <c r="J6069" s="29" t="s">
        <v>4176</v>
      </c>
      <c r="K6069" s="29"/>
      <c r="L6069" s="29" t="s">
        <v>1434</v>
      </c>
      <c r="M6069" s="29"/>
      <c r="N6069" s="29" t="s">
        <v>12240</v>
      </c>
      <c r="O6069" s="29"/>
      <c r="P6069" s="29" t="s">
        <v>2197</v>
      </c>
      <c r="Q6069" t="s">
        <v>2040</v>
      </c>
      <c r="R6069" t="s">
        <v>2634</v>
      </c>
      <c r="S6069">
        <v>37</v>
      </c>
      <c r="T6069" s="43" t="str">
        <f>HYPERLINK("https://ictv.global/ictv/proposals/2021.019P.R.Closteroviridae_3ngen_abolish_2sp.zip","2021.019P.R.Closteroviridae_3ngen_abolish_2sp.zip")</f>
        <v>2021.019P.R.Closteroviridae_3ngen_abolish_2sp.zip</v>
      </c>
      <c r="U6069" s="43" t="str">
        <f>HYPERLINK("https://ictv.global/taxonomy/taxondetails?taxnode_id=202203021","ictv.global=202203021")</f>
        <v>ictv.global=202203021</v>
      </c>
    </row>
    <row r="6070" spans="1:21">
      <c r="A6070">
        <v>6069</v>
      </c>
      <c r="B6070" s="29" t="s">
        <v>3223</v>
      </c>
      <c r="C6070" s="29"/>
      <c r="D6070" s="29" t="s">
        <v>4156</v>
      </c>
      <c r="E6070" s="29"/>
      <c r="F6070" s="29" t="s">
        <v>4173</v>
      </c>
      <c r="G6070" s="29"/>
      <c r="H6070" s="29" t="s">
        <v>4174</v>
      </c>
      <c r="I6070" s="29"/>
      <c r="J6070" s="29" t="s">
        <v>4176</v>
      </c>
      <c r="K6070" s="29"/>
      <c r="L6070" s="29" t="s">
        <v>1434</v>
      </c>
      <c r="M6070" s="29"/>
      <c r="N6070" s="29" t="s">
        <v>1517</v>
      </c>
      <c r="O6070" s="29"/>
      <c r="P6070" s="29" t="s">
        <v>4178</v>
      </c>
      <c r="Q6070" t="s">
        <v>2040</v>
      </c>
      <c r="R6070" t="s">
        <v>2632</v>
      </c>
      <c r="S6070">
        <v>35</v>
      </c>
      <c r="T6070" s="43" t="str">
        <f>HYPERLINK("https://ictv.global/ictv/proposals/2019.007P.zip","2019.007P.zip")</f>
        <v>2019.007P.zip</v>
      </c>
      <c r="U6070" s="43" t="str">
        <f>HYPERLINK("https://ictv.global/taxonomy/taxondetails?taxnode_id=202207262","ictv.global=202207262")</f>
        <v>ictv.global=202207262</v>
      </c>
    </row>
    <row r="6071" spans="1:21">
      <c r="A6071">
        <v>6070</v>
      </c>
      <c r="B6071" s="29" t="s">
        <v>3223</v>
      </c>
      <c r="C6071" s="29"/>
      <c r="D6071" s="29" t="s">
        <v>4156</v>
      </c>
      <c r="E6071" s="29"/>
      <c r="F6071" s="29" t="s">
        <v>4173</v>
      </c>
      <c r="G6071" s="29"/>
      <c r="H6071" s="29" t="s">
        <v>4174</v>
      </c>
      <c r="I6071" s="29"/>
      <c r="J6071" s="29" t="s">
        <v>4176</v>
      </c>
      <c r="K6071" s="29"/>
      <c r="L6071" s="29" t="s">
        <v>1434</v>
      </c>
      <c r="M6071" s="29"/>
      <c r="N6071" s="29" t="s">
        <v>1517</v>
      </c>
      <c r="O6071" s="29"/>
      <c r="P6071" s="29" t="s">
        <v>1518</v>
      </c>
      <c r="Q6071" t="s">
        <v>2040</v>
      </c>
      <c r="R6071" t="s">
        <v>2634</v>
      </c>
      <c r="S6071">
        <v>35</v>
      </c>
      <c r="T6071" s="43" t="str">
        <f>HYPERLINK("https://ictv.global/ictv/proposals/2019.006G.zip","2019.006G.zip")</f>
        <v>2019.006G.zip</v>
      </c>
      <c r="U6071" s="43" t="str">
        <f>HYPERLINK("https://ictv.global/taxonomy/taxondetails?taxnode_id=202202991","ictv.global=202202991")</f>
        <v>ictv.global=202202991</v>
      </c>
    </row>
    <row r="6072" spans="1:21">
      <c r="A6072">
        <v>6071</v>
      </c>
      <c r="B6072" s="29" t="s">
        <v>3223</v>
      </c>
      <c r="C6072" s="29"/>
      <c r="D6072" s="29" t="s">
        <v>4156</v>
      </c>
      <c r="E6072" s="29"/>
      <c r="F6072" s="29" t="s">
        <v>4173</v>
      </c>
      <c r="G6072" s="29"/>
      <c r="H6072" s="29" t="s">
        <v>4174</v>
      </c>
      <c r="I6072" s="29"/>
      <c r="J6072" s="29" t="s">
        <v>4176</v>
      </c>
      <c r="K6072" s="29"/>
      <c r="L6072" s="29" t="s">
        <v>1434</v>
      </c>
      <c r="M6072" s="29"/>
      <c r="N6072" s="29" t="s">
        <v>1517</v>
      </c>
      <c r="O6072" s="29"/>
      <c r="P6072" s="29" t="s">
        <v>1519</v>
      </c>
      <c r="Q6072" t="s">
        <v>2040</v>
      </c>
      <c r="R6072" t="s">
        <v>6901</v>
      </c>
      <c r="S6072">
        <v>36</v>
      </c>
      <c r="T6072" s="43" t="str">
        <f>HYPERLINK("https://ictv.global/ictv/proposals/2020.001G.R.Abolish_type_species.pdf","2020.001G.R.Abolish_type_species.pdf")</f>
        <v>2020.001G.R.Abolish_type_species.pdf</v>
      </c>
      <c r="U6072" s="43" t="str">
        <f>HYPERLINK("https://ictv.global/taxonomy/taxondetails?taxnode_id=202202992","ictv.global=202202992")</f>
        <v>ictv.global=202202992</v>
      </c>
    </row>
    <row r="6073" spans="1:21">
      <c r="A6073">
        <v>6072</v>
      </c>
      <c r="B6073" s="29" t="s">
        <v>3223</v>
      </c>
      <c r="C6073" s="29"/>
      <c r="D6073" s="29" t="s">
        <v>4156</v>
      </c>
      <c r="E6073" s="29"/>
      <c r="F6073" s="29" t="s">
        <v>4173</v>
      </c>
      <c r="G6073" s="29"/>
      <c r="H6073" s="29" t="s">
        <v>4174</v>
      </c>
      <c r="I6073" s="29"/>
      <c r="J6073" s="29" t="s">
        <v>4176</v>
      </c>
      <c r="K6073" s="29"/>
      <c r="L6073" s="29" t="s">
        <v>1434</v>
      </c>
      <c r="M6073" s="29"/>
      <c r="N6073" s="29" t="s">
        <v>1517</v>
      </c>
      <c r="O6073" s="29"/>
      <c r="P6073" s="29" t="s">
        <v>4179</v>
      </c>
      <c r="Q6073" t="s">
        <v>2040</v>
      </c>
      <c r="R6073" t="s">
        <v>2632</v>
      </c>
      <c r="S6073">
        <v>35</v>
      </c>
      <c r="T6073" s="43" t="str">
        <f>HYPERLINK("https://ictv.global/ictv/proposals/2019.007P.zip","2019.007P.zip")</f>
        <v>2019.007P.zip</v>
      </c>
      <c r="U6073" s="43" t="str">
        <f>HYPERLINK("https://ictv.global/taxonomy/taxondetails?taxnode_id=202207264","ictv.global=202207264")</f>
        <v>ictv.global=202207264</v>
      </c>
    </row>
    <row r="6074" spans="1:21">
      <c r="A6074">
        <v>6073</v>
      </c>
      <c r="B6074" s="29" t="s">
        <v>3223</v>
      </c>
      <c r="C6074" s="29"/>
      <c r="D6074" s="29" t="s">
        <v>4156</v>
      </c>
      <c r="E6074" s="29"/>
      <c r="F6074" s="29" t="s">
        <v>4173</v>
      </c>
      <c r="G6074" s="29"/>
      <c r="H6074" s="29" t="s">
        <v>4174</v>
      </c>
      <c r="I6074" s="29"/>
      <c r="J6074" s="29" t="s">
        <v>4176</v>
      </c>
      <c r="K6074" s="29"/>
      <c r="L6074" s="29" t="s">
        <v>1434</v>
      </c>
      <c r="M6074" s="29"/>
      <c r="N6074" s="29" t="s">
        <v>1517</v>
      </c>
      <c r="O6074" s="29"/>
      <c r="P6074" s="29" t="s">
        <v>1520</v>
      </c>
      <c r="Q6074" t="s">
        <v>2040</v>
      </c>
      <c r="R6074" t="s">
        <v>2634</v>
      </c>
      <c r="S6074">
        <v>35</v>
      </c>
      <c r="T6074" s="43" t="str">
        <f>HYPERLINK("https://ictv.global/ictv/proposals/2019.006G.zip","2019.006G.zip")</f>
        <v>2019.006G.zip</v>
      </c>
      <c r="U6074" s="43" t="str">
        <f>HYPERLINK("https://ictv.global/taxonomy/taxondetails?taxnode_id=202202993","ictv.global=202202993")</f>
        <v>ictv.global=202202993</v>
      </c>
    </row>
    <row r="6075" spans="1:21">
      <c r="A6075">
        <v>6074</v>
      </c>
      <c r="B6075" s="29" t="s">
        <v>3223</v>
      </c>
      <c r="C6075" s="29"/>
      <c r="D6075" s="29" t="s">
        <v>4156</v>
      </c>
      <c r="E6075" s="29"/>
      <c r="F6075" s="29" t="s">
        <v>4173</v>
      </c>
      <c r="G6075" s="29"/>
      <c r="H6075" s="29" t="s">
        <v>4174</v>
      </c>
      <c r="I6075" s="29"/>
      <c r="J6075" s="29" t="s">
        <v>4176</v>
      </c>
      <c r="K6075" s="29"/>
      <c r="L6075" s="29" t="s">
        <v>1434</v>
      </c>
      <c r="M6075" s="29"/>
      <c r="N6075" s="29" t="s">
        <v>1517</v>
      </c>
      <c r="O6075" s="29"/>
      <c r="P6075" s="29" t="s">
        <v>1521</v>
      </c>
      <c r="Q6075" t="s">
        <v>2040</v>
      </c>
      <c r="R6075" t="s">
        <v>2634</v>
      </c>
      <c r="S6075">
        <v>35</v>
      </c>
      <c r="T6075" s="43" t="str">
        <f>HYPERLINK("https://ictv.global/ictv/proposals/2019.006G.zip","2019.006G.zip")</f>
        <v>2019.006G.zip</v>
      </c>
      <c r="U6075" s="43" t="str">
        <f>HYPERLINK("https://ictv.global/taxonomy/taxondetails?taxnode_id=202202994","ictv.global=202202994")</f>
        <v>ictv.global=202202994</v>
      </c>
    </row>
    <row r="6076" spans="1:21">
      <c r="A6076">
        <v>6075</v>
      </c>
      <c r="B6076" s="29" t="s">
        <v>3223</v>
      </c>
      <c r="C6076" s="29"/>
      <c r="D6076" s="29" t="s">
        <v>4156</v>
      </c>
      <c r="E6076" s="29"/>
      <c r="F6076" s="29" t="s">
        <v>4173</v>
      </c>
      <c r="G6076" s="29"/>
      <c r="H6076" s="29" t="s">
        <v>4174</v>
      </c>
      <c r="I6076" s="29"/>
      <c r="J6076" s="29" t="s">
        <v>4176</v>
      </c>
      <c r="K6076" s="29"/>
      <c r="L6076" s="29" t="s">
        <v>1434</v>
      </c>
      <c r="M6076" s="29"/>
      <c r="N6076" s="29" t="s">
        <v>1517</v>
      </c>
      <c r="O6076" s="29"/>
      <c r="P6076" s="29" t="s">
        <v>5191</v>
      </c>
      <c r="Q6076" t="s">
        <v>2040</v>
      </c>
      <c r="R6076" t="s">
        <v>2632</v>
      </c>
      <c r="S6076">
        <v>36</v>
      </c>
      <c r="T6076" s="43" t="str">
        <f>HYPERLINK("https://ictv.global/ictv/proposals/2020.004P.R.Closteroviridae_3nsp.zip","2020.004P.R.Closteroviridae_3nsp.zip")</f>
        <v>2020.004P.R.Closteroviridae_3nsp.zip</v>
      </c>
      <c r="U6076" s="43" t="str">
        <f>HYPERLINK("https://ictv.global/taxonomy/taxondetails?taxnode_id=202208910","ictv.global=202208910")</f>
        <v>ictv.global=202208910</v>
      </c>
    </row>
    <row r="6077" spans="1:21">
      <c r="A6077">
        <v>6076</v>
      </c>
      <c r="B6077" s="29" t="s">
        <v>3223</v>
      </c>
      <c r="C6077" s="29"/>
      <c r="D6077" s="29" t="s">
        <v>4156</v>
      </c>
      <c r="E6077" s="29"/>
      <c r="F6077" s="29" t="s">
        <v>4173</v>
      </c>
      <c r="G6077" s="29"/>
      <c r="H6077" s="29" t="s">
        <v>4174</v>
      </c>
      <c r="I6077" s="29"/>
      <c r="J6077" s="29" t="s">
        <v>4176</v>
      </c>
      <c r="K6077" s="29"/>
      <c r="L6077" s="29" t="s">
        <v>1434</v>
      </c>
      <c r="M6077" s="29"/>
      <c r="N6077" s="29" t="s">
        <v>1517</v>
      </c>
      <c r="O6077" s="29"/>
      <c r="P6077" s="29" t="s">
        <v>1522</v>
      </c>
      <c r="Q6077" t="s">
        <v>2040</v>
      </c>
      <c r="R6077" t="s">
        <v>2634</v>
      </c>
      <c r="S6077">
        <v>35</v>
      </c>
      <c r="T6077" s="43" t="str">
        <f>HYPERLINK("https://ictv.global/ictv/proposals/2019.006G.zip","2019.006G.zip")</f>
        <v>2019.006G.zip</v>
      </c>
      <c r="U6077" s="43" t="str">
        <f>HYPERLINK("https://ictv.global/taxonomy/taxondetails?taxnode_id=202202995","ictv.global=202202995")</f>
        <v>ictv.global=202202995</v>
      </c>
    </row>
    <row r="6078" spans="1:21">
      <c r="A6078">
        <v>6077</v>
      </c>
      <c r="B6078" s="29" t="s">
        <v>3223</v>
      </c>
      <c r="C6078" s="29"/>
      <c r="D6078" s="29" t="s">
        <v>4156</v>
      </c>
      <c r="E6078" s="29"/>
      <c r="F6078" s="29" t="s">
        <v>4173</v>
      </c>
      <c r="G6078" s="29"/>
      <c r="H6078" s="29" t="s">
        <v>4174</v>
      </c>
      <c r="I6078" s="29"/>
      <c r="J6078" s="29" t="s">
        <v>4176</v>
      </c>
      <c r="K6078" s="29"/>
      <c r="L6078" s="29" t="s">
        <v>1434</v>
      </c>
      <c r="M6078" s="29"/>
      <c r="N6078" s="29" t="s">
        <v>1517</v>
      </c>
      <c r="O6078" s="29"/>
      <c r="P6078" s="29" t="s">
        <v>1523</v>
      </c>
      <c r="Q6078" t="s">
        <v>2040</v>
      </c>
      <c r="R6078" t="s">
        <v>2634</v>
      </c>
      <c r="S6078">
        <v>35</v>
      </c>
      <c r="T6078" s="43" t="str">
        <f>HYPERLINK("https://ictv.global/ictv/proposals/2019.006G.zip","2019.006G.zip")</f>
        <v>2019.006G.zip</v>
      </c>
      <c r="U6078" s="43" t="str">
        <f>HYPERLINK("https://ictv.global/taxonomy/taxondetails?taxnode_id=202202996","ictv.global=202202996")</f>
        <v>ictv.global=202202996</v>
      </c>
    </row>
    <row r="6079" spans="1:21">
      <c r="A6079">
        <v>6078</v>
      </c>
      <c r="B6079" s="29" t="s">
        <v>3223</v>
      </c>
      <c r="C6079" s="29"/>
      <c r="D6079" s="29" t="s">
        <v>4156</v>
      </c>
      <c r="E6079" s="29"/>
      <c r="F6079" s="29" t="s">
        <v>4173</v>
      </c>
      <c r="G6079" s="29"/>
      <c r="H6079" s="29" t="s">
        <v>4174</v>
      </c>
      <c r="I6079" s="29"/>
      <c r="J6079" s="29" t="s">
        <v>4176</v>
      </c>
      <c r="K6079" s="29"/>
      <c r="L6079" s="29" t="s">
        <v>1434</v>
      </c>
      <c r="M6079" s="29"/>
      <c r="N6079" s="29" t="s">
        <v>1517</v>
      </c>
      <c r="O6079" s="29"/>
      <c r="P6079" s="29" t="s">
        <v>1524</v>
      </c>
      <c r="Q6079" t="s">
        <v>2040</v>
      </c>
      <c r="R6079" t="s">
        <v>2634</v>
      </c>
      <c r="S6079">
        <v>35</v>
      </c>
      <c r="T6079" s="43" t="str">
        <f>HYPERLINK("https://ictv.global/ictv/proposals/2019.006G.zip","2019.006G.zip")</f>
        <v>2019.006G.zip</v>
      </c>
      <c r="U6079" s="43" t="str">
        <f>HYPERLINK("https://ictv.global/taxonomy/taxondetails?taxnode_id=202202997","ictv.global=202202997")</f>
        <v>ictv.global=202202997</v>
      </c>
    </row>
    <row r="6080" spans="1:21">
      <c r="A6080">
        <v>6079</v>
      </c>
      <c r="B6080" s="29" t="s">
        <v>3223</v>
      </c>
      <c r="C6080" s="29"/>
      <c r="D6080" s="29" t="s">
        <v>4156</v>
      </c>
      <c r="E6080" s="29"/>
      <c r="F6080" s="29" t="s">
        <v>4173</v>
      </c>
      <c r="G6080" s="29"/>
      <c r="H6080" s="29" t="s">
        <v>4174</v>
      </c>
      <c r="I6080" s="29"/>
      <c r="J6080" s="29" t="s">
        <v>4176</v>
      </c>
      <c r="K6080" s="29"/>
      <c r="L6080" s="29" t="s">
        <v>1434</v>
      </c>
      <c r="M6080" s="29"/>
      <c r="N6080" s="29" t="s">
        <v>1517</v>
      </c>
      <c r="O6080" s="29"/>
      <c r="P6080" s="29" t="s">
        <v>1525</v>
      </c>
      <c r="Q6080" t="s">
        <v>2040</v>
      </c>
      <c r="R6080" t="s">
        <v>2634</v>
      </c>
      <c r="S6080">
        <v>35</v>
      </c>
      <c r="T6080" s="43" t="str">
        <f>HYPERLINK("https://ictv.global/ictv/proposals/2019.006G.zip","2019.006G.zip")</f>
        <v>2019.006G.zip</v>
      </c>
      <c r="U6080" s="43" t="str">
        <f>HYPERLINK("https://ictv.global/taxonomy/taxondetails?taxnode_id=202202998","ictv.global=202202998")</f>
        <v>ictv.global=202202998</v>
      </c>
    </row>
    <row r="6081" spans="1:21">
      <c r="A6081">
        <v>6080</v>
      </c>
      <c r="B6081" s="29" t="s">
        <v>3223</v>
      </c>
      <c r="C6081" s="29"/>
      <c r="D6081" s="29" t="s">
        <v>4156</v>
      </c>
      <c r="E6081" s="29"/>
      <c r="F6081" s="29" t="s">
        <v>4173</v>
      </c>
      <c r="G6081" s="29"/>
      <c r="H6081" s="29" t="s">
        <v>4174</v>
      </c>
      <c r="I6081" s="29"/>
      <c r="J6081" s="29" t="s">
        <v>4176</v>
      </c>
      <c r="K6081" s="29"/>
      <c r="L6081" s="29" t="s">
        <v>1434</v>
      </c>
      <c r="M6081" s="29"/>
      <c r="N6081" s="29" t="s">
        <v>1517</v>
      </c>
      <c r="O6081" s="29"/>
      <c r="P6081" s="29" t="s">
        <v>52</v>
      </c>
      <c r="Q6081" t="s">
        <v>2040</v>
      </c>
      <c r="R6081" t="s">
        <v>2634</v>
      </c>
      <c r="S6081">
        <v>35</v>
      </c>
      <c r="T6081" s="43" t="str">
        <f>HYPERLINK("https://ictv.global/ictv/proposals/2019.006G.zip","2019.006G.zip")</f>
        <v>2019.006G.zip</v>
      </c>
      <c r="U6081" s="43" t="str">
        <f>HYPERLINK("https://ictv.global/taxonomy/taxondetails?taxnode_id=202202999","ictv.global=202202999")</f>
        <v>ictv.global=202202999</v>
      </c>
    </row>
    <row r="6082" spans="1:21">
      <c r="A6082">
        <v>6081</v>
      </c>
      <c r="B6082" s="29" t="s">
        <v>3223</v>
      </c>
      <c r="C6082" s="29"/>
      <c r="D6082" s="29" t="s">
        <v>4156</v>
      </c>
      <c r="E6082" s="29"/>
      <c r="F6082" s="29" t="s">
        <v>4173</v>
      </c>
      <c r="G6082" s="29"/>
      <c r="H6082" s="29" t="s">
        <v>4174</v>
      </c>
      <c r="I6082" s="29"/>
      <c r="J6082" s="29" t="s">
        <v>4176</v>
      </c>
      <c r="K6082" s="29"/>
      <c r="L6082" s="29" t="s">
        <v>1434</v>
      </c>
      <c r="M6082" s="29"/>
      <c r="N6082" s="29" t="s">
        <v>1517</v>
      </c>
      <c r="O6082" s="29"/>
      <c r="P6082" s="29" t="s">
        <v>4180</v>
      </c>
      <c r="Q6082" t="s">
        <v>2040</v>
      </c>
      <c r="R6082" t="s">
        <v>2632</v>
      </c>
      <c r="S6082">
        <v>35</v>
      </c>
      <c r="T6082" s="43" t="str">
        <f>HYPERLINK("https://ictv.global/ictv/proposals/2019.007P.zip","2019.007P.zip")</f>
        <v>2019.007P.zip</v>
      </c>
      <c r="U6082" s="43" t="str">
        <f>HYPERLINK("https://ictv.global/taxonomy/taxondetails?taxnode_id=202207263","ictv.global=202207263")</f>
        <v>ictv.global=202207263</v>
      </c>
    </row>
    <row r="6083" spans="1:21">
      <c r="A6083">
        <v>6082</v>
      </c>
      <c r="B6083" s="29" t="s">
        <v>3223</v>
      </c>
      <c r="C6083" s="29"/>
      <c r="D6083" s="29" t="s">
        <v>4156</v>
      </c>
      <c r="E6083" s="29"/>
      <c r="F6083" s="29" t="s">
        <v>4173</v>
      </c>
      <c r="G6083" s="29"/>
      <c r="H6083" s="29" t="s">
        <v>4174</v>
      </c>
      <c r="I6083" s="29"/>
      <c r="J6083" s="29" t="s">
        <v>4176</v>
      </c>
      <c r="K6083" s="29"/>
      <c r="L6083" s="29" t="s">
        <v>1434</v>
      </c>
      <c r="M6083" s="29"/>
      <c r="N6083" s="29" t="s">
        <v>1517</v>
      </c>
      <c r="O6083" s="29"/>
      <c r="P6083" s="29" t="s">
        <v>2503</v>
      </c>
      <c r="Q6083" t="s">
        <v>2040</v>
      </c>
      <c r="R6083" t="s">
        <v>2634</v>
      </c>
      <c r="S6083">
        <v>35</v>
      </c>
      <c r="T6083" s="43" t="str">
        <f t="shared" ref="T6083:T6093" si="282">HYPERLINK("https://ictv.global/ictv/proposals/2019.006G.zip","2019.006G.zip")</f>
        <v>2019.006G.zip</v>
      </c>
      <c r="U6083" s="43" t="str">
        <f>HYPERLINK("https://ictv.global/taxonomy/taxondetails?taxnode_id=202203000","ictv.global=202203000")</f>
        <v>ictv.global=202203000</v>
      </c>
    </row>
    <row r="6084" spans="1:21">
      <c r="A6084">
        <v>6083</v>
      </c>
      <c r="B6084" s="29" t="s">
        <v>3223</v>
      </c>
      <c r="C6084" s="29"/>
      <c r="D6084" s="29" t="s">
        <v>4156</v>
      </c>
      <c r="E6084" s="29"/>
      <c r="F6084" s="29" t="s">
        <v>4173</v>
      </c>
      <c r="G6084" s="29"/>
      <c r="H6084" s="29" t="s">
        <v>4174</v>
      </c>
      <c r="I6084" s="29"/>
      <c r="J6084" s="29" t="s">
        <v>4176</v>
      </c>
      <c r="K6084" s="29"/>
      <c r="L6084" s="29" t="s">
        <v>1434</v>
      </c>
      <c r="M6084" s="29"/>
      <c r="N6084" s="29" t="s">
        <v>1517</v>
      </c>
      <c r="O6084" s="29"/>
      <c r="P6084" s="29" t="s">
        <v>53</v>
      </c>
      <c r="Q6084" t="s">
        <v>2040</v>
      </c>
      <c r="R6084" t="s">
        <v>2634</v>
      </c>
      <c r="S6084">
        <v>35</v>
      </c>
      <c r="T6084" s="43" t="str">
        <f t="shared" si="282"/>
        <v>2019.006G.zip</v>
      </c>
      <c r="U6084" s="43" t="str">
        <f>HYPERLINK("https://ictv.global/taxonomy/taxondetails?taxnode_id=202203001","ictv.global=202203001")</f>
        <v>ictv.global=202203001</v>
      </c>
    </row>
    <row r="6085" spans="1:21">
      <c r="A6085">
        <v>6084</v>
      </c>
      <c r="B6085" s="29" t="s">
        <v>3223</v>
      </c>
      <c r="C6085" s="29"/>
      <c r="D6085" s="29" t="s">
        <v>4156</v>
      </c>
      <c r="E6085" s="29"/>
      <c r="F6085" s="29" t="s">
        <v>4173</v>
      </c>
      <c r="G6085" s="29"/>
      <c r="H6085" s="29" t="s">
        <v>4174</v>
      </c>
      <c r="I6085" s="29"/>
      <c r="J6085" s="29" t="s">
        <v>4176</v>
      </c>
      <c r="K6085" s="29"/>
      <c r="L6085" s="29" t="s">
        <v>1434</v>
      </c>
      <c r="M6085" s="29"/>
      <c r="N6085" s="29" t="s">
        <v>1517</v>
      </c>
      <c r="O6085" s="29"/>
      <c r="P6085" s="29" t="s">
        <v>2504</v>
      </c>
      <c r="Q6085" t="s">
        <v>2040</v>
      </c>
      <c r="R6085" t="s">
        <v>2634</v>
      </c>
      <c r="S6085">
        <v>35</v>
      </c>
      <c r="T6085" s="43" t="str">
        <f t="shared" si="282"/>
        <v>2019.006G.zip</v>
      </c>
      <c r="U6085" s="43" t="str">
        <f>HYPERLINK("https://ictv.global/taxonomy/taxondetails?taxnode_id=202203002","ictv.global=202203002")</f>
        <v>ictv.global=202203002</v>
      </c>
    </row>
    <row r="6086" spans="1:21">
      <c r="A6086">
        <v>6085</v>
      </c>
      <c r="B6086" s="29" t="s">
        <v>3223</v>
      </c>
      <c r="C6086" s="29"/>
      <c r="D6086" s="29" t="s">
        <v>4156</v>
      </c>
      <c r="E6086" s="29"/>
      <c r="F6086" s="29" t="s">
        <v>4173</v>
      </c>
      <c r="G6086" s="29"/>
      <c r="H6086" s="29" t="s">
        <v>4174</v>
      </c>
      <c r="I6086" s="29"/>
      <c r="J6086" s="29" t="s">
        <v>4176</v>
      </c>
      <c r="K6086" s="29"/>
      <c r="L6086" s="29" t="s">
        <v>1434</v>
      </c>
      <c r="M6086" s="29"/>
      <c r="N6086" s="29" t="s">
        <v>1517</v>
      </c>
      <c r="O6086" s="29"/>
      <c r="P6086" s="29" t="s">
        <v>1526</v>
      </c>
      <c r="Q6086" t="s">
        <v>2040</v>
      </c>
      <c r="R6086" t="s">
        <v>2634</v>
      </c>
      <c r="S6086">
        <v>35</v>
      </c>
      <c r="T6086" s="43" t="str">
        <f t="shared" si="282"/>
        <v>2019.006G.zip</v>
      </c>
      <c r="U6086" s="43" t="str">
        <f>HYPERLINK("https://ictv.global/taxonomy/taxondetails?taxnode_id=202203003","ictv.global=202203003")</f>
        <v>ictv.global=202203003</v>
      </c>
    </row>
    <row r="6087" spans="1:21">
      <c r="A6087">
        <v>6086</v>
      </c>
      <c r="B6087" s="29" t="s">
        <v>3223</v>
      </c>
      <c r="C6087" s="29"/>
      <c r="D6087" s="29" t="s">
        <v>4156</v>
      </c>
      <c r="E6087" s="29"/>
      <c r="F6087" s="29" t="s">
        <v>4173</v>
      </c>
      <c r="G6087" s="29"/>
      <c r="H6087" s="29" t="s">
        <v>4174</v>
      </c>
      <c r="I6087" s="29"/>
      <c r="J6087" s="29" t="s">
        <v>4176</v>
      </c>
      <c r="K6087" s="29"/>
      <c r="L6087" s="29" t="s">
        <v>1434</v>
      </c>
      <c r="M6087" s="29"/>
      <c r="N6087" s="29" t="s">
        <v>1527</v>
      </c>
      <c r="O6087" s="29"/>
      <c r="P6087" s="29" t="s">
        <v>1528</v>
      </c>
      <c r="Q6087" t="s">
        <v>2040</v>
      </c>
      <c r="R6087" t="s">
        <v>2634</v>
      </c>
      <c r="S6087">
        <v>35</v>
      </c>
      <c r="T6087" s="43" t="str">
        <f t="shared" si="282"/>
        <v>2019.006G.zip</v>
      </c>
      <c r="U6087" s="43" t="str">
        <f>HYPERLINK("https://ictv.global/taxonomy/taxondetails?taxnode_id=202203005","ictv.global=202203005")</f>
        <v>ictv.global=202203005</v>
      </c>
    </row>
    <row r="6088" spans="1:21">
      <c r="A6088">
        <v>6087</v>
      </c>
      <c r="B6088" s="29" t="s">
        <v>3223</v>
      </c>
      <c r="C6088" s="29"/>
      <c r="D6088" s="29" t="s">
        <v>4156</v>
      </c>
      <c r="E6088" s="29"/>
      <c r="F6088" s="29" t="s">
        <v>4173</v>
      </c>
      <c r="G6088" s="29"/>
      <c r="H6088" s="29" t="s">
        <v>4174</v>
      </c>
      <c r="I6088" s="29"/>
      <c r="J6088" s="29" t="s">
        <v>4176</v>
      </c>
      <c r="K6088" s="29"/>
      <c r="L6088" s="29" t="s">
        <v>1434</v>
      </c>
      <c r="M6088" s="29"/>
      <c r="N6088" s="29" t="s">
        <v>1527</v>
      </c>
      <c r="O6088" s="29"/>
      <c r="P6088" s="29" t="s">
        <v>1579</v>
      </c>
      <c r="Q6088" t="s">
        <v>2040</v>
      </c>
      <c r="R6088" t="s">
        <v>2634</v>
      </c>
      <c r="S6088">
        <v>35</v>
      </c>
      <c r="T6088" s="43" t="str">
        <f t="shared" si="282"/>
        <v>2019.006G.zip</v>
      </c>
      <c r="U6088" s="43" t="str">
        <f>HYPERLINK("https://ictv.global/taxonomy/taxondetails?taxnode_id=202203006","ictv.global=202203006")</f>
        <v>ictv.global=202203006</v>
      </c>
    </row>
    <row r="6089" spans="1:21">
      <c r="A6089">
        <v>6088</v>
      </c>
      <c r="B6089" s="29" t="s">
        <v>3223</v>
      </c>
      <c r="C6089" s="29"/>
      <c r="D6089" s="29" t="s">
        <v>4156</v>
      </c>
      <c r="E6089" s="29"/>
      <c r="F6089" s="29" t="s">
        <v>4173</v>
      </c>
      <c r="G6089" s="29"/>
      <c r="H6089" s="29" t="s">
        <v>4174</v>
      </c>
      <c r="I6089" s="29"/>
      <c r="J6089" s="29" t="s">
        <v>4176</v>
      </c>
      <c r="K6089" s="29"/>
      <c r="L6089" s="29" t="s">
        <v>1434</v>
      </c>
      <c r="M6089" s="29"/>
      <c r="N6089" s="29" t="s">
        <v>1527</v>
      </c>
      <c r="O6089" s="29"/>
      <c r="P6089" s="29" t="s">
        <v>397</v>
      </c>
      <c r="Q6089" t="s">
        <v>2040</v>
      </c>
      <c r="R6089" t="s">
        <v>2634</v>
      </c>
      <c r="S6089">
        <v>35</v>
      </c>
      <c r="T6089" s="43" t="str">
        <f t="shared" si="282"/>
        <v>2019.006G.zip</v>
      </c>
      <c r="U6089" s="43" t="str">
        <f>HYPERLINK("https://ictv.global/taxonomy/taxondetails?taxnode_id=202203007","ictv.global=202203007")</f>
        <v>ictv.global=202203007</v>
      </c>
    </row>
    <row r="6090" spans="1:21">
      <c r="A6090">
        <v>6089</v>
      </c>
      <c r="B6090" s="29" t="s">
        <v>3223</v>
      </c>
      <c r="C6090" s="29"/>
      <c r="D6090" s="29" t="s">
        <v>4156</v>
      </c>
      <c r="E6090" s="29"/>
      <c r="F6090" s="29" t="s">
        <v>4173</v>
      </c>
      <c r="G6090" s="29"/>
      <c r="H6090" s="29" t="s">
        <v>4174</v>
      </c>
      <c r="I6090" s="29"/>
      <c r="J6090" s="29" t="s">
        <v>4176</v>
      </c>
      <c r="K6090" s="29"/>
      <c r="L6090" s="29" t="s">
        <v>1434</v>
      </c>
      <c r="M6090" s="29"/>
      <c r="N6090" s="29" t="s">
        <v>1527</v>
      </c>
      <c r="O6090" s="29"/>
      <c r="P6090" s="29" t="s">
        <v>398</v>
      </c>
      <c r="Q6090" t="s">
        <v>2040</v>
      </c>
      <c r="R6090" t="s">
        <v>2634</v>
      </c>
      <c r="S6090">
        <v>35</v>
      </c>
      <c r="T6090" s="43" t="str">
        <f t="shared" si="282"/>
        <v>2019.006G.zip</v>
      </c>
      <c r="U6090" s="43" t="str">
        <f>HYPERLINK("https://ictv.global/taxonomy/taxondetails?taxnode_id=202203008","ictv.global=202203008")</f>
        <v>ictv.global=202203008</v>
      </c>
    </row>
    <row r="6091" spans="1:21">
      <c r="A6091">
        <v>6090</v>
      </c>
      <c r="B6091" s="29" t="s">
        <v>3223</v>
      </c>
      <c r="C6091" s="29"/>
      <c r="D6091" s="29" t="s">
        <v>4156</v>
      </c>
      <c r="E6091" s="29"/>
      <c r="F6091" s="29" t="s">
        <v>4173</v>
      </c>
      <c r="G6091" s="29"/>
      <c r="H6091" s="29" t="s">
        <v>4174</v>
      </c>
      <c r="I6091" s="29"/>
      <c r="J6091" s="29" t="s">
        <v>4176</v>
      </c>
      <c r="K6091" s="29"/>
      <c r="L6091" s="29" t="s">
        <v>1434</v>
      </c>
      <c r="M6091" s="29"/>
      <c r="N6091" s="29" t="s">
        <v>1527</v>
      </c>
      <c r="O6091" s="29"/>
      <c r="P6091" s="29" t="s">
        <v>1529</v>
      </c>
      <c r="Q6091" t="s">
        <v>2040</v>
      </c>
      <c r="R6091" t="s">
        <v>2634</v>
      </c>
      <c r="S6091">
        <v>35</v>
      </c>
      <c r="T6091" s="43" t="str">
        <f t="shared" si="282"/>
        <v>2019.006G.zip</v>
      </c>
      <c r="U6091" s="43" t="str">
        <f>HYPERLINK("https://ictv.global/taxonomy/taxondetails?taxnode_id=202203009","ictv.global=202203009")</f>
        <v>ictv.global=202203009</v>
      </c>
    </row>
    <row r="6092" spans="1:21">
      <c r="A6092">
        <v>6091</v>
      </c>
      <c r="B6092" s="29" t="s">
        <v>3223</v>
      </c>
      <c r="C6092" s="29"/>
      <c r="D6092" s="29" t="s">
        <v>4156</v>
      </c>
      <c r="E6092" s="29"/>
      <c r="F6092" s="29" t="s">
        <v>4173</v>
      </c>
      <c r="G6092" s="29"/>
      <c r="H6092" s="29" t="s">
        <v>4174</v>
      </c>
      <c r="I6092" s="29"/>
      <c r="J6092" s="29" t="s">
        <v>4176</v>
      </c>
      <c r="K6092" s="29"/>
      <c r="L6092" s="29" t="s">
        <v>1434</v>
      </c>
      <c r="M6092" s="29"/>
      <c r="N6092" s="29" t="s">
        <v>1527</v>
      </c>
      <c r="O6092" s="29"/>
      <c r="P6092" s="29" t="s">
        <v>1653</v>
      </c>
      <c r="Q6092" t="s">
        <v>2040</v>
      </c>
      <c r="R6092" t="s">
        <v>2634</v>
      </c>
      <c r="S6092">
        <v>35</v>
      </c>
      <c r="T6092" s="43" t="str">
        <f t="shared" si="282"/>
        <v>2019.006G.zip</v>
      </c>
      <c r="U6092" s="43" t="str">
        <f>HYPERLINK("https://ictv.global/taxonomy/taxondetails?taxnode_id=202203010","ictv.global=202203010")</f>
        <v>ictv.global=202203010</v>
      </c>
    </row>
    <row r="6093" spans="1:21">
      <c r="A6093">
        <v>6092</v>
      </c>
      <c r="B6093" s="29" t="s">
        <v>3223</v>
      </c>
      <c r="C6093" s="29"/>
      <c r="D6093" s="29" t="s">
        <v>4156</v>
      </c>
      <c r="E6093" s="29"/>
      <c r="F6093" s="29" t="s">
        <v>4173</v>
      </c>
      <c r="G6093" s="29"/>
      <c r="H6093" s="29" t="s">
        <v>4174</v>
      </c>
      <c r="I6093" s="29"/>
      <c r="J6093" s="29" t="s">
        <v>4176</v>
      </c>
      <c r="K6093" s="29"/>
      <c r="L6093" s="29" t="s">
        <v>1434</v>
      </c>
      <c r="M6093" s="29"/>
      <c r="N6093" s="29" t="s">
        <v>1527</v>
      </c>
      <c r="O6093" s="29"/>
      <c r="P6093" s="29" t="s">
        <v>1441</v>
      </c>
      <c r="Q6093" t="s">
        <v>2040</v>
      </c>
      <c r="R6093" t="s">
        <v>2634</v>
      </c>
      <c r="S6093">
        <v>35</v>
      </c>
      <c r="T6093" s="43" t="str">
        <f t="shared" si="282"/>
        <v>2019.006G.zip</v>
      </c>
      <c r="U6093" s="43" t="str">
        <f>HYPERLINK("https://ictv.global/taxonomy/taxondetails?taxnode_id=202203011","ictv.global=202203011")</f>
        <v>ictv.global=202203011</v>
      </c>
    </row>
    <row r="6094" spans="1:21">
      <c r="A6094">
        <v>6093</v>
      </c>
      <c r="B6094" s="29" t="s">
        <v>3223</v>
      </c>
      <c r="C6094" s="29"/>
      <c r="D6094" s="29" t="s">
        <v>4156</v>
      </c>
      <c r="E6094" s="29"/>
      <c r="F6094" s="29" t="s">
        <v>4173</v>
      </c>
      <c r="G6094" s="29"/>
      <c r="H6094" s="29" t="s">
        <v>4174</v>
      </c>
      <c r="I6094" s="29"/>
      <c r="J6094" s="29" t="s">
        <v>4176</v>
      </c>
      <c r="K6094" s="29"/>
      <c r="L6094" s="29" t="s">
        <v>1434</v>
      </c>
      <c r="M6094" s="29"/>
      <c r="N6094" s="29" t="s">
        <v>1527</v>
      </c>
      <c r="O6094" s="29"/>
      <c r="P6094" s="29" t="s">
        <v>1442</v>
      </c>
      <c r="Q6094" t="s">
        <v>2040</v>
      </c>
      <c r="R6094" t="s">
        <v>6901</v>
      </c>
      <c r="S6094">
        <v>36</v>
      </c>
      <c r="T6094" s="43" t="str">
        <f>HYPERLINK("https://ictv.global/ictv/proposals/2020.001G.R.Abolish_type_species.pdf","2020.001G.R.Abolish_type_species.pdf")</f>
        <v>2020.001G.R.Abolish_type_species.pdf</v>
      </c>
      <c r="U6094" s="43" t="str">
        <f>HYPERLINK("https://ictv.global/taxonomy/taxondetails?taxnode_id=202203012","ictv.global=202203012")</f>
        <v>ictv.global=202203012</v>
      </c>
    </row>
    <row r="6095" spans="1:21">
      <c r="A6095">
        <v>6094</v>
      </c>
      <c r="B6095" s="29" t="s">
        <v>3223</v>
      </c>
      <c r="C6095" s="29"/>
      <c r="D6095" s="29" t="s">
        <v>4156</v>
      </c>
      <c r="E6095" s="29"/>
      <c r="F6095" s="29" t="s">
        <v>4173</v>
      </c>
      <c r="G6095" s="29"/>
      <c r="H6095" s="29" t="s">
        <v>4174</v>
      </c>
      <c r="I6095" s="29"/>
      <c r="J6095" s="29" t="s">
        <v>4176</v>
      </c>
      <c r="K6095" s="29"/>
      <c r="L6095" s="29" t="s">
        <v>1434</v>
      </c>
      <c r="M6095" s="29"/>
      <c r="N6095" s="29" t="s">
        <v>1527</v>
      </c>
      <c r="O6095" s="29"/>
      <c r="P6095" s="29" t="s">
        <v>1443</v>
      </c>
      <c r="Q6095" t="s">
        <v>2040</v>
      </c>
      <c r="R6095" t="s">
        <v>2634</v>
      </c>
      <c r="S6095">
        <v>35</v>
      </c>
      <c r="T6095" s="43" t="str">
        <f t="shared" ref="T6095:T6100" si="283">HYPERLINK("https://ictv.global/ictv/proposals/2019.006G.zip","2019.006G.zip")</f>
        <v>2019.006G.zip</v>
      </c>
      <c r="U6095" s="43" t="str">
        <f>HYPERLINK("https://ictv.global/taxonomy/taxondetails?taxnode_id=202203013","ictv.global=202203013")</f>
        <v>ictv.global=202203013</v>
      </c>
    </row>
    <row r="6096" spans="1:21">
      <c r="A6096">
        <v>6095</v>
      </c>
      <c r="B6096" s="29" t="s">
        <v>3223</v>
      </c>
      <c r="C6096" s="29"/>
      <c r="D6096" s="29" t="s">
        <v>4156</v>
      </c>
      <c r="E6096" s="29"/>
      <c r="F6096" s="29" t="s">
        <v>4173</v>
      </c>
      <c r="G6096" s="29"/>
      <c r="H6096" s="29" t="s">
        <v>4174</v>
      </c>
      <c r="I6096" s="29"/>
      <c r="J6096" s="29" t="s">
        <v>4176</v>
      </c>
      <c r="K6096" s="29"/>
      <c r="L6096" s="29" t="s">
        <v>1434</v>
      </c>
      <c r="M6096" s="29"/>
      <c r="N6096" s="29" t="s">
        <v>1527</v>
      </c>
      <c r="O6096" s="29"/>
      <c r="P6096" s="29" t="s">
        <v>1444</v>
      </c>
      <c r="Q6096" t="s">
        <v>2040</v>
      </c>
      <c r="R6096" t="s">
        <v>2634</v>
      </c>
      <c r="S6096">
        <v>35</v>
      </c>
      <c r="T6096" s="43" t="str">
        <f t="shared" si="283"/>
        <v>2019.006G.zip</v>
      </c>
      <c r="U6096" s="43" t="str">
        <f>HYPERLINK("https://ictv.global/taxonomy/taxondetails?taxnode_id=202203014","ictv.global=202203014")</f>
        <v>ictv.global=202203014</v>
      </c>
    </row>
    <row r="6097" spans="1:21">
      <c r="A6097">
        <v>6096</v>
      </c>
      <c r="B6097" s="29" t="s">
        <v>3223</v>
      </c>
      <c r="C6097" s="29"/>
      <c r="D6097" s="29" t="s">
        <v>4156</v>
      </c>
      <c r="E6097" s="29"/>
      <c r="F6097" s="29" t="s">
        <v>4173</v>
      </c>
      <c r="G6097" s="29"/>
      <c r="H6097" s="29" t="s">
        <v>4174</v>
      </c>
      <c r="I6097" s="29"/>
      <c r="J6097" s="29" t="s">
        <v>4176</v>
      </c>
      <c r="K6097" s="29"/>
      <c r="L6097" s="29" t="s">
        <v>1434</v>
      </c>
      <c r="M6097" s="29"/>
      <c r="N6097" s="29" t="s">
        <v>1527</v>
      </c>
      <c r="O6097" s="29"/>
      <c r="P6097" s="29" t="s">
        <v>395</v>
      </c>
      <c r="Q6097" t="s">
        <v>2040</v>
      </c>
      <c r="R6097" t="s">
        <v>2634</v>
      </c>
      <c r="S6097">
        <v>35</v>
      </c>
      <c r="T6097" s="43" t="str">
        <f t="shared" si="283"/>
        <v>2019.006G.zip</v>
      </c>
      <c r="U6097" s="43" t="str">
        <f>HYPERLINK("https://ictv.global/taxonomy/taxondetails?taxnode_id=202203015","ictv.global=202203015")</f>
        <v>ictv.global=202203015</v>
      </c>
    </row>
    <row r="6098" spans="1:21">
      <c r="A6098">
        <v>6097</v>
      </c>
      <c r="B6098" s="29" t="s">
        <v>3223</v>
      </c>
      <c r="C6098" s="29"/>
      <c r="D6098" s="29" t="s">
        <v>4156</v>
      </c>
      <c r="E6098" s="29"/>
      <c r="F6098" s="29" t="s">
        <v>4173</v>
      </c>
      <c r="G6098" s="29"/>
      <c r="H6098" s="29" t="s">
        <v>4174</v>
      </c>
      <c r="I6098" s="29"/>
      <c r="J6098" s="29" t="s">
        <v>4176</v>
      </c>
      <c r="K6098" s="29"/>
      <c r="L6098" s="29" t="s">
        <v>1434</v>
      </c>
      <c r="M6098" s="29"/>
      <c r="N6098" s="29" t="s">
        <v>1527</v>
      </c>
      <c r="O6098" s="29"/>
      <c r="P6098" s="29" t="s">
        <v>2505</v>
      </c>
      <c r="Q6098" t="s">
        <v>2040</v>
      </c>
      <c r="R6098" t="s">
        <v>2634</v>
      </c>
      <c r="S6098">
        <v>35</v>
      </c>
      <c r="T6098" s="43" t="str">
        <f t="shared" si="283"/>
        <v>2019.006G.zip</v>
      </c>
      <c r="U6098" s="43" t="str">
        <f>HYPERLINK("https://ictv.global/taxonomy/taxondetails?taxnode_id=202203016","ictv.global=202203016")</f>
        <v>ictv.global=202203016</v>
      </c>
    </row>
    <row r="6099" spans="1:21">
      <c r="A6099">
        <v>6098</v>
      </c>
      <c r="B6099" s="29" t="s">
        <v>3223</v>
      </c>
      <c r="C6099" s="29"/>
      <c r="D6099" s="29" t="s">
        <v>4156</v>
      </c>
      <c r="E6099" s="29"/>
      <c r="F6099" s="29" t="s">
        <v>4173</v>
      </c>
      <c r="G6099" s="29"/>
      <c r="H6099" s="29" t="s">
        <v>4174</v>
      </c>
      <c r="I6099" s="29"/>
      <c r="J6099" s="29" t="s">
        <v>4176</v>
      </c>
      <c r="K6099" s="29"/>
      <c r="L6099" s="29" t="s">
        <v>1434</v>
      </c>
      <c r="M6099" s="29"/>
      <c r="N6099" s="29" t="s">
        <v>1527</v>
      </c>
      <c r="O6099" s="29"/>
      <c r="P6099" s="29" t="s">
        <v>396</v>
      </c>
      <c r="Q6099" t="s">
        <v>2040</v>
      </c>
      <c r="R6099" t="s">
        <v>2634</v>
      </c>
      <c r="S6099">
        <v>35</v>
      </c>
      <c r="T6099" s="43" t="str">
        <f t="shared" si="283"/>
        <v>2019.006G.zip</v>
      </c>
      <c r="U6099" s="43" t="str">
        <f>HYPERLINK("https://ictv.global/taxonomy/taxondetails?taxnode_id=202203017","ictv.global=202203017")</f>
        <v>ictv.global=202203017</v>
      </c>
    </row>
    <row r="6100" spans="1:21">
      <c r="A6100">
        <v>6099</v>
      </c>
      <c r="B6100" s="29" t="s">
        <v>3223</v>
      </c>
      <c r="C6100" s="29"/>
      <c r="D6100" s="29" t="s">
        <v>4156</v>
      </c>
      <c r="E6100" s="29"/>
      <c r="F6100" s="29" t="s">
        <v>4173</v>
      </c>
      <c r="G6100" s="29"/>
      <c r="H6100" s="29" t="s">
        <v>4174</v>
      </c>
      <c r="I6100" s="29"/>
      <c r="J6100" s="29" t="s">
        <v>4176</v>
      </c>
      <c r="K6100" s="29"/>
      <c r="L6100" s="29" t="s">
        <v>1434</v>
      </c>
      <c r="M6100" s="29"/>
      <c r="N6100" s="29" t="s">
        <v>1527</v>
      </c>
      <c r="O6100" s="29"/>
      <c r="P6100" s="29" t="s">
        <v>1161</v>
      </c>
      <c r="Q6100" t="s">
        <v>2040</v>
      </c>
      <c r="R6100" t="s">
        <v>2634</v>
      </c>
      <c r="S6100">
        <v>35</v>
      </c>
      <c r="T6100" s="43" t="str">
        <f t="shared" si="283"/>
        <v>2019.006G.zip</v>
      </c>
      <c r="U6100" s="43" t="str">
        <f>HYPERLINK("https://ictv.global/taxonomy/taxondetails?taxnode_id=202203018","ictv.global=202203018")</f>
        <v>ictv.global=202203018</v>
      </c>
    </row>
    <row r="6101" spans="1:21">
      <c r="A6101">
        <v>6100</v>
      </c>
      <c r="B6101" s="29" t="s">
        <v>3223</v>
      </c>
      <c r="C6101" s="29"/>
      <c r="D6101" s="29" t="s">
        <v>4156</v>
      </c>
      <c r="E6101" s="29"/>
      <c r="F6101" s="29" t="s">
        <v>4173</v>
      </c>
      <c r="G6101" s="29"/>
      <c r="H6101" s="29" t="s">
        <v>4174</v>
      </c>
      <c r="I6101" s="29"/>
      <c r="J6101" s="29" t="s">
        <v>4176</v>
      </c>
      <c r="K6101" s="29"/>
      <c r="L6101" s="29" t="s">
        <v>1434</v>
      </c>
      <c r="M6101" s="29"/>
      <c r="N6101" s="29" t="s">
        <v>12241</v>
      </c>
      <c r="O6101" s="29"/>
      <c r="P6101" s="29" t="s">
        <v>1162</v>
      </c>
      <c r="Q6101" t="s">
        <v>2040</v>
      </c>
      <c r="R6101" t="s">
        <v>2634</v>
      </c>
      <c r="S6101">
        <v>37</v>
      </c>
      <c r="T6101" s="43" t="str">
        <f>HYPERLINK("https://ictv.global/ictv/proposals/2021.019P.R.Closteroviridae_3ngen_abolish_2sp.zip","2021.019P.R.Closteroviridae_3ngen_abolish_2sp.zip")</f>
        <v>2021.019P.R.Closteroviridae_3ngen_abolish_2sp.zip</v>
      </c>
      <c r="U6101" s="43" t="str">
        <f>HYPERLINK("https://ictv.global/taxonomy/taxondetails?taxnode_id=202203023","ictv.global=202203023")</f>
        <v>ictv.global=202203023</v>
      </c>
    </row>
    <row r="6102" spans="1:21">
      <c r="A6102">
        <v>6101</v>
      </c>
      <c r="B6102" s="29" t="s">
        <v>3223</v>
      </c>
      <c r="C6102" s="29"/>
      <c r="D6102" s="29" t="s">
        <v>4156</v>
      </c>
      <c r="E6102" s="29"/>
      <c r="F6102" s="29" t="s">
        <v>4173</v>
      </c>
      <c r="G6102" s="29"/>
      <c r="H6102" s="29" t="s">
        <v>4174</v>
      </c>
      <c r="I6102" s="29"/>
      <c r="J6102" s="29" t="s">
        <v>4176</v>
      </c>
      <c r="K6102" s="29"/>
      <c r="L6102" s="29" t="s">
        <v>1434</v>
      </c>
      <c r="M6102" s="29"/>
      <c r="N6102" s="29" t="s">
        <v>12242</v>
      </c>
      <c r="O6102" s="29"/>
      <c r="P6102" s="29" t="s">
        <v>3340</v>
      </c>
      <c r="Q6102" t="s">
        <v>2040</v>
      </c>
      <c r="R6102" t="s">
        <v>2634</v>
      </c>
      <c r="S6102">
        <v>37</v>
      </c>
      <c r="T6102" s="43" t="str">
        <f>HYPERLINK("https://ictv.global/ictv/proposals/2021.019P.R.Closteroviridae_3ngen_abolish_2sp.zip","2021.019P.R.Closteroviridae_3ngen_abolish_2sp.zip")</f>
        <v>2021.019P.R.Closteroviridae_3ngen_abolish_2sp.zip</v>
      </c>
      <c r="U6102" s="43" t="str">
        <f>HYPERLINK("https://ictv.global/taxonomy/taxondetails?taxnode_id=202206657","ictv.global=202206657")</f>
        <v>ictv.global=202206657</v>
      </c>
    </row>
    <row r="6103" spans="1:21">
      <c r="A6103">
        <v>6102</v>
      </c>
      <c r="B6103" s="29" t="s">
        <v>3223</v>
      </c>
      <c r="C6103" s="29"/>
      <c r="D6103" s="29" t="s">
        <v>4156</v>
      </c>
      <c r="E6103" s="29"/>
      <c r="F6103" s="29" t="s">
        <v>4173</v>
      </c>
      <c r="G6103" s="29"/>
      <c r="H6103" s="29" t="s">
        <v>4174</v>
      </c>
      <c r="I6103" s="29"/>
      <c r="J6103" s="29" t="s">
        <v>4176</v>
      </c>
      <c r="K6103" s="29"/>
      <c r="L6103" s="29" t="s">
        <v>1434</v>
      </c>
      <c r="M6103" s="29"/>
      <c r="N6103" s="29" t="s">
        <v>12242</v>
      </c>
      <c r="O6103" s="29"/>
      <c r="P6103" s="29" t="s">
        <v>1600</v>
      </c>
      <c r="Q6103" t="s">
        <v>2040</v>
      </c>
      <c r="R6103" t="s">
        <v>2634</v>
      </c>
      <c r="S6103">
        <v>37</v>
      </c>
      <c r="T6103" s="43" t="str">
        <f>HYPERLINK("https://ictv.global/ictv/proposals/2021.019P.R.Closteroviridae_3ngen_abolish_2sp.zip","2021.019P.R.Closteroviridae_3ngen_abolish_2sp.zip")</f>
        <v>2021.019P.R.Closteroviridae_3ngen_abolish_2sp.zip</v>
      </c>
      <c r="U6103" s="43" t="str">
        <f>HYPERLINK("https://ictv.global/taxonomy/taxondetails?taxnode_id=202203024","ictv.global=202203024")</f>
        <v>ictv.global=202203024</v>
      </c>
    </row>
    <row r="6104" spans="1:21">
      <c r="A6104">
        <v>6103</v>
      </c>
      <c r="B6104" s="29" t="s">
        <v>3223</v>
      </c>
      <c r="C6104" s="29"/>
      <c r="D6104" s="29" t="s">
        <v>4156</v>
      </c>
      <c r="E6104" s="29"/>
      <c r="F6104" s="29" t="s">
        <v>4173</v>
      </c>
      <c r="G6104" s="29"/>
      <c r="H6104" s="29" t="s">
        <v>4174</v>
      </c>
      <c r="I6104" s="29"/>
      <c r="J6104" s="29" t="s">
        <v>4176</v>
      </c>
      <c r="K6104" s="29"/>
      <c r="L6104" s="29" t="s">
        <v>1434</v>
      </c>
      <c r="M6104" s="29"/>
      <c r="N6104" s="29" t="s">
        <v>12242</v>
      </c>
      <c r="O6104" s="29"/>
      <c r="P6104" s="29" t="s">
        <v>2506</v>
      </c>
      <c r="Q6104" t="s">
        <v>2040</v>
      </c>
      <c r="R6104" t="s">
        <v>2634</v>
      </c>
      <c r="S6104">
        <v>37</v>
      </c>
      <c r="T6104" s="43" t="str">
        <f>HYPERLINK("https://ictv.global/ictv/proposals/2021.019P.R.Closteroviridae_3ngen_abolish_2sp.zip","2021.019P.R.Closteroviridae_3ngen_abolish_2sp.zip")</f>
        <v>2021.019P.R.Closteroviridae_3ngen_abolish_2sp.zip</v>
      </c>
      <c r="U6104" s="43" t="str">
        <f>HYPERLINK("https://ictv.global/taxonomy/taxondetails?taxnode_id=202203025","ictv.global=202203025")</f>
        <v>ictv.global=202203025</v>
      </c>
    </row>
    <row r="6105" spans="1:21">
      <c r="A6105">
        <v>6104</v>
      </c>
      <c r="B6105" s="29" t="s">
        <v>3223</v>
      </c>
      <c r="C6105" s="29"/>
      <c r="D6105" s="29" t="s">
        <v>4156</v>
      </c>
      <c r="E6105" s="29"/>
      <c r="F6105" s="29" t="s">
        <v>4173</v>
      </c>
      <c r="G6105" s="29"/>
      <c r="H6105" s="29" t="s">
        <v>4174</v>
      </c>
      <c r="I6105" s="29"/>
      <c r="J6105" s="29" t="s">
        <v>4176</v>
      </c>
      <c r="K6105" s="29"/>
      <c r="L6105" s="29" t="s">
        <v>1434</v>
      </c>
      <c r="M6105" s="29"/>
      <c r="N6105" s="29" t="s">
        <v>1787</v>
      </c>
      <c r="O6105" s="29"/>
      <c r="P6105" s="29" t="s">
        <v>2507</v>
      </c>
      <c r="Q6105" t="s">
        <v>2040</v>
      </c>
      <c r="R6105" t="s">
        <v>2634</v>
      </c>
      <c r="S6105">
        <v>35</v>
      </c>
      <c r="T6105" s="43" t="str">
        <f>HYPERLINK("https://ictv.global/ictv/proposals/2019.006G.zip","2019.006G.zip")</f>
        <v>2019.006G.zip</v>
      </c>
      <c r="U6105" s="43" t="str">
        <f>HYPERLINK("https://ictv.global/taxonomy/taxondetails?taxnode_id=202203027","ictv.global=202203027")</f>
        <v>ictv.global=202203027</v>
      </c>
    </row>
    <row r="6106" spans="1:21">
      <c r="A6106">
        <v>6105</v>
      </c>
      <c r="B6106" s="29" t="s">
        <v>3223</v>
      </c>
      <c r="C6106" s="29"/>
      <c r="D6106" s="29" t="s">
        <v>4156</v>
      </c>
      <c r="E6106" s="29"/>
      <c r="F6106" s="29" t="s">
        <v>4173</v>
      </c>
      <c r="G6106" s="29"/>
      <c r="H6106" s="29" t="s">
        <v>4174</v>
      </c>
      <c r="I6106" s="29"/>
      <c r="J6106" s="29" t="s">
        <v>4176</v>
      </c>
      <c r="K6106" s="29"/>
      <c r="L6106" s="29" t="s">
        <v>1434</v>
      </c>
      <c r="M6106" s="29"/>
      <c r="N6106" s="29" t="s">
        <v>1787</v>
      </c>
      <c r="O6106" s="29"/>
      <c r="P6106" s="29" t="s">
        <v>1788</v>
      </c>
      <c r="Q6106" t="s">
        <v>2040</v>
      </c>
      <c r="R6106" t="s">
        <v>2634</v>
      </c>
      <c r="S6106">
        <v>35</v>
      </c>
      <c r="T6106" s="43" t="str">
        <f>HYPERLINK("https://ictv.global/ictv/proposals/2019.006G.zip","2019.006G.zip")</f>
        <v>2019.006G.zip</v>
      </c>
      <c r="U6106" s="43" t="str">
        <f>HYPERLINK("https://ictv.global/taxonomy/taxondetails?taxnode_id=202203028","ictv.global=202203028")</f>
        <v>ictv.global=202203028</v>
      </c>
    </row>
    <row r="6107" spans="1:21">
      <c r="A6107">
        <v>6106</v>
      </c>
      <c r="B6107" s="29" t="s">
        <v>3223</v>
      </c>
      <c r="C6107" s="29"/>
      <c r="D6107" s="29" t="s">
        <v>4156</v>
      </c>
      <c r="E6107" s="29"/>
      <c r="F6107" s="29" t="s">
        <v>4173</v>
      </c>
      <c r="G6107" s="29"/>
      <c r="H6107" s="29" t="s">
        <v>4174</v>
      </c>
      <c r="I6107" s="29"/>
      <c r="J6107" s="29" t="s">
        <v>4176</v>
      </c>
      <c r="K6107" s="29"/>
      <c r="L6107" s="29" t="s">
        <v>1434</v>
      </c>
      <c r="M6107" s="29"/>
      <c r="N6107" s="29" t="s">
        <v>1787</v>
      </c>
      <c r="O6107" s="29"/>
      <c r="P6107" s="29" t="s">
        <v>2198</v>
      </c>
      <c r="Q6107" t="s">
        <v>2040</v>
      </c>
      <c r="R6107" t="s">
        <v>2634</v>
      </c>
      <c r="S6107">
        <v>35</v>
      </c>
      <c r="T6107" s="43" t="str">
        <f>HYPERLINK("https://ictv.global/ictv/proposals/2019.006G.zip","2019.006G.zip")</f>
        <v>2019.006G.zip</v>
      </c>
      <c r="U6107" s="43" t="str">
        <f>HYPERLINK("https://ictv.global/taxonomy/taxondetails?taxnode_id=202203029","ictv.global=202203029")</f>
        <v>ictv.global=202203029</v>
      </c>
    </row>
    <row r="6108" spans="1:21">
      <c r="A6108">
        <v>6107</v>
      </c>
      <c r="B6108" s="29" t="s">
        <v>3223</v>
      </c>
      <c r="C6108" s="29"/>
      <c r="D6108" s="29" t="s">
        <v>4156</v>
      </c>
      <c r="E6108" s="29"/>
      <c r="F6108" s="29" t="s">
        <v>4173</v>
      </c>
      <c r="G6108" s="29"/>
      <c r="H6108" s="29" t="s">
        <v>4174</v>
      </c>
      <c r="I6108" s="29"/>
      <c r="J6108" s="29" t="s">
        <v>4176</v>
      </c>
      <c r="K6108" s="29"/>
      <c r="L6108" s="29" t="s">
        <v>1434</v>
      </c>
      <c r="M6108" s="29"/>
      <c r="N6108" s="29" t="s">
        <v>1787</v>
      </c>
      <c r="O6108" s="29"/>
      <c r="P6108" s="29" t="s">
        <v>2199</v>
      </c>
      <c r="Q6108" t="s">
        <v>2040</v>
      </c>
      <c r="R6108" t="s">
        <v>2634</v>
      </c>
      <c r="S6108">
        <v>35</v>
      </c>
      <c r="T6108" s="43" t="str">
        <f>HYPERLINK("https://ictv.global/ictv/proposals/2019.006G.zip","2019.006G.zip")</f>
        <v>2019.006G.zip</v>
      </c>
      <c r="U6108" s="43" t="str">
        <f>HYPERLINK("https://ictv.global/taxonomy/taxondetails?taxnode_id=202203030","ictv.global=202203030")</f>
        <v>ictv.global=202203030</v>
      </c>
    </row>
    <row r="6109" spans="1:21">
      <c r="A6109">
        <v>6108</v>
      </c>
      <c r="B6109" s="29" t="s">
        <v>3223</v>
      </c>
      <c r="C6109" s="29"/>
      <c r="D6109" s="29" t="s">
        <v>4156</v>
      </c>
      <c r="E6109" s="29"/>
      <c r="F6109" s="29" t="s">
        <v>4173</v>
      </c>
      <c r="G6109" s="29"/>
      <c r="H6109" s="29" t="s">
        <v>4174</v>
      </c>
      <c r="I6109" s="29"/>
      <c r="J6109" s="29" t="s">
        <v>4176</v>
      </c>
      <c r="K6109" s="29"/>
      <c r="L6109" s="29" t="s">
        <v>1434</v>
      </c>
      <c r="M6109" s="29"/>
      <c r="N6109" s="29" t="s">
        <v>1787</v>
      </c>
      <c r="O6109" s="29"/>
      <c r="P6109" s="29" t="s">
        <v>2200</v>
      </c>
      <c r="Q6109" t="s">
        <v>2040</v>
      </c>
      <c r="R6109" t="s">
        <v>2634</v>
      </c>
      <c r="S6109">
        <v>35</v>
      </c>
      <c r="T6109" s="43" t="str">
        <f>HYPERLINK("https://ictv.global/ictv/proposals/2019.006G.zip","2019.006G.zip")</f>
        <v>2019.006G.zip</v>
      </c>
      <c r="U6109" s="43" t="str">
        <f>HYPERLINK("https://ictv.global/taxonomy/taxondetails?taxnode_id=202203031","ictv.global=202203031")</f>
        <v>ictv.global=202203031</v>
      </c>
    </row>
    <row r="6110" spans="1:21">
      <c r="A6110">
        <v>6109</v>
      </c>
      <c r="B6110" s="29" t="s">
        <v>3223</v>
      </c>
      <c r="C6110" s="29"/>
      <c r="D6110" s="29" t="s">
        <v>4156</v>
      </c>
      <c r="E6110" s="29"/>
      <c r="F6110" s="29" t="s">
        <v>4173</v>
      </c>
      <c r="G6110" s="29"/>
      <c r="H6110" s="29" t="s">
        <v>4174</v>
      </c>
      <c r="I6110" s="29"/>
      <c r="J6110" s="29" t="s">
        <v>4176</v>
      </c>
      <c r="K6110" s="29"/>
      <c r="L6110" s="29" t="s">
        <v>1434</v>
      </c>
      <c r="M6110" s="29"/>
      <c r="N6110" s="29" t="s">
        <v>1787</v>
      </c>
      <c r="O6110" s="29"/>
      <c r="P6110" s="29" t="s">
        <v>1598</v>
      </c>
      <c r="Q6110" t="s">
        <v>2040</v>
      </c>
      <c r="R6110" t="s">
        <v>6901</v>
      </c>
      <c r="S6110">
        <v>36</v>
      </c>
      <c r="T6110" s="43" t="str">
        <f>HYPERLINK("https://ictv.global/ictv/proposals/2020.001G.R.Abolish_type_species.pdf","2020.001G.R.Abolish_type_species.pdf")</f>
        <v>2020.001G.R.Abolish_type_species.pdf</v>
      </c>
      <c r="U6110" s="43" t="str">
        <f>HYPERLINK("https://ictv.global/taxonomy/taxondetails?taxnode_id=202203032","ictv.global=202203032")</f>
        <v>ictv.global=202203032</v>
      </c>
    </row>
    <row r="6111" spans="1:21">
      <c r="A6111">
        <v>6110</v>
      </c>
      <c r="B6111" s="29" t="s">
        <v>3223</v>
      </c>
      <c r="C6111" s="29"/>
      <c r="D6111" s="29" t="s">
        <v>4156</v>
      </c>
      <c r="E6111" s="29"/>
      <c r="F6111" s="29" t="s">
        <v>4173</v>
      </c>
      <c r="G6111" s="29"/>
      <c r="H6111" s="29" t="s">
        <v>4174</v>
      </c>
      <c r="I6111" s="29"/>
      <c r="J6111" s="29" t="s">
        <v>4176</v>
      </c>
      <c r="K6111" s="29"/>
      <c r="L6111" s="29" t="s">
        <v>1434</v>
      </c>
      <c r="M6111" s="29"/>
      <c r="N6111" s="29" t="s">
        <v>1787</v>
      </c>
      <c r="O6111" s="29"/>
      <c r="P6111" s="29" t="s">
        <v>1599</v>
      </c>
      <c r="Q6111" t="s">
        <v>2040</v>
      </c>
      <c r="R6111" t="s">
        <v>2634</v>
      </c>
      <c r="S6111">
        <v>35</v>
      </c>
      <c r="T6111" s="43" t="str">
        <f>HYPERLINK("https://ictv.global/ictv/proposals/2019.006G.zip","2019.006G.zip")</f>
        <v>2019.006G.zip</v>
      </c>
      <c r="U6111" s="43" t="str">
        <f>HYPERLINK("https://ictv.global/taxonomy/taxondetails?taxnode_id=202203033","ictv.global=202203033")</f>
        <v>ictv.global=202203033</v>
      </c>
    </row>
    <row r="6112" spans="1:21">
      <c r="A6112">
        <v>6111</v>
      </c>
      <c r="B6112" s="29" t="s">
        <v>3223</v>
      </c>
      <c r="C6112" s="29"/>
      <c r="D6112" s="29" t="s">
        <v>4156</v>
      </c>
      <c r="E6112" s="29"/>
      <c r="F6112" s="29" t="s">
        <v>4173</v>
      </c>
      <c r="G6112" s="29"/>
      <c r="H6112" s="29" t="s">
        <v>4174</v>
      </c>
      <c r="I6112" s="29"/>
      <c r="J6112" s="29" t="s">
        <v>4176</v>
      </c>
      <c r="K6112" s="29"/>
      <c r="L6112" s="29" t="s">
        <v>1434</v>
      </c>
      <c r="M6112" s="29"/>
      <c r="N6112" s="29" t="s">
        <v>1787</v>
      </c>
      <c r="O6112" s="29"/>
      <c r="P6112" s="29" t="s">
        <v>5192</v>
      </c>
      <c r="Q6112" t="s">
        <v>2040</v>
      </c>
      <c r="R6112" t="s">
        <v>2632</v>
      </c>
      <c r="S6112">
        <v>36</v>
      </c>
      <c r="T6112" s="43" t="str">
        <f>HYPERLINK("https://ictv.global/ictv/proposals/2020.004P.R.Closteroviridae_3nsp.zip","2020.004P.R.Closteroviridae_3nsp.zip")</f>
        <v>2020.004P.R.Closteroviridae_3nsp.zip</v>
      </c>
      <c r="U6112" s="43" t="str">
        <f>HYPERLINK("https://ictv.global/taxonomy/taxondetails?taxnode_id=202208912","ictv.global=202208912")</f>
        <v>ictv.global=202208912</v>
      </c>
    </row>
    <row r="6113" spans="1:21">
      <c r="A6113">
        <v>6112</v>
      </c>
      <c r="B6113" s="29" t="s">
        <v>3223</v>
      </c>
      <c r="C6113" s="29"/>
      <c r="D6113" s="29" t="s">
        <v>4156</v>
      </c>
      <c r="E6113" s="29"/>
      <c r="F6113" s="29" t="s">
        <v>4173</v>
      </c>
      <c r="G6113" s="29"/>
      <c r="H6113" s="29" t="s">
        <v>4174</v>
      </c>
      <c r="I6113" s="29"/>
      <c r="J6113" s="29" t="s">
        <v>4176</v>
      </c>
      <c r="K6113" s="29"/>
      <c r="L6113" s="29" t="s">
        <v>1229</v>
      </c>
      <c r="M6113" s="29"/>
      <c r="N6113" s="29" t="s">
        <v>2362</v>
      </c>
      <c r="O6113" s="29"/>
      <c r="P6113" s="29" t="s">
        <v>4181</v>
      </c>
      <c r="Q6113" t="s">
        <v>2040</v>
      </c>
      <c r="R6113" t="s">
        <v>2632</v>
      </c>
      <c r="S6113">
        <v>35</v>
      </c>
      <c r="T6113" s="43" t="str">
        <f>HYPERLINK("https://ictv.global/ictv/proposals/2019.023P.zip","2019.023P.zip")</f>
        <v>2019.023P.zip</v>
      </c>
      <c r="U6113" s="43" t="str">
        <f>HYPERLINK("https://ictv.global/taxonomy/taxondetails?taxnode_id=202207538","ictv.global=202207538")</f>
        <v>ictv.global=202207538</v>
      </c>
    </row>
    <row r="6114" spans="1:21">
      <c r="A6114">
        <v>6113</v>
      </c>
      <c r="B6114" s="29" t="s">
        <v>3223</v>
      </c>
      <c r="C6114" s="29"/>
      <c r="D6114" s="29" t="s">
        <v>4156</v>
      </c>
      <c r="E6114" s="29"/>
      <c r="F6114" s="29" t="s">
        <v>4173</v>
      </c>
      <c r="G6114" s="29"/>
      <c r="H6114" s="29" t="s">
        <v>4174</v>
      </c>
      <c r="I6114" s="29"/>
      <c r="J6114" s="29" t="s">
        <v>4176</v>
      </c>
      <c r="K6114" s="29"/>
      <c r="L6114" s="29" t="s">
        <v>1229</v>
      </c>
      <c r="M6114" s="29"/>
      <c r="N6114" s="29" t="s">
        <v>2362</v>
      </c>
      <c r="O6114" s="29"/>
      <c r="P6114" s="29" t="s">
        <v>2363</v>
      </c>
      <c r="Q6114" t="s">
        <v>2040</v>
      </c>
      <c r="R6114" t="s">
        <v>2634</v>
      </c>
      <c r="S6114">
        <v>35</v>
      </c>
      <c r="T6114" s="43" t="str">
        <f>HYPERLINK("https://ictv.global/ictv/proposals/2019.006G.zip","2019.006G.zip")</f>
        <v>2019.006G.zip</v>
      </c>
      <c r="U6114" s="43" t="str">
        <f>HYPERLINK("https://ictv.global/taxonomy/taxondetails?taxnode_id=202203045","ictv.global=202203045")</f>
        <v>ictv.global=202203045</v>
      </c>
    </row>
    <row r="6115" spans="1:21">
      <c r="A6115">
        <v>6114</v>
      </c>
      <c r="B6115" s="29" t="s">
        <v>3223</v>
      </c>
      <c r="C6115" s="29"/>
      <c r="D6115" s="29" t="s">
        <v>4156</v>
      </c>
      <c r="E6115" s="29"/>
      <c r="F6115" s="29" t="s">
        <v>4173</v>
      </c>
      <c r="G6115" s="29"/>
      <c r="H6115" s="29" t="s">
        <v>4174</v>
      </c>
      <c r="I6115" s="29"/>
      <c r="J6115" s="29" t="s">
        <v>4176</v>
      </c>
      <c r="K6115" s="29"/>
      <c r="L6115" s="29" t="s">
        <v>1229</v>
      </c>
      <c r="M6115" s="29"/>
      <c r="N6115" s="29" t="s">
        <v>2362</v>
      </c>
      <c r="O6115" s="29"/>
      <c r="P6115" s="29" t="s">
        <v>2364</v>
      </c>
      <c r="Q6115" t="s">
        <v>2040</v>
      </c>
      <c r="R6115" t="s">
        <v>2634</v>
      </c>
      <c r="S6115">
        <v>35</v>
      </c>
      <c r="T6115" s="43" t="str">
        <f>HYPERLINK("https://ictv.global/ictv/proposals/2019.006G.zip","2019.006G.zip")</f>
        <v>2019.006G.zip</v>
      </c>
      <c r="U6115" s="43" t="str">
        <f>HYPERLINK("https://ictv.global/taxonomy/taxondetails?taxnode_id=202203046","ictv.global=202203046")</f>
        <v>ictv.global=202203046</v>
      </c>
    </row>
    <row r="6116" spans="1:21">
      <c r="A6116">
        <v>6115</v>
      </c>
      <c r="B6116" s="29" t="s">
        <v>3223</v>
      </c>
      <c r="C6116" s="29"/>
      <c r="D6116" s="29" t="s">
        <v>4156</v>
      </c>
      <c r="E6116" s="29"/>
      <c r="F6116" s="29" t="s">
        <v>4173</v>
      </c>
      <c r="G6116" s="29"/>
      <c r="H6116" s="29" t="s">
        <v>4174</v>
      </c>
      <c r="I6116" s="29"/>
      <c r="J6116" s="29" t="s">
        <v>4176</v>
      </c>
      <c r="K6116" s="29"/>
      <c r="L6116" s="29" t="s">
        <v>1229</v>
      </c>
      <c r="M6116" s="29"/>
      <c r="N6116" s="29" t="s">
        <v>2362</v>
      </c>
      <c r="O6116" s="29"/>
      <c r="P6116" s="29" t="s">
        <v>4182</v>
      </c>
      <c r="Q6116" t="s">
        <v>2040</v>
      </c>
      <c r="R6116" t="s">
        <v>2632</v>
      </c>
      <c r="S6116">
        <v>35</v>
      </c>
      <c r="T6116" s="43" t="str">
        <f>HYPERLINK("https://ictv.global/ictv/proposals/2019.023P.zip","2019.023P.zip")</f>
        <v>2019.023P.zip</v>
      </c>
      <c r="U6116" s="43" t="str">
        <f>HYPERLINK("https://ictv.global/taxonomy/taxondetails?taxnode_id=202207539","ictv.global=202207539")</f>
        <v>ictv.global=202207539</v>
      </c>
    </row>
    <row r="6117" spans="1:21">
      <c r="A6117">
        <v>6116</v>
      </c>
      <c r="B6117" s="29" t="s">
        <v>3223</v>
      </c>
      <c r="C6117" s="29"/>
      <c r="D6117" s="29" t="s">
        <v>4156</v>
      </c>
      <c r="E6117" s="29"/>
      <c r="F6117" s="29" t="s">
        <v>4173</v>
      </c>
      <c r="G6117" s="29"/>
      <c r="H6117" s="29" t="s">
        <v>4174</v>
      </c>
      <c r="I6117" s="29"/>
      <c r="J6117" s="29" t="s">
        <v>4176</v>
      </c>
      <c r="K6117" s="29"/>
      <c r="L6117" s="29" t="s">
        <v>1229</v>
      </c>
      <c r="M6117" s="29"/>
      <c r="N6117" s="29" t="s">
        <v>2362</v>
      </c>
      <c r="O6117" s="29"/>
      <c r="P6117" s="29" t="s">
        <v>2508</v>
      </c>
      <c r="Q6117" t="s">
        <v>2040</v>
      </c>
      <c r="R6117" t="s">
        <v>2634</v>
      </c>
      <c r="S6117">
        <v>35</v>
      </c>
      <c r="T6117" s="43" t="str">
        <f>HYPERLINK("https://ictv.global/ictv/proposals/2019.006G.zip","2019.006G.zip")</f>
        <v>2019.006G.zip</v>
      </c>
      <c r="U6117" s="43" t="str">
        <f>HYPERLINK("https://ictv.global/taxonomy/taxondetails?taxnode_id=202203047","ictv.global=202203047")</f>
        <v>ictv.global=202203047</v>
      </c>
    </row>
    <row r="6118" spans="1:21">
      <c r="A6118">
        <v>6117</v>
      </c>
      <c r="B6118" s="29" t="s">
        <v>3223</v>
      </c>
      <c r="C6118" s="29"/>
      <c r="D6118" s="29" t="s">
        <v>4156</v>
      </c>
      <c r="E6118" s="29"/>
      <c r="F6118" s="29" t="s">
        <v>4173</v>
      </c>
      <c r="G6118" s="29"/>
      <c r="H6118" s="29" t="s">
        <v>4174</v>
      </c>
      <c r="I6118" s="29"/>
      <c r="J6118" s="29" t="s">
        <v>4176</v>
      </c>
      <c r="K6118" s="29"/>
      <c r="L6118" s="29" t="s">
        <v>1229</v>
      </c>
      <c r="M6118" s="29"/>
      <c r="N6118" s="29" t="s">
        <v>2362</v>
      </c>
      <c r="O6118" s="29"/>
      <c r="P6118" s="29" t="s">
        <v>2509</v>
      </c>
      <c r="Q6118" t="s">
        <v>2040</v>
      </c>
      <c r="R6118" t="s">
        <v>2634</v>
      </c>
      <c r="S6118">
        <v>35</v>
      </c>
      <c r="T6118" s="43" t="str">
        <f>HYPERLINK("https://ictv.global/ictv/proposals/2019.006G.zip","2019.006G.zip")</f>
        <v>2019.006G.zip</v>
      </c>
      <c r="U6118" s="43" t="str">
        <f>HYPERLINK("https://ictv.global/taxonomy/taxondetails?taxnode_id=202203048","ictv.global=202203048")</f>
        <v>ictv.global=202203048</v>
      </c>
    </row>
    <row r="6119" spans="1:21">
      <c r="A6119">
        <v>6118</v>
      </c>
      <c r="B6119" s="29" t="s">
        <v>3223</v>
      </c>
      <c r="C6119" s="29"/>
      <c r="D6119" s="29" t="s">
        <v>4156</v>
      </c>
      <c r="E6119" s="29"/>
      <c r="F6119" s="29" t="s">
        <v>4173</v>
      </c>
      <c r="G6119" s="29"/>
      <c r="H6119" s="29" t="s">
        <v>4174</v>
      </c>
      <c r="I6119" s="29"/>
      <c r="J6119" s="29" t="s">
        <v>4176</v>
      </c>
      <c r="K6119" s="29"/>
      <c r="L6119" s="29" t="s">
        <v>1229</v>
      </c>
      <c r="M6119" s="29"/>
      <c r="N6119" s="29" t="s">
        <v>2362</v>
      </c>
      <c r="O6119" s="29"/>
      <c r="P6119" s="29" t="s">
        <v>2510</v>
      </c>
      <c r="Q6119" t="s">
        <v>2040</v>
      </c>
      <c r="R6119" t="s">
        <v>2634</v>
      </c>
      <c r="S6119">
        <v>35</v>
      </c>
      <c r="T6119" s="43" t="str">
        <f>HYPERLINK("https://ictv.global/ictv/proposals/2019.006G.zip","2019.006G.zip")</f>
        <v>2019.006G.zip</v>
      </c>
      <c r="U6119" s="43" t="str">
        <f>HYPERLINK("https://ictv.global/taxonomy/taxondetails?taxnode_id=202203049","ictv.global=202203049")</f>
        <v>ictv.global=202203049</v>
      </c>
    </row>
    <row r="6120" spans="1:21">
      <c r="A6120">
        <v>6119</v>
      </c>
      <c r="B6120" s="29" t="s">
        <v>3223</v>
      </c>
      <c r="C6120" s="29"/>
      <c r="D6120" s="29" t="s">
        <v>4156</v>
      </c>
      <c r="E6120" s="29"/>
      <c r="F6120" s="29" t="s">
        <v>4173</v>
      </c>
      <c r="G6120" s="29"/>
      <c r="H6120" s="29" t="s">
        <v>4174</v>
      </c>
      <c r="I6120" s="29"/>
      <c r="J6120" s="29" t="s">
        <v>4176</v>
      </c>
      <c r="K6120" s="29"/>
      <c r="L6120" s="29" t="s">
        <v>1229</v>
      </c>
      <c r="M6120" s="29"/>
      <c r="N6120" s="29" t="s">
        <v>2362</v>
      </c>
      <c r="O6120" s="29"/>
      <c r="P6120" s="29" t="s">
        <v>4183</v>
      </c>
      <c r="Q6120" t="s">
        <v>2040</v>
      </c>
      <c r="R6120" t="s">
        <v>2632</v>
      </c>
      <c r="S6120">
        <v>35</v>
      </c>
      <c r="T6120" s="43" t="str">
        <f>HYPERLINK("https://ictv.global/ictv/proposals/2019.023P.zip","2019.023P.zip")</f>
        <v>2019.023P.zip</v>
      </c>
      <c r="U6120" s="43" t="str">
        <f>HYPERLINK("https://ictv.global/taxonomy/taxondetails?taxnode_id=202207540","ictv.global=202207540")</f>
        <v>ictv.global=202207540</v>
      </c>
    </row>
    <row r="6121" spans="1:21">
      <c r="A6121">
        <v>6120</v>
      </c>
      <c r="B6121" s="29" t="s">
        <v>3223</v>
      </c>
      <c r="C6121" s="29"/>
      <c r="D6121" s="29" t="s">
        <v>4156</v>
      </c>
      <c r="E6121" s="29"/>
      <c r="F6121" s="29" t="s">
        <v>4173</v>
      </c>
      <c r="G6121" s="29"/>
      <c r="H6121" s="29" t="s">
        <v>4174</v>
      </c>
      <c r="I6121" s="29"/>
      <c r="J6121" s="29" t="s">
        <v>4176</v>
      </c>
      <c r="K6121" s="29"/>
      <c r="L6121" s="29" t="s">
        <v>1229</v>
      </c>
      <c r="M6121" s="29"/>
      <c r="N6121" s="29" t="s">
        <v>2362</v>
      </c>
      <c r="O6121" s="29"/>
      <c r="P6121" s="29" t="s">
        <v>2365</v>
      </c>
      <c r="Q6121" t="s">
        <v>2040</v>
      </c>
      <c r="R6121" t="s">
        <v>2634</v>
      </c>
      <c r="S6121">
        <v>35</v>
      </c>
      <c r="T6121" s="43" t="str">
        <f>HYPERLINK("https://ictv.global/ictv/proposals/2019.006G.zip","2019.006G.zip")</f>
        <v>2019.006G.zip</v>
      </c>
      <c r="U6121" s="43" t="str">
        <f>HYPERLINK("https://ictv.global/taxonomy/taxondetails?taxnode_id=202203050","ictv.global=202203050")</f>
        <v>ictv.global=202203050</v>
      </c>
    </row>
    <row r="6122" spans="1:21">
      <c r="A6122">
        <v>6121</v>
      </c>
      <c r="B6122" s="29" t="s">
        <v>3223</v>
      </c>
      <c r="C6122" s="29"/>
      <c r="D6122" s="29" t="s">
        <v>4156</v>
      </c>
      <c r="E6122" s="29"/>
      <c r="F6122" s="29" t="s">
        <v>4173</v>
      </c>
      <c r="G6122" s="29"/>
      <c r="H6122" s="29" t="s">
        <v>4174</v>
      </c>
      <c r="I6122" s="29"/>
      <c r="J6122" s="29" t="s">
        <v>4176</v>
      </c>
      <c r="K6122" s="29"/>
      <c r="L6122" s="29" t="s">
        <v>1229</v>
      </c>
      <c r="M6122" s="29"/>
      <c r="N6122" s="29" t="s">
        <v>2362</v>
      </c>
      <c r="O6122" s="29"/>
      <c r="P6122" s="29" t="s">
        <v>2511</v>
      </c>
      <c r="Q6122" t="s">
        <v>2040</v>
      </c>
      <c r="R6122" t="s">
        <v>2634</v>
      </c>
      <c r="S6122">
        <v>35</v>
      </c>
      <c r="T6122" s="43" t="str">
        <f>HYPERLINK("https://ictv.global/ictv/proposals/2019.006G.zip","2019.006G.zip")</f>
        <v>2019.006G.zip</v>
      </c>
      <c r="U6122" s="43" t="str">
        <f>HYPERLINK("https://ictv.global/taxonomy/taxondetails?taxnode_id=202203051","ictv.global=202203051")</f>
        <v>ictv.global=202203051</v>
      </c>
    </row>
    <row r="6123" spans="1:21">
      <c r="A6123">
        <v>6122</v>
      </c>
      <c r="B6123" s="29" t="s">
        <v>3223</v>
      </c>
      <c r="C6123" s="29"/>
      <c r="D6123" s="29" t="s">
        <v>4156</v>
      </c>
      <c r="E6123" s="29"/>
      <c r="F6123" s="29" t="s">
        <v>4173</v>
      </c>
      <c r="G6123" s="29"/>
      <c r="H6123" s="29" t="s">
        <v>4174</v>
      </c>
      <c r="I6123" s="29"/>
      <c r="J6123" s="29" t="s">
        <v>4176</v>
      </c>
      <c r="K6123" s="29"/>
      <c r="L6123" s="29" t="s">
        <v>1229</v>
      </c>
      <c r="M6123" s="29"/>
      <c r="N6123" s="29" t="s">
        <v>2362</v>
      </c>
      <c r="O6123" s="29"/>
      <c r="P6123" s="29" t="s">
        <v>2512</v>
      </c>
      <c r="Q6123" t="s">
        <v>2040</v>
      </c>
      <c r="R6123" t="s">
        <v>2634</v>
      </c>
      <c r="S6123">
        <v>35</v>
      </c>
      <c r="T6123" s="43" t="str">
        <f>HYPERLINK("https://ictv.global/ictv/proposals/2019.006G.zip","2019.006G.zip")</f>
        <v>2019.006G.zip</v>
      </c>
      <c r="U6123" s="43" t="str">
        <f>HYPERLINK("https://ictv.global/taxonomy/taxondetails?taxnode_id=202203052","ictv.global=202203052")</f>
        <v>ictv.global=202203052</v>
      </c>
    </row>
    <row r="6124" spans="1:21">
      <c r="A6124">
        <v>6123</v>
      </c>
      <c r="B6124" s="29" t="s">
        <v>3223</v>
      </c>
      <c r="C6124" s="29"/>
      <c r="D6124" s="29" t="s">
        <v>4156</v>
      </c>
      <c r="E6124" s="29"/>
      <c r="F6124" s="29" t="s">
        <v>4173</v>
      </c>
      <c r="G6124" s="29"/>
      <c r="H6124" s="29" t="s">
        <v>4174</v>
      </c>
      <c r="I6124" s="29"/>
      <c r="J6124" s="29" t="s">
        <v>4176</v>
      </c>
      <c r="K6124" s="29"/>
      <c r="L6124" s="29" t="s">
        <v>1229</v>
      </c>
      <c r="M6124" s="29"/>
      <c r="N6124" s="29" t="s">
        <v>2362</v>
      </c>
      <c r="O6124" s="29"/>
      <c r="P6124" s="29" t="s">
        <v>2513</v>
      </c>
      <c r="Q6124" t="s">
        <v>2040</v>
      </c>
      <c r="R6124" t="s">
        <v>2634</v>
      </c>
      <c r="S6124">
        <v>35</v>
      </c>
      <c r="T6124" s="43" t="str">
        <f>HYPERLINK("https://ictv.global/ictv/proposals/2019.006G.zip","2019.006G.zip")</f>
        <v>2019.006G.zip</v>
      </c>
      <c r="U6124" s="43" t="str">
        <f>HYPERLINK("https://ictv.global/taxonomy/taxondetails?taxnode_id=202203053","ictv.global=202203053")</f>
        <v>ictv.global=202203053</v>
      </c>
    </row>
    <row r="6125" spans="1:21">
      <c r="A6125">
        <v>6124</v>
      </c>
      <c r="B6125" s="29" t="s">
        <v>3223</v>
      </c>
      <c r="C6125" s="29"/>
      <c r="D6125" s="29" t="s">
        <v>4156</v>
      </c>
      <c r="E6125" s="29"/>
      <c r="F6125" s="29" t="s">
        <v>4173</v>
      </c>
      <c r="G6125" s="29"/>
      <c r="H6125" s="29" t="s">
        <v>4174</v>
      </c>
      <c r="I6125" s="29"/>
      <c r="J6125" s="29" t="s">
        <v>4176</v>
      </c>
      <c r="K6125" s="29"/>
      <c r="L6125" s="29" t="s">
        <v>1229</v>
      </c>
      <c r="M6125" s="29"/>
      <c r="N6125" s="29" t="s">
        <v>2362</v>
      </c>
      <c r="O6125" s="29"/>
      <c r="P6125" s="29" t="s">
        <v>2366</v>
      </c>
      <c r="Q6125" t="s">
        <v>2040</v>
      </c>
      <c r="R6125" t="s">
        <v>2634</v>
      </c>
      <c r="S6125">
        <v>35</v>
      </c>
      <c r="T6125" s="43" t="str">
        <f>HYPERLINK("https://ictv.global/ictv/proposals/2019.006G.zip","2019.006G.zip")</f>
        <v>2019.006G.zip</v>
      </c>
      <c r="U6125" s="43" t="str">
        <f>HYPERLINK("https://ictv.global/taxonomy/taxondetails?taxnode_id=202203054","ictv.global=202203054")</f>
        <v>ictv.global=202203054</v>
      </c>
    </row>
    <row r="6126" spans="1:21">
      <c r="A6126">
        <v>6125</v>
      </c>
      <c r="B6126" s="29" t="s">
        <v>3223</v>
      </c>
      <c r="C6126" s="29"/>
      <c r="D6126" s="29" t="s">
        <v>4156</v>
      </c>
      <c r="E6126" s="29"/>
      <c r="F6126" s="29" t="s">
        <v>4173</v>
      </c>
      <c r="G6126" s="29"/>
      <c r="H6126" s="29" t="s">
        <v>4174</v>
      </c>
      <c r="I6126" s="29"/>
      <c r="J6126" s="29" t="s">
        <v>4176</v>
      </c>
      <c r="K6126" s="29"/>
      <c r="L6126" s="29" t="s">
        <v>1229</v>
      </c>
      <c r="M6126" s="29"/>
      <c r="N6126" s="29" t="s">
        <v>2362</v>
      </c>
      <c r="O6126" s="29"/>
      <c r="P6126" s="29" t="s">
        <v>2367</v>
      </c>
      <c r="Q6126" t="s">
        <v>2040</v>
      </c>
      <c r="R6126" t="s">
        <v>6901</v>
      </c>
      <c r="S6126">
        <v>36</v>
      </c>
      <c r="T6126" s="43" t="str">
        <f>HYPERLINK("https://ictv.global/ictv/proposals/2020.001G.R.Abolish_type_species.pdf","2020.001G.R.Abolish_type_species.pdf")</f>
        <v>2020.001G.R.Abolish_type_species.pdf</v>
      </c>
      <c r="U6126" s="43" t="str">
        <f>HYPERLINK("https://ictv.global/taxonomy/taxondetails?taxnode_id=202203055","ictv.global=202203055")</f>
        <v>ictv.global=202203055</v>
      </c>
    </row>
    <row r="6127" spans="1:21">
      <c r="A6127">
        <v>6126</v>
      </c>
      <c r="B6127" s="29" t="s">
        <v>3223</v>
      </c>
      <c r="C6127" s="29"/>
      <c r="D6127" s="29" t="s">
        <v>4156</v>
      </c>
      <c r="E6127" s="29"/>
      <c r="F6127" s="29" t="s">
        <v>4173</v>
      </c>
      <c r="G6127" s="29"/>
      <c r="H6127" s="29" t="s">
        <v>4174</v>
      </c>
      <c r="I6127" s="29"/>
      <c r="J6127" s="29" t="s">
        <v>4176</v>
      </c>
      <c r="K6127" s="29"/>
      <c r="L6127" s="29" t="s">
        <v>1229</v>
      </c>
      <c r="M6127" s="29"/>
      <c r="N6127" s="29" t="s">
        <v>2362</v>
      </c>
      <c r="O6127" s="29"/>
      <c r="P6127" s="29" t="s">
        <v>2368</v>
      </c>
      <c r="Q6127" t="s">
        <v>2040</v>
      </c>
      <c r="R6127" t="s">
        <v>2634</v>
      </c>
      <c r="S6127">
        <v>35</v>
      </c>
      <c r="T6127" s="43" t="str">
        <f>HYPERLINK("https://ictv.global/ictv/proposals/2019.006G.zip","2019.006G.zip")</f>
        <v>2019.006G.zip</v>
      </c>
      <c r="U6127" s="43" t="str">
        <f>HYPERLINK("https://ictv.global/taxonomy/taxondetails?taxnode_id=202203056","ictv.global=202203056")</f>
        <v>ictv.global=202203056</v>
      </c>
    </row>
    <row r="6128" spans="1:21">
      <c r="A6128">
        <v>6127</v>
      </c>
      <c r="B6128" s="29" t="s">
        <v>3223</v>
      </c>
      <c r="C6128" s="29"/>
      <c r="D6128" s="29" t="s">
        <v>4156</v>
      </c>
      <c r="E6128" s="29"/>
      <c r="F6128" s="29" t="s">
        <v>4173</v>
      </c>
      <c r="G6128" s="29"/>
      <c r="H6128" s="29" t="s">
        <v>4174</v>
      </c>
      <c r="I6128" s="29"/>
      <c r="J6128" s="29" t="s">
        <v>4176</v>
      </c>
      <c r="K6128" s="29"/>
      <c r="L6128" s="29" t="s">
        <v>1229</v>
      </c>
      <c r="M6128" s="29"/>
      <c r="N6128" s="29" t="s">
        <v>2362</v>
      </c>
      <c r="O6128" s="29"/>
      <c r="P6128" s="29" t="s">
        <v>2369</v>
      </c>
      <c r="Q6128" t="s">
        <v>2040</v>
      </c>
      <c r="R6128" t="s">
        <v>2634</v>
      </c>
      <c r="S6128">
        <v>35</v>
      </c>
      <c r="T6128" s="43" t="str">
        <f>HYPERLINK("https://ictv.global/ictv/proposals/2019.006G.zip","2019.006G.zip")</f>
        <v>2019.006G.zip</v>
      </c>
      <c r="U6128" s="43" t="str">
        <f>HYPERLINK("https://ictv.global/taxonomy/taxondetails?taxnode_id=202203057","ictv.global=202203057")</f>
        <v>ictv.global=202203057</v>
      </c>
    </row>
    <row r="6129" spans="1:21">
      <c r="A6129">
        <v>6128</v>
      </c>
      <c r="B6129" s="29" t="s">
        <v>3223</v>
      </c>
      <c r="C6129" s="29"/>
      <c r="D6129" s="29" t="s">
        <v>4156</v>
      </c>
      <c r="E6129" s="29"/>
      <c r="F6129" s="29" t="s">
        <v>4173</v>
      </c>
      <c r="G6129" s="29"/>
      <c r="H6129" s="29" t="s">
        <v>4174</v>
      </c>
      <c r="I6129" s="29"/>
      <c r="J6129" s="29" t="s">
        <v>4176</v>
      </c>
      <c r="K6129" s="29"/>
      <c r="L6129" s="29" t="s">
        <v>1229</v>
      </c>
      <c r="M6129" s="29"/>
      <c r="N6129" s="29" t="s">
        <v>2362</v>
      </c>
      <c r="O6129" s="29"/>
      <c r="P6129" s="29" t="s">
        <v>2370</v>
      </c>
      <c r="Q6129" t="s">
        <v>2040</v>
      </c>
      <c r="R6129" t="s">
        <v>2634</v>
      </c>
      <c r="S6129">
        <v>35</v>
      </c>
      <c r="T6129" s="43" t="str">
        <f>HYPERLINK("https://ictv.global/ictv/proposals/2019.006G.zip","2019.006G.zip")</f>
        <v>2019.006G.zip</v>
      </c>
      <c r="U6129" s="43" t="str">
        <f>HYPERLINK("https://ictv.global/taxonomy/taxondetails?taxnode_id=202203058","ictv.global=202203058")</f>
        <v>ictv.global=202203058</v>
      </c>
    </row>
    <row r="6130" spans="1:21">
      <c r="A6130">
        <v>6129</v>
      </c>
      <c r="B6130" s="29" t="s">
        <v>3223</v>
      </c>
      <c r="C6130" s="29"/>
      <c r="D6130" s="29" t="s">
        <v>4156</v>
      </c>
      <c r="E6130" s="29"/>
      <c r="F6130" s="29" t="s">
        <v>4173</v>
      </c>
      <c r="G6130" s="29"/>
      <c r="H6130" s="29" t="s">
        <v>4174</v>
      </c>
      <c r="I6130" s="29"/>
      <c r="J6130" s="29" t="s">
        <v>4176</v>
      </c>
      <c r="K6130" s="29"/>
      <c r="L6130" s="29" t="s">
        <v>1229</v>
      </c>
      <c r="M6130" s="29"/>
      <c r="N6130" s="29" t="s">
        <v>2362</v>
      </c>
      <c r="O6130" s="29"/>
      <c r="P6130" s="29" t="s">
        <v>4184</v>
      </c>
      <c r="Q6130" t="s">
        <v>2040</v>
      </c>
      <c r="R6130" t="s">
        <v>2632</v>
      </c>
      <c r="S6130">
        <v>35</v>
      </c>
      <c r="T6130" s="43" t="str">
        <f>HYPERLINK("https://ictv.global/ictv/proposals/2019.023P.zip","2019.023P.zip")</f>
        <v>2019.023P.zip</v>
      </c>
      <c r="U6130" s="43" t="str">
        <f>HYPERLINK("https://ictv.global/taxonomy/taxondetails?taxnode_id=202207541","ictv.global=202207541")</f>
        <v>ictv.global=202207541</v>
      </c>
    </row>
    <row r="6131" spans="1:21">
      <c r="A6131">
        <v>6130</v>
      </c>
      <c r="B6131" s="29" t="s">
        <v>3223</v>
      </c>
      <c r="C6131" s="29"/>
      <c r="D6131" s="29" t="s">
        <v>4156</v>
      </c>
      <c r="E6131" s="29"/>
      <c r="F6131" s="29" t="s">
        <v>4173</v>
      </c>
      <c r="G6131" s="29"/>
      <c r="H6131" s="29" t="s">
        <v>4174</v>
      </c>
      <c r="I6131" s="29"/>
      <c r="J6131" s="29" t="s">
        <v>4176</v>
      </c>
      <c r="K6131" s="29"/>
      <c r="L6131" s="29" t="s">
        <v>1229</v>
      </c>
      <c r="M6131" s="29"/>
      <c r="N6131" s="29" t="s">
        <v>2362</v>
      </c>
      <c r="O6131" s="29"/>
      <c r="P6131" s="29" t="s">
        <v>2371</v>
      </c>
      <c r="Q6131" t="s">
        <v>2040</v>
      </c>
      <c r="R6131" t="s">
        <v>2634</v>
      </c>
      <c r="S6131">
        <v>35</v>
      </c>
      <c r="T6131" s="43" t="str">
        <f>HYPERLINK("https://ictv.global/ictv/proposals/2019.006G.zip","2019.006G.zip")</f>
        <v>2019.006G.zip</v>
      </c>
      <c r="U6131" s="43" t="str">
        <f>HYPERLINK("https://ictv.global/taxonomy/taxondetails?taxnode_id=202203059","ictv.global=202203059")</f>
        <v>ictv.global=202203059</v>
      </c>
    </row>
    <row r="6132" spans="1:21">
      <c r="A6132">
        <v>6131</v>
      </c>
      <c r="B6132" s="29" t="s">
        <v>3223</v>
      </c>
      <c r="C6132" s="29"/>
      <c r="D6132" s="29" t="s">
        <v>4156</v>
      </c>
      <c r="E6132" s="29"/>
      <c r="F6132" s="29" t="s">
        <v>4173</v>
      </c>
      <c r="G6132" s="29"/>
      <c r="H6132" s="29" t="s">
        <v>4174</v>
      </c>
      <c r="I6132" s="29"/>
      <c r="J6132" s="29" t="s">
        <v>4176</v>
      </c>
      <c r="K6132" s="29"/>
      <c r="L6132" s="29" t="s">
        <v>1229</v>
      </c>
      <c r="M6132" s="29"/>
      <c r="N6132" s="29" t="s">
        <v>2362</v>
      </c>
      <c r="O6132" s="29"/>
      <c r="P6132" s="29" t="s">
        <v>2514</v>
      </c>
      <c r="Q6132" t="s">
        <v>2040</v>
      </c>
      <c r="R6132" t="s">
        <v>2634</v>
      </c>
      <c r="S6132">
        <v>35</v>
      </c>
      <c r="T6132" s="43" t="str">
        <f>HYPERLINK("https://ictv.global/ictv/proposals/2019.006G.zip","2019.006G.zip")</f>
        <v>2019.006G.zip</v>
      </c>
      <c r="U6132" s="43" t="str">
        <f>HYPERLINK("https://ictv.global/taxonomy/taxondetails?taxnode_id=202203060","ictv.global=202203060")</f>
        <v>ictv.global=202203060</v>
      </c>
    </row>
    <row r="6133" spans="1:21">
      <c r="A6133">
        <v>6132</v>
      </c>
      <c r="B6133" s="29" t="s">
        <v>3223</v>
      </c>
      <c r="C6133" s="29"/>
      <c r="D6133" s="29" t="s">
        <v>4156</v>
      </c>
      <c r="E6133" s="29"/>
      <c r="F6133" s="29" t="s">
        <v>4173</v>
      </c>
      <c r="G6133" s="29"/>
      <c r="H6133" s="29" t="s">
        <v>4174</v>
      </c>
      <c r="I6133" s="29"/>
      <c r="J6133" s="29" t="s">
        <v>4176</v>
      </c>
      <c r="K6133" s="29"/>
      <c r="L6133" s="29" t="s">
        <v>1229</v>
      </c>
      <c r="M6133" s="29"/>
      <c r="N6133" s="29" t="s">
        <v>2362</v>
      </c>
      <c r="O6133" s="29"/>
      <c r="P6133" s="29" t="s">
        <v>4185</v>
      </c>
      <c r="Q6133" t="s">
        <v>2040</v>
      </c>
      <c r="R6133" t="s">
        <v>2632</v>
      </c>
      <c r="S6133">
        <v>35</v>
      </c>
      <c r="T6133" s="43" t="str">
        <f>HYPERLINK("https://ictv.global/ictv/proposals/2019.023P.zip","2019.023P.zip")</f>
        <v>2019.023P.zip</v>
      </c>
      <c r="U6133" s="43" t="str">
        <f>HYPERLINK("https://ictv.global/taxonomy/taxondetails?taxnode_id=202207542","ictv.global=202207542")</f>
        <v>ictv.global=202207542</v>
      </c>
    </row>
    <row r="6134" spans="1:21">
      <c r="A6134">
        <v>6133</v>
      </c>
      <c r="B6134" s="29" t="s">
        <v>3223</v>
      </c>
      <c r="C6134" s="29"/>
      <c r="D6134" s="29" t="s">
        <v>4156</v>
      </c>
      <c r="E6134" s="29"/>
      <c r="F6134" s="29" t="s">
        <v>4173</v>
      </c>
      <c r="G6134" s="29"/>
      <c r="H6134" s="29" t="s">
        <v>4174</v>
      </c>
      <c r="I6134" s="29"/>
      <c r="J6134" s="29" t="s">
        <v>4176</v>
      </c>
      <c r="K6134" s="29"/>
      <c r="L6134" s="29" t="s">
        <v>1229</v>
      </c>
      <c r="M6134" s="29"/>
      <c r="N6134" s="29" t="s">
        <v>2362</v>
      </c>
      <c r="O6134" s="29"/>
      <c r="P6134" s="29" t="s">
        <v>2372</v>
      </c>
      <c r="Q6134" t="s">
        <v>2040</v>
      </c>
      <c r="R6134" t="s">
        <v>2634</v>
      </c>
      <c r="S6134">
        <v>35</v>
      </c>
      <c r="T6134" s="43" t="str">
        <f t="shared" ref="T6134:T6139" si="284">HYPERLINK("https://ictv.global/ictv/proposals/2019.006G.zip","2019.006G.zip")</f>
        <v>2019.006G.zip</v>
      </c>
      <c r="U6134" s="43" t="str">
        <f>HYPERLINK("https://ictv.global/taxonomy/taxondetails?taxnode_id=202203061","ictv.global=202203061")</f>
        <v>ictv.global=202203061</v>
      </c>
    </row>
    <row r="6135" spans="1:21">
      <c r="A6135">
        <v>6134</v>
      </c>
      <c r="B6135" s="29" t="s">
        <v>3223</v>
      </c>
      <c r="C6135" s="29"/>
      <c r="D6135" s="29" t="s">
        <v>4156</v>
      </c>
      <c r="E6135" s="29"/>
      <c r="F6135" s="29" t="s">
        <v>4173</v>
      </c>
      <c r="G6135" s="29"/>
      <c r="H6135" s="29" t="s">
        <v>4174</v>
      </c>
      <c r="I6135" s="29"/>
      <c r="J6135" s="29" t="s">
        <v>4176</v>
      </c>
      <c r="K6135" s="29"/>
      <c r="L6135" s="29" t="s">
        <v>1229</v>
      </c>
      <c r="M6135" s="29"/>
      <c r="N6135" s="29" t="s">
        <v>2362</v>
      </c>
      <c r="O6135" s="29"/>
      <c r="P6135" s="29" t="s">
        <v>2840</v>
      </c>
      <c r="Q6135" t="s">
        <v>2040</v>
      </c>
      <c r="R6135" t="s">
        <v>2634</v>
      </c>
      <c r="S6135">
        <v>35</v>
      </c>
      <c r="T6135" s="43" t="str">
        <f t="shared" si="284"/>
        <v>2019.006G.zip</v>
      </c>
      <c r="U6135" s="43" t="str">
        <f>HYPERLINK("https://ictv.global/taxonomy/taxondetails?taxnode_id=202205778","ictv.global=202205778")</f>
        <v>ictv.global=202205778</v>
      </c>
    </row>
    <row r="6136" spans="1:21">
      <c r="A6136">
        <v>6135</v>
      </c>
      <c r="B6136" s="29" t="s">
        <v>3223</v>
      </c>
      <c r="C6136" s="29"/>
      <c r="D6136" s="29" t="s">
        <v>4156</v>
      </c>
      <c r="E6136" s="29"/>
      <c r="F6136" s="29" t="s">
        <v>4173</v>
      </c>
      <c r="G6136" s="29"/>
      <c r="H6136" s="29" t="s">
        <v>4174</v>
      </c>
      <c r="I6136" s="29"/>
      <c r="J6136" s="29" t="s">
        <v>4176</v>
      </c>
      <c r="K6136" s="29"/>
      <c r="L6136" s="29" t="s">
        <v>1229</v>
      </c>
      <c r="M6136" s="29"/>
      <c r="N6136" s="29" t="s">
        <v>2362</v>
      </c>
      <c r="O6136" s="29"/>
      <c r="P6136" s="29" t="s">
        <v>2373</v>
      </c>
      <c r="Q6136" t="s">
        <v>2040</v>
      </c>
      <c r="R6136" t="s">
        <v>2634</v>
      </c>
      <c r="S6136">
        <v>35</v>
      </c>
      <c r="T6136" s="43" t="str">
        <f t="shared" si="284"/>
        <v>2019.006G.zip</v>
      </c>
      <c r="U6136" s="43" t="str">
        <f>HYPERLINK("https://ictv.global/taxonomy/taxondetails?taxnode_id=202203062","ictv.global=202203062")</f>
        <v>ictv.global=202203062</v>
      </c>
    </row>
    <row r="6137" spans="1:21">
      <c r="A6137">
        <v>6136</v>
      </c>
      <c r="B6137" s="29" t="s">
        <v>3223</v>
      </c>
      <c r="C6137" s="29"/>
      <c r="D6137" s="29" t="s">
        <v>4156</v>
      </c>
      <c r="E6137" s="29"/>
      <c r="F6137" s="29" t="s">
        <v>4173</v>
      </c>
      <c r="G6137" s="29"/>
      <c r="H6137" s="29" t="s">
        <v>4174</v>
      </c>
      <c r="I6137" s="29"/>
      <c r="J6137" s="29" t="s">
        <v>4176</v>
      </c>
      <c r="K6137" s="29"/>
      <c r="L6137" s="29" t="s">
        <v>1229</v>
      </c>
      <c r="M6137" s="29"/>
      <c r="N6137" s="29" t="s">
        <v>2395</v>
      </c>
      <c r="O6137" s="29"/>
      <c r="P6137" s="29" t="s">
        <v>2515</v>
      </c>
      <c r="Q6137" t="s">
        <v>2040</v>
      </c>
      <c r="R6137" t="s">
        <v>2634</v>
      </c>
      <c r="S6137">
        <v>35</v>
      </c>
      <c r="T6137" s="43" t="str">
        <f t="shared" si="284"/>
        <v>2019.006G.zip</v>
      </c>
      <c r="U6137" s="43" t="str">
        <f>HYPERLINK("https://ictv.global/taxonomy/taxondetails?taxnode_id=202203064","ictv.global=202203064")</f>
        <v>ictv.global=202203064</v>
      </c>
    </row>
    <row r="6138" spans="1:21">
      <c r="A6138">
        <v>6137</v>
      </c>
      <c r="B6138" s="29" t="s">
        <v>3223</v>
      </c>
      <c r="C6138" s="29"/>
      <c r="D6138" s="29" t="s">
        <v>4156</v>
      </c>
      <c r="E6138" s="29"/>
      <c r="F6138" s="29" t="s">
        <v>4173</v>
      </c>
      <c r="G6138" s="29"/>
      <c r="H6138" s="29" t="s">
        <v>4174</v>
      </c>
      <c r="I6138" s="29"/>
      <c r="J6138" s="29" t="s">
        <v>4176</v>
      </c>
      <c r="K6138" s="29"/>
      <c r="L6138" s="29" t="s">
        <v>1229</v>
      </c>
      <c r="M6138" s="29"/>
      <c r="N6138" s="29" t="s">
        <v>2395</v>
      </c>
      <c r="O6138" s="29"/>
      <c r="P6138" s="29" t="s">
        <v>2841</v>
      </c>
      <c r="Q6138" t="s">
        <v>2040</v>
      </c>
      <c r="R6138" t="s">
        <v>2634</v>
      </c>
      <c r="S6138">
        <v>35</v>
      </c>
      <c r="T6138" s="43" t="str">
        <f t="shared" si="284"/>
        <v>2019.006G.zip</v>
      </c>
      <c r="U6138" s="43" t="str">
        <f>HYPERLINK("https://ictv.global/taxonomy/taxondetails?taxnode_id=202205779","ictv.global=202205779")</f>
        <v>ictv.global=202205779</v>
      </c>
    </row>
    <row r="6139" spans="1:21">
      <c r="A6139">
        <v>6138</v>
      </c>
      <c r="B6139" s="29" t="s">
        <v>3223</v>
      </c>
      <c r="C6139" s="29"/>
      <c r="D6139" s="29" t="s">
        <v>4156</v>
      </c>
      <c r="E6139" s="29"/>
      <c r="F6139" s="29" t="s">
        <v>4173</v>
      </c>
      <c r="G6139" s="29"/>
      <c r="H6139" s="29" t="s">
        <v>4174</v>
      </c>
      <c r="I6139" s="29"/>
      <c r="J6139" s="29" t="s">
        <v>4176</v>
      </c>
      <c r="K6139" s="29"/>
      <c r="L6139" s="29" t="s">
        <v>1229</v>
      </c>
      <c r="M6139" s="29"/>
      <c r="N6139" s="29" t="s">
        <v>2395</v>
      </c>
      <c r="O6139" s="29"/>
      <c r="P6139" s="29" t="s">
        <v>2516</v>
      </c>
      <c r="Q6139" t="s">
        <v>2040</v>
      </c>
      <c r="R6139" t="s">
        <v>2634</v>
      </c>
      <c r="S6139">
        <v>35</v>
      </c>
      <c r="T6139" s="43" t="str">
        <f t="shared" si="284"/>
        <v>2019.006G.zip</v>
      </c>
      <c r="U6139" s="43" t="str">
        <f>HYPERLINK("https://ictv.global/taxonomy/taxondetails?taxnode_id=202203065","ictv.global=202203065")</f>
        <v>ictv.global=202203065</v>
      </c>
    </row>
    <row r="6140" spans="1:21">
      <c r="A6140">
        <v>6139</v>
      </c>
      <c r="B6140" s="29" t="s">
        <v>3223</v>
      </c>
      <c r="C6140" s="29"/>
      <c r="D6140" s="29" t="s">
        <v>4156</v>
      </c>
      <c r="E6140" s="29"/>
      <c r="F6140" s="29" t="s">
        <v>4173</v>
      </c>
      <c r="G6140" s="29"/>
      <c r="H6140" s="29" t="s">
        <v>4174</v>
      </c>
      <c r="I6140" s="29"/>
      <c r="J6140" s="29" t="s">
        <v>4176</v>
      </c>
      <c r="K6140" s="29"/>
      <c r="L6140" s="29" t="s">
        <v>1229</v>
      </c>
      <c r="M6140" s="29"/>
      <c r="N6140" s="29" t="s">
        <v>2395</v>
      </c>
      <c r="O6140" s="29"/>
      <c r="P6140" s="29" t="s">
        <v>4186</v>
      </c>
      <c r="Q6140" t="s">
        <v>2040</v>
      </c>
      <c r="R6140" t="s">
        <v>2632</v>
      </c>
      <c r="S6140">
        <v>35</v>
      </c>
      <c r="T6140" s="43" t="str">
        <f>HYPERLINK("https://ictv.global/ictv/proposals/2019.023P.zip","2019.023P.zip")</f>
        <v>2019.023P.zip</v>
      </c>
      <c r="U6140" s="43" t="str">
        <f>HYPERLINK("https://ictv.global/taxonomy/taxondetails?taxnode_id=202207543","ictv.global=202207543")</f>
        <v>ictv.global=202207543</v>
      </c>
    </row>
    <row r="6141" spans="1:21">
      <c r="A6141">
        <v>6140</v>
      </c>
      <c r="B6141" s="29" t="s">
        <v>3223</v>
      </c>
      <c r="C6141" s="29"/>
      <c r="D6141" s="29" t="s">
        <v>4156</v>
      </c>
      <c r="E6141" s="29"/>
      <c r="F6141" s="29" t="s">
        <v>4173</v>
      </c>
      <c r="G6141" s="29"/>
      <c r="H6141" s="29" t="s">
        <v>4174</v>
      </c>
      <c r="I6141" s="29"/>
      <c r="J6141" s="29" t="s">
        <v>4176</v>
      </c>
      <c r="K6141" s="29"/>
      <c r="L6141" s="29" t="s">
        <v>1229</v>
      </c>
      <c r="M6141" s="29"/>
      <c r="N6141" s="29" t="s">
        <v>2395</v>
      </c>
      <c r="O6141" s="29"/>
      <c r="P6141" s="29" t="s">
        <v>4187</v>
      </c>
      <c r="Q6141" t="s">
        <v>2040</v>
      </c>
      <c r="R6141" t="s">
        <v>2632</v>
      </c>
      <c r="S6141">
        <v>35</v>
      </c>
      <c r="T6141" s="43" t="str">
        <f>HYPERLINK("https://ictv.global/ictv/proposals/2019.023P.zip","2019.023P.zip")</f>
        <v>2019.023P.zip</v>
      </c>
      <c r="U6141" s="43" t="str">
        <f>HYPERLINK("https://ictv.global/taxonomy/taxondetails?taxnode_id=202207544","ictv.global=202207544")</f>
        <v>ictv.global=202207544</v>
      </c>
    </row>
    <row r="6142" spans="1:21">
      <c r="A6142">
        <v>6141</v>
      </c>
      <c r="B6142" s="29" t="s">
        <v>3223</v>
      </c>
      <c r="C6142" s="29"/>
      <c r="D6142" s="29" t="s">
        <v>4156</v>
      </c>
      <c r="E6142" s="29"/>
      <c r="F6142" s="29" t="s">
        <v>4173</v>
      </c>
      <c r="G6142" s="29"/>
      <c r="H6142" s="29" t="s">
        <v>4174</v>
      </c>
      <c r="I6142" s="29"/>
      <c r="J6142" s="29" t="s">
        <v>4176</v>
      </c>
      <c r="K6142" s="29"/>
      <c r="L6142" s="29" t="s">
        <v>1229</v>
      </c>
      <c r="M6142" s="29"/>
      <c r="N6142" s="29" t="s">
        <v>2395</v>
      </c>
      <c r="O6142" s="29"/>
      <c r="P6142" s="29" t="s">
        <v>2396</v>
      </c>
      <c r="Q6142" t="s">
        <v>2040</v>
      </c>
      <c r="R6142" t="s">
        <v>6901</v>
      </c>
      <c r="S6142">
        <v>36</v>
      </c>
      <c r="T6142" s="43" t="str">
        <f>HYPERLINK("https://ictv.global/ictv/proposals/2020.001G.R.Abolish_type_species.pdf","2020.001G.R.Abolish_type_species.pdf")</f>
        <v>2020.001G.R.Abolish_type_species.pdf</v>
      </c>
      <c r="U6142" s="43" t="str">
        <f>HYPERLINK("https://ictv.global/taxonomy/taxondetails?taxnode_id=202203066","ictv.global=202203066")</f>
        <v>ictv.global=202203066</v>
      </c>
    </row>
    <row r="6143" spans="1:21">
      <c r="A6143">
        <v>6142</v>
      </c>
      <c r="B6143" s="29" t="s">
        <v>3223</v>
      </c>
      <c r="C6143" s="29"/>
      <c r="D6143" s="29" t="s">
        <v>4156</v>
      </c>
      <c r="E6143" s="29"/>
      <c r="F6143" s="29" t="s">
        <v>4173</v>
      </c>
      <c r="G6143" s="29"/>
      <c r="H6143" s="29" t="s">
        <v>4174</v>
      </c>
      <c r="I6143" s="29"/>
      <c r="J6143" s="29" t="s">
        <v>4176</v>
      </c>
      <c r="K6143" s="29"/>
      <c r="L6143" s="29" t="s">
        <v>1229</v>
      </c>
      <c r="M6143" s="29"/>
      <c r="N6143" s="29" t="s">
        <v>2395</v>
      </c>
      <c r="O6143" s="29"/>
      <c r="P6143" s="29" t="s">
        <v>2517</v>
      </c>
      <c r="Q6143" t="s">
        <v>2040</v>
      </c>
      <c r="R6143" t="s">
        <v>2634</v>
      </c>
      <c r="S6143">
        <v>35</v>
      </c>
      <c r="T6143" s="43" t="str">
        <f>HYPERLINK("https://ictv.global/ictv/proposals/2019.006G.zip","2019.006G.zip")</f>
        <v>2019.006G.zip</v>
      </c>
      <c r="U6143" s="43" t="str">
        <f>HYPERLINK("https://ictv.global/taxonomy/taxondetails?taxnode_id=202203067","ictv.global=202203067")</f>
        <v>ictv.global=202203067</v>
      </c>
    </row>
    <row r="6144" spans="1:21">
      <c r="A6144">
        <v>6143</v>
      </c>
      <c r="B6144" s="29" t="s">
        <v>3223</v>
      </c>
      <c r="C6144" s="29"/>
      <c r="D6144" s="29" t="s">
        <v>4156</v>
      </c>
      <c r="E6144" s="29"/>
      <c r="F6144" s="29" t="s">
        <v>4173</v>
      </c>
      <c r="G6144" s="29"/>
      <c r="H6144" s="29" t="s">
        <v>4174</v>
      </c>
      <c r="I6144" s="29"/>
      <c r="J6144" s="29" t="s">
        <v>4176</v>
      </c>
      <c r="K6144" s="29"/>
      <c r="L6144" s="29" t="s">
        <v>3341</v>
      </c>
      <c r="M6144" s="29"/>
      <c r="N6144" s="29" t="s">
        <v>2627</v>
      </c>
      <c r="O6144" s="29"/>
      <c r="P6144" s="29" t="s">
        <v>12243</v>
      </c>
      <c r="Q6144" t="s">
        <v>2040</v>
      </c>
      <c r="R6144" t="s">
        <v>2635</v>
      </c>
      <c r="S6144">
        <v>38</v>
      </c>
      <c r="T6144" s="43" t="str">
        <f>HYPERLINK("https://ictv.global/ictv/proposals/2022.017P.Kitaviridae_rename.zip","2022.017P.Kitaviridae_rename.zip")</f>
        <v>2022.017P.Kitaviridae_rename.zip</v>
      </c>
      <c r="U6144" s="43" t="str">
        <f>HYPERLINK("https://ictv.global/taxonomy/taxondetails?taxnode_id=202207186","ictv.global=202207186")</f>
        <v>ictv.global=202207186</v>
      </c>
    </row>
    <row r="6145" spans="1:21">
      <c r="A6145">
        <v>6144</v>
      </c>
      <c r="B6145" s="29" t="s">
        <v>3223</v>
      </c>
      <c r="C6145" s="29"/>
      <c r="D6145" s="29" t="s">
        <v>4156</v>
      </c>
      <c r="E6145" s="29"/>
      <c r="F6145" s="29" t="s">
        <v>4173</v>
      </c>
      <c r="G6145" s="29"/>
      <c r="H6145" s="29" t="s">
        <v>4174</v>
      </c>
      <c r="I6145" s="29"/>
      <c r="J6145" s="29" t="s">
        <v>4176</v>
      </c>
      <c r="K6145" s="29"/>
      <c r="L6145" s="29" t="s">
        <v>3341</v>
      </c>
      <c r="M6145" s="29"/>
      <c r="N6145" s="29" t="s">
        <v>2627</v>
      </c>
      <c r="O6145" s="29"/>
      <c r="P6145" s="29" t="s">
        <v>12244</v>
      </c>
      <c r="Q6145" t="s">
        <v>2040</v>
      </c>
      <c r="R6145" t="s">
        <v>2635</v>
      </c>
      <c r="S6145">
        <v>38</v>
      </c>
      <c r="T6145" s="43" t="str">
        <f>HYPERLINK("https://ictv.global/ictv/proposals/2022.017P.Kitaviridae_rename.zip","2022.017P.Kitaviridae_rename.zip")</f>
        <v>2022.017P.Kitaviridae_rename.zip</v>
      </c>
      <c r="U6145" s="43" t="str">
        <f>HYPERLINK("https://ictv.global/taxonomy/taxondetails?taxnode_id=202209259","ictv.global=202209259")</f>
        <v>ictv.global=202209259</v>
      </c>
    </row>
    <row r="6146" spans="1:21">
      <c r="A6146">
        <v>6145</v>
      </c>
      <c r="B6146" s="29" t="s">
        <v>3223</v>
      </c>
      <c r="C6146" s="29"/>
      <c r="D6146" s="29" t="s">
        <v>4156</v>
      </c>
      <c r="E6146" s="29"/>
      <c r="F6146" s="29" t="s">
        <v>4173</v>
      </c>
      <c r="G6146" s="29"/>
      <c r="H6146" s="29" t="s">
        <v>4174</v>
      </c>
      <c r="I6146" s="29"/>
      <c r="J6146" s="29" t="s">
        <v>4176</v>
      </c>
      <c r="K6146" s="29"/>
      <c r="L6146" s="29" t="s">
        <v>3341</v>
      </c>
      <c r="M6146" s="29"/>
      <c r="N6146" s="29" t="s">
        <v>2627</v>
      </c>
      <c r="O6146" s="29"/>
      <c r="P6146" s="29" t="s">
        <v>12245</v>
      </c>
      <c r="Q6146" t="s">
        <v>2040</v>
      </c>
      <c r="R6146" t="s">
        <v>2635</v>
      </c>
      <c r="S6146">
        <v>38</v>
      </c>
      <c r="T6146" s="43" t="str">
        <f>HYPERLINK("https://ictv.global/ictv/proposals/2022.017P.Kitaviridae_rename.zip","2022.017P.Kitaviridae_rename.zip")</f>
        <v>2022.017P.Kitaviridae_rename.zip</v>
      </c>
      <c r="U6146" s="43" t="str">
        <f>HYPERLINK("https://ictv.global/taxonomy/taxondetails?taxnode_id=202205341","ictv.global=202205341")</f>
        <v>ictv.global=202205341</v>
      </c>
    </row>
    <row r="6147" spans="1:21">
      <c r="A6147">
        <v>6146</v>
      </c>
      <c r="B6147" s="29" t="s">
        <v>3223</v>
      </c>
      <c r="C6147" s="29"/>
      <c r="D6147" s="29" t="s">
        <v>4156</v>
      </c>
      <c r="E6147" s="29"/>
      <c r="F6147" s="29" t="s">
        <v>4173</v>
      </c>
      <c r="G6147" s="29"/>
      <c r="H6147" s="29" t="s">
        <v>4174</v>
      </c>
      <c r="I6147" s="29"/>
      <c r="J6147" s="29" t="s">
        <v>4176</v>
      </c>
      <c r="K6147" s="29"/>
      <c r="L6147" s="29" t="s">
        <v>3341</v>
      </c>
      <c r="M6147" s="29"/>
      <c r="N6147" s="29" t="s">
        <v>1463</v>
      </c>
      <c r="O6147" s="29"/>
      <c r="P6147" s="29" t="s">
        <v>12246</v>
      </c>
      <c r="Q6147" t="s">
        <v>2040</v>
      </c>
      <c r="R6147" t="s">
        <v>2632</v>
      </c>
      <c r="S6147">
        <v>38</v>
      </c>
      <c r="T6147" s="43" t="str">
        <f>HYPERLINK("https://ictv.global/ictv/proposals/2022.016P.Cilevirus_3ns.zip","2022.016P.Cilevirus_3ns.zip")</f>
        <v>2022.016P.Cilevirus_3ns.zip</v>
      </c>
      <c r="U6147" s="43" t="str">
        <f>HYPERLINK("https://ictv.global/taxonomy/taxondetails?taxnode_id=202215120","ictv.global=202215120")</f>
        <v>ictv.global=202215120</v>
      </c>
    </row>
    <row r="6148" spans="1:21">
      <c r="A6148">
        <v>6147</v>
      </c>
      <c r="B6148" s="29" t="s">
        <v>3223</v>
      </c>
      <c r="C6148" s="29"/>
      <c r="D6148" s="29" t="s">
        <v>4156</v>
      </c>
      <c r="E6148" s="29"/>
      <c r="F6148" s="29" t="s">
        <v>4173</v>
      </c>
      <c r="G6148" s="29"/>
      <c r="H6148" s="29" t="s">
        <v>4174</v>
      </c>
      <c r="I6148" s="29"/>
      <c r="J6148" s="29" t="s">
        <v>4176</v>
      </c>
      <c r="K6148" s="29"/>
      <c r="L6148" s="29" t="s">
        <v>3341</v>
      </c>
      <c r="M6148" s="29"/>
      <c r="N6148" s="29" t="s">
        <v>1463</v>
      </c>
      <c r="O6148" s="29"/>
      <c r="P6148" s="29" t="s">
        <v>12247</v>
      </c>
      <c r="Q6148" t="s">
        <v>2040</v>
      </c>
      <c r="R6148" t="s">
        <v>2635</v>
      </c>
      <c r="S6148">
        <v>38</v>
      </c>
      <c r="T6148" s="43" t="str">
        <f>HYPERLINK("https://ictv.global/ictv/proposals/2022.017P.Kitaviridae_rename.zip","2022.017P.Kitaviridae_rename.zip")</f>
        <v>2022.017P.Kitaviridae_rename.zip</v>
      </c>
      <c r="U6148" s="43" t="str">
        <f>HYPERLINK("https://ictv.global/taxonomy/taxondetails?taxnode_id=202205346","ictv.global=202205346")</f>
        <v>ictv.global=202205346</v>
      </c>
    </row>
    <row r="6149" spans="1:21">
      <c r="A6149">
        <v>6148</v>
      </c>
      <c r="B6149" s="29" t="s">
        <v>3223</v>
      </c>
      <c r="C6149" s="29"/>
      <c r="D6149" s="29" t="s">
        <v>4156</v>
      </c>
      <c r="E6149" s="29"/>
      <c r="F6149" s="29" t="s">
        <v>4173</v>
      </c>
      <c r="G6149" s="29"/>
      <c r="H6149" s="29" t="s">
        <v>4174</v>
      </c>
      <c r="I6149" s="29"/>
      <c r="J6149" s="29" t="s">
        <v>4176</v>
      </c>
      <c r="K6149" s="29"/>
      <c r="L6149" s="29" t="s">
        <v>3341</v>
      </c>
      <c r="M6149" s="29"/>
      <c r="N6149" s="29" t="s">
        <v>1463</v>
      </c>
      <c r="O6149" s="29"/>
      <c r="P6149" s="29" t="s">
        <v>12248</v>
      </c>
      <c r="Q6149" t="s">
        <v>2040</v>
      </c>
      <c r="R6149" t="s">
        <v>2635</v>
      </c>
      <c r="S6149">
        <v>38</v>
      </c>
      <c r="T6149" s="43" t="str">
        <f>HYPERLINK("https://ictv.global/ictv/proposals/2022.017P.Kitaviridae_rename.zip","2022.017P.Kitaviridae_rename.zip")</f>
        <v>2022.017P.Kitaviridae_rename.zip</v>
      </c>
      <c r="U6149" s="43" t="str">
        <f>HYPERLINK("https://ictv.global/taxonomy/taxondetails?taxnode_id=202205345","ictv.global=202205345")</f>
        <v>ictv.global=202205345</v>
      </c>
    </row>
    <row r="6150" spans="1:21">
      <c r="A6150">
        <v>6149</v>
      </c>
      <c r="B6150" s="29" t="s">
        <v>3223</v>
      </c>
      <c r="C6150" s="29"/>
      <c r="D6150" s="29" t="s">
        <v>4156</v>
      </c>
      <c r="E6150" s="29"/>
      <c r="F6150" s="29" t="s">
        <v>4173</v>
      </c>
      <c r="G6150" s="29"/>
      <c r="H6150" s="29" t="s">
        <v>4174</v>
      </c>
      <c r="I6150" s="29"/>
      <c r="J6150" s="29" t="s">
        <v>4176</v>
      </c>
      <c r="K6150" s="29"/>
      <c r="L6150" s="29" t="s">
        <v>3341</v>
      </c>
      <c r="M6150" s="29"/>
      <c r="N6150" s="29" t="s">
        <v>1463</v>
      </c>
      <c r="O6150" s="29"/>
      <c r="P6150" s="29" t="s">
        <v>12249</v>
      </c>
      <c r="Q6150" t="s">
        <v>2040</v>
      </c>
      <c r="R6150" t="s">
        <v>2632</v>
      </c>
      <c r="S6150">
        <v>38</v>
      </c>
      <c r="T6150" s="43" t="str">
        <f>HYPERLINK("https://ictv.global/ictv/proposals/2022.016P.Cilevirus_3ns.zip","2022.016P.Cilevirus_3ns.zip")</f>
        <v>2022.016P.Cilevirus_3ns.zip</v>
      </c>
      <c r="U6150" s="43" t="str">
        <f>HYPERLINK("https://ictv.global/taxonomy/taxondetails?taxnode_id=202215119","ictv.global=202215119")</f>
        <v>ictv.global=202215119</v>
      </c>
    </row>
    <row r="6151" spans="1:21">
      <c r="A6151">
        <v>6150</v>
      </c>
      <c r="B6151" s="29" t="s">
        <v>3223</v>
      </c>
      <c r="C6151" s="29"/>
      <c r="D6151" s="29" t="s">
        <v>4156</v>
      </c>
      <c r="E6151" s="29"/>
      <c r="F6151" s="29" t="s">
        <v>4173</v>
      </c>
      <c r="G6151" s="29"/>
      <c r="H6151" s="29" t="s">
        <v>4174</v>
      </c>
      <c r="I6151" s="29"/>
      <c r="J6151" s="29" t="s">
        <v>4176</v>
      </c>
      <c r="K6151" s="29"/>
      <c r="L6151" s="29" t="s">
        <v>3341</v>
      </c>
      <c r="M6151" s="29"/>
      <c r="N6151" s="29" t="s">
        <v>1463</v>
      </c>
      <c r="O6151" s="29"/>
      <c r="P6151" s="29" t="s">
        <v>12250</v>
      </c>
      <c r="Q6151" t="s">
        <v>2040</v>
      </c>
      <c r="R6151" t="s">
        <v>2632</v>
      </c>
      <c r="S6151">
        <v>37</v>
      </c>
      <c r="T6151" s="43" t="str">
        <f>HYPERLINK("https://ictv.global/ictv/proposals/2021.008P.R.Cilevirus_1ns.zip","2021.008P.R.Cilevirus_1ns.zip")</f>
        <v>2021.008P.R.Cilevirus_1ns.zip</v>
      </c>
      <c r="U6151" s="43" t="str">
        <f>HYPERLINK("https://ictv.global/taxonomy/taxondetails?taxnode_id=202213862","ictv.global=202213862")</f>
        <v>ictv.global=202213862</v>
      </c>
    </row>
    <row r="6152" spans="1:21">
      <c r="A6152">
        <v>6151</v>
      </c>
      <c r="B6152" s="29" t="s">
        <v>3223</v>
      </c>
      <c r="C6152" s="29"/>
      <c r="D6152" s="29" t="s">
        <v>4156</v>
      </c>
      <c r="E6152" s="29"/>
      <c r="F6152" s="29" t="s">
        <v>4173</v>
      </c>
      <c r="G6152" s="29"/>
      <c r="H6152" s="29" t="s">
        <v>4174</v>
      </c>
      <c r="I6152" s="29"/>
      <c r="J6152" s="29" t="s">
        <v>4176</v>
      </c>
      <c r="K6152" s="29"/>
      <c r="L6152" s="29" t="s">
        <v>3341</v>
      </c>
      <c r="M6152" s="29"/>
      <c r="N6152" s="29" t="s">
        <v>1463</v>
      </c>
      <c r="O6152" s="29"/>
      <c r="P6152" s="29" t="s">
        <v>12251</v>
      </c>
      <c r="Q6152" t="s">
        <v>2040</v>
      </c>
      <c r="R6152" t="s">
        <v>2635</v>
      </c>
      <c r="S6152">
        <v>38</v>
      </c>
      <c r="T6152" s="43" t="str">
        <f>HYPERLINK("https://ictv.global/ictv/proposals/2022.017P.Kitaviridae_rename.zip","2022.017P.Kitaviridae_rename.zip")</f>
        <v>2022.017P.Kitaviridae_rename.zip</v>
      </c>
      <c r="U6152" s="43" t="str">
        <f>HYPERLINK("https://ictv.global/taxonomy/taxondetails?taxnode_id=202209287","ictv.global=202209287")</f>
        <v>ictv.global=202209287</v>
      </c>
    </row>
    <row r="6153" spans="1:21">
      <c r="A6153">
        <v>6152</v>
      </c>
      <c r="B6153" s="29" t="s">
        <v>3223</v>
      </c>
      <c r="C6153" s="29"/>
      <c r="D6153" s="29" t="s">
        <v>4156</v>
      </c>
      <c r="E6153" s="29"/>
      <c r="F6153" s="29" t="s">
        <v>4173</v>
      </c>
      <c r="G6153" s="29"/>
      <c r="H6153" s="29" t="s">
        <v>4174</v>
      </c>
      <c r="I6153" s="29"/>
      <c r="J6153" s="29" t="s">
        <v>4176</v>
      </c>
      <c r="K6153" s="29"/>
      <c r="L6153" s="29" t="s">
        <v>3341</v>
      </c>
      <c r="M6153" s="29"/>
      <c r="N6153" s="29" t="s">
        <v>1463</v>
      </c>
      <c r="O6153" s="29"/>
      <c r="P6153" s="29" t="s">
        <v>12252</v>
      </c>
      <c r="Q6153" t="s">
        <v>2040</v>
      </c>
      <c r="R6153" t="s">
        <v>2632</v>
      </c>
      <c r="S6153">
        <v>38</v>
      </c>
      <c r="T6153" s="43" t="str">
        <f>HYPERLINK("https://ictv.global/ictv/proposals/2022.016P.Cilevirus_3ns.zip","2022.016P.Cilevirus_3ns.zip")</f>
        <v>2022.016P.Cilevirus_3ns.zip</v>
      </c>
      <c r="U6153" s="43" t="str">
        <f>HYPERLINK("https://ictv.global/taxonomy/taxondetails?taxnode_id=202215118","ictv.global=202215118")</f>
        <v>ictv.global=202215118</v>
      </c>
    </row>
    <row r="6154" spans="1:21">
      <c r="A6154">
        <v>6153</v>
      </c>
      <c r="B6154" s="29" t="s">
        <v>3223</v>
      </c>
      <c r="C6154" s="29"/>
      <c r="D6154" s="29" t="s">
        <v>4156</v>
      </c>
      <c r="E6154" s="29"/>
      <c r="F6154" s="29" t="s">
        <v>4173</v>
      </c>
      <c r="G6154" s="29"/>
      <c r="H6154" s="29" t="s">
        <v>4174</v>
      </c>
      <c r="I6154" s="29"/>
      <c r="J6154" s="29" t="s">
        <v>4176</v>
      </c>
      <c r="K6154" s="29"/>
      <c r="L6154" s="29" t="s">
        <v>3341</v>
      </c>
      <c r="M6154" s="29"/>
      <c r="N6154" s="29" t="s">
        <v>1967</v>
      </c>
      <c r="O6154" s="29"/>
      <c r="P6154" s="29" t="s">
        <v>12253</v>
      </c>
      <c r="Q6154" t="s">
        <v>2040</v>
      </c>
      <c r="R6154" t="s">
        <v>2635</v>
      </c>
      <c r="S6154">
        <v>38</v>
      </c>
      <c r="T6154" s="43" t="str">
        <f>HYPERLINK("https://ictv.global/ictv/proposals/2022.017P.Kitaviridae_rename.zip","2022.017P.Kitaviridae_rename.zip")</f>
        <v>2022.017P.Kitaviridae_rename.zip</v>
      </c>
      <c r="U6154" s="43" t="str">
        <f>HYPERLINK("https://ictv.global/taxonomy/taxondetails?taxnode_id=202205352","ictv.global=202205352")</f>
        <v>ictv.global=202205352</v>
      </c>
    </row>
    <row r="6155" spans="1:21">
      <c r="A6155">
        <v>6154</v>
      </c>
      <c r="B6155" s="29" t="s">
        <v>3223</v>
      </c>
      <c r="C6155" s="29"/>
      <c r="D6155" s="29" t="s">
        <v>4156</v>
      </c>
      <c r="E6155" s="29"/>
      <c r="F6155" s="29" t="s">
        <v>4173</v>
      </c>
      <c r="G6155" s="29"/>
      <c r="H6155" s="29" t="s">
        <v>4174</v>
      </c>
      <c r="I6155" s="29"/>
      <c r="J6155" s="29" t="s">
        <v>4176</v>
      </c>
      <c r="K6155" s="29"/>
      <c r="L6155" s="29" t="s">
        <v>4188</v>
      </c>
      <c r="M6155" s="29"/>
      <c r="N6155" s="29" t="s">
        <v>213</v>
      </c>
      <c r="O6155" s="29"/>
      <c r="P6155" s="29" t="s">
        <v>12254</v>
      </c>
      <c r="Q6155" t="s">
        <v>2040</v>
      </c>
      <c r="R6155" t="s">
        <v>2635</v>
      </c>
      <c r="S6155">
        <v>37</v>
      </c>
      <c r="T6155" s="43" t="str">
        <f>HYPERLINK("https://ictv.global/ictv/proposals/2021.020P.R.Mayoviridae_binomials.zip","2021.020P.R.Mayoviridae_binomials.zip")</f>
        <v>2021.020P.R.Mayoviridae_binomials.zip</v>
      </c>
      <c r="U6155" s="43" t="str">
        <f>HYPERLINK("https://ictv.global/taxonomy/taxondetails?taxnode_id=202206633","ictv.global=202206633")</f>
        <v>ictv.global=202206633</v>
      </c>
    </row>
    <row r="6156" spans="1:21">
      <c r="A6156">
        <v>6155</v>
      </c>
      <c r="B6156" s="29" t="s">
        <v>3223</v>
      </c>
      <c r="C6156" s="29"/>
      <c r="D6156" s="29" t="s">
        <v>4156</v>
      </c>
      <c r="E6156" s="29"/>
      <c r="F6156" s="29" t="s">
        <v>4173</v>
      </c>
      <c r="G6156" s="29"/>
      <c r="H6156" s="29" t="s">
        <v>4174</v>
      </c>
      <c r="I6156" s="29"/>
      <c r="J6156" s="29" t="s">
        <v>4176</v>
      </c>
      <c r="K6156" s="29"/>
      <c r="L6156" s="29" t="s">
        <v>4188</v>
      </c>
      <c r="M6156" s="29"/>
      <c r="N6156" s="29" t="s">
        <v>213</v>
      </c>
      <c r="O6156" s="29"/>
      <c r="P6156" s="29" t="s">
        <v>12255</v>
      </c>
      <c r="Q6156" t="s">
        <v>2040</v>
      </c>
      <c r="R6156" t="s">
        <v>2635</v>
      </c>
      <c r="S6156">
        <v>37</v>
      </c>
      <c r="T6156" s="43" t="str">
        <f>HYPERLINK("https://ictv.global/ictv/proposals/2021.020P.R.Mayoviridae_binomials.zip","2021.020P.R.Mayoviridae_binomials.zip")</f>
        <v>2021.020P.R.Mayoviridae_binomials.zip</v>
      </c>
      <c r="U6156" s="43" t="str">
        <f>HYPERLINK("https://ictv.global/taxonomy/taxondetails?taxnode_id=202205354","ictv.global=202205354")</f>
        <v>ictv.global=202205354</v>
      </c>
    </row>
    <row r="6157" spans="1:21">
      <c r="A6157">
        <v>6156</v>
      </c>
      <c r="B6157" s="29" t="s">
        <v>3223</v>
      </c>
      <c r="C6157" s="29"/>
      <c r="D6157" s="29" t="s">
        <v>4156</v>
      </c>
      <c r="E6157" s="29"/>
      <c r="F6157" s="29" t="s">
        <v>4173</v>
      </c>
      <c r="G6157" s="29"/>
      <c r="H6157" s="29" t="s">
        <v>4174</v>
      </c>
      <c r="I6157" s="29"/>
      <c r="J6157" s="29" t="s">
        <v>4176</v>
      </c>
      <c r="K6157" s="29"/>
      <c r="L6157" s="29" t="s">
        <v>4188</v>
      </c>
      <c r="M6157" s="29"/>
      <c r="N6157" s="29" t="s">
        <v>4189</v>
      </c>
      <c r="O6157" s="29"/>
      <c r="P6157" s="29" t="s">
        <v>12256</v>
      </c>
      <c r="Q6157" t="s">
        <v>2040</v>
      </c>
      <c r="R6157" t="s">
        <v>2635</v>
      </c>
      <c r="S6157">
        <v>37</v>
      </c>
      <c r="T6157" s="43" t="str">
        <f>HYPERLINK("https://ictv.global/ictv/proposals/2021.020P.R.Mayoviridae_binomials.zip","2021.020P.R.Mayoviridae_binomials.zip")</f>
        <v>2021.020P.R.Mayoviridae_binomials.zip</v>
      </c>
      <c r="U6157" s="43" t="str">
        <f>HYPERLINK("https://ictv.global/taxonomy/taxondetails?taxnode_id=202207565","ictv.global=202207565")</f>
        <v>ictv.global=202207565</v>
      </c>
    </row>
    <row r="6158" spans="1:21">
      <c r="A6158">
        <v>6157</v>
      </c>
      <c r="B6158" s="29" t="s">
        <v>3223</v>
      </c>
      <c r="C6158" s="29"/>
      <c r="D6158" s="29" t="s">
        <v>4156</v>
      </c>
      <c r="E6158" s="29"/>
      <c r="F6158" s="29" t="s">
        <v>4173</v>
      </c>
      <c r="G6158" s="29"/>
      <c r="H6158" s="29" t="s">
        <v>4174</v>
      </c>
      <c r="I6158" s="29"/>
      <c r="J6158" s="29" t="s">
        <v>4176</v>
      </c>
      <c r="K6158" s="29"/>
      <c r="L6158" s="29" t="s">
        <v>4188</v>
      </c>
      <c r="M6158" s="29"/>
      <c r="N6158" s="29" t="s">
        <v>4189</v>
      </c>
      <c r="O6158" s="29"/>
      <c r="P6158" s="29" t="s">
        <v>12257</v>
      </c>
      <c r="Q6158" t="s">
        <v>2040</v>
      </c>
      <c r="R6158" t="s">
        <v>2635</v>
      </c>
      <c r="S6158">
        <v>37</v>
      </c>
      <c r="T6158" s="43" t="str">
        <f>HYPERLINK("https://ictv.global/ictv/proposals/2021.020P.R.Mayoviridae_binomials.zip","2021.020P.R.Mayoviridae_binomials.zip")</f>
        <v>2021.020P.R.Mayoviridae_binomials.zip</v>
      </c>
      <c r="U6158" s="43" t="str">
        <f>HYPERLINK("https://ictv.global/taxonomy/taxondetails?taxnode_id=202207566","ictv.global=202207566")</f>
        <v>ictv.global=202207566</v>
      </c>
    </row>
    <row r="6159" spans="1:21">
      <c r="A6159">
        <v>6158</v>
      </c>
      <c r="B6159" s="29" t="s">
        <v>3223</v>
      </c>
      <c r="C6159" s="29"/>
      <c r="D6159" s="29" t="s">
        <v>4156</v>
      </c>
      <c r="E6159" s="29"/>
      <c r="F6159" s="29" t="s">
        <v>4173</v>
      </c>
      <c r="G6159" s="29"/>
      <c r="H6159" s="29" t="s">
        <v>4174</v>
      </c>
      <c r="I6159" s="29"/>
      <c r="J6159" s="29" t="s">
        <v>4176</v>
      </c>
      <c r="K6159" s="29"/>
      <c r="L6159" s="29" t="s">
        <v>654</v>
      </c>
      <c r="M6159" s="29"/>
      <c r="N6159" s="29" t="s">
        <v>655</v>
      </c>
      <c r="O6159" s="29"/>
      <c r="P6159" s="29" t="s">
        <v>656</v>
      </c>
      <c r="Q6159" t="s">
        <v>2040</v>
      </c>
      <c r="R6159" t="s">
        <v>2634</v>
      </c>
      <c r="S6159">
        <v>35</v>
      </c>
      <c r="T6159" s="43" t="str">
        <f>HYPERLINK("https://ictv.global/ictv/proposals/2019.006G.zip","2019.006G.zip")</f>
        <v>2019.006G.zip</v>
      </c>
      <c r="U6159" s="43" t="str">
        <f>HYPERLINK("https://ictv.global/taxonomy/taxondetails?taxnode_id=202205083","ictv.global=202205083")</f>
        <v>ictv.global=202205083</v>
      </c>
    </row>
    <row r="6160" spans="1:21">
      <c r="A6160">
        <v>6159</v>
      </c>
      <c r="B6160" s="29" t="s">
        <v>3223</v>
      </c>
      <c r="C6160" s="29"/>
      <c r="D6160" s="29" t="s">
        <v>4156</v>
      </c>
      <c r="E6160" s="29"/>
      <c r="F6160" s="29" t="s">
        <v>4173</v>
      </c>
      <c r="G6160" s="29"/>
      <c r="H6160" s="29" t="s">
        <v>4174</v>
      </c>
      <c r="I6160" s="29"/>
      <c r="J6160" s="29" t="s">
        <v>4176</v>
      </c>
      <c r="K6160" s="29"/>
      <c r="L6160" s="29" t="s">
        <v>654</v>
      </c>
      <c r="M6160" s="29"/>
      <c r="N6160" s="29" t="s">
        <v>655</v>
      </c>
      <c r="O6160" s="29"/>
      <c r="P6160" s="29" t="s">
        <v>657</v>
      </c>
      <c r="Q6160" t="s">
        <v>2040</v>
      </c>
      <c r="R6160" t="s">
        <v>2634</v>
      </c>
      <c r="S6160">
        <v>35</v>
      </c>
      <c r="T6160" s="43" t="str">
        <f>HYPERLINK("https://ictv.global/ictv/proposals/2019.006G.zip","2019.006G.zip")</f>
        <v>2019.006G.zip</v>
      </c>
      <c r="U6160" s="43" t="str">
        <f>HYPERLINK("https://ictv.global/taxonomy/taxondetails?taxnode_id=202205084","ictv.global=202205084")</f>
        <v>ictv.global=202205084</v>
      </c>
    </row>
    <row r="6161" spans="1:21">
      <c r="A6161">
        <v>6160</v>
      </c>
      <c r="B6161" s="29" t="s">
        <v>3223</v>
      </c>
      <c r="C6161" s="29"/>
      <c r="D6161" s="29" t="s">
        <v>4156</v>
      </c>
      <c r="E6161" s="29"/>
      <c r="F6161" s="29" t="s">
        <v>4173</v>
      </c>
      <c r="G6161" s="29"/>
      <c r="H6161" s="29" t="s">
        <v>4174</v>
      </c>
      <c r="I6161" s="29"/>
      <c r="J6161" s="29" t="s">
        <v>4176</v>
      </c>
      <c r="K6161" s="29"/>
      <c r="L6161" s="29" t="s">
        <v>654</v>
      </c>
      <c r="M6161" s="29"/>
      <c r="N6161" s="29" t="s">
        <v>655</v>
      </c>
      <c r="O6161" s="29"/>
      <c r="P6161" s="29" t="s">
        <v>658</v>
      </c>
      <c r="Q6161" t="s">
        <v>2040</v>
      </c>
      <c r="R6161" t="s">
        <v>2634</v>
      </c>
      <c r="S6161">
        <v>35</v>
      </c>
      <c r="T6161" s="43" t="str">
        <f>HYPERLINK("https://ictv.global/ictv/proposals/2019.006G.zip","2019.006G.zip")</f>
        <v>2019.006G.zip</v>
      </c>
      <c r="U6161" s="43" t="str">
        <f>HYPERLINK("https://ictv.global/taxonomy/taxondetails?taxnode_id=202205085","ictv.global=202205085")</f>
        <v>ictv.global=202205085</v>
      </c>
    </row>
    <row r="6162" spans="1:21">
      <c r="A6162">
        <v>6161</v>
      </c>
      <c r="B6162" s="29" t="s">
        <v>3223</v>
      </c>
      <c r="C6162" s="29"/>
      <c r="D6162" s="29" t="s">
        <v>4156</v>
      </c>
      <c r="E6162" s="29"/>
      <c r="F6162" s="29" t="s">
        <v>4173</v>
      </c>
      <c r="G6162" s="29"/>
      <c r="H6162" s="29" t="s">
        <v>4174</v>
      </c>
      <c r="I6162" s="29"/>
      <c r="J6162" s="29" t="s">
        <v>4176</v>
      </c>
      <c r="K6162" s="29"/>
      <c r="L6162" s="29" t="s">
        <v>654</v>
      </c>
      <c r="M6162" s="29"/>
      <c r="N6162" s="29" t="s">
        <v>655</v>
      </c>
      <c r="O6162" s="29"/>
      <c r="P6162" s="29" t="s">
        <v>5193</v>
      </c>
      <c r="Q6162" t="s">
        <v>2040</v>
      </c>
      <c r="R6162" t="s">
        <v>2632</v>
      </c>
      <c r="S6162">
        <v>36</v>
      </c>
      <c r="T6162" s="43" t="str">
        <f>HYPERLINK("https://ictv.global/ictv/proposals/2020.010S.R.Caaingua_virus_1nsp.zip","2020.010S.R.Caaingua_virus_1nsp.zip")</f>
        <v>2020.010S.R.Caaingua_virus_1nsp.zip</v>
      </c>
      <c r="U6162" s="43" t="str">
        <f>HYPERLINK("https://ictv.global/taxonomy/taxondetails?taxnode_id=202209260","ictv.global=202209260")</f>
        <v>ictv.global=202209260</v>
      </c>
    </row>
    <row r="6163" spans="1:21">
      <c r="A6163">
        <v>6162</v>
      </c>
      <c r="B6163" s="29" t="s">
        <v>3223</v>
      </c>
      <c r="C6163" s="29"/>
      <c r="D6163" s="29" t="s">
        <v>4156</v>
      </c>
      <c r="E6163" s="29"/>
      <c r="F6163" s="29" t="s">
        <v>4173</v>
      </c>
      <c r="G6163" s="29"/>
      <c r="H6163" s="29" t="s">
        <v>4174</v>
      </c>
      <c r="I6163" s="29"/>
      <c r="J6163" s="29" t="s">
        <v>4176</v>
      </c>
      <c r="K6163" s="29"/>
      <c r="L6163" s="29" t="s">
        <v>654</v>
      </c>
      <c r="M6163" s="29"/>
      <c r="N6163" s="29" t="s">
        <v>655</v>
      </c>
      <c r="O6163" s="29"/>
      <c r="P6163" s="29" t="s">
        <v>659</v>
      </c>
      <c r="Q6163" t="s">
        <v>2040</v>
      </c>
      <c r="R6163" t="s">
        <v>2634</v>
      </c>
      <c r="S6163">
        <v>35</v>
      </c>
      <c r="T6163" s="43" t="str">
        <f t="shared" ref="T6163:T6182" si="285">HYPERLINK("https://ictv.global/ictv/proposals/2019.006G.zip","2019.006G.zip")</f>
        <v>2019.006G.zip</v>
      </c>
      <c r="U6163" s="43" t="str">
        <f>HYPERLINK("https://ictv.global/taxonomy/taxondetails?taxnode_id=202205086","ictv.global=202205086")</f>
        <v>ictv.global=202205086</v>
      </c>
    </row>
    <row r="6164" spans="1:21">
      <c r="A6164">
        <v>6163</v>
      </c>
      <c r="B6164" s="29" t="s">
        <v>3223</v>
      </c>
      <c r="C6164" s="29"/>
      <c r="D6164" s="29" t="s">
        <v>4156</v>
      </c>
      <c r="E6164" s="29"/>
      <c r="F6164" s="29" t="s">
        <v>4173</v>
      </c>
      <c r="G6164" s="29"/>
      <c r="H6164" s="29" t="s">
        <v>4174</v>
      </c>
      <c r="I6164" s="29"/>
      <c r="J6164" s="29" t="s">
        <v>4176</v>
      </c>
      <c r="K6164" s="29"/>
      <c r="L6164" s="29" t="s">
        <v>654</v>
      </c>
      <c r="M6164" s="29"/>
      <c r="N6164" s="29" t="s">
        <v>655</v>
      </c>
      <c r="O6164" s="29"/>
      <c r="P6164" s="29" t="s">
        <v>660</v>
      </c>
      <c r="Q6164" t="s">
        <v>2040</v>
      </c>
      <c r="R6164" t="s">
        <v>2634</v>
      </c>
      <c r="S6164">
        <v>35</v>
      </c>
      <c r="T6164" s="43" t="str">
        <f t="shared" si="285"/>
        <v>2019.006G.zip</v>
      </c>
      <c r="U6164" s="43" t="str">
        <f>HYPERLINK("https://ictv.global/taxonomy/taxondetails?taxnode_id=202205087","ictv.global=202205087")</f>
        <v>ictv.global=202205087</v>
      </c>
    </row>
    <row r="6165" spans="1:21">
      <c r="A6165">
        <v>6164</v>
      </c>
      <c r="B6165" s="29" t="s">
        <v>3223</v>
      </c>
      <c r="C6165" s="29"/>
      <c r="D6165" s="29" t="s">
        <v>4156</v>
      </c>
      <c r="E6165" s="29"/>
      <c r="F6165" s="29" t="s">
        <v>4173</v>
      </c>
      <c r="G6165" s="29"/>
      <c r="H6165" s="29" t="s">
        <v>4174</v>
      </c>
      <c r="I6165" s="29"/>
      <c r="J6165" s="29" t="s">
        <v>4176</v>
      </c>
      <c r="K6165" s="29"/>
      <c r="L6165" s="29" t="s">
        <v>654</v>
      </c>
      <c r="M6165" s="29"/>
      <c r="N6165" s="29" t="s">
        <v>655</v>
      </c>
      <c r="O6165" s="29"/>
      <c r="P6165" s="29" t="s">
        <v>661</v>
      </c>
      <c r="Q6165" t="s">
        <v>2040</v>
      </c>
      <c r="R6165" t="s">
        <v>2634</v>
      </c>
      <c r="S6165">
        <v>35</v>
      </c>
      <c r="T6165" s="43" t="str">
        <f t="shared" si="285"/>
        <v>2019.006G.zip</v>
      </c>
      <c r="U6165" s="43" t="str">
        <f>HYPERLINK("https://ictv.global/taxonomy/taxondetails?taxnode_id=202205088","ictv.global=202205088")</f>
        <v>ictv.global=202205088</v>
      </c>
    </row>
    <row r="6166" spans="1:21">
      <c r="A6166">
        <v>6165</v>
      </c>
      <c r="B6166" s="29" t="s">
        <v>3223</v>
      </c>
      <c r="C6166" s="29"/>
      <c r="D6166" s="29" t="s">
        <v>4156</v>
      </c>
      <c r="E6166" s="29"/>
      <c r="F6166" s="29" t="s">
        <v>4173</v>
      </c>
      <c r="G6166" s="29"/>
      <c r="H6166" s="29" t="s">
        <v>4174</v>
      </c>
      <c r="I6166" s="29"/>
      <c r="J6166" s="29" t="s">
        <v>4176</v>
      </c>
      <c r="K6166" s="29"/>
      <c r="L6166" s="29" t="s">
        <v>654</v>
      </c>
      <c r="M6166" s="29"/>
      <c r="N6166" s="29" t="s">
        <v>655</v>
      </c>
      <c r="O6166" s="29"/>
      <c r="P6166" s="29" t="s">
        <v>1950</v>
      </c>
      <c r="Q6166" t="s">
        <v>2040</v>
      </c>
      <c r="R6166" t="s">
        <v>2634</v>
      </c>
      <c r="S6166">
        <v>35</v>
      </c>
      <c r="T6166" s="43" t="str">
        <f t="shared" si="285"/>
        <v>2019.006G.zip</v>
      </c>
      <c r="U6166" s="43" t="str">
        <f>HYPERLINK("https://ictv.global/taxonomy/taxondetails?taxnode_id=202205089","ictv.global=202205089")</f>
        <v>ictv.global=202205089</v>
      </c>
    </row>
    <row r="6167" spans="1:21">
      <c r="A6167">
        <v>6166</v>
      </c>
      <c r="B6167" s="29" t="s">
        <v>3223</v>
      </c>
      <c r="C6167" s="29"/>
      <c r="D6167" s="29" t="s">
        <v>4156</v>
      </c>
      <c r="E6167" s="29"/>
      <c r="F6167" s="29" t="s">
        <v>4173</v>
      </c>
      <c r="G6167" s="29"/>
      <c r="H6167" s="29" t="s">
        <v>4174</v>
      </c>
      <c r="I6167" s="29"/>
      <c r="J6167" s="29" t="s">
        <v>4176</v>
      </c>
      <c r="K6167" s="29"/>
      <c r="L6167" s="29" t="s">
        <v>654</v>
      </c>
      <c r="M6167" s="29"/>
      <c r="N6167" s="29" t="s">
        <v>655</v>
      </c>
      <c r="O6167" s="29"/>
      <c r="P6167" s="29" t="s">
        <v>662</v>
      </c>
      <c r="Q6167" t="s">
        <v>2040</v>
      </c>
      <c r="R6167" t="s">
        <v>2634</v>
      </c>
      <c r="S6167">
        <v>35</v>
      </c>
      <c r="T6167" s="43" t="str">
        <f t="shared" si="285"/>
        <v>2019.006G.zip</v>
      </c>
      <c r="U6167" s="43" t="str">
        <f>HYPERLINK("https://ictv.global/taxonomy/taxondetails?taxnode_id=202205090","ictv.global=202205090")</f>
        <v>ictv.global=202205090</v>
      </c>
    </row>
    <row r="6168" spans="1:21">
      <c r="A6168">
        <v>6167</v>
      </c>
      <c r="B6168" s="29" t="s">
        <v>3223</v>
      </c>
      <c r="C6168" s="29"/>
      <c r="D6168" s="29" t="s">
        <v>4156</v>
      </c>
      <c r="E6168" s="29"/>
      <c r="F6168" s="29" t="s">
        <v>4173</v>
      </c>
      <c r="G6168" s="29"/>
      <c r="H6168" s="29" t="s">
        <v>4174</v>
      </c>
      <c r="I6168" s="29"/>
      <c r="J6168" s="29" t="s">
        <v>4176</v>
      </c>
      <c r="K6168" s="29"/>
      <c r="L6168" s="29" t="s">
        <v>654</v>
      </c>
      <c r="M6168" s="29"/>
      <c r="N6168" s="29" t="s">
        <v>655</v>
      </c>
      <c r="O6168" s="29"/>
      <c r="P6168" s="29" t="s">
        <v>663</v>
      </c>
      <c r="Q6168" t="s">
        <v>2040</v>
      </c>
      <c r="R6168" t="s">
        <v>2634</v>
      </c>
      <c r="S6168">
        <v>35</v>
      </c>
      <c r="T6168" s="43" t="str">
        <f t="shared" si="285"/>
        <v>2019.006G.zip</v>
      </c>
      <c r="U6168" s="43" t="str">
        <f>HYPERLINK("https://ictv.global/taxonomy/taxondetails?taxnode_id=202205091","ictv.global=202205091")</f>
        <v>ictv.global=202205091</v>
      </c>
    </row>
    <row r="6169" spans="1:21">
      <c r="A6169">
        <v>6168</v>
      </c>
      <c r="B6169" s="29" t="s">
        <v>3223</v>
      </c>
      <c r="C6169" s="29"/>
      <c r="D6169" s="29" t="s">
        <v>4156</v>
      </c>
      <c r="E6169" s="29"/>
      <c r="F6169" s="29" t="s">
        <v>4173</v>
      </c>
      <c r="G6169" s="29"/>
      <c r="H6169" s="29" t="s">
        <v>4174</v>
      </c>
      <c r="I6169" s="29"/>
      <c r="J6169" s="29" t="s">
        <v>4176</v>
      </c>
      <c r="K6169" s="29"/>
      <c r="L6169" s="29" t="s">
        <v>654</v>
      </c>
      <c r="M6169" s="29"/>
      <c r="N6169" s="29" t="s">
        <v>655</v>
      </c>
      <c r="O6169" s="29"/>
      <c r="P6169" s="29" t="s">
        <v>664</v>
      </c>
      <c r="Q6169" t="s">
        <v>2040</v>
      </c>
      <c r="R6169" t="s">
        <v>2634</v>
      </c>
      <c r="S6169">
        <v>35</v>
      </c>
      <c r="T6169" s="43" t="str">
        <f t="shared" si="285"/>
        <v>2019.006G.zip</v>
      </c>
      <c r="U6169" s="43" t="str">
        <f>HYPERLINK("https://ictv.global/taxonomy/taxondetails?taxnode_id=202205092","ictv.global=202205092")</f>
        <v>ictv.global=202205092</v>
      </c>
    </row>
    <row r="6170" spans="1:21">
      <c r="A6170">
        <v>6169</v>
      </c>
      <c r="B6170" s="29" t="s">
        <v>3223</v>
      </c>
      <c r="C6170" s="29"/>
      <c r="D6170" s="29" t="s">
        <v>4156</v>
      </c>
      <c r="E6170" s="29"/>
      <c r="F6170" s="29" t="s">
        <v>4173</v>
      </c>
      <c r="G6170" s="29"/>
      <c r="H6170" s="29" t="s">
        <v>4174</v>
      </c>
      <c r="I6170" s="29"/>
      <c r="J6170" s="29" t="s">
        <v>4176</v>
      </c>
      <c r="K6170" s="29"/>
      <c r="L6170" s="29" t="s">
        <v>654</v>
      </c>
      <c r="M6170" s="29"/>
      <c r="N6170" s="29" t="s">
        <v>655</v>
      </c>
      <c r="O6170" s="29"/>
      <c r="P6170" s="29" t="s">
        <v>665</v>
      </c>
      <c r="Q6170" t="s">
        <v>2040</v>
      </c>
      <c r="R6170" t="s">
        <v>2634</v>
      </c>
      <c r="S6170">
        <v>35</v>
      </c>
      <c r="T6170" s="43" t="str">
        <f t="shared" si="285"/>
        <v>2019.006G.zip</v>
      </c>
      <c r="U6170" s="43" t="str">
        <f>HYPERLINK("https://ictv.global/taxonomy/taxondetails?taxnode_id=202205093","ictv.global=202205093")</f>
        <v>ictv.global=202205093</v>
      </c>
    </row>
    <row r="6171" spans="1:21">
      <c r="A6171">
        <v>6170</v>
      </c>
      <c r="B6171" s="29" t="s">
        <v>3223</v>
      </c>
      <c r="C6171" s="29"/>
      <c r="D6171" s="29" t="s">
        <v>4156</v>
      </c>
      <c r="E6171" s="29"/>
      <c r="F6171" s="29" t="s">
        <v>4173</v>
      </c>
      <c r="G6171" s="29"/>
      <c r="H6171" s="29" t="s">
        <v>4174</v>
      </c>
      <c r="I6171" s="29"/>
      <c r="J6171" s="29" t="s">
        <v>4176</v>
      </c>
      <c r="K6171" s="29"/>
      <c r="L6171" s="29" t="s">
        <v>654</v>
      </c>
      <c r="M6171" s="29"/>
      <c r="N6171" s="29" t="s">
        <v>655</v>
      </c>
      <c r="O6171" s="29"/>
      <c r="P6171" s="29" t="s">
        <v>1694</v>
      </c>
      <c r="Q6171" t="s">
        <v>2040</v>
      </c>
      <c r="R6171" t="s">
        <v>2634</v>
      </c>
      <c r="S6171">
        <v>35</v>
      </c>
      <c r="T6171" s="43" t="str">
        <f t="shared" si="285"/>
        <v>2019.006G.zip</v>
      </c>
      <c r="U6171" s="43" t="str">
        <f>HYPERLINK("https://ictv.global/taxonomy/taxondetails?taxnode_id=202205094","ictv.global=202205094")</f>
        <v>ictv.global=202205094</v>
      </c>
    </row>
    <row r="6172" spans="1:21">
      <c r="A6172">
        <v>6171</v>
      </c>
      <c r="B6172" s="29" t="s">
        <v>3223</v>
      </c>
      <c r="C6172" s="29"/>
      <c r="D6172" s="29" t="s">
        <v>4156</v>
      </c>
      <c r="E6172" s="29"/>
      <c r="F6172" s="29" t="s">
        <v>4173</v>
      </c>
      <c r="G6172" s="29"/>
      <c r="H6172" s="29" t="s">
        <v>4174</v>
      </c>
      <c r="I6172" s="29"/>
      <c r="J6172" s="29" t="s">
        <v>4176</v>
      </c>
      <c r="K6172" s="29"/>
      <c r="L6172" s="29" t="s">
        <v>654</v>
      </c>
      <c r="M6172" s="29"/>
      <c r="N6172" s="29" t="s">
        <v>655</v>
      </c>
      <c r="O6172" s="29"/>
      <c r="P6172" s="29" t="s">
        <v>666</v>
      </c>
      <c r="Q6172" t="s">
        <v>2040</v>
      </c>
      <c r="R6172" t="s">
        <v>2634</v>
      </c>
      <c r="S6172">
        <v>35</v>
      </c>
      <c r="T6172" s="43" t="str">
        <f t="shared" si="285"/>
        <v>2019.006G.zip</v>
      </c>
      <c r="U6172" s="43" t="str">
        <f>HYPERLINK("https://ictv.global/taxonomy/taxondetails?taxnode_id=202205095","ictv.global=202205095")</f>
        <v>ictv.global=202205095</v>
      </c>
    </row>
    <row r="6173" spans="1:21">
      <c r="A6173">
        <v>6172</v>
      </c>
      <c r="B6173" s="29" t="s">
        <v>3223</v>
      </c>
      <c r="C6173" s="29"/>
      <c r="D6173" s="29" t="s">
        <v>4156</v>
      </c>
      <c r="E6173" s="29"/>
      <c r="F6173" s="29" t="s">
        <v>4173</v>
      </c>
      <c r="G6173" s="29"/>
      <c r="H6173" s="29" t="s">
        <v>4174</v>
      </c>
      <c r="I6173" s="29"/>
      <c r="J6173" s="29" t="s">
        <v>4176</v>
      </c>
      <c r="K6173" s="29"/>
      <c r="L6173" s="29" t="s">
        <v>654</v>
      </c>
      <c r="M6173" s="29"/>
      <c r="N6173" s="29" t="s">
        <v>655</v>
      </c>
      <c r="O6173" s="29"/>
      <c r="P6173" s="29" t="s">
        <v>667</v>
      </c>
      <c r="Q6173" t="s">
        <v>2040</v>
      </c>
      <c r="R6173" t="s">
        <v>2634</v>
      </c>
      <c r="S6173">
        <v>35</v>
      </c>
      <c r="T6173" s="43" t="str">
        <f t="shared" si="285"/>
        <v>2019.006G.zip</v>
      </c>
      <c r="U6173" s="43" t="str">
        <f>HYPERLINK("https://ictv.global/taxonomy/taxondetails?taxnode_id=202205096","ictv.global=202205096")</f>
        <v>ictv.global=202205096</v>
      </c>
    </row>
    <row r="6174" spans="1:21">
      <c r="A6174">
        <v>6173</v>
      </c>
      <c r="B6174" s="29" t="s">
        <v>3223</v>
      </c>
      <c r="C6174" s="29"/>
      <c r="D6174" s="29" t="s">
        <v>4156</v>
      </c>
      <c r="E6174" s="29"/>
      <c r="F6174" s="29" t="s">
        <v>4173</v>
      </c>
      <c r="G6174" s="29"/>
      <c r="H6174" s="29" t="s">
        <v>4174</v>
      </c>
      <c r="I6174" s="29"/>
      <c r="J6174" s="29" t="s">
        <v>4176</v>
      </c>
      <c r="K6174" s="29"/>
      <c r="L6174" s="29" t="s">
        <v>654</v>
      </c>
      <c r="M6174" s="29"/>
      <c r="N6174" s="29" t="s">
        <v>655</v>
      </c>
      <c r="O6174" s="29"/>
      <c r="P6174" s="29" t="s">
        <v>2044</v>
      </c>
      <c r="Q6174" t="s">
        <v>2040</v>
      </c>
      <c r="R6174" t="s">
        <v>2634</v>
      </c>
      <c r="S6174">
        <v>35</v>
      </c>
      <c r="T6174" s="43" t="str">
        <f t="shared" si="285"/>
        <v>2019.006G.zip</v>
      </c>
      <c r="U6174" s="43" t="str">
        <f>HYPERLINK("https://ictv.global/taxonomy/taxondetails?taxnode_id=202205097","ictv.global=202205097")</f>
        <v>ictv.global=202205097</v>
      </c>
    </row>
    <row r="6175" spans="1:21">
      <c r="A6175">
        <v>6174</v>
      </c>
      <c r="B6175" s="29" t="s">
        <v>3223</v>
      </c>
      <c r="C6175" s="29"/>
      <c r="D6175" s="29" t="s">
        <v>4156</v>
      </c>
      <c r="E6175" s="29"/>
      <c r="F6175" s="29" t="s">
        <v>4173</v>
      </c>
      <c r="G6175" s="29"/>
      <c r="H6175" s="29" t="s">
        <v>4174</v>
      </c>
      <c r="I6175" s="29"/>
      <c r="J6175" s="29" t="s">
        <v>4176</v>
      </c>
      <c r="K6175" s="29"/>
      <c r="L6175" s="29" t="s">
        <v>654</v>
      </c>
      <c r="M6175" s="29"/>
      <c r="N6175" s="29" t="s">
        <v>655</v>
      </c>
      <c r="O6175" s="29"/>
      <c r="P6175" s="29" t="s">
        <v>668</v>
      </c>
      <c r="Q6175" t="s">
        <v>2040</v>
      </c>
      <c r="R6175" t="s">
        <v>2634</v>
      </c>
      <c r="S6175">
        <v>35</v>
      </c>
      <c r="T6175" s="43" t="str">
        <f t="shared" si="285"/>
        <v>2019.006G.zip</v>
      </c>
      <c r="U6175" s="43" t="str">
        <f>HYPERLINK("https://ictv.global/taxonomy/taxondetails?taxnode_id=202205098","ictv.global=202205098")</f>
        <v>ictv.global=202205098</v>
      </c>
    </row>
    <row r="6176" spans="1:21">
      <c r="A6176">
        <v>6175</v>
      </c>
      <c r="B6176" s="29" t="s">
        <v>3223</v>
      </c>
      <c r="C6176" s="29"/>
      <c r="D6176" s="29" t="s">
        <v>4156</v>
      </c>
      <c r="E6176" s="29"/>
      <c r="F6176" s="29" t="s">
        <v>4173</v>
      </c>
      <c r="G6176" s="29"/>
      <c r="H6176" s="29" t="s">
        <v>4174</v>
      </c>
      <c r="I6176" s="29"/>
      <c r="J6176" s="29" t="s">
        <v>4176</v>
      </c>
      <c r="K6176" s="29"/>
      <c r="L6176" s="29" t="s">
        <v>654</v>
      </c>
      <c r="M6176" s="29"/>
      <c r="N6176" s="29" t="s">
        <v>655</v>
      </c>
      <c r="O6176" s="29"/>
      <c r="P6176" s="29" t="s">
        <v>669</v>
      </c>
      <c r="Q6176" t="s">
        <v>2040</v>
      </c>
      <c r="R6176" t="s">
        <v>2634</v>
      </c>
      <c r="S6176">
        <v>35</v>
      </c>
      <c r="T6176" s="43" t="str">
        <f t="shared" si="285"/>
        <v>2019.006G.zip</v>
      </c>
      <c r="U6176" s="43" t="str">
        <f>HYPERLINK("https://ictv.global/taxonomy/taxondetails?taxnode_id=202205099","ictv.global=202205099")</f>
        <v>ictv.global=202205099</v>
      </c>
    </row>
    <row r="6177" spans="1:21">
      <c r="A6177">
        <v>6176</v>
      </c>
      <c r="B6177" s="29" t="s">
        <v>3223</v>
      </c>
      <c r="C6177" s="29"/>
      <c r="D6177" s="29" t="s">
        <v>4156</v>
      </c>
      <c r="E6177" s="29"/>
      <c r="F6177" s="29" t="s">
        <v>4173</v>
      </c>
      <c r="G6177" s="29"/>
      <c r="H6177" s="29" t="s">
        <v>4174</v>
      </c>
      <c r="I6177" s="29"/>
      <c r="J6177" s="29" t="s">
        <v>4176</v>
      </c>
      <c r="K6177" s="29"/>
      <c r="L6177" s="29" t="s">
        <v>654</v>
      </c>
      <c r="M6177" s="29"/>
      <c r="N6177" s="29" t="s">
        <v>655</v>
      </c>
      <c r="O6177" s="29"/>
      <c r="P6177" s="29" t="s">
        <v>2984</v>
      </c>
      <c r="Q6177" t="s">
        <v>2040</v>
      </c>
      <c r="R6177" t="s">
        <v>2634</v>
      </c>
      <c r="S6177">
        <v>35</v>
      </c>
      <c r="T6177" s="43" t="str">
        <f t="shared" si="285"/>
        <v>2019.006G.zip</v>
      </c>
      <c r="U6177" s="43" t="str">
        <f>HYPERLINK("https://ictv.global/taxonomy/taxondetails?taxnode_id=202205100","ictv.global=202205100")</f>
        <v>ictv.global=202205100</v>
      </c>
    </row>
    <row r="6178" spans="1:21">
      <c r="A6178">
        <v>6177</v>
      </c>
      <c r="B6178" s="29" t="s">
        <v>3223</v>
      </c>
      <c r="C6178" s="29"/>
      <c r="D6178" s="29" t="s">
        <v>4156</v>
      </c>
      <c r="E6178" s="29"/>
      <c r="F6178" s="29" t="s">
        <v>4173</v>
      </c>
      <c r="G6178" s="29"/>
      <c r="H6178" s="29" t="s">
        <v>4174</v>
      </c>
      <c r="I6178" s="29"/>
      <c r="J6178" s="29" t="s">
        <v>4176</v>
      </c>
      <c r="K6178" s="29"/>
      <c r="L6178" s="29" t="s">
        <v>654</v>
      </c>
      <c r="M6178" s="29"/>
      <c r="N6178" s="29" t="s">
        <v>655</v>
      </c>
      <c r="O6178" s="29"/>
      <c r="P6178" s="29" t="s">
        <v>670</v>
      </c>
      <c r="Q6178" t="s">
        <v>2040</v>
      </c>
      <c r="R6178" t="s">
        <v>2634</v>
      </c>
      <c r="S6178">
        <v>35</v>
      </c>
      <c r="T6178" s="43" t="str">
        <f t="shared" si="285"/>
        <v>2019.006G.zip</v>
      </c>
      <c r="U6178" s="43" t="str">
        <f>HYPERLINK("https://ictv.global/taxonomy/taxondetails?taxnode_id=202205101","ictv.global=202205101")</f>
        <v>ictv.global=202205101</v>
      </c>
    </row>
    <row r="6179" spans="1:21">
      <c r="A6179">
        <v>6178</v>
      </c>
      <c r="B6179" s="29" t="s">
        <v>3223</v>
      </c>
      <c r="C6179" s="29"/>
      <c r="D6179" s="29" t="s">
        <v>4156</v>
      </c>
      <c r="E6179" s="29"/>
      <c r="F6179" s="29" t="s">
        <v>4173</v>
      </c>
      <c r="G6179" s="29"/>
      <c r="H6179" s="29" t="s">
        <v>4174</v>
      </c>
      <c r="I6179" s="29"/>
      <c r="J6179" s="29" t="s">
        <v>4176</v>
      </c>
      <c r="K6179" s="29"/>
      <c r="L6179" s="29" t="s">
        <v>654</v>
      </c>
      <c r="M6179" s="29"/>
      <c r="N6179" s="29" t="s">
        <v>655</v>
      </c>
      <c r="O6179" s="29"/>
      <c r="P6179" s="29" t="s">
        <v>982</v>
      </c>
      <c r="Q6179" t="s">
        <v>2040</v>
      </c>
      <c r="R6179" t="s">
        <v>2634</v>
      </c>
      <c r="S6179">
        <v>35</v>
      </c>
      <c r="T6179" s="43" t="str">
        <f t="shared" si="285"/>
        <v>2019.006G.zip</v>
      </c>
      <c r="U6179" s="43" t="str">
        <f>HYPERLINK("https://ictv.global/taxonomy/taxondetails?taxnode_id=202205102","ictv.global=202205102")</f>
        <v>ictv.global=202205102</v>
      </c>
    </row>
    <row r="6180" spans="1:21">
      <c r="A6180">
        <v>6179</v>
      </c>
      <c r="B6180" s="29" t="s">
        <v>3223</v>
      </c>
      <c r="C6180" s="29"/>
      <c r="D6180" s="29" t="s">
        <v>4156</v>
      </c>
      <c r="E6180" s="29"/>
      <c r="F6180" s="29" t="s">
        <v>4173</v>
      </c>
      <c r="G6180" s="29"/>
      <c r="H6180" s="29" t="s">
        <v>4174</v>
      </c>
      <c r="I6180" s="29"/>
      <c r="J6180" s="29" t="s">
        <v>4176</v>
      </c>
      <c r="K6180" s="29"/>
      <c r="L6180" s="29" t="s">
        <v>654</v>
      </c>
      <c r="M6180" s="29"/>
      <c r="N6180" s="29" t="s">
        <v>655</v>
      </c>
      <c r="O6180" s="29"/>
      <c r="P6180" s="29" t="s">
        <v>983</v>
      </c>
      <c r="Q6180" t="s">
        <v>2040</v>
      </c>
      <c r="R6180" t="s">
        <v>2634</v>
      </c>
      <c r="S6180">
        <v>35</v>
      </c>
      <c r="T6180" s="43" t="str">
        <f t="shared" si="285"/>
        <v>2019.006G.zip</v>
      </c>
      <c r="U6180" s="43" t="str">
        <f>HYPERLINK("https://ictv.global/taxonomy/taxondetails?taxnode_id=202205103","ictv.global=202205103")</f>
        <v>ictv.global=202205103</v>
      </c>
    </row>
    <row r="6181" spans="1:21">
      <c r="A6181">
        <v>6180</v>
      </c>
      <c r="B6181" s="29" t="s">
        <v>3223</v>
      </c>
      <c r="C6181" s="29"/>
      <c r="D6181" s="29" t="s">
        <v>4156</v>
      </c>
      <c r="E6181" s="29"/>
      <c r="F6181" s="29" t="s">
        <v>4173</v>
      </c>
      <c r="G6181" s="29"/>
      <c r="H6181" s="29" t="s">
        <v>4174</v>
      </c>
      <c r="I6181" s="29"/>
      <c r="J6181" s="29" t="s">
        <v>4176</v>
      </c>
      <c r="K6181" s="29"/>
      <c r="L6181" s="29" t="s">
        <v>654</v>
      </c>
      <c r="M6181" s="29"/>
      <c r="N6181" s="29" t="s">
        <v>655</v>
      </c>
      <c r="O6181" s="29"/>
      <c r="P6181" s="29" t="s">
        <v>984</v>
      </c>
      <c r="Q6181" t="s">
        <v>2040</v>
      </c>
      <c r="R6181" t="s">
        <v>2634</v>
      </c>
      <c r="S6181">
        <v>35</v>
      </c>
      <c r="T6181" s="43" t="str">
        <f t="shared" si="285"/>
        <v>2019.006G.zip</v>
      </c>
      <c r="U6181" s="43" t="str">
        <f>HYPERLINK("https://ictv.global/taxonomy/taxondetails?taxnode_id=202205104","ictv.global=202205104")</f>
        <v>ictv.global=202205104</v>
      </c>
    </row>
    <row r="6182" spans="1:21">
      <c r="A6182">
        <v>6181</v>
      </c>
      <c r="B6182" s="29" t="s">
        <v>3223</v>
      </c>
      <c r="C6182" s="29"/>
      <c r="D6182" s="29" t="s">
        <v>4156</v>
      </c>
      <c r="E6182" s="29"/>
      <c r="F6182" s="29" t="s">
        <v>4173</v>
      </c>
      <c r="G6182" s="29"/>
      <c r="H6182" s="29" t="s">
        <v>4174</v>
      </c>
      <c r="I6182" s="29"/>
      <c r="J6182" s="29" t="s">
        <v>4176</v>
      </c>
      <c r="K6182" s="29"/>
      <c r="L6182" s="29" t="s">
        <v>654</v>
      </c>
      <c r="M6182" s="29"/>
      <c r="N6182" s="29" t="s">
        <v>655</v>
      </c>
      <c r="O6182" s="29"/>
      <c r="P6182" s="29" t="s">
        <v>985</v>
      </c>
      <c r="Q6182" t="s">
        <v>2040</v>
      </c>
      <c r="R6182" t="s">
        <v>2634</v>
      </c>
      <c r="S6182">
        <v>35</v>
      </c>
      <c r="T6182" s="43" t="str">
        <f t="shared" si="285"/>
        <v>2019.006G.zip</v>
      </c>
      <c r="U6182" s="43" t="str">
        <f>HYPERLINK("https://ictv.global/taxonomy/taxondetails?taxnode_id=202205105","ictv.global=202205105")</f>
        <v>ictv.global=202205105</v>
      </c>
    </row>
    <row r="6183" spans="1:21">
      <c r="A6183">
        <v>6182</v>
      </c>
      <c r="B6183" s="29" t="s">
        <v>3223</v>
      </c>
      <c r="C6183" s="29"/>
      <c r="D6183" s="29" t="s">
        <v>4156</v>
      </c>
      <c r="E6183" s="29"/>
      <c r="F6183" s="29" t="s">
        <v>4173</v>
      </c>
      <c r="G6183" s="29"/>
      <c r="H6183" s="29" t="s">
        <v>4174</v>
      </c>
      <c r="I6183" s="29"/>
      <c r="J6183" s="29" t="s">
        <v>4176</v>
      </c>
      <c r="K6183" s="29"/>
      <c r="L6183" s="29" t="s">
        <v>654</v>
      </c>
      <c r="M6183" s="29"/>
      <c r="N6183" s="29" t="s">
        <v>655</v>
      </c>
      <c r="O6183" s="29"/>
      <c r="P6183" s="29" t="s">
        <v>986</v>
      </c>
      <c r="Q6183" t="s">
        <v>2040</v>
      </c>
      <c r="R6183" t="s">
        <v>6901</v>
      </c>
      <c r="S6183">
        <v>36</v>
      </c>
      <c r="T6183" s="43" t="str">
        <f>HYPERLINK("https://ictv.global/ictv/proposals/2020.001G.R.Abolish_type_species.pdf","2020.001G.R.Abolish_type_species.pdf")</f>
        <v>2020.001G.R.Abolish_type_species.pdf</v>
      </c>
      <c r="U6183" s="43" t="str">
        <f>HYPERLINK("https://ictv.global/taxonomy/taxondetails?taxnode_id=202205106","ictv.global=202205106")</f>
        <v>ictv.global=202205106</v>
      </c>
    </row>
    <row r="6184" spans="1:21">
      <c r="A6184">
        <v>6183</v>
      </c>
      <c r="B6184" s="29" t="s">
        <v>3223</v>
      </c>
      <c r="C6184" s="29"/>
      <c r="D6184" s="29" t="s">
        <v>4156</v>
      </c>
      <c r="E6184" s="29"/>
      <c r="F6184" s="29" t="s">
        <v>4173</v>
      </c>
      <c r="G6184" s="29"/>
      <c r="H6184" s="29" t="s">
        <v>4174</v>
      </c>
      <c r="I6184" s="29"/>
      <c r="J6184" s="29" t="s">
        <v>4176</v>
      </c>
      <c r="K6184" s="29"/>
      <c r="L6184" s="29" t="s">
        <v>654</v>
      </c>
      <c r="M6184" s="29"/>
      <c r="N6184" s="29" t="s">
        <v>655</v>
      </c>
      <c r="O6184" s="29"/>
      <c r="P6184" s="29" t="s">
        <v>987</v>
      </c>
      <c r="Q6184" t="s">
        <v>2040</v>
      </c>
      <c r="R6184" t="s">
        <v>2634</v>
      </c>
      <c r="S6184">
        <v>35</v>
      </c>
      <c r="T6184" s="43" t="str">
        <f t="shared" ref="T6184:T6194" si="286">HYPERLINK("https://ictv.global/ictv/proposals/2019.006G.zip","2019.006G.zip")</f>
        <v>2019.006G.zip</v>
      </c>
      <c r="U6184" s="43" t="str">
        <f>HYPERLINK("https://ictv.global/taxonomy/taxondetails?taxnode_id=202205107","ictv.global=202205107")</f>
        <v>ictv.global=202205107</v>
      </c>
    </row>
    <row r="6185" spans="1:21">
      <c r="A6185">
        <v>6184</v>
      </c>
      <c r="B6185" s="29" t="s">
        <v>3223</v>
      </c>
      <c r="C6185" s="29"/>
      <c r="D6185" s="29" t="s">
        <v>4156</v>
      </c>
      <c r="E6185" s="29"/>
      <c r="F6185" s="29" t="s">
        <v>4173</v>
      </c>
      <c r="G6185" s="29"/>
      <c r="H6185" s="29" t="s">
        <v>4174</v>
      </c>
      <c r="I6185" s="29"/>
      <c r="J6185" s="29" t="s">
        <v>4176</v>
      </c>
      <c r="K6185" s="29"/>
      <c r="L6185" s="29" t="s">
        <v>654</v>
      </c>
      <c r="M6185" s="29"/>
      <c r="N6185" s="29" t="s">
        <v>655</v>
      </c>
      <c r="O6185" s="29"/>
      <c r="P6185" s="29" t="s">
        <v>595</v>
      </c>
      <c r="Q6185" t="s">
        <v>2040</v>
      </c>
      <c r="R6185" t="s">
        <v>2634</v>
      </c>
      <c r="S6185">
        <v>35</v>
      </c>
      <c r="T6185" s="43" t="str">
        <f t="shared" si="286"/>
        <v>2019.006G.zip</v>
      </c>
      <c r="U6185" s="43" t="str">
        <f>HYPERLINK("https://ictv.global/taxonomy/taxondetails?taxnode_id=202205108","ictv.global=202205108")</f>
        <v>ictv.global=202205108</v>
      </c>
    </row>
    <row r="6186" spans="1:21">
      <c r="A6186">
        <v>6185</v>
      </c>
      <c r="B6186" s="29" t="s">
        <v>3223</v>
      </c>
      <c r="C6186" s="29"/>
      <c r="D6186" s="29" t="s">
        <v>4156</v>
      </c>
      <c r="E6186" s="29"/>
      <c r="F6186" s="29" t="s">
        <v>4173</v>
      </c>
      <c r="G6186" s="29"/>
      <c r="H6186" s="29" t="s">
        <v>4174</v>
      </c>
      <c r="I6186" s="29"/>
      <c r="J6186" s="29" t="s">
        <v>4176</v>
      </c>
      <c r="K6186" s="29"/>
      <c r="L6186" s="29" t="s">
        <v>654</v>
      </c>
      <c r="M6186" s="29"/>
      <c r="N6186" s="29" t="s">
        <v>655</v>
      </c>
      <c r="O6186" s="29"/>
      <c r="P6186" s="29" t="s">
        <v>596</v>
      </c>
      <c r="Q6186" t="s">
        <v>2040</v>
      </c>
      <c r="R6186" t="s">
        <v>2634</v>
      </c>
      <c r="S6186">
        <v>35</v>
      </c>
      <c r="T6186" s="43" t="str">
        <f t="shared" si="286"/>
        <v>2019.006G.zip</v>
      </c>
      <c r="U6186" s="43" t="str">
        <f>HYPERLINK("https://ictv.global/taxonomy/taxondetails?taxnode_id=202205109","ictv.global=202205109")</f>
        <v>ictv.global=202205109</v>
      </c>
    </row>
    <row r="6187" spans="1:21">
      <c r="A6187">
        <v>6186</v>
      </c>
      <c r="B6187" s="29" t="s">
        <v>3223</v>
      </c>
      <c r="C6187" s="29"/>
      <c r="D6187" s="29" t="s">
        <v>4156</v>
      </c>
      <c r="E6187" s="29"/>
      <c r="F6187" s="29" t="s">
        <v>4173</v>
      </c>
      <c r="G6187" s="29"/>
      <c r="H6187" s="29" t="s">
        <v>4174</v>
      </c>
      <c r="I6187" s="29"/>
      <c r="J6187" s="29" t="s">
        <v>4176</v>
      </c>
      <c r="K6187" s="29"/>
      <c r="L6187" s="29" t="s">
        <v>654</v>
      </c>
      <c r="M6187" s="29"/>
      <c r="N6187" s="29" t="s">
        <v>655</v>
      </c>
      <c r="O6187" s="29"/>
      <c r="P6187" s="29" t="s">
        <v>597</v>
      </c>
      <c r="Q6187" t="s">
        <v>2040</v>
      </c>
      <c r="R6187" t="s">
        <v>2634</v>
      </c>
      <c r="S6187">
        <v>35</v>
      </c>
      <c r="T6187" s="43" t="str">
        <f t="shared" si="286"/>
        <v>2019.006G.zip</v>
      </c>
      <c r="U6187" s="43" t="str">
        <f>HYPERLINK("https://ictv.global/taxonomy/taxondetails?taxnode_id=202205110","ictv.global=202205110")</f>
        <v>ictv.global=202205110</v>
      </c>
    </row>
    <row r="6188" spans="1:21">
      <c r="A6188">
        <v>6187</v>
      </c>
      <c r="B6188" s="29" t="s">
        <v>3223</v>
      </c>
      <c r="C6188" s="29"/>
      <c r="D6188" s="29" t="s">
        <v>4156</v>
      </c>
      <c r="E6188" s="29"/>
      <c r="F6188" s="29" t="s">
        <v>4173</v>
      </c>
      <c r="G6188" s="29"/>
      <c r="H6188" s="29" t="s">
        <v>4174</v>
      </c>
      <c r="I6188" s="29"/>
      <c r="J6188" s="29" t="s">
        <v>4176</v>
      </c>
      <c r="K6188" s="29"/>
      <c r="L6188" s="29" t="s">
        <v>654</v>
      </c>
      <c r="M6188" s="29"/>
      <c r="N6188" s="29" t="s">
        <v>655</v>
      </c>
      <c r="O6188" s="29"/>
      <c r="P6188" s="29" t="s">
        <v>1323</v>
      </c>
      <c r="Q6188" t="s">
        <v>2040</v>
      </c>
      <c r="R6188" t="s">
        <v>2634</v>
      </c>
      <c r="S6188">
        <v>35</v>
      </c>
      <c r="T6188" s="43" t="str">
        <f t="shared" si="286"/>
        <v>2019.006G.zip</v>
      </c>
      <c r="U6188" s="43" t="str">
        <f>HYPERLINK("https://ictv.global/taxonomy/taxondetails?taxnode_id=202205111","ictv.global=202205111")</f>
        <v>ictv.global=202205111</v>
      </c>
    </row>
    <row r="6189" spans="1:21">
      <c r="A6189">
        <v>6188</v>
      </c>
      <c r="B6189" s="29" t="s">
        <v>3223</v>
      </c>
      <c r="C6189" s="29"/>
      <c r="D6189" s="29" t="s">
        <v>4156</v>
      </c>
      <c r="E6189" s="29"/>
      <c r="F6189" s="29" t="s">
        <v>4173</v>
      </c>
      <c r="G6189" s="29"/>
      <c r="H6189" s="29" t="s">
        <v>4174</v>
      </c>
      <c r="I6189" s="29"/>
      <c r="J6189" s="29" t="s">
        <v>4176</v>
      </c>
      <c r="K6189" s="29"/>
      <c r="L6189" s="29" t="s">
        <v>654</v>
      </c>
      <c r="M6189" s="29"/>
      <c r="N6189" s="29" t="s">
        <v>655</v>
      </c>
      <c r="O6189" s="29"/>
      <c r="P6189" s="29" t="s">
        <v>1324</v>
      </c>
      <c r="Q6189" t="s">
        <v>2040</v>
      </c>
      <c r="R6189" t="s">
        <v>2634</v>
      </c>
      <c r="S6189">
        <v>35</v>
      </c>
      <c r="T6189" s="43" t="str">
        <f t="shared" si="286"/>
        <v>2019.006G.zip</v>
      </c>
      <c r="U6189" s="43" t="str">
        <f>HYPERLINK("https://ictv.global/taxonomy/taxondetails?taxnode_id=202205112","ictv.global=202205112")</f>
        <v>ictv.global=202205112</v>
      </c>
    </row>
    <row r="6190" spans="1:21">
      <c r="A6190">
        <v>6189</v>
      </c>
      <c r="B6190" s="29" t="s">
        <v>3223</v>
      </c>
      <c r="C6190" s="29"/>
      <c r="D6190" s="29" t="s">
        <v>4156</v>
      </c>
      <c r="E6190" s="29"/>
      <c r="F6190" s="29" t="s">
        <v>4173</v>
      </c>
      <c r="G6190" s="29"/>
      <c r="H6190" s="29" t="s">
        <v>4174</v>
      </c>
      <c r="I6190" s="29"/>
      <c r="J6190" s="29" t="s">
        <v>4176</v>
      </c>
      <c r="K6190" s="29"/>
      <c r="L6190" s="29" t="s">
        <v>654</v>
      </c>
      <c r="M6190" s="29"/>
      <c r="N6190" s="29" t="s">
        <v>655</v>
      </c>
      <c r="O6190" s="29"/>
      <c r="P6190" s="29" t="s">
        <v>1325</v>
      </c>
      <c r="Q6190" t="s">
        <v>2040</v>
      </c>
      <c r="R6190" t="s">
        <v>2634</v>
      </c>
      <c r="S6190">
        <v>35</v>
      </c>
      <c r="T6190" s="43" t="str">
        <f t="shared" si="286"/>
        <v>2019.006G.zip</v>
      </c>
      <c r="U6190" s="43" t="str">
        <f>HYPERLINK("https://ictv.global/taxonomy/taxondetails?taxnode_id=202205113","ictv.global=202205113")</f>
        <v>ictv.global=202205113</v>
      </c>
    </row>
    <row r="6191" spans="1:21">
      <c r="A6191">
        <v>6190</v>
      </c>
      <c r="B6191" s="29" t="s">
        <v>3223</v>
      </c>
      <c r="C6191" s="29"/>
      <c r="D6191" s="29" t="s">
        <v>4156</v>
      </c>
      <c r="E6191" s="29"/>
      <c r="F6191" s="29" t="s">
        <v>4173</v>
      </c>
      <c r="G6191" s="29"/>
      <c r="H6191" s="29" t="s">
        <v>4174</v>
      </c>
      <c r="I6191" s="29"/>
      <c r="J6191" s="29" t="s">
        <v>4176</v>
      </c>
      <c r="K6191" s="29"/>
      <c r="L6191" s="29" t="s">
        <v>1464</v>
      </c>
      <c r="M6191" s="29"/>
      <c r="N6191" s="29" t="s">
        <v>934</v>
      </c>
      <c r="O6191" s="29"/>
      <c r="P6191" s="29" t="s">
        <v>935</v>
      </c>
      <c r="Q6191" t="s">
        <v>2040</v>
      </c>
      <c r="R6191" t="s">
        <v>2634</v>
      </c>
      <c r="S6191">
        <v>35</v>
      </c>
      <c r="T6191" s="43" t="str">
        <f t="shared" si="286"/>
        <v>2019.006G.zip</v>
      </c>
      <c r="U6191" s="43" t="str">
        <f>HYPERLINK("https://ictv.global/taxonomy/taxondetails?taxnode_id=202205397","ictv.global=202205397")</f>
        <v>ictv.global=202205397</v>
      </c>
    </row>
    <row r="6192" spans="1:21">
      <c r="A6192">
        <v>6191</v>
      </c>
      <c r="B6192" s="29" t="s">
        <v>3223</v>
      </c>
      <c r="C6192" s="29"/>
      <c r="D6192" s="29" t="s">
        <v>4156</v>
      </c>
      <c r="E6192" s="29"/>
      <c r="F6192" s="29" t="s">
        <v>4173</v>
      </c>
      <c r="G6192" s="29"/>
      <c r="H6192" s="29" t="s">
        <v>4174</v>
      </c>
      <c r="I6192" s="29"/>
      <c r="J6192" s="29" t="s">
        <v>4176</v>
      </c>
      <c r="K6192" s="29"/>
      <c r="L6192" s="29" t="s">
        <v>1464</v>
      </c>
      <c r="M6192" s="29"/>
      <c r="N6192" s="29" t="s">
        <v>934</v>
      </c>
      <c r="O6192" s="29"/>
      <c r="P6192" s="29" t="s">
        <v>170</v>
      </c>
      <c r="Q6192" t="s">
        <v>2040</v>
      </c>
      <c r="R6192" t="s">
        <v>2634</v>
      </c>
      <c r="S6192">
        <v>35</v>
      </c>
      <c r="T6192" s="43" t="str">
        <f t="shared" si="286"/>
        <v>2019.006G.zip</v>
      </c>
      <c r="U6192" s="43" t="str">
        <f>HYPERLINK("https://ictv.global/taxonomy/taxondetails?taxnode_id=202205398","ictv.global=202205398")</f>
        <v>ictv.global=202205398</v>
      </c>
    </row>
    <row r="6193" spans="1:21">
      <c r="A6193">
        <v>6192</v>
      </c>
      <c r="B6193" s="29" t="s">
        <v>3223</v>
      </c>
      <c r="C6193" s="29"/>
      <c r="D6193" s="29" t="s">
        <v>4156</v>
      </c>
      <c r="E6193" s="29"/>
      <c r="F6193" s="29" t="s">
        <v>4173</v>
      </c>
      <c r="G6193" s="29"/>
      <c r="H6193" s="29" t="s">
        <v>4174</v>
      </c>
      <c r="I6193" s="29"/>
      <c r="J6193" s="29" t="s">
        <v>4176</v>
      </c>
      <c r="K6193" s="29"/>
      <c r="L6193" s="29" t="s">
        <v>1464</v>
      </c>
      <c r="M6193" s="29"/>
      <c r="N6193" s="29" t="s">
        <v>934</v>
      </c>
      <c r="O6193" s="29"/>
      <c r="P6193" s="29" t="s">
        <v>936</v>
      </c>
      <c r="Q6193" t="s">
        <v>2040</v>
      </c>
      <c r="R6193" t="s">
        <v>2634</v>
      </c>
      <c r="S6193">
        <v>35</v>
      </c>
      <c r="T6193" s="43" t="str">
        <f t="shared" si="286"/>
        <v>2019.006G.zip</v>
      </c>
      <c r="U6193" s="43" t="str">
        <f>HYPERLINK("https://ictv.global/taxonomy/taxondetails?taxnode_id=202205399","ictv.global=202205399")</f>
        <v>ictv.global=202205399</v>
      </c>
    </row>
    <row r="6194" spans="1:21">
      <c r="A6194">
        <v>6193</v>
      </c>
      <c r="B6194" s="29" t="s">
        <v>3223</v>
      </c>
      <c r="C6194" s="29"/>
      <c r="D6194" s="29" t="s">
        <v>4156</v>
      </c>
      <c r="E6194" s="29"/>
      <c r="F6194" s="29" t="s">
        <v>4173</v>
      </c>
      <c r="G6194" s="29"/>
      <c r="H6194" s="29" t="s">
        <v>4174</v>
      </c>
      <c r="I6194" s="29"/>
      <c r="J6194" s="29" t="s">
        <v>4176</v>
      </c>
      <c r="K6194" s="29"/>
      <c r="L6194" s="29" t="s">
        <v>1464</v>
      </c>
      <c r="M6194" s="29"/>
      <c r="N6194" s="29" t="s">
        <v>934</v>
      </c>
      <c r="O6194" s="29"/>
      <c r="P6194" s="29" t="s">
        <v>937</v>
      </c>
      <c r="Q6194" t="s">
        <v>2040</v>
      </c>
      <c r="R6194" t="s">
        <v>2634</v>
      </c>
      <c r="S6194">
        <v>35</v>
      </c>
      <c r="T6194" s="43" t="str">
        <f t="shared" si="286"/>
        <v>2019.006G.zip</v>
      </c>
      <c r="U6194" s="43" t="str">
        <f>HYPERLINK("https://ictv.global/taxonomy/taxondetails?taxnode_id=202205400","ictv.global=202205400")</f>
        <v>ictv.global=202205400</v>
      </c>
    </row>
    <row r="6195" spans="1:21">
      <c r="A6195">
        <v>6194</v>
      </c>
      <c r="B6195" s="29" t="s">
        <v>3223</v>
      </c>
      <c r="C6195" s="29"/>
      <c r="D6195" s="29" t="s">
        <v>4156</v>
      </c>
      <c r="E6195" s="29"/>
      <c r="F6195" s="29" t="s">
        <v>4173</v>
      </c>
      <c r="G6195" s="29"/>
      <c r="H6195" s="29" t="s">
        <v>4174</v>
      </c>
      <c r="I6195" s="29"/>
      <c r="J6195" s="29" t="s">
        <v>4176</v>
      </c>
      <c r="K6195" s="29"/>
      <c r="L6195" s="29" t="s">
        <v>1464</v>
      </c>
      <c r="M6195" s="29"/>
      <c r="N6195" s="29" t="s">
        <v>934</v>
      </c>
      <c r="O6195" s="29"/>
      <c r="P6195" s="29" t="s">
        <v>938</v>
      </c>
      <c r="Q6195" t="s">
        <v>2040</v>
      </c>
      <c r="R6195" t="s">
        <v>6901</v>
      </c>
      <c r="S6195">
        <v>36</v>
      </c>
      <c r="T6195" s="43" t="str">
        <f>HYPERLINK("https://ictv.global/ictv/proposals/2020.001G.R.Abolish_type_species.pdf","2020.001G.R.Abolish_type_species.pdf")</f>
        <v>2020.001G.R.Abolish_type_species.pdf</v>
      </c>
      <c r="U6195" s="43" t="str">
        <f>HYPERLINK("https://ictv.global/taxonomy/taxondetails?taxnode_id=202205401","ictv.global=202205401")</f>
        <v>ictv.global=202205401</v>
      </c>
    </row>
    <row r="6196" spans="1:21">
      <c r="A6196">
        <v>6195</v>
      </c>
      <c r="B6196" s="29" t="s">
        <v>3223</v>
      </c>
      <c r="C6196" s="29"/>
      <c r="D6196" s="29" t="s">
        <v>4156</v>
      </c>
      <c r="E6196" s="29"/>
      <c r="F6196" s="29" t="s">
        <v>4173</v>
      </c>
      <c r="G6196" s="29"/>
      <c r="H6196" s="29" t="s">
        <v>4174</v>
      </c>
      <c r="I6196" s="29"/>
      <c r="J6196" s="29" t="s">
        <v>4176</v>
      </c>
      <c r="K6196" s="29"/>
      <c r="L6196" s="29" t="s">
        <v>1464</v>
      </c>
      <c r="M6196" s="29"/>
      <c r="N6196" s="29" t="s">
        <v>934</v>
      </c>
      <c r="O6196" s="29"/>
      <c r="P6196" s="29" t="s">
        <v>221</v>
      </c>
      <c r="Q6196" t="s">
        <v>2040</v>
      </c>
      <c r="R6196" t="s">
        <v>2634</v>
      </c>
      <c r="S6196">
        <v>35</v>
      </c>
      <c r="T6196" s="43" t="str">
        <f>HYPERLINK("https://ictv.global/ictv/proposals/2019.006G.zip","2019.006G.zip")</f>
        <v>2019.006G.zip</v>
      </c>
      <c r="U6196" s="43" t="str">
        <f>HYPERLINK("https://ictv.global/taxonomy/taxondetails?taxnode_id=202205402","ictv.global=202205402")</f>
        <v>ictv.global=202205402</v>
      </c>
    </row>
    <row r="6197" spans="1:21">
      <c r="A6197">
        <v>6196</v>
      </c>
      <c r="B6197" s="29" t="s">
        <v>3223</v>
      </c>
      <c r="C6197" s="29"/>
      <c r="D6197" s="29" t="s">
        <v>4156</v>
      </c>
      <c r="E6197" s="29"/>
      <c r="F6197" s="29" t="s">
        <v>4173</v>
      </c>
      <c r="G6197" s="29"/>
      <c r="H6197" s="29" t="s">
        <v>4174</v>
      </c>
      <c r="I6197" s="29"/>
      <c r="J6197" s="29" t="s">
        <v>4176</v>
      </c>
      <c r="K6197" s="29"/>
      <c r="L6197" s="29" t="s">
        <v>1464</v>
      </c>
      <c r="M6197" s="29"/>
      <c r="N6197" s="29" t="s">
        <v>2353</v>
      </c>
      <c r="O6197" s="29"/>
      <c r="P6197" s="29" t="s">
        <v>2354</v>
      </c>
      <c r="Q6197" t="s">
        <v>2040</v>
      </c>
      <c r="R6197" t="s">
        <v>2634</v>
      </c>
      <c r="S6197">
        <v>35</v>
      </c>
      <c r="T6197" s="43" t="str">
        <f>HYPERLINK("https://ictv.global/ictv/proposals/2019.006G.zip","2019.006G.zip")</f>
        <v>2019.006G.zip</v>
      </c>
      <c r="U6197" s="43" t="str">
        <f>HYPERLINK("https://ictv.global/taxonomy/taxondetails?taxnode_id=202205404","ictv.global=202205404")</f>
        <v>ictv.global=202205404</v>
      </c>
    </row>
    <row r="6198" spans="1:21">
      <c r="A6198">
        <v>6197</v>
      </c>
      <c r="B6198" s="29" t="s">
        <v>3223</v>
      </c>
      <c r="C6198" s="29"/>
      <c r="D6198" s="29" t="s">
        <v>4156</v>
      </c>
      <c r="E6198" s="29"/>
      <c r="F6198" s="29" t="s">
        <v>4173</v>
      </c>
      <c r="G6198" s="29"/>
      <c r="H6198" s="29" t="s">
        <v>4174</v>
      </c>
      <c r="I6198" s="29"/>
      <c r="J6198" s="29" t="s">
        <v>4176</v>
      </c>
      <c r="K6198" s="29"/>
      <c r="L6198" s="29" t="s">
        <v>1464</v>
      </c>
      <c r="M6198" s="29"/>
      <c r="N6198" s="29" t="s">
        <v>2353</v>
      </c>
      <c r="O6198" s="29"/>
      <c r="P6198" s="29" t="s">
        <v>2355</v>
      </c>
      <c r="Q6198" t="s">
        <v>2040</v>
      </c>
      <c r="R6198" t="s">
        <v>6901</v>
      </c>
      <c r="S6198">
        <v>36</v>
      </c>
      <c r="T6198" s="43" t="str">
        <f>HYPERLINK("https://ictv.global/ictv/proposals/2020.001G.R.Abolish_type_species.pdf","2020.001G.R.Abolish_type_species.pdf")</f>
        <v>2020.001G.R.Abolish_type_species.pdf</v>
      </c>
      <c r="U6198" s="43" t="str">
        <f>HYPERLINK("https://ictv.global/taxonomy/taxondetails?taxnode_id=202205405","ictv.global=202205405")</f>
        <v>ictv.global=202205405</v>
      </c>
    </row>
    <row r="6199" spans="1:21">
      <c r="A6199">
        <v>6198</v>
      </c>
      <c r="B6199" s="29" t="s">
        <v>3223</v>
      </c>
      <c r="C6199" s="29"/>
      <c r="D6199" s="29" t="s">
        <v>4156</v>
      </c>
      <c r="E6199" s="29"/>
      <c r="F6199" s="29" t="s">
        <v>4173</v>
      </c>
      <c r="G6199" s="29"/>
      <c r="H6199" s="29" t="s">
        <v>4174</v>
      </c>
      <c r="I6199" s="29"/>
      <c r="J6199" s="29" t="s">
        <v>4176</v>
      </c>
      <c r="K6199" s="29"/>
      <c r="L6199" s="29" t="s">
        <v>1464</v>
      </c>
      <c r="M6199" s="29"/>
      <c r="N6199" s="29" t="s">
        <v>208</v>
      </c>
      <c r="O6199" s="29"/>
      <c r="P6199" s="29" t="s">
        <v>209</v>
      </c>
      <c r="Q6199" t="s">
        <v>2040</v>
      </c>
      <c r="R6199" t="s">
        <v>2634</v>
      </c>
      <c r="S6199">
        <v>35</v>
      </c>
      <c r="T6199" s="43" t="str">
        <f>HYPERLINK("https://ictv.global/ictv/proposals/2019.006G.zip","2019.006G.zip")</f>
        <v>2019.006G.zip</v>
      </c>
      <c r="U6199" s="43" t="str">
        <f>HYPERLINK("https://ictv.global/taxonomy/taxondetails?taxnode_id=202205407","ictv.global=202205407")</f>
        <v>ictv.global=202205407</v>
      </c>
    </row>
    <row r="6200" spans="1:21">
      <c r="A6200">
        <v>6199</v>
      </c>
      <c r="B6200" s="29" t="s">
        <v>3223</v>
      </c>
      <c r="C6200" s="29"/>
      <c r="D6200" s="29" t="s">
        <v>4156</v>
      </c>
      <c r="E6200" s="29"/>
      <c r="F6200" s="29" t="s">
        <v>4173</v>
      </c>
      <c r="G6200" s="29"/>
      <c r="H6200" s="29" t="s">
        <v>4174</v>
      </c>
      <c r="I6200" s="29"/>
      <c r="J6200" s="29" t="s">
        <v>4176</v>
      </c>
      <c r="K6200" s="29"/>
      <c r="L6200" s="29" t="s">
        <v>1464</v>
      </c>
      <c r="M6200" s="29"/>
      <c r="N6200" s="29" t="s">
        <v>208</v>
      </c>
      <c r="O6200" s="29"/>
      <c r="P6200" s="29" t="s">
        <v>210</v>
      </c>
      <c r="Q6200" t="s">
        <v>2040</v>
      </c>
      <c r="R6200" t="s">
        <v>6901</v>
      </c>
      <c r="S6200">
        <v>36</v>
      </c>
      <c r="T6200" s="43" t="str">
        <f>HYPERLINK("https://ictv.global/ictv/proposals/2020.001G.R.Abolish_type_species.pdf","2020.001G.R.Abolish_type_species.pdf")</f>
        <v>2020.001G.R.Abolish_type_species.pdf</v>
      </c>
      <c r="U6200" s="43" t="str">
        <f>HYPERLINK("https://ictv.global/taxonomy/taxondetails?taxnode_id=202205408","ictv.global=202205408")</f>
        <v>ictv.global=202205408</v>
      </c>
    </row>
    <row r="6201" spans="1:21">
      <c r="A6201">
        <v>6200</v>
      </c>
      <c r="B6201" s="29" t="s">
        <v>3223</v>
      </c>
      <c r="C6201" s="29"/>
      <c r="D6201" s="29" t="s">
        <v>4156</v>
      </c>
      <c r="E6201" s="29"/>
      <c r="F6201" s="29" t="s">
        <v>4173</v>
      </c>
      <c r="G6201" s="29"/>
      <c r="H6201" s="29" t="s">
        <v>4174</v>
      </c>
      <c r="I6201" s="29"/>
      <c r="J6201" s="29" t="s">
        <v>4176</v>
      </c>
      <c r="K6201" s="29"/>
      <c r="L6201" s="29" t="s">
        <v>1464</v>
      </c>
      <c r="M6201" s="29"/>
      <c r="N6201" s="29" t="s">
        <v>208</v>
      </c>
      <c r="O6201" s="29"/>
      <c r="P6201" s="29" t="s">
        <v>211</v>
      </c>
      <c r="Q6201" t="s">
        <v>2040</v>
      </c>
      <c r="R6201" t="s">
        <v>2634</v>
      </c>
      <c r="S6201">
        <v>35</v>
      </c>
      <c r="T6201" s="43" t="str">
        <f>HYPERLINK("https://ictv.global/ictv/proposals/2019.006G.zip","2019.006G.zip")</f>
        <v>2019.006G.zip</v>
      </c>
      <c r="U6201" s="43" t="str">
        <f>HYPERLINK("https://ictv.global/taxonomy/taxondetails?taxnode_id=202205409","ictv.global=202205409")</f>
        <v>ictv.global=202205409</v>
      </c>
    </row>
    <row r="6202" spans="1:21">
      <c r="A6202">
        <v>6201</v>
      </c>
      <c r="B6202" s="29" t="s">
        <v>3223</v>
      </c>
      <c r="C6202" s="29"/>
      <c r="D6202" s="29" t="s">
        <v>4156</v>
      </c>
      <c r="E6202" s="29"/>
      <c r="F6202" s="29" t="s">
        <v>4173</v>
      </c>
      <c r="G6202" s="29"/>
      <c r="H6202" s="29" t="s">
        <v>4174</v>
      </c>
      <c r="I6202" s="29"/>
      <c r="J6202" s="29" t="s">
        <v>4176</v>
      </c>
      <c r="K6202" s="29"/>
      <c r="L6202" s="29" t="s">
        <v>1464</v>
      </c>
      <c r="M6202" s="29"/>
      <c r="N6202" s="29" t="s">
        <v>208</v>
      </c>
      <c r="O6202" s="29"/>
      <c r="P6202" s="29" t="s">
        <v>212</v>
      </c>
      <c r="Q6202" t="s">
        <v>2040</v>
      </c>
      <c r="R6202" t="s">
        <v>2634</v>
      </c>
      <c r="S6202">
        <v>35</v>
      </c>
      <c r="T6202" s="43" t="str">
        <f>HYPERLINK("https://ictv.global/ictv/proposals/2019.006G.zip","2019.006G.zip")</f>
        <v>2019.006G.zip</v>
      </c>
      <c r="U6202" s="43" t="str">
        <f>HYPERLINK("https://ictv.global/taxonomy/taxondetails?taxnode_id=202205410","ictv.global=202205410")</f>
        <v>ictv.global=202205410</v>
      </c>
    </row>
    <row r="6203" spans="1:21">
      <c r="A6203">
        <v>6202</v>
      </c>
      <c r="B6203" s="29" t="s">
        <v>3223</v>
      </c>
      <c r="C6203" s="29"/>
      <c r="D6203" s="29" t="s">
        <v>4156</v>
      </c>
      <c r="E6203" s="29"/>
      <c r="F6203" s="29" t="s">
        <v>4173</v>
      </c>
      <c r="G6203" s="29"/>
      <c r="H6203" s="29" t="s">
        <v>4174</v>
      </c>
      <c r="I6203" s="29"/>
      <c r="J6203" s="29" t="s">
        <v>4176</v>
      </c>
      <c r="K6203" s="29"/>
      <c r="L6203" s="29" t="s">
        <v>1464</v>
      </c>
      <c r="M6203" s="29"/>
      <c r="N6203" s="29" t="s">
        <v>218</v>
      </c>
      <c r="O6203" s="29"/>
      <c r="P6203" s="29" t="s">
        <v>219</v>
      </c>
      <c r="Q6203" t="s">
        <v>2040</v>
      </c>
      <c r="R6203" t="s">
        <v>2634</v>
      </c>
      <c r="S6203">
        <v>35</v>
      </c>
      <c r="T6203" s="43" t="str">
        <f>HYPERLINK("https://ictv.global/ictv/proposals/2019.006G.zip","2019.006G.zip")</f>
        <v>2019.006G.zip</v>
      </c>
      <c r="U6203" s="43" t="str">
        <f>HYPERLINK("https://ictv.global/taxonomy/taxondetails?taxnode_id=202205412","ictv.global=202205412")</f>
        <v>ictv.global=202205412</v>
      </c>
    </row>
    <row r="6204" spans="1:21">
      <c r="A6204">
        <v>6203</v>
      </c>
      <c r="B6204" s="29" t="s">
        <v>3223</v>
      </c>
      <c r="C6204" s="29"/>
      <c r="D6204" s="29" t="s">
        <v>4156</v>
      </c>
      <c r="E6204" s="29"/>
      <c r="F6204" s="29" t="s">
        <v>4173</v>
      </c>
      <c r="G6204" s="29"/>
      <c r="H6204" s="29" t="s">
        <v>4174</v>
      </c>
      <c r="I6204" s="29"/>
      <c r="J6204" s="29" t="s">
        <v>4176</v>
      </c>
      <c r="K6204" s="29"/>
      <c r="L6204" s="29" t="s">
        <v>1464</v>
      </c>
      <c r="M6204" s="29"/>
      <c r="N6204" s="29" t="s">
        <v>218</v>
      </c>
      <c r="O6204" s="29"/>
      <c r="P6204" s="29" t="s">
        <v>220</v>
      </c>
      <c r="Q6204" t="s">
        <v>2040</v>
      </c>
      <c r="R6204" t="s">
        <v>6901</v>
      </c>
      <c r="S6204">
        <v>36</v>
      </c>
      <c r="T6204" s="43" t="str">
        <f>HYPERLINK("https://ictv.global/ictv/proposals/2020.001G.R.Abolish_type_species.pdf","2020.001G.R.Abolish_type_species.pdf")</f>
        <v>2020.001G.R.Abolish_type_species.pdf</v>
      </c>
      <c r="U6204" s="43" t="str">
        <f>HYPERLINK("https://ictv.global/taxonomy/taxondetails?taxnode_id=202205413","ictv.global=202205413")</f>
        <v>ictv.global=202205413</v>
      </c>
    </row>
    <row r="6205" spans="1:21">
      <c r="A6205">
        <v>6204</v>
      </c>
      <c r="B6205" s="29" t="s">
        <v>3223</v>
      </c>
      <c r="C6205" s="29"/>
      <c r="D6205" s="29" t="s">
        <v>4156</v>
      </c>
      <c r="E6205" s="29"/>
      <c r="F6205" s="29" t="s">
        <v>4173</v>
      </c>
      <c r="G6205" s="29"/>
      <c r="H6205" s="29" t="s">
        <v>4174</v>
      </c>
      <c r="I6205" s="29"/>
      <c r="J6205" s="29" t="s">
        <v>4176</v>
      </c>
      <c r="K6205" s="29"/>
      <c r="L6205" s="29" t="s">
        <v>1464</v>
      </c>
      <c r="M6205" s="29"/>
      <c r="N6205" s="29" t="s">
        <v>315</v>
      </c>
      <c r="O6205" s="29"/>
      <c r="P6205" s="29" t="s">
        <v>316</v>
      </c>
      <c r="Q6205" t="s">
        <v>2040</v>
      </c>
      <c r="R6205" t="s">
        <v>2634</v>
      </c>
      <c r="S6205">
        <v>35</v>
      </c>
      <c r="T6205" s="43" t="str">
        <f>HYPERLINK("https://ictv.global/ictv/proposals/2019.006G.zip","2019.006G.zip")</f>
        <v>2019.006G.zip</v>
      </c>
      <c r="U6205" s="43" t="str">
        <f>HYPERLINK("https://ictv.global/taxonomy/taxondetails?taxnode_id=202205415","ictv.global=202205415")</f>
        <v>ictv.global=202205415</v>
      </c>
    </row>
    <row r="6206" spans="1:21">
      <c r="A6206">
        <v>6205</v>
      </c>
      <c r="B6206" s="29" t="s">
        <v>3223</v>
      </c>
      <c r="C6206" s="29"/>
      <c r="D6206" s="29" t="s">
        <v>4156</v>
      </c>
      <c r="E6206" s="29"/>
      <c r="F6206" s="29" t="s">
        <v>4173</v>
      </c>
      <c r="G6206" s="29"/>
      <c r="H6206" s="29" t="s">
        <v>4174</v>
      </c>
      <c r="I6206" s="29"/>
      <c r="J6206" s="29" t="s">
        <v>4176</v>
      </c>
      <c r="K6206" s="29"/>
      <c r="L6206" s="29" t="s">
        <v>1464</v>
      </c>
      <c r="M6206" s="29"/>
      <c r="N6206" s="29" t="s">
        <v>315</v>
      </c>
      <c r="O6206" s="29"/>
      <c r="P6206" s="29" t="s">
        <v>317</v>
      </c>
      <c r="Q6206" t="s">
        <v>2040</v>
      </c>
      <c r="R6206" t="s">
        <v>2634</v>
      </c>
      <c r="S6206">
        <v>35</v>
      </c>
      <c r="T6206" s="43" t="str">
        <f>HYPERLINK("https://ictv.global/ictv/proposals/2019.006G.zip","2019.006G.zip")</f>
        <v>2019.006G.zip</v>
      </c>
      <c r="U6206" s="43" t="str">
        <f>HYPERLINK("https://ictv.global/taxonomy/taxondetails?taxnode_id=202205416","ictv.global=202205416")</f>
        <v>ictv.global=202205416</v>
      </c>
    </row>
    <row r="6207" spans="1:21">
      <c r="A6207">
        <v>6206</v>
      </c>
      <c r="B6207" s="29" t="s">
        <v>3223</v>
      </c>
      <c r="C6207" s="29"/>
      <c r="D6207" s="29" t="s">
        <v>4156</v>
      </c>
      <c r="E6207" s="29"/>
      <c r="F6207" s="29" t="s">
        <v>4173</v>
      </c>
      <c r="G6207" s="29"/>
      <c r="H6207" s="29" t="s">
        <v>4174</v>
      </c>
      <c r="I6207" s="29"/>
      <c r="J6207" s="29" t="s">
        <v>4176</v>
      </c>
      <c r="K6207" s="29"/>
      <c r="L6207" s="29" t="s">
        <v>1464</v>
      </c>
      <c r="M6207" s="29"/>
      <c r="N6207" s="29" t="s">
        <v>315</v>
      </c>
      <c r="O6207" s="29"/>
      <c r="P6207" s="29" t="s">
        <v>318</v>
      </c>
      <c r="Q6207" t="s">
        <v>2040</v>
      </c>
      <c r="R6207" t="s">
        <v>2634</v>
      </c>
      <c r="S6207">
        <v>35</v>
      </c>
      <c r="T6207" s="43" t="str">
        <f>HYPERLINK("https://ictv.global/ictv/proposals/2019.006G.zip","2019.006G.zip")</f>
        <v>2019.006G.zip</v>
      </c>
      <c r="U6207" s="43" t="str">
        <f>HYPERLINK("https://ictv.global/taxonomy/taxondetails?taxnode_id=202205417","ictv.global=202205417")</f>
        <v>ictv.global=202205417</v>
      </c>
    </row>
    <row r="6208" spans="1:21">
      <c r="A6208">
        <v>6207</v>
      </c>
      <c r="B6208" s="29" t="s">
        <v>3223</v>
      </c>
      <c r="C6208" s="29"/>
      <c r="D6208" s="29" t="s">
        <v>4156</v>
      </c>
      <c r="E6208" s="29"/>
      <c r="F6208" s="29" t="s">
        <v>4173</v>
      </c>
      <c r="G6208" s="29"/>
      <c r="H6208" s="29" t="s">
        <v>4174</v>
      </c>
      <c r="I6208" s="29"/>
      <c r="J6208" s="29" t="s">
        <v>4176</v>
      </c>
      <c r="K6208" s="29"/>
      <c r="L6208" s="29" t="s">
        <v>1464</v>
      </c>
      <c r="M6208" s="29"/>
      <c r="N6208" s="29" t="s">
        <v>315</v>
      </c>
      <c r="O6208" s="29"/>
      <c r="P6208" s="29" t="s">
        <v>2629</v>
      </c>
      <c r="Q6208" t="s">
        <v>2040</v>
      </c>
      <c r="R6208" t="s">
        <v>2634</v>
      </c>
      <c r="S6208">
        <v>35</v>
      </c>
      <c r="T6208" s="43" t="str">
        <f>HYPERLINK("https://ictv.global/ictv/proposals/2019.006G.zip","2019.006G.zip")</f>
        <v>2019.006G.zip</v>
      </c>
      <c r="U6208" s="43" t="str">
        <f>HYPERLINK("https://ictv.global/taxonomy/taxondetails?taxnode_id=202205418","ictv.global=202205418")</f>
        <v>ictv.global=202205418</v>
      </c>
    </row>
    <row r="6209" spans="1:21">
      <c r="A6209">
        <v>6208</v>
      </c>
      <c r="B6209" s="29" t="s">
        <v>3223</v>
      </c>
      <c r="C6209" s="29"/>
      <c r="D6209" s="29" t="s">
        <v>4156</v>
      </c>
      <c r="E6209" s="29"/>
      <c r="F6209" s="29" t="s">
        <v>4173</v>
      </c>
      <c r="G6209" s="29"/>
      <c r="H6209" s="29" t="s">
        <v>4174</v>
      </c>
      <c r="I6209" s="29"/>
      <c r="J6209" s="29" t="s">
        <v>4176</v>
      </c>
      <c r="K6209" s="29"/>
      <c r="L6209" s="29" t="s">
        <v>1464</v>
      </c>
      <c r="M6209" s="29"/>
      <c r="N6209" s="29" t="s">
        <v>315</v>
      </c>
      <c r="O6209" s="29"/>
      <c r="P6209" s="29" t="s">
        <v>319</v>
      </c>
      <c r="Q6209" t="s">
        <v>2040</v>
      </c>
      <c r="R6209" t="s">
        <v>6901</v>
      </c>
      <c r="S6209">
        <v>36</v>
      </c>
      <c r="T6209" s="43" t="str">
        <f>HYPERLINK("https://ictv.global/ictv/proposals/2020.001G.R.Abolish_type_species.pdf","2020.001G.R.Abolish_type_species.pdf")</f>
        <v>2020.001G.R.Abolish_type_species.pdf</v>
      </c>
      <c r="U6209" s="43" t="str">
        <f>HYPERLINK("https://ictv.global/taxonomy/taxondetails?taxnode_id=202205419","ictv.global=202205419")</f>
        <v>ictv.global=202205419</v>
      </c>
    </row>
    <row r="6210" spans="1:21">
      <c r="A6210">
        <v>6209</v>
      </c>
      <c r="B6210" s="29" t="s">
        <v>3223</v>
      </c>
      <c r="C6210" s="29"/>
      <c r="D6210" s="29" t="s">
        <v>4156</v>
      </c>
      <c r="E6210" s="29"/>
      <c r="F6210" s="29" t="s">
        <v>4173</v>
      </c>
      <c r="G6210" s="29"/>
      <c r="H6210" s="29" t="s">
        <v>4174</v>
      </c>
      <c r="I6210" s="29"/>
      <c r="J6210" s="29" t="s">
        <v>4176</v>
      </c>
      <c r="K6210" s="29"/>
      <c r="L6210" s="29" t="s">
        <v>1464</v>
      </c>
      <c r="M6210" s="29"/>
      <c r="N6210" s="29" t="s">
        <v>354</v>
      </c>
      <c r="O6210" s="29"/>
      <c r="P6210" s="29" t="s">
        <v>1701</v>
      </c>
      <c r="Q6210" t="s">
        <v>2040</v>
      </c>
      <c r="R6210" t="s">
        <v>2634</v>
      </c>
      <c r="S6210">
        <v>35</v>
      </c>
      <c r="T6210" s="43" t="str">
        <f t="shared" ref="T6210:T6235" si="287">HYPERLINK("https://ictv.global/ictv/proposals/2019.006G.zip","2019.006G.zip")</f>
        <v>2019.006G.zip</v>
      </c>
      <c r="U6210" s="43" t="str">
        <f>HYPERLINK("https://ictv.global/taxonomy/taxondetails?taxnode_id=202205421","ictv.global=202205421")</f>
        <v>ictv.global=202205421</v>
      </c>
    </row>
    <row r="6211" spans="1:21">
      <c r="A6211">
        <v>6210</v>
      </c>
      <c r="B6211" s="29" t="s">
        <v>3223</v>
      </c>
      <c r="C6211" s="29"/>
      <c r="D6211" s="29" t="s">
        <v>4156</v>
      </c>
      <c r="E6211" s="29"/>
      <c r="F6211" s="29" t="s">
        <v>4173</v>
      </c>
      <c r="G6211" s="29"/>
      <c r="H6211" s="29" t="s">
        <v>4174</v>
      </c>
      <c r="I6211" s="29"/>
      <c r="J6211" s="29" t="s">
        <v>4176</v>
      </c>
      <c r="K6211" s="29"/>
      <c r="L6211" s="29" t="s">
        <v>1464</v>
      </c>
      <c r="M6211" s="29"/>
      <c r="N6211" s="29" t="s">
        <v>354</v>
      </c>
      <c r="O6211" s="29"/>
      <c r="P6211" s="29" t="s">
        <v>1126</v>
      </c>
      <c r="Q6211" t="s">
        <v>2040</v>
      </c>
      <c r="R6211" t="s">
        <v>2634</v>
      </c>
      <c r="S6211">
        <v>35</v>
      </c>
      <c r="T6211" s="43" t="str">
        <f t="shared" si="287"/>
        <v>2019.006G.zip</v>
      </c>
      <c r="U6211" s="43" t="str">
        <f>HYPERLINK("https://ictv.global/taxonomy/taxondetails?taxnode_id=202205422","ictv.global=202205422")</f>
        <v>ictv.global=202205422</v>
      </c>
    </row>
    <row r="6212" spans="1:21">
      <c r="A6212">
        <v>6211</v>
      </c>
      <c r="B6212" s="29" t="s">
        <v>3223</v>
      </c>
      <c r="C6212" s="29"/>
      <c r="D6212" s="29" t="s">
        <v>4156</v>
      </c>
      <c r="E6212" s="29"/>
      <c r="F6212" s="29" t="s">
        <v>4173</v>
      </c>
      <c r="G6212" s="29"/>
      <c r="H6212" s="29" t="s">
        <v>4174</v>
      </c>
      <c r="I6212" s="29"/>
      <c r="J6212" s="29" t="s">
        <v>4176</v>
      </c>
      <c r="K6212" s="29"/>
      <c r="L6212" s="29" t="s">
        <v>1464</v>
      </c>
      <c r="M6212" s="29"/>
      <c r="N6212" s="29" t="s">
        <v>354</v>
      </c>
      <c r="O6212" s="29"/>
      <c r="P6212" s="29" t="s">
        <v>1702</v>
      </c>
      <c r="Q6212" t="s">
        <v>2040</v>
      </c>
      <c r="R6212" t="s">
        <v>2634</v>
      </c>
      <c r="S6212">
        <v>35</v>
      </c>
      <c r="T6212" s="43" t="str">
        <f t="shared" si="287"/>
        <v>2019.006G.zip</v>
      </c>
      <c r="U6212" s="43" t="str">
        <f>HYPERLINK("https://ictv.global/taxonomy/taxondetails?taxnode_id=202205423","ictv.global=202205423")</f>
        <v>ictv.global=202205423</v>
      </c>
    </row>
    <row r="6213" spans="1:21">
      <c r="A6213">
        <v>6212</v>
      </c>
      <c r="B6213" s="29" t="s">
        <v>3223</v>
      </c>
      <c r="C6213" s="29"/>
      <c r="D6213" s="29" t="s">
        <v>4156</v>
      </c>
      <c r="E6213" s="29"/>
      <c r="F6213" s="29" t="s">
        <v>4173</v>
      </c>
      <c r="G6213" s="29"/>
      <c r="H6213" s="29" t="s">
        <v>4174</v>
      </c>
      <c r="I6213" s="29"/>
      <c r="J6213" s="29" t="s">
        <v>4176</v>
      </c>
      <c r="K6213" s="29"/>
      <c r="L6213" s="29" t="s">
        <v>1464</v>
      </c>
      <c r="M6213" s="29"/>
      <c r="N6213" s="29" t="s">
        <v>354</v>
      </c>
      <c r="O6213" s="29"/>
      <c r="P6213" s="29" t="s">
        <v>1703</v>
      </c>
      <c r="Q6213" t="s">
        <v>2040</v>
      </c>
      <c r="R6213" t="s">
        <v>2634</v>
      </c>
      <c r="S6213">
        <v>35</v>
      </c>
      <c r="T6213" s="43" t="str">
        <f t="shared" si="287"/>
        <v>2019.006G.zip</v>
      </c>
      <c r="U6213" s="43" t="str">
        <f>HYPERLINK("https://ictv.global/taxonomy/taxondetails?taxnode_id=202205424","ictv.global=202205424")</f>
        <v>ictv.global=202205424</v>
      </c>
    </row>
    <row r="6214" spans="1:21">
      <c r="A6214">
        <v>6213</v>
      </c>
      <c r="B6214" s="29" t="s">
        <v>3223</v>
      </c>
      <c r="C6214" s="29"/>
      <c r="D6214" s="29" t="s">
        <v>4156</v>
      </c>
      <c r="E6214" s="29"/>
      <c r="F6214" s="29" t="s">
        <v>4173</v>
      </c>
      <c r="G6214" s="29"/>
      <c r="H6214" s="29" t="s">
        <v>4174</v>
      </c>
      <c r="I6214" s="29"/>
      <c r="J6214" s="29" t="s">
        <v>4176</v>
      </c>
      <c r="K6214" s="29"/>
      <c r="L6214" s="29" t="s">
        <v>1464</v>
      </c>
      <c r="M6214" s="29"/>
      <c r="N6214" s="29" t="s">
        <v>354</v>
      </c>
      <c r="O6214" s="29"/>
      <c r="P6214" s="29" t="s">
        <v>355</v>
      </c>
      <c r="Q6214" t="s">
        <v>2040</v>
      </c>
      <c r="R6214" t="s">
        <v>2634</v>
      </c>
      <c r="S6214">
        <v>35</v>
      </c>
      <c r="T6214" s="43" t="str">
        <f t="shared" si="287"/>
        <v>2019.006G.zip</v>
      </c>
      <c r="U6214" s="43" t="str">
        <f>HYPERLINK("https://ictv.global/taxonomy/taxondetails?taxnode_id=202205425","ictv.global=202205425")</f>
        <v>ictv.global=202205425</v>
      </c>
    </row>
    <row r="6215" spans="1:21">
      <c r="A6215">
        <v>6214</v>
      </c>
      <c r="B6215" s="29" t="s">
        <v>3223</v>
      </c>
      <c r="C6215" s="29"/>
      <c r="D6215" s="29" t="s">
        <v>4156</v>
      </c>
      <c r="E6215" s="29"/>
      <c r="F6215" s="29" t="s">
        <v>4173</v>
      </c>
      <c r="G6215" s="29"/>
      <c r="H6215" s="29" t="s">
        <v>4174</v>
      </c>
      <c r="I6215" s="29"/>
      <c r="J6215" s="29" t="s">
        <v>4176</v>
      </c>
      <c r="K6215" s="29"/>
      <c r="L6215" s="29" t="s">
        <v>1464</v>
      </c>
      <c r="M6215" s="29"/>
      <c r="N6215" s="29" t="s">
        <v>354</v>
      </c>
      <c r="O6215" s="29"/>
      <c r="P6215" s="29" t="s">
        <v>356</v>
      </c>
      <c r="Q6215" t="s">
        <v>2040</v>
      </c>
      <c r="R6215" t="s">
        <v>2634</v>
      </c>
      <c r="S6215">
        <v>35</v>
      </c>
      <c r="T6215" s="43" t="str">
        <f t="shared" si="287"/>
        <v>2019.006G.zip</v>
      </c>
      <c r="U6215" s="43" t="str">
        <f>HYPERLINK("https://ictv.global/taxonomy/taxondetails?taxnode_id=202205426","ictv.global=202205426")</f>
        <v>ictv.global=202205426</v>
      </c>
    </row>
    <row r="6216" spans="1:21">
      <c r="A6216">
        <v>6215</v>
      </c>
      <c r="B6216" s="29" t="s">
        <v>3223</v>
      </c>
      <c r="C6216" s="29"/>
      <c r="D6216" s="29" t="s">
        <v>4156</v>
      </c>
      <c r="E6216" s="29"/>
      <c r="F6216" s="29" t="s">
        <v>4173</v>
      </c>
      <c r="G6216" s="29"/>
      <c r="H6216" s="29" t="s">
        <v>4174</v>
      </c>
      <c r="I6216" s="29"/>
      <c r="J6216" s="29" t="s">
        <v>4176</v>
      </c>
      <c r="K6216" s="29"/>
      <c r="L6216" s="29" t="s">
        <v>1464</v>
      </c>
      <c r="M6216" s="29"/>
      <c r="N6216" s="29" t="s">
        <v>354</v>
      </c>
      <c r="O6216" s="29"/>
      <c r="P6216" s="29" t="s">
        <v>1704</v>
      </c>
      <c r="Q6216" t="s">
        <v>2040</v>
      </c>
      <c r="R6216" t="s">
        <v>2634</v>
      </c>
      <c r="S6216">
        <v>35</v>
      </c>
      <c r="T6216" s="43" t="str">
        <f t="shared" si="287"/>
        <v>2019.006G.zip</v>
      </c>
      <c r="U6216" s="43" t="str">
        <f>HYPERLINK("https://ictv.global/taxonomy/taxondetails?taxnode_id=202205427","ictv.global=202205427")</f>
        <v>ictv.global=202205427</v>
      </c>
    </row>
    <row r="6217" spans="1:21">
      <c r="A6217">
        <v>6216</v>
      </c>
      <c r="B6217" s="29" t="s">
        <v>3223</v>
      </c>
      <c r="C6217" s="29"/>
      <c r="D6217" s="29" t="s">
        <v>4156</v>
      </c>
      <c r="E6217" s="29"/>
      <c r="F6217" s="29" t="s">
        <v>4173</v>
      </c>
      <c r="G6217" s="29"/>
      <c r="H6217" s="29" t="s">
        <v>4174</v>
      </c>
      <c r="I6217" s="29"/>
      <c r="J6217" s="29" t="s">
        <v>4176</v>
      </c>
      <c r="K6217" s="29"/>
      <c r="L6217" s="29" t="s">
        <v>1464</v>
      </c>
      <c r="M6217" s="29"/>
      <c r="N6217" s="29" t="s">
        <v>354</v>
      </c>
      <c r="O6217" s="29"/>
      <c r="P6217" s="29" t="s">
        <v>357</v>
      </c>
      <c r="Q6217" t="s">
        <v>2040</v>
      </c>
      <c r="R6217" t="s">
        <v>2634</v>
      </c>
      <c r="S6217">
        <v>35</v>
      </c>
      <c r="T6217" s="43" t="str">
        <f t="shared" si="287"/>
        <v>2019.006G.zip</v>
      </c>
      <c r="U6217" s="43" t="str">
        <f>HYPERLINK("https://ictv.global/taxonomy/taxondetails?taxnode_id=202205428","ictv.global=202205428")</f>
        <v>ictv.global=202205428</v>
      </c>
    </row>
    <row r="6218" spans="1:21">
      <c r="A6218">
        <v>6217</v>
      </c>
      <c r="B6218" s="29" t="s">
        <v>3223</v>
      </c>
      <c r="C6218" s="29"/>
      <c r="D6218" s="29" t="s">
        <v>4156</v>
      </c>
      <c r="E6218" s="29"/>
      <c r="F6218" s="29" t="s">
        <v>4173</v>
      </c>
      <c r="G6218" s="29"/>
      <c r="H6218" s="29" t="s">
        <v>4174</v>
      </c>
      <c r="I6218" s="29"/>
      <c r="J6218" s="29" t="s">
        <v>4176</v>
      </c>
      <c r="K6218" s="29"/>
      <c r="L6218" s="29" t="s">
        <v>1464</v>
      </c>
      <c r="M6218" s="29"/>
      <c r="N6218" s="29" t="s">
        <v>354</v>
      </c>
      <c r="O6218" s="29"/>
      <c r="P6218" s="29" t="s">
        <v>358</v>
      </c>
      <c r="Q6218" t="s">
        <v>2040</v>
      </c>
      <c r="R6218" t="s">
        <v>2634</v>
      </c>
      <c r="S6218">
        <v>35</v>
      </c>
      <c r="T6218" s="43" t="str">
        <f t="shared" si="287"/>
        <v>2019.006G.zip</v>
      </c>
      <c r="U6218" s="43" t="str">
        <f>HYPERLINK("https://ictv.global/taxonomy/taxondetails?taxnode_id=202205429","ictv.global=202205429")</f>
        <v>ictv.global=202205429</v>
      </c>
    </row>
    <row r="6219" spans="1:21">
      <c r="A6219">
        <v>6218</v>
      </c>
      <c r="B6219" s="29" t="s">
        <v>3223</v>
      </c>
      <c r="C6219" s="29"/>
      <c r="D6219" s="29" t="s">
        <v>4156</v>
      </c>
      <c r="E6219" s="29"/>
      <c r="F6219" s="29" t="s">
        <v>4173</v>
      </c>
      <c r="G6219" s="29"/>
      <c r="H6219" s="29" t="s">
        <v>4174</v>
      </c>
      <c r="I6219" s="29"/>
      <c r="J6219" s="29" t="s">
        <v>4176</v>
      </c>
      <c r="K6219" s="29"/>
      <c r="L6219" s="29" t="s">
        <v>1464</v>
      </c>
      <c r="M6219" s="29"/>
      <c r="N6219" s="29" t="s">
        <v>354</v>
      </c>
      <c r="O6219" s="29"/>
      <c r="P6219" s="29" t="s">
        <v>359</v>
      </c>
      <c r="Q6219" t="s">
        <v>2040</v>
      </c>
      <c r="R6219" t="s">
        <v>2634</v>
      </c>
      <c r="S6219">
        <v>35</v>
      </c>
      <c r="T6219" s="43" t="str">
        <f t="shared" si="287"/>
        <v>2019.006G.zip</v>
      </c>
      <c r="U6219" s="43" t="str">
        <f>HYPERLINK("https://ictv.global/taxonomy/taxondetails?taxnode_id=202205430","ictv.global=202205430")</f>
        <v>ictv.global=202205430</v>
      </c>
    </row>
    <row r="6220" spans="1:21">
      <c r="A6220">
        <v>6219</v>
      </c>
      <c r="B6220" s="29" t="s">
        <v>3223</v>
      </c>
      <c r="C6220" s="29"/>
      <c r="D6220" s="29" t="s">
        <v>4156</v>
      </c>
      <c r="E6220" s="29"/>
      <c r="F6220" s="29" t="s">
        <v>4173</v>
      </c>
      <c r="G6220" s="29"/>
      <c r="H6220" s="29" t="s">
        <v>4174</v>
      </c>
      <c r="I6220" s="29"/>
      <c r="J6220" s="29" t="s">
        <v>4176</v>
      </c>
      <c r="K6220" s="29"/>
      <c r="L6220" s="29" t="s">
        <v>1464</v>
      </c>
      <c r="M6220" s="29"/>
      <c r="N6220" s="29" t="s">
        <v>354</v>
      </c>
      <c r="O6220" s="29"/>
      <c r="P6220" s="29" t="s">
        <v>360</v>
      </c>
      <c r="Q6220" t="s">
        <v>2040</v>
      </c>
      <c r="R6220" t="s">
        <v>2634</v>
      </c>
      <c r="S6220">
        <v>35</v>
      </c>
      <c r="T6220" s="43" t="str">
        <f t="shared" si="287"/>
        <v>2019.006G.zip</v>
      </c>
      <c r="U6220" s="43" t="str">
        <f>HYPERLINK("https://ictv.global/taxonomy/taxondetails?taxnode_id=202205431","ictv.global=202205431")</f>
        <v>ictv.global=202205431</v>
      </c>
    </row>
    <row r="6221" spans="1:21">
      <c r="A6221">
        <v>6220</v>
      </c>
      <c r="B6221" s="29" t="s">
        <v>3223</v>
      </c>
      <c r="C6221" s="29"/>
      <c r="D6221" s="29" t="s">
        <v>4156</v>
      </c>
      <c r="E6221" s="29"/>
      <c r="F6221" s="29" t="s">
        <v>4173</v>
      </c>
      <c r="G6221" s="29"/>
      <c r="H6221" s="29" t="s">
        <v>4174</v>
      </c>
      <c r="I6221" s="29"/>
      <c r="J6221" s="29" t="s">
        <v>4176</v>
      </c>
      <c r="K6221" s="29"/>
      <c r="L6221" s="29" t="s">
        <v>1464</v>
      </c>
      <c r="M6221" s="29"/>
      <c r="N6221" s="29" t="s">
        <v>354</v>
      </c>
      <c r="O6221" s="29"/>
      <c r="P6221" s="29" t="s">
        <v>1705</v>
      </c>
      <c r="Q6221" t="s">
        <v>2040</v>
      </c>
      <c r="R6221" t="s">
        <v>2634</v>
      </c>
      <c r="S6221">
        <v>35</v>
      </c>
      <c r="T6221" s="43" t="str">
        <f t="shared" si="287"/>
        <v>2019.006G.zip</v>
      </c>
      <c r="U6221" s="43" t="str">
        <f>HYPERLINK("https://ictv.global/taxonomy/taxondetails?taxnode_id=202205432","ictv.global=202205432")</f>
        <v>ictv.global=202205432</v>
      </c>
    </row>
    <row r="6222" spans="1:21">
      <c r="A6222">
        <v>6221</v>
      </c>
      <c r="B6222" s="29" t="s">
        <v>3223</v>
      </c>
      <c r="C6222" s="29"/>
      <c r="D6222" s="29" t="s">
        <v>4156</v>
      </c>
      <c r="E6222" s="29"/>
      <c r="F6222" s="29" t="s">
        <v>4173</v>
      </c>
      <c r="G6222" s="29"/>
      <c r="H6222" s="29" t="s">
        <v>4174</v>
      </c>
      <c r="I6222" s="29"/>
      <c r="J6222" s="29" t="s">
        <v>4176</v>
      </c>
      <c r="K6222" s="29"/>
      <c r="L6222" s="29" t="s">
        <v>1464</v>
      </c>
      <c r="M6222" s="29"/>
      <c r="N6222" s="29" t="s">
        <v>354</v>
      </c>
      <c r="O6222" s="29"/>
      <c r="P6222" s="29" t="s">
        <v>340</v>
      </c>
      <c r="Q6222" t="s">
        <v>2040</v>
      </c>
      <c r="R6222" t="s">
        <v>2634</v>
      </c>
      <c r="S6222">
        <v>35</v>
      </c>
      <c r="T6222" s="43" t="str">
        <f t="shared" si="287"/>
        <v>2019.006G.zip</v>
      </c>
      <c r="U6222" s="43" t="str">
        <f>HYPERLINK("https://ictv.global/taxonomy/taxondetails?taxnode_id=202205433","ictv.global=202205433")</f>
        <v>ictv.global=202205433</v>
      </c>
    </row>
    <row r="6223" spans="1:21">
      <c r="A6223">
        <v>6222</v>
      </c>
      <c r="B6223" s="29" t="s">
        <v>3223</v>
      </c>
      <c r="C6223" s="29"/>
      <c r="D6223" s="29" t="s">
        <v>4156</v>
      </c>
      <c r="E6223" s="29"/>
      <c r="F6223" s="29" t="s">
        <v>4173</v>
      </c>
      <c r="G6223" s="29"/>
      <c r="H6223" s="29" t="s">
        <v>4174</v>
      </c>
      <c r="I6223" s="29"/>
      <c r="J6223" s="29" t="s">
        <v>4176</v>
      </c>
      <c r="K6223" s="29"/>
      <c r="L6223" s="29" t="s">
        <v>1464</v>
      </c>
      <c r="M6223" s="29"/>
      <c r="N6223" s="29" t="s">
        <v>354</v>
      </c>
      <c r="O6223" s="29"/>
      <c r="P6223" s="29" t="s">
        <v>341</v>
      </c>
      <c r="Q6223" t="s">
        <v>2040</v>
      </c>
      <c r="R6223" t="s">
        <v>2634</v>
      </c>
      <c r="S6223">
        <v>35</v>
      </c>
      <c r="T6223" s="43" t="str">
        <f t="shared" si="287"/>
        <v>2019.006G.zip</v>
      </c>
      <c r="U6223" s="43" t="str">
        <f>HYPERLINK("https://ictv.global/taxonomy/taxondetails?taxnode_id=202205434","ictv.global=202205434")</f>
        <v>ictv.global=202205434</v>
      </c>
    </row>
    <row r="6224" spans="1:21">
      <c r="A6224">
        <v>6223</v>
      </c>
      <c r="B6224" s="29" t="s">
        <v>3223</v>
      </c>
      <c r="C6224" s="29"/>
      <c r="D6224" s="29" t="s">
        <v>4156</v>
      </c>
      <c r="E6224" s="29"/>
      <c r="F6224" s="29" t="s">
        <v>4173</v>
      </c>
      <c r="G6224" s="29"/>
      <c r="H6224" s="29" t="s">
        <v>4174</v>
      </c>
      <c r="I6224" s="29"/>
      <c r="J6224" s="29" t="s">
        <v>4176</v>
      </c>
      <c r="K6224" s="29"/>
      <c r="L6224" s="29" t="s">
        <v>1464</v>
      </c>
      <c r="M6224" s="29"/>
      <c r="N6224" s="29" t="s">
        <v>354</v>
      </c>
      <c r="O6224" s="29"/>
      <c r="P6224" s="29" t="s">
        <v>2987</v>
      </c>
      <c r="Q6224" t="s">
        <v>2040</v>
      </c>
      <c r="R6224" t="s">
        <v>2634</v>
      </c>
      <c r="S6224">
        <v>35</v>
      </c>
      <c r="T6224" s="43" t="str">
        <f t="shared" si="287"/>
        <v>2019.006G.zip</v>
      </c>
      <c r="U6224" s="43" t="str">
        <f>HYPERLINK("https://ictv.global/taxonomy/taxondetails?taxnode_id=202205442","ictv.global=202205442")</f>
        <v>ictv.global=202205442</v>
      </c>
    </row>
    <row r="6225" spans="1:21">
      <c r="A6225">
        <v>6224</v>
      </c>
      <c r="B6225" s="29" t="s">
        <v>3223</v>
      </c>
      <c r="C6225" s="29"/>
      <c r="D6225" s="29" t="s">
        <v>4156</v>
      </c>
      <c r="E6225" s="29"/>
      <c r="F6225" s="29" t="s">
        <v>4173</v>
      </c>
      <c r="G6225" s="29"/>
      <c r="H6225" s="29" t="s">
        <v>4174</v>
      </c>
      <c r="I6225" s="29"/>
      <c r="J6225" s="29" t="s">
        <v>4176</v>
      </c>
      <c r="K6225" s="29"/>
      <c r="L6225" s="29" t="s">
        <v>1464</v>
      </c>
      <c r="M6225" s="29"/>
      <c r="N6225" s="29" t="s">
        <v>354</v>
      </c>
      <c r="O6225" s="29"/>
      <c r="P6225" s="29" t="s">
        <v>342</v>
      </c>
      <c r="Q6225" t="s">
        <v>2040</v>
      </c>
      <c r="R6225" t="s">
        <v>2634</v>
      </c>
      <c r="S6225">
        <v>35</v>
      </c>
      <c r="T6225" s="43" t="str">
        <f t="shared" si="287"/>
        <v>2019.006G.zip</v>
      </c>
      <c r="U6225" s="43" t="str">
        <f>HYPERLINK("https://ictv.global/taxonomy/taxondetails?taxnode_id=202205435","ictv.global=202205435")</f>
        <v>ictv.global=202205435</v>
      </c>
    </row>
    <row r="6226" spans="1:21">
      <c r="A6226">
        <v>6225</v>
      </c>
      <c r="B6226" s="29" t="s">
        <v>3223</v>
      </c>
      <c r="C6226" s="29"/>
      <c r="D6226" s="29" t="s">
        <v>4156</v>
      </c>
      <c r="E6226" s="29"/>
      <c r="F6226" s="29" t="s">
        <v>4173</v>
      </c>
      <c r="G6226" s="29"/>
      <c r="H6226" s="29" t="s">
        <v>4174</v>
      </c>
      <c r="I6226" s="29"/>
      <c r="J6226" s="29" t="s">
        <v>4176</v>
      </c>
      <c r="K6226" s="29"/>
      <c r="L6226" s="29" t="s">
        <v>1464</v>
      </c>
      <c r="M6226" s="29"/>
      <c r="N6226" s="29" t="s">
        <v>354</v>
      </c>
      <c r="O6226" s="29"/>
      <c r="P6226" s="29" t="s">
        <v>1706</v>
      </c>
      <c r="Q6226" t="s">
        <v>2040</v>
      </c>
      <c r="R6226" t="s">
        <v>2634</v>
      </c>
      <c r="S6226">
        <v>35</v>
      </c>
      <c r="T6226" s="43" t="str">
        <f t="shared" si="287"/>
        <v>2019.006G.zip</v>
      </c>
      <c r="U6226" s="43" t="str">
        <f>HYPERLINK("https://ictv.global/taxonomy/taxondetails?taxnode_id=202205436","ictv.global=202205436")</f>
        <v>ictv.global=202205436</v>
      </c>
    </row>
    <row r="6227" spans="1:21">
      <c r="A6227">
        <v>6226</v>
      </c>
      <c r="B6227" s="29" t="s">
        <v>3223</v>
      </c>
      <c r="C6227" s="29"/>
      <c r="D6227" s="29" t="s">
        <v>4156</v>
      </c>
      <c r="E6227" s="29"/>
      <c r="F6227" s="29" t="s">
        <v>4173</v>
      </c>
      <c r="G6227" s="29"/>
      <c r="H6227" s="29" t="s">
        <v>4174</v>
      </c>
      <c r="I6227" s="29"/>
      <c r="J6227" s="29" t="s">
        <v>4176</v>
      </c>
      <c r="K6227" s="29"/>
      <c r="L6227" s="29" t="s">
        <v>1464</v>
      </c>
      <c r="M6227" s="29"/>
      <c r="N6227" s="29" t="s">
        <v>354</v>
      </c>
      <c r="O6227" s="29"/>
      <c r="P6227" s="29" t="s">
        <v>250</v>
      </c>
      <c r="Q6227" t="s">
        <v>2040</v>
      </c>
      <c r="R6227" t="s">
        <v>2634</v>
      </c>
      <c r="S6227">
        <v>35</v>
      </c>
      <c r="T6227" s="43" t="str">
        <f t="shared" si="287"/>
        <v>2019.006G.zip</v>
      </c>
      <c r="U6227" s="43" t="str">
        <f>HYPERLINK("https://ictv.global/taxonomy/taxondetails?taxnode_id=202205437","ictv.global=202205437")</f>
        <v>ictv.global=202205437</v>
      </c>
    </row>
    <row r="6228" spans="1:21">
      <c r="A6228">
        <v>6227</v>
      </c>
      <c r="B6228" s="29" t="s">
        <v>3223</v>
      </c>
      <c r="C6228" s="29"/>
      <c r="D6228" s="29" t="s">
        <v>4156</v>
      </c>
      <c r="E6228" s="29"/>
      <c r="F6228" s="29" t="s">
        <v>4173</v>
      </c>
      <c r="G6228" s="29"/>
      <c r="H6228" s="29" t="s">
        <v>4174</v>
      </c>
      <c r="I6228" s="29"/>
      <c r="J6228" s="29" t="s">
        <v>4176</v>
      </c>
      <c r="K6228" s="29"/>
      <c r="L6228" s="29" t="s">
        <v>1464</v>
      </c>
      <c r="M6228" s="29"/>
      <c r="N6228" s="29" t="s">
        <v>354</v>
      </c>
      <c r="O6228" s="29"/>
      <c r="P6228" s="29" t="s">
        <v>2630</v>
      </c>
      <c r="Q6228" t="s">
        <v>2040</v>
      </c>
      <c r="R6228" t="s">
        <v>2634</v>
      </c>
      <c r="S6228">
        <v>35</v>
      </c>
      <c r="T6228" s="43" t="str">
        <f t="shared" si="287"/>
        <v>2019.006G.zip</v>
      </c>
      <c r="U6228" s="43" t="str">
        <f>HYPERLINK("https://ictv.global/taxonomy/taxondetails?taxnode_id=202205438","ictv.global=202205438")</f>
        <v>ictv.global=202205438</v>
      </c>
    </row>
    <row r="6229" spans="1:21">
      <c r="A6229">
        <v>6228</v>
      </c>
      <c r="B6229" s="29" t="s">
        <v>3223</v>
      </c>
      <c r="C6229" s="29"/>
      <c r="D6229" s="29" t="s">
        <v>4156</v>
      </c>
      <c r="E6229" s="29"/>
      <c r="F6229" s="29" t="s">
        <v>4173</v>
      </c>
      <c r="G6229" s="29"/>
      <c r="H6229" s="29" t="s">
        <v>4174</v>
      </c>
      <c r="I6229" s="29"/>
      <c r="J6229" s="29" t="s">
        <v>4176</v>
      </c>
      <c r="K6229" s="29"/>
      <c r="L6229" s="29" t="s">
        <v>1464</v>
      </c>
      <c r="M6229" s="29"/>
      <c r="N6229" s="29" t="s">
        <v>354</v>
      </c>
      <c r="O6229" s="29"/>
      <c r="P6229" s="29" t="s">
        <v>1707</v>
      </c>
      <c r="Q6229" t="s">
        <v>2040</v>
      </c>
      <c r="R6229" t="s">
        <v>2634</v>
      </c>
      <c r="S6229">
        <v>35</v>
      </c>
      <c r="T6229" s="43" t="str">
        <f t="shared" si="287"/>
        <v>2019.006G.zip</v>
      </c>
      <c r="U6229" s="43" t="str">
        <f>HYPERLINK("https://ictv.global/taxonomy/taxondetails?taxnode_id=202205439","ictv.global=202205439")</f>
        <v>ictv.global=202205439</v>
      </c>
    </row>
    <row r="6230" spans="1:21">
      <c r="A6230">
        <v>6229</v>
      </c>
      <c r="B6230" s="29" t="s">
        <v>3223</v>
      </c>
      <c r="C6230" s="29"/>
      <c r="D6230" s="29" t="s">
        <v>4156</v>
      </c>
      <c r="E6230" s="29"/>
      <c r="F6230" s="29" t="s">
        <v>4173</v>
      </c>
      <c r="G6230" s="29"/>
      <c r="H6230" s="29" t="s">
        <v>4174</v>
      </c>
      <c r="I6230" s="29"/>
      <c r="J6230" s="29" t="s">
        <v>4176</v>
      </c>
      <c r="K6230" s="29"/>
      <c r="L6230" s="29" t="s">
        <v>1464</v>
      </c>
      <c r="M6230" s="29"/>
      <c r="N6230" s="29" t="s">
        <v>354</v>
      </c>
      <c r="O6230" s="29"/>
      <c r="P6230" s="29" t="s">
        <v>1125</v>
      </c>
      <c r="Q6230" t="s">
        <v>2040</v>
      </c>
      <c r="R6230" t="s">
        <v>2634</v>
      </c>
      <c r="S6230">
        <v>35</v>
      </c>
      <c r="T6230" s="43" t="str">
        <f t="shared" si="287"/>
        <v>2019.006G.zip</v>
      </c>
      <c r="U6230" s="43" t="str">
        <f>HYPERLINK("https://ictv.global/taxonomy/taxondetails?taxnode_id=202205440","ictv.global=202205440")</f>
        <v>ictv.global=202205440</v>
      </c>
    </row>
    <row r="6231" spans="1:21">
      <c r="A6231">
        <v>6230</v>
      </c>
      <c r="B6231" s="29" t="s">
        <v>3223</v>
      </c>
      <c r="C6231" s="29"/>
      <c r="D6231" s="29" t="s">
        <v>4156</v>
      </c>
      <c r="E6231" s="29"/>
      <c r="F6231" s="29" t="s">
        <v>4173</v>
      </c>
      <c r="G6231" s="29"/>
      <c r="H6231" s="29" t="s">
        <v>4174</v>
      </c>
      <c r="I6231" s="29"/>
      <c r="J6231" s="29" t="s">
        <v>4176</v>
      </c>
      <c r="K6231" s="29"/>
      <c r="L6231" s="29" t="s">
        <v>1464</v>
      </c>
      <c r="M6231" s="29"/>
      <c r="N6231" s="29" t="s">
        <v>354</v>
      </c>
      <c r="O6231" s="29"/>
      <c r="P6231" s="29" t="s">
        <v>251</v>
      </c>
      <c r="Q6231" t="s">
        <v>2040</v>
      </c>
      <c r="R6231" t="s">
        <v>2634</v>
      </c>
      <c r="S6231">
        <v>35</v>
      </c>
      <c r="T6231" s="43" t="str">
        <f t="shared" si="287"/>
        <v>2019.006G.zip</v>
      </c>
      <c r="U6231" s="43" t="str">
        <f>HYPERLINK("https://ictv.global/taxonomy/taxondetails?taxnode_id=202205441","ictv.global=202205441")</f>
        <v>ictv.global=202205441</v>
      </c>
    </row>
    <row r="6232" spans="1:21">
      <c r="A6232">
        <v>6231</v>
      </c>
      <c r="B6232" s="29" t="s">
        <v>3223</v>
      </c>
      <c r="C6232" s="29"/>
      <c r="D6232" s="29" t="s">
        <v>4156</v>
      </c>
      <c r="E6232" s="29"/>
      <c r="F6232" s="29" t="s">
        <v>4173</v>
      </c>
      <c r="G6232" s="29"/>
      <c r="H6232" s="29" t="s">
        <v>4174</v>
      </c>
      <c r="I6232" s="29"/>
      <c r="J6232" s="29" t="s">
        <v>4176</v>
      </c>
      <c r="K6232" s="29"/>
      <c r="L6232" s="29" t="s">
        <v>1464</v>
      </c>
      <c r="M6232" s="29"/>
      <c r="N6232" s="29" t="s">
        <v>354</v>
      </c>
      <c r="O6232" s="29"/>
      <c r="P6232" s="29" t="s">
        <v>1127</v>
      </c>
      <c r="Q6232" t="s">
        <v>2040</v>
      </c>
      <c r="R6232" t="s">
        <v>2634</v>
      </c>
      <c r="S6232">
        <v>35</v>
      </c>
      <c r="T6232" s="43" t="str">
        <f t="shared" si="287"/>
        <v>2019.006G.zip</v>
      </c>
      <c r="U6232" s="43" t="str">
        <f>HYPERLINK("https://ictv.global/taxonomy/taxondetails?taxnode_id=202205443","ictv.global=202205443")</f>
        <v>ictv.global=202205443</v>
      </c>
    </row>
    <row r="6233" spans="1:21">
      <c r="A6233">
        <v>6232</v>
      </c>
      <c r="B6233" s="29" t="s">
        <v>3223</v>
      </c>
      <c r="C6233" s="29"/>
      <c r="D6233" s="29" t="s">
        <v>4156</v>
      </c>
      <c r="E6233" s="29"/>
      <c r="F6233" s="29" t="s">
        <v>4173</v>
      </c>
      <c r="G6233" s="29"/>
      <c r="H6233" s="29" t="s">
        <v>4174</v>
      </c>
      <c r="I6233" s="29"/>
      <c r="J6233" s="29" t="s">
        <v>4176</v>
      </c>
      <c r="K6233" s="29"/>
      <c r="L6233" s="29" t="s">
        <v>1464</v>
      </c>
      <c r="M6233" s="29"/>
      <c r="N6233" s="29" t="s">
        <v>354</v>
      </c>
      <c r="O6233" s="29"/>
      <c r="P6233" s="29" t="s">
        <v>252</v>
      </c>
      <c r="Q6233" t="s">
        <v>2040</v>
      </c>
      <c r="R6233" t="s">
        <v>2634</v>
      </c>
      <c r="S6233">
        <v>35</v>
      </c>
      <c r="T6233" s="43" t="str">
        <f t="shared" si="287"/>
        <v>2019.006G.zip</v>
      </c>
      <c r="U6233" s="43" t="str">
        <f>HYPERLINK("https://ictv.global/taxonomy/taxondetails?taxnode_id=202205444","ictv.global=202205444")</f>
        <v>ictv.global=202205444</v>
      </c>
    </row>
    <row r="6234" spans="1:21">
      <c r="A6234">
        <v>6233</v>
      </c>
      <c r="B6234" s="29" t="s">
        <v>3223</v>
      </c>
      <c r="C6234" s="29"/>
      <c r="D6234" s="29" t="s">
        <v>4156</v>
      </c>
      <c r="E6234" s="29"/>
      <c r="F6234" s="29" t="s">
        <v>4173</v>
      </c>
      <c r="G6234" s="29"/>
      <c r="H6234" s="29" t="s">
        <v>4174</v>
      </c>
      <c r="I6234" s="29"/>
      <c r="J6234" s="29" t="s">
        <v>4176</v>
      </c>
      <c r="K6234" s="29"/>
      <c r="L6234" s="29" t="s">
        <v>1464</v>
      </c>
      <c r="M6234" s="29"/>
      <c r="N6234" s="29" t="s">
        <v>354</v>
      </c>
      <c r="O6234" s="29"/>
      <c r="P6234" s="29" t="s">
        <v>876</v>
      </c>
      <c r="Q6234" t="s">
        <v>2040</v>
      </c>
      <c r="R6234" t="s">
        <v>2634</v>
      </c>
      <c r="S6234">
        <v>35</v>
      </c>
      <c r="T6234" s="43" t="str">
        <f t="shared" si="287"/>
        <v>2019.006G.zip</v>
      </c>
      <c r="U6234" s="43" t="str">
        <f>HYPERLINK("https://ictv.global/taxonomy/taxondetails?taxnode_id=202205445","ictv.global=202205445")</f>
        <v>ictv.global=202205445</v>
      </c>
    </row>
    <row r="6235" spans="1:21">
      <c r="A6235">
        <v>6234</v>
      </c>
      <c r="B6235" s="29" t="s">
        <v>3223</v>
      </c>
      <c r="C6235" s="29"/>
      <c r="D6235" s="29" t="s">
        <v>4156</v>
      </c>
      <c r="E6235" s="29"/>
      <c r="F6235" s="29" t="s">
        <v>4173</v>
      </c>
      <c r="G6235" s="29"/>
      <c r="H6235" s="29" t="s">
        <v>4174</v>
      </c>
      <c r="I6235" s="29"/>
      <c r="J6235" s="29" t="s">
        <v>4176</v>
      </c>
      <c r="K6235" s="29"/>
      <c r="L6235" s="29" t="s">
        <v>1464</v>
      </c>
      <c r="M6235" s="29"/>
      <c r="N6235" s="29" t="s">
        <v>354</v>
      </c>
      <c r="O6235" s="29"/>
      <c r="P6235" s="29" t="s">
        <v>1263</v>
      </c>
      <c r="Q6235" t="s">
        <v>2040</v>
      </c>
      <c r="R6235" t="s">
        <v>2634</v>
      </c>
      <c r="S6235">
        <v>35</v>
      </c>
      <c r="T6235" s="43" t="str">
        <f t="shared" si="287"/>
        <v>2019.006G.zip</v>
      </c>
      <c r="U6235" s="43" t="str">
        <f>HYPERLINK("https://ictv.global/taxonomy/taxondetails?taxnode_id=202205446","ictv.global=202205446")</f>
        <v>ictv.global=202205446</v>
      </c>
    </row>
    <row r="6236" spans="1:21">
      <c r="A6236">
        <v>6235</v>
      </c>
      <c r="B6236" s="29" t="s">
        <v>3223</v>
      </c>
      <c r="C6236" s="29"/>
      <c r="D6236" s="29" t="s">
        <v>4156</v>
      </c>
      <c r="E6236" s="29"/>
      <c r="F6236" s="29" t="s">
        <v>4173</v>
      </c>
      <c r="G6236" s="29"/>
      <c r="H6236" s="29" t="s">
        <v>4174</v>
      </c>
      <c r="I6236" s="29"/>
      <c r="J6236" s="29" t="s">
        <v>4176</v>
      </c>
      <c r="K6236" s="29"/>
      <c r="L6236" s="29" t="s">
        <v>1464</v>
      </c>
      <c r="M6236" s="29"/>
      <c r="N6236" s="29" t="s">
        <v>354</v>
      </c>
      <c r="O6236" s="29"/>
      <c r="P6236" s="29" t="s">
        <v>1264</v>
      </c>
      <c r="Q6236" t="s">
        <v>2040</v>
      </c>
      <c r="R6236" t="s">
        <v>6901</v>
      </c>
      <c r="S6236">
        <v>36</v>
      </c>
      <c r="T6236" s="43" t="str">
        <f>HYPERLINK("https://ictv.global/ictv/proposals/2020.001G.R.Abolish_type_species.pdf","2020.001G.R.Abolish_type_species.pdf")</f>
        <v>2020.001G.R.Abolish_type_species.pdf</v>
      </c>
      <c r="U6236" s="43" t="str">
        <f>HYPERLINK("https://ictv.global/taxonomy/taxondetails?taxnode_id=202205447","ictv.global=202205447")</f>
        <v>ictv.global=202205447</v>
      </c>
    </row>
    <row r="6237" spans="1:21">
      <c r="A6237">
        <v>6236</v>
      </c>
      <c r="B6237" s="29" t="s">
        <v>3223</v>
      </c>
      <c r="C6237" s="29"/>
      <c r="D6237" s="29" t="s">
        <v>4156</v>
      </c>
      <c r="E6237" s="29"/>
      <c r="F6237" s="29" t="s">
        <v>4173</v>
      </c>
      <c r="G6237" s="29"/>
      <c r="H6237" s="29" t="s">
        <v>4174</v>
      </c>
      <c r="I6237" s="29"/>
      <c r="J6237" s="29" t="s">
        <v>4176</v>
      </c>
      <c r="K6237" s="29"/>
      <c r="L6237" s="29" t="s">
        <v>1464</v>
      </c>
      <c r="M6237" s="29"/>
      <c r="N6237" s="29" t="s">
        <v>354</v>
      </c>
      <c r="O6237" s="29"/>
      <c r="P6237" s="29" t="s">
        <v>2631</v>
      </c>
      <c r="Q6237" t="s">
        <v>2040</v>
      </c>
      <c r="R6237" t="s">
        <v>2634</v>
      </c>
      <c r="S6237">
        <v>35</v>
      </c>
      <c r="T6237" s="43" t="str">
        <f t="shared" ref="T6237:T6248" si="288">HYPERLINK("https://ictv.global/ictv/proposals/2019.006G.zip","2019.006G.zip")</f>
        <v>2019.006G.zip</v>
      </c>
      <c r="U6237" s="43" t="str">
        <f>HYPERLINK("https://ictv.global/taxonomy/taxondetails?taxnode_id=202205448","ictv.global=202205448")</f>
        <v>ictv.global=202205448</v>
      </c>
    </row>
    <row r="6238" spans="1:21">
      <c r="A6238">
        <v>6237</v>
      </c>
      <c r="B6238" s="29" t="s">
        <v>3223</v>
      </c>
      <c r="C6238" s="29"/>
      <c r="D6238" s="29" t="s">
        <v>4156</v>
      </c>
      <c r="E6238" s="29"/>
      <c r="F6238" s="29" t="s">
        <v>4173</v>
      </c>
      <c r="G6238" s="29"/>
      <c r="H6238" s="29" t="s">
        <v>4174</v>
      </c>
      <c r="I6238" s="29"/>
      <c r="J6238" s="29" t="s">
        <v>4176</v>
      </c>
      <c r="K6238" s="29"/>
      <c r="L6238" s="29" t="s">
        <v>1464</v>
      </c>
      <c r="M6238" s="29"/>
      <c r="N6238" s="29" t="s">
        <v>354</v>
      </c>
      <c r="O6238" s="29"/>
      <c r="P6238" s="29" t="s">
        <v>1265</v>
      </c>
      <c r="Q6238" t="s">
        <v>2040</v>
      </c>
      <c r="R6238" t="s">
        <v>2634</v>
      </c>
      <c r="S6238">
        <v>35</v>
      </c>
      <c r="T6238" s="43" t="str">
        <f t="shared" si="288"/>
        <v>2019.006G.zip</v>
      </c>
      <c r="U6238" s="43" t="str">
        <f>HYPERLINK("https://ictv.global/taxonomy/taxondetails?taxnode_id=202205449","ictv.global=202205449")</f>
        <v>ictv.global=202205449</v>
      </c>
    </row>
    <row r="6239" spans="1:21">
      <c r="A6239">
        <v>6238</v>
      </c>
      <c r="B6239" s="29" t="s">
        <v>3223</v>
      </c>
      <c r="C6239" s="29"/>
      <c r="D6239" s="29" t="s">
        <v>4156</v>
      </c>
      <c r="E6239" s="29"/>
      <c r="F6239" s="29" t="s">
        <v>4173</v>
      </c>
      <c r="G6239" s="29"/>
      <c r="H6239" s="29" t="s">
        <v>4174</v>
      </c>
      <c r="I6239" s="29"/>
      <c r="J6239" s="29" t="s">
        <v>4176</v>
      </c>
      <c r="K6239" s="29"/>
      <c r="L6239" s="29" t="s">
        <v>1464</v>
      </c>
      <c r="M6239" s="29"/>
      <c r="N6239" s="29" t="s">
        <v>354</v>
      </c>
      <c r="O6239" s="29"/>
      <c r="P6239" s="29" t="s">
        <v>2036</v>
      </c>
      <c r="Q6239" t="s">
        <v>2040</v>
      </c>
      <c r="R6239" t="s">
        <v>2634</v>
      </c>
      <c r="S6239">
        <v>35</v>
      </c>
      <c r="T6239" s="43" t="str">
        <f t="shared" si="288"/>
        <v>2019.006G.zip</v>
      </c>
      <c r="U6239" s="43" t="str">
        <f>HYPERLINK("https://ictv.global/taxonomy/taxondetails?taxnode_id=202205450","ictv.global=202205450")</f>
        <v>ictv.global=202205450</v>
      </c>
    </row>
    <row r="6240" spans="1:21">
      <c r="A6240">
        <v>6239</v>
      </c>
      <c r="B6240" s="29" t="s">
        <v>3223</v>
      </c>
      <c r="C6240" s="29"/>
      <c r="D6240" s="29" t="s">
        <v>4156</v>
      </c>
      <c r="E6240" s="29"/>
      <c r="F6240" s="29" t="s">
        <v>4173</v>
      </c>
      <c r="G6240" s="29"/>
      <c r="H6240" s="29" t="s">
        <v>4174</v>
      </c>
      <c r="I6240" s="29"/>
      <c r="J6240" s="29" t="s">
        <v>4176</v>
      </c>
      <c r="K6240" s="29"/>
      <c r="L6240" s="29" t="s">
        <v>1464</v>
      </c>
      <c r="M6240" s="29"/>
      <c r="N6240" s="29" t="s">
        <v>354</v>
      </c>
      <c r="O6240" s="29"/>
      <c r="P6240" s="29" t="s">
        <v>1708</v>
      </c>
      <c r="Q6240" t="s">
        <v>2040</v>
      </c>
      <c r="R6240" t="s">
        <v>2634</v>
      </c>
      <c r="S6240">
        <v>35</v>
      </c>
      <c r="T6240" s="43" t="str">
        <f t="shared" si="288"/>
        <v>2019.006G.zip</v>
      </c>
      <c r="U6240" s="43" t="str">
        <f>HYPERLINK("https://ictv.global/taxonomy/taxondetails?taxnode_id=202205451","ictv.global=202205451")</f>
        <v>ictv.global=202205451</v>
      </c>
    </row>
    <row r="6241" spans="1:21">
      <c r="A6241">
        <v>6240</v>
      </c>
      <c r="B6241" s="29" t="s">
        <v>3223</v>
      </c>
      <c r="C6241" s="29"/>
      <c r="D6241" s="29" t="s">
        <v>4156</v>
      </c>
      <c r="E6241" s="29"/>
      <c r="F6241" s="29" t="s">
        <v>4173</v>
      </c>
      <c r="G6241" s="29"/>
      <c r="H6241" s="29" t="s">
        <v>4174</v>
      </c>
      <c r="I6241" s="29"/>
      <c r="J6241" s="29" t="s">
        <v>4176</v>
      </c>
      <c r="K6241" s="29"/>
      <c r="L6241" s="29" t="s">
        <v>1464</v>
      </c>
      <c r="M6241" s="29"/>
      <c r="N6241" s="29" t="s">
        <v>354</v>
      </c>
      <c r="O6241" s="29"/>
      <c r="P6241" s="29" t="s">
        <v>1266</v>
      </c>
      <c r="Q6241" t="s">
        <v>2040</v>
      </c>
      <c r="R6241" t="s">
        <v>2634</v>
      </c>
      <c r="S6241">
        <v>35</v>
      </c>
      <c r="T6241" s="43" t="str">
        <f t="shared" si="288"/>
        <v>2019.006G.zip</v>
      </c>
      <c r="U6241" s="43" t="str">
        <f>HYPERLINK("https://ictv.global/taxonomy/taxondetails?taxnode_id=202205452","ictv.global=202205452")</f>
        <v>ictv.global=202205452</v>
      </c>
    </row>
    <row r="6242" spans="1:21">
      <c r="A6242">
        <v>6241</v>
      </c>
      <c r="B6242" s="29" t="s">
        <v>3223</v>
      </c>
      <c r="C6242" s="29"/>
      <c r="D6242" s="29" t="s">
        <v>4156</v>
      </c>
      <c r="E6242" s="29"/>
      <c r="F6242" s="29" t="s">
        <v>4173</v>
      </c>
      <c r="G6242" s="29"/>
      <c r="H6242" s="29" t="s">
        <v>4174</v>
      </c>
      <c r="I6242" s="29"/>
      <c r="J6242" s="29" t="s">
        <v>4176</v>
      </c>
      <c r="K6242" s="29"/>
      <c r="L6242" s="29" t="s">
        <v>1464</v>
      </c>
      <c r="M6242" s="29"/>
      <c r="N6242" s="29" t="s">
        <v>354</v>
      </c>
      <c r="O6242" s="29"/>
      <c r="P6242" s="29" t="s">
        <v>1267</v>
      </c>
      <c r="Q6242" t="s">
        <v>2040</v>
      </c>
      <c r="R6242" t="s">
        <v>2634</v>
      </c>
      <c r="S6242">
        <v>35</v>
      </c>
      <c r="T6242" s="43" t="str">
        <f t="shared" si="288"/>
        <v>2019.006G.zip</v>
      </c>
      <c r="U6242" s="43" t="str">
        <f>HYPERLINK("https://ictv.global/taxonomy/taxondetails?taxnode_id=202205453","ictv.global=202205453")</f>
        <v>ictv.global=202205453</v>
      </c>
    </row>
    <row r="6243" spans="1:21">
      <c r="A6243">
        <v>6242</v>
      </c>
      <c r="B6243" s="29" t="s">
        <v>3223</v>
      </c>
      <c r="C6243" s="29"/>
      <c r="D6243" s="29" t="s">
        <v>4156</v>
      </c>
      <c r="E6243" s="29"/>
      <c r="F6243" s="29" t="s">
        <v>4173</v>
      </c>
      <c r="G6243" s="29"/>
      <c r="H6243" s="29" t="s">
        <v>4174</v>
      </c>
      <c r="I6243" s="29"/>
      <c r="J6243" s="29" t="s">
        <v>4176</v>
      </c>
      <c r="K6243" s="29"/>
      <c r="L6243" s="29" t="s">
        <v>1464</v>
      </c>
      <c r="M6243" s="29"/>
      <c r="N6243" s="29" t="s">
        <v>354</v>
      </c>
      <c r="O6243" s="29"/>
      <c r="P6243" s="29" t="s">
        <v>1268</v>
      </c>
      <c r="Q6243" t="s">
        <v>2040</v>
      </c>
      <c r="R6243" t="s">
        <v>2634</v>
      </c>
      <c r="S6243">
        <v>35</v>
      </c>
      <c r="T6243" s="43" t="str">
        <f t="shared" si="288"/>
        <v>2019.006G.zip</v>
      </c>
      <c r="U6243" s="43" t="str">
        <f>HYPERLINK("https://ictv.global/taxonomy/taxondetails?taxnode_id=202205454","ictv.global=202205454")</f>
        <v>ictv.global=202205454</v>
      </c>
    </row>
    <row r="6244" spans="1:21">
      <c r="A6244">
        <v>6243</v>
      </c>
      <c r="B6244" s="29" t="s">
        <v>3223</v>
      </c>
      <c r="C6244" s="29"/>
      <c r="D6244" s="29" t="s">
        <v>4156</v>
      </c>
      <c r="E6244" s="29"/>
      <c r="F6244" s="29" t="s">
        <v>4173</v>
      </c>
      <c r="G6244" s="29"/>
      <c r="H6244" s="29" t="s">
        <v>4174</v>
      </c>
      <c r="I6244" s="29"/>
      <c r="J6244" s="29" t="s">
        <v>4176</v>
      </c>
      <c r="K6244" s="29"/>
      <c r="L6244" s="29" t="s">
        <v>1464</v>
      </c>
      <c r="M6244" s="29"/>
      <c r="N6244" s="29" t="s">
        <v>354</v>
      </c>
      <c r="O6244" s="29"/>
      <c r="P6244" s="29" t="s">
        <v>2037</v>
      </c>
      <c r="Q6244" t="s">
        <v>2040</v>
      </c>
      <c r="R6244" t="s">
        <v>2634</v>
      </c>
      <c r="S6244">
        <v>35</v>
      </c>
      <c r="T6244" s="43" t="str">
        <f t="shared" si="288"/>
        <v>2019.006G.zip</v>
      </c>
      <c r="U6244" s="43" t="str">
        <f>HYPERLINK("https://ictv.global/taxonomy/taxondetails?taxnode_id=202205455","ictv.global=202205455")</f>
        <v>ictv.global=202205455</v>
      </c>
    </row>
    <row r="6245" spans="1:21">
      <c r="A6245">
        <v>6244</v>
      </c>
      <c r="B6245" s="29" t="s">
        <v>3223</v>
      </c>
      <c r="C6245" s="29"/>
      <c r="D6245" s="29" t="s">
        <v>4156</v>
      </c>
      <c r="E6245" s="29"/>
      <c r="F6245" s="29" t="s">
        <v>4173</v>
      </c>
      <c r="G6245" s="29"/>
      <c r="H6245" s="29" t="s">
        <v>4174</v>
      </c>
      <c r="I6245" s="29"/>
      <c r="J6245" s="29" t="s">
        <v>4176</v>
      </c>
      <c r="K6245" s="29"/>
      <c r="L6245" s="29" t="s">
        <v>1464</v>
      </c>
      <c r="M6245" s="29"/>
      <c r="N6245" s="29" t="s">
        <v>354</v>
      </c>
      <c r="O6245" s="29"/>
      <c r="P6245" s="29" t="s">
        <v>1269</v>
      </c>
      <c r="Q6245" t="s">
        <v>2040</v>
      </c>
      <c r="R6245" t="s">
        <v>2634</v>
      </c>
      <c r="S6245">
        <v>35</v>
      </c>
      <c r="T6245" s="43" t="str">
        <f t="shared" si="288"/>
        <v>2019.006G.zip</v>
      </c>
      <c r="U6245" s="43" t="str">
        <f>HYPERLINK("https://ictv.global/taxonomy/taxondetails?taxnode_id=202205456","ictv.global=202205456")</f>
        <v>ictv.global=202205456</v>
      </c>
    </row>
    <row r="6246" spans="1:21">
      <c r="A6246">
        <v>6245</v>
      </c>
      <c r="B6246" s="29" t="s">
        <v>3223</v>
      </c>
      <c r="C6246" s="29"/>
      <c r="D6246" s="29" t="s">
        <v>4156</v>
      </c>
      <c r="E6246" s="29"/>
      <c r="F6246" s="29" t="s">
        <v>4173</v>
      </c>
      <c r="G6246" s="29"/>
      <c r="H6246" s="29" t="s">
        <v>4174</v>
      </c>
      <c r="I6246" s="29"/>
      <c r="J6246" s="29" t="s">
        <v>4176</v>
      </c>
      <c r="K6246" s="29"/>
      <c r="L6246" s="29" t="s">
        <v>1464</v>
      </c>
      <c r="M6246" s="29"/>
      <c r="N6246" s="29" t="s">
        <v>354</v>
      </c>
      <c r="O6246" s="29"/>
      <c r="P6246" s="29" t="s">
        <v>1270</v>
      </c>
      <c r="Q6246" t="s">
        <v>2040</v>
      </c>
      <c r="R6246" t="s">
        <v>2634</v>
      </c>
      <c r="S6246">
        <v>35</v>
      </c>
      <c r="T6246" s="43" t="str">
        <f t="shared" si="288"/>
        <v>2019.006G.zip</v>
      </c>
      <c r="U6246" s="43" t="str">
        <f>HYPERLINK("https://ictv.global/taxonomy/taxondetails?taxnode_id=202205457","ictv.global=202205457")</f>
        <v>ictv.global=202205457</v>
      </c>
    </row>
    <row r="6247" spans="1:21">
      <c r="A6247">
        <v>6246</v>
      </c>
      <c r="B6247" s="29" t="s">
        <v>3223</v>
      </c>
      <c r="C6247" s="29"/>
      <c r="D6247" s="29" t="s">
        <v>4156</v>
      </c>
      <c r="E6247" s="29"/>
      <c r="F6247" s="29" t="s">
        <v>4173</v>
      </c>
      <c r="G6247" s="29"/>
      <c r="H6247" s="29" t="s">
        <v>4174</v>
      </c>
      <c r="I6247" s="29"/>
      <c r="J6247" s="29" t="s">
        <v>4176</v>
      </c>
      <c r="K6247" s="29"/>
      <c r="L6247" s="29" t="s">
        <v>1464</v>
      </c>
      <c r="M6247" s="29"/>
      <c r="N6247" s="29" t="s">
        <v>1271</v>
      </c>
      <c r="O6247" s="29"/>
      <c r="P6247" s="29" t="s">
        <v>1272</v>
      </c>
      <c r="Q6247" t="s">
        <v>2040</v>
      </c>
      <c r="R6247" t="s">
        <v>2634</v>
      </c>
      <c r="S6247">
        <v>35</v>
      </c>
      <c r="T6247" s="43" t="str">
        <f t="shared" si="288"/>
        <v>2019.006G.zip</v>
      </c>
      <c r="U6247" s="43" t="str">
        <f>HYPERLINK("https://ictv.global/taxonomy/taxondetails?taxnode_id=202205459","ictv.global=202205459")</f>
        <v>ictv.global=202205459</v>
      </c>
    </row>
    <row r="6248" spans="1:21">
      <c r="A6248">
        <v>6247</v>
      </c>
      <c r="B6248" s="29" t="s">
        <v>3223</v>
      </c>
      <c r="C6248" s="29"/>
      <c r="D6248" s="29" t="s">
        <v>4156</v>
      </c>
      <c r="E6248" s="29"/>
      <c r="F6248" s="29" t="s">
        <v>4173</v>
      </c>
      <c r="G6248" s="29"/>
      <c r="H6248" s="29" t="s">
        <v>4174</v>
      </c>
      <c r="I6248" s="29"/>
      <c r="J6248" s="29" t="s">
        <v>4176</v>
      </c>
      <c r="K6248" s="29"/>
      <c r="L6248" s="29" t="s">
        <v>1464</v>
      </c>
      <c r="M6248" s="29"/>
      <c r="N6248" s="29" t="s">
        <v>1271</v>
      </c>
      <c r="O6248" s="29"/>
      <c r="P6248" s="29" t="s">
        <v>1273</v>
      </c>
      <c r="Q6248" t="s">
        <v>2040</v>
      </c>
      <c r="R6248" t="s">
        <v>2634</v>
      </c>
      <c r="S6248">
        <v>35</v>
      </c>
      <c r="T6248" s="43" t="str">
        <f t="shared" si="288"/>
        <v>2019.006G.zip</v>
      </c>
      <c r="U6248" s="43" t="str">
        <f>HYPERLINK("https://ictv.global/taxonomy/taxondetails?taxnode_id=202205460","ictv.global=202205460")</f>
        <v>ictv.global=202205460</v>
      </c>
    </row>
    <row r="6249" spans="1:21">
      <c r="A6249">
        <v>6248</v>
      </c>
      <c r="B6249" s="29" t="s">
        <v>3223</v>
      </c>
      <c r="C6249" s="29"/>
      <c r="D6249" s="29" t="s">
        <v>4156</v>
      </c>
      <c r="E6249" s="29"/>
      <c r="F6249" s="29" t="s">
        <v>4173</v>
      </c>
      <c r="G6249" s="29"/>
      <c r="H6249" s="29" t="s">
        <v>4174</v>
      </c>
      <c r="I6249" s="29"/>
      <c r="J6249" s="29" t="s">
        <v>4176</v>
      </c>
      <c r="K6249" s="29"/>
      <c r="L6249" s="29" t="s">
        <v>1464</v>
      </c>
      <c r="M6249" s="29"/>
      <c r="N6249" s="29" t="s">
        <v>1271</v>
      </c>
      <c r="O6249" s="29"/>
      <c r="P6249" s="29" t="s">
        <v>1274</v>
      </c>
      <c r="Q6249" t="s">
        <v>2040</v>
      </c>
      <c r="R6249" t="s">
        <v>6901</v>
      </c>
      <c r="S6249">
        <v>36</v>
      </c>
      <c r="T6249" s="43" t="str">
        <f>HYPERLINK("https://ictv.global/ictv/proposals/2020.001G.R.Abolish_type_species.pdf","2020.001G.R.Abolish_type_species.pdf")</f>
        <v>2020.001G.R.Abolish_type_species.pdf</v>
      </c>
      <c r="U6249" s="43" t="str">
        <f>HYPERLINK("https://ictv.global/taxonomy/taxondetails?taxnode_id=202205461","ictv.global=202205461")</f>
        <v>ictv.global=202205461</v>
      </c>
    </row>
    <row r="6250" spans="1:21">
      <c r="A6250">
        <v>6249</v>
      </c>
      <c r="B6250" s="29" t="s">
        <v>3223</v>
      </c>
      <c r="C6250" s="29"/>
      <c r="D6250" s="29" t="s">
        <v>4156</v>
      </c>
      <c r="E6250" s="29"/>
      <c r="F6250" s="29" t="s">
        <v>4173</v>
      </c>
      <c r="G6250" s="29"/>
      <c r="H6250" s="29" t="s">
        <v>4174</v>
      </c>
      <c r="I6250" s="29"/>
      <c r="J6250" s="29" t="s">
        <v>870</v>
      </c>
      <c r="K6250" s="29"/>
      <c r="L6250" s="29" t="s">
        <v>245</v>
      </c>
      <c r="M6250" s="29"/>
      <c r="N6250" s="29" t="s">
        <v>324</v>
      </c>
      <c r="O6250" s="29" t="s">
        <v>5194</v>
      </c>
      <c r="P6250" s="29" t="s">
        <v>1112</v>
      </c>
      <c r="Q6250" t="s">
        <v>2040</v>
      </c>
      <c r="R6250" t="s">
        <v>2634</v>
      </c>
      <c r="S6250">
        <v>36</v>
      </c>
      <c r="T6250" s="43" t="str">
        <f t="shared" ref="T6250:T6255" si="289">HYPERLINK("https://ictv.global/ictv/proposals/2020.031P.R.Alphaflexiviridae_ab1gen_2nsg.zip","2020.031P.R.Alphaflexiviridae_ab1gen_2nsg.zip")</f>
        <v>2020.031P.R.Alphaflexiviridae_ab1gen_2nsg.zip</v>
      </c>
      <c r="U6250" s="43" t="str">
        <f>HYPERLINK("https://ictv.global/taxonomy/taxondetails?taxnode_id=202202176","ictv.global=202202176")</f>
        <v>ictv.global=202202176</v>
      </c>
    </row>
    <row r="6251" spans="1:21">
      <c r="A6251">
        <v>6250</v>
      </c>
      <c r="B6251" s="29" t="s">
        <v>3223</v>
      </c>
      <c r="C6251" s="29"/>
      <c r="D6251" s="29" t="s">
        <v>4156</v>
      </c>
      <c r="E6251" s="29"/>
      <c r="F6251" s="29" t="s">
        <v>4173</v>
      </c>
      <c r="G6251" s="29"/>
      <c r="H6251" s="29" t="s">
        <v>4174</v>
      </c>
      <c r="I6251" s="29"/>
      <c r="J6251" s="29" t="s">
        <v>870</v>
      </c>
      <c r="K6251" s="29"/>
      <c r="L6251" s="29" t="s">
        <v>245</v>
      </c>
      <c r="M6251" s="29"/>
      <c r="N6251" s="29" t="s">
        <v>324</v>
      </c>
      <c r="O6251" s="29" t="s">
        <v>5194</v>
      </c>
      <c r="P6251" s="29" t="s">
        <v>1113</v>
      </c>
      <c r="Q6251" t="s">
        <v>2040</v>
      </c>
      <c r="R6251" t="s">
        <v>2634</v>
      </c>
      <c r="S6251">
        <v>36</v>
      </c>
      <c r="T6251" s="43" t="str">
        <f t="shared" si="289"/>
        <v>2020.031P.R.Alphaflexiviridae_ab1gen_2nsg.zip</v>
      </c>
      <c r="U6251" s="43" t="str">
        <f>HYPERLINK("https://ictv.global/taxonomy/taxondetails?taxnode_id=202202177","ictv.global=202202177")</f>
        <v>ictv.global=202202177</v>
      </c>
    </row>
    <row r="6252" spans="1:21">
      <c r="A6252">
        <v>6251</v>
      </c>
      <c r="B6252" s="29" t="s">
        <v>3223</v>
      </c>
      <c r="C6252" s="29"/>
      <c r="D6252" s="29" t="s">
        <v>4156</v>
      </c>
      <c r="E6252" s="29"/>
      <c r="F6252" s="29" t="s">
        <v>4173</v>
      </c>
      <c r="G6252" s="29"/>
      <c r="H6252" s="29" t="s">
        <v>4174</v>
      </c>
      <c r="I6252" s="29"/>
      <c r="J6252" s="29" t="s">
        <v>870</v>
      </c>
      <c r="K6252" s="29"/>
      <c r="L6252" s="29" t="s">
        <v>245</v>
      </c>
      <c r="M6252" s="29"/>
      <c r="N6252" s="29" t="s">
        <v>324</v>
      </c>
      <c r="O6252" s="29" t="s">
        <v>5194</v>
      </c>
      <c r="P6252" s="29" t="s">
        <v>1114</v>
      </c>
      <c r="Q6252" t="s">
        <v>2040</v>
      </c>
      <c r="R6252" t="s">
        <v>2634</v>
      </c>
      <c r="S6252">
        <v>36</v>
      </c>
      <c r="T6252" s="43" t="str">
        <f t="shared" si="289"/>
        <v>2020.031P.R.Alphaflexiviridae_ab1gen_2nsg.zip</v>
      </c>
      <c r="U6252" s="43" t="str">
        <f>HYPERLINK("https://ictv.global/taxonomy/taxondetails?taxnode_id=202202178","ictv.global=202202178")</f>
        <v>ictv.global=202202178</v>
      </c>
    </row>
    <row r="6253" spans="1:21">
      <c r="A6253">
        <v>6252</v>
      </c>
      <c r="B6253" s="29" t="s">
        <v>3223</v>
      </c>
      <c r="C6253" s="29"/>
      <c r="D6253" s="29" t="s">
        <v>4156</v>
      </c>
      <c r="E6253" s="29"/>
      <c r="F6253" s="29" t="s">
        <v>4173</v>
      </c>
      <c r="G6253" s="29"/>
      <c r="H6253" s="29" t="s">
        <v>4174</v>
      </c>
      <c r="I6253" s="29"/>
      <c r="J6253" s="29" t="s">
        <v>870</v>
      </c>
      <c r="K6253" s="29"/>
      <c r="L6253" s="29" t="s">
        <v>245</v>
      </c>
      <c r="M6253" s="29"/>
      <c r="N6253" s="29" t="s">
        <v>324</v>
      </c>
      <c r="O6253" s="29" t="s">
        <v>5194</v>
      </c>
      <c r="P6253" s="29" t="s">
        <v>327</v>
      </c>
      <c r="Q6253" t="s">
        <v>2040</v>
      </c>
      <c r="R6253" t="s">
        <v>2634</v>
      </c>
      <c r="S6253">
        <v>36</v>
      </c>
      <c r="T6253" s="43" t="str">
        <f t="shared" si="289"/>
        <v>2020.031P.R.Alphaflexiviridae_ab1gen_2nsg.zip</v>
      </c>
      <c r="U6253" s="43" t="str">
        <f>HYPERLINK("https://ictv.global/taxonomy/taxondetails?taxnode_id=202202179","ictv.global=202202179")</f>
        <v>ictv.global=202202179</v>
      </c>
    </row>
    <row r="6254" spans="1:21">
      <c r="A6254">
        <v>6253</v>
      </c>
      <c r="B6254" s="29" t="s">
        <v>3223</v>
      </c>
      <c r="C6254" s="29"/>
      <c r="D6254" s="29" t="s">
        <v>4156</v>
      </c>
      <c r="E6254" s="29"/>
      <c r="F6254" s="29" t="s">
        <v>4173</v>
      </c>
      <c r="G6254" s="29"/>
      <c r="H6254" s="29" t="s">
        <v>4174</v>
      </c>
      <c r="I6254" s="29"/>
      <c r="J6254" s="29" t="s">
        <v>870</v>
      </c>
      <c r="K6254" s="29"/>
      <c r="L6254" s="29" t="s">
        <v>245</v>
      </c>
      <c r="M6254" s="29"/>
      <c r="N6254" s="29" t="s">
        <v>324</v>
      </c>
      <c r="O6254" s="29" t="s">
        <v>5194</v>
      </c>
      <c r="P6254" s="29" t="s">
        <v>328</v>
      </c>
      <c r="Q6254" t="s">
        <v>2040</v>
      </c>
      <c r="R6254" t="s">
        <v>2634</v>
      </c>
      <c r="S6254">
        <v>36</v>
      </c>
      <c r="T6254" s="43" t="str">
        <f t="shared" si="289"/>
        <v>2020.031P.R.Alphaflexiviridae_ab1gen_2nsg.zip</v>
      </c>
      <c r="U6254" s="43" t="str">
        <f>HYPERLINK("https://ictv.global/taxonomy/taxondetails?taxnode_id=202202180","ictv.global=202202180")</f>
        <v>ictv.global=202202180</v>
      </c>
    </row>
    <row r="6255" spans="1:21">
      <c r="A6255">
        <v>6254</v>
      </c>
      <c r="B6255" s="29" t="s">
        <v>3223</v>
      </c>
      <c r="C6255" s="29"/>
      <c r="D6255" s="29" t="s">
        <v>4156</v>
      </c>
      <c r="E6255" s="29"/>
      <c r="F6255" s="29" t="s">
        <v>4173</v>
      </c>
      <c r="G6255" s="29"/>
      <c r="H6255" s="29" t="s">
        <v>4174</v>
      </c>
      <c r="I6255" s="29"/>
      <c r="J6255" s="29" t="s">
        <v>870</v>
      </c>
      <c r="K6255" s="29"/>
      <c r="L6255" s="29" t="s">
        <v>245</v>
      </c>
      <c r="M6255" s="29"/>
      <c r="N6255" s="29" t="s">
        <v>324</v>
      </c>
      <c r="O6255" s="29" t="s">
        <v>5194</v>
      </c>
      <c r="P6255" s="29" t="s">
        <v>329</v>
      </c>
      <c r="Q6255" t="s">
        <v>2040</v>
      </c>
      <c r="R6255" t="s">
        <v>2634</v>
      </c>
      <c r="S6255">
        <v>36</v>
      </c>
      <c r="T6255" s="43" t="str">
        <f t="shared" si="289"/>
        <v>2020.031P.R.Alphaflexiviridae_ab1gen_2nsg.zip</v>
      </c>
      <c r="U6255" s="43" t="str">
        <f>HYPERLINK("https://ictv.global/taxonomy/taxondetails?taxnode_id=202202181","ictv.global=202202181")</f>
        <v>ictv.global=202202181</v>
      </c>
    </row>
    <row r="6256" spans="1:21">
      <c r="A6256">
        <v>6255</v>
      </c>
      <c r="B6256" s="29" t="s">
        <v>3223</v>
      </c>
      <c r="C6256" s="29"/>
      <c r="D6256" s="29" t="s">
        <v>4156</v>
      </c>
      <c r="E6256" s="29"/>
      <c r="F6256" s="29" t="s">
        <v>4173</v>
      </c>
      <c r="G6256" s="29"/>
      <c r="H6256" s="29" t="s">
        <v>4174</v>
      </c>
      <c r="I6256" s="29"/>
      <c r="J6256" s="29" t="s">
        <v>870</v>
      </c>
      <c r="K6256" s="29"/>
      <c r="L6256" s="29" t="s">
        <v>245</v>
      </c>
      <c r="M6256" s="29"/>
      <c r="N6256" s="29" t="s">
        <v>324</v>
      </c>
      <c r="O6256" s="29" t="s">
        <v>5194</v>
      </c>
      <c r="P6256" s="29" t="s">
        <v>330</v>
      </c>
      <c r="Q6256" t="s">
        <v>2040</v>
      </c>
      <c r="R6256" t="s">
        <v>6899</v>
      </c>
      <c r="S6256">
        <v>36</v>
      </c>
      <c r="T6256" s="43" t="str">
        <f>HYPERLINK("https://ictv.global/ictv/proposals/2020.031P.R.Alphaflexiviridae_ab1gen_2nsg.zip","2020.031P.R.Alphaflexiviridae_ab1gen_2nsg.zip;2020.001G.R.Abolish_type_species.pdf")</f>
        <v>2020.031P.R.Alphaflexiviridae_ab1gen_2nsg.zip;2020.001G.R.Abolish_type_species.pdf</v>
      </c>
      <c r="U6256" s="43" t="str">
        <f>HYPERLINK("https://ictv.global/taxonomy/taxondetails?taxnode_id=202202182","ictv.global=202202182")</f>
        <v>ictv.global=202202182</v>
      </c>
    </row>
    <row r="6257" spans="1:21">
      <c r="A6257">
        <v>6256</v>
      </c>
      <c r="B6257" s="29" t="s">
        <v>3223</v>
      </c>
      <c r="C6257" s="29"/>
      <c r="D6257" s="29" t="s">
        <v>4156</v>
      </c>
      <c r="E6257" s="29"/>
      <c r="F6257" s="29" t="s">
        <v>4173</v>
      </c>
      <c r="G6257" s="29"/>
      <c r="H6257" s="29" t="s">
        <v>4174</v>
      </c>
      <c r="I6257" s="29"/>
      <c r="J6257" s="29" t="s">
        <v>870</v>
      </c>
      <c r="K6257" s="29"/>
      <c r="L6257" s="29" t="s">
        <v>245</v>
      </c>
      <c r="M6257" s="29"/>
      <c r="N6257" s="29" t="s">
        <v>324</v>
      </c>
      <c r="O6257" s="29"/>
      <c r="P6257" s="29" t="s">
        <v>2731</v>
      </c>
      <c r="Q6257" t="s">
        <v>2040</v>
      </c>
      <c r="R6257" t="s">
        <v>2634</v>
      </c>
      <c r="S6257">
        <v>35</v>
      </c>
      <c r="T6257" s="43" t="str">
        <f>HYPERLINK("https://ictv.global/ictv/proposals/2019.006G.zip","2019.006G.zip")</f>
        <v>2019.006G.zip</v>
      </c>
      <c r="U6257" s="43" t="str">
        <f>HYPERLINK("https://ictv.global/taxonomy/taxondetails?taxnode_id=202205631","ictv.global=202205631")</f>
        <v>ictv.global=202205631</v>
      </c>
    </row>
    <row r="6258" spans="1:21">
      <c r="A6258">
        <v>6257</v>
      </c>
      <c r="B6258" s="29" t="s">
        <v>3223</v>
      </c>
      <c r="C6258" s="29"/>
      <c r="D6258" s="29" t="s">
        <v>4156</v>
      </c>
      <c r="E6258" s="29"/>
      <c r="F6258" s="29" t="s">
        <v>4173</v>
      </c>
      <c r="G6258" s="29"/>
      <c r="H6258" s="29" t="s">
        <v>4174</v>
      </c>
      <c r="I6258" s="29"/>
      <c r="J6258" s="29" t="s">
        <v>870</v>
      </c>
      <c r="K6258" s="29"/>
      <c r="L6258" s="29" t="s">
        <v>245</v>
      </c>
      <c r="M6258" s="29"/>
      <c r="N6258" s="29" t="s">
        <v>324</v>
      </c>
      <c r="O6258" s="29"/>
      <c r="P6258" s="29" t="s">
        <v>2732</v>
      </c>
      <c r="Q6258" t="s">
        <v>2040</v>
      </c>
      <c r="R6258" t="s">
        <v>2634</v>
      </c>
      <c r="S6258">
        <v>35</v>
      </c>
      <c r="T6258" s="43" t="str">
        <f>HYPERLINK("https://ictv.global/ictv/proposals/2019.006G.zip","2019.006G.zip")</f>
        <v>2019.006G.zip</v>
      </c>
      <c r="U6258" s="43" t="str">
        <f>HYPERLINK("https://ictv.global/taxonomy/taxondetails?taxnode_id=202205632","ictv.global=202205632")</f>
        <v>ictv.global=202205632</v>
      </c>
    </row>
    <row r="6259" spans="1:21">
      <c r="A6259">
        <v>6258</v>
      </c>
      <c r="B6259" s="29" t="s">
        <v>3223</v>
      </c>
      <c r="C6259" s="29"/>
      <c r="D6259" s="29" t="s">
        <v>4156</v>
      </c>
      <c r="E6259" s="29"/>
      <c r="F6259" s="29" t="s">
        <v>4173</v>
      </c>
      <c r="G6259" s="29"/>
      <c r="H6259" s="29" t="s">
        <v>4174</v>
      </c>
      <c r="I6259" s="29"/>
      <c r="J6259" s="29" t="s">
        <v>870</v>
      </c>
      <c r="K6259" s="29"/>
      <c r="L6259" s="29" t="s">
        <v>245</v>
      </c>
      <c r="M6259" s="29"/>
      <c r="N6259" s="29" t="s">
        <v>324</v>
      </c>
      <c r="O6259" s="29"/>
      <c r="P6259" s="29" t="s">
        <v>1635</v>
      </c>
      <c r="Q6259" t="s">
        <v>2040</v>
      </c>
      <c r="R6259" t="s">
        <v>2634</v>
      </c>
      <c r="S6259">
        <v>35</v>
      </c>
      <c r="T6259" s="43" t="str">
        <f>HYPERLINK("https://ictv.global/ictv/proposals/2019.006G.zip","2019.006G.zip")</f>
        <v>2019.006G.zip</v>
      </c>
      <c r="U6259" s="43" t="str">
        <f>HYPERLINK("https://ictv.global/taxonomy/taxondetails?taxnode_id=202202231","ictv.global=202202231")</f>
        <v>ictv.global=202202231</v>
      </c>
    </row>
    <row r="6260" spans="1:21">
      <c r="A6260">
        <v>6259</v>
      </c>
      <c r="B6260" s="29" t="s">
        <v>3223</v>
      </c>
      <c r="C6260" s="29"/>
      <c r="D6260" s="29" t="s">
        <v>4156</v>
      </c>
      <c r="E6260" s="29"/>
      <c r="F6260" s="29" t="s">
        <v>4173</v>
      </c>
      <c r="G6260" s="29"/>
      <c r="H6260" s="29" t="s">
        <v>4174</v>
      </c>
      <c r="I6260" s="29"/>
      <c r="J6260" s="29" t="s">
        <v>870</v>
      </c>
      <c r="K6260" s="29"/>
      <c r="L6260" s="29" t="s">
        <v>245</v>
      </c>
      <c r="M6260" s="29"/>
      <c r="N6260" s="29" t="s">
        <v>324</v>
      </c>
      <c r="O6260" s="29"/>
      <c r="P6260" s="29" t="s">
        <v>325</v>
      </c>
      <c r="Q6260" t="s">
        <v>2040</v>
      </c>
      <c r="R6260" t="s">
        <v>2634</v>
      </c>
      <c r="S6260">
        <v>35</v>
      </c>
      <c r="T6260" s="43" t="str">
        <f>HYPERLINK("https://ictv.global/ictv/proposals/2019.006G.zip","2019.006G.zip")</f>
        <v>2019.006G.zip</v>
      </c>
      <c r="U6260" s="43" t="str">
        <f>HYPERLINK("https://ictv.global/taxonomy/taxondetails?taxnode_id=202202175","ictv.global=202202175")</f>
        <v>ictv.global=202202175</v>
      </c>
    </row>
    <row r="6261" spans="1:21">
      <c r="A6261">
        <v>6260</v>
      </c>
      <c r="B6261" s="29" t="s">
        <v>3223</v>
      </c>
      <c r="C6261" s="29"/>
      <c r="D6261" s="29" t="s">
        <v>4156</v>
      </c>
      <c r="E6261" s="29"/>
      <c r="F6261" s="29" t="s">
        <v>4173</v>
      </c>
      <c r="G6261" s="29"/>
      <c r="H6261" s="29" t="s">
        <v>4174</v>
      </c>
      <c r="I6261" s="29"/>
      <c r="J6261" s="29" t="s">
        <v>870</v>
      </c>
      <c r="K6261" s="29"/>
      <c r="L6261" s="29" t="s">
        <v>245</v>
      </c>
      <c r="M6261" s="29"/>
      <c r="N6261" s="29" t="s">
        <v>324</v>
      </c>
      <c r="O6261" s="29"/>
      <c r="P6261" s="29" t="s">
        <v>5195</v>
      </c>
      <c r="Q6261" t="s">
        <v>2040</v>
      </c>
      <c r="R6261" t="s">
        <v>2632</v>
      </c>
      <c r="S6261">
        <v>36</v>
      </c>
      <c r="T6261" s="43" t="str">
        <f>HYPERLINK("https://ictv.global/ictv/proposals/2020.029P.R.Alphaflexiviridae_9nsp.zip","2020.029P.R.Alphaflexiviridae_9nsp.zip")</f>
        <v>2020.029P.R.Alphaflexiviridae_9nsp.zip</v>
      </c>
      <c r="U6261" s="43" t="str">
        <f>HYPERLINK("https://ictv.global/taxonomy/taxondetails?taxnode_id=202209851","ictv.global=202209851")</f>
        <v>ictv.global=202209851</v>
      </c>
    </row>
    <row r="6262" spans="1:21">
      <c r="A6262">
        <v>6261</v>
      </c>
      <c r="B6262" s="29" t="s">
        <v>3223</v>
      </c>
      <c r="C6262" s="29"/>
      <c r="D6262" s="29" t="s">
        <v>4156</v>
      </c>
      <c r="E6262" s="29"/>
      <c r="F6262" s="29" t="s">
        <v>4173</v>
      </c>
      <c r="G6262" s="29"/>
      <c r="H6262" s="29" t="s">
        <v>4174</v>
      </c>
      <c r="I6262" s="29"/>
      <c r="J6262" s="29" t="s">
        <v>870</v>
      </c>
      <c r="K6262" s="29"/>
      <c r="L6262" s="29" t="s">
        <v>245</v>
      </c>
      <c r="M6262" s="29"/>
      <c r="N6262" s="29" t="s">
        <v>324</v>
      </c>
      <c r="O6262" s="29"/>
      <c r="P6262" s="29" t="s">
        <v>2733</v>
      </c>
      <c r="Q6262" t="s">
        <v>2040</v>
      </c>
      <c r="R6262" t="s">
        <v>2634</v>
      </c>
      <c r="S6262">
        <v>35</v>
      </c>
      <c r="T6262" s="43" t="str">
        <f>HYPERLINK("https://ictv.global/ictv/proposals/2019.006G.zip","2019.006G.zip")</f>
        <v>2019.006G.zip</v>
      </c>
      <c r="U6262" s="43" t="str">
        <f>HYPERLINK("https://ictv.global/taxonomy/taxondetails?taxnode_id=202205633","ictv.global=202205633")</f>
        <v>ictv.global=202205633</v>
      </c>
    </row>
    <row r="6263" spans="1:21">
      <c r="A6263">
        <v>6262</v>
      </c>
      <c r="B6263" s="29" t="s">
        <v>3223</v>
      </c>
      <c r="C6263" s="29"/>
      <c r="D6263" s="29" t="s">
        <v>4156</v>
      </c>
      <c r="E6263" s="29"/>
      <c r="F6263" s="29" t="s">
        <v>4173</v>
      </c>
      <c r="G6263" s="29"/>
      <c r="H6263" s="29" t="s">
        <v>4174</v>
      </c>
      <c r="I6263" s="29"/>
      <c r="J6263" s="29" t="s">
        <v>870</v>
      </c>
      <c r="K6263" s="29"/>
      <c r="L6263" s="29" t="s">
        <v>245</v>
      </c>
      <c r="M6263" s="29"/>
      <c r="N6263" s="29" t="s">
        <v>554</v>
      </c>
      <c r="O6263" s="29"/>
      <c r="P6263" s="29" t="s">
        <v>869</v>
      </c>
      <c r="Q6263" t="s">
        <v>2040</v>
      </c>
      <c r="R6263" t="s">
        <v>6901</v>
      </c>
      <c r="S6263">
        <v>36</v>
      </c>
      <c r="T6263" s="43" t="str">
        <f>HYPERLINK("https://ictv.global/ictv/proposals/2020.001G.R.Abolish_type_species.pdf","2020.001G.R.Abolish_type_species.pdf")</f>
        <v>2020.001G.R.Abolish_type_species.pdf</v>
      </c>
      <c r="U6263" s="43" t="str">
        <f>HYPERLINK("https://ictv.global/taxonomy/taxondetails?taxnode_id=202202184","ictv.global=202202184")</f>
        <v>ictv.global=202202184</v>
      </c>
    </row>
    <row r="6264" spans="1:21">
      <c r="A6264">
        <v>6263</v>
      </c>
      <c r="B6264" s="29" t="s">
        <v>3223</v>
      </c>
      <c r="C6264" s="29"/>
      <c r="D6264" s="29" t="s">
        <v>4156</v>
      </c>
      <c r="E6264" s="29"/>
      <c r="F6264" s="29" t="s">
        <v>4173</v>
      </c>
      <c r="G6264" s="29"/>
      <c r="H6264" s="29" t="s">
        <v>4174</v>
      </c>
      <c r="I6264" s="29"/>
      <c r="J6264" s="29" t="s">
        <v>870</v>
      </c>
      <c r="K6264" s="29"/>
      <c r="L6264" s="29" t="s">
        <v>245</v>
      </c>
      <c r="M6264" s="29"/>
      <c r="N6264" s="29" t="s">
        <v>1576</v>
      </c>
      <c r="O6264" s="29"/>
      <c r="P6264" s="29" t="s">
        <v>1577</v>
      </c>
      <c r="Q6264" t="s">
        <v>2040</v>
      </c>
      <c r="R6264" t="s">
        <v>6901</v>
      </c>
      <c r="S6264">
        <v>36</v>
      </c>
      <c r="T6264" s="43" t="str">
        <f>HYPERLINK("https://ictv.global/ictv/proposals/2020.001G.R.Abolish_type_species.pdf","2020.001G.R.Abolish_type_species.pdf")</f>
        <v>2020.001G.R.Abolish_type_species.pdf</v>
      </c>
      <c r="U6264" s="43" t="str">
        <f>HYPERLINK("https://ictv.global/taxonomy/taxondetails?taxnode_id=202202186","ictv.global=202202186")</f>
        <v>ictv.global=202202186</v>
      </c>
    </row>
    <row r="6265" spans="1:21">
      <c r="A6265">
        <v>6264</v>
      </c>
      <c r="B6265" s="29" t="s">
        <v>3223</v>
      </c>
      <c r="C6265" s="29"/>
      <c r="D6265" s="29" t="s">
        <v>4156</v>
      </c>
      <c r="E6265" s="29"/>
      <c r="F6265" s="29" t="s">
        <v>4173</v>
      </c>
      <c r="G6265" s="29"/>
      <c r="H6265" s="29" t="s">
        <v>4174</v>
      </c>
      <c r="I6265" s="29"/>
      <c r="J6265" s="29" t="s">
        <v>870</v>
      </c>
      <c r="K6265" s="29"/>
      <c r="L6265" s="29" t="s">
        <v>245</v>
      </c>
      <c r="M6265" s="29"/>
      <c r="N6265" s="29" t="s">
        <v>2165</v>
      </c>
      <c r="O6265" s="29"/>
      <c r="P6265" s="29" t="s">
        <v>2166</v>
      </c>
      <c r="Q6265" t="s">
        <v>2040</v>
      </c>
      <c r="R6265" t="s">
        <v>6901</v>
      </c>
      <c r="S6265">
        <v>36</v>
      </c>
      <c r="T6265" s="43" t="str">
        <f>HYPERLINK("https://ictv.global/ictv/proposals/2020.001G.R.Abolish_type_species.pdf","2020.001G.R.Abolish_type_species.pdf")</f>
        <v>2020.001G.R.Abolish_type_species.pdf</v>
      </c>
      <c r="U6265" s="43" t="str">
        <f>HYPERLINK("https://ictv.global/taxonomy/taxondetails?taxnode_id=202202191","ictv.global=202202191")</f>
        <v>ictv.global=202202191</v>
      </c>
    </row>
    <row r="6266" spans="1:21">
      <c r="A6266">
        <v>6265</v>
      </c>
      <c r="B6266" s="29" t="s">
        <v>3223</v>
      </c>
      <c r="C6266" s="29"/>
      <c r="D6266" s="29" t="s">
        <v>4156</v>
      </c>
      <c r="E6266" s="29"/>
      <c r="F6266" s="29" t="s">
        <v>4173</v>
      </c>
      <c r="G6266" s="29"/>
      <c r="H6266" s="29" t="s">
        <v>4174</v>
      </c>
      <c r="I6266" s="29"/>
      <c r="J6266" s="29" t="s">
        <v>870</v>
      </c>
      <c r="K6266" s="29"/>
      <c r="L6266" s="29" t="s">
        <v>245</v>
      </c>
      <c r="M6266" s="29"/>
      <c r="N6266" s="29" t="s">
        <v>897</v>
      </c>
      <c r="O6266" s="29" t="s">
        <v>272</v>
      </c>
      <c r="P6266" s="29" t="s">
        <v>5196</v>
      </c>
      <c r="Q6266" t="s">
        <v>2040</v>
      </c>
      <c r="R6266" t="s">
        <v>2632</v>
      </c>
      <c r="S6266">
        <v>36</v>
      </c>
      <c r="T6266" s="43" t="str">
        <f>HYPERLINK("https://ictv.global/ictv/proposals/2020.032P.R.Mandarivirus_1nsp.zip","2020.032P.R.Mandarivirus_1nsp.zip")</f>
        <v>2020.032P.R.Mandarivirus_1nsp.zip</v>
      </c>
      <c r="U6266" s="43" t="str">
        <f>HYPERLINK("https://ictv.global/taxonomy/taxondetails?taxnode_id=202209865","ictv.global=202209865")</f>
        <v>ictv.global=202209865</v>
      </c>
    </row>
    <row r="6267" spans="1:21">
      <c r="A6267">
        <v>6266</v>
      </c>
      <c r="B6267" s="29" t="s">
        <v>3223</v>
      </c>
      <c r="C6267" s="29"/>
      <c r="D6267" s="29" t="s">
        <v>4156</v>
      </c>
      <c r="E6267" s="29"/>
      <c r="F6267" s="29" t="s">
        <v>4173</v>
      </c>
      <c r="G6267" s="29"/>
      <c r="H6267" s="29" t="s">
        <v>4174</v>
      </c>
      <c r="I6267" s="29"/>
      <c r="J6267" s="29" t="s">
        <v>870</v>
      </c>
      <c r="K6267" s="29"/>
      <c r="L6267" s="29" t="s">
        <v>245</v>
      </c>
      <c r="M6267" s="29"/>
      <c r="N6267" s="29" t="s">
        <v>897</v>
      </c>
      <c r="O6267" s="29" t="s">
        <v>272</v>
      </c>
      <c r="P6267" s="29" t="s">
        <v>1733</v>
      </c>
      <c r="Q6267" t="s">
        <v>2040</v>
      </c>
      <c r="R6267" t="s">
        <v>2634</v>
      </c>
      <c r="S6267">
        <v>36</v>
      </c>
      <c r="T6267" s="43" t="str">
        <f>HYPERLINK("https://ictv.global/ictv/proposals/2020.031P.R.Alphaflexiviridae_ab1gen_2nsg.zip","2020.031P.R.Alphaflexiviridae_ab1gen_2nsg.zip")</f>
        <v>2020.031P.R.Alphaflexiviridae_ab1gen_2nsg.zip</v>
      </c>
      <c r="U6267" s="43" t="str">
        <f>HYPERLINK("https://ictv.global/taxonomy/taxondetails?taxnode_id=202202188","ictv.global=202202188")</f>
        <v>ictv.global=202202188</v>
      </c>
    </row>
    <row r="6268" spans="1:21">
      <c r="A6268">
        <v>6267</v>
      </c>
      <c r="B6268" s="29" t="s">
        <v>3223</v>
      </c>
      <c r="C6268" s="29"/>
      <c r="D6268" s="29" t="s">
        <v>4156</v>
      </c>
      <c r="E6268" s="29"/>
      <c r="F6268" s="29" t="s">
        <v>4173</v>
      </c>
      <c r="G6268" s="29"/>
      <c r="H6268" s="29" t="s">
        <v>4174</v>
      </c>
      <c r="I6268" s="29"/>
      <c r="J6268" s="29" t="s">
        <v>870</v>
      </c>
      <c r="K6268" s="29"/>
      <c r="L6268" s="29" t="s">
        <v>245</v>
      </c>
      <c r="M6268" s="29"/>
      <c r="N6268" s="29" t="s">
        <v>897</v>
      </c>
      <c r="O6268" s="29" t="s">
        <v>272</v>
      </c>
      <c r="P6268" s="29" t="s">
        <v>896</v>
      </c>
      <c r="Q6268" t="s">
        <v>2040</v>
      </c>
      <c r="R6268" t="s">
        <v>6899</v>
      </c>
      <c r="S6268">
        <v>36</v>
      </c>
      <c r="T6268" s="43" t="str">
        <f>HYPERLINK("https://ictv.global/ictv/proposals/2020.001G.R.Abolish_type_species.pdf","2020.001G.R.Abolish_type_species.pdf")</f>
        <v>2020.001G.R.Abolish_type_species.pdf</v>
      </c>
      <c r="U6268" s="43" t="str">
        <f>HYPERLINK("https://ictv.global/taxonomy/taxondetails?taxnode_id=202202189","ictv.global=202202189")</f>
        <v>ictv.global=202202189</v>
      </c>
    </row>
    <row r="6269" spans="1:21">
      <c r="A6269">
        <v>6268</v>
      </c>
      <c r="B6269" s="29" t="s">
        <v>3223</v>
      </c>
      <c r="C6269" s="29"/>
      <c r="D6269" s="29" t="s">
        <v>4156</v>
      </c>
      <c r="E6269" s="29"/>
      <c r="F6269" s="29" t="s">
        <v>4173</v>
      </c>
      <c r="G6269" s="29"/>
      <c r="H6269" s="29" t="s">
        <v>4174</v>
      </c>
      <c r="I6269" s="29"/>
      <c r="J6269" s="29" t="s">
        <v>870</v>
      </c>
      <c r="K6269" s="29"/>
      <c r="L6269" s="29" t="s">
        <v>245</v>
      </c>
      <c r="M6269" s="29"/>
      <c r="N6269" s="29" t="s">
        <v>897</v>
      </c>
      <c r="O6269" s="29"/>
      <c r="P6269" s="29" t="s">
        <v>1633</v>
      </c>
      <c r="Q6269" t="s">
        <v>2040</v>
      </c>
      <c r="R6269" t="s">
        <v>2634</v>
      </c>
      <c r="S6269">
        <v>35</v>
      </c>
      <c r="T6269" s="43" t="str">
        <f>HYPERLINK("https://ictv.global/ictv/proposals/2019.006G.zip","2019.006G.zip")</f>
        <v>2019.006G.zip</v>
      </c>
      <c r="U6269" s="43" t="str">
        <f>HYPERLINK("https://ictv.global/taxonomy/taxondetails?taxnode_id=202202193","ictv.global=202202193")</f>
        <v>ictv.global=202202193</v>
      </c>
    </row>
    <row r="6270" spans="1:21">
      <c r="A6270">
        <v>6269</v>
      </c>
      <c r="B6270" s="29" t="s">
        <v>3223</v>
      </c>
      <c r="C6270" s="29"/>
      <c r="D6270" s="29" t="s">
        <v>4156</v>
      </c>
      <c r="E6270" s="29"/>
      <c r="F6270" s="29" t="s">
        <v>4173</v>
      </c>
      <c r="G6270" s="29"/>
      <c r="H6270" s="29" t="s">
        <v>4174</v>
      </c>
      <c r="I6270" s="29"/>
      <c r="J6270" s="29" t="s">
        <v>870</v>
      </c>
      <c r="K6270" s="29"/>
      <c r="L6270" s="29" t="s">
        <v>245</v>
      </c>
      <c r="M6270" s="29"/>
      <c r="N6270" s="29" t="s">
        <v>897</v>
      </c>
      <c r="O6270" s="29"/>
      <c r="P6270" s="29" t="s">
        <v>183</v>
      </c>
      <c r="Q6270" t="s">
        <v>2040</v>
      </c>
      <c r="R6270" t="s">
        <v>2634</v>
      </c>
      <c r="S6270">
        <v>35</v>
      </c>
      <c r="T6270" s="43" t="str">
        <f>HYPERLINK("https://ictv.global/ictv/proposals/2019.006G.zip","2019.006G.zip")</f>
        <v>2019.006G.zip</v>
      </c>
      <c r="U6270" s="43" t="str">
        <f>HYPERLINK("https://ictv.global/taxonomy/taxondetails?taxnode_id=202202194","ictv.global=202202194")</f>
        <v>ictv.global=202202194</v>
      </c>
    </row>
    <row r="6271" spans="1:21">
      <c r="A6271">
        <v>6270</v>
      </c>
      <c r="B6271" s="29" t="s">
        <v>3223</v>
      </c>
      <c r="C6271" s="29"/>
      <c r="D6271" s="29" t="s">
        <v>4156</v>
      </c>
      <c r="E6271" s="29"/>
      <c r="F6271" s="29" t="s">
        <v>4173</v>
      </c>
      <c r="G6271" s="29"/>
      <c r="H6271" s="29" t="s">
        <v>4174</v>
      </c>
      <c r="I6271" s="29"/>
      <c r="J6271" s="29" t="s">
        <v>870</v>
      </c>
      <c r="K6271" s="29"/>
      <c r="L6271" s="29" t="s">
        <v>245</v>
      </c>
      <c r="M6271" s="29"/>
      <c r="N6271" s="29" t="s">
        <v>897</v>
      </c>
      <c r="O6271" s="29"/>
      <c r="P6271" s="29" t="s">
        <v>184</v>
      </c>
      <c r="Q6271" t="s">
        <v>2040</v>
      </c>
      <c r="R6271" t="s">
        <v>2634</v>
      </c>
      <c r="S6271">
        <v>35</v>
      </c>
      <c r="T6271" s="43" t="str">
        <f>HYPERLINK("https://ictv.global/ictv/proposals/2019.006G.zip","2019.006G.zip")</f>
        <v>2019.006G.zip</v>
      </c>
      <c r="U6271" s="43" t="str">
        <f>HYPERLINK("https://ictv.global/taxonomy/taxondetails?taxnode_id=202202195","ictv.global=202202195")</f>
        <v>ictv.global=202202195</v>
      </c>
    </row>
    <row r="6272" spans="1:21">
      <c r="A6272">
        <v>6271</v>
      </c>
      <c r="B6272" s="29" t="s">
        <v>3223</v>
      </c>
      <c r="C6272" s="29"/>
      <c r="D6272" s="29" t="s">
        <v>4156</v>
      </c>
      <c r="E6272" s="29"/>
      <c r="F6272" s="29" t="s">
        <v>4173</v>
      </c>
      <c r="G6272" s="29"/>
      <c r="H6272" s="29" t="s">
        <v>4174</v>
      </c>
      <c r="I6272" s="29"/>
      <c r="J6272" s="29" t="s">
        <v>870</v>
      </c>
      <c r="K6272" s="29"/>
      <c r="L6272" s="29" t="s">
        <v>245</v>
      </c>
      <c r="M6272" s="29"/>
      <c r="N6272" s="29" t="s">
        <v>897</v>
      </c>
      <c r="O6272" s="29"/>
      <c r="P6272" s="29" t="s">
        <v>5197</v>
      </c>
      <c r="Q6272" t="s">
        <v>2040</v>
      </c>
      <c r="R6272" t="s">
        <v>2632</v>
      </c>
      <c r="S6272">
        <v>36</v>
      </c>
      <c r="T6272" s="43" t="str">
        <f>HYPERLINK("https://ictv.global/ictv/proposals/2020.029P.R.Alphaflexiviridae_9nsp.zip","2020.029P.R.Alphaflexiviridae_9nsp.zip")</f>
        <v>2020.029P.R.Alphaflexiviridae_9nsp.zip</v>
      </c>
      <c r="U6272" s="43" t="str">
        <f>HYPERLINK("https://ictv.global/taxonomy/taxondetails?taxnode_id=202209843","ictv.global=202209843")</f>
        <v>ictv.global=202209843</v>
      </c>
    </row>
    <row r="6273" spans="1:21">
      <c r="A6273">
        <v>6272</v>
      </c>
      <c r="B6273" s="29" t="s">
        <v>3223</v>
      </c>
      <c r="C6273" s="29"/>
      <c r="D6273" s="29" t="s">
        <v>4156</v>
      </c>
      <c r="E6273" s="29"/>
      <c r="F6273" s="29" t="s">
        <v>4173</v>
      </c>
      <c r="G6273" s="29"/>
      <c r="H6273" s="29" t="s">
        <v>4174</v>
      </c>
      <c r="I6273" s="29"/>
      <c r="J6273" s="29" t="s">
        <v>870</v>
      </c>
      <c r="K6273" s="29"/>
      <c r="L6273" s="29" t="s">
        <v>245</v>
      </c>
      <c r="M6273" s="29"/>
      <c r="N6273" s="29" t="s">
        <v>897</v>
      </c>
      <c r="O6273" s="29"/>
      <c r="P6273" s="29" t="s">
        <v>185</v>
      </c>
      <c r="Q6273" t="s">
        <v>2040</v>
      </c>
      <c r="R6273" t="s">
        <v>2634</v>
      </c>
      <c r="S6273">
        <v>35</v>
      </c>
      <c r="T6273" s="43" t="str">
        <f>HYPERLINK("https://ictv.global/ictv/proposals/2019.006G.zip","2019.006G.zip")</f>
        <v>2019.006G.zip</v>
      </c>
      <c r="U6273" s="43" t="str">
        <f>HYPERLINK("https://ictv.global/taxonomy/taxondetails?taxnode_id=202202196","ictv.global=202202196")</f>
        <v>ictv.global=202202196</v>
      </c>
    </row>
    <row r="6274" spans="1:21">
      <c r="A6274">
        <v>6273</v>
      </c>
      <c r="B6274" s="29" t="s">
        <v>3223</v>
      </c>
      <c r="C6274" s="29"/>
      <c r="D6274" s="29" t="s">
        <v>4156</v>
      </c>
      <c r="E6274" s="29"/>
      <c r="F6274" s="29" t="s">
        <v>4173</v>
      </c>
      <c r="G6274" s="29"/>
      <c r="H6274" s="29" t="s">
        <v>4174</v>
      </c>
      <c r="I6274" s="29"/>
      <c r="J6274" s="29" t="s">
        <v>870</v>
      </c>
      <c r="K6274" s="29"/>
      <c r="L6274" s="29" t="s">
        <v>245</v>
      </c>
      <c r="M6274" s="29"/>
      <c r="N6274" s="29" t="s">
        <v>897</v>
      </c>
      <c r="O6274" s="29"/>
      <c r="P6274" s="29" t="s">
        <v>5198</v>
      </c>
      <c r="Q6274" t="s">
        <v>2040</v>
      </c>
      <c r="R6274" t="s">
        <v>2632</v>
      </c>
      <c r="S6274">
        <v>36</v>
      </c>
      <c r="T6274" s="43" t="str">
        <f>HYPERLINK("https://ictv.global/ictv/proposals/2020.029P.R.Alphaflexiviridae_9nsp.zip","2020.029P.R.Alphaflexiviridae_9nsp.zip")</f>
        <v>2020.029P.R.Alphaflexiviridae_9nsp.zip</v>
      </c>
      <c r="U6274" s="43" t="str">
        <f>HYPERLINK("https://ictv.global/taxonomy/taxondetails?taxnode_id=202209847","ictv.global=202209847")</f>
        <v>ictv.global=202209847</v>
      </c>
    </row>
    <row r="6275" spans="1:21">
      <c r="A6275">
        <v>6274</v>
      </c>
      <c r="B6275" s="29" t="s">
        <v>3223</v>
      </c>
      <c r="C6275" s="29"/>
      <c r="D6275" s="29" t="s">
        <v>4156</v>
      </c>
      <c r="E6275" s="29"/>
      <c r="F6275" s="29" t="s">
        <v>4173</v>
      </c>
      <c r="G6275" s="29"/>
      <c r="H6275" s="29" t="s">
        <v>4174</v>
      </c>
      <c r="I6275" s="29"/>
      <c r="J6275" s="29" t="s">
        <v>870</v>
      </c>
      <c r="K6275" s="29"/>
      <c r="L6275" s="29" t="s">
        <v>245</v>
      </c>
      <c r="M6275" s="29"/>
      <c r="N6275" s="29" t="s">
        <v>897</v>
      </c>
      <c r="O6275" s="29"/>
      <c r="P6275" s="29" t="s">
        <v>186</v>
      </c>
      <c r="Q6275" t="s">
        <v>2040</v>
      </c>
      <c r="R6275" t="s">
        <v>2634</v>
      </c>
      <c r="S6275">
        <v>35</v>
      </c>
      <c r="T6275" s="43" t="str">
        <f>HYPERLINK("https://ictv.global/ictv/proposals/2019.006G.zip","2019.006G.zip")</f>
        <v>2019.006G.zip</v>
      </c>
      <c r="U6275" s="43" t="str">
        <f>HYPERLINK("https://ictv.global/taxonomy/taxondetails?taxnode_id=202202197","ictv.global=202202197")</f>
        <v>ictv.global=202202197</v>
      </c>
    </row>
    <row r="6276" spans="1:21">
      <c r="A6276">
        <v>6275</v>
      </c>
      <c r="B6276" s="29" t="s">
        <v>3223</v>
      </c>
      <c r="C6276" s="29"/>
      <c r="D6276" s="29" t="s">
        <v>4156</v>
      </c>
      <c r="E6276" s="29"/>
      <c r="F6276" s="29" t="s">
        <v>4173</v>
      </c>
      <c r="G6276" s="29"/>
      <c r="H6276" s="29" t="s">
        <v>4174</v>
      </c>
      <c r="I6276" s="29"/>
      <c r="J6276" s="29" t="s">
        <v>870</v>
      </c>
      <c r="K6276" s="29"/>
      <c r="L6276" s="29" t="s">
        <v>245</v>
      </c>
      <c r="M6276" s="29"/>
      <c r="N6276" s="29" t="s">
        <v>897</v>
      </c>
      <c r="O6276" s="29"/>
      <c r="P6276" s="29" t="s">
        <v>187</v>
      </c>
      <c r="Q6276" t="s">
        <v>2040</v>
      </c>
      <c r="R6276" t="s">
        <v>2634</v>
      </c>
      <c r="S6276">
        <v>35</v>
      </c>
      <c r="T6276" s="43" t="str">
        <f>HYPERLINK("https://ictv.global/ictv/proposals/2019.006G.zip","2019.006G.zip")</f>
        <v>2019.006G.zip</v>
      </c>
      <c r="U6276" s="43" t="str">
        <f>HYPERLINK("https://ictv.global/taxonomy/taxondetails?taxnode_id=202202198","ictv.global=202202198")</f>
        <v>ictv.global=202202198</v>
      </c>
    </row>
    <row r="6277" spans="1:21">
      <c r="A6277">
        <v>6276</v>
      </c>
      <c r="B6277" s="29" t="s">
        <v>3223</v>
      </c>
      <c r="C6277" s="29"/>
      <c r="D6277" s="29" t="s">
        <v>4156</v>
      </c>
      <c r="E6277" s="29"/>
      <c r="F6277" s="29" t="s">
        <v>4173</v>
      </c>
      <c r="G6277" s="29"/>
      <c r="H6277" s="29" t="s">
        <v>4174</v>
      </c>
      <c r="I6277" s="29"/>
      <c r="J6277" s="29" t="s">
        <v>870</v>
      </c>
      <c r="K6277" s="29"/>
      <c r="L6277" s="29" t="s">
        <v>245</v>
      </c>
      <c r="M6277" s="29"/>
      <c r="N6277" s="29" t="s">
        <v>897</v>
      </c>
      <c r="O6277" s="29"/>
      <c r="P6277" s="29" t="s">
        <v>5199</v>
      </c>
      <c r="Q6277" t="s">
        <v>2040</v>
      </c>
      <c r="R6277" t="s">
        <v>2632</v>
      </c>
      <c r="S6277">
        <v>36</v>
      </c>
      <c r="T6277" s="43" t="str">
        <f>HYPERLINK("https://ictv.global/ictv/proposals/2020.029P.R.Alphaflexiviridae_9nsp.zip","2020.029P.R.Alphaflexiviridae_9nsp.zip")</f>
        <v>2020.029P.R.Alphaflexiviridae_9nsp.zip</v>
      </c>
      <c r="U6277" s="43" t="str">
        <f>HYPERLINK("https://ictv.global/taxonomy/taxondetails?taxnode_id=202209844","ictv.global=202209844")</f>
        <v>ictv.global=202209844</v>
      </c>
    </row>
    <row r="6278" spans="1:21">
      <c r="A6278">
        <v>6277</v>
      </c>
      <c r="B6278" s="29" t="s">
        <v>3223</v>
      </c>
      <c r="C6278" s="29"/>
      <c r="D6278" s="29" t="s">
        <v>4156</v>
      </c>
      <c r="E6278" s="29"/>
      <c r="F6278" s="29" t="s">
        <v>4173</v>
      </c>
      <c r="G6278" s="29"/>
      <c r="H6278" s="29" t="s">
        <v>4174</v>
      </c>
      <c r="I6278" s="29"/>
      <c r="J6278" s="29" t="s">
        <v>870</v>
      </c>
      <c r="K6278" s="29"/>
      <c r="L6278" s="29" t="s">
        <v>245</v>
      </c>
      <c r="M6278" s="29"/>
      <c r="N6278" s="29" t="s">
        <v>897</v>
      </c>
      <c r="O6278" s="29"/>
      <c r="P6278" s="29" t="s">
        <v>188</v>
      </c>
      <c r="Q6278" t="s">
        <v>2040</v>
      </c>
      <c r="R6278" t="s">
        <v>2634</v>
      </c>
      <c r="S6278">
        <v>35</v>
      </c>
      <c r="T6278" s="43" t="str">
        <f>HYPERLINK("https://ictv.global/ictv/proposals/2019.006G.zip","2019.006G.zip")</f>
        <v>2019.006G.zip</v>
      </c>
      <c r="U6278" s="43" t="str">
        <f>HYPERLINK("https://ictv.global/taxonomy/taxondetails?taxnode_id=202202199","ictv.global=202202199")</f>
        <v>ictv.global=202202199</v>
      </c>
    </row>
    <row r="6279" spans="1:21">
      <c r="A6279">
        <v>6278</v>
      </c>
      <c r="B6279" s="29" t="s">
        <v>3223</v>
      </c>
      <c r="C6279" s="29"/>
      <c r="D6279" s="29" t="s">
        <v>4156</v>
      </c>
      <c r="E6279" s="29"/>
      <c r="F6279" s="29" t="s">
        <v>4173</v>
      </c>
      <c r="G6279" s="29"/>
      <c r="H6279" s="29" t="s">
        <v>4174</v>
      </c>
      <c r="I6279" s="29"/>
      <c r="J6279" s="29" t="s">
        <v>870</v>
      </c>
      <c r="K6279" s="29"/>
      <c r="L6279" s="29" t="s">
        <v>245</v>
      </c>
      <c r="M6279" s="29"/>
      <c r="N6279" s="29" t="s">
        <v>897</v>
      </c>
      <c r="O6279" s="29"/>
      <c r="P6279" s="29" t="s">
        <v>189</v>
      </c>
      <c r="Q6279" t="s">
        <v>2040</v>
      </c>
      <c r="R6279" t="s">
        <v>2634</v>
      </c>
      <c r="S6279">
        <v>35</v>
      </c>
      <c r="T6279" s="43" t="str">
        <f>HYPERLINK("https://ictv.global/ictv/proposals/2019.006G.zip","2019.006G.zip")</f>
        <v>2019.006G.zip</v>
      </c>
      <c r="U6279" s="43" t="str">
        <f>HYPERLINK("https://ictv.global/taxonomy/taxondetails?taxnode_id=202202200","ictv.global=202202200")</f>
        <v>ictv.global=202202200</v>
      </c>
    </row>
    <row r="6280" spans="1:21">
      <c r="A6280">
        <v>6279</v>
      </c>
      <c r="B6280" s="29" t="s">
        <v>3223</v>
      </c>
      <c r="C6280" s="29"/>
      <c r="D6280" s="29" t="s">
        <v>4156</v>
      </c>
      <c r="E6280" s="29"/>
      <c r="F6280" s="29" t="s">
        <v>4173</v>
      </c>
      <c r="G6280" s="29"/>
      <c r="H6280" s="29" t="s">
        <v>4174</v>
      </c>
      <c r="I6280" s="29"/>
      <c r="J6280" s="29" t="s">
        <v>870</v>
      </c>
      <c r="K6280" s="29"/>
      <c r="L6280" s="29" t="s">
        <v>245</v>
      </c>
      <c r="M6280" s="29"/>
      <c r="N6280" s="29" t="s">
        <v>897</v>
      </c>
      <c r="O6280" s="29"/>
      <c r="P6280" s="29" t="s">
        <v>190</v>
      </c>
      <c r="Q6280" t="s">
        <v>2040</v>
      </c>
      <c r="R6280" t="s">
        <v>2634</v>
      </c>
      <c r="S6280">
        <v>35</v>
      </c>
      <c r="T6280" s="43" t="str">
        <f>HYPERLINK("https://ictv.global/ictv/proposals/2019.006G.zip","2019.006G.zip")</f>
        <v>2019.006G.zip</v>
      </c>
      <c r="U6280" s="43" t="str">
        <f>HYPERLINK("https://ictv.global/taxonomy/taxondetails?taxnode_id=202202201","ictv.global=202202201")</f>
        <v>ictv.global=202202201</v>
      </c>
    </row>
    <row r="6281" spans="1:21">
      <c r="A6281">
        <v>6280</v>
      </c>
      <c r="B6281" s="29" t="s">
        <v>3223</v>
      </c>
      <c r="C6281" s="29"/>
      <c r="D6281" s="29" t="s">
        <v>4156</v>
      </c>
      <c r="E6281" s="29"/>
      <c r="F6281" s="29" t="s">
        <v>4173</v>
      </c>
      <c r="G6281" s="29"/>
      <c r="H6281" s="29" t="s">
        <v>4174</v>
      </c>
      <c r="I6281" s="29"/>
      <c r="J6281" s="29" t="s">
        <v>870</v>
      </c>
      <c r="K6281" s="29"/>
      <c r="L6281" s="29" t="s">
        <v>245</v>
      </c>
      <c r="M6281" s="29"/>
      <c r="N6281" s="29" t="s">
        <v>897</v>
      </c>
      <c r="O6281" s="29"/>
      <c r="P6281" s="29" t="s">
        <v>5200</v>
      </c>
      <c r="Q6281" t="s">
        <v>2040</v>
      </c>
      <c r="R6281" t="s">
        <v>2632</v>
      </c>
      <c r="S6281">
        <v>36</v>
      </c>
      <c r="T6281" s="43" t="str">
        <f>HYPERLINK("https://ictv.global/ictv/proposals/2020.029P.R.Alphaflexiviridae_9nsp.zip","2020.029P.R.Alphaflexiviridae_9nsp.zip")</f>
        <v>2020.029P.R.Alphaflexiviridae_9nsp.zip</v>
      </c>
      <c r="U6281" s="43" t="str">
        <f>HYPERLINK("https://ictv.global/taxonomy/taxondetails?taxnode_id=202209850","ictv.global=202209850")</f>
        <v>ictv.global=202209850</v>
      </c>
    </row>
    <row r="6282" spans="1:21">
      <c r="A6282">
        <v>6281</v>
      </c>
      <c r="B6282" s="29" t="s">
        <v>3223</v>
      </c>
      <c r="C6282" s="29"/>
      <c r="D6282" s="29" t="s">
        <v>4156</v>
      </c>
      <c r="E6282" s="29"/>
      <c r="F6282" s="29" t="s">
        <v>4173</v>
      </c>
      <c r="G6282" s="29"/>
      <c r="H6282" s="29" t="s">
        <v>4174</v>
      </c>
      <c r="I6282" s="29"/>
      <c r="J6282" s="29" t="s">
        <v>870</v>
      </c>
      <c r="K6282" s="29"/>
      <c r="L6282" s="29" t="s">
        <v>245</v>
      </c>
      <c r="M6282" s="29"/>
      <c r="N6282" s="29" t="s">
        <v>897</v>
      </c>
      <c r="O6282" s="29"/>
      <c r="P6282" s="29" t="s">
        <v>191</v>
      </c>
      <c r="Q6282" t="s">
        <v>2040</v>
      </c>
      <c r="R6282" t="s">
        <v>2634</v>
      </c>
      <c r="S6282">
        <v>35</v>
      </c>
      <c r="T6282" s="43" t="str">
        <f>HYPERLINK("https://ictv.global/ictv/proposals/2019.006G.zip","2019.006G.zip")</f>
        <v>2019.006G.zip</v>
      </c>
      <c r="U6282" s="43" t="str">
        <f>HYPERLINK("https://ictv.global/taxonomy/taxondetails?taxnode_id=202202202","ictv.global=202202202")</f>
        <v>ictv.global=202202202</v>
      </c>
    </row>
    <row r="6283" spans="1:21">
      <c r="A6283">
        <v>6282</v>
      </c>
      <c r="B6283" s="29" t="s">
        <v>3223</v>
      </c>
      <c r="C6283" s="29"/>
      <c r="D6283" s="29" t="s">
        <v>4156</v>
      </c>
      <c r="E6283" s="29"/>
      <c r="F6283" s="29" t="s">
        <v>4173</v>
      </c>
      <c r="G6283" s="29"/>
      <c r="H6283" s="29" t="s">
        <v>4174</v>
      </c>
      <c r="I6283" s="29"/>
      <c r="J6283" s="29" t="s">
        <v>870</v>
      </c>
      <c r="K6283" s="29"/>
      <c r="L6283" s="29" t="s">
        <v>245</v>
      </c>
      <c r="M6283" s="29"/>
      <c r="N6283" s="29" t="s">
        <v>897</v>
      </c>
      <c r="O6283" s="29"/>
      <c r="P6283" s="29" t="s">
        <v>5201</v>
      </c>
      <c r="Q6283" t="s">
        <v>2040</v>
      </c>
      <c r="R6283" t="s">
        <v>2632</v>
      </c>
      <c r="S6283">
        <v>36</v>
      </c>
      <c r="T6283" s="43" t="str">
        <f>HYPERLINK("https://ictv.global/ictv/proposals/2020.029P.R.Alphaflexiviridae_9nsp.zip","2020.029P.R.Alphaflexiviridae_9nsp.zip")</f>
        <v>2020.029P.R.Alphaflexiviridae_9nsp.zip</v>
      </c>
      <c r="U6283" s="43" t="str">
        <f>HYPERLINK("https://ictv.global/taxonomy/taxondetails?taxnode_id=202209845","ictv.global=202209845")</f>
        <v>ictv.global=202209845</v>
      </c>
    </row>
    <row r="6284" spans="1:21">
      <c r="A6284">
        <v>6283</v>
      </c>
      <c r="B6284" s="29" t="s">
        <v>3223</v>
      </c>
      <c r="C6284" s="29"/>
      <c r="D6284" s="29" t="s">
        <v>4156</v>
      </c>
      <c r="E6284" s="29"/>
      <c r="F6284" s="29" t="s">
        <v>4173</v>
      </c>
      <c r="G6284" s="29"/>
      <c r="H6284" s="29" t="s">
        <v>4174</v>
      </c>
      <c r="I6284" s="29"/>
      <c r="J6284" s="29" t="s">
        <v>870</v>
      </c>
      <c r="K6284" s="29"/>
      <c r="L6284" s="29" t="s">
        <v>245</v>
      </c>
      <c r="M6284" s="29"/>
      <c r="N6284" s="29" t="s">
        <v>897</v>
      </c>
      <c r="O6284" s="29"/>
      <c r="P6284" s="29" t="s">
        <v>5202</v>
      </c>
      <c r="Q6284" t="s">
        <v>2040</v>
      </c>
      <c r="R6284" t="s">
        <v>2632</v>
      </c>
      <c r="S6284">
        <v>36</v>
      </c>
      <c r="T6284" s="43" t="str">
        <f>HYPERLINK("https://ictv.global/ictv/proposals/2020.029P.R.Alphaflexiviridae_9nsp.zip","2020.029P.R.Alphaflexiviridae_9nsp.zip")</f>
        <v>2020.029P.R.Alphaflexiviridae_9nsp.zip</v>
      </c>
      <c r="U6284" s="43" t="str">
        <f>HYPERLINK("https://ictv.global/taxonomy/taxondetails?taxnode_id=202209846","ictv.global=202209846")</f>
        <v>ictv.global=202209846</v>
      </c>
    </row>
    <row r="6285" spans="1:21">
      <c r="A6285">
        <v>6284</v>
      </c>
      <c r="B6285" s="29" t="s">
        <v>3223</v>
      </c>
      <c r="C6285" s="29"/>
      <c r="D6285" s="29" t="s">
        <v>4156</v>
      </c>
      <c r="E6285" s="29"/>
      <c r="F6285" s="29" t="s">
        <v>4173</v>
      </c>
      <c r="G6285" s="29"/>
      <c r="H6285" s="29" t="s">
        <v>4174</v>
      </c>
      <c r="I6285" s="29"/>
      <c r="J6285" s="29" t="s">
        <v>870</v>
      </c>
      <c r="K6285" s="29"/>
      <c r="L6285" s="29" t="s">
        <v>245</v>
      </c>
      <c r="M6285" s="29"/>
      <c r="N6285" s="29" t="s">
        <v>897</v>
      </c>
      <c r="O6285" s="29"/>
      <c r="P6285" s="29" t="s">
        <v>192</v>
      </c>
      <c r="Q6285" t="s">
        <v>2040</v>
      </c>
      <c r="R6285" t="s">
        <v>2634</v>
      </c>
      <c r="S6285">
        <v>35</v>
      </c>
      <c r="T6285" s="43" t="str">
        <f t="shared" ref="T6285:T6300" si="290">HYPERLINK("https://ictv.global/ictv/proposals/2019.006G.zip","2019.006G.zip")</f>
        <v>2019.006G.zip</v>
      </c>
      <c r="U6285" s="43" t="str">
        <f>HYPERLINK("https://ictv.global/taxonomy/taxondetails?taxnode_id=202202203","ictv.global=202202203")</f>
        <v>ictv.global=202202203</v>
      </c>
    </row>
    <row r="6286" spans="1:21">
      <c r="A6286">
        <v>6285</v>
      </c>
      <c r="B6286" s="29" t="s">
        <v>3223</v>
      </c>
      <c r="C6286" s="29"/>
      <c r="D6286" s="29" t="s">
        <v>4156</v>
      </c>
      <c r="E6286" s="29"/>
      <c r="F6286" s="29" t="s">
        <v>4173</v>
      </c>
      <c r="G6286" s="29"/>
      <c r="H6286" s="29" t="s">
        <v>4174</v>
      </c>
      <c r="I6286" s="29"/>
      <c r="J6286" s="29" t="s">
        <v>870</v>
      </c>
      <c r="K6286" s="29"/>
      <c r="L6286" s="29" t="s">
        <v>245</v>
      </c>
      <c r="M6286" s="29"/>
      <c r="N6286" s="29" t="s">
        <v>897</v>
      </c>
      <c r="O6286" s="29"/>
      <c r="P6286" s="29" t="s">
        <v>1075</v>
      </c>
      <c r="Q6286" t="s">
        <v>2040</v>
      </c>
      <c r="R6286" t="s">
        <v>2634</v>
      </c>
      <c r="S6286">
        <v>35</v>
      </c>
      <c r="T6286" s="43" t="str">
        <f t="shared" si="290"/>
        <v>2019.006G.zip</v>
      </c>
      <c r="U6286" s="43" t="str">
        <f>HYPERLINK("https://ictv.global/taxonomy/taxondetails?taxnode_id=202202204","ictv.global=202202204")</f>
        <v>ictv.global=202202204</v>
      </c>
    </row>
    <row r="6287" spans="1:21">
      <c r="A6287">
        <v>6286</v>
      </c>
      <c r="B6287" s="29" t="s">
        <v>3223</v>
      </c>
      <c r="C6287" s="29"/>
      <c r="D6287" s="29" t="s">
        <v>4156</v>
      </c>
      <c r="E6287" s="29"/>
      <c r="F6287" s="29" t="s">
        <v>4173</v>
      </c>
      <c r="G6287" s="29"/>
      <c r="H6287" s="29" t="s">
        <v>4174</v>
      </c>
      <c r="I6287" s="29"/>
      <c r="J6287" s="29" t="s">
        <v>870</v>
      </c>
      <c r="K6287" s="29"/>
      <c r="L6287" s="29" t="s">
        <v>245</v>
      </c>
      <c r="M6287" s="29"/>
      <c r="N6287" s="29" t="s">
        <v>897</v>
      </c>
      <c r="O6287" s="29"/>
      <c r="P6287" s="29" t="s">
        <v>1076</v>
      </c>
      <c r="Q6287" t="s">
        <v>2040</v>
      </c>
      <c r="R6287" t="s">
        <v>2634</v>
      </c>
      <c r="S6287">
        <v>35</v>
      </c>
      <c r="T6287" s="43" t="str">
        <f t="shared" si="290"/>
        <v>2019.006G.zip</v>
      </c>
      <c r="U6287" s="43" t="str">
        <f>HYPERLINK("https://ictv.global/taxonomy/taxondetails?taxnode_id=202202205","ictv.global=202202205")</f>
        <v>ictv.global=202202205</v>
      </c>
    </row>
    <row r="6288" spans="1:21">
      <c r="A6288">
        <v>6287</v>
      </c>
      <c r="B6288" s="29" t="s">
        <v>3223</v>
      </c>
      <c r="C6288" s="29"/>
      <c r="D6288" s="29" t="s">
        <v>4156</v>
      </c>
      <c r="E6288" s="29"/>
      <c r="F6288" s="29" t="s">
        <v>4173</v>
      </c>
      <c r="G6288" s="29"/>
      <c r="H6288" s="29" t="s">
        <v>4174</v>
      </c>
      <c r="I6288" s="29"/>
      <c r="J6288" s="29" t="s">
        <v>870</v>
      </c>
      <c r="K6288" s="29"/>
      <c r="L6288" s="29" t="s">
        <v>245</v>
      </c>
      <c r="M6288" s="29"/>
      <c r="N6288" s="29" t="s">
        <v>897</v>
      </c>
      <c r="O6288" s="29"/>
      <c r="P6288" s="29" t="s">
        <v>1634</v>
      </c>
      <c r="Q6288" t="s">
        <v>2040</v>
      </c>
      <c r="R6288" t="s">
        <v>2634</v>
      </c>
      <c r="S6288">
        <v>35</v>
      </c>
      <c r="T6288" s="43" t="str">
        <f t="shared" si="290"/>
        <v>2019.006G.zip</v>
      </c>
      <c r="U6288" s="43" t="str">
        <f>HYPERLINK("https://ictv.global/taxonomy/taxondetails?taxnode_id=202202206","ictv.global=202202206")</f>
        <v>ictv.global=202202206</v>
      </c>
    </row>
    <row r="6289" spans="1:21">
      <c r="A6289">
        <v>6288</v>
      </c>
      <c r="B6289" s="29" t="s">
        <v>3223</v>
      </c>
      <c r="C6289" s="29"/>
      <c r="D6289" s="29" t="s">
        <v>4156</v>
      </c>
      <c r="E6289" s="29"/>
      <c r="F6289" s="29" t="s">
        <v>4173</v>
      </c>
      <c r="G6289" s="29"/>
      <c r="H6289" s="29" t="s">
        <v>4174</v>
      </c>
      <c r="I6289" s="29"/>
      <c r="J6289" s="29" t="s">
        <v>870</v>
      </c>
      <c r="K6289" s="29"/>
      <c r="L6289" s="29" t="s">
        <v>245</v>
      </c>
      <c r="M6289" s="29"/>
      <c r="N6289" s="29" t="s">
        <v>897</v>
      </c>
      <c r="O6289" s="29"/>
      <c r="P6289" s="29" t="s">
        <v>1485</v>
      </c>
      <c r="Q6289" t="s">
        <v>2040</v>
      </c>
      <c r="R6289" t="s">
        <v>2634</v>
      </c>
      <c r="S6289">
        <v>35</v>
      </c>
      <c r="T6289" s="43" t="str">
        <f t="shared" si="290"/>
        <v>2019.006G.zip</v>
      </c>
      <c r="U6289" s="43" t="str">
        <f>HYPERLINK("https://ictv.global/taxonomy/taxondetails?taxnode_id=202202207","ictv.global=202202207")</f>
        <v>ictv.global=202202207</v>
      </c>
    </row>
    <row r="6290" spans="1:21">
      <c r="A6290">
        <v>6289</v>
      </c>
      <c r="B6290" s="29" t="s">
        <v>3223</v>
      </c>
      <c r="C6290" s="29"/>
      <c r="D6290" s="29" t="s">
        <v>4156</v>
      </c>
      <c r="E6290" s="29"/>
      <c r="F6290" s="29" t="s">
        <v>4173</v>
      </c>
      <c r="G6290" s="29"/>
      <c r="H6290" s="29" t="s">
        <v>4174</v>
      </c>
      <c r="I6290" s="29"/>
      <c r="J6290" s="29" t="s">
        <v>870</v>
      </c>
      <c r="K6290" s="29"/>
      <c r="L6290" s="29" t="s">
        <v>245</v>
      </c>
      <c r="M6290" s="29"/>
      <c r="N6290" s="29" t="s">
        <v>897</v>
      </c>
      <c r="O6290" s="29"/>
      <c r="P6290" s="29" t="s">
        <v>364</v>
      </c>
      <c r="Q6290" t="s">
        <v>2040</v>
      </c>
      <c r="R6290" t="s">
        <v>2634</v>
      </c>
      <c r="S6290">
        <v>35</v>
      </c>
      <c r="T6290" s="43" t="str">
        <f t="shared" si="290"/>
        <v>2019.006G.zip</v>
      </c>
      <c r="U6290" s="43" t="str">
        <f>HYPERLINK("https://ictv.global/taxonomy/taxondetails?taxnode_id=202202208","ictv.global=202202208")</f>
        <v>ictv.global=202202208</v>
      </c>
    </row>
    <row r="6291" spans="1:21">
      <c r="A6291">
        <v>6290</v>
      </c>
      <c r="B6291" s="29" t="s">
        <v>3223</v>
      </c>
      <c r="C6291" s="29"/>
      <c r="D6291" s="29" t="s">
        <v>4156</v>
      </c>
      <c r="E6291" s="29"/>
      <c r="F6291" s="29" t="s">
        <v>4173</v>
      </c>
      <c r="G6291" s="29"/>
      <c r="H6291" s="29" t="s">
        <v>4174</v>
      </c>
      <c r="I6291" s="29"/>
      <c r="J6291" s="29" t="s">
        <v>870</v>
      </c>
      <c r="K6291" s="29"/>
      <c r="L6291" s="29" t="s">
        <v>245</v>
      </c>
      <c r="M6291" s="29"/>
      <c r="N6291" s="29" t="s">
        <v>897</v>
      </c>
      <c r="O6291" s="29"/>
      <c r="P6291" s="29" t="s">
        <v>1574</v>
      </c>
      <c r="Q6291" t="s">
        <v>2040</v>
      </c>
      <c r="R6291" t="s">
        <v>2634</v>
      </c>
      <c r="S6291">
        <v>35</v>
      </c>
      <c r="T6291" s="43" t="str">
        <f t="shared" si="290"/>
        <v>2019.006G.zip</v>
      </c>
      <c r="U6291" s="43" t="str">
        <f>HYPERLINK("https://ictv.global/taxonomy/taxondetails?taxnode_id=202202209","ictv.global=202202209")</f>
        <v>ictv.global=202202209</v>
      </c>
    </row>
    <row r="6292" spans="1:21">
      <c r="A6292">
        <v>6291</v>
      </c>
      <c r="B6292" s="29" t="s">
        <v>3223</v>
      </c>
      <c r="C6292" s="29"/>
      <c r="D6292" s="29" t="s">
        <v>4156</v>
      </c>
      <c r="E6292" s="29"/>
      <c r="F6292" s="29" t="s">
        <v>4173</v>
      </c>
      <c r="G6292" s="29"/>
      <c r="H6292" s="29" t="s">
        <v>4174</v>
      </c>
      <c r="I6292" s="29"/>
      <c r="J6292" s="29" t="s">
        <v>870</v>
      </c>
      <c r="K6292" s="29"/>
      <c r="L6292" s="29" t="s">
        <v>245</v>
      </c>
      <c r="M6292" s="29"/>
      <c r="N6292" s="29" t="s">
        <v>897</v>
      </c>
      <c r="O6292" s="29"/>
      <c r="P6292" s="29" t="s">
        <v>365</v>
      </c>
      <c r="Q6292" t="s">
        <v>2040</v>
      </c>
      <c r="R6292" t="s">
        <v>2634</v>
      </c>
      <c r="S6292">
        <v>35</v>
      </c>
      <c r="T6292" s="43" t="str">
        <f t="shared" si="290"/>
        <v>2019.006G.zip</v>
      </c>
      <c r="U6292" s="43" t="str">
        <f>HYPERLINK("https://ictv.global/taxonomy/taxondetails?taxnode_id=202202210","ictv.global=202202210")</f>
        <v>ictv.global=202202210</v>
      </c>
    </row>
    <row r="6293" spans="1:21">
      <c r="A6293">
        <v>6292</v>
      </c>
      <c r="B6293" s="29" t="s">
        <v>3223</v>
      </c>
      <c r="C6293" s="29"/>
      <c r="D6293" s="29" t="s">
        <v>4156</v>
      </c>
      <c r="E6293" s="29"/>
      <c r="F6293" s="29" t="s">
        <v>4173</v>
      </c>
      <c r="G6293" s="29"/>
      <c r="H6293" s="29" t="s">
        <v>4174</v>
      </c>
      <c r="I6293" s="29"/>
      <c r="J6293" s="29" t="s">
        <v>870</v>
      </c>
      <c r="K6293" s="29"/>
      <c r="L6293" s="29" t="s">
        <v>245</v>
      </c>
      <c r="M6293" s="29"/>
      <c r="N6293" s="29" t="s">
        <v>897</v>
      </c>
      <c r="O6293" s="29"/>
      <c r="P6293" s="29" t="s">
        <v>366</v>
      </c>
      <c r="Q6293" t="s">
        <v>2040</v>
      </c>
      <c r="R6293" t="s">
        <v>2634</v>
      </c>
      <c r="S6293">
        <v>35</v>
      </c>
      <c r="T6293" s="43" t="str">
        <f t="shared" si="290"/>
        <v>2019.006G.zip</v>
      </c>
      <c r="U6293" s="43" t="str">
        <f>HYPERLINK("https://ictv.global/taxonomy/taxondetails?taxnode_id=202202211","ictv.global=202202211")</f>
        <v>ictv.global=202202211</v>
      </c>
    </row>
    <row r="6294" spans="1:21">
      <c r="A6294">
        <v>6293</v>
      </c>
      <c r="B6294" s="29" t="s">
        <v>3223</v>
      </c>
      <c r="C6294" s="29"/>
      <c r="D6294" s="29" t="s">
        <v>4156</v>
      </c>
      <c r="E6294" s="29"/>
      <c r="F6294" s="29" t="s">
        <v>4173</v>
      </c>
      <c r="G6294" s="29"/>
      <c r="H6294" s="29" t="s">
        <v>4174</v>
      </c>
      <c r="I6294" s="29"/>
      <c r="J6294" s="29" t="s">
        <v>870</v>
      </c>
      <c r="K6294" s="29"/>
      <c r="L6294" s="29" t="s">
        <v>245</v>
      </c>
      <c r="M6294" s="29"/>
      <c r="N6294" s="29" t="s">
        <v>897</v>
      </c>
      <c r="O6294" s="29"/>
      <c r="P6294" s="29" t="s">
        <v>367</v>
      </c>
      <c r="Q6294" t="s">
        <v>2040</v>
      </c>
      <c r="R6294" t="s">
        <v>2634</v>
      </c>
      <c r="S6294">
        <v>35</v>
      </c>
      <c r="T6294" s="43" t="str">
        <f t="shared" si="290"/>
        <v>2019.006G.zip</v>
      </c>
      <c r="U6294" s="43" t="str">
        <f>HYPERLINK("https://ictv.global/taxonomy/taxondetails?taxnode_id=202202212","ictv.global=202202212")</f>
        <v>ictv.global=202202212</v>
      </c>
    </row>
    <row r="6295" spans="1:21">
      <c r="A6295">
        <v>6294</v>
      </c>
      <c r="B6295" s="29" t="s">
        <v>3223</v>
      </c>
      <c r="C6295" s="29"/>
      <c r="D6295" s="29" t="s">
        <v>4156</v>
      </c>
      <c r="E6295" s="29"/>
      <c r="F6295" s="29" t="s">
        <v>4173</v>
      </c>
      <c r="G6295" s="29"/>
      <c r="H6295" s="29" t="s">
        <v>4174</v>
      </c>
      <c r="I6295" s="29"/>
      <c r="J6295" s="29" t="s">
        <v>870</v>
      </c>
      <c r="K6295" s="29"/>
      <c r="L6295" s="29" t="s">
        <v>245</v>
      </c>
      <c r="M6295" s="29"/>
      <c r="N6295" s="29" t="s">
        <v>897</v>
      </c>
      <c r="O6295" s="29"/>
      <c r="P6295" s="29" t="s">
        <v>368</v>
      </c>
      <c r="Q6295" t="s">
        <v>2040</v>
      </c>
      <c r="R6295" t="s">
        <v>2634</v>
      </c>
      <c r="S6295">
        <v>35</v>
      </c>
      <c r="T6295" s="43" t="str">
        <f t="shared" si="290"/>
        <v>2019.006G.zip</v>
      </c>
      <c r="U6295" s="43" t="str">
        <f>HYPERLINK("https://ictv.global/taxonomy/taxondetails?taxnode_id=202202213","ictv.global=202202213")</f>
        <v>ictv.global=202202213</v>
      </c>
    </row>
    <row r="6296" spans="1:21">
      <c r="A6296">
        <v>6295</v>
      </c>
      <c r="B6296" s="29" t="s">
        <v>3223</v>
      </c>
      <c r="C6296" s="29"/>
      <c r="D6296" s="29" t="s">
        <v>4156</v>
      </c>
      <c r="E6296" s="29"/>
      <c r="F6296" s="29" t="s">
        <v>4173</v>
      </c>
      <c r="G6296" s="29"/>
      <c r="H6296" s="29" t="s">
        <v>4174</v>
      </c>
      <c r="I6296" s="29"/>
      <c r="J6296" s="29" t="s">
        <v>870</v>
      </c>
      <c r="K6296" s="29"/>
      <c r="L6296" s="29" t="s">
        <v>245</v>
      </c>
      <c r="M6296" s="29"/>
      <c r="N6296" s="29" t="s">
        <v>897</v>
      </c>
      <c r="O6296" s="29"/>
      <c r="P6296" s="29" t="s">
        <v>369</v>
      </c>
      <c r="Q6296" t="s">
        <v>2040</v>
      </c>
      <c r="R6296" t="s">
        <v>2634</v>
      </c>
      <c r="S6296">
        <v>35</v>
      </c>
      <c r="T6296" s="43" t="str">
        <f t="shared" si="290"/>
        <v>2019.006G.zip</v>
      </c>
      <c r="U6296" s="43" t="str">
        <f>HYPERLINK("https://ictv.global/taxonomy/taxondetails?taxnode_id=202202214","ictv.global=202202214")</f>
        <v>ictv.global=202202214</v>
      </c>
    </row>
    <row r="6297" spans="1:21">
      <c r="A6297">
        <v>6296</v>
      </c>
      <c r="B6297" s="29" t="s">
        <v>3223</v>
      </c>
      <c r="C6297" s="29"/>
      <c r="D6297" s="29" t="s">
        <v>4156</v>
      </c>
      <c r="E6297" s="29"/>
      <c r="F6297" s="29" t="s">
        <v>4173</v>
      </c>
      <c r="G6297" s="29"/>
      <c r="H6297" s="29" t="s">
        <v>4174</v>
      </c>
      <c r="I6297" s="29"/>
      <c r="J6297" s="29" t="s">
        <v>870</v>
      </c>
      <c r="K6297" s="29"/>
      <c r="L6297" s="29" t="s">
        <v>245</v>
      </c>
      <c r="M6297" s="29"/>
      <c r="N6297" s="29" t="s">
        <v>897</v>
      </c>
      <c r="O6297" s="29"/>
      <c r="P6297" s="29" t="s">
        <v>1068</v>
      </c>
      <c r="Q6297" t="s">
        <v>2040</v>
      </c>
      <c r="R6297" t="s">
        <v>2634</v>
      </c>
      <c r="S6297">
        <v>35</v>
      </c>
      <c r="T6297" s="43" t="str">
        <f t="shared" si="290"/>
        <v>2019.006G.zip</v>
      </c>
      <c r="U6297" s="43" t="str">
        <f>HYPERLINK("https://ictv.global/taxonomy/taxondetails?taxnode_id=202202215","ictv.global=202202215")</f>
        <v>ictv.global=202202215</v>
      </c>
    </row>
    <row r="6298" spans="1:21">
      <c r="A6298">
        <v>6297</v>
      </c>
      <c r="B6298" s="29" t="s">
        <v>3223</v>
      </c>
      <c r="C6298" s="29"/>
      <c r="D6298" s="29" t="s">
        <v>4156</v>
      </c>
      <c r="E6298" s="29"/>
      <c r="F6298" s="29" t="s">
        <v>4173</v>
      </c>
      <c r="G6298" s="29"/>
      <c r="H6298" s="29" t="s">
        <v>4174</v>
      </c>
      <c r="I6298" s="29"/>
      <c r="J6298" s="29" t="s">
        <v>870</v>
      </c>
      <c r="K6298" s="29"/>
      <c r="L6298" s="29" t="s">
        <v>245</v>
      </c>
      <c r="M6298" s="29"/>
      <c r="N6298" s="29" t="s">
        <v>897</v>
      </c>
      <c r="O6298" s="29"/>
      <c r="P6298" s="29" t="s">
        <v>1575</v>
      </c>
      <c r="Q6298" t="s">
        <v>2040</v>
      </c>
      <c r="R6298" t="s">
        <v>2634</v>
      </c>
      <c r="S6298">
        <v>35</v>
      </c>
      <c r="T6298" s="43" t="str">
        <f t="shared" si="290"/>
        <v>2019.006G.zip</v>
      </c>
      <c r="U6298" s="43" t="str">
        <f>HYPERLINK("https://ictv.global/taxonomy/taxondetails?taxnode_id=202202216","ictv.global=202202216")</f>
        <v>ictv.global=202202216</v>
      </c>
    </row>
    <row r="6299" spans="1:21">
      <c r="A6299">
        <v>6298</v>
      </c>
      <c r="B6299" s="29" t="s">
        <v>3223</v>
      </c>
      <c r="C6299" s="29"/>
      <c r="D6299" s="29" t="s">
        <v>4156</v>
      </c>
      <c r="E6299" s="29"/>
      <c r="F6299" s="29" t="s">
        <v>4173</v>
      </c>
      <c r="G6299" s="29"/>
      <c r="H6299" s="29" t="s">
        <v>4174</v>
      </c>
      <c r="I6299" s="29"/>
      <c r="J6299" s="29" t="s">
        <v>870</v>
      </c>
      <c r="K6299" s="29"/>
      <c r="L6299" s="29" t="s">
        <v>245</v>
      </c>
      <c r="M6299" s="29"/>
      <c r="N6299" s="29" t="s">
        <v>897</v>
      </c>
      <c r="O6299" s="29"/>
      <c r="P6299" s="29" t="s">
        <v>2734</v>
      </c>
      <c r="Q6299" t="s">
        <v>2040</v>
      </c>
      <c r="R6299" t="s">
        <v>2634</v>
      </c>
      <c r="S6299">
        <v>35</v>
      </c>
      <c r="T6299" s="43" t="str">
        <f t="shared" si="290"/>
        <v>2019.006G.zip</v>
      </c>
      <c r="U6299" s="43" t="str">
        <f>HYPERLINK("https://ictv.global/taxonomy/taxondetails?taxnode_id=202205635","ictv.global=202205635")</f>
        <v>ictv.global=202205635</v>
      </c>
    </row>
    <row r="6300" spans="1:21">
      <c r="A6300">
        <v>6299</v>
      </c>
      <c r="B6300" s="29" t="s">
        <v>3223</v>
      </c>
      <c r="C6300" s="29"/>
      <c r="D6300" s="29" t="s">
        <v>4156</v>
      </c>
      <c r="E6300" s="29"/>
      <c r="F6300" s="29" t="s">
        <v>4173</v>
      </c>
      <c r="G6300" s="29"/>
      <c r="H6300" s="29" t="s">
        <v>4174</v>
      </c>
      <c r="I6300" s="29"/>
      <c r="J6300" s="29" t="s">
        <v>870</v>
      </c>
      <c r="K6300" s="29"/>
      <c r="L6300" s="29" t="s">
        <v>245</v>
      </c>
      <c r="M6300" s="29"/>
      <c r="N6300" s="29" t="s">
        <v>897</v>
      </c>
      <c r="O6300" s="29"/>
      <c r="P6300" s="29" t="s">
        <v>1069</v>
      </c>
      <c r="Q6300" t="s">
        <v>2040</v>
      </c>
      <c r="R6300" t="s">
        <v>2634</v>
      </c>
      <c r="S6300">
        <v>35</v>
      </c>
      <c r="T6300" s="43" t="str">
        <f t="shared" si="290"/>
        <v>2019.006G.zip</v>
      </c>
      <c r="U6300" s="43" t="str">
        <f>HYPERLINK("https://ictv.global/taxonomy/taxondetails?taxnode_id=202202217","ictv.global=202202217")</f>
        <v>ictv.global=202202217</v>
      </c>
    </row>
    <row r="6301" spans="1:21">
      <c r="A6301">
        <v>6300</v>
      </c>
      <c r="B6301" s="29" t="s">
        <v>3223</v>
      </c>
      <c r="C6301" s="29"/>
      <c r="D6301" s="29" t="s">
        <v>4156</v>
      </c>
      <c r="E6301" s="29"/>
      <c r="F6301" s="29" t="s">
        <v>4173</v>
      </c>
      <c r="G6301" s="29"/>
      <c r="H6301" s="29" t="s">
        <v>4174</v>
      </c>
      <c r="I6301" s="29"/>
      <c r="J6301" s="29" t="s">
        <v>870</v>
      </c>
      <c r="K6301" s="29"/>
      <c r="L6301" s="29" t="s">
        <v>245</v>
      </c>
      <c r="M6301" s="29"/>
      <c r="N6301" s="29" t="s">
        <v>897</v>
      </c>
      <c r="O6301" s="29"/>
      <c r="P6301" s="29" t="s">
        <v>1070</v>
      </c>
      <c r="Q6301" t="s">
        <v>2040</v>
      </c>
      <c r="R6301" t="s">
        <v>4567</v>
      </c>
      <c r="S6301">
        <v>36</v>
      </c>
      <c r="T6301" s="43" t="str">
        <f>HYPERLINK("https://ictv.global/ictv/proposals/2020.030P.R.Alphaflexiviridae_ab1sp.zip","2020.030P.R.Alphaflexiviridae_ab1sp.zip")</f>
        <v>2020.030P.R.Alphaflexiviridae_ab1sp.zip</v>
      </c>
      <c r="U6301" s="43" t="str">
        <f>HYPERLINK("https://ictv.global/taxonomy/taxondetails?taxnode_id=202202218","ictv.global=202202218")</f>
        <v>ictv.global=202202218</v>
      </c>
    </row>
    <row r="6302" spans="1:21">
      <c r="A6302">
        <v>6301</v>
      </c>
      <c r="B6302" s="29" t="s">
        <v>3223</v>
      </c>
      <c r="C6302" s="29"/>
      <c r="D6302" s="29" t="s">
        <v>4156</v>
      </c>
      <c r="E6302" s="29"/>
      <c r="F6302" s="29" t="s">
        <v>4173</v>
      </c>
      <c r="G6302" s="29"/>
      <c r="H6302" s="29" t="s">
        <v>4174</v>
      </c>
      <c r="I6302" s="29"/>
      <c r="J6302" s="29" t="s">
        <v>870</v>
      </c>
      <c r="K6302" s="29"/>
      <c r="L6302" s="29" t="s">
        <v>245</v>
      </c>
      <c r="M6302" s="29"/>
      <c r="N6302" s="29" t="s">
        <v>897</v>
      </c>
      <c r="O6302" s="29"/>
      <c r="P6302" s="29" t="s">
        <v>1071</v>
      </c>
      <c r="Q6302" t="s">
        <v>2040</v>
      </c>
      <c r="R6302" t="s">
        <v>2634</v>
      </c>
      <c r="S6302">
        <v>35</v>
      </c>
      <c r="T6302" s="43" t="str">
        <f>HYPERLINK("https://ictv.global/ictv/proposals/2019.006G.zip","2019.006G.zip")</f>
        <v>2019.006G.zip</v>
      </c>
      <c r="U6302" s="43" t="str">
        <f>HYPERLINK("https://ictv.global/taxonomy/taxondetails?taxnode_id=202202219","ictv.global=202202219")</f>
        <v>ictv.global=202202219</v>
      </c>
    </row>
    <row r="6303" spans="1:21">
      <c r="A6303">
        <v>6302</v>
      </c>
      <c r="B6303" s="29" t="s">
        <v>3223</v>
      </c>
      <c r="C6303" s="29"/>
      <c r="D6303" s="29" t="s">
        <v>4156</v>
      </c>
      <c r="E6303" s="29"/>
      <c r="F6303" s="29" t="s">
        <v>4173</v>
      </c>
      <c r="G6303" s="29"/>
      <c r="H6303" s="29" t="s">
        <v>4174</v>
      </c>
      <c r="I6303" s="29"/>
      <c r="J6303" s="29" t="s">
        <v>870</v>
      </c>
      <c r="K6303" s="29"/>
      <c r="L6303" s="29" t="s">
        <v>245</v>
      </c>
      <c r="M6303" s="29"/>
      <c r="N6303" s="29" t="s">
        <v>897</v>
      </c>
      <c r="O6303" s="29"/>
      <c r="P6303" s="29" t="s">
        <v>1072</v>
      </c>
      <c r="Q6303" t="s">
        <v>2040</v>
      </c>
      <c r="R6303" t="s">
        <v>6901</v>
      </c>
      <c r="S6303">
        <v>36</v>
      </c>
      <c r="T6303" s="43" t="str">
        <f>HYPERLINK("https://ictv.global/ictv/proposals/2020.001G.R.Abolish_type_species.pdf","2020.001G.R.Abolish_type_species.pdf")</f>
        <v>2020.001G.R.Abolish_type_species.pdf</v>
      </c>
      <c r="U6303" s="43" t="str">
        <f>HYPERLINK("https://ictv.global/taxonomy/taxondetails?taxnode_id=202202220","ictv.global=202202220")</f>
        <v>ictv.global=202202220</v>
      </c>
    </row>
    <row r="6304" spans="1:21">
      <c r="A6304">
        <v>6303</v>
      </c>
      <c r="B6304" s="29" t="s">
        <v>3223</v>
      </c>
      <c r="C6304" s="29"/>
      <c r="D6304" s="29" t="s">
        <v>4156</v>
      </c>
      <c r="E6304" s="29"/>
      <c r="F6304" s="29" t="s">
        <v>4173</v>
      </c>
      <c r="G6304" s="29"/>
      <c r="H6304" s="29" t="s">
        <v>4174</v>
      </c>
      <c r="I6304" s="29"/>
      <c r="J6304" s="29" t="s">
        <v>870</v>
      </c>
      <c r="K6304" s="29"/>
      <c r="L6304" s="29" t="s">
        <v>245</v>
      </c>
      <c r="M6304" s="29"/>
      <c r="N6304" s="29" t="s">
        <v>897</v>
      </c>
      <c r="O6304" s="29"/>
      <c r="P6304" s="29" t="s">
        <v>1073</v>
      </c>
      <c r="Q6304" t="s">
        <v>2040</v>
      </c>
      <c r="R6304" t="s">
        <v>2634</v>
      </c>
      <c r="S6304">
        <v>35</v>
      </c>
      <c r="T6304" s="43" t="str">
        <f>HYPERLINK("https://ictv.global/ictv/proposals/2019.006G.zip","2019.006G.zip")</f>
        <v>2019.006G.zip</v>
      </c>
      <c r="U6304" s="43" t="str">
        <f>HYPERLINK("https://ictv.global/taxonomy/taxondetails?taxnode_id=202202221","ictv.global=202202221")</f>
        <v>ictv.global=202202221</v>
      </c>
    </row>
    <row r="6305" spans="1:21">
      <c r="A6305">
        <v>6304</v>
      </c>
      <c r="B6305" s="29" t="s">
        <v>3223</v>
      </c>
      <c r="C6305" s="29"/>
      <c r="D6305" s="29" t="s">
        <v>4156</v>
      </c>
      <c r="E6305" s="29"/>
      <c r="F6305" s="29" t="s">
        <v>4173</v>
      </c>
      <c r="G6305" s="29"/>
      <c r="H6305" s="29" t="s">
        <v>4174</v>
      </c>
      <c r="I6305" s="29"/>
      <c r="J6305" s="29" t="s">
        <v>870</v>
      </c>
      <c r="K6305" s="29"/>
      <c r="L6305" s="29" t="s">
        <v>245</v>
      </c>
      <c r="M6305" s="29"/>
      <c r="N6305" s="29" t="s">
        <v>897</v>
      </c>
      <c r="O6305" s="29"/>
      <c r="P6305" s="29" t="s">
        <v>5203</v>
      </c>
      <c r="Q6305" t="s">
        <v>2040</v>
      </c>
      <c r="R6305" t="s">
        <v>2632</v>
      </c>
      <c r="S6305">
        <v>36</v>
      </c>
      <c r="T6305" s="43" t="str">
        <f>HYPERLINK("https://ictv.global/ictv/proposals/2020.029P.R.Alphaflexiviridae_9nsp.zip","2020.029P.R.Alphaflexiviridae_9nsp.zip")</f>
        <v>2020.029P.R.Alphaflexiviridae_9nsp.zip</v>
      </c>
      <c r="U6305" s="43" t="str">
        <f>HYPERLINK("https://ictv.global/taxonomy/taxondetails?taxnode_id=202209848","ictv.global=202209848")</f>
        <v>ictv.global=202209848</v>
      </c>
    </row>
    <row r="6306" spans="1:21">
      <c r="A6306">
        <v>6305</v>
      </c>
      <c r="B6306" s="29" t="s">
        <v>3223</v>
      </c>
      <c r="C6306" s="29"/>
      <c r="D6306" s="29" t="s">
        <v>4156</v>
      </c>
      <c r="E6306" s="29"/>
      <c r="F6306" s="29" t="s">
        <v>4173</v>
      </c>
      <c r="G6306" s="29"/>
      <c r="H6306" s="29" t="s">
        <v>4174</v>
      </c>
      <c r="I6306" s="29"/>
      <c r="J6306" s="29" t="s">
        <v>870</v>
      </c>
      <c r="K6306" s="29"/>
      <c r="L6306" s="29" t="s">
        <v>245</v>
      </c>
      <c r="M6306" s="29"/>
      <c r="N6306" s="29" t="s">
        <v>897</v>
      </c>
      <c r="O6306" s="29"/>
      <c r="P6306" s="29" t="s">
        <v>1080</v>
      </c>
      <c r="Q6306" t="s">
        <v>2040</v>
      </c>
      <c r="R6306" t="s">
        <v>2634</v>
      </c>
      <c r="S6306">
        <v>35</v>
      </c>
      <c r="T6306" s="43" t="str">
        <f>HYPERLINK("https://ictv.global/ictv/proposals/2019.006G.zip","2019.006G.zip")</f>
        <v>2019.006G.zip</v>
      </c>
      <c r="U6306" s="43" t="str">
        <f>HYPERLINK("https://ictv.global/taxonomy/taxondetails?taxnode_id=202202222","ictv.global=202202222")</f>
        <v>ictv.global=202202222</v>
      </c>
    </row>
    <row r="6307" spans="1:21">
      <c r="A6307">
        <v>6306</v>
      </c>
      <c r="B6307" s="29" t="s">
        <v>3223</v>
      </c>
      <c r="C6307" s="29"/>
      <c r="D6307" s="29" t="s">
        <v>4156</v>
      </c>
      <c r="E6307" s="29"/>
      <c r="F6307" s="29" t="s">
        <v>4173</v>
      </c>
      <c r="G6307" s="29"/>
      <c r="H6307" s="29" t="s">
        <v>4174</v>
      </c>
      <c r="I6307" s="29"/>
      <c r="J6307" s="29" t="s">
        <v>870</v>
      </c>
      <c r="K6307" s="29"/>
      <c r="L6307" s="29" t="s">
        <v>245</v>
      </c>
      <c r="M6307" s="29"/>
      <c r="N6307" s="29" t="s">
        <v>897</v>
      </c>
      <c r="O6307" s="29"/>
      <c r="P6307" s="29" t="s">
        <v>1081</v>
      </c>
      <c r="Q6307" t="s">
        <v>2040</v>
      </c>
      <c r="R6307" t="s">
        <v>2634</v>
      </c>
      <c r="S6307">
        <v>35</v>
      </c>
      <c r="T6307" s="43" t="str">
        <f>HYPERLINK("https://ictv.global/ictv/proposals/2019.006G.zip","2019.006G.zip")</f>
        <v>2019.006G.zip</v>
      </c>
      <c r="U6307" s="43" t="str">
        <f>HYPERLINK("https://ictv.global/taxonomy/taxondetails?taxnode_id=202202223","ictv.global=202202223")</f>
        <v>ictv.global=202202223</v>
      </c>
    </row>
    <row r="6308" spans="1:21">
      <c r="A6308">
        <v>6307</v>
      </c>
      <c r="B6308" s="29" t="s">
        <v>3223</v>
      </c>
      <c r="C6308" s="29"/>
      <c r="D6308" s="29" t="s">
        <v>4156</v>
      </c>
      <c r="E6308" s="29"/>
      <c r="F6308" s="29" t="s">
        <v>4173</v>
      </c>
      <c r="G6308" s="29"/>
      <c r="H6308" s="29" t="s">
        <v>4174</v>
      </c>
      <c r="I6308" s="29"/>
      <c r="J6308" s="29" t="s">
        <v>870</v>
      </c>
      <c r="K6308" s="29"/>
      <c r="L6308" s="29" t="s">
        <v>245</v>
      </c>
      <c r="M6308" s="29"/>
      <c r="N6308" s="29" t="s">
        <v>897</v>
      </c>
      <c r="O6308" s="29"/>
      <c r="P6308" s="29" t="s">
        <v>1077</v>
      </c>
      <c r="Q6308" t="s">
        <v>2040</v>
      </c>
      <c r="R6308" t="s">
        <v>2634</v>
      </c>
      <c r="S6308">
        <v>35</v>
      </c>
      <c r="T6308" s="43" t="str">
        <f>HYPERLINK("https://ictv.global/ictv/proposals/2019.006G.zip","2019.006G.zip")</f>
        <v>2019.006G.zip</v>
      </c>
      <c r="U6308" s="43" t="str">
        <f>HYPERLINK("https://ictv.global/taxonomy/taxondetails?taxnode_id=202202224","ictv.global=202202224")</f>
        <v>ictv.global=202202224</v>
      </c>
    </row>
    <row r="6309" spans="1:21">
      <c r="A6309">
        <v>6308</v>
      </c>
      <c r="B6309" s="29" t="s">
        <v>3223</v>
      </c>
      <c r="C6309" s="29"/>
      <c r="D6309" s="29" t="s">
        <v>4156</v>
      </c>
      <c r="E6309" s="29"/>
      <c r="F6309" s="29" t="s">
        <v>4173</v>
      </c>
      <c r="G6309" s="29"/>
      <c r="H6309" s="29" t="s">
        <v>4174</v>
      </c>
      <c r="I6309" s="29"/>
      <c r="J6309" s="29" t="s">
        <v>870</v>
      </c>
      <c r="K6309" s="29"/>
      <c r="L6309" s="29" t="s">
        <v>245</v>
      </c>
      <c r="M6309" s="29"/>
      <c r="N6309" s="29" t="s">
        <v>897</v>
      </c>
      <c r="O6309" s="29"/>
      <c r="P6309" s="29" t="s">
        <v>5204</v>
      </c>
      <c r="Q6309" t="s">
        <v>2040</v>
      </c>
      <c r="R6309" t="s">
        <v>2632</v>
      </c>
      <c r="S6309">
        <v>36</v>
      </c>
      <c r="T6309" s="43" t="str">
        <f>HYPERLINK("https://ictv.global/ictv/proposals/2020.029P.R.Alphaflexiviridae_9nsp.zip","2020.029P.R.Alphaflexiviridae_9nsp.zip")</f>
        <v>2020.029P.R.Alphaflexiviridae_9nsp.zip</v>
      </c>
      <c r="U6309" s="43" t="str">
        <f>HYPERLINK("https://ictv.global/taxonomy/taxondetails?taxnode_id=202209849","ictv.global=202209849")</f>
        <v>ictv.global=202209849</v>
      </c>
    </row>
    <row r="6310" spans="1:21">
      <c r="A6310">
        <v>6309</v>
      </c>
      <c r="B6310" s="29" t="s">
        <v>3223</v>
      </c>
      <c r="C6310" s="29"/>
      <c r="D6310" s="29" t="s">
        <v>4156</v>
      </c>
      <c r="E6310" s="29"/>
      <c r="F6310" s="29" t="s">
        <v>4173</v>
      </c>
      <c r="G6310" s="29"/>
      <c r="H6310" s="29" t="s">
        <v>4174</v>
      </c>
      <c r="I6310" s="29"/>
      <c r="J6310" s="29" t="s">
        <v>870</v>
      </c>
      <c r="K6310" s="29"/>
      <c r="L6310" s="29" t="s">
        <v>245</v>
      </c>
      <c r="M6310" s="29"/>
      <c r="N6310" s="29" t="s">
        <v>897</v>
      </c>
      <c r="O6310" s="29"/>
      <c r="P6310" s="29" t="s">
        <v>2735</v>
      </c>
      <c r="Q6310" t="s">
        <v>2040</v>
      </c>
      <c r="R6310" t="s">
        <v>2634</v>
      </c>
      <c r="S6310">
        <v>35</v>
      </c>
      <c r="T6310" s="43" t="str">
        <f>HYPERLINK("https://ictv.global/ictv/proposals/2019.006G.zip","2019.006G.zip")</f>
        <v>2019.006G.zip</v>
      </c>
      <c r="U6310" s="43" t="str">
        <f>HYPERLINK("https://ictv.global/taxonomy/taxondetails?taxnode_id=202205636","ictv.global=202205636")</f>
        <v>ictv.global=202205636</v>
      </c>
    </row>
    <row r="6311" spans="1:21">
      <c r="A6311">
        <v>6310</v>
      </c>
      <c r="B6311" s="29" t="s">
        <v>3223</v>
      </c>
      <c r="C6311" s="29"/>
      <c r="D6311" s="29" t="s">
        <v>4156</v>
      </c>
      <c r="E6311" s="29"/>
      <c r="F6311" s="29" t="s">
        <v>4173</v>
      </c>
      <c r="G6311" s="29"/>
      <c r="H6311" s="29" t="s">
        <v>4174</v>
      </c>
      <c r="I6311" s="29"/>
      <c r="J6311" s="29" t="s">
        <v>870</v>
      </c>
      <c r="K6311" s="29"/>
      <c r="L6311" s="29" t="s">
        <v>245</v>
      </c>
      <c r="M6311" s="29"/>
      <c r="N6311" s="29" t="s">
        <v>897</v>
      </c>
      <c r="O6311" s="29"/>
      <c r="P6311" s="29" t="s">
        <v>1078</v>
      </c>
      <c r="Q6311" t="s">
        <v>2040</v>
      </c>
      <c r="R6311" t="s">
        <v>2634</v>
      </c>
      <c r="S6311">
        <v>35</v>
      </c>
      <c r="T6311" s="43" t="str">
        <f>HYPERLINK("https://ictv.global/ictv/proposals/2019.006G.zip","2019.006G.zip")</f>
        <v>2019.006G.zip</v>
      </c>
      <c r="U6311" s="43" t="str">
        <f>HYPERLINK("https://ictv.global/taxonomy/taxondetails?taxnode_id=202202225","ictv.global=202202225")</f>
        <v>ictv.global=202202225</v>
      </c>
    </row>
    <row r="6312" spans="1:21">
      <c r="A6312">
        <v>6311</v>
      </c>
      <c r="B6312" s="29" t="s">
        <v>3223</v>
      </c>
      <c r="C6312" s="29"/>
      <c r="D6312" s="29" t="s">
        <v>4156</v>
      </c>
      <c r="E6312" s="29"/>
      <c r="F6312" s="29" t="s">
        <v>4173</v>
      </c>
      <c r="G6312" s="29"/>
      <c r="H6312" s="29" t="s">
        <v>4174</v>
      </c>
      <c r="I6312" s="29"/>
      <c r="J6312" s="29" t="s">
        <v>870</v>
      </c>
      <c r="K6312" s="29"/>
      <c r="L6312" s="29" t="s">
        <v>245</v>
      </c>
      <c r="M6312" s="29"/>
      <c r="N6312" s="29" t="s">
        <v>897</v>
      </c>
      <c r="O6312" s="29"/>
      <c r="P6312" s="29" t="s">
        <v>2167</v>
      </c>
      <c r="Q6312" t="s">
        <v>2040</v>
      </c>
      <c r="R6312" t="s">
        <v>2634</v>
      </c>
      <c r="S6312">
        <v>35</v>
      </c>
      <c r="T6312" s="43" t="str">
        <f>HYPERLINK("https://ictv.global/ictv/proposals/2019.006G.zip","2019.006G.zip")</f>
        <v>2019.006G.zip</v>
      </c>
      <c r="U6312" s="43" t="str">
        <f>HYPERLINK("https://ictv.global/taxonomy/taxondetails?taxnode_id=202202226","ictv.global=202202226")</f>
        <v>ictv.global=202202226</v>
      </c>
    </row>
    <row r="6313" spans="1:21">
      <c r="A6313">
        <v>6312</v>
      </c>
      <c r="B6313" s="29" t="s">
        <v>3223</v>
      </c>
      <c r="C6313" s="29"/>
      <c r="D6313" s="29" t="s">
        <v>4156</v>
      </c>
      <c r="E6313" s="29"/>
      <c r="F6313" s="29" t="s">
        <v>4173</v>
      </c>
      <c r="G6313" s="29"/>
      <c r="H6313" s="29" t="s">
        <v>4174</v>
      </c>
      <c r="I6313" s="29"/>
      <c r="J6313" s="29" t="s">
        <v>870</v>
      </c>
      <c r="K6313" s="29"/>
      <c r="L6313" s="29" t="s">
        <v>245</v>
      </c>
      <c r="M6313" s="29"/>
      <c r="N6313" s="29" t="s">
        <v>897</v>
      </c>
      <c r="O6313" s="29"/>
      <c r="P6313" s="29" t="s">
        <v>1079</v>
      </c>
      <c r="Q6313" t="s">
        <v>2040</v>
      </c>
      <c r="R6313" t="s">
        <v>2634</v>
      </c>
      <c r="S6313">
        <v>35</v>
      </c>
      <c r="T6313" s="43" t="str">
        <f>HYPERLINK("https://ictv.global/ictv/proposals/2019.006G.zip","2019.006G.zip")</f>
        <v>2019.006G.zip</v>
      </c>
      <c r="U6313" s="43" t="str">
        <f>HYPERLINK("https://ictv.global/taxonomy/taxondetails?taxnode_id=202202227","ictv.global=202202227")</f>
        <v>ictv.global=202202227</v>
      </c>
    </row>
    <row r="6314" spans="1:21">
      <c r="A6314">
        <v>6313</v>
      </c>
      <c r="B6314" s="29" t="s">
        <v>3223</v>
      </c>
      <c r="C6314" s="29"/>
      <c r="D6314" s="29" t="s">
        <v>4156</v>
      </c>
      <c r="E6314" s="29"/>
      <c r="F6314" s="29" t="s">
        <v>4173</v>
      </c>
      <c r="G6314" s="29"/>
      <c r="H6314" s="29" t="s">
        <v>4174</v>
      </c>
      <c r="I6314" s="29"/>
      <c r="J6314" s="29" t="s">
        <v>870</v>
      </c>
      <c r="K6314" s="29"/>
      <c r="L6314" s="29" t="s">
        <v>245</v>
      </c>
      <c r="M6314" s="29"/>
      <c r="N6314" s="29" t="s">
        <v>1256</v>
      </c>
      <c r="O6314" s="29"/>
      <c r="P6314" s="29" t="s">
        <v>1115</v>
      </c>
      <c r="Q6314" t="s">
        <v>2040</v>
      </c>
      <c r="R6314" t="s">
        <v>6901</v>
      </c>
      <c r="S6314">
        <v>36</v>
      </c>
      <c r="T6314" s="43" t="str">
        <f>HYPERLINK("https://ictv.global/ictv/proposals/2020.001G.R.Abolish_type_species.pdf","2020.001G.R.Abolish_type_species.pdf")</f>
        <v>2020.001G.R.Abolish_type_species.pdf</v>
      </c>
      <c r="U6314" s="43" t="str">
        <f>HYPERLINK("https://ictv.global/taxonomy/taxondetails?taxnode_id=202202229","ictv.global=202202229")</f>
        <v>ictv.global=202202229</v>
      </c>
    </row>
    <row r="6315" spans="1:21">
      <c r="A6315">
        <v>6314</v>
      </c>
      <c r="B6315" s="29" t="s">
        <v>3223</v>
      </c>
      <c r="C6315" s="29"/>
      <c r="D6315" s="29" t="s">
        <v>4156</v>
      </c>
      <c r="E6315" s="29"/>
      <c r="F6315" s="29" t="s">
        <v>4173</v>
      </c>
      <c r="G6315" s="29"/>
      <c r="H6315" s="29" t="s">
        <v>4174</v>
      </c>
      <c r="I6315" s="29"/>
      <c r="J6315" s="29" t="s">
        <v>870</v>
      </c>
      <c r="K6315" s="29"/>
      <c r="L6315" s="29" t="s">
        <v>871</v>
      </c>
      <c r="M6315" s="29" t="s">
        <v>2168</v>
      </c>
      <c r="N6315" s="29" t="s">
        <v>12258</v>
      </c>
      <c r="O6315" s="29"/>
      <c r="P6315" s="29" t="s">
        <v>12259</v>
      </c>
      <c r="Q6315" t="s">
        <v>2040</v>
      </c>
      <c r="R6315" t="s">
        <v>2633</v>
      </c>
      <c r="S6315">
        <v>37</v>
      </c>
      <c r="T6315" s="43" t="str">
        <f>HYPERLINK("https://ictv.global/ictv/proposals/2021.007P.R.Betaflexiviridae_2ng_23nsp.zip","2021.007P.R.Betaflexiviridae_2ng_23nsp.zip")</f>
        <v>2021.007P.R.Betaflexiviridae_2ng_23nsp.zip</v>
      </c>
      <c r="U6315" s="43" t="str">
        <f>HYPERLINK("https://ictv.global/taxonomy/taxondetails?taxnode_id=202202296","ictv.global=202202296")</f>
        <v>ictv.global=202202296</v>
      </c>
    </row>
    <row r="6316" spans="1:21">
      <c r="A6316">
        <v>6315</v>
      </c>
      <c r="B6316" s="29" t="s">
        <v>3223</v>
      </c>
      <c r="C6316" s="29"/>
      <c r="D6316" s="29" t="s">
        <v>4156</v>
      </c>
      <c r="E6316" s="29"/>
      <c r="F6316" s="29" t="s">
        <v>4173</v>
      </c>
      <c r="G6316" s="29"/>
      <c r="H6316" s="29" t="s">
        <v>4174</v>
      </c>
      <c r="I6316" s="29"/>
      <c r="J6316" s="29" t="s">
        <v>870</v>
      </c>
      <c r="K6316" s="29"/>
      <c r="L6316" s="29" t="s">
        <v>871</v>
      </c>
      <c r="M6316" s="29" t="s">
        <v>2168</v>
      </c>
      <c r="N6316" s="29" t="s">
        <v>12258</v>
      </c>
      <c r="O6316" s="29"/>
      <c r="P6316" s="29" t="s">
        <v>12260</v>
      </c>
      <c r="Q6316" t="s">
        <v>2040</v>
      </c>
      <c r="R6316" t="s">
        <v>2632</v>
      </c>
      <c r="S6316">
        <v>38</v>
      </c>
      <c r="T6316" s="43" t="str">
        <f>HYPERLINK("https://ictv.global/ictv/proposals/2022.001P.Betaflexiviridae_12ns.zip","2022.001P.Betaflexiviridae_12ns.zip")</f>
        <v>2022.001P.Betaflexiviridae_12ns.zip</v>
      </c>
      <c r="U6316" s="43" t="str">
        <f>HYPERLINK("https://ictv.global/taxonomy/taxondetails?taxnode_id=202215089","ictv.global=202215089")</f>
        <v>ictv.global=202215089</v>
      </c>
    </row>
    <row r="6317" spans="1:21">
      <c r="A6317">
        <v>6316</v>
      </c>
      <c r="B6317" s="29" t="s">
        <v>3223</v>
      </c>
      <c r="C6317" s="29"/>
      <c r="D6317" s="29" t="s">
        <v>4156</v>
      </c>
      <c r="E6317" s="29"/>
      <c r="F6317" s="29" t="s">
        <v>4173</v>
      </c>
      <c r="G6317" s="29"/>
      <c r="H6317" s="29" t="s">
        <v>4174</v>
      </c>
      <c r="I6317" s="29"/>
      <c r="J6317" s="29" t="s">
        <v>870</v>
      </c>
      <c r="K6317" s="29"/>
      <c r="L6317" s="29" t="s">
        <v>871</v>
      </c>
      <c r="M6317" s="29" t="s">
        <v>2168</v>
      </c>
      <c r="N6317" s="29" t="s">
        <v>334</v>
      </c>
      <c r="O6317" s="29"/>
      <c r="P6317" s="29" t="s">
        <v>335</v>
      </c>
      <c r="Q6317" t="s">
        <v>2040</v>
      </c>
      <c r="R6317" t="s">
        <v>2634</v>
      </c>
      <c r="S6317">
        <v>35</v>
      </c>
      <c r="T6317" s="43" t="str">
        <f t="shared" ref="T6317:T6323" si="291">HYPERLINK("https://ictv.global/ictv/proposals/2019.006G.zip","2019.006G.zip")</f>
        <v>2019.006G.zip</v>
      </c>
      <c r="U6317" s="43" t="str">
        <f>HYPERLINK("https://ictv.global/taxonomy/taxondetails?taxnode_id=202202235","ictv.global=202202235")</f>
        <v>ictv.global=202202235</v>
      </c>
    </row>
    <row r="6318" spans="1:21">
      <c r="A6318">
        <v>6317</v>
      </c>
      <c r="B6318" s="29" t="s">
        <v>3223</v>
      </c>
      <c r="C6318" s="29"/>
      <c r="D6318" s="29" t="s">
        <v>4156</v>
      </c>
      <c r="E6318" s="29"/>
      <c r="F6318" s="29" t="s">
        <v>4173</v>
      </c>
      <c r="G6318" s="29"/>
      <c r="H6318" s="29" t="s">
        <v>4174</v>
      </c>
      <c r="I6318" s="29"/>
      <c r="J6318" s="29" t="s">
        <v>870</v>
      </c>
      <c r="K6318" s="29"/>
      <c r="L6318" s="29" t="s">
        <v>871</v>
      </c>
      <c r="M6318" s="29" t="s">
        <v>2168</v>
      </c>
      <c r="N6318" s="29" t="s">
        <v>334</v>
      </c>
      <c r="O6318" s="29"/>
      <c r="P6318" s="29" t="s">
        <v>336</v>
      </c>
      <c r="Q6318" t="s">
        <v>2040</v>
      </c>
      <c r="R6318" t="s">
        <v>2634</v>
      </c>
      <c r="S6318">
        <v>35</v>
      </c>
      <c r="T6318" s="43" t="str">
        <f t="shared" si="291"/>
        <v>2019.006G.zip</v>
      </c>
      <c r="U6318" s="43" t="str">
        <f>HYPERLINK("https://ictv.global/taxonomy/taxondetails?taxnode_id=202202236","ictv.global=202202236")</f>
        <v>ictv.global=202202236</v>
      </c>
    </row>
    <row r="6319" spans="1:21">
      <c r="A6319">
        <v>6318</v>
      </c>
      <c r="B6319" s="29" t="s">
        <v>3223</v>
      </c>
      <c r="C6319" s="29"/>
      <c r="D6319" s="29" t="s">
        <v>4156</v>
      </c>
      <c r="E6319" s="29"/>
      <c r="F6319" s="29" t="s">
        <v>4173</v>
      </c>
      <c r="G6319" s="29"/>
      <c r="H6319" s="29" t="s">
        <v>4174</v>
      </c>
      <c r="I6319" s="29"/>
      <c r="J6319" s="29" t="s">
        <v>870</v>
      </c>
      <c r="K6319" s="29"/>
      <c r="L6319" s="29" t="s">
        <v>871</v>
      </c>
      <c r="M6319" s="29" t="s">
        <v>2168</v>
      </c>
      <c r="N6319" s="29" t="s">
        <v>334</v>
      </c>
      <c r="O6319" s="29"/>
      <c r="P6319" s="29" t="s">
        <v>2736</v>
      </c>
      <c r="Q6319" t="s">
        <v>2040</v>
      </c>
      <c r="R6319" t="s">
        <v>2634</v>
      </c>
      <c r="S6319">
        <v>35</v>
      </c>
      <c r="T6319" s="43" t="str">
        <f t="shared" si="291"/>
        <v>2019.006G.zip</v>
      </c>
      <c r="U6319" s="43" t="str">
        <f>HYPERLINK("https://ictv.global/taxonomy/taxondetails?taxnode_id=202205637","ictv.global=202205637")</f>
        <v>ictv.global=202205637</v>
      </c>
    </row>
    <row r="6320" spans="1:21">
      <c r="A6320">
        <v>6319</v>
      </c>
      <c r="B6320" s="29" t="s">
        <v>3223</v>
      </c>
      <c r="C6320" s="29"/>
      <c r="D6320" s="29" t="s">
        <v>4156</v>
      </c>
      <c r="E6320" s="29"/>
      <c r="F6320" s="29" t="s">
        <v>4173</v>
      </c>
      <c r="G6320" s="29"/>
      <c r="H6320" s="29" t="s">
        <v>4174</v>
      </c>
      <c r="I6320" s="29"/>
      <c r="J6320" s="29" t="s">
        <v>870</v>
      </c>
      <c r="K6320" s="29"/>
      <c r="L6320" s="29" t="s">
        <v>871</v>
      </c>
      <c r="M6320" s="29" t="s">
        <v>2168</v>
      </c>
      <c r="N6320" s="29" t="s">
        <v>334</v>
      </c>
      <c r="O6320" s="29"/>
      <c r="P6320" s="29" t="s">
        <v>337</v>
      </c>
      <c r="Q6320" t="s">
        <v>2040</v>
      </c>
      <c r="R6320" t="s">
        <v>2634</v>
      </c>
      <c r="S6320">
        <v>35</v>
      </c>
      <c r="T6320" s="43" t="str">
        <f t="shared" si="291"/>
        <v>2019.006G.zip</v>
      </c>
      <c r="U6320" s="43" t="str">
        <f>HYPERLINK("https://ictv.global/taxonomy/taxondetails?taxnode_id=202202237","ictv.global=202202237")</f>
        <v>ictv.global=202202237</v>
      </c>
    </row>
    <row r="6321" spans="1:21">
      <c r="A6321">
        <v>6320</v>
      </c>
      <c r="B6321" s="29" t="s">
        <v>3223</v>
      </c>
      <c r="C6321" s="29"/>
      <c r="D6321" s="29" t="s">
        <v>4156</v>
      </c>
      <c r="E6321" s="29"/>
      <c r="F6321" s="29" t="s">
        <v>4173</v>
      </c>
      <c r="G6321" s="29"/>
      <c r="H6321" s="29" t="s">
        <v>4174</v>
      </c>
      <c r="I6321" s="29"/>
      <c r="J6321" s="29" t="s">
        <v>870</v>
      </c>
      <c r="K6321" s="29"/>
      <c r="L6321" s="29" t="s">
        <v>871</v>
      </c>
      <c r="M6321" s="29" t="s">
        <v>2168</v>
      </c>
      <c r="N6321" s="29" t="s">
        <v>334</v>
      </c>
      <c r="O6321" s="29"/>
      <c r="P6321" s="29" t="s">
        <v>1636</v>
      </c>
      <c r="Q6321" t="s">
        <v>2040</v>
      </c>
      <c r="R6321" t="s">
        <v>2634</v>
      </c>
      <c r="S6321">
        <v>35</v>
      </c>
      <c r="T6321" s="43" t="str">
        <f t="shared" si="291"/>
        <v>2019.006G.zip</v>
      </c>
      <c r="U6321" s="43" t="str">
        <f>HYPERLINK("https://ictv.global/taxonomy/taxondetails?taxnode_id=202202238","ictv.global=202202238")</f>
        <v>ictv.global=202202238</v>
      </c>
    </row>
    <row r="6322" spans="1:21">
      <c r="A6322">
        <v>6321</v>
      </c>
      <c r="B6322" s="29" t="s">
        <v>3223</v>
      </c>
      <c r="C6322" s="29"/>
      <c r="D6322" s="29" t="s">
        <v>4156</v>
      </c>
      <c r="E6322" s="29"/>
      <c r="F6322" s="29" t="s">
        <v>4173</v>
      </c>
      <c r="G6322" s="29"/>
      <c r="H6322" s="29" t="s">
        <v>4174</v>
      </c>
      <c r="I6322" s="29"/>
      <c r="J6322" s="29" t="s">
        <v>870</v>
      </c>
      <c r="K6322" s="29"/>
      <c r="L6322" s="29" t="s">
        <v>871</v>
      </c>
      <c r="M6322" s="29" t="s">
        <v>2168</v>
      </c>
      <c r="N6322" s="29" t="s">
        <v>334</v>
      </c>
      <c r="O6322" s="29"/>
      <c r="P6322" s="29" t="s">
        <v>338</v>
      </c>
      <c r="Q6322" t="s">
        <v>2040</v>
      </c>
      <c r="R6322" t="s">
        <v>2634</v>
      </c>
      <c r="S6322">
        <v>35</v>
      </c>
      <c r="T6322" s="43" t="str">
        <f t="shared" si="291"/>
        <v>2019.006G.zip</v>
      </c>
      <c r="U6322" s="43" t="str">
        <f>HYPERLINK("https://ictv.global/taxonomy/taxondetails?taxnode_id=202202239","ictv.global=202202239")</f>
        <v>ictv.global=202202239</v>
      </c>
    </row>
    <row r="6323" spans="1:21">
      <c r="A6323">
        <v>6322</v>
      </c>
      <c r="B6323" s="29" t="s">
        <v>3223</v>
      </c>
      <c r="C6323" s="29"/>
      <c r="D6323" s="29" t="s">
        <v>4156</v>
      </c>
      <c r="E6323" s="29"/>
      <c r="F6323" s="29" t="s">
        <v>4173</v>
      </c>
      <c r="G6323" s="29"/>
      <c r="H6323" s="29" t="s">
        <v>4174</v>
      </c>
      <c r="I6323" s="29"/>
      <c r="J6323" s="29" t="s">
        <v>870</v>
      </c>
      <c r="K6323" s="29"/>
      <c r="L6323" s="29" t="s">
        <v>871</v>
      </c>
      <c r="M6323" s="29" t="s">
        <v>2168</v>
      </c>
      <c r="N6323" s="29" t="s">
        <v>334</v>
      </c>
      <c r="O6323" s="29"/>
      <c r="P6323" s="29" t="s">
        <v>339</v>
      </c>
      <c r="Q6323" t="s">
        <v>2040</v>
      </c>
      <c r="R6323" t="s">
        <v>2634</v>
      </c>
      <c r="S6323">
        <v>35</v>
      </c>
      <c r="T6323" s="43" t="str">
        <f t="shared" si="291"/>
        <v>2019.006G.zip</v>
      </c>
      <c r="U6323" s="43" t="str">
        <f>HYPERLINK("https://ictv.global/taxonomy/taxondetails?taxnode_id=202202240","ictv.global=202202240")</f>
        <v>ictv.global=202202240</v>
      </c>
    </row>
    <row r="6324" spans="1:21">
      <c r="A6324">
        <v>6323</v>
      </c>
      <c r="B6324" s="29" t="s">
        <v>3223</v>
      </c>
      <c r="C6324" s="29"/>
      <c r="D6324" s="29" t="s">
        <v>4156</v>
      </c>
      <c r="E6324" s="29"/>
      <c r="F6324" s="29" t="s">
        <v>4173</v>
      </c>
      <c r="G6324" s="29"/>
      <c r="H6324" s="29" t="s">
        <v>4174</v>
      </c>
      <c r="I6324" s="29"/>
      <c r="J6324" s="29" t="s">
        <v>870</v>
      </c>
      <c r="K6324" s="29"/>
      <c r="L6324" s="29" t="s">
        <v>871</v>
      </c>
      <c r="M6324" s="29" t="s">
        <v>2168</v>
      </c>
      <c r="N6324" s="29" t="s">
        <v>334</v>
      </c>
      <c r="O6324" s="29"/>
      <c r="P6324" s="29" t="s">
        <v>12261</v>
      </c>
      <c r="Q6324" t="s">
        <v>2040</v>
      </c>
      <c r="R6324" t="s">
        <v>2632</v>
      </c>
      <c r="S6324">
        <v>38</v>
      </c>
      <c r="T6324" s="43" t="str">
        <f>HYPERLINK("https://ictv.global/ictv/proposals/2022.001P.Betaflexiviridae_12ns.zip","2022.001P.Betaflexiviridae_12ns.zip")</f>
        <v>2022.001P.Betaflexiviridae_12ns.zip</v>
      </c>
      <c r="U6324" s="43" t="str">
        <f>HYPERLINK("https://ictv.global/taxonomy/taxondetails?taxnode_id=202215079","ictv.global=202215079")</f>
        <v>ictv.global=202215079</v>
      </c>
    </row>
    <row r="6325" spans="1:21">
      <c r="A6325">
        <v>6324</v>
      </c>
      <c r="B6325" s="29" t="s">
        <v>3223</v>
      </c>
      <c r="C6325" s="29"/>
      <c r="D6325" s="29" t="s">
        <v>4156</v>
      </c>
      <c r="E6325" s="29"/>
      <c r="F6325" s="29" t="s">
        <v>4173</v>
      </c>
      <c r="G6325" s="29"/>
      <c r="H6325" s="29" t="s">
        <v>4174</v>
      </c>
      <c r="I6325" s="29"/>
      <c r="J6325" s="29" t="s">
        <v>870</v>
      </c>
      <c r="K6325" s="29"/>
      <c r="L6325" s="29" t="s">
        <v>871</v>
      </c>
      <c r="M6325" s="29" t="s">
        <v>2168</v>
      </c>
      <c r="N6325" s="29" t="s">
        <v>334</v>
      </c>
      <c r="O6325" s="29"/>
      <c r="P6325" s="29" t="s">
        <v>12262</v>
      </c>
      <c r="Q6325" t="s">
        <v>2040</v>
      </c>
      <c r="R6325" t="s">
        <v>2632</v>
      </c>
      <c r="S6325">
        <v>38</v>
      </c>
      <c r="T6325" s="43" t="str">
        <f>HYPERLINK("https://ictv.global/ictv/proposals/2022.001P.Betaflexiviridae_12ns.zip","2022.001P.Betaflexiviridae_12ns.zip")</f>
        <v>2022.001P.Betaflexiviridae_12ns.zip</v>
      </c>
      <c r="U6325" s="43" t="str">
        <f>HYPERLINK("https://ictv.global/taxonomy/taxondetails?taxnode_id=202215080","ictv.global=202215080")</f>
        <v>ictv.global=202215080</v>
      </c>
    </row>
    <row r="6326" spans="1:21">
      <c r="A6326">
        <v>6325</v>
      </c>
      <c r="B6326" s="29" t="s">
        <v>3223</v>
      </c>
      <c r="C6326" s="29"/>
      <c r="D6326" s="29" t="s">
        <v>4156</v>
      </c>
      <c r="E6326" s="29"/>
      <c r="F6326" s="29" t="s">
        <v>4173</v>
      </c>
      <c r="G6326" s="29"/>
      <c r="H6326" s="29" t="s">
        <v>4174</v>
      </c>
      <c r="I6326" s="29"/>
      <c r="J6326" s="29" t="s">
        <v>870</v>
      </c>
      <c r="K6326" s="29"/>
      <c r="L6326" s="29" t="s">
        <v>871</v>
      </c>
      <c r="M6326" s="29" t="s">
        <v>2168</v>
      </c>
      <c r="N6326" s="29" t="s">
        <v>334</v>
      </c>
      <c r="O6326" s="29"/>
      <c r="P6326" s="29" t="s">
        <v>12263</v>
      </c>
      <c r="Q6326" t="s">
        <v>2040</v>
      </c>
      <c r="R6326" t="s">
        <v>2632</v>
      </c>
      <c r="S6326">
        <v>37</v>
      </c>
      <c r="T6326" s="43" t="str">
        <f>HYPERLINK("https://ictv.global/ictv/proposals/2021.007P.R.Betaflexiviridae_2ng_23nsp.zip","2021.007P.R.Betaflexiviridae_2ng_23nsp.zip")</f>
        <v>2021.007P.R.Betaflexiviridae_2ng_23nsp.zip</v>
      </c>
      <c r="U6326" s="43" t="str">
        <f>HYPERLINK("https://ictv.global/taxonomy/taxondetails?taxnode_id=202213842","ictv.global=202213842")</f>
        <v>ictv.global=202213842</v>
      </c>
    </row>
    <row r="6327" spans="1:21">
      <c r="A6327">
        <v>6326</v>
      </c>
      <c r="B6327" s="29" t="s">
        <v>3223</v>
      </c>
      <c r="C6327" s="29"/>
      <c r="D6327" s="29" t="s">
        <v>4156</v>
      </c>
      <c r="E6327" s="29"/>
      <c r="F6327" s="29" t="s">
        <v>4173</v>
      </c>
      <c r="G6327" s="29"/>
      <c r="H6327" s="29" t="s">
        <v>4174</v>
      </c>
      <c r="I6327" s="29"/>
      <c r="J6327" s="29" t="s">
        <v>870</v>
      </c>
      <c r="K6327" s="29"/>
      <c r="L6327" s="29" t="s">
        <v>871</v>
      </c>
      <c r="M6327" s="29" t="s">
        <v>2168</v>
      </c>
      <c r="N6327" s="29" t="s">
        <v>334</v>
      </c>
      <c r="O6327" s="29"/>
      <c r="P6327" s="29" t="s">
        <v>12264</v>
      </c>
      <c r="Q6327" t="s">
        <v>2040</v>
      </c>
      <c r="R6327" t="s">
        <v>2632</v>
      </c>
      <c r="S6327">
        <v>38</v>
      </c>
      <c r="T6327" s="43" t="str">
        <f>HYPERLINK("https://ictv.global/ictv/proposals/2022.001P.Betaflexiviridae_12ns.zip","2022.001P.Betaflexiviridae_12ns.zip")</f>
        <v>2022.001P.Betaflexiviridae_12ns.zip</v>
      </c>
      <c r="U6327" s="43" t="str">
        <f>HYPERLINK("https://ictv.global/taxonomy/taxondetails?taxnode_id=202215081","ictv.global=202215081")</f>
        <v>ictv.global=202215081</v>
      </c>
    </row>
    <row r="6328" spans="1:21">
      <c r="A6328">
        <v>6327</v>
      </c>
      <c r="B6328" s="29" t="s">
        <v>3223</v>
      </c>
      <c r="C6328" s="29"/>
      <c r="D6328" s="29" t="s">
        <v>4156</v>
      </c>
      <c r="E6328" s="29"/>
      <c r="F6328" s="29" t="s">
        <v>4173</v>
      </c>
      <c r="G6328" s="29"/>
      <c r="H6328" s="29" t="s">
        <v>4174</v>
      </c>
      <c r="I6328" s="29"/>
      <c r="J6328" s="29" t="s">
        <v>870</v>
      </c>
      <c r="K6328" s="29"/>
      <c r="L6328" s="29" t="s">
        <v>871</v>
      </c>
      <c r="M6328" s="29" t="s">
        <v>2168</v>
      </c>
      <c r="N6328" s="29" t="s">
        <v>334</v>
      </c>
      <c r="O6328" s="29"/>
      <c r="P6328" s="29" t="s">
        <v>12265</v>
      </c>
      <c r="Q6328" t="s">
        <v>2040</v>
      </c>
      <c r="R6328" t="s">
        <v>2632</v>
      </c>
      <c r="S6328">
        <v>38</v>
      </c>
      <c r="T6328" s="43" t="str">
        <f>HYPERLINK("https://ictv.global/ictv/proposals/2022.001P.Betaflexiviridae_12ns.zip","2022.001P.Betaflexiviridae_12ns.zip")</f>
        <v>2022.001P.Betaflexiviridae_12ns.zip</v>
      </c>
      <c r="U6328" s="43" t="str">
        <f>HYPERLINK("https://ictv.global/taxonomy/taxondetails?taxnode_id=202215082","ictv.global=202215082")</f>
        <v>ictv.global=202215082</v>
      </c>
    </row>
    <row r="6329" spans="1:21">
      <c r="A6329">
        <v>6328</v>
      </c>
      <c r="B6329" s="29" t="s">
        <v>3223</v>
      </c>
      <c r="C6329" s="29"/>
      <c r="D6329" s="29" t="s">
        <v>4156</v>
      </c>
      <c r="E6329" s="29"/>
      <c r="F6329" s="29" t="s">
        <v>4173</v>
      </c>
      <c r="G6329" s="29"/>
      <c r="H6329" s="29" t="s">
        <v>4174</v>
      </c>
      <c r="I6329" s="29"/>
      <c r="J6329" s="29" t="s">
        <v>870</v>
      </c>
      <c r="K6329" s="29"/>
      <c r="L6329" s="29" t="s">
        <v>871</v>
      </c>
      <c r="M6329" s="29" t="s">
        <v>2168</v>
      </c>
      <c r="N6329" s="29" t="s">
        <v>334</v>
      </c>
      <c r="O6329" s="29"/>
      <c r="P6329" s="29" t="s">
        <v>12266</v>
      </c>
      <c r="Q6329" t="s">
        <v>2040</v>
      </c>
      <c r="R6329" t="s">
        <v>2632</v>
      </c>
      <c r="S6329">
        <v>38</v>
      </c>
      <c r="T6329" s="43" t="str">
        <f>HYPERLINK("https://ictv.global/ictv/proposals/2022.001P.Betaflexiviridae_12ns.zip","2022.001P.Betaflexiviridae_12ns.zip")</f>
        <v>2022.001P.Betaflexiviridae_12ns.zip</v>
      </c>
      <c r="U6329" s="43" t="str">
        <f>HYPERLINK("https://ictv.global/taxonomy/taxondetails?taxnode_id=202215083","ictv.global=202215083")</f>
        <v>ictv.global=202215083</v>
      </c>
    </row>
    <row r="6330" spans="1:21">
      <c r="A6330">
        <v>6329</v>
      </c>
      <c r="B6330" s="29" t="s">
        <v>3223</v>
      </c>
      <c r="C6330" s="29"/>
      <c r="D6330" s="29" t="s">
        <v>4156</v>
      </c>
      <c r="E6330" s="29"/>
      <c r="F6330" s="29" t="s">
        <v>4173</v>
      </c>
      <c r="G6330" s="29"/>
      <c r="H6330" s="29" t="s">
        <v>4174</v>
      </c>
      <c r="I6330" s="29"/>
      <c r="J6330" s="29" t="s">
        <v>870</v>
      </c>
      <c r="K6330" s="29"/>
      <c r="L6330" s="29" t="s">
        <v>871</v>
      </c>
      <c r="M6330" s="29" t="s">
        <v>2168</v>
      </c>
      <c r="N6330" s="29" t="s">
        <v>334</v>
      </c>
      <c r="O6330" s="29"/>
      <c r="P6330" s="29" t="s">
        <v>12267</v>
      </c>
      <c r="Q6330" t="s">
        <v>2040</v>
      </c>
      <c r="R6330" t="s">
        <v>2632</v>
      </c>
      <c r="S6330">
        <v>37</v>
      </c>
      <c r="T6330" s="43" t="str">
        <f>HYPERLINK("https://ictv.global/ictv/proposals/2021.007P.R.Betaflexiviridae_2ng_23nsp.zip","2021.007P.R.Betaflexiviridae_2ng_23nsp.zip")</f>
        <v>2021.007P.R.Betaflexiviridae_2ng_23nsp.zip</v>
      </c>
      <c r="U6330" s="43" t="str">
        <f>HYPERLINK("https://ictv.global/taxonomy/taxondetails?taxnode_id=202213843","ictv.global=202213843")</f>
        <v>ictv.global=202213843</v>
      </c>
    </row>
    <row r="6331" spans="1:21">
      <c r="A6331">
        <v>6330</v>
      </c>
      <c r="B6331" s="29" t="s">
        <v>3223</v>
      </c>
      <c r="C6331" s="29"/>
      <c r="D6331" s="29" t="s">
        <v>4156</v>
      </c>
      <c r="E6331" s="29"/>
      <c r="F6331" s="29" t="s">
        <v>4173</v>
      </c>
      <c r="G6331" s="29"/>
      <c r="H6331" s="29" t="s">
        <v>4174</v>
      </c>
      <c r="I6331" s="29"/>
      <c r="J6331" s="29" t="s">
        <v>870</v>
      </c>
      <c r="K6331" s="29"/>
      <c r="L6331" s="29" t="s">
        <v>871</v>
      </c>
      <c r="M6331" s="29" t="s">
        <v>2168</v>
      </c>
      <c r="N6331" s="29" t="s">
        <v>334</v>
      </c>
      <c r="O6331" s="29"/>
      <c r="P6331" s="29" t="s">
        <v>12268</v>
      </c>
      <c r="Q6331" t="s">
        <v>2040</v>
      </c>
      <c r="R6331" t="s">
        <v>2632</v>
      </c>
      <c r="S6331">
        <v>37</v>
      </c>
      <c r="T6331" s="43" t="str">
        <f>HYPERLINK("https://ictv.global/ictv/proposals/2021.007P.R.Betaflexiviridae_2ng_23nsp.zip","2021.007P.R.Betaflexiviridae_2ng_23nsp.zip")</f>
        <v>2021.007P.R.Betaflexiviridae_2ng_23nsp.zip</v>
      </c>
      <c r="U6331" s="43" t="str">
        <f>HYPERLINK("https://ictv.global/taxonomy/taxondetails?taxnode_id=202213844","ictv.global=202213844")</f>
        <v>ictv.global=202213844</v>
      </c>
    </row>
    <row r="6332" spans="1:21">
      <c r="A6332">
        <v>6331</v>
      </c>
      <c r="B6332" s="29" t="s">
        <v>3223</v>
      </c>
      <c r="C6332" s="29"/>
      <c r="D6332" s="29" t="s">
        <v>4156</v>
      </c>
      <c r="E6332" s="29"/>
      <c r="F6332" s="29" t="s">
        <v>4173</v>
      </c>
      <c r="G6332" s="29"/>
      <c r="H6332" s="29" t="s">
        <v>4174</v>
      </c>
      <c r="I6332" s="29"/>
      <c r="J6332" s="29" t="s">
        <v>870</v>
      </c>
      <c r="K6332" s="29"/>
      <c r="L6332" s="29" t="s">
        <v>871</v>
      </c>
      <c r="M6332" s="29" t="s">
        <v>2168</v>
      </c>
      <c r="N6332" s="29" t="s">
        <v>334</v>
      </c>
      <c r="O6332" s="29"/>
      <c r="P6332" s="29" t="s">
        <v>12269</v>
      </c>
      <c r="Q6332" t="s">
        <v>2040</v>
      </c>
      <c r="R6332" t="s">
        <v>2632</v>
      </c>
      <c r="S6332">
        <v>37</v>
      </c>
      <c r="T6332" s="43" t="str">
        <f>HYPERLINK("https://ictv.global/ictv/proposals/2021.007P.R.Betaflexiviridae_2ng_23nsp.zip","2021.007P.R.Betaflexiviridae_2ng_23nsp.zip")</f>
        <v>2021.007P.R.Betaflexiviridae_2ng_23nsp.zip</v>
      </c>
      <c r="U6332" s="43" t="str">
        <f>HYPERLINK("https://ictv.global/taxonomy/taxondetails?taxnode_id=202213845","ictv.global=202213845")</f>
        <v>ictv.global=202213845</v>
      </c>
    </row>
    <row r="6333" spans="1:21">
      <c r="A6333">
        <v>6332</v>
      </c>
      <c r="B6333" s="29" t="s">
        <v>3223</v>
      </c>
      <c r="C6333" s="29"/>
      <c r="D6333" s="29" t="s">
        <v>4156</v>
      </c>
      <c r="E6333" s="29"/>
      <c r="F6333" s="29" t="s">
        <v>4173</v>
      </c>
      <c r="G6333" s="29"/>
      <c r="H6333" s="29" t="s">
        <v>4174</v>
      </c>
      <c r="I6333" s="29"/>
      <c r="J6333" s="29" t="s">
        <v>870</v>
      </c>
      <c r="K6333" s="29"/>
      <c r="L6333" s="29" t="s">
        <v>871</v>
      </c>
      <c r="M6333" s="29" t="s">
        <v>2168</v>
      </c>
      <c r="N6333" s="29" t="s">
        <v>334</v>
      </c>
      <c r="O6333" s="29"/>
      <c r="P6333" s="29" t="s">
        <v>12270</v>
      </c>
      <c r="Q6333" t="s">
        <v>2040</v>
      </c>
      <c r="R6333" t="s">
        <v>2632</v>
      </c>
      <c r="S6333">
        <v>37</v>
      </c>
      <c r="T6333" s="43" t="str">
        <f>HYPERLINK("https://ictv.global/ictv/proposals/2021.007P.R.Betaflexiviridae_2ng_23nsp.zip","2021.007P.R.Betaflexiviridae_2ng_23nsp.zip")</f>
        <v>2021.007P.R.Betaflexiviridae_2ng_23nsp.zip</v>
      </c>
      <c r="U6333" s="43" t="str">
        <f>HYPERLINK("https://ictv.global/taxonomy/taxondetails?taxnode_id=202213846","ictv.global=202213846")</f>
        <v>ictv.global=202213846</v>
      </c>
    </row>
    <row r="6334" spans="1:21">
      <c r="A6334">
        <v>6333</v>
      </c>
      <c r="B6334" s="29" t="s">
        <v>3223</v>
      </c>
      <c r="C6334" s="29"/>
      <c r="D6334" s="29" t="s">
        <v>4156</v>
      </c>
      <c r="E6334" s="29"/>
      <c r="F6334" s="29" t="s">
        <v>4173</v>
      </c>
      <c r="G6334" s="29"/>
      <c r="H6334" s="29" t="s">
        <v>4174</v>
      </c>
      <c r="I6334" s="29"/>
      <c r="J6334" s="29" t="s">
        <v>870</v>
      </c>
      <c r="K6334" s="29"/>
      <c r="L6334" s="29" t="s">
        <v>871</v>
      </c>
      <c r="M6334" s="29" t="s">
        <v>2168</v>
      </c>
      <c r="N6334" s="29" t="s">
        <v>334</v>
      </c>
      <c r="O6334" s="29"/>
      <c r="P6334" s="29" t="s">
        <v>12271</v>
      </c>
      <c r="Q6334" t="s">
        <v>2040</v>
      </c>
      <c r="R6334" t="s">
        <v>2632</v>
      </c>
      <c r="S6334">
        <v>37</v>
      </c>
      <c r="T6334" s="43" t="str">
        <f>HYPERLINK("https://ictv.global/ictv/proposals/2021.007P.R.Betaflexiviridae_2ng_23nsp.zip","2021.007P.R.Betaflexiviridae_2ng_23nsp.zip")</f>
        <v>2021.007P.R.Betaflexiviridae_2ng_23nsp.zip</v>
      </c>
      <c r="U6334" s="43" t="str">
        <f>HYPERLINK("https://ictv.global/taxonomy/taxondetails?taxnode_id=202213847","ictv.global=202213847")</f>
        <v>ictv.global=202213847</v>
      </c>
    </row>
    <row r="6335" spans="1:21">
      <c r="A6335">
        <v>6334</v>
      </c>
      <c r="B6335" s="29" t="s">
        <v>3223</v>
      </c>
      <c r="C6335" s="29"/>
      <c r="D6335" s="29" t="s">
        <v>4156</v>
      </c>
      <c r="E6335" s="29"/>
      <c r="F6335" s="29" t="s">
        <v>4173</v>
      </c>
      <c r="G6335" s="29"/>
      <c r="H6335" s="29" t="s">
        <v>4174</v>
      </c>
      <c r="I6335" s="29"/>
      <c r="J6335" s="29" t="s">
        <v>870</v>
      </c>
      <c r="K6335" s="29"/>
      <c r="L6335" s="29" t="s">
        <v>871</v>
      </c>
      <c r="M6335" s="29" t="s">
        <v>2168</v>
      </c>
      <c r="N6335" s="29" t="s">
        <v>334</v>
      </c>
      <c r="O6335" s="29"/>
      <c r="P6335" s="29" t="s">
        <v>12272</v>
      </c>
      <c r="Q6335" t="s">
        <v>2040</v>
      </c>
      <c r="R6335" t="s">
        <v>2632</v>
      </c>
      <c r="S6335">
        <v>38</v>
      </c>
      <c r="T6335" s="43" t="str">
        <f>HYPERLINK("https://ictv.global/ictv/proposals/2022.001P.Betaflexiviridae_12ns.zip","2022.001P.Betaflexiviridae_12ns.zip")</f>
        <v>2022.001P.Betaflexiviridae_12ns.zip</v>
      </c>
      <c r="U6335" s="43" t="str">
        <f>HYPERLINK("https://ictv.global/taxonomy/taxondetails?taxnode_id=202215084","ictv.global=202215084")</f>
        <v>ictv.global=202215084</v>
      </c>
    </row>
    <row r="6336" spans="1:21">
      <c r="A6336">
        <v>6335</v>
      </c>
      <c r="B6336" s="29" t="s">
        <v>3223</v>
      </c>
      <c r="C6336" s="29"/>
      <c r="D6336" s="29" t="s">
        <v>4156</v>
      </c>
      <c r="E6336" s="29"/>
      <c r="F6336" s="29" t="s">
        <v>4173</v>
      </c>
      <c r="G6336" s="29"/>
      <c r="H6336" s="29" t="s">
        <v>4174</v>
      </c>
      <c r="I6336" s="29"/>
      <c r="J6336" s="29" t="s">
        <v>870</v>
      </c>
      <c r="K6336" s="29"/>
      <c r="L6336" s="29" t="s">
        <v>871</v>
      </c>
      <c r="M6336" s="29" t="s">
        <v>2168</v>
      </c>
      <c r="N6336" s="29" t="s">
        <v>334</v>
      </c>
      <c r="O6336" s="29"/>
      <c r="P6336" s="29" t="s">
        <v>12273</v>
      </c>
      <c r="Q6336" t="s">
        <v>2040</v>
      </c>
      <c r="R6336" t="s">
        <v>2632</v>
      </c>
      <c r="S6336">
        <v>37</v>
      </c>
      <c r="T6336" s="43" t="str">
        <f>HYPERLINK("https://ictv.global/ictv/proposals/2021.007P.R.Betaflexiviridae_2ng_23nsp.zip","2021.007P.R.Betaflexiviridae_2ng_23nsp.zip")</f>
        <v>2021.007P.R.Betaflexiviridae_2ng_23nsp.zip</v>
      </c>
      <c r="U6336" s="43" t="str">
        <f>HYPERLINK("https://ictv.global/taxonomy/taxondetails?taxnode_id=202213848","ictv.global=202213848")</f>
        <v>ictv.global=202213848</v>
      </c>
    </row>
    <row r="6337" spans="1:21">
      <c r="A6337">
        <v>6336</v>
      </c>
      <c r="B6337" s="29" t="s">
        <v>3223</v>
      </c>
      <c r="C6337" s="29"/>
      <c r="D6337" s="29" t="s">
        <v>4156</v>
      </c>
      <c r="E6337" s="29"/>
      <c r="F6337" s="29" t="s">
        <v>4173</v>
      </c>
      <c r="G6337" s="29"/>
      <c r="H6337" s="29" t="s">
        <v>4174</v>
      </c>
      <c r="I6337" s="29"/>
      <c r="J6337" s="29" t="s">
        <v>870</v>
      </c>
      <c r="K6337" s="29"/>
      <c r="L6337" s="29" t="s">
        <v>871</v>
      </c>
      <c r="M6337" s="29" t="s">
        <v>2168</v>
      </c>
      <c r="N6337" s="29" t="s">
        <v>334</v>
      </c>
      <c r="O6337" s="29"/>
      <c r="P6337" s="29" t="s">
        <v>12274</v>
      </c>
      <c r="Q6337" t="s">
        <v>2040</v>
      </c>
      <c r="R6337" t="s">
        <v>2632</v>
      </c>
      <c r="S6337">
        <v>37</v>
      </c>
      <c r="T6337" s="43" t="str">
        <f>HYPERLINK("https://ictv.global/ictv/proposals/2021.007P.R.Betaflexiviridae_2ng_23nsp.zip","2021.007P.R.Betaflexiviridae_2ng_23nsp.zip")</f>
        <v>2021.007P.R.Betaflexiviridae_2ng_23nsp.zip</v>
      </c>
      <c r="U6337" s="43" t="str">
        <f>HYPERLINK("https://ictv.global/taxonomy/taxondetails?taxnode_id=202213849","ictv.global=202213849")</f>
        <v>ictv.global=202213849</v>
      </c>
    </row>
    <row r="6338" spans="1:21">
      <c r="A6338">
        <v>6337</v>
      </c>
      <c r="B6338" s="29" t="s">
        <v>3223</v>
      </c>
      <c r="C6338" s="29"/>
      <c r="D6338" s="29" t="s">
        <v>4156</v>
      </c>
      <c r="E6338" s="29"/>
      <c r="F6338" s="29" t="s">
        <v>4173</v>
      </c>
      <c r="G6338" s="29"/>
      <c r="H6338" s="29" t="s">
        <v>4174</v>
      </c>
      <c r="I6338" s="29"/>
      <c r="J6338" s="29" t="s">
        <v>870</v>
      </c>
      <c r="K6338" s="29"/>
      <c r="L6338" s="29" t="s">
        <v>871</v>
      </c>
      <c r="M6338" s="29" t="s">
        <v>2168</v>
      </c>
      <c r="N6338" s="29" t="s">
        <v>334</v>
      </c>
      <c r="O6338" s="29"/>
      <c r="P6338" s="29" t="s">
        <v>242</v>
      </c>
      <c r="Q6338" t="s">
        <v>2040</v>
      </c>
      <c r="R6338" t="s">
        <v>6901</v>
      </c>
      <c r="S6338">
        <v>36</v>
      </c>
      <c r="T6338" s="43" t="str">
        <f>HYPERLINK("https://ictv.global/ictv/proposals/2020.001G.R.Abolish_type_species.pdf","2020.001G.R.Abolish_type_species.pdf")</f>
        <v>2020.001G.R.Abolish_type_species.pdf</v>
      </c>
      <c r="U6338" s="43" t="str">
        <f>HYPERLINK("https://ictv.global/taxonomy/taxondetails?taxnode_id=202202241","ictv.global=202202241")</f>
        <v>ictv.global=202202241</v>
      </c>
    </row>
    <row r="6339" spans="1:21">
      <c r="A6339">
        <v>6338</v>
      </c>
      <c r="B6339" s="29" t="s">
        <v>3223</v>
      </c>
      <c r="C6339" s="29"/>
      <c r="D6339" s="29" t="s">
        <v>4156</v>
      </c>
      <c r="E6339" s="29"/>
      <c r="F6339" s="29" t="s">
        <v>4173</v>
      </c>
      <c r="G6339" s="29"/>
      <c r="H6339" s="29" t="s">
        <v>4174</v>
      </c>
      <c r="I6339" s="29"/>
      <c r="J6339" s="29" t="s">
        <v>870</v>
      </c>
      <c r="K6339" s="29"/>
      <c r="L6339" s="29" t="s">
        <v>871</v>
      </c>
      <c r="M6339" s="29" t="s">
        <v>2168</v>
      </c>
      <c r="N6339" s="29" t="s">
        <v>334</v>
      </c>
      <c r="O6339" s="29"/>
      <c r="P6339" s="29" t="s">
        <v>1493</v>
      </c>
      <c r="Q6339" t="s">
        <v>2040</v>
      </c>
      <c r="R6339" t="s">
        <v>2634</v>
      </c>
      <c r="S6339">
        <v>35</v>
      </c>
      <c r="T6339" s="43" t="str">
        <f t="shared" ref="T6339:T6383" si="292">HYPERLINK("https://ictv.global/ictv/proposals/2019.006G.zip","2019.006G.zip")</f>
        <v>2019.006G.zip</v>
      </c>
      <c r="U6339" s="43" t="str">
        <f>HYPERLINK("https://ictv.global/taxonomy/taxondetails?taxnode_id=202202242","ictv.global=202202242")</f>
        <v>ictv.global=202202242</v>
      </c>
    </row>
    <row r="6340" spans="1:21">
      <c r="A6340">
        <v>6339</v>
      </c>
      <c r="B6340" s="29" t="s">
        <v>3223</v>
      </c>
      <c r="C6340" s="29"/>
      <c r="D6340" s="29" t="s">
        <v>4156</v>
      </c>
      <c r="E6340" s="29"/>
      <c r="F6340" s="29" t="s">
        <v>4173</v>
      </c>
      <c r="G6340" s="29"/>
      <c r="H6340" s="29" t="s">
        <v>4174</v>
      </c>
      <c r="I6340" s="29"/>
      <c r="J6340" s="29" t="s">
        <v>870</v>
      </c>
      <c r="K6340" s="29"/>
      <c r="L6340" s="29" t="s">
        <v>871</v>
      </c>
      <c r="M6340" s="29" t="s">
        <v>2168</v>
      </c>
      <c r="N6340" s="29" t="s">
        <v>334</v>
      </c>
      <c r="O6340" s="29"/>
      <c r="P6340" s="29" t="s">
        <v>1494</v>
      </c>
      <c r="Q6340" t="s">
        <v>2040</v>
      </c>
      <c r="R6340" t="s">
        <v>2634</v>
      </c>
      <c r="S6340">
        <v>35</v>
      </c>
      <c r="T6340" s="43" t="str">
        <f t="shared" si="292"/>
        <v>2019.006G.zip</v>
      </c>
      <c r="U6340" s="43" t="str">
        <f>HYPERLINK("https://ictv.global/taxonomy/taxondetails?taxnode_id=202202243","ictv.global=202202243")</f>
        <v>ictv.global=202202243</v>
      </c>
    </row>
    <row r="6341" spans="1:21">
      <c r="A6341">
        <v>6340</v>
      </c>
      <c r="B6341" s="29" t="s">
        <v>3223</v>
      </c>
      <c r="C6341" s="29"/>
      <c r="D6341" s="29" t="s">
        <v>4156</v>
      </c>
      <c r="E6341" s="29"/>
      <c r="F6341" s="29" t="s">
        <v>4173</v>
      </c>
      <c r="G6341" s="29"/>
      <c r="H6341" s="29" t="s">
        <v>4174</v>
      </c>
      <c r="I6341" s="29"/>
      <c r="J6341" s="29" t="s">
        <v>870</v>
      </c>
      <c r="K6341" s="29"/>
      <c r="L6341" s="29" t="s">
        <v>871</v>
      </c>
      <c r="M6341" s="29" t="s">
        <v>2168</v>
      </c>
      <c r="N6341" s="29" t="s">
        <v>334</v>
      </c>
      <c r="O6341" s="29"/>
      <c r="P6341" s="29" t="s">
        <v>1572</v>
      </c>
      <c r="Q6341" t="s">
        <v>2040</v>
      </c>
      <c r="R6341" t="s">
        <v>2634</v>
      </c>
      <c r="S6341">
        <v>35</v>
      </c>
      <c r="T6341" s="43" t="str">
        <f t="shared" si="292"/>
        <v>2019.006G.zip</v>
      </c>
      <c r="U6341" s="43" t="str">
        <f>HYPERLINK("https://ictv.global/taxonomy/taxondetails?taxnode_id=202202244","ictv.global=202202244")</f>
        <v>ictv.global=202202244</v>
      </c>
    </row>
    <row r="6342" spans="1:21">
      <c r="A6342">
        <v>6341</v>
      </c>
      <c r="B6342" s="29" t="s">
        <v>3223</v>
      </c>
      <c r="C6342" s="29"/>
      <c r="D6342" s="29" t="s">
        <v>4156</v>
      </c>
      <c r="E6342" s="29"/>
      <c r="F6342" s="29" t="s">
        <v>4173</v>
      </c>
      <c r="G6342" s="29"/>
      <c r="H6342" s="29" t="s">
        <v>4174</v>
      </c>
      <c r="I6342" s="29"/>
      <c r="J6342" s="29" t="s">
        <v>870</v>
      </c>
      <c r="K6342" s="29"/>
      <c r="L6342" s="29" t="s">
        <v>871</v>
      </c>
      <c r="M6342" s="29" t="s">
        <v>2168</v>
      </c>
      <c r="N6342" s="29" t="s">
        <v>334</v>
      </c>
      <c r="O6342" s="29"/>
      <c r="P6342" s="29" t="s">
        <v>1420</v>
      </c>
      <c r="Q6342" t="s">
        <v>2040</v>
      </c>
      <c r="R6342" t="s">
        <v>2634</v>
      </c>
      <c r="S6342">
        <v>35</v>
      </c>
      <c r="T6342" s="43" t="str">
        <f t="shared" si="292"/>
        <v>2019.006G.zip</v>
      </c>
      <c r="U6342" s="43" t="str">
        <f>HYPERLINK("https://ictv.global/taxonomy/taxondetails?taxnode_id=202202245","ictv.global=202202245")</f>
        <v>ictv.global=202202245</v>
      </c>
    </row>
    <row r="6343" spans="1:21">
      <c r="A6343">
        <v>6342</v>
      </c>
      <c r="B6343" s="29" t="s">
        <v>3223</v>
      </c>
      <c r="C6343" s="29"/>
      <c r="D6343" s="29" t="s">
        <v>4156</v>
      </c>
      <c r="E6343" s="29"/>
      <c r="F6343" s="29" t="s">
        <v>4173</v>
      </c>
      <c r="G6343" s="29"/>
      <c r="H6343" s="29" t="s">
        <v>4174</v>
      </c>
      <c r="I6343" s="29"/>
      <c r="J6343" s="29" t="s">
        <v>870</v>
      </c>
      <c r="K6343" s="29"/>
      <c r="L6343" s="29" t="s">
        <v>871</v>
      </c>
      <c r="M6343" s="29" t="s">
        <v>2168</v>
      </c>
      <c r="N6343" s="29" t="s">
        <v>334</v>
      </c>
      <c r="O6343" s="29"/>
      <c r="P6343" s="29" t="s">
        <v>1637</v>
      </c>
      <c r="Q6343" t="s">
        <v>2040</v>
      </c>
      <c r="R6343" t="s">
        <v>2634</v>
      </c>
      <c r="S6343">
        <v>35</v>
      </c>
      <c r="T6343" s="43" t="str">
        <f t="shared" si="292"/>
        <v>2019.006G.zip</v>
      </c>
      <c r="U6343" s="43" t="str">
        <f>HYPERLINK("https://ictv.global/taxonomy/taxondetails?taxnode_id=202202246","ictv.global=202202246")</f>
        <v>ictv.global=202202246</v>
      </c>
    </row>
    <row r="6344" spans="1:21">
      <c r="A6344">
        <v>6343</v>
      </c>
      <c r="B6344" s="29" t="s">
        <v>3223</v>
      </c>
      <c r="C6344" s="29"/>
      <c r="D6344" s="29" t="s">
        <v>4156</v>
      </c>
      <c r="E6344" s="29"/>
      <c r="F6344" s="29" t="s">
        <v>4173</v>
      </c>
      <c r="G6344" s="29"/>
      <c r="H6344" s="29" t="s">
        <v>4174</v>
      </c>
      <c r="I6344" s="29"/>
      <c r="J6344" s="29" t="s">
        <v>870</v>
      </c>
      <c r="K6344" s="29"/>
      <c r="L6344" s="29" t="s">
        <v>871</v>
      </c>
      <c r="M6344" s="29" t="s">
        <v>2168</v>
      </c>
      <c r="N6344" s="29" t="s">
        <v>334</v>
      </c>
      <c r="O6344" s="29"/>
      <c r="P6344" s="29" t="s">
        <v>1421</v>
      </c>
      <c r="Q6344" t="s">
        <v>2040</v>
      </c>
      <c r="R6344" t="s">
        <v>2634</v>
      </c>
      <c r="S6344">
        <v>35</v>
      </c>
      <c r="T6344" s="43" t="str">
        <f t="shared" si="292"/>
        <v>2019.006G.zip</v>
      </c>
      <c r="U6344" s="43" t="str">
        <f>HYPERLINK("https://ictv.global/taxonomy/taxondetails?taxnode_id=202202247","ictv.global=202202247")</f>
        <v>ictv.global=202202247</v>
      </c>
    </row>
    <row r="6345" spans="1:21">
      <c r="A6345">
        <v>6344</v>
      </c>
      <c r="B6345" s="29" t="s">
        <v>3223</v>
      </c>
      <c r="C6345" s="29"/>
      <c r="D6345" s="29" t="s">
        <v>4156</v>
      </c>
      <c r="E6345" s="29"/>
      <c r="F6345" s="29" t="s">
        <v>4173</v>
      </c>
      <c r="G6345" s="29"/>
      <c r="H6345" s="29" t="s">
        <v>4174</v>
      </c>
      <c r="I6345" s="29"/>
      <c r="J6345" s="29" t="s">
        <v>870</v>
      </c>
      <c r="K6345" s="29"/>
      <c r="L6345" s="29" t="s">
        <v>871</v>
      </c>
      <c r="M6345" s="29" t="s">
        <v>2168</v>
      </c>
      <c r="N6345" s="29" t="s">
        <v>334</v>
      </c>
      <c r="O6345" s="29"/>
      <c r="P6345" s="29" t="s">
        <v>2169</v>
      </c>
      <c r="Q6345" t="s">
        <v>2040</v>
      </c>
      <c r="R6345" t="s">
        <v>2634</v>
      </c>
      <c r="S6345">
        <v>35</v>
      </c>
      <c r="T6345" s="43" t="str">
        <f t="shared" si="292"/>
        <v>2019.006G.zip</v>
      </c>
      <c r="U6345" s="43" t="str">
        <f>HYPERLINK("https://ictv.global/taxonomy/taxondetails?taxnode_id=202202248","ictv.global=202202248")</f>
        <v>ictv.global=202202248</v>
      </c>
    </row>
    <row r="6346" spans="1:21">
      <c r="A6346">
        <v>6345</v>
      </c>
      <c r="B6346" s="29" t="s">
        <v>3223</v>
      </c>
      <c r="C6346" s="29"/>
      <c r="D6346" s="29" t="s">
        <v>4156</v>
      </c>
      <c r="E6346" s="29"/>
      <c r="F6346" s="29" t="s">
        <v>4173</v>
      </c>
      <c r="G6346" s="29"/>
      <c r="H6346" s="29" t="s">
        <v>4174</v>
      </c>
      <c r="I6346" s="29"/>
      <c r="J6346" s="29" t="s">
        <v>870</v>
      </c>
      <c r="K6346" s="29"/>
      <c r="L6346" s="29" t="s">
        <v>871</v>
      </c>
      <c r="M6346" s="29" t="s">
        <v>2168</v>
      </c>
      <c r="N6346" s="29" t="s">
        <v>334</v>
      </c>
      <c r="O6346" s="29"/>
      <c r="P6346" s="29" t="s">
        <v>1208</v>
      </c>
      <c r="Q6346" t="s">
        <v>2040</v>
      </c>
      <c r="R6346" t="s">
        <v>2634</v>
      </c>
      <c r="S6346">
        <v>35</v>
      </c>
      <c r="T6346" s="43" t="str">
        <f t="shared" si="292"/>
        <v>2019.006G.zip</v>
      </c>
      <c r="U6346" s="43" t="str">
        <f>HYPERLINK("https://ictv.global/taxonomy/taxondetails?taxnode_id=202202249","ictv.global=202202249")</f>
        <v>ictv.global=202202249</v>
      </c>
    </row>
    <row r="6347" spans="1:21">
      <c r="A6347">
        <v>6346</v>
      </c>
      <c r="B6347" s="29" t="s">
        <v>3223</v>
      </c>
      <c r="C6347" s="29"/>
      <c r="D6347" s="29" t="s">
        <v>4156</v>
      </c>
      <c r="E6347" s="29"/>
      <c r="F6347" s="29" t="s">
        <v>4173</v>
      </c>
      <c r="G6347" s="29"/>
      <c r="H6347" s="29" t="s">
        <v>4174</v>
      </c>
      <c r="I6347" s="29"/>
      <c r="J6347" s="29" t="s">
        <v>870</v>
      </c>
      <c r="K6347" s="29"/>
      <c r="L6347" s="29" t="s">
        <v>871</v>
      </c>
      <c r="M6347" s="29" t="s">
        <v>2168</v>
      </c>
      <c r="N6347" s="29" t="s">
        <v>334</v>
      </c>
      <c r="O6347" s="29"/>
      <c r="P6347" s="29" t="s">
        <v>1209</v>
      </c>
      <c r="Q6347" t="s">
        <v>2040</v>
      </c>
      <c r="R6347" t="s">
        <v>2634</v>
      </c>
      <c r="S6347">
        <v>35</v>
      </c>
      <c r="T6347" s="43" t="str">
        <f t="shared" si="292"/>
        <v>2019.006G.zip</v>
      </c>
      <c r="U6347" s="43" t="str">
        <f>HYPERLINK("https://ictv.global/taxonomy/taxondetails?taxnode_id=202202250","ictv.global=202202250")</f>
        <v>ictv.global=202202250</v>
      </c>
    </row>
    <row r="6348" spans="1:21">
      <c r="A6348">
        <v>6347</v>
      </c>
      <c r="B6348" s="29" t="s">
        <v>3223</v>
      </c>
      <c r="C6348" s="29"/>
      <c r="D6348" s="29" t="s">
        <v>4156</v>
      </c>
      <c r="E6348" s="29"/>
      <c r="F6348" s="29" t="s">
        <v>4173</v>
      </c>
      <c r="G6348" s="29"/>
      <c r="H6348" s="29" t="s">
        <v>4174</v>
      </c>
      <c r="I6348" s="29"/>
      <c r="J6348" s="29" t="s">
        <v>870</v>
      </c>
      <c r="K6348" s="29"/>
      <c r="L6348" s="29" t="s">
        <v>871</v>
      </c>
      <c r="M6348" s="29" t="s">
        <v>2168</v>
      </c>
      <c r="N6348" s="29" t="s">
        <v>334</v>
      </c>
      <c r="O6348" s="29"/>
      <c r="P6348" s="29" t="s">
        <v>1638</v>
      </c>
      <c r="Q6348" t="s">
        <v>2040</v>
      </c>
      <c r="R6348" t="s">
        <v>2634</v>
      </c>
      <c r="S6348">
        <v>35</v>
      </c>
      <c r="T6348" s="43" t="str">
        <f t="shared" si="292"/>
        <v>2019.006G.zip</v>
      </c>
      <c r="U6348" s="43" t="str">
        <f>HYPERLINK("https://ictv.global/taxonomy/taxondetails?taxnode_id=202202251","ictv.global=202202251")</f>
        <v>ictv.global=202202251</v>
      </c>
    </row>
    <row r="6349" spans="1:21">
      <c r="A6349">
        <v>6348</v>
      </c>
      <c r="B6349" s="29" t="s">
        <v>3223</v>
      </c>
      <c r="C6349" s="29"/>
      <c r="D6349" s="29" t="s">
        <v>4156</v>
      </c>
      <c r="E6349" s="29"/>
      <c r="F6349" s="29" t="s">
        <v>4173</v>
      </c>
      <c r="G6349" s="29"/>
      <c r="H6349" s="29" t="s">
        <v>4174</v>
      </c>
      <c r="I6349" s="29"/>
      <c r="J6349" s="29" t="s">
        <v>870</v>
      </c>
      <c r="K6349" s="29"/>
      <c r="L6349" s="29" t="s">
        <v>871</v>
      </c>
      <c r="M6349" s="29" t="s">
        <v>2168</v>
      </c>
      <c r="N6349" s="29" t="s">
        <v>334</v>
      </c>
      <c r="O6349" s="29"/>
      <c r="P6349" s="29" t="s">
        <v>1385</v>
      </c>
      <c r="Q6349" t="s">
        <v>2040</v>
      </c>
      <c r="R6349" t="s">
        <v>2634</v>
      </c>
      <c r="S6349">
        <v>35</v>
      </c>
      <c r="T6349" s="43" t="str">
        <f t="shared" si="292"/>
        <v>2019.006G.zip</v>
      </c>
      <c r="U6349" s="43" t="str">
        <f>HYPERLINK("https://ictv.global/taxonomy/taxondetails?taxnode_id=202202252","ictv.global=202202252")</f>
        <v>ictv.global=202202252</v>
      </c>
    </row>
    <row r="6350" spans="1:21">
      <c r="A6350">
        <v>6349</v>
      </c>
      <c r="B6350" s="29" t="s">
        <v>3223</v>
      </c>
      <c r="C6350" s="29"/>
      <c r="D6350" s="29" t="s">
        <v>4156</v>
      </c>
      <c r="E6350" s="29"/>
      <c r="F6350" s="29" t="s">
        <v>4173</v>
      </c>
      <c r="G6350" s="29"/>
      <c r="H6350" s="29" t="s">
        <v>4174</v>
      </c>
      <c r="I6350" s="29"/>
      <c r="J6350" s="29" t="s">
        <v>870</v>
      </c>
      <c r="K6350" s="29"/>
      <c r="L6350" s="29" t="s">
        <v>871</v>
      </c>
      <c r="M6350" s="29" t="s">
        <v>2168</v>
      </c>
      <c r="N6350" s="29" t="s">
        <v>334</v>
      </c>
      <c r="O6350" s="29"/>
      <c r="P6350" s="29" t="s">
        <v>1639</v>
      </c>
      <c r="Q6350" t="s">
        <v>2040</v>
      </c>
      <c r="R6350" t="s">
        <v>2634</v>
      </c>
      <c r="S6350">
        <v>35</v>
      </c>
      <c r="T6350" s="43" t="str">
        <f t="shared" si="292"/>
        <v>2019.006G.zip</v>
      </c>
      <c r="U6350" s="43" t="str">
        <f>HYPERLINK("https://ictv.global/taxonomy/taxondetails?taxnode_id=202202253","ictv.global=202202253")</f>
        <v>ictv.global=202202253</v>
      </c>
    </row>
    <row r="6351" spans="1:21">
      <c r="A6351">
        <v>6350</v>
      </c>
      <c r="B6351" s="29" t="s">
        <v>3223</v>
      </c>
      <c r="C6351" s="29"/>
      <c r="D6351" s="29" t="s">
        <v>4156</v>
      </c>
      <c r="E6351" s="29"/>
      <c r="F6351" s="29" t="s">
        <v>4173</v>
      </c>
      <c r="G6351" s="29"/>
      <c r="H6351" s="29" t="s">
        <v>4174</v>
      </c>
      <c r="I6351" s="29"/>
      <c r="J6351" s="29" t="s">
        <v>870</v>
      </c>
      <c r="K6351" s="29"/>
      <c r="L6351" s="29" t="s">
        <v>871</v>
      </c>
      <c r="M6351" s="29" t="s">
        <v>2168</v>
      </c>
      <c r="N6351" s="29" t="s">
        <v>334</v>
      </c>
      <c r="O6351" s="29"/>
      <c r="P6351" s="29" t="s">
        <v>1210</v>
      </c>
      <c r="Q6351" t="s">
        <v>2040</v>
      </c>
      <c r="R6351" t="s">
        <v>2634</v>
      </c>
      <c r="S6351">
        <v>35</v>
      </c>
      <c r="T6351" s="43" t="str">
        <f t="shared" si="292"/>
        <v>2019.006G.zip</v>
      </c>
      <c r="U6351" s="43" t="str">
        <f>HYPERLINK("https://ictv.global/taxonomy/taxondetails?taxnode_id=202202254","ictv.global=202202254")</f>
        <v>ictv.global=202202254</v>
      </c>
    </row>
    <row r="6352" spans="1:21">
      <c r="A6352">
        <v>6351</v>
      </c>
      <c r="B6352" s="29" t="s">
        <v>3223</v>
      </c>
      <c r="C6352" s="29"/>
      <c r="D6352" s="29" t="s">
        <v>4156</v>
      </c>
      <c r="E6352" s="29"/>
      <c r="F6352" s="29" t="s">
        <v>4173</v>
      </c>
      <c r="G6352" s="29"/>
      <c r="H6352" s="29" t="s">
        <v>4174</v>
      </c>
      <c r="I6352" s="29"/>
      <c r="J6352" s="29" t="s">
        <v>870</v>
      </c>
      <c r="K6352" s="29"/>
      <c r="L6352" s="29" t="s">
        <v>871</v>
      </c>
      <c r="M6352" s="29" t="s">
        <v>2168</v>
      </c>
      <c r="N6352" s="29" t="s">
        <v>334</v>
      </c>
      <c r="O6352" s="29"/>
      <c r="P6352" s="29" t="s">
        <v>1211</v>
      </c>
      <c r="Q6352" t="s">
        <v>2040</v>
      </c>
      <c r="R6352" t="s">
        <v>2634</v>
      </c>
      <c r="S6352">
        <v>35</v>
      </c>
      <c r="T6352" s="43" t="str">
        <f t="shared" si="292"/>
        <v>2019.006G.zip</v>
      </c>
      <c r="U6352" s="43" t="str">
        <f>HYPERLINK("https://ictv.global/taxonomy/taxondetails?taxnode_id=202202255","ictv.global=202202255")</f>
        <v>ictv.global=202202255</v>
      </c>
    </row>
    <row r="6353" spans="1:21">
      <c r="A6353">
        <v>6352</v>
      </c>
      <c r="B6353" s="29" t="s">
        <v>3223</v>
      </c>
      <c r="C6353" s="29"/>
      <c r="D6353" s="29" t="s">
        <v>4156</v>
      </c>
      <c r="E6353" s="29"/>
      <c r="F6353" s="29" t="s">
        <v>4173</v>
      </c>
      <c r="G6353" s="29"/>
      <c r="H6353" s="29" t="s">
        <v>4174</v>
      </c>
      <c r="I6353" s="29"/>
      <c r="J6353" s="29" t="s">
        <v>870</v>
      </c>
      <c r="K6353" s="29"/>
      <c r="L6353" s="29" t="s">
        <v>871</v>
      </c>
      <c r="M6353" s="29" t="s">
        <v>2168</v>
      </c>
      <c r="N6353" s="29" t="s">
        <v>334</v>
      </c>
      <c r="O6353" s="29"/>
      <c r="P6353" s="29" t="s">
        <v>1640</v>
      </c>
      <c r="Q6353" t="s">
        <v>2040</v>
      </c>
      <c r="R6353" t="s">
        <v>2634</v>
      </c>
      <c r="S6353">
        <v>35</v>
      </c>
      <c r="T6353" s="43" t="str">
        <f t="shared" si="292"/>
        <v>2019.006G.zip</v>
      </c>
      <c r="U6353" s="43" t="str">
        <f>HYPERLINK("https://ictv.global/taxonomy/taxondetails?taxnode_id=202202256","ictv.global=202202256")</f>
        <v>ictv.global=202202256</v>
      </c>
    </row>
    <row r="6354" spans="1:21">
      <c r="A6354">
        <v>6353</v>
      </c>
      <c r="B6354" s="29" t="s">
        <v>3223</v>
      </c>
      <c r="C6354" s="29"/>
      <c r="D6354" s="29" t="s">
        <v>4156</v>
      </c>
      <c r="E6354" s="29"/>
      <c r="F6354" s="29" t="s">
        <v>4173</v>
      </c>
      <c r="G6354" s="29"/>
      <c r="H6354" s="29" t="s">
        <v>4174</v>
      </c>
      <c r="I6354" s="29"/>
      <c r="J6354" s="29" t="s">
        <v>870</v>
      </c>
      <c r="K6354" s="29"/>
      <c r="L6354" s="29" t="s">
        <v>871</v>
      </c>
      <c r="M6354" s="29" t="s">
        <v>2168</v>
      </c>
      <c r="N6354" s="29" t="s">
        <v>334</v>
      </c>
      <c r="O6354" s="29"/>
      <c r="P6354" s="29" t="s">
        <v>2737</v>
      </c>
      <c r="Q6354" t="s">
        <v>2040</v>
      </c>
      <c r="R6354" t="s">
        <v>2634</v>
      </c>
      <c r="S6354">
        <v>35</v>
      </c>
      <c r="T6354" s="43" t="str">
        <f t="shared" si="292"/>
        <v>2019.006G.zip</v>
      </c>
      <c r="U6354" s="43" t="str">
        <f>HYPERLINK("https://ictv.global/taxonomy/taxondetails?taxnode_id=202202257","ictv.global=202202257")</f>
        <v>ictv.global=202202257</v>
      </c>
    </row>
    <row r="6355" spans="1:21">
      <c r="A6355">
        <v>6354</v>
      </c>
      <c r="B6355" s="29" t="s">
        <v>3223</v>
      </c>
      <c r="C6355" s="29"/>
      <c r="D6355" s="29" t="s">
        <v>4156</v>
      </c>
      <c r="E6355" s="29"/>
      <c r="F6355" s="29" t="s">
        <v>4173</v>
      </c>
      <c r="G6355" s="29"/>
      <c r="H6355" s="29" t="s">
        <v>4174</v>
      </c>
      <c r="I6355" s="29"/>
      <c r="J6355" s="29" t="s">
        <v>870</v>
      </c>
      <c r="K6355" s="29"/>
      <c r="L6355" s="29" t="s">
        <v>871</v>
      </c>
      <c r="M6355" s="29" t="s">
        <v>2168</v>
      </c>
      <c r="N6355" s="29" t="s">
        <v>334</v>
      </c>
      <c r="O6355" s="29"/>
      <c r="P6355" s="29" t="s">
        <v>1573</v>
      </c>
      <c r="Q6355" t="s">
        <v>2040</v>
      </c>
      <c r="R6355" t="s">
        <v>2634</v>
      </c>
      <c r="S6355">
        <v>35</v>
      </c>
      <c r="T6355" s="43" t="str">
        <f t="shared" si="292"/>
        <v>2019.006G.zip</v>
      </c>
      <c r="U6355" s="43" t="str">
        <f>HYPERLINK("https://ictv.global/taxonomy/taxondetails?taxnode_id=202202258","ictv.global=202202258")</f>
        <v>ictv.global=202202258</v>
      </c>
    </row>
    <row r="6356" spans="1:21">
      <c r="A6356">
        <v>6355</v>
      </c>
      <c r="B6356" s="29" t="s">
        <v>3223</v>
      </c>
      <c r="C6356" s="29"/>
      <c r="D6356" s="29" t="s">
        <v>4156</v>
      </c>
      <c r="E6356" s="29"/>
      <c r="F6356" s="29" t="s">
        <v>4173</v>
      </c>
      <c r="G6356" s="29"/>
      <c r="H6356" s="29" t="s">
        <v>4174</v>
      </c>
      <c r="I6356" s="29"/>
      <c r="J6356" s="29" t="s">
        <v>870</v>
      </c>
      <c r="K6356" s="29"/>
      <c r="L6356" s="29" t="s">
        <v>871</v>
      </c>
      <c r="M6356" s="29" t="s">
        <v>2168</v>
      </c>
      <c r="N6356" s="29" t="s">
        <v>334</v>
      </c>
      <c r="O6356" s="29"/>
      <c r="P6356" s="29" t="s">
        <v>2738</v>
      </c>
      <c r="Q6356" t="s">
        <v>2040</v>
      </c>
      <c r="R6356" t="s">
        <v>2634</v>
      </c>
      <c r="S6356">
        <v>35</v>
      </c>
      <c r="T6356" s="43" t="str">
        <f t="shared" si="292"/>
        <v>2019.006G.zip</v>
      </c>
      <c r="U6356" s="43" t="str">
        <f>HYPERLINK("https://ictv.global/taxonomy/taxondetails?taxnode_id=202205638","ictv.global=202205638")</f>
        <v>ictv.global=202205638</v>
      </c>
    </row>
    <row r="6357" spans="1:21">
      <c r="A6357">
        <v>6356</v>
      </c>
      <c r="B6357" s="29" t="s">
        <v>3223</v>
      </c>
      <c r="C6357" s="29"/>
      <c r="D6357" s="29" t="s">
        <v>4156</v>
      </c>
      <c r="E6357" s="29"/>
      <c r="F6357" s="29" t="s">
        <v>4173</v>
      </c>
      <c r="G6357" s="29"/>
      <c r="H6357" s="29" t="s">
        <v>4174</v>
      </c>
      <c r="I6357" s="29"/>
      <c r="J6357" s="29" t="s">
        <v>870</v>
      </c>
      <c r="K6357" s="29"/>
      <c r="L6357" s="29" t="s">
        <v>871</v>
      </c>
      <c r="M6357" s="29" t="s">
        <v>2168</v>
      </c>
      <c r="N6357" s="29" t="s">
        <v>334</v>
      </c>
      <c r="O6357" s="29"/>
      <c r="P6357" s="29" t="s">
        <v>1495</v>
      </c>
      <c r="Q6357" t="s">
        <v>2040</v>
      </c>
      <c r="R6357" t="s">
        <v>2634</v>
      </c>
      <c r="S6357">
        <v>35</v>
      </c>
      <c r="T6357" s="43" t="str">
        <f t="shared" si="292"/>
        <v>2019.006G.zip</v>
      </c>
      <c r="U6357" s="43" t="str">
        <f>HYPERLINK("https://ictv.global/taxonomy/taxondetails?taxnode_id=202202259","ictv.global=202202259")</f>
        <v>ictv.global=202202259</v>
      </c>
    </row>
    <row r="6358" spans="1:21">
      <c r="A6358">
        <v>6357</v>
      </c>
      <c r="B6358" s="29" t="s">
        <v>3223</v>
      </c>
      <c r="C6358" s="29"/>
      <c r="D6358" s="29" t="s">
        <v>4156</v>
      </c>
      <c r="E6358" s="29"/>
      <c r="F6358" s="29" t="s">
        <v>4173</v>
      </c>
      <c r="G6358" s="29"/>
      <c r="H6358" s="29" t="s">
        <v>4174</v>
      </c>
      <c r="I6358" s="29"/>
      <c r="J6358" s="29" t="s">
        <v>870</v>
      </c>
      <c r="K6358" s="29"/>
      <c r="L6358" s="29" t="s">
        <v>871</v>
      </c>
      <c r="M6358" s="29" t="s">
        <v>2168</v>
      </c>
      <c r="N6358" s="29" t="s">
        <v>334</v>
      </c>
      <c r="O6358" s="29"/>
      <c r="P6358" s="29" t="s">
        <v>1496</v>
      </c>
      <c r="Q6358" t="s">
        <v>2040</v>
      </c>
      <c r="R6358" t="s">
        <v>2634</v>
      </c>
      <c r="S6358">
        <v>35</v>
      </c>
      <c r="T6358" s="43" t="str">
        <f t="shared" si="292"/>
        <v>2019.006G.zip</v>
      </c>
      <c r="U6358" s="43" t="str">
        <f>HYPERLINK("https://ictv.global/taxonomy/taxondetails?taxnode_id=202202260","ictv.global=202202260")</f>
        <v>ictv.global=202202260</v>
      </c>
    </row>
    <row r="6359" spans="1:21">
      <c r="A6359">
        <v>6358</v>
      </c>
      <c r="B6359" s="29" t="s">
        <v>3223</v>
      </c>
      <c r="C6359" s="29"/>
      <c r="D6359" s="29" t="s">
        <v>4156</v>
      </c>
      <c r="E6359" s="29"/>
      <c r="F6359" s="29" t="s">
        <v>4173</v>
      </c>
      <c r="G6359" s="29"/>
      <c r="H6359" s="29" t="s">
        <v>4174</v>
      </c>
      <c r="I6359" s="29"/>
      <c r="J6359" s="29" t="s">
        <v>870</v>
      </c>
      <c r="K6359" s="29"/>
      <c r="L6359" s="29" t="s">
        <v>871</v>
      </c>
      <c r="M6359" s="29" t="s">
        <v>2168</v>
      </c>
      <c r="N6359" s="29" t="s">
        <v>334</v>
      </c>
      <c r="O6359" s="29"/>
      <c r="P6359" s="29" t="s">
        <v>1641</v>
      </c>
      <c r="Q6359" t="s">
        <v>2040</v>
      </c>
      <c r="R6359" t="s">
        <v>2634</v>
      </c>
      <c r="S6359">
        <v>35</v>
      </c>
      <c r="T6359" s="43" t="str">
        <f t="shared" si="292"/>
        <v>2019.006G.zip</v>
      </c>
      <c r="U6359" s="43" t="str">
        <f>HYPERLINK("https://ictv.global/taxonomy/taxondetails?taxnode_id=202202261","ictv.global=202202261")</f>
        <v>ictv.global=202202261</v>
      </c>
    </row>
    <row r="6360" spans="1:21">
      <c r="A6360">
        <v>6359</v>
      </c>
      <c r="B6360" s="29" t="s">
        <v>3223</v>
      </c>
      <c r="C6360" s="29"/>
      <c r="D6360" s="29" t="s">
        <v>4156</v>
      </c>
      <c r="E6360" s="29"/>
      <c r="F6360" s="29" t="s">
        <v>4173</v>
      </c>
      <c r="G6360" s="29"/>
      <c r="H6360" s="29" t="s">
        <v>4174</v>
      </c>
      <c r="I6360" s="29"/>
      <c r="J6360" s="29" t="s">
        <v>870</v>
      </c>
      <c r="K6360" s="29"/>
      <c r="L6360" s="29" t="s">
        <v>871</v>
      </c>
      <c r="M6360" s="29" t="s">
        <v>2168</v>
      </c>
      <c r="N6360" s="29" t="s">
        <v>334</v>
      </c>
      <c r="O6360" s="29"/>
      <c r="P6360" s="29" t="s">
        <v>1422</v>
      </c>
      <c r="Q6360" t="s">
        <v>2040</v>
      </c>
      <c r="R6360" t="s">
        <v>2634</v>
      </c>
      <c r="S6360">
        <v>35</v>
      </c>
      <c r="T6360" s="43" t="str">
        <f t="shared" si="292"/>
        <v>2019.006G.zip</v>
      </c>
      <c r="U6360" s="43" t="str">
        <f>HYPERLINK("https://ictv.global/taxonomy/taxondetails?taxnode_id=202202262","ictv.global=202202262")</f>
        <v>ictv.global=202202262</v>
      </c>
    </row>
    <row r="6361" spans="1:21">
      <c r="A6361">
        <v>6360</v>
      </c>
      <c r="B6361" s="29" t="s">
        <v>3223</v>
      </c>
      <c r="C6361" s="29"/>
      <c r="D6361" s="29" t="s">
        <v>4156</v>
      </c>
      <c r="E6361" s="29"/>
      <c r="F6361" s="29" t="s">
        <v>4173</v>
      </c>
      <c r="G6361" s="29"/>
      <c r="H6361" s="29" t="s">
        <v>4174</v>
      </c>
      <c r="I6361" s="29"/>
      <c r="J6361" s="29" t="s">
        <v>870</v>
      </c>
      <c r="K6361" s="29"/>
      <c r="L6361" s="29" t="s">
        <v>871</v>
      </c>
      <c r="M6361" s="29" t="s">
        <v>2168</v>
      </c>
      <c r="N6361" s="29" t="s">
        <v>334</v>
      </c>
      <c r="O6361" s="29"/>
      <c r="P6361" s="29" t="s">
        <v>1423</v>
      </c>
      <c r="Q6361" t="s">
        <v>2040</v>
      </c>
      <c r="R6361" t="s">
        <v>2634</v>
      </c>
      <c r="S6361">
        <v>35</v>
      </c>
      <c r="T6361" s="43" t="str">
        <f t="shared" si="292"/>
        <v>2019.006G.zip</v>
      </c>
      <c r="U6361" s="43" t="str">
        <f>HYPERLINK("https://ictv.global/taxonomy/taxondetails?taxnode_id=202202263","ictv.global=202202263")</f>
        <v>ictv.global=202202263</v>
      </c>
    </row>
    <row r="6362" spans="1:21">
      <c r="A6362">
        <v>6361</v>
      </c>
      <c r="B6362" s="29" t="s">
        <v>3223</v>
      </c>
      <c r="C6362" s="29"/>
      <c r="D6362" s="29" t="s">
        <v>4156</v>
      </c>
      <c r="E6362" s="29"/>
      <c r="F6362" s="29" t="s">
        <v>4173</v>
      </c>
      <c r="G6362" s="29"/>
      <c r="H6362" s="29" t="s">
        <v>4174</v>
      </c>
      <c r="I6362" s="29"/>
      <c r="J6362" s="29" t="s">
        <v>870</v>
      </c>
      <c r="K6362" s="29"/>
      <c r="L6362" s="29" t="s">
        <v>871</v>
      </c>
      <c r="M6362" s="29" t="s">
        <v>2168</v>
      </c>
      <c r="N6362" s="29" t="s">
        <v>334</v>
      </c>
      <c r="O6362" s="29"/>
      <c r="P6362" s="29" t="s">
        <v>1424</v>
      </c>
      <c r="Q6362" t="s">
        <v>2040</v>
      </c>
      <c r="R6362" t="s">
        <v>2634</v>
      </c>
      <c r="S6362">
        <v>35</v>
      </c>
      <c r="T6362" s="43" t="str">
        <f t="shared" si="292"/>
        <v>2019.006G.zip</v>
      </c>
      <c r="U6362" s="43" t="str">
        <f>HYPERLINK("https://ictv.global/taxonomy/taxondetails?taxnode_id=202202264","ictv.global=202202264")</f>
        <v>ictv.global=202202264</v>
      </c>
    </row>
    <row r="6363" spans="1:21">
      <c r="A6363">
        <v>6362</v>
      </c>
      <c r="B6363" s="29" t="s">
        <v>3223</v>
      </c>
      <c r="C6363" s="29"/>
      <c r="D6363" s="29" t="s">
        <v>4156</v>
      </c>
      <c r="E6363" s="29"/>
      <c r="F6363" s="29" t="s">
        <v>4173</v>
      </c>
      <c r="G6363" s="29"/>
      <c r="H6363" s="29" t="s">
        <v>4174</v>
      </c>
      <c r="I6363" s="29"/>
      <c r="J6363" s="29" t="s">
        <v>870</v>
      </c>
      <c r="K6363" s="29"/>
      <c r="L6363" s="29" t="s">
        <v>871</v>
      </c>
      <c r="M6363" s="29" t="s">
        <v>2168</v>
      </c>
      <c r="N6363" s="29" t="s">
        <v>334</v>
      </c>
      <c r="O6363" s="29"/>
      <c r="P6363" s="29" t="s">
        <v>1425</v>
      </c>
      <c r="Q6363" t="s">
        <v>2040</v>
      </c>
      <c r="R6363" t="s">
        <v>2634</v>
      </c>
      <c r="S6363">
        <v>35</v>
      </c>
      <c r="T6363" s="43" t="str">
        <f t="shared" si="292"/>
        <v>2019.006G.zip</v>
      </c>
      <c r="U6363" s="43" t="str">
        <f>HYPERLINK("https://ictv.global/taxonomy/taxondetails?taxnode_id=202202265","ictv.global=202202265")</f>
        <v>ictv.global=202202265</v>
      </c>
    </row>
    <row r="6364" spans="1:21">
      <c r="A6364">
        <v>6363</v>
      </c>
      <c r="B6364" s="29" t="s">
        <v>3223</v>
      </c>
      <c r="C6364" s="29"/>
      <c r="D6364" s="29" t="s">
        <v>4156</v>
      </c>
      <c r="E6364" s="29"/>
      <c r="F6364" s="29" t="s">
        <v>4173</v>
      </c>
      <c r="G6364" s="29"/>
      <c r="H6364" s="29" t="s">
        <v>4174</v>
      </c>
      <c r="I6364" s="29"/>
      <c r="J6364" s="29" t="s">
        <v>870</v>
      </c>
      <c r="K6364" s="29"/>
      <c r="L6364" s="29" t="s">
        <v>871</v>
      </c>
      <c r="M6364" s="29" t="s">
        <v>2168</v>
      </c>
      <c r="N6364" s="29" t="s">
        <v>334</v>
      </c>
      <c r="O6364" s="29"/>
      <c r="P6364" s="29" t="s">
        <v>1642</v>
      </c>
      <c r="Q6364" t="s">
        <v>2040</v>
      </c>
      <c r="R6364" t="s">
        <v>2634</v>
      </c>
      <c r="S6364">
        <v>35</v>
      </c>
      <c r="T6364" s="43" t="str">
        <f t="shared" si="292"/>
        <v>2019.006G.zip</v>
      </c>
      <c r="U6364" s="43" t="str">
        <f>HYPERLINK("https://ictv.global/taxonomy/taxondetails?taxnode_id=202202266","ictv.global=202202266")</f>
        <v>ictv.global=202202266</v>
      </c>
    </row>
    <row r="6365" spans="1:21">
      <c r="A6365">
        <v>6364</v>
      </c>
      <c r="B6365" s="29" t="s">
        <v>3223</v>
      </c>
      <c r="C6365" s="29"/>
      <c r="D6365" s="29" t="s">
        <v>4156</v>
      </c>
      <c r="E6365" s="29"/>
      <c r="F6365" s="29" t="s">
        <v>4173</v>
      </c>
      <c r="G6365" s="29"/>
      <c r="H6365" s="29" t="s">
        <v>4174</v>
      </c>
      <c r="I6365" s="29"/>
      <c r="J6365" s="29" t="s">
        <v>870</v>
      </c>
      <c r="K6365" s="29"/>
      <c r="L6365" s="29" t="s">
        <v>871</v>
      </c>
      <c r="M6365" s="29" t="s">
        <v>2168</v>
      </c>
      <c r="N6365" s="29" t="s">
        <v>334</v>
      </c>
      <c r="O6365" s="29"/>
      <c r="P6365" s="29" t="s">
        <v>1643</v>
      </c>
      <c r="Q6365" t="s">
        <v>2040</v>
      </c>
      <c r="R6365" t="s">
        <v>2634</v>
      </c>
      <c r="S6365">
        <v>35</v>
      </c>
      <c r="T6365" s="43" t="str">
        <f t="shared" si="292"/>
        <v>2019.006G.zip</v>
      </c>
      <c r="U6365" s="43" t="str">
        <f>HYPERLINK("https://ictv.global/taxonomy/taxondetails?taxnode_id=202202267","ictv.global=202202267")</f>
        <v>ictv.global=202202267</v>
      </c>
    </row>
    <row r="6366" spans="1:21">
      <c r="A6366">
        <v>6365</v>
      </c>
      <c r="B6366" s="29" t="s">
        <v>3223</v>
      </c>
      <c r="C6366" s="29"/>
      <c r="D6366" s="29" t="s">
        <v>4156</v>
      </c>
      <c r="E6366" s="29"/>
      <c r="F6366" s="29" t="s">
        <v>4173</v>
      </c>
      <c r="G6366" s="29"/>
      <c r="H6366" s="29" t="s">
        <v>4174</v>
      </c>
      <c r="I6366" s="29"/>
      <c r="J6366" s="29" t="s">
        <v>870</v>
      </c>
      <c r="K6366" s="29"/>
      <c r="L6366" s="29" t="s">
        <v>871</v>
      </c>
      <c r="M6366" s="29" t="s">
        <v>2168</v>
      </c>
      <c r="N6366" s="29" t="s">
        <v>334</v>
      </c>
      <c r="O6366" s="29"/>
      <c r="P6366" s="29" t="s">
        <v>1644</v>
      </c>
      <c r="Q6366" t="s">
        <v>2040</v>
      </c>
      <c r="R6366" t="s">
        <v>2634</v>
      </c>
      <c r="S6366">
        <v>35</v>
      </c>
      <c r="T6366" s="43" t="str">
        <f t="shared" si="292"/>
        <v>2019.006G.zip</v>
      </c>
      <c r="U6366" s="43" t="str">
        <f>HYPERLINK("https://ictv.global/taxonomy/taxondetails?taxnode_id=202202268","ictv.global=202202268")</f>
        <v>ictv.global=202202268</v>
      </c>
    </row>
    <row r="6367" spans="1:21">
      <c r="A6367">
        <v>6366</v>
      </c>
      <c r="B6367" s="29" t="s">
        <v>3223</v>
      </c>
      <c r="C6367" s="29"/>
      <c r="D6367" s="29" t="s">
        <v>4156</v>
      </c>
      <c r="E6367" s="29"/>
      <c r="F6367" s="29" t="s">
        <v>4173</v>
      </c>
      <c r="G6367" s="29"/>
      <c r="H6367" s="29" t="s">
        <v>4174</v>
      </c>
      <c r="I6367" s="29"/>
      <c r="J6367" s="29" t="s">
        <v>870</v>
      </c>
      <c r="K6367" s="29"/>
      <c r="L6367" s="29" t="s">
        <v>871</v>
      </c>
      <c r="M6367" s="29" t="s">
        <v>2168</v>
      </c>
      <c r="N6367" s="29" t="s">
        <v>334</v>
      </c>
      <c r="O6367" s="29"/>
      <c r="P6367" s="29" t="s">
        <v>1426</v>
      </c>
      <c r="Q6367" t="s">
        <v>2040</v>
      </c>
      <c r="R6367" t="s">
        <v>2634</v>
      </c>
      <c r="S6367">
        <v>35</v>
      </c>
      <c r="T6367" s="43" t="str">
        <f t="shared" si="292"/>
        <v>2019.006G.zip</v>
      </c>
      <c r="U6367" s="43" t="str">
        <f>HYPERLINK("https://ictv.global/taxonomy/taxondetails?taxnode_id=202202269","ictv.global=202202269")</f>
        <v>ictv.global=202202269</v>
      </c>
    </row>
    <row r="6368" spans="1:21">
      <c r="A6368">
        <v>6367</v>
      </c>
      <c r="B6368" s="29" t="s">
        <v>3223</v>
      </c>
      <c r="C6368" s="29"/>
      <c r="D6368" s="29" t="s">
        <v>4156</v>
      </c>
      <c r="E6368" s="29"/>
      <c r="F6368" s="29" t="s">
        <v>4173</v>
      </c>
      <c r="G6368" s="29"/>
      <c r="H6368" s="29" t="s">
        <v>4174</v>
      </c>
      <c r="I6368" s="29"/>
      <c r="J6368" s="29" t="s">
        <v>870</v>
      </c>
      <c r="K6368" s="29"/>
      <c r="L6368" s="29" t="s">
        <v>871</v>
      </c>
      <c r="M6368" s="29" t="s">
        <v>2168</v>
      </c>
      <c r="N6368" s="29" t="s">
        <v>334</v>
      </c>
      <c r="O6368" s="29"/>
      <c r="P6368" s="29" t="s">
        <v>1427</v>
      </c>
      <c r="Q6368" t="s">
        <v>2040</v>
      </c>
      <c r="R6368" t="s">
        <v>2634</v>
      </c>
      <c r="S6368">
        <v>35</v>
      </c>
      <c r="T6368" s="43" t="str">
        <f t="shared" si="292"/>
        <v>2019.006G.zip</v>
      </c>
      <c r="U6368" s="43" t="str">
        <f>HYPERLINK("https://ictv.global/taxonomy/taxondetails?taxnode_id=202202270","ictv.global=202202270")</f>
        <v>ictv.global=202202270</v>
      </c>
    </row>
    <row r="6369" spans="1:21">
      <c r="A6369">
        <v>6368</v>
      </c>
      <c r="B6369" s="29" t="s">
        <v>3223</v>
      </c>
      <c r="C6369" s="29"/>
      <c r="D6369" s="29" t="s">
        <v>4156</v>
      </c>
      <c r="E6369" s="29"/>
      <c r="F6369" s="29" t="s">
        <v>4173</v>
      </c>
      <c r="G6369" s="29"/>
      <c r="H6369" s="29" t="s">
        <v>4174</v>
      </c>
      <c r="I6369" s="29"/>
      <c r="J6369" s="29" t="s">
        <v>870</v>
      </c>
      <c r="K6369" s="29"/>
      <c r="L6369" s="29" t="s">
        <v>871</v>
      </c>
      <c r="M6369" s="29" t="s">
        <v>2168</v>
      </c>
      <c r="N6369" s="29" t="s">
        <v>334</v>
      </c>
      <c r="O6369" s="29"/>
      <c r="P6369" s="29" t="s">
        <v>2170</v>
      </c>
      <c r="Q6369" t="s">
        <v>2040</v>
      </c>
      <c r="R6369" t="s">
        <v>2634</v>
      </c>
      <c r="S6369">
        <v>35</v>
      </c>
      <c r="T6369" s="43" t="str">
        <f t="shared" si="292"/>
        <v>2019.006G.zip</v>
      </c>
      <c r="U6369" s="43" t="str">
        <f>HYPERLINK("https://ictv.global/taxonomy/taxondetails?taxnode_id=202202271","ictv.global=202202271")</f>
        <v>ictv.global=202202271</v>
      </c>
    </row>
    <row r="6370" spans="1:21">
      <c r="A6370">
        <v>6369</v>
      </c>
      <c r="B6370" s="29" t="s">
        <v>3223</v>
      </c>
      <c r="C6370" s="29"/>
      <c r="D6370" s="29" t="s">
        <v>4156</v>
      </c>
      <c r="E6370" s="29"/>
      <c r="F6370" s="29" t="s">
        <v>4173</v>
      </c>
      <c r="G6370" s="29"/>
      <c r="H6370" s="29" t="s">
        <v>4174</v>
      </c>
      <c r="I6370" s="29"/>
      <c r="J6370" s="29" t="s">
        <v>870</v>
      </c>
      <c r="K6370" s="29"/>
      <c r="L6370" s="29" t="s">
        <v>871</v>
      </c>
      <c r="M6370" s="29" t="s">
        <v>2168</v>
      </c>
      <c r="N6370" s="29" t="s">
        <v>334</v>
      </c>
      <c r="O6370" s="29"/>
      <c r="P6370" s="29" t="s">
        <v>1428</v>
      </c>
      <c r="Q6370" t="s">
        <v>2040</v>
      </c>
      <c r="R6370" t="s">
        <v>2634</v>
      </c>
      <c r="S6370">
        <v>35</v>
      </c>
      <c r="T6370" s="43" t="str">
        <f t="shared" si="292"/>
        <v>2019.006G.zip</v>
      </c>
      <c r="U6370" s="43" t="str">
        <f>HYPERLINK("https://ictv.global/taxonomy/taxondetails?taxnode_id=202202272","ictv.global=202202272")</f>
        <v>ictv.global=202202272</v>
      </c>
    </row>
    <row r="6371" spans="1:21">
      <c r="A6371">
        <v>6370</v>
      </c>
      <c r="B6371" s="29" t="s">
        <v>3223</v>
      </c>
      <c r="C6371" s="29"/>
      <c r="D6371" s="29" t="s">
        <v>4156</v>
      </c>
      <c r="E6371" s="29"/>
      <c r="F6371" s="29" t="s">
        <v>4173</v>
      </c>
      <c r="G6371" s="29"/>
      <c r="H6371" s="29" t="s">
        <v>4174</v>
      </c>
      <c r="I6371" s="29"/>
      <c r="J6371" s="29" t="s">
        <v>870</v>
      </c>
      <c r="K6371" s="29"/>
      <c r="L6371" s="29" t="s">
        <v>871</v>
      </c>
      <c r="M6371" s="29" t="s">
        <v>2168</v>
      </c>
      <c r="N6371" s="29" t="s">
        <v>334</v>
      </c>
      <c r="O6371" s="29"/>
      <c r="P6371" s="29" t="s">
        <v>1429</v>
      </c>
      <c r="Q6371" t="s">
        <v>2040</v>
      </c>
      <c r="R6371" t="s">
        <v>2634</v>
      </c>
      <c r="S6371">
        <v>35</v>
      </c>
      <c r="T6371" s="43" t="str">
        <f t="shared" si="292"/>
        <v>2019.006G.zip</v>
      </c>
      <c r="U6371" s="43" t="str">
        <f>HYPERLINK("https://ictv.global/taxonomy/taxondetails?taxnode_id=202202273","ictv.global=202202273")</f>
        <v>ictv.global=202202273</v>
      </c>
    </row>
    <row r="6372" spans="1:21">
      <c r="A6372">
        <v>6371</v>
      </c>
      <c r="B6372" s="29" t="s">
        <v>3223</v>
      </c>
      <c r="C6372" s="29"/>
      <c r="D6372" s="29" t="s">
        <v>4156</v>
      </c>
      <c r="E6372" s="29"/>
      <c r="F6372" s="29" t="s">
        <v>4173</v>
      </c>
      <c r="G6372" s="29"/>
      <c r="H6372" s="29" t="s">
        <v>4174</v>
      </c>
      <c r="I6372" s="29"/>
      <c r="J6372" s="29" t="s">
        <v>870</v>
      </c>
      <c r="K6372" s="29"/>
      <c r="L6372" s="29" t="s">
        <v>871</v>
      </c>
      <c r="M6372" s="29" t="s">
        <v>2168</v>
      </c>
      <c r="N6372" s="29" t="s">
        <v>334</v>
      </c>
      <c r="O6372" s="29"/>
      <c r="P6372" s="29" t="s">
        <v>1430</v>
      </c>
      <c r="Q6372" t="s">
        <v>2040</v>
      </c>
      <c r="R6372" t="s">
        <v>2634</v>
      </c>
      <c r="S6372">
        <v>35</v>
      </c>
      <c r="T6372" s="43" t="str">
        <f t="shared" si="292"/>
        <v>2019.006G.zip</v>
      </c>
      <c r="U6372" s="43" t="str">
        <f>HYPERLINK("https://ictv.global/taxonomy/taxondetails?taxnode_id=202202274","ictv.global=202202274")</f>
        <v>ictv.global=202202274</v>
      </c>
    </row>
    <row r="6373" spans="1:21">
      <c r="A6373">
        <v>6372</v>
      </c>
      <c r="B6373" s="29" t="s">
        <v>3223</v>
      </c>
      <c r="C6373" s="29"/>
      <c r="D6373" s="29" t="s">
        <v>4156</v>
      </c>
      <c r="E6373" s="29"/>
      <c r="F6373" s="29" t="s">
        <v>4173</v>
      </c>
      <c r="G6373" s="29"/>
      <c r="H6373" s="29" t="s">
        <v>4174</v>
      </c>
      <c r="I6373" s="29"/>
      <c r="J6373" s="29" t="s">
        <v>870</v>
      </c>
      <c r="K6373" s="29"/>
      <c r="L6373" s="29" t="s">
        <v>871</v>
      </c>
      <c r="M6373" s="29" t="s">
        <v>2168</v>
      </c>
      <c r="N6373" s="29" t="s">
        <v>334</v>
      </c>
      <c r="O6373" s="29"/>
      <c r="P6373" s="29" t="s">
        <v>1431</v>
      </c>
      <c r="Q6373" t="s">
        <v>2040</v>
      </c>
      <c r="R6373" t="s">
        <v>2634</v>
      </c>
      <c r="S6373">
        <v>35</v>
      </c>
      <c r="T6373" s="43" t="str">
        <f t="shared" si="292"/>
        <v>2019.006G.zip</v>
      </c>
      <c r="U6373" s="43" t="str">
        <f>HYPERLINK("https://ictv.global/taxonomy/taxondetails?taxnode_id=202202275","ictv.global=202202275")</f>
        <v>ictv.global=202202275</v>
      </c>
    </row>
    <row r="6374" spans="1:21">
      <c r="A6374">
        <v>6373</v>
      </c>
      <c r="B6374" s="29" t="s">
        <v>3223</v>
      </c>
      <c r="C6374" s="29"/>
      <c r="D6374" s="29" t="s">
        <v>4156</v>
      </c>
      <c r="E6374" s="29"/>
      <c r="F6374" s="29" t="s">
        <v>4173</v>
      </c>
      <c r="G6374" s="29"/>
      <c r="H6374" s="29" t="s">
        <v>4174</v>
      </c>
      <c r="I6374" s="29"/>
      <c r="J6374" s="29" t="s">
        <v>870</v>
      </c>
      <c r="K6374" s="29"/>
      <c r="L6374" s="29" t="s">
        <v>871</v>
      </c>
      <c r="M6374" s="29" t="s">
        <v>2168</v>
      </c>
      <c r="N6374" s="29" t="s">
        <v>334</v>
      </c>
      <c r="O6374" s="29"/>
      <c r="P6374" s="29" t="s">
        <v>2739</v>
      </c>
      <c r="Q6374" t="s">
        <v>2040</v>
      </c>
      <c r="R6374" t="s">
        <v>2634</v>
      </c>
      <c r="S6374">
        <v>35</v>
      </c>
      <c r="T6374" s="43" t="str">
        <f t="shared" si="292"/>
        <v>2019.006G.zip</v>
      </c>
      <c r="U6374" s="43" t="str">
        <f>HYPERLINK("https://ictv.global/taxonomy/taxondetails?taxnode_id=202205639","ictv.global=202205639")</f>
        <v>ictv.global=202205639</v>
      </c>
    </row>
    <row r="6375" spans="1:21">
      <c r="A6375">
        <v>6374</v>
      </c>
      <c r="B6375" s="29" t="s">
        <v>3223</v>
      </c>
      <c r="C6375" s="29"/>
      <c r="D6375" s="29" t="s">
        <v>4156</v>
      </c>
      <c r="E6375" s="29"/>
      <c r="F6375" s="29" t="s">
        <v>4173</v>
      </c>
      <c r="G6375" s="29"/>
      <c r="H6375" s="29" t="s">
        <v>4174</v>
      </c>
      <c r="I6375" s="29"/>
      <c r="J6375" s="29" t="s">
        <v>870</v>
      </c>
      <c r="K6375" s="29"/>
      <c r="L6375" s="29" t="s">
        <v>871</v>
      </c>
      <c r="M6375" s="29" t="s">
        <v>2168</v>
      </c>
      <c r="N6375" s="29" t="s">
        <v>334</v>
      </c>
      <c r="O6375" s="29"/>
      <c r="P6375" s="29" t="s">
        <v>2740</v>
      </c>
      <c r="Q6375" t="s">
        <v>2040</v>
      </c>
      <c r="R6375" t="s">
        <v>2634</v>
      </c>
      <c r="S6375">
        <v>35</v>
      </c>
      <c r="T6375" s="43" t="str">
        <f t="shared" si="292"/>
        <v>2019.006G.zip</v>
      </c>
      <c r="U6375" s="43" t="str">
        <f>HYPERLINK("https://ictv.global/taxonomy/taxondetails?taxnode_id=202205640","ictv.global=202205640")</f>
        <v>ictv.global=202205640</v>
      </c>
    </row>
    <row r="6376" spans="1:21">
      <c r="A6376">
        <v>6375</v>
      </c>
      <c r="B6376" s="29" t="s">
        <v>3223</v>
      </c>
      <c r="C6376" s="29"/>
      <c r="D6376" s="29" t="s">
        <v>4156</v>
      </c>
      <c r="E6376" s="29"/>
      <c r="F6376" s="29" t="s">
        <v>4173</v>
      </c>
      <c r="G6376" s="29"/>
      <c r="H6376" s="29" t="s">
        <v>4174</v>
      </c>
      <c r="I6376" s="29"/>
      <c r="J6376" s="29" t="s">
        <v>870</v>
      </c>
      <c r="K6376" s="29"/>
      <c r="L6376" s="29" t="s">
        <v>871</v>
      </c>
      <c r="M6376" s="29" t="s">
        <v>2168</v>
      </c>
      <c r="N6376" s="29" t="s">
        <v>334</v>
      </c>
      <c r="O6376" s="29"/>
      <c r="P6376" s="29" t="s">
        <v>2741</v>
      </c>
      <c r="Q6376" t="s">
        <v>2040</v>
      </c>
      <c r="R6376" t="s">
        <v>2634</v>
      </c>
      <c r="S6376">
        <v>35</v>
      </c>
      <c r="T6376" s="43" t="str">
        <f t="shared" si="292"/>
        <v>2019.006G.zip</v>
      </c>
      <c r="U6376" s="43" t="str">
        <f>HYPERLINK("https://ictv.global/taxonomy/taxondetails?taxnode_id=202205641","ictv.global=202205641")</f>
        <v>ictv.global=202205641</v>
      </c>
    </row>
    <row r="6377" spans="1:21">
      <c r="A6377">
        <v>6376</v>
      </c>
      <c r="B6377" s="29" t="s">
        <v>3223</v>
      </c>
      <c r="C6377" s="29"/>
      <c r="D6377" s="29" t="s">
        <v>4156</v>
      </c>
      <c r="E6377" s="29"/>
      <c r="F6377" s="29" t="s">
        <v>4173</v>
      </c>
      <c r="G6377" s="29"/>
      <c r="H6377" s="29" t="s">
        <v>4174</v>
      </c>
      <c r="I6377" s="29"/>
      <c r="J6377" s="29" t="s">
        <v>870</v>
      </c>
      <c r="K6377" s="29"/>
      <c r="L6377" s="29" t="s">
        <v>871</v>
      </c>
      <c r="M6377" s="29" t="s">
        <v>2168</v>
      </c>
      <c r="N6377" s="29" t="s">
        <v>334</v>
      </c>
      <c r="O6377" s="29"/>
      <c r="P6377" s="29" t="s">
        <v>1432</v>
      </c>
      <c r="Q6377" t="s">
        <v>2040</v>
      </c>
      <c r="R6377" t="s">
        <v>2634</v>
      </c>
      <c r="S6377">
        <v>35</v>
      </c>
      <c r="T6377" s="43" t="str">
        <f t="shared" si="292"/>
        <v>2019.006G.zip</v>
      </c>
      <c r="U6377" s="43" t="str">
        <f>HYPERLINK("https://ictv.global/taxonomy/taxondetails?taxnode_id=202202276","ictv.global=202202276")</f>
        <v>ictv.global=202202276</v>
      </c>
    </row>
    <row r="6378" spans="1:21">
      <c r="A6378">
        <v>6377</v>
      </c>
      <c r="B6378" s="29" t="s">
        <v>3223</v>
      </c>
      <c r="C6378" s="29"/>
      <c r="D6378" s="29" t="s">
        <v>4156</v>
      </c>
      <c r="E6378" s="29"/>
      <c r="F6378" s="29" t="s">
        <v>4173</v>
      </c>
      <c r="G6378" s="29"/>
      <c r="H6378" s="29" t="s">
        <v>4174</v>
      </c>
      <c r="I6378" s="29"/>
      <c r="J6378" s="29" t="s">
        <v>870</v>
      </c>
      <c r="K6378" s="29"/>
      <c r="L6378" s="29" t="s">
        <v>871</v>
      </c>
      <c r="M6378" s="29" t="s">
        <v>2168</v>
      </c>
      <c r="N6378" s="29" t="s">
        <v>334</v>
      </c>
      <c r="O6378" s="29"/>
      <c r="P6378" s="29" t="s">
        <v>2742</v>
      </c>
      <c r="Q6378" t="s">
        <v>2040</v>
      </c>
      <c r="R6378" t="s">
        <v>2634</v>
      </c>
      <c r="S6378">
        <v>35</v>
      </c>
      <c r="T6378" s="43" t="str">
        <f t="shared" si="292"/>
        <v>2019.006G.zip</v>
      </c>
      <c r="U6378" s="43" t="str">
        <f>HYPERLINK("https://ictv.global/taxonomy/taxondetails?taxnode_id=202202277","ictv.global=202202277")</f>
        <v>ictv.global=202202277</v>
      </c>
    </row>
    <row r="6379" spans="1:21">
      <c r="A6379">
        <v>6378</v>
      </c>
      <c r="B6379" s="29" t="s">
        <v>3223</v>
      </c>
      <c r="C6379" s="29"/>
      <c r="D6379" s="29" t="s">
        <v>4156</v>
      </c>
      <c r="E6379" s="29"/>
      <c r="F6379" s="29" t="s">
        <v>4173</v>
      </c>
      <c r="G6379" s="29"/>
      <c r="H6379" s="29" t="s">
        <v>4174</v>
      </c>
      <c r="I6379" s="29"/>
      <c r="J6379" s="29" t="s">
        <v>870</v>
      </c>
      <c r="K6379" s="29"/>
      <c r="L6379" s="29" t="s">
        <v>871</v>
      </c>
      <c r="M6379" s="29" t="s">
        <v>2168</v>
      </c>
      <c r="N6379" s="29" t="s">
        <v>334</v>
      </c>
      <c r="O6379" s="29"/>
      <c r="P6379" s="29" t="s">
        <v>171</v>
      </c>
      <c r="Q6379" t="s">
        <v>2040</v>
      </c>
      <c r="R6379" t="s">
        <v>2634</v>
      </c>
      <c r="S6379">
        <v>35</v>
      </c>
      <c r="T6379" s="43" t="str">
        <f t="shared" si="292"/>
        <v>2019.006G.zip</v>
      </c>
      <c r="U6379" s="43" t="str">
        <f>HYPERLINK("https://ictv.global/taxonomy/taxondetails?taxnode_id=202202278","ictv.global=202202278")</f>
        <v>ictv.global=202202278</v>
      </c>
    </row>
    <row r="6380" spans="1:21">
      <c r="A6380">
        <v>6379</v>
      </c>
      <c r="B6380" s="29" t="s">
        <v>3223</v>
      </c>
      <c r="C6380" s="29"/>
      <c r="D6380" s="29" t="s">
        <v>4156</v>
      </c>
      <c r="E6380" s="29"/>
      <c r="F6380" s="29" t="s">
        <v>4173</v>
      </c>
      <c r="G6380" s="29"/>
      <c r="H6380" s="29" t="s">
        <v>4174</v>
      </c>
      <c r="I6380" s="29"/>
      <c r="J6380" s="29" t="s">
        <v>870</v>
      </c>
      <c r="K6380" s="29"/>
      <c r="L6380" s="29" t="s">
        <v>871</v>
      </c>
      <c r="M6380" s="29" t="s">
        <v>2168</v>
      </c>
      <c r="N6380" s="29" t="s">
        <v>334</v>
      </c>
      <c r="O6380" s="29"/>
      <c r="P6380" s="29" t="s">
        <v>1645</v>
      </c>
      <c r="Q6380" t="s">
        <v>2040</v>
      </c>
      <c r="R6380" t="s">
        <v>2634</v>
      </c>
      <c r="S6380">
        <v>35</v>
      </c>
      <c r="T6380" s="43" t="str">
        <f t="shared" si="292"/>
        <v>2019.006G.zip</v>
      </c>
      <c r="U6380" s="43" t="str">
        <f>HYPERLINK("https://ictv.global/taxonomy/taxondetails?taxnode_id=202202279","ictv.global=202202279")</f>
        <v>ictv.global=202202279</v>
      </c>
    </row>
    <row r="6381" spans="1:21">
      <c r="A6381">
        <v>6380</v>
      </c>
      <c r="B6381" s="29" t="s">
        <v>3223</v>
      </c>
      <c r="C6381" s="29"/>
      <c r="D6381" s="29" t="s">
        <v>4156</v>
      </c>
      <c r="E6381" s="29"/>
      <c r="F6381" s="29" t="s">
        <v>4173</v>
      </c>
      <c r="G6381" s="29"/>
      <c r="H6381" s="29" t="s">
        <v>4174</v>
      </c>
      <c r="I6381" s="29"/>
      <c r="J6381" s="29" t="s">
        <v>870</v>
      </c>
      <c r="K6381" s="29"/>
      <c r="L6381" s="29" t="s">
        <v>871</v>
      </c>
      <c r="M6381" s="29" t="s">
        <v>2168</v>
      </c>
      <c r="N6381" s="29" t="s">
        <v>334</v>
      </c>
      <c r="O6381" s="29"/>
      <c r="P6381" s="29" t="s">
        <v>172</v>
      </c>
      <c r="Q6381" t="s">
        <v>2040</v>
      </c>
      <c r="R6381" t="s">
        <v>2634</v>
      </c>
      <c r="S6381">
        <v>35</v>
      </c>
      <c r="T6381" s="43" t="str">
        <f t="shared" si="292"/>
        <v>2019.006G.zip</v>
      </c>
      <c r="U6381" s="43" t="str">
        <f>HYPERLINK("https://ictv.global/taxonomy/taxondetails?taxnode_id=202202280","ictv.global=202202280")</f>
        <v>ictv.global=202202280</v>
      </c>
    </row>
    <row r="6382" spans="1:21">
      <c r="A6382">
        <v>6381</v>
      </c>
      <c r="B6382" s="29" t="s">
        <v>3223</v>
      </c>
      <c r="C6382" s="29"/>
      <c r="D6382" s="29" t="s">
        <v>4156</v>
      </c>
      <c r="E6382" s="29"/>
      <c r="F6382" s="29" t="s">
        <v>4173</v>
      </c>
      <c r="G6382" s="29"/>
      <c r="H6382" s="29" t="s">
        <v>4174</v>
      </c>
      <c r="I6382" s="29"/>
      <c r="J6382" s="29" t="s">
        <v>870</v>
      </c>
      <c r="K6382" s="29"/>
      <c r="L6382" s="29" t="s">
        <v>871</v>
      </c>
      <c r="M6382" s="29" t="s">
        <v>2168</v>
      </c>
      <c r="N6382" s="29" t="s">
        <v>334</v>
      </c>
      <c r="O6382" s="29"/>
      <c r="P6382" s="29" t="s">
        <v>173</v>
      </c>
      <c r="Q6382" t="s">
        <v>2040</v>
      </c>
      <c r="R6382" t="s">
        <v>2634</v>
      </c>
      <c r="S6382">
        <v>35</v>
      </c>
      <c r="T6382" s="43" t="str">
        <f t="shared" si="292"/>
        <v>2019.006G.zip</v>
      </c>
      <c r="U6382" s="43" t="str">
        <f>HYPERLINK("https://ictv.global/taxonomy/taxondetails?taxnode_id=202202281","ictv.global=202202281")</f>
        <v>ictv.global=202202281</v>
      </c>
    </row>
    <row r="6383" spans="1:21">
      <c r="A6383">
        <v>6382</v>
      </c>
      <c r="B6383" s="29" t="s">
        <v>3223</v>
      </c>
      <c r="C6383" s="29"/>
      <c r="D6383" s="29" t="s">
        <v>4156</v>
      </c>
      <c r="E6383" s="29"/>
      <c r="F6383" s="29" t="s">
        <v>4173</v>
      </c>
      <c r="G6383" s="29"/>
      <c r="H6383" s="29" t="s">
        <v>4174</v>
      </c>
      <c r="I6383" s="29"/>
      <c r="J6383" s="29" t="s">
        <v>870</v>
      </c>
      <c r="K6383" s="29"/>
      <c r="L6383" s="29" t="s">
        <v>871</v>
      </c>
      <c r="M6383" s="29" t="s">
        <v>2168</v>
      </c>
      <c r="N6383" s="29" t="s">
        <v>334</v>
      </c>
      <c r="O6383" s="29"/>
      <c r="P6383" s="29" t="s">
        <v>2743</v>
      </c>
      <c r="Q6383" t="s">
        <v>2040</v>
      </c>
      <c r="R6383" t="s">
        <v>2634</v>
      </c>
      <c r="S6383">
        <v>35</v>
      </c>
      <c r="T6383" s="43" t="str">
        <f t="shared" si="292"/>
        <v>2019.006G.zip</v>
      </c>
      <c r="U6383" s="43" t="str">
        <f>HYPERLINK("https://ictv.global/taxonomy/taxondetails?taxnode_id=202205642","ictv.global=202205642")</f>
        <v>ictv.global=202205642</v>
      </c>
    </row>
    <row r="6384" spans="1:21">
      <c r="A6384">
        <v>6383</v>
      </c>
      <c r="B6384" s="29" t="s">
        <v>3223</v>
      </c>
      <c r="C6384" s="29"/>
      <c r="D6384" s="29" t="s">
        <v>4156</v>
      </c>
      <c r="E6384" s="29"/>
      <c r="F6384" s="29" t="s">
        <v>4173</v>
      </c>
      <c r="G6384" s="29"/>
      <c r="H6384" s="29" t="s">
        <v>4174</v>
      </c>
      <c r="I6384" s="29"/>
      <c r="J6384" s="29" t="s">
        <v>870</v>
      </c>
      <c r="K6384" s="29"/>
      <c r="L6384" s="29" t="s">
        <v>871</v>
      </c>
      <c r="M6384" s="29" t="s">
        <v>2168</v>
      </c>
      <c r="N6384" s="29" t="s">
        <v>176</v>
      </c>
      <c r="O6384" s="29"/>
      <c r="P6384" s="29" t="s">
        <v>177</v>
      </c>
      <c r="Q6384" t="s">
        <v>2040</v>
      </c>
      <c r="R6384" t="s">
        <v>6901</v>
      </c>
      <c r="S6384">
        <v>36</v>
      </c>
      <c r="T6384" s="43" t="str">
        <f>HYPERLINK("https://ictv.global/ictv/proposals/2020.001G.R.Abolish_type_species.pdf","2020.001G.R.Abolish_type_species.pdf")</f>
        <v>2020.001G.R.Abolish_type_species.pdf</v>
      </c>
      <c r="U6384" s="43" t="str">
        <f>HYPERLINK("https://ictv.global/taxonomy/taxondetails?taxnode_id=202202283","ictv.global=202202283")</f>
        <v>ictv.global=202202283</v>
      </c>
    </row>
    <row r="6385" spans="1:21">
      <c r="A6385">
        <v>6384</v>
      </c>
      <c r="B6385" s="29" t="s">
        <v>3223</v>
      </c>
      <c r="C6385" s="29"/>
      <c r="D6385" s="29" t="s">
        <v>4156</v>
      </c>
      <c r="E6385" s="29"/>
      <c r="F6385" s="29" t="s">
        <v>4173</v>
      </c>
      <c r="G6385" s="29"/>
      <c r="H6385" s="29" t="s">
        <v>4174</v>
      </c>
      <c r="I6385" s="29"/>
      <c r="J6385" s="29" t="s">
        <v>870</v>
      </c>
      <c r="K6385" s="29"/>
      <c r="L6385" s="29" t="s">
        <v>871</v>
      </c>
      <c r="M6385" s="29" t="s">
        <v>2168</v>
      </c>
      <c r="N6385" s="29" t="s">
        <v>176</v>
      </c>
      <c r="O6385" s="29"/>
      <c r="P6385" s="29" t="s">
        <v>178</v>
      </c>
      <c r="Q6385" t="s">
        <v>2040</v>
      </c>
      <c r="R6385" t="s">
        <v>2634</v>
      </c>
      <c r="S6385">
        <v>35</v>
      </c>
      <c r="T6385" s="43" t="str">
        <f>HYPERLINK("https://ictv.global/ictv/proposals/2019.006G.zip","2019.006G.zip")</f>
        <v>2019.006G.zip</v>
      </c>
      <c r="U6385" s="43" t="str">
        <f>HYPERLINK("https://ictv.global/taxonomy/taxondetails?taxnode_id=202202284","ictv.global=202202284")</f>
        <v>ictv.global=202202284</v>
      </c>
    </row>
    <row r="6386" spans="1:21">
      <c r="A6386">
        <v>6385</v>
      </c>
      <c r="B6386" s="29" t="s">
        <v>3223</v>
      </c>
      <c r="C6386" s="29"/>
      <c r="D6386" s="29" t="s">
        <v>4156</v>
      </c>
      <c r="E6386" s="29"/>
      <c r="F6386" s="29" t="s">
        <v>4173</v>
      </c>
      <c r="G6386" s="29"/>
      <c r="H6386" s="29" t="s">
        <v>4174</v>
      </c>
      <c r="I6386" s="29"/>
      <c r="J6386" s="29" t="s">
        <v>870</v>
      </c>
      <c r="K6386" s="29"/>
      <c r="L6386" s="29" t="s">
        <v>871</v>
      </c>
      <c r="M6386" s="29" t="s">
        <v>2168</v>
      </c>
      <c r="N6386" s="29" t="s">
        <v>176</v>
      </c>
      <c r="O6386" s="29"/>
      <c r="P6386" s="29" t="s">
        <v>1646</v>
      </c>
      <c r="Q6386" t="s">
        <v>2040</v>
      </c>
      <c r="R6386" t="s">
        <v>2634</v>
      </c>
      <c r="S6386">
        <v>35</v>
      </c>
      <c r="T6386" s="43" t="str">
        <f>HYPERLINK("https://ictv.global/ictv/proposals/2019.006G.zip","2019.006G.zip")</f>
        <v>2019.006G.zip</v>
      </c>
      <c r="U6386" s="43" t="str">
        <f>HYPERLINK("https://ictv.global/taxonomy/taxondetails?taxnode_id=202202285","ictv.global=202202285")</f>
        <v>ictv.global=202202285</v>
      </c>
    </row>
    <row r="6387" spans="1:21">
      <c r="A6387">
        <v>6386</v>
      </c>
      <c r="B6387" s="29" t="s">
        <v>3223</v>
      </c>
      <c r="C6387" s="29"/>
      <c r="D6387" s="29" t="s">
        <v>4156</v>
      </c>
      <c r="E6387" s="29"/>
      <c r="F6387" s="29" t="s">
        <v>4173</v>
      </c>
      <c r="G6387" s="29"/>
      <c r="H6387" s="29" t="s">
        <v>4174</v>
      </c>
      <c r="I6387" s="29"/>
      <c r="J6387" s="29" t="s">
        <v>870</v>
      </c>
      <c r="K6387" s="29"/>
      <c r="L6387" s="29" t="s">
        <v>871</v>
      </c>
      <c r="M6387" s="29" t="s">
        <v>2168</v>
      </c>
      <c r="N6387" s="29" t="s">
        <v>176</v>
      </c>
      <c r="O6387" s="29"/>
      <c r="P6387" s="29" t="s">
        <v>2744</v>
      </c>
      <c r="Q6387" t="s">
        <v>2040</v>
      </c>
      <c r="R6387" t="s">
        <v>2634</v>
      </c>
      <c r="S6387">
        <v>35</v>
      </c>
      <c r="T6387" s="43" t="str">
        <f>HYPERLINK("https://ictv.global/ictv/proposals/2019.006G.zip","2019.006G.zip")</f>
        <v>2019.006G.zip</v>
      </c>
      <c r="U6387" s="43" t="str">
        <f>HYPERLINK("https://ictv.global/taxonomy/taxondetails?taxnode_id=202205643","ictv.global=202205643")</f>
        <v>ictv.global=202205643</v>
      </c>
    </row>
    <row r="6388" spans="1:21">
      <c r="A6388">
        <v>6387</v>
      </c>
      <c r="B6388" s="29" t="s">
        <v>3223</v>
      </c>
      <c r="C6388" s="29"/>
      <c r="D6388" s="29" t="s">
        <v>4156</v>
      </c>
      <c r="E6388" s="29"/>
      <c r="F6388" s="29" t="s">
        <v>4173</v>
      </c>
      <c r="G6388" s="29"/>
      <c r="H6388" s="29" t="s">
        <v>4174</v>
      </c>
      <c r="I6388" s="29"/>
      <c r="J6388" s="29" t="s">
        <v>870</v>
      </c>
      <c r="K6388" s="29"/>
      <c r="L6388" s="29" t="s">
        <v>871</v>
      </c>
      <c r="M6388" s="29" t="s">
        <v>2168</v>
      </c>
      <c r="N6388" s="29" t="s">
        <v>176</v>
      </c>
      <c r="O6388" s="29"/>
      <c r="P6388" s="29" t="s">
        <v>12275</v>
      </c>
      <c r="Q6388" t="s">
        <v>2040</v>
      </c>
      <c r="R6388" t="s">
        <v>2632</v>
      </c>
      <c r="S6388">
        <v>37</v>
      </c>
      <c r="T6388" s="43" t="str">
        <f>HYPERLINK("https://ictv.global/ictv/proposals/2021.007P.R.Betaflexiviridae_2ng_23nsp.zip","2021.007P.R.Betaflexiviridae_2ng_23nsp.zip")</f>
        <v>2021.007P.R.Betaflexiviridae_2ng_23nsp.zip</v>
      </c>
      <c r="U6388" s="43" t="str">
        <f>HYPERLINK("https://ictv.global/taxonomy/taxondetails?taxnode_id=202213850","ictv.global=202213850")</f>
        <v>ictv.global=202213850</v>
      </c>
    </row>
    <row r="6389" spans="1:21">
      <c r="A6389">
        <v>6388</v>
      </c>
      <c r="B6389" s="29" t="s">
        <v>3223</v>
      </c>
      <c r="C6389" s="29"/>
      <c r="D6389" s="29" t="s">
        <v>4156</v>
      </c>
      <c r="E6389" s="29"/>
      <c r="F6389" s="29" t="s">
        <v>4173</v>
      </c>
      <c r="G6389" s="29"/>
      <c r="H6389" s="29" t="s">
        <v>4174</v>
      </c>
      <c r="I6389" s="29"/>
      <c r="J6389" s="29" t="s">
        <v>870</v>
      </c>
      <c r="K6389" s="29"/>
      <c r="L6389" s="29" t="s">
        <v>871</v>
      </c>
      <c r="M6389" s="29" t="s">
        <v>2168</v>
      </c>
      <c r="N6389" s="29" t="s">
        <v>176</v>
      </c>
      <c r="O6389" s="29"/>
      <c r="P6389" s="29" t="s">
        <v>12276</v>
      </c>
      <c r="Q6389" t="s">
        <v>2040</v>
      </c>
      <c r="R6389" t="s">
        <v>2632</v>
      </c>
      <c r="S6389">
        <v>38</v>
      </c>
      <c r="T6389" s="43" t="str">
        <f>HYPERLINK("https://ictv.global/ictv/proposals/2022.001P.Betaflexiviridae_12ns.zip","2022.001P.Betaflexiviridae_12ns.zip")</f>
        <v>2022.001P.Betaflexiviridae_12ns.zip</v>
      </c>
      <c r="U6389" s="43" t="str">
        <f>HYPERLINK("https://ictv.global/taxonomy/taxondetails?taxnode_id=202215085","ictv.global=202215085")</f>
        <v>ictv.global=202215085</v>
      </c>
    </row>
    <row r="6390" spans="1:21">
      <c r="A6390">
        <v>6389</v>
      </c>
      <c r="B6390" s="29" t="s">
        <v>3223</v>
      </c>
      <c r="C6390" s="29"/>
      <c r="D6390" s="29" t="s">
        <v>4156</v>
      </c>
      <c r="E6390" s="29"/>
      <c r="F6390" s="29" t="s">
        <v>4173</v>
      </c>
      <c r="G6390" s="29"/>
      <c r="H6390" s="29" t="s">
        <v>4174</v>
      </c>
      <c r="I6390" s="29"/>
      <c r="J6390" s="29" t="s">
        <v>870</v>
      </c>
      <c r="K6390" s="29"/>
      <c r="L6390" s="29" t="s">
        <v>871</v>
      </c>
      <c r="M6390" s="29" t="s">
        <v>2168</v>
      </c>
      <c r="N6390" s="29" t="s">
        <v>176</v>
      </c>
      <c r="O6390" s="29"/>
      <c r="P6390" s="29" t="s">
        <v>12277</v>
      </c>
      <c r="Q6390" t="s">
        <v>2040</v>
      </c>
      <c r="R6390" t="s">
        <v>2632</v>
      </c>
      <c r="S6390">
        <v>38</v>
      </c>
      <c r="T6390" s="43" t="str">
        <f>HYPERLINK("https://ictv.global/ictv/proposals/2022.001P.Betaflexiviridae_12ns.zip","2022.001P.Betaflexiviridae_12ns.zip")</f>
        <v>2022.001P.Betaflexiviridae_12ns.zip</v>
      </c>
      <c r="U6390" s="43" t="str">
        <f>HYPERLINK("https://ictv.global/taxonomy/taxondetails?taxnode_id=202215086","ictv.global=202215086")</f>
        <v>ictv.global=202215086</v>
      </c>
    </row>
    <row r="6391" spans="1:21">
      <c r="A6391">
        <v>6390</v>
      </c>
      <c r="B6391" s="29" t="s">
        <v>3223</v>
      </c>
      <c r="C6391" s="29"/>
      <c r="D6391" s="29" t="s">
        <v>4156</v>
      </c>
      <c r="E6391" s="29"/>
      <c r="F6391" s="29" t="s">
        <v>4173</v>
      </c>
      <c r="G6391" s="29"/>
      <c r="H6391" s="29" t="s">
        <v>4174</v>
      </c>
      <c r="I6391" s="29"/>
      <c r="J6391" s="29" t="s">
        <v>870</v>
      </c>
      <c r="K6391" s="29"/>
      <c r="L6391" s="29" t="s">
        <v>871</v>
      </c>
      <c r="M6391" s="29" t="s">
        <v>2168</v>
      </c>
      <c r="N6391" s="29" t="s">
        <v>176</v>
      </c>
      <c r="O6391" s="29"/>
      <c r="P6391" s="29" t="s">
        <v>12278</v>
      </c>
      <c r="Q6391" t="s">
        <v>2040</v>
      </c>
      <c r="R6391" t="s">
        <v>2632</v>
      </c>
      <c r="S6391">
        <v>37</v>
      </c>
      <c r="T6391" s="43" t="str">
        <f>HYPERLINK("https://ictv.global/ictv/proposals/2021.007P.R.Betaflexiviridae_2ng_23nsp.zip","2021.007P.R.Betaflexiviridae_2ng_23nsp.zip")</f>
        <v>2021.007P.R.Betaflexiviridae_2ng_23nsp.zip</v>
      </c>
      <c r="U6391" s="43" t="str">
        <f>HYPERLINK("https://ictv.global/taxonomy/taxondetails?taxnode_id=202213851","ictv.global=202213851")</f>
        <v>ictv.global=202213851</v>
      </c>
    </row>
    <row r="6392" spans="1:21">
      <c r="A6392">
        <v>6391</v>
      </c>
      <c r="B6392" s="29" t="s">
        <v>3223</v>
      </c>
      <c r="C6392" s="29"/>
      <c r="D6392" s="29" t="s">
        <v>4156</v>
      </c>
      <c r="E6392" s="29"/>
      <c r="F6392" s="29" t="s">
        <v>4173</v>
      </c>
      <c r="G6392" s="29"/>
      <c r="H6392" s="29" t="s">
        <v>4174</v>
      </c>
      <c r="I6392" s="29"/>
      <c r="J6392" s="29" t="s">
        <v>870</v>
      </c>
      <c r="K6392" s="29"/>
      <c r="L6392" s="29" t="s">
        <v>871</v>
      </c>
      <c r="M6392" s="29" t="s">
        <v>2168</v>
      </c>
      <c r="N6392" s="29" t="s">
        <v>176</v>
      </c>
      <c r="O6392" s="29"/>
      <c r="P6392" s="29" t="s">
        <v>271</v>
      </c>
      <c r="Q6392" t="s">
        <v>2040</v>
      </c>
      <c r="R6392" t="s">
        <v>2634</v>
      </c>
      <c r="S6392">
        <v>35</v>
      </c>
      <c r="T6392" s="43" t="str">
        <f t="shared" ref="T6392:T6397" si="293">HYPERLINK("https://ictv.global/ictv/proposals/2019.006G.zip","2019.006G.zip")</f>
        <v>2019.006G.zip</v>
      </c>
      <c r="U6392" s="43" t="str">
        <f>HYPERLINK("https://ictv.global/taxonomy/taxondetails?taxnode_id=202202286","ictv.global=202202286")</f>
        <v>ictv.global=202202286</v>
      </c>
    </row>
    <row r="6393" spans="1:21">
      <c r="A6393">
        <v>6392</v>
      </c>
      <c r="B6393" s="29" t="s">
        <v>3223</v>
      </c>
      <c r="C6393" s="29"/>
      <c r="D6393" s="29" t="s">
        <v>4156</v>
      </c>
      <c r="E6393" s="29"/>
      <c r="F6393" s="29" t="s">
        <v>4173</v>
      </c>
      <c r="G6393" s="29"/>
      <c r="H6393" s="29" t="s">
        <v>4174</v>
      </c>
      <c r="I6393" s="29"/>
      <c r="J6393" s="29" t="s">
        <v>870</v>
      </c>
      <c r="K6393" s="29"/>
      <c r="L6393" s="29" t="s">
        <v>871</v>
      </c>
      <c r="M6393" s="29" t="s">
        <v>2168</v>
      </c>
      <c r="N6393" s="29" t="s">
        <v>176</v>
      </c>
      <c r="O6393" s="29"/>
      <c r="P6393" s="29" t="s">
        <v>3302</v>
      </c>
      <c r="Q6393" t="s">
        <v>2040</v>
      </c>
      <c r="R6393" t="s">
        <v>2634</v>
      </c>
      <c r="S6393">
        <v>35</v>
      </c>
      <c r="T6393" s="43" t="str">
        <f t="shared" si="293"/>
        <v>2019.006G.zip</v>
      </c>
      <c r="U6393" s="43" t="str">
        <f>HYPERLINK("https://ictv.global/taxonomy/taxondetails?taxnode_id=202206339","ictv.global=202206339")</f>
        <v>ictv.global=202206339</v>
      </c>
    </row>
    <row r="6394" spans="1:21">
      <c r="A6394">
        <v>6393</v>
      </c>
      <c r="B6394" s="29" t="s">
        <v>3223</v>
      </c>
      <c r="C6394" s="29"/>
      <c r="D6394" s="29" t="s">
        <v>4156</v>
      </c>
      <c r="E6394" s="29"/>
      <c r="F6394" s="29" t="s">
        <v>4173</v>
      </c>
      <c r="G6394" s="29"/>
      <c r="H6394" s="29" t="s">
        <v>4174</v>
      </c>
      <c r="I6394" s="29"/>
      <c r="J6394" s="29" t="s">
        <v>870</v>
      </c>
      <c r="K6394" s="29"/>
      <c r="L6394" s="29" t="s">
        <v>871</v>
      </c>
      <c r="M6394" s="29" t="s">
        <v>2168</v>
      </c>
      <c r="N6394" s="29" t="s">
        <v>176</v>
      </c>
      <c r="O6394" s="29"/>
      <c r="P6394" s="29" t="s">
        <v>1570</v>
      </c>
      <c r="Q6394" t="s">
        <v>2040</v>
      </c>
      <c r="R6394" t="s">
        <v>2634</v>
      </c>
      <c r="S6394">
        <v>35</v>
      </c>
      <c r="T6394" s="43" t="str">
        <f t="shared" si="293"/>
        <v>2019.006G.zip</v>
      </c>
      <c r="U6394" s="43" t="str">
        <f>HYPERLINK("https://ictv.global/taxonomy/taxondetails?taxnode_id=202202287","ictv.global=202202287")</f>
        <v>ictv.global=202202287</v>
      </c>
    </row>
    <row r="6395" spans="1:21">
      <c r="A6395">
        <v>6394</v>
      </c>
      <c r="B6395" s="29" t="s">
        <v>3223</v>
      </c>
      <c r="C6395" s="29"/>
      <c r="D6395" s="29" t="s">
        <v>4156</v>
      </c>
      <c r="E6395" s="29"/>
      <c r="F6395" s="29" t="s">
        <v>4173</v>
      </c>
      <c r="G6395" s="29"/>
      <c r="H6395" s="29" t="s">
        <v>4174</v>
      </c>
      <c r="I6395" s="29"/>
      <c r="J6395" s="29" t="s">
        <v>870</v>
      </c>
      <c r="K6395" s="29"/>
      <c r="L6395" s="29" t="s">
        <v>871</v>
      </c>
      <c r="M6395" s="29" t="s">
        <v>2168</v>
      </c>
      <c r="N6395" s="29" t="s">
        <v>176</v>
      </c>
      <c r="O6395" s="29"/>
      <c r="P6395" s="29" t="s">
        <v>1734</v>
      </c>
      <c r="Q6395" t="s">
        <v>2040</v>
      </c>
      <c r="R6395" t="s">
        <v>2634</v>
      </c>
      <c r="S6395">
        <v>35</v>
      </c>
      <c r="T6395" s="43" t="str">
        <f t="shared" si="293"/>
        <v>2019.006G.zip</v>
      </c>
      <c r="U6395" s="43" t="str">
        <f>HYPERLINK("https://ictv.global/taxonomy/taxondetails?taxnode_id=202202288","ictv.global=202202288")</f>
        <v>ictv.global=202202288</v>
      </c>
    </row>
    <row r="6396" spans="1:21">
      <c r="A6396">
        <v>6395</v>
      </c>
      <c r="B6396" s="29" t="s">
        <v>3223</v>
      </c>
      <c r="C6396" s="29"/>
      <c r="D6396" s="29" t="s">
        <v>4156</v>
      </c>
      <c r="E6396" s="29"/>
      <c r="F6396" s="29" t="s">
        <v>4173</v>
      </c>
      <c r="G6396" s="29"/>
      <c r="H6396" s="29" t="s">
        <v>4174</v>
      </c>
      <c r="I6396" s="29"/>
      <c r="J6396" s="29" t="s">
        <v>870</v>
      </c>
      <c r="K6396" s="29"/>
      <c r="L6396" s="29" t="s">
        <v>871</v>
      </c>
      <c r="M6396" s="29" t="s">
        <v>2168</v>
      </c>
      <c r="N6396" s="29" t="s">
        <v>2171</v>
      </c>
      <c r="O6396" s="29"/>
      <c r="P6396" s="29" t="s">
        <v>1116</v>
      </c>
      <c r="Q6396" t="s">
        <v>2040</v>
      </c>
      <c r="R6396" t="s">
        <v>2634</v>
      </c>
      <c r="S6396">
        <v>35</v>
      </c>
      <c r="T6396" s="43" t="str">
        <f t="shared" si="293"/>
        <v>2019.006G.zip</v>
      </c>
      <c r="U6396" s="43" t="str">
        <f>HYPERLINK("https://ictv.global/taxonomy/taxondetails?taxnode_id=202202290","ictv.global=202202290")</f>
        <v>ictv.global=202202290</v>
      </c>
    </row>
    <row r="6397" spans="1:21">
      <c r="A6397">
        <v>6396</v>
      </c>
      <c r="B6397" s="29" t="s">
        <v>3223</v>
      </c>
      <c r="C6397" s="29"/>
      <c r="D6397" s="29" t="s">
        <v>4156</v>
      </c>
      <c r="E6397" s="29"/>
      <c r="F6397" s="29" t="s">
        <v>4173</v>
      </c>
      <c r="G6397" s="29"/>
      <c r="H6397" s="29" t="s">
        <v>4174</v>
      </c>
      <c r="I6397" s="29"/>
      <c r="J6397" s="29" t="s">
        <v>870</v>
      </c>
      <c r="K6397" s="29"/>
      <c r="L6397" s="29" t="s">
        <v>871</v>
      </c>
      <c r="M6397" s="29" t="s">
        <v>2168</v>
      </c>
      <c r="N6397" s="29" t="s">
        <v>2171</v>
      </c>
      <c r="O6397" s="29"/>
      <c r="P6397" s="29" t="s">
        <v>1451</v>
      </c>
      <c r="Q6397" t="s">
        <v>2040</v>
      </c>
      <c r="R6397" t="s">
        <v>2634</v>
      </c>
      <c r="S6397">
        <v>35</v>
      </c>
      <c r="T6397" s="43" t="str">
        <f t="shared" si="293"/>
        <v>2019.006G.zip</v>
      </c>
      <c r="U6397" s="43" t="str">
        <f>HYPERLINK("https://ictv.global/taxonomy/taxondetails?taxnode_id=202202291","ictv.global=202202291")</f>
        <v>ictv.global=202202291</v>
      </c>
    </row>
    <row r="6398" spans="1:21">
      <c r="A6398">
        <v>6397</v>
      </c>
      <c r="B6398" s="29" t="s">
        <v>3223</v>
      </c>
      <c r="C6398" s="29"/>
      <c r="D6398" s="29" t="s">
        <v>4156</v>
      </c>
      <c r="E6398" s="29"/>
      <c r="F6398" s="29" t="s">
        <v>4173</v>
      </c>
      <c r="G6398" s="29"/>
      <c r="H6398" s="29" t="s">
        <v>4174</v>
      </c>
      <c r="I6398" s="29"/>
      <c r="J6398" s="29" t="s">
        <v>870</v>
      </c>
      <c r="K6398" s="29"/>
      <c r="L6398" s="29" t="s">
        <v>871</v>
      </c>
      <c r="M6398" s="29" t="s">
        <v>2168</v>
      </c>
      <c r="N6398" s="29" t="s">
        <v>2171</v>
      </c>
      <c r="O6398" s="29"/>
      <c r="P6398" s="29" t="s">
        <v>1452</v>
      </c>
      <c r="Q6398" t="s">
        <v>2040</v>
      </c>
      <c r="R6398" t="s">
        <v>6901</v>
      </c>
      <c r="S6398">
        <v>36</v>
      </c>
      <c r="T6398" s="43" t="str">
        <f>HYPERLINK("https://ictv.global/ictv/proposals/2020.001G.R.Abolish_type_species.pdf","2020.001G.R.Abolish_type_species.pdf")</f>
        <v>2020.001G.R.Abolish_type_species.pdf</v>
      </c>
      <c r="U6398" s="43" t="str">
        <f>HYPERLINK("https://ictv.global/taxonomy/taxondetails?taxnode_id=202202292","ictv.global=202202292")</f>
        <v>ictv.global=202202292</v>
      </c>
    </row>
    <row r="6399" spans="1:21">
      <c r="A6399">
        <v>6398</v>
      </c>
      <c r="B6399" s="29" t="s">
        <v>3223</v>
      </c>
      <c r="C6399" s="29"/>
      <c r="D6399" s="29" t="s">
        <v>4156</v>
      </c>
      <c r="E6399" s="29"/>
      <c r="F6399" s="29" t="s">
        <v>4173</v>
      </c>
      <c r="G6399" s="29"/>
      <c r="H6399" s="29" t="s">
        <v>4174</v>
      </c>
      <c r="I6399" s="29"/>
      <c r="J6399" s="29" t="s">
        <v>870</v>
      </c>
      <c r="K6399" s="29"/>
      <c r="L6399" s="29" t="s">
        <v>871</v>
      </c>
      <c r="M6399" s="29" t="s">
        <v>2168</v>
      </c>
      <c r="N6399" s="29" t="s">
        <v>2171</v>
      </c>
      <c r="O6399" s="29"/>
      <c r="P6399" s="29" t="s">
        <v>2172</v>
      </c>
      <c r="Q6399" t="s">
        <v>2040</v>
      </c>
      <c r="R6399" t="s">
        <v>2634</v>
      </c>
      <c r="S6399">
        <v>35</v>
      </c>
      <c r="T6399" s="43" t="str">
        <f>HYPERLINK("https://ictv.global/ictv/proposals/2019.006G.zip","2019.006G.zip")</f>
        <v>2019.006G.zip</v>
      </c>
      <c r="U6399" s="43" t="str">
        <f>HYPERLINK("https://ictv.global/taxonomy/taxondetails?taxnode_id=202202293","ictv.global=202202293")</f>
        <v>ictv.global=202202293</v>
      </c>
    </row>
    <row r="6400" spans="1:21">
      <c r="A6400">
        <v>6399</v>
      </c>
      <c r="B6400" s="29" t="s">
        <v>3223</v>
      </c>
      <c r="C6400" s="29"/>
      <c r="D6400" s="29" t="s">
        <v>4156</v>
      </c>
      <c r="E6400" s="29"/>
      <c r="F6400" s="29" t="s">
        <v>4173</v>
      </c>
      <c r="G6400" s="29"/>
      <c r="H6400" s="29" t="s">
        <v>4174</v>
      </c>
      <c r="I6400" s="29"/>
      <c r="J6400" s="29" t="s">
        <v>870</v>
      </c>
      <c r="K6400" s="29"/>
      <c r="L6400" s="29" t="s">
        <v>871</v>
      </c>
      <c r="M6400" s="29" t="s">
        <v>2168</v>
      </c>
      <c r="N6400" s="29" t="s">
        <v>2171</v>
      </c>
      <c r="O6400" s="29"/>
      <c r="P6400" s="29" t="s">
        <v>2173</v>
      </c>
      <c r="Q6400" t="s">
        <v>2040</v>
      </c>
      <c r="R6400" t="s">
        <v>2634</v>
      </c>
      <c r="S6400">
        <v>35</v>
      </c>
      <c r="T6400" s="43" t="str">
        <f>HYPERLINK("https://ictv.global/ictv/proposals/2019.006G.zip","2019.006G.zip")</f>
        <v>2019.006G.zip</v>
      </c>
      <c r="U6400" s="43" t="str">
        <f>HYPERLINK("https://ictv.global/taxonomy/taxondetails?taxnode_id=202202294","ictv.global=202202294")</f>
        <v>ictv.global=202202294</v>
      </c>
    </row>
    <row r="6401" spans="1:21">
      <c r="A6401">
        <v>6400</v>
      </c>
      <c r="B6401" s="29" t="s">
        <v>3223</v>
      </c>
      <c r="C6401" s="29"/>
      <c r="D6401" s="29" t="s">
        <v>4156</v>
      </c>
      <c r="E6401" s="29"/>
      <c r="F6401" s="29" t="s">
        <v>4173</v>
      </c>
      <c r="G6401" s="29"/>
      <c r="H6401" s="29" t="s">
        <v>4174</v>
      </c>
      <c r="I6401" s="29"/>
      <c r="J6401" s="29" t="s">
        <v>870</v>
      </c>
      <c r="K6401" s="29"/>
      <c r="L6401" s="29" t="s">
        <v>871</v>
      </c>
      <c r="M6401" s="29" t="s">
        <v>2168</v>
      </c>
      <c r="N6401" s="29" t="s">
        <v>12279</v>
      </c>
      <c r="O6401" s="29"/>
      <c r="P6401" s="29" t="s">
        <v>12280</v>
      </c>
      <c r="Q6401" t="s">
        <v>2040</v>
      </c>
      <c r="R6401" t="s">
        <v>2633</v>
      </c>
      <c r="S6401">
        <v>37</v>
      </c>
      <c r="T6401" s="43" t="str">
        <f>HYPERLINK("https://ictv.global/ictv/proposals/2021.007P.R.Betaflexiviridae_2ng_23nsp.zip","2021.007P.R.Betaflexiviridae_2ng_23nsp.zip")</f>
        <v>2021.007P.R.Betaflexiviridae_2ng_23nsp.zip</v>
      </c>
      <c r="U6401" s="43" t="str">
        <f>HYPERLINK("https://ictv.global/taxonomy/taxondetails?taxnode_id=202202298","ictv.global=202202298")</f>
        <v>ictv.global=202202298</v>
      </c>
    </row>
    <row r="6402" spans="1:21">
      <c r="A6402">
        <v>6401</v>
      </c>
      <c r="B6402" s="29" t="s">
        <v>3223</v>
      </c>
      <c r="C6402" s="29"/>
      <c r="D6402" s="29" t="s">
        <v>4156</v>
      </c>
      <c r="E6402" s="29"/>
      <c r="F6402" s="29" t="s">
        <v>4173</v>
      </c>
      <c r="G6402" s="29"/>
      <c r="H6402" s="29" t="s">
        <v>4174</v>
      </c>
      <c r="I6402" s="29"/>
      <c r="J6402" s="29" t="s">
        <v>870</v>
      </c>
      <c r="K6402" s="29"/>
      <c r="L6402" s="29" t="s">
        <v>871</v>
      </c>
      <c r="M6402" s="29" t="s">
        <v>2168</v>
      </c>
      <c r="N6402" s="29"/>
      <c r="O6402" s="29"/>
      <c r="P6402" s="29" t="s">
        <v>1649</v>
      </c>
      <c r="Q6402" t="s">
        <v>2040</v>
      </c>
      <c r="R6402" t="s">
        <v>2634</v>
      </c>
      <c r="S6402">
        <v>35</v>
      </c>
      <c r="T6402" s="43" t="str">
        <f>HYPERLINK("https://ictv.global/ictv/proposals/2019.006G.zip","2019.006G.zip")</f>
        <v>2019.006G.zip</v>
      </c>
      <c r="U6402" s="43" t="str">
        <f>HYPERLINK("https://ictv.global/taxonomy/taxondetails?taxnode_id=202202297","ictv.global=202202297")</f>
        <v>ictv.global=202202297</v>
      </c>
    </row>
    <row r="6403" spans="1:21">
      <c r="A6403">
        <v>6402</v>
      </c>
      <c r="B6403" s="29" t="s">
        <v>3223</v>
      </c>
      <c r="C6403" s="29"/>
      <c r="D6403" s="29" t="s">
        <v>4156</v>
      </c>
      <c r="E6403" s="29"/>
      <c r="F6403" s="29" t="s">
        <v>4173</v>
      </c>
      <c r="G6403" s="29"/>
      <c r="H6403" s="29" t="s">
        <v>4174</v>
      </c>
      <c r="I6403" s="29"/>
      <c r="J6403" s="29" t="s">
        <v>870</v>
      </c>
      <c r="K6403" s="29"/>
      <c r="L6403" s="29" t="s">
        <v>871</v>
      </c>
      <c r="M6403" s="29" t="s">
        <v>2174</v>
      </c>
      <c r="N6403" s="29" t="s">
        <v>237</v>
      </c>
      <c r="O6403" s="29"/>
      <c r="P6403" s="29" t="s">
        <v>332</v>
      </c>
      <c r="Q6403" t="s">
        <v>2040</v>
      </c>
      <c r="R6403" t="s">
        <v>6901</v>
      </c>
      <c r="S6403">
        <v>36</v>
      </c>
      <c r="T6403" s="43" t="str">
        <f>HYPERLINK("https://ictv.global/ictv/proposals/2020.001G.R.Abolish_type_species.pdf","2020.001G.R.Abolish_type_species.pdf")</f>
        <v>2020.001G.R.Abolish_type_species.pdf</v>
      </c>
      <c r="U6403" s="43" t="str">
        <f>HYPERLINK("https://ictv.global/taxonomy/taxondetails?taxnode_id=202202301","ictv.global=202202301")</f>
        <v>ictv.global=202202301</v>
      </c>
    </row>
    <row r="6404" spans="1:21">
      <c r="A6404">
        <v>6403</v>
      </c>
      <c r="B6404" s="29" t="s">
        <v>3223</v>
      </c>
      <c r="C6404" s="29"/>
      <c r="D6404" s="29" t="s">
        <v>4156</v>
      </c>
      <c r="E6404" s="29"/>
      <c r="F6404" s="29" t="s">
        <v>4173</v>
      </c>
      <c r="G6404" s="29"/>
      <c r="H6404" s="29" t="s">
        <v>4174</v>
      </c>
      <c r="I6404" s="29"/>
      <c r="J6404" s="29" t="s">
        <v>870</v>
      </c>
      <c r="K6404" s="29"/>
      <c r="L6404" s="29" t="s">
        <v>871</v>
      </c>
      <c r="M6404" s="29" t="s">
        <v>2174</v>
      </c>
      <c r="N6404" s="29" t="s">
        <v>237</v>
      </c>
      <c r="O6404" s="29"/>
      <c r="P6404" s="29" t="s">
        <v>12281</v>
      </c>
      <c r="Q6404" t="s">
        <v>2040</v>
      </c>
      <c r="R6404" t="s">
        <v>2632</v>
      </c>
      <c r="S6404">
        <v>38</v>
      </c>
      <c r="T6404" s="43" t="str">
        <f>HYPERLINK("https://ictv.global/ictv/proposals/2022.001P.Betaflexiviridae_12ns.zip","2022.001P.Betaflexiviridae_12ns.zip")</f>
        <v>2022.001P.Betaflexiviridae_12ns.zip</v>
      </c>
      <c r="U6404" s="43" t="str">
        <f>HYPERLINK("https://ictv.global/taxonomy/taxondetails?taxnode_id=202215078","ictv.global=202215078")</f>
        <v>ictv.global=202215078</v>
      </c>
    </row>
    <row r="6405" spans="1:21">
      <c r="A6405">
        <v>6404</v>
      </c>
      <c r="B6405" s="29" t="s">
        <v>3223</v>
      </c>
      <c r="C6405" s="29"/>
      <c r="D6405" s="29" t="s">
        <v>4156</v>
      </c>
      <c r="E6405" s="29"/>
      <c r="F6405" s="29" t="s">
        <v>4173</v>
      </c>
      <c r="G6405" s="29"/>
      <c r="H6405" s="29" t="s">
        <v>4174</v>
      </c>
      <c r="I6405" s="29"/>
      <c r="J6405" s="29" t="s">
        <v>870</v>
      </c>
      <c r="K6405" s="29"/>
      <c r="L6405" s="29" t="s">
        <v>871</v>
      </c>
      <c r="M6405" s="29" t="s">
        <v>2174</v>
      </c>
      <c r="N6405" s="29" t="s">
        <v>237</v>
      </c>
      <c r="O6405" s="29"/>
      <c r="P6405" s="29" t="s">
        <v>12282</v>
      </c>
      <c r="Q6405" t="s">
        <v>2040</v>
      </c>
      <c r="R6405" t="s">
        <v>2632</v>
      </c>
      <c r="S6405">
        <v>37</v>
      </c>
      <c r="T6405" s="43" t="str">
        <f>HYPERLINK("https://ictv.global/ictv/proposals/2021.007P.R.Betaflexiviridae_2ng_23nsp.zip","2021.007P.R.Betaflexiviridae_2ng_23nsp.zip")</f>
        <v>2021.007P.R.Betaflexiviridae_2ng_23nsp.zip</v>
      </c>
      <c r="U6405" s="43" t="str">
        <f>HYPERLINK("https://ictv.global/taxonomy/taxondetails?taxnode_id=202213852","ictv.global=202213852")</f>
        <v>ictv.global=202213852</v>
      </c>
    </row>
    <row r="6406" spans="1:21">
      <c r="A6406">
        <v>6405</v>
      </c>
      <c r="B6406" s="29" t="s">
        <v>3223</v>
      </c>
      <c r="C6406" s="29"/>
      <c r="D6406" s="29" t="s">
        <v>4156</v>
      </c>
      <c r="E6406" s="29"/>
      <c r="F6406" s="29" t="s">
        <v>4173</v>
      </c>
      <c r="G6406" s="29"/>
      <c r="H6406" s="29" t="s">
        <v>4174</v>
      </c>
      <c r="I6406" s="29"/>
      <c r="J6406" s="29" t="s">
        <v>870</v>
      </c>
      <c r="K6406" s="29"/>
      <c r="L6406" s="29" t="s">
        <v>871</v>
      </c>
      <c r="M6406" s="29" t="s">
        <v>2174</v>
      </c>
      <c r="N6406" s="29" t="s">
        <v>237</v>
      </c>
      <c r="O6406" s="29"/>
      <c r="P6406" s="29" t="s">
        <v>333</v>
      </c>
      <c r="Q6406" t="s">
        <v>2040</v>
      </c>
      <c r="R6406" t="s">
        <v>2634</v>
      </c>
      <c r="S6406">
        <v>35</v>
      </c>
      <c r="T6406" s="43" t="str">
        <f>HYPERLINK("https://ictv.global/ictv/proposals/2019.006G.zip","2019.006G.zip")</f>
        <v>2019.006G.zip</v>
      </c>
      <c r="U6406" s="43" t="str">
        <f>HYPERLINK("https://ictv.global/taxonomy/taxondetails?taxnode_id=202202302","ictv.global=202202302")</f>
        <v>ictv.global=202202302</v>
      </c>
    </row>
    <row r="6407" spans="1:21">
      <c r="A6407">
        <v>6406</v>
      </c>
      <c r="B6407" s="29" t="s">
        <v>3223</v>
      </c>
      <c r="C6407" s="29"/>
      <c r="D6407" s="29" t="s">
        <v>4156</v>
      </c>
      <c r="E6407" s="29"/>
      <c r="F6407" s="29" t="s">
        <v>4173</v>
      </c>
      <c r="G6407" s="29"/>
      <c r="H6407" s="29" t="s">
        <v>4174</v>
      </c>
      <c r="I6407" s="29"/>
      <c r="J6407" s="29" t="s">
        <v>870</v>
      </c>
      <c r="K6407" s="29"/>
      <c r="L6407" s="29" t="s">
        <v>871</v>
      </c>
      <c r="M6407" s="29" t="s">
        <v>2174</v>
      </c>
      <c r="N6407" s="29" t="s">
        <v>237</v>
      </c>
      <c r="O6407" s="29"/>
      <c r="P6407" s="29" t="s">
        <v>3303</v>
      </c>
      <c r="Q6407" t="s">
        <v>2040</v>
      </c>
      <c r="R6407" t="s">
        <v>2634</v>
      </c>
      <c r="S6407">
        <v>35</v>
      </c>
      <c r="T6407" s="43" t="str">
        <f>HYPERLINK("https://ictv.global/ictv/proposals/2019.006G.zip","2019.006G.zip")</f>
        <v>2019.006G.zip</v>
      </c>
      <c r="U6407" s="43" t="str">
        <f>HYPERLINK("https://ictv.global/taxonomy/taxondetails?taxnode_id=202206329","ictv.global=202206329")</f>
        <v>ictv.global=202206329</v>
      </c>
    </row>
    <row r="6408" spans="1:21">
      <c r="A6408">
        <v>6407</v>
      </c>
      <c r="B6408" s="29" t="s">
        <v>3223</v>
      </c>
      <c r="C6408" s="29"/>
      <c r="D6408" s="29" t="s">
        <v>4156</v>
      </c>
      <c r="E6408" s="29"/>
      <c r="F6408" s="29" t="s">
        <v>4173</v>
      </c>
      <c r="G6408" s="29"/>
      <c r="H6408" s="29" t="s">
        <v>4174</v>
      </c>
      <c r="I6408" s="29"/>
      <c r="J6408" s="29" t="s">
        <v>870</v>
      </c>
      <c r="K6408" s="29"/>
      <c r="L6408" s="29" t="s">
        <v>871</v>
      </c>
      <c r="M6408" s="29" t="s">
        <v>2174</v>
      </c>
      <c r="N6408" s="29" t="s">
        <v>237</v>
      </c>
      <c r="O6408" s="29"/>
      <c r="P6408" s="29" t="s">
        <v>3304</v>
      </c>
      <c r="Q6408" t="s">
        <v>2040</v>
      </c>
      <c r="R6408" t="s">
        <v>2634</v>
      </c>
      <c r="S6408">
        <v>35</v>
      </c>
      <c r="T6408" s="43" t="str">
        <f>HYPERLINK("https://ictv.global/ictv/proposals/2019.006G.zip","2019.006G.zip")</f>
        <v>2019.006G.zip</v>
      </c>
      <c r="U6408" s="43" t="str">
        <f>HYPERLINK("https://ictv.global/taxonomy/taxondetails?taxnode_id=202206322","ictv.global=202206322")</f>
        <v>ictv.global=202206322</v>
      </c>
    </row>
    <row r="6409" spans="1:21">
      <c r="A6409">
        <v>6408</v>
      </c>
      <c r="B6409" s="29" t="s">
        <v>3223</v>
      </c>
      <c r="C6409" s="29"/>
      <c r="D6409" s="29" t="s">
        <v>4156</v>
      </c>
      <c r="E6409" s="29"/>
      <c r="F6409" s="29" t="s">
        <v>4173</v>
      </c>
      <c r="G6409" s="29"/>
      <c r="H6409" s="29" t="s">
        <v>4174</v>
      </c>
      <c r="I6409" s="29"/>
      <c r="J6409" s="29" t="s">
        <v>870</v>
      </c>
      <c r="K6409" s="29"/>
      <c r="L6409" s="29" t="s">
        <v>871</v>
      </c>
      <c r="M6409" s="29" t="s">
        <v>2174</v>
      </c>
      <c r="N6409" s="29" t="s">
        <v>2175</v>
      </c>
      <c r="O6409" s="29"/>
      <c r="P6409" s="29" t="s">
        <v>2176</v>
      </c>
      <c r="Q6409" t="s">
        <v>2040</v>
      </c>
      <c r="R6409" t="s">
        <v>6901</v>
      </c>
      <c r="S6409">
        <v>36</v>
      </c>
      <c r="T6409" s="43" t="str">
        <f>HYPERLINK("https://ictv.global/ictv/proposals/2020.001G.R.Abolish_type_species.pdf","2020.001G.R.Abolish_type_species.pdf")</f>
        <v>2020.001G.R.Abolish_type_species.pdf</v>
      </c>
      <c r="U6409" s="43" t="str">
        <f>HYPERLINK("https://ictv.global/taxonomy/taxondetails?taxnode_id=202202304","ictv.global=202202304")</f>
        <v>ictv.global=202202304</v>
      </c>
    </row>
    <row r="6410" spans="1:21">
      <c r="A6410">
        <v>6409</v>
      </c>
      <c r="B6410" s="29" t="s">
        <v>3223</v>
      </c>
      <c r="C6410" s="29"/>
      <c r="D6410" s="29" t="s">
        <v>4156</v>
      </c>
      <c r="E6410" s="29"/>
      <c r="F6410" s="29" t="s">
        <v>4173</v>
      </c>
      <c r="G6410" s="29"/>
      <c r="H6410" s="29" t="s">
        <v>4174</v>
      </c>
      <c r="I6410" s="29"/>
      <c r="J6410" s="29" t="s">
        <v>870</v>
      </c>
      <c r="K6410" s="29"/>
      <c r="L6410" s="29" t="s">
        <v>871</v>
      </c>
      <c r="M6410" s="29" t="s">
        <v>2174</v>
      </c>
      <c r="N6410" s="29" t="s">
        <v>2175</v>
      </c>
      <c r="O6410" s="29"/>
      <c r="P6410" s="29" t="s">
        <v>2177</v>
      </c>
      <c r="Q6410" t="s">
        <v>2040</v>
      </c>
      <c r="R6410" t="s">
        <v>2634</v>
      </c>
      <c r="S6410">
        <v>35</v>
      </c>
      <c r="T6410" s="43" t="str">
        <f>HYPERLINK("https://ictv.global/ictv/proposals/2019.006G.zip","2019.006G.zip")</f>
        <v>2019.006G.zip</v>
      </c>
      <c r="U6410" s="43" t="str">
        <f>HYPERLINK("https://ictv.global/taxonomy/taxondetails?taxnode_id=202202305","ictv.global=202202305")</f>
        <v>ictv.global=202202305</v>
      </c>
    </row>
    <row r="6411" spans="1:21">
      <c r="A6411">
        <v>6410</v>
      </c>
      <c r="B6411" s="29" t="s">
        <v>3223</v>
      </c>
      <c r="C6411" s="29"/>
      <c r="D6411" s="29" t="s">
        <v>4156</v>
      </c>
      <c r="E6411" s="29"/>
      <c r="F6411" s="29" t="s">
        <v>4173</v>
      </c>
      <c r="G6411" s="29"/>
      <c r="H6411" s="29" t="s">
        <v>4174</v>
      </c>
      <c r="I6411" s="29"/>
      <c r="J6411" s="29" t="s">
        <v>870</v>
      </c>
      <c r="K6411" s="29"/>
      <c r="L6411" s="29" t="s">
        <v>871</v>
      </c>
      <c r="M6411" s="29" t="s">
        <v>2174</v>
      </c>
      <c r="N6411" s="29" t="s">
        <v>2175</v>
      </c>
      <c r="O6411" s="29"/>
      <c r="P6411" s="29" t="s">
        <v>12283</v>
      </c>
      <c r="Q6411" t="s">
        <v>2040</v>
      </c>
      <c r="R6411" t="s">
        <v>2632</v>
      </c>
      <c r="S6411">
        <v>38</v>
      </c>
      <c r="T6411" s="43" t="str">
        <f>HYPERLINK("https://ictv.global/ictv/proposals/2022.001P.Betaflexiviridae_12ns.zip","2022.001P.Betaflexiviridae_12ns.zip")</f>
        <v>2022.001P.Betaflexiviridae_12ns.zip</v>
      </c>
      <c r="U6411" s="43" t="str">
        <f>HYPERLINK("https://ictv.global/taxonomy/taxondetails?taxnode_id=202215087","ictv.global=202215087")</f>
        <v>ictv.global=202215087</v>
      </c>
    </row>
    <row r="6412" spans="1:21">
      <c r="A6412">
        <v>6411</v>
      </c>
      <c r="B6412" s="29" t="s">
        <v>3223</v>
      </c>
      <c r="C6412" s="29"/>
      <c r="D6412" s="29" t="s">
        <v>4156</v>
      </c>
      <c r="E6412" s="29"/>
      <c r="F6412" s="29" t="s">
        <v>4173</v>
      </c>
      <c r="G6412" s="29"/>
      <c r="H6412" s="29" t="s">
        <v>4174</v>
      </c>
      <c r="I6412" s="29"/>
      <c r="J6412" s="29" t="s">
        <v>870</v>
      </c>
      <c r="K6412" s="29"/>
      <c r="L6412" s="29" t="s">
        <v>871</v>
      </c>
      <c r="M6412" s="29" t="s">
        <v>2174</v>
      </c>
      <c r="N6412" s="29" t="s">
        <v>2175</v>
      </c>
      <c r="O6412" s="29"/>
      <c r="P6412" s="29" t="s">
        <v>12284</v>
      </c>
      <c r="Q6412" t="s">
        <v>2040</v>
      </c>
      <c r="R6412" t="s">
        <v>2632</v>
      </c>
      <c r="S6412">
        <v>38</v>
      </c>
      <c r="T6412" s="43" t="str">
        <f>HYPERLINK("https://ictv.global/ictv/proposals/2022.001P.Betaflexiviridae_12ns.zip","2022.001P.Betaflexiviridae_12ns.zip")</f>
        <v>2022.001P.Betaflexiviridae_12ns.zip</v>
      </c>
      <c r="U6412" s="43" t="str">
        <f>HYPERLINK("https://ictv.global/taxonomy/taxondetails?taxnode_id=202215088","ictv.global=202215088")</f>
        <v>ictv.global=202215088</v>
      </c>
    </row>
    <row r="6413" spans="1:21">
      <c r="A6413">
        <v>6412</v>
      </c>
      <c r="B6413" s="29" t="s">
        <v>3223</v>
      </c>
      <c r="C6413" s="29"/>
      <c r="D6413" s="29" t="s">
        <v>4156</v>
      </c>
      <c r="E6413" s="29"/>
      <c r="F6413" s="29" t="s">
        <v>4173</v>
      </c>
      <c r="G6413" s="29"/>
      <c r="H6413" s="29" t="s">
        <v>4174</v>
      </c>
      <c r="I6413" s="29"/>
      <c r="J6413" s="29" t="s">
        <v>870</v>
      </c>
      <c r="K6413" s="29"/>
      <c r="L6413" s="29" t="s">
        <v>871</v>
      </c>
      <c r="M6413" s="29" t="s">
        <v>2174</v>
      </c>
      <c r="N6413" s="29" t="s">
        <v>174</v>
      </c>
      <c r="O6413" s="29"/>
      <c r="P6413" s="29" t="s">
        <v>175</v>
      </c>
      <c r="Q6413" t="s">
        <v>2040</v>
      </c>
      <c r="R6413" t="s">
        <v>6901</v>
      </c>
      <c r="S6413">
        <v>36</v>
      </c>
      <c r="T6413" s="43" t="str">
        <f>HYPERLINK("https://ictv.global/ictv/proposals/2020.001G.R.Abolish_type_species.pdf","2020.001G.R.Abolish_type_species.pdf")</f>
        <v>2020.001G.R.Abolish_type_species.pdf</v>
      </c>
      <c r="U6413" s="43" t="str">
        <f>HYPERLINK("https://ictv.global/taxonomy/taxondetails?taxnode_id=202202307","ictv.global=202202307")</f>
        <v>ictv.global=202202307</v>
      </c>
    </row>
    <row r="6414" spans="1:21">
      <c r="A6414">
        <v>6413</v>
      </c>
      <c r="B6414" s="29" t="s">
        <v>3223</v>
      </c>
      <c r="C6414" s="29"/>
      <c r="D6414" s="29" t="s">
        <v>4156</v>
      </c>
      <c r="E6414" s="29"/>
      <c r="F6414" s="29" t="s">
        <v>4173</v>
      </c>
      <c r="G6414" s="29"/>
      <c r="H6414" s="29" t="s">
        <v>4174</v>
      </c>
      <c r="I6414" s="29"/>
      <c r="J6414" s="29" t="s">
        <v>870</v>
      </c>
      <c r="K6414" s="29"/>
      <c r="L6414" s="29" t="s">
        <v>871</v>
      </c>
      <c r="M6414" s="29" t="s">
        <v>2174</v>
      </c>
      <c r="N6414" s="29" t="s">
        <v>2178</v>
      </c>
      <c r="O6414" s="29"/>
      <c r="P6414" s="29" t="s">
        <v>1735</v>
      </c>
      <c r="Q6414" t="s">
        <v>2040</v>
      </c>
      <c r="R6414" t="s">
        <v>6901</v>
      </c>
      <c r="S6414">
        <v>36</v>
      </c>
      <c r="T6414" s="43" t="str">
        <f>HYPERLINK("https://ictv.global/ictv/proposals/2020.001G.R.Abolish_type_species.pdf","2020.001G.R.Abolish_type_species.pdf")</f>
        <v>2020.001G.R.Abolish_type_species.pdf</v>
      </c>
      <c r="U6414" s="43" t="str">
        <f>HYPERLINK("https://ictv.global/taxonomy/taxondetails?taxnode_id=202202309","ictv.global=202202309")</f>
        <v>ictv.global=202202309</v>
      </c>
    </row>
    <row r="6415" spans="1:21">
      <c r="A6415">
        <v>6414</v>
      </c>
      <c r="B6415" s="29" t="s">
        <v>3223</v>
      </c>
      <c r="C6415" s="29"/>
      <c r="D6415" s="29" t="s">
        <v>4156</v>
      </c>
      <c r="E6415" s="29"/>
      <c r="F6415" s="29" t="s">
        <v>4173</v>
      </c>
      <c r="G6415" s="29"/>
      <c r="H6415" s="29" t="s">
        <v>4174</v>
      </c>
      <c r="I6415" s="29"/>
      <c r="J6415" s="29" t="s">
        <v>870</v>
      </c>
      <c r="K6415" s="29"/>
      <c r="L6415" s="29" t="s">
        <v>871</v>
      </c>
      <c r="M6415" s="29" t="s">
        <v>2174</v>
      </c>
      <c r="N6415" s="29" t="s">
        <v>2178</v>
      </c>
      <c r="O6415" s="29"/>
      <c r="P6415" s="29" t="s">
        <v>1736</v>
      </c>
      <c r="Q6415" t="s">
        <v>2040</v>
      </c>
      <c r="R6415" t="s">
        <v>2634</v>
      </c>
      <c r="S6415">
        <v>35</v>
      </c>
      <c r="T6415" s="43" t="str">
        <f>HYPERLINK("https://ictv.global/ictv/proposals/2019.006G.zip","2019.006G.zip")</f>
        <v>2019.006G.zip</v>
      </c>
      <c r="U6415" s="43" t="str">
        <f>HYPERLINK("https://ictv.global/taxonomy/taxondetails?taxnode_id=202202310","ictv.global=202202310")</f>
        <v>ictv.global=202202310</v>
      </c>
    </row>
    <row r="6416" spans="1:21">
      <c r="A6416">
        <v>6415</v>
      </c>
      <c r="B6416" s="29" t="s">
        <v>3223</v>
      </c>
      <c r="C6416" s="29"/>
      <c r="D6416" s="29" t="s">
        <v>4156</v>
      </c>
      <c r="E6416" s="29"/>
      <c r="F6416" s="29" t="s">
        <v>4173</v>
      </c>
      <c r="G6416" s="29"/>
      <c r="H6416" s="29" t="s">
        <v>4174</v>
      </c>
      <c r="I6416" s="29"/>
      <c r="J6416" s="29" t="s">
        <v>870</v>
      </c>
      <c r="K6416" s="29"/>
      <c r="L6416" s="29" t="s">
        <v>871</v>
      </c>
      <c r="M6416" s="29" t="s">
        <v>2174</v>
      </c>
      <c r="N6416" s="29" t="s">
        <v>2178</v>
      </c>
      <c r="O6416" s="29"/>
      <c r="P6416" s="29" t="s">
        <v>1650</v>
      </c>
      <c r="Q6416" t="s">
        <v>2040</v>
      </c>
      <c r="R6416" t="s">
        <v>2634</v>
      </c>
      <c r="S6416">
        <v>35</v>
      </c>
      <c r="T6416" s="43" t="str">
        <f>HYPERLINK("https://ictv.global/ictv/proposals/2019.006G.zip","2019.006G.zip")</f>
        <v>2019.006G.zip</v>
      </c>
      <c r="U6416" s="43" t="str">
        <f>HYPERLINK("https://ictv.global/taxonomy/taxondetails?taxnode_id=202202311","ictv.global=202202311")</f>
        <v>ictv.global=202202311</v>
      </c>
    </row>
    <row r="6417" spans="1:21">
      <c r="A6417">
        <v>6416</v>
      </c>
      <c r="B6417" s="29" t="s">
        <v>3223</v>
      </c>
      <c r="C6417" s="29"/>
      <c r="D6417" s="29" t="s">
        <v>4156</v>
      </c>
      <c r="E6417" s="29"/>
      <c r="F6417" s="29" t="s">
        <v>4173</v>
      </c>
      <c r="G6417" s="29"/>
      <c r="H6417" s="29" t="s">
        <v>4174</v>
      </c>
      <c r="I6417" s="29"/>
      <c r="J6417" s="29" t="s">
        <v>870</v>
      </c>
      <c r="K6417" s="29"/>
      <c r="L6417" s="29" t="s">
        <v>871</v>
      </c>
      <c r="M6417" s="29" t="s">
        <v>2174</v>
      </c>
      <c r="N6417" s="29" t="s">
        <v>2179</v>
      </c>
      <c r="O6417" s="29"/>
      <c r="P6417" s="29" t="s">
        <v>3305</v>
      </c>
      <c r="Q6417" t="s">
        <v>2040</v>
      </c>
      <c r="R6417" t="s">
        <v>2634</v>
      </c>
      <c r="S6417">
        <v>35</v>
      </c>
      <c r="T6417" s="43" t="str">
        <f>HYPERLINK("https://ictv.global/ictv/proposals/2019.006G.zip","2019.006G.zip")</f>
        <v>2019.006G.zip</v>
      </c>
      <c r="U6417" s="43" t="str">
        <f>HYPERLINK("https://ictv.global/taxonomy/taxondetails?taxnode_id=202206390","ictv.global=202206390")</f>
        <v>ictv.global=202206390</v>
      </c>
    </row>
    <row r="6418" spans="1:21">
      <c r="A6418">
        <v>6417</v>
      </c>
      <c r="B6418" s="29" t="s">
        <v>3223</v>
      </c>
      <c r="C6418" s="29"/>
      <c r="D6418" s="29" t="s">
        <v>4156</v>
      </c>
      <c r="E6418" s="29"/>
      <c r="F6418" s="29" t="s">
        <v>4173</v>
      </c>
      <c r="G6418" s="29"/>
      <c r="H6418" s="29" t="s">
        <v>4174</v>
      </c>
      <c r="I6418" s="29"/>
      <c r="J6418" s="29" t="s">
        <v>870</v>
      </c>
      <c r="K6418" s="29"/>
      <c r="L6418" s="29" t="s">
        <v>871</v>
      </c>
      <c r="M6418" s="29" t="s">
        <v>2174</v>
      </c>
      <c r="N6418" s="29" t="s">
        <v>2179</v>
      </c>
      <c r="O6418" s="29"/>
      <c r="P6418" s="29" t="s">
        <v>2180</v>
      </c>
      <c r="Q6418" t="s">
        <v>2040</v>
      </c>
      <c r="R6418" t="s">
        <v>6901</v>
      </c>
      <c r="S6418">
        <v>36</v>
      </c>
      <c r="T6418" s="43" t="str">
        <f>HYPERLINK("https://ictv.global/ictv/proposals/2020.001G.R.Abolish_type_species.pdf","2020.001G.R.Abolish_type_species.pdf")</f>
        <v>2020.001G.R.Abolish_type_species.pdf</v>
      </c>
      <c r="U6418" s="43" t="str">
        <f>HYPERLINK("https://ictv.global/taxonomy/taxondetails?taxnode_id=202202313","ictv.global=202202313")</f>
        <v>ictv.global=202202313</v>
      </c>
    </row>
    <row r="6419" spans="1:21">
      <c r="A6419">
        <v>6418</v>
      </c>
      <c r="B6419" s="29" t="s">
        <v>3223</v>
      </c>
      <c r="C6419" s="29"/>
      <c r="D6419" s="29" t="s">
        <v>4156</v>
      </c>
      <c r="E6419" s="29"/>
      <c r="F6419" s="29" t="s">
        <v>4173</v>
      </c>
      <c r="G6419" s="29"/>
      <c r="H6419" s="29" t="s">
        <v>4174</v>
      </c>
      <c r="I6419" s="29"/>
      <c r="J6419" s="29" t="s">
        <v>870</v>
      </c>
      <c r="K6419" s="29"/>
      <c r="L6419" s="29" t="s">
        <v>871</v>
      </c>
      <c r="M6419" s="29" t="s">
        <v>2174</v>
      </c>
      <c r="N6419" s="29" t="s">
        <v>2179</v>
      </c>
      <c r="O6419" s="29"/>
      <c r="P6419" s="29" t="s">
        <v>2181</v>
      </c>
      <c r="Q6419" t="s">
        <v>2040</v>
      </c>
      <c r="R6419" t="s">
        <v>2634</v>
      </c>
      <c r="S6419">
        <v>35</v>
      </c>
      <c r="T6419" s="43" t="str">
        <f>HYPERLINK("https://ictv.global/ictv/proposals/2019.006G.zip","2019.006G.zip")</f>
        <v>2019.006G.zip</v>
      </c>
      <c r="U6419" s="43" t="str">
        <f>HYPERLINK("https://ictv.global/taxonomy/taxondetails?taxnode_id=202202314","ictv.global=202202314")</f>
        <v>ictv.global=202202314</v>
      </c>
    </row>
    <row r="6420" spans="1:21">
      <c r="A6420">
        <v>6419</v>
      </c>
      <c r="B6420" s="29" t="s">
        <v>3223</v>
      </c>
      <c r="C6420" s="29"/>
      <c r="D6420" s="29" t="s">
        <v>4156</v>
      </c>
      <c r="E6420" s="29"/>
      <c r="F6420" s="29" t="s">
        <v>4173</v>
      </c>
      <c r="G6420" s="29"/>
      <c r="H6420" s="29" t="s">
        <v>4174</v>
      </c>
      <c r="I6420" s="29"/>
      <c r="J6420" s="29" t="s">
        <v>870</v>
      </c>
      <c r="K6420" s="29"/>
      <c r="L6420" s="29" t="s">
        <v>871</v>
      </c>
      <c r="M6420" s="29" t="s">
        <v>2174</v>
      </c>
      <c r="N6420" s="29" t="s">
        <v>2179</v>
      </c>
      <c r="O6420" s="29"/>
      <c r="P6420" s="29" t="s">
        <v>12285</v>
      </c>
      <c r="Q6420" t="s">
        <v>2040</v>
      </c>
      <c r="R6420" t="s">
        <v>2632</v>
      </c>
      <c r="S6420">
        <v>37</v>
      </c>
      <c r="T6420" s="43" t="str">
        <f>HYPERLINK("https://ictv.global/ictv/proposals/2021.007P.R.Betaflexiviridae_2ng_23nsp.zip","2021.007P.R.Betaflexiviridae_2ng_23nsp.zip")</f>
        <v>2021.007P.R.Betaflexiviridae_2ng_23nsp.zip</v>
      </c>
      <c r="U6420" s="43" t="str">
        <f>HYPERLINK("https://ictv.global/taxonomy/taxondetails?taxnode_id=202213853","ictv.global=202213853")</f>
        <v>ictv.global=202213853</v>
      </c>
    </row>
    <row r="6421" spans="1:21">
      <c r="A6421">
        <v>6420</v>
      </c>
      <c r="B6421" s="29" t="s">
        <v>3223</v>
      </c>
      <c r="C6421" s="29"/>
      <c r="D6421" s="29" t="s">
        <v>4156</v>
      </c>
      <c r="E6421" s="29"/>
      <c r="F6421" s="29" t="s">
        <v>4173</v>
      </c>
      <c r="G6421" s="29"/>
      <c r="H6421" s="29" t="s">
        <v>4174</v>
      </c>
      <c r="I6421" s="29"/>
      <c r="J6421" s="29" t="s">
        <v>870</v>
      </c>
      <c r="K6421" s="29"/>
      <c r="L6421" s="29" t="s">
        <v>871</v>
      </c>
      <c r="M6421" s="29" t="s">
        <v>2174</v>
      </c>
      <c r="N6421" s="29" t="s">
        <v>4190</v>
      </c>
      <c r="O6421" s="29"/>
      <c r="P6421" s="29" t="s">
        <v>4191</v>
      </c>
      <c r="Q6421" t="s">
        <v>2040</v>
      </c>
      <c r="R6421" t="s">
        <v>6901</v>
      </c>
      <c r="S6421">
        <v>36</v>
      </c>
      <c r="T6421" s="43" t="str">
        <f>HYPERLINK("https://ictv.global/ictv/proposals/2020.001G.R.Abolish_type_species.pdf","2020.001G.R.Abolish_type_species.pdf")</f>
        <v>2020.001G.R.Abolish_type_species.pdf</v>
      </c>
      <c r="U6421" s="43" t="str">
        <f>HYPERLINK("https://ictv.global/taxonomy/taxondetails?taxnode_id=202207396","ictv.global=202207396")</f>
        <v>ictv.global=202207396</v>
      </c>
    </row>
    <row r="6422" spans="1:21">
      <c r="A6422">
        <v>6421</v>
      </c>
      <c r="B6422" s="29" t="s">
        <v>3223</v>
      </c>
      <c r="C6422" s="29"/>
      <c r="D6422" s="29" t="s">
        <v>4156</v>
      </c>
      <c r="E6422" s="29"/>
      <c r="F6422" s="29" t="s">
        <v>4173</v>
      </c>
      <c r="G6422" s="29"/>
      <c r="H6422" s="29" t="s">
        <v>4174</v>
      </c>
      <c r="I6422" s="29"/>
      <c r="J6422" s="29" t="s">
        <v>870</v>
      </c>
      <c r="K6422" s="29"/>
      <c r="L6422" s="29" t="s">
        <v>871</v>
      </c>
      <c r="M6422" s="29" t="s">
        <v>2174</v>
      </c>
      <c r="N6422" s="29" t="s">
        <v>8</v>
      </c>
      <c r="O6422" s="29"/>
      <c r="P6422" s="29" t="s">
        <v>1453</v>
      </c>
      <c r="Q6422" t="s">
        <v>2040</v>
      </c>
      <c r="R6422" t="s">
        <v>6901</v>
      </c>
      <c r="S6422">
        <v>36</v>
      </c>
      <c r="T6422" s="43" t="str">
        <f>HYPERLINK("https://ictv.global/ictv/proposals/2020.001G.R.Abolish_type_species.pdf","2020.001G.R.Abolish_type_species.pdf")</f>
        <v>2020.001G.R.Abolish_type_species.pdf</v>
      </c>
      <c r="U6422" s="43" t="str">
        <f>HYPERLINK("https://ictv.global/taxonomy/taxondetails?taxnode_id=202202316","ictv.global=202202316")</f>
        <v>ictv.global=202202316</v>
      </c>
    </row>
    <row r="6423" spans="1:21">
      <c r="A6423">
        <v>6422</v>
      </c>
      <c r="B6423" s="29" t="s">
        <v>3223</v>
      </c>
      <c r="C6423" s="29"/>
      <c r="D6423" s="29" t="s">
        <v>4156</v>
      </c>
      <c r="E6423" s="29"/>
      <c r="F6423" s="29" t="s">
        <v>4173</v>
      </c>
      <c r="G6423" s="29"/>
      <c r="H6423" s="29" t="s">
        <v>4174</v>
      </c>
      <c r="I6423" s="29"/>
      <c r="J6423" s="29" t="s">
        <v>870</v>
      </c>
      <c r="K6423" s="29"/>
      <c r="L6423" s="29" t="s">
        <v>871</v>
      </c>
      <c r="M6423" s="29" t="s">
        <v>2174</v>
      </c>
      <c r="N6423" s="29" t="s">
        <v>8</v>
      </c>
      <c r="O6423" s="29"/>
      <c r="P6423" s="29" t="s">
        <v>2182</v>
      </c>
      <c r="Q6423" t="s">
        <v>2040</v>
      </c>
      <c r="R6423" t="s">
        <v>2634</v>
      </c>
      <c r="S6423">
        <v>35</v>
      </c>
      <c r="T6423" s="43" t="str">
        <f>HYPERLINK("https://ictv.global/ictv/proposals/2019.006G.zip","2019.006G.zip")</f>
        <v>2019.006G.zip</v>
      </c>
      <c r="U6423" s="43" t="str">
        <f>HYPERLINK("https://ictv.global/taxonomy/taxondetails?taxnode_id=202202317","ictv.global=202202317")</f>
        <v>ictv.global=202202317</v>
      </c>
    </row>
    <row r="6424" spans="1:21">
      <c r="A6424">
        <v>6423</v>
      </c>
      <c r="B6424" s="29" t="s">
        <v>3223</v>
      </c>
      <c r="C6424" s="29"/>
      <c r="D6424" s="29" t="s">
        <v>4156</v>
      </c>
      <c r="E6424" s="29"/>
      <c r="F6424" s="29" t="s">
        <v>4173</v>
      </c>
      <c r="G6424" s="29"/>
      <c r="H6424" s="29" t="s">
        <v>4174</v>
      </c>
      <c r="I6424" s="29"/>
      <c r="J6424" s="29" t="s">
        <v>870</v>
      </c>
      <c r="K6424" s="29"/>
      <c r="L6424" s="29" t="s">
        <v>871</v>
      </c>
      <c r="M6424" s="29" t="s">
        <v>2174</v>
      </c>
      <c r="N6424" s="29" t="s">
        <v>8</v>
      </c>
      <c r="O6424" s="29"/>
      <c r="P6424" s="29" t="s">
        <v>12286</v>
      </c>
      <c r="Q6424" t="s">
        <v>2040</v>
      </c>
      <c r="R6424" t="s">
        <v>2632</v>
      </c>
      <c r="S6424">
        <v>37</v>
      </c>
      <c r="T6424" s="43" t="str">
        <f>HYPERLINK("https://ictv.global/ictv/proposals/2021.007P.R.Betaflexiviridae_2ng_23nsp.zip","2021.007P.R.Betaflexiviridae_2ng_23nsp.zip")</f>
        <v>2021.007P.R.Betaflexiviridae_2ng_23nsp.zip</v>
      </c>
      <c r="U6424" s="43" t="str">
        <f>HYPERLINK("https://ictv.global/taxonomy/taxondetails?taxnode_id=202213854","ictv.global=202213854")</f>
        <v>ictv.global=202213854</v>
      </c>
    </row>
    <row r="6425" spans="1:21">
      <c r="A6425">
        <v>6424</v>
      </c>
      <c r="B6425" s="29" t="s">
        <v>3223</v>
      </c>
      <c r="C6425" s="29"/>
      <c r="D6425" s="29" t="s">
        <v>4156</v>
      </c>
      <c r="E6425" s="29"/>
      <c r="F6425" s="29" t="s">
        <v>4173</v>
      </c>
      <c r="G6425" s="29"/>
      <c r="H6425" s="29" t="s">
        <v>4174</v>
      </c>
      <c r="I6425" s="29"/>
      <c r="J6425" s="29" t="s">
        <v>870</v>
      </c>
      <c r="K6425" s="29"/>
      <c r="L6425" s="29" t="s">
        <v>871</v>
      </c>
      <c r="M6425" s="29" t="s">
        <v>2174</v>
      </c>
      <c r="N6425" s="29" t="s">
        <v>8</v>
      </c>
      <c r="O6425" s="29"/>
      <c r="P6425" s="29" t="s">
        <v>12287</v>
      </c>
      <c r="Q6425" t="s">
        <v>2040</v>
      </c>
      <c r="R6425" t="s">
        <v>2632</v>
      </c>
      <c r="S6425">
        <v>37</v>
      </c>
      <c r="T6425" s="43" t="str">
        <f>HYPERLINK("https://ictv.global/ictv/proposals/2021.007P.R.Betaflexiviridae_2ng_23nsp.zip","2021.007P.R.Betaflexiviridae_2ng_23nsp.zip")</f>
        <v>2021.007P.R.Betaflexiviridae_2ng_23nsp.zip</v>
      </c>
      <c r="U6425" s="43" t="str">
        <f>HYPERLINK("https://ictv.global/taxonomy/taxondetails?taxnode_id=202213855","ictv.global=202213855")</f>
        <v>ictv.global=202213855</v>
      </c>
    </row>
    <row r="6426" spans="1:21">
      <c r="A6426">
        <v>6425</v>
      </c>
      <c r="B6426" s="29" t="s">
        <v>3223</v>
      </c>
      <c r="C6426" s="29"/>
      <c r="D6426" s="29" t="s">
        <v>4156</v>
      </c>
      <c r="E6426" s="29"/>
      <c r="F6426" s="29" t="s">
        <v>4173</v>
      </c>
      <c r="G6426" s="29"/>
      <c r="H6426" s="29" t="s">
        <v>4174</v>
      </c>
      <c r="I6426" s="29"/>
      <c r="J6426" s="29" t="s">
        <v>870</v>
      </c>
      <c r="K6426" s="29"/>
      <c r="L6426" s="29" t="s">
        <v>871</v>
      </c>
      <c r="M6426" s="29" t="s">
        <v>2174</v>
      </c>
      <c r="N6426" s="29" t="s">
        <v>8</v>
      </c>
      <c r="O6426" s="29"/>
      <c r="P6426" s="29" t="s">
        <v>12288</v>
      </c>
      <c r="Q6426" t="s">
        <v>2040</v>
      </c>
      <c r="R6426" t="s">
        <v>2632</v>
      </c>
      <c r="S6426">
        <v>37</v>
      </c>
      <c r="T6426" s="43" t="str">
        <f>HYPERLINK("https://ictv.global/ictv/proposals/2021.007P.R.Betaflexiviridae_2ng_23nsp.zip","2021.007P.R.Betaflexiviridae_2ng_23nsp.zip")</f>
        <v>2021.007P.R.Betaflexiviridae_2ng_23nsp.zip</v>
      </c>
      <c r="U6426" s="43" t="str">
        <f>HYPERLINK("https://ictv.global/taxonomy/taxondetails?taxnode_id=202213856","ictv.global=202213856")</f>
        <v>ictv.global=202213856</v>
      </c>
    </row>
    <row r="6427" spans="1:21">
      <c r="A6427">
        <v>6426</v>
      </c>
      <c r="B6427" s="29" t="s">
        <v>3223</v>
      </c>
      <c r="C6427" s="29"/>
      <c r="D6427" s="29" t="s">
        <v>4156</v>
      </c>
      <c r="E6427" s="29"/>
      <c r="F6427" s="29" t="s">
        <v>4173</v>
      </c>
      <c r="G6427" s="29"/>
      <c r="H6427" s="29" t="s">
        <v>4174</v>
      </c>
      <c r="I6427" s="29"/>
      <c r="J6427" s="29" t="s">
        <v>870</v>
      </c>
      <c r="K6427" s="29"/>
      <c r="L6427" s="29" t="s">
        <v>871</v>
      </c>
      <c r="M6427" s="29" t="s">
        <v>2174</v>
      </c>
      <c r="N6427" s="29" t="s">
        <v>276</v>
      </c>
      <c r="O6427" s="29"/>
      <c r="P6427" s="29" t="s">
        <v>1082</v>
      </c>
      <c r="Q6427" t="s">
        <v>2040</v>
      </c>
      <c r="R6427" t="s">
        <v>6901</v>
      </c>
      <c r="S6427">
        <v>36</v>
      </c>
      <c r="T6427" s="43" t="str">
        <f>HYPERLINK("https://ictv.global/ictv/proposals/2020.001G.R.Abolish_type_species.pdf","2020.001G.R.Abolish_type_species.pdf")</f>
        <v>2020.001G.R.Abolish_type_species.pdf</v>
      </c>
      <c r="U6427" s="43" t="str">
        <f>HYPERLINK("https://ictv.global/taxonomy/taxondetails?taxnode_id=202202319","ictv.global=202202319")</f>
        <v>ictv.global=202202319</v>
      </c>
    </row>
    <row r="6428" spans="1:21">
      <c r="A6428">
        <v>6427</v>
      </c>
      <c r="B6428" s="29" t="s">
        <v>3223</v>
      </c>
      <c r="C6428" s="29"/>
      <c r="D6428" s="29" t="s">
        <v>4156</v>
      </c>
      <c r="E6428" s="29"/>
      <c r="F6428" s="29" t="s">
        <v>4173</v>
      </c>
      <c r="G6428" s="29"/>
      <c r="H6428" s="29" t="s">
        <v>4174</v>
      </c>
      <c r="I6428" s="29"/>
      <c r="J6428" s="29" t="s">
        <v>870</v>
      </c>
      <c r="K6428" s="29"/>
      <c r="L6428" s="29" t="s">
        <v>871</v>
      </c>
      <c r="M6428" s="29" t="s">
        <v>2174</v>
      </c>
      <c r="N6428" s="29" t="s">
        <v>276</v>
      </c>
      <c r="O6428" s="29"/>
      <c r="P6428" s="29" t="s">
        <v>1539</v>
      </c>
      <c r="Q6428" t="s">
        <v>2040</v>
      </c>
      <c r="R6428" t="s">
        <v>2634</v>
      </c>
      <c r="S6428">
        <v>35</v>
      </c>
      <c r="T6428" s="43" t="str">
        <f t="shared" ref="T6428:T6433" si="294">HYPERLINK("https://ictv.global/ictv/proposals/2019.006G.zip","2019.006G.zip")</f>
        <v>2019.006G.zip</v>
      </c>
      <c r="U6428" s="43" t="str">
        <f>HYPERLINK("https://ictv.global/taxonomy/taxondetails?taxnode_id=202202320","ictv.global=202202320")</f>
        <v>ictv.global=202202320</v>
      </c>
    </row>
    <row r="6429" spans="1:21">
      <c r="A6429">
        <v>6428</v>
      </c>
      <c r="B6429" s="29" t="s">
        <v>3223</v>
      </c>
      <c r="C6429" s="29"/>
      <c r="D6429" s="29" t="s">
        <v>4156</v>
      </c>
      <c r="E6429" s="29"/>
      <c r="F6429" s="29" t="s">
        <v>4173</v>
      </c>
      <c r="G6429" s="29"/>
      <c r="H6429" s="29" t="s">
        <v>4174</v>
      </c>
      <c r="I6429" s="29"/>
      <c r="J6429" s="29" t="s">
        <v>870</v>
      </c>
      <c r="K6429" s="29"/>
      <c r="L6429" s="29" t="s">
        <v>871</v>
      </c>
      <c r="M6429" s="29" t="s">
        <v>2174</v>
      </c>
      <c r="N6429" s="29" t="s">
        <v>276</v>
      </c>
      <c r="O6429" s="29"/>
      <c r="P6429" s="29" t="s">
        <v>1540</v>
      </c>
      <c r="Q6429" t="s">
        <v>2040</v>
      </c>
      <c r="R6429" t="s">
        <v>2634</v>
      </c>
      <c r="S6429">
        <v>35</v>
      </c>
      <c r="T6429" s="43" t="str">
        <f t="shared" si="294"/>
        <v>2019.006G.zip</v>
      </c>
      <c r="U6429" s="43" t="str">
        <f>HYPERLINK("https://ictv.global/taxonomy/taxondetails?taxnode_id=202202321","ictv.global=202202321")</f>
        <v>ictv.global=202202321</v>
      </c>
    </row>
    <row r="6430" spans="1:21">
      <c r="A6430">
        <v>6429</v>
      </c>
      <c r="B6430" s="29" t="s">
        <v>3223</v>
      </c>
      <c r="C6430" s="29"/>
      <c r="D6430" s="29" t="s">
        <v>4156</v>
      </c>
      <c r="E6430" s="29"/>
      <c r="F6430" s="29" t="s">
        <v>4173</v>
      </c>
      <c r="G6430" s="29"/>
      <c r="H6430" s="29" t="s">
        <v>4174</v>
      </c>
      <c r="I6430" s="29"/>
      <c r="J6430" s="29" t="s">
        <v>870</v>
      </c>
      <c r="K6430" s="29"/>
      <c r="L6430" s="29" t="s">
        <v>871</v>
      </c>
      <c r="M6430" s="29" t="s">
        <v>2174</v>
      </c>
      <c r="N6430" s="29" t="s">
        <v>276</v>
      </c>
      <c r="O6430" s="29"/>
      <c r="P6430" s="29" t="s">
        <v>1541</v>
      </c>
      <c r="Q6430" t="s">
        <v>2040</v>
      </c>
      <c r="R6430" t="s">
        <v>2634</v>
      </c>
      <c r="S6430">
        <v>35</v>
      </c>
      <c r="T6430" s="43" t="str">
        <f t="shared" si="294"/>
        <v>2019.006G.zip</v>
      </c>
      <c r="U6430" s="43" t="str">
        <f>HYPERLINK("https://ictv.global/taxonomy/taxondetails?taxnode_id=202202322","ictv.global=202202322")</f>
        <v>ictv.global=202202322</v>
      </c>
    </row>
    <row r="6431" spans="1:21">
      <c r="A6431">
        <v>6430</v>
      </c>
      <c r="B6431" s="29" t="s">
        <v>3223</v>
      </c>
      <c r="C6431" s="29"/>
      <c r="D6431" s="29" t="s">
        <v>4156</v>
      </c>
      <c r="E6431" s="29"/>
      <c r="F6431" s="29" t="s">
        <v>4173</v>
      </c>
      <c r="G6431" s="29"/>
      <c r="H6431" s="29" t="s">
        <v>4174</v>
      </c>
      <c r="I6431" s="29"/>
      <c r="J6431" s="29" t="s">
        <v>870</v>
      </c>
      <c r="K6431" s="29"/>
      <c r="L6431" s="29" t="s">
        <v>871</v>
      </c>
      <c r="M6431" s="29" t="s">
        <v>2174</v>
      </c>
      <c r="N6431" s="29" t="s">
        <v>276</v>
      </c>
      <c r="O6431" s="29"/>
      <c r="P6431" s="29" t="s">
        <v>1647</v>
      </c>
      <c r="Q6431" t="s">
        <v>2040</v>
      </c>
      <c r="R6431" t="s">
        <v>2634</v>
      </c>
      <c r="S6431">
        <v>35</v>
      </c>
      <c r="T6431" s="43" t="str">
        <f t="shared" si="294"/>
        <v>2019.006G.zip</v>
      </c>
      <c r="U6431" s="43" t="str">
        <f>HYPERLINK("https://ictv.global/taxonomy/taxondetails?taxnode_id=202202323","ictv.global=202202323")</f>
        <v>ictv.global=202202323</v>
      </c>
    </row>
    <row r="6432" spans="1:21">
      <c r="A6432">
        <v>6431</v>
      </c>
      <c r="B6432" s="29" t="s">
        <v>3223</v>
      </c>
      <c r="C6432" s="29"/>
      <c r="D6432" s="29" t="s">
        <v>4156</v>
      </c>
      <c r="E6432" s="29"/>
      <c r="F6432" s="29" t="s">
        <v>4173</v>
      </c>
      <c r="G6432" s="29"/>
      <c r="H6432" s="29" t="s">
        <v>4174</v>
      </c>
      <c r="I6432" s="29"/>
      <c r="J6432" s="29" t="s">
        <v>870</v>
      </c>
      <c r="K6432" s="29"/>
      <c r="L6432" s="29" t="s">
        <v>871</v>
      </c>
      <c r="M6432" s="29" t="s">
        <v>2174</v>
      </c>
      <c r="N6432" s="29" t="s">
        <v>276</v>
      </c>
      <c r="O6432" s="29"/>
      <c r="P6432" s="29" t="s">
        <v>1542</v>
      </c>
      <c r="Q6432" t="s">
        <v>2040</v>
      </c>
      <c r="R6432" t="s">
        <v>2634</v>
      </c>
      <c r="S6432">
        <v>35</v>
      </c>
      <c r="T6432" s="43" t="str">
        <f t="shared" si="294"/>
        <v>2019.006G.zip</v>
      </c>
      <c r="U6432" s="43" t="str">
        <f>HYPERLINK("https://ictv.global/taxonomy/taxondetails?taxnode_id=202202324","ictv.global=202202324")</f>
        <v>ictv.global=202202324</v>
      </c>
    </row>
    <row r="6433" spans="1:21">
      <c r="A6433">
        <v>6432</v>
      </c>
      <c r="B6433" s="29" t="s">
        <v>3223</v>
      </c>
      <c r="C6433" s="29"/>
      <c r="D6433" s="29" t="s">
        <v>4156</v>
      </c>
      <c r="E6433" s="29"/>
      <c r="F6433" s="29" t="s">
        <v>4173</v>
      </c>
      <c r="G6433" s="29"/>
      <c r="H6433" s="29" t="s">
        <v>4174</v>
      </c>
      <c r="I6433" s="29"/>
      <c r="J6433" s="29" t="s">
        <v>870</v>
      </c>
      <c r="K6433" s="29"/>
      <c r="L6433" s="29" t="s">
        <v>871</v>
      </c>
      <c r="M6433" s="29" t="s">
        <v>2174</v>
      </c>
      <c r="N6433" s="29" t="s">
        <v>276</v>
      </c>
      <c r="O6433" s="29"/>
      <c r="P6433" s="29" t="s">
        <v>1648</v>
      </c>
      <c r="Q6433" t="s">
        <v>2040</v>
      </c>
      <c r="R6433" t="s">
        <v>2634</v>
      </c>
      <c r="S6433">
        <v>35</v>
      </c>
      <c r="T6433" s="43" t="str">
        <f t="shared" si="294"/>
        <v>2019.006G.zip</v>
      </c>
      <c r="U6433" s="43" t="str">
        <f>HYPERLINK("https://ictv.global/taxonomy/taxondetails?taxnode_id=202202325","ictv.global=202202325")</f>
        <v>ictv.global=202202325</v>
      </c>
    </row>
    <row r="6434" spans="1:21">
      <c r="A6434">
        <v>6433</v>
      </c>
      <c r="B6434" s="29" t="s">
        <v>3223</v>
      </c>
      <c r="C6434" s="29"/>
      <c r="D6434" s="29" t="s">
        <v>4156</v>
      </c>
      <c r="E6434" s="29"/>
      <c r="F6434" s="29" t="s">
        <v>4173</v>
      </c>
      <c r="G6434" s="29"/>
      <c r="H6434" s="29" t="s">
        <v>4174</v>
      </c>
      <c r="I6434" s="29"/>
      <c r="J6434" s="29" t="s">
        <v>870</v>
      </c>
      <c r="K6434" s="29"/>
      <c r="L6434" s="29" t="s">
        <v>871</v>
      </c>
      <c r="M6434" s="29" t="s">
        <v>2174</v>
      </c>
      <c r="N6434" s="29" t="s">
        <v>276</v>
      </c>
      <c r="O6434" s="29"/>
      <c r="P6434" s="29" t="s">
        <v>12289</v>
      </c>
      <c r="Q6434" t="s">
        <v>2040</v>
      </c>
      <c r="R6434" t="s">
        <v>2632</v>
      </c>
      <c r="S6434">
        <v>37</v>
      </c>
      <c r="T6434" s="43" t="str">
        <f>HYPERLINK("https://ictv.global/ictv/proposals/2021.007P.R.Betaflexiviridae_2ng_23nsp.zip","2021.007P.R.Betaflexiviridae_2ng_23nsp.zip")</f>
        <v>2021.007P.R.Betaflexiviridae_2ng_23nsp.zip</v>
      </c>
      <c r="U6434" s="43" t="str">
        <f>HYPERLINK("https://ictv.global/taxonomy/taxondetails?taxnode_id=202213857","ictv.global=202213857")</f>
        <v>ictv.global=202213857</v>
      </c>
    </row>
    <row r="6435" spans="1:21">
      <c r="A6435">
        <v>6434</v>
      </c>
      <c r="B6435" s="29" t="s">
        <v>3223</v>
      </c>
      <c r="C6435" s="29"/>
      <c r="D6435" s="29" t="s">
        <v>4156</v>
      </c>
      <c r="E6435" s="29"/>
      <c r="F6435" s="29" t="s">
        <v>4173</v>
      </c>
      <c r="G6435" s="29"/>
      <c r="H6435" s="29" t="s">
        <v>4174</v>
      </c>
      <c r="I6435" s="29"/>
      <c r="J6435" s="29" t="s">
        <v>870</v>
      </c>
      <c r="K6435" s="29"/>
      <c r="L6435" s="29" t="s">
        <v>871</v>
      </c>
      <c r="M6435" s="29" t="s">
        <v>2174</v>
      </c>
      <c r="N6435" s="29" t="s">
        <v>276</v>
      </c>
      <c r="O6435" s="29"/>
      <c r="P6435" s="29" t="s">
        <v>12290</v>
      </c>
      <c r="Q6435" t="s">
        <v>2040</v>
      </c>
      <c r="R6435" t="s">
        <v>2632</v>
      </c>
      <c r="S6435">
        <v>37</v>
      </c>
      <c r="T6435" s="43" t="str">
        <f>HYPERLINK("https://ictv.global/ictv/proposals/2021.007P.R.Betaflexiviridae_2ng_23nsp.zip","2021.007P.R.Betaflexiviridae_2ng_23nsp.zip")</f>
        <v>2021.007P.R.Betaflexiviridae_2ng_23nsp.zip</v>
      </c>
      <c r="U6435" s="43" t="str">
        <f>HYPERLINK("https://ictv.global/taxonomy/taxondetails?taxnode_id=202213859","ictv.global=202213859")</f>
        <v>ictv.global=202213859</v>
      </c>
    </row>
    <row r="6436" spans="1:21">
      <c r="A6436">
        <v>6435</v>
      </c>
      <c r="B6436" s="29" t="s">
        <v>3223</v>
      </c>
      <c r="C6436" s="29"/>
      <c r="D6436" s="29" t="s">
        <v>4156</v>
      </c>
      <c r="E6436" s="29"/>
      <c r="F6436" s="29" t="s">
        <v>4173</v>
      </c>
      <c r="G6436" s="29"/>
      <c r="H6436" s="29" t="s">
        <v>4174</v>
      </c>
      <c r="I6436" s="29"/>
      <c r="J6436" s="29" t="s">
        <v>870</v>
      </c>
      <c r="K6436" s="29"/>
      <c r="L6436" s="29" t="s">
        <v>871</v>
      </c>
      <c r="M6436" s="29" t="s">
        <v>2174</v>
      </c>
      <c r="N6436" s="29" t="s">
        <v>276</v>
      </c>
      <c r="O6436" s="29"/>
      <c r="P6436" s="29" t="s">
        <v>12291</v>
      </c>
      <c r="Q6436" t="s">
        <v>2040</v>
      </c>
      <c r="R6436" t="s">
        <v>2632</v>
      </c>
      <c r="S6436">
        <v>37</v>
      </c>
      <c r="T6436" s="43" t="str">
        <f>HYPERLINK("https://ictv.global/ictv/proposals/2021.007P.R.Betaflexiviridae_2ng_23nsp.zip","2021.007P.R.Betaflexiviridae_2ng_23nsp.zip")</f>
        <v>2021.007P.R.Betaflexiviridae_2ng_23nsp.zip</v>
      </c>
      <c r="U6436" s="43" t="str">
        <f>HYPERLINK("https://ictv.global/taxonomy/taxondetails?taxnode_id=202213858","ictv.global=202213858")</f>
        <v>ictv.global=202213858</v>
      </c>
    </row>
    <row r="6437" spans="1:21">
      <c r="A6437">
        <v>6436</v>
      </c>
      <c r="B6437" s="29" t="s">
        <v>3223</v>
      </c>
      <c r="C6437" s="29"/>
      <c r="D6437" s="29" t="s">
        <v>4156</v>
      </c>
      <c r="E6437" s="29"/>
      <c r="F6437" s="29" t="s">
        <v>4173</v>
      </c>
      <c r="G6437" s="29"/>
      <c r="H6437" s="29" t="s">
        <v>4174</v>
      </c>
      <c r="I6437" s="29"/>
      <c r="J6437" s="29" t="s">
        <v>870</v>
      </c>
      <c r="K6437" s="29"/>
      <c r="L6437" s="29" t="s">
        <v>871</v>
      </c>
      <c r="M6437" s="29" t="s">
        <v>2174</v>
      </c>
      <c r="N6437" s="29" t="s">
        <v>1232</v>
      </c>
      <c r="O6437" s="29"/>
      <c r="P6437" s="29" t="s">
        <v>1651</v>
      </c>
      <c r="Q6437" t="s">
        <v>2040</v>
      </c>
      <c r="R6437" t="s">
        <v>2634</v>
      </c>
      <c r="S6437">
        <v>35</v>
      </c>
      <c r="T6437" s="43" t="str">
        <f>HYPERLINK("https://ictv.global/ictv/proposals/2019.006G.zip","2019.006G.zip")</f>
        <v>2019.006G.zip</v>
      </c>
      <c r="U6437" s="43" t="str">
        <f>HYPERLINK("https://ictv.global/taxonomy/taxondetails?taxnode_id=202202327","ictv.global=202202327")</f>
        <v>ictv.global=202202327</v>
      </c>
    </row>
    <row r="6438" spans="1:21">
      <c r="A6438">
        <v>6437</v>
      </c>
      <c r="B6438" s="29" t="s">
        <v>3223</v>
      </c>
      <c r="C6438" s="29"/>
      <c r="D6438" s="29" t="s">
        <v>4156</v>
      </c>
      <c r="E6438" s="29"/>
      <c r="F6438" s="29" t="s">
        <v>4173</v>
      </c>
      <c r="G6438" s="29"/>
      <c r="H6438" s="29" t="s">
        <v>4174</v>
      </c>
      <c r="I6438" s="29"/>
      <c r="J6438" s="29" t="s">
        <v>870</v>
      </c>
      <c r="K6438" s="29"/>
      <c r="L6438" s="29" t="s">
        <v>871</v>
      </c>
      <c r="M6438" s="29" t="s">
        <v>2174</v>
      </c>
      <c r="N6438" s="29" t="s">
        <v>1232</v>
      </c>
      <c r="O6438" s="29"/>
      <c r="P6438" s="29" t="s">
        <v>1709</v>
      </c>
      <c r="Q6438" t="s">
        <v>2040</v>
      </c>
      <c r="R6438" t="s">
        <v>2634</v>
      </c>
      <c r="S6438">
        <v>35</v>
      </c>
      <c r="T6438" s="43" t="str">
        <f>HYPERLINK("https://ictv.global/ictv/proposals/2019.006G.zip","2019.006G.zip")</f>
        <v>2019.006G.zip</v>
      </c>
      <c r="U6438" s="43" t="str">
        <f>HYPERLINK("https://ictv.global/taxonomy/taxondetails?taxnode_id=202202328","ictv.global=202202328")</f>
        <v>ictv.global=202202328</v>
      </c>
    </row>
    <row r="6439" spans="1:21">
      <c r="A6439">
        <v>6438</v>
      </c>
      <c r="B6439" s="29" t="s">
        <v>3223</v>
      </c>
      <c r="C6439" s="29"/>
      <c r="D6439" s="29" t="s">
        <v>4156</v>
      </c>
      <c r="E6439" s="29"/>
      <c r="F6439" s="29" t="s">
        <v>4173</v>
      </c>
      <c r="G6439" s="29"/>
      <c r="H6439" s="29" t="s">
        <v>4174</v>
      </c>
      <c r="I6439" s="29"/>
      <c r="J6439" s="29" t="s">
        <v>870</v>
      </c>
      <c r="K6439" s="29"/>
      <c r="L6439" s="29" t="s">
        <v>871</v>
      </c>
      <c r="M6439" s="29" t="s">
        <v>2174</v>
      </c>
      <c r="N6439" s="29" t="s">
        <v>1232</v>
      </c>
      <c r="O6439" s="29"/>
      <c r="P6439" s="29" t="s">
        <v>2745</v>
      </c>
      <c r="Q6439" t="s">
        <v>2040</v>
      </c>
      <c r="R6439" t="s">
        <v>2634</v>
      </c>
      <c r="S6439">
        <v>35</v>
      </c>
      <c r="T6439" s="43" t="str">
        <f>HYPERLINK("https://ictv.global/ictv/proposals/2019.006G.zip","2019.006G.zip")</f>
        <v>2019.006G.zip</v>
      </c>
      <c r="U6439" s="43" t="str">
        <f>HYPERLINK("https://ictv.global/taxonomy/taxondetails?taxnode_id=202205644","ictv.global=202205644")</f>
        <v>ictv.global=202205644</v>
      </c>
    </row>
    <row r="6440" spans="1:21">
      <c r="A6440">
        <v>6439</v>
      </c>
      <c r="B6440" s="29" t="s">
        <v>3223</v>
      </c>
      <c r="C6440" s="29"/>
      <c r="D6440" s="29" t="s">
        <v>4156</v>
      </c>
      <c r="E6440" s="29"/>
      <c r="F6440" s="29" t="s">
        <v>4173</v>
      </c>
      <c r="G6440" s="29"/>
      <c r="H6440" s="29" t="s">
        <v>4174</v>
      </c>
      <c r="I6440" s="29"/>
      <c r="J6440" s="29" t="s">
        <v>870</v>
      </c>
      <c r="K6440" s="29"/>
      <c r="L6440" s="29" t="s">
        <v>871</v>
      </c>
      <c r="M6440" s="29" t="s">
        <v>2174</v>
      </c>
      <c r="N6440" s="29" t="s">
        <v>1232</v>
      </c>
      <c r="O6440" s="29"/>
      <c r="P6440" s="29" t="s">
        <v>3306</v>
      </c>
      <c r="Q6440" t="s">
        <v>2040</v>
      </c>
      <c r="R6440" t="s">
        <v>2634</v>
      </c>
      <c r="S6440">
        <v>35</v>
      </c>
      <c r="T6440" s="43" t="str">
        <f>HYPERLINK("https://ictv.global/ictv/proposals/2019.006G.zip","2019.006G.zip")</f>
        <v>2019.006G.zip</v>
      </c>
      <c r="U6440" s="43" t="str">
        <f>HYPERLINK("https://ictv.global/taxonomy/taxondetails?taxnode_id=202206439","ictv.global=202206439")</f>
        <v>ictv.global=202206439</v>
      </c>
    </row>
    <row r="6441" spans="1:21">
      <c r="A6441">
        <v>6440</v>
      </c>
      <c r="B6441" s="29" t="s">
        <v>3223</v>
      </c>
      <c r="C6441" s="29"/>
      <c r="D6441" s="29" t="s">
        <v>4156</v>
      </c>
      <c r="E6441" s="29"/>
      <c r="F6441" s="29" t="s">
        <v>4173</v>
      </c>
      <c r="G6441" s="29"/>
      <c r="H6441" s="29" t="s">
        <v>4174</v>
      </c>
      <c r="I6441" s="29"/>
      <c r="J6441" s="29" t="s">
        <v>870</v>
      </c>
      <c r="K6441" s="29"/>
      <c r="L6441" s="29" t="s">
        <v>871</v>
      </c>
      <c r="M6441" s="29" t="s">
        <v>2174</v>
      </c>
      <c r="N6441" s="29" t="s">
        <v>1232</v>
      </c>
      <c r="O6441" s="29"/>
      <c r="P6441" s="29" t="s">
        <v>1233</v>
      </c>
      <c r="Q6441" t="s">
        <v>2040</v>
      </c>
      <c r="R6441" t="s">
        <v>6901</v>
      </c>
      <c r="S6441">
        <v>36</v>
      </c>
      <c r="T6441" s="43" t="str">
        <f>HYPERLINK("https://ictv.global/ictv/proposals/2020.001G.R.Abolish_type_species.pdf","2020.001G.R.Abolish_type_species.pdf")</f>
        <v>2020.001G.R.Abolish_type_species.pdf</v>
      </c>
      <c r="U6441" s="43" t="str">
        <f>HYPERLINK("https://ictv.global/taxonomy/taxondetails?taxnode_id=202202329","ictv.global=202202329")</f>
        <v>ictv.global=202202329</v>
      </c>
    </row>
    <row r="6442" spans="1:21">
      <c r="A6442">
        <v>6441</v>
      </c>
      <c r="B6442" s="29" t="s">
        <v>3223</v>
      </c>
      <c r="C6442" s="29"/>
      <c r="D6442" s="29" t="s">
        <v>4156</v>
      </c>
      <c r="E6442" s="29"/>
      <c r="F6442" s="29" t="s">
        <v>4173</v>
      </c>
      <c r="G6442" s="29"/>
      <c r="H6442" s="29" t="s">
        <v>4174</v>
      </c>
      <c r="I6442" s="29"/>
      <c r="J6442" s="29" t="s">
        <v>870</v>
      </c>
      <c r="K6442" s="29"/>
      <c r="L6442" s="29" t="s">
        <v>871</v>
      </c>
      <c r="M6442" s="29" t="s">
        <v>2174</v>
      </c>
      <c r="N6442" s="29" t="s">
        <v>1232</v>
      </c>
      <c r="O6442" s="29"/>
      <c r="P6442" s="29" t="s">
        <v>417</v>
      </c>
      <c r="Q6442" t="s">
        <v>2040</v>
      </c>
      <c r="R6442" t="s">
        <v>2634</v>
      </c>
      <c r="S6442">
        <v>35</v>
      </c>
      <c r="T6442" s="43" t="str">
        <f t="shared" ref="T6442:T6451" si="295">HYPERLINK("https://ictv.global/ictv/proposals/2019.006G.zip","2019.006G.zip")</f>
        <v>2019.006G.zip</v>
      </c>
      <c r="U6442" s="43" t="str">
        <f>HYPERLINK("https://ictv.global/taxonomy/taxondetails?taxnode_id=202202330","ictv.global=202202330")</f>
        <v>ictv.global=202202330</v>
      </c>
    </row>
    <row r="6443" spans="1:21">
      <c r="A6443">
        <v>6442</v>
      </c>
      <c r="B6443" s="29" t="s">
        <v>3223</v>
      </c>
      <c r="C6443" s="29"/>
      <c r="D6443" s="29" t="s">
        <v>4156</v>
      </c>
      <c r="E6443" s="29"/>
      <c r="F6443" s="29" t="s">
        <v>4173</v>
      </c>
      <c r="G6443" s="29"/>
      <c r="H6443" s="29" t="s">
        <v>4174</v>
      </c>
      <c r="I6443" s="29"/>
      <c r="J6443" s="29" t="s">
        <v>870</v>
      </c>
      <c r="K6443" s="29"/>
      <c r="L6443" s="29" t="s">
        <v>871</v>
      </c>
      <c r="M6443" s="29" t="s">
        <v>2174</v>
      </c>
      <c r="N6443" s="29" t="s">
        <v>1232</v>
      </c>
      <c r="O6443" s="29"/>
      <c r="P6443" s="29" t="s">
        <v>418</v>
      </c>
      <c r="Q6443" t="s">
        <v>2040</v>
      </c>
      <c r="R6443" t="s">
        <v>2634</v>
      </c>
      <c r="S6443">
        <v>35</v>
      </c>
      <c r="T6443" s="43" t="str">
        <f t="shared" si="295"/>
        <v>2019.006G.zip</v>
      </c>
      <c r="U6443" s="43" t="str">
        <f>HYPERLINK("https://ictv.global/taxonomy/taxondetails?taxnode_id=202202331","ictv.global=202202331")</f>
        <v>ictv.global=202202331</v>
      </c>
    </row>
    <row r="6444" spans="1:21">
      <c r="A6444">
        <v>6443</v>
      </c>
      <c r="B6444" s="29" t="s">
        <v>3223</v>
      </c>
      <c r="C6444" s="29"/>
      <c r="D6444" s="29" t="s">
        <v>4156</v>
      </c>
      <c r="E6444" s="29"/>
      <c r="F6444" s="29" t="s">
        <v>4173</v>
      </c>
      <c r="G6444" s="29"/>
      <c r="H6444" s="29" t="s">
        <v>4174</v>
      </c>
      <c r="I6444" s="29"/>
      <c r="J6444" s="29" t="s">
        <v>870</v>
      </c>
      <c r="K6444" s="29"/>
      <c r="L6444" s="29" t="s">
        <v>871</v>
      </c>
      <c r="M6444" s="29" t="s">
        <v>2174</v>
      </c>
      <c r="N6444" s="29" t="s">
        <v>1232</v>
      </c>
      <c r="O6444" s="29"/>
      <c r="P6444" s="29" t="s">
        <v>1128</v>
      </c>
      <c r="Q6444" t="s">
        <v>2040</v>
      </c>
      <c r="R6444" t="s">
        <v>2634</v>
      </c>
      <c r="S6444">
        <v>35</v>
      </c>
      <c r="T6444" s="43" t="str">
        <f t="shared" si="295"/>
        <v>2019.006G.zip</v>
      </c>
      <c r="U6444" s="43" t="str">
        <f>HYPERLINK("https://ictv.global/taxonomy/taxondetails?taxnode_id=202202332","ictv.global=202202332")</f>
        <v>ictv.global=202202332</v>
      </c>
    </row>
    <row r="6445" spans="1:21">
      <c r="A6445">
        <v>6444</v>
      </c>
      <c r="B6445" s="29" t="s">
        <v>3223</v>
      </c>
      <c r="C6445" s="29"/>
      <c r="D6445" s="29" t="s">
        <v>4156</v>
      </c>
      <c r="E6445" s="29"/>
      <c r="F6445" s="29" t="s">
        <v>4173</v>
      </c>
      <c r="G6445" s="29"/>
      <c r="H6445" s="29" t="s">
        <v>4174</v>
      </c>
      <c r="I6445" s="29"/>
      <c r="J6445" s="29" t="s">
        <v>870</v>
      </c>
      <c r="K6445" s="29"/>
      <c r="L6445" s="29" t="s">
        <v>871</v>
      </c>
      <c r="M6445" s="29" t="s">
        <v>2174</v>
      </c>
      <c r="N6445" s="29" t="s">
        <v>1232</v>
      </c>
      <c r="O6445" s="29"/>
      <c r="P6445" s="29" t="s">
        <v>1737</v>
      </c>
      <c r="Q6445" t="s">
        <v>2040</v>
      </c>
      <c r="R6445" t="s">
        <v>2634</v>
      </c>
      <c r="S6445">
        <v>35</v>
      </c>
      <c r="T6445" s="43" t="str">
        <f t="shared" si="295"/>
        <v>2019.006G.zip</v>
      </c>
      <c r="U6445" s="43" t="str">
        <f>HYPERLINK("https://ictv.global/taxonomy/taxondetails?taxnode_id=202202333","ictv.global=202202333")</f>
        <v>ictv.global=202202333</v>
      </c>
    </row>
    <row r="6446" spans="1:21">
      <c r="A6446">
        <v>6445</v>
      </c>
      <c r="B6446" s="29" t="s">
        <v>3223</v>
      </c>
      <c r="C6446" s="29"/>
      <c r="D6446" s="29" t="s">
        <v>4156</v>
      </c>
      <c r="E6446" s="29"/>
      <c r="F6446" s="29" t="s">
        <v>4173</v>
      </c>
      <c r="G6446" s="29"/>
      <c r="H6446" s="29" t="s">
        <v>4174</v>
      </c>
      <c r="I6446" s="29"/>
      <c r="J6446" s="29" t="s">
        <v>870</v>
      </c>
      <c r="K6446" s="29"/>
      <c r="L6446" s="29" t="s">
        <v>871</v>
      </c>
      <c r="M6446" s="29" t="s">
        <v>2174</v>
      </c>
      <c r="N6446" s="29" t="s">
        <v>1232</v>
      </c>
      <c r="O6446" s="29"/>
      <c r="P6446" s="29" t="s">
        <v>3307</v>
      </c>
      <c r="Q6446" t="s">
        <v>2040</v>
      </c>
      <c r="R6446" t="s">
        <v>2634</v>
      </c>
      <c r="S6446">
        <v>35</v>
      </c>
      <c r="T6446" s="43" t="str">
        <f t="shared" si="295"/>
        <v>2019.006G.zip</v>
      </c>
      <c r="U6446" s="43" t="str">
        <f>HYPERLINK("https://ictv.global/taxonomy/taxondetails?taxnode_id=202206476","ictv.global=202206476")</f>
        <v>ictv.global=202206476</v>
      </c>
    </row>
    <row r="6447" spans="1:21">
      <c r="A6447">
        <v>6446</v>
      </c>
      <c r="B6447" s="29" t="s">
        <v>3223</v>
      </c>
      <c r="C6447" s="29"/>
      <c r="D6447" s="29" t="s">
        <v>4156</v>
      </c>
      <c r="E6447" s="29"/>
      <c r="F6447" s="29" t="s">
        <v>4173</v>
      </c>
      <c r="G6447" s="29"/>
      <c r="H6447" s="29" t="s">
        <v>4174</v>
      </c>
      <c r="I6447" s="29"/>
      <c r="J6447" s="29" t="s">
        <v>870</v>
      </c>
      <c r="K6447" s="29"/>
      <c r="L6447" s="29" t="s">
        <v>871</v>
      </c>
      <c r="M6447" s="29" t="s">
        <v>2174</v>
      </c>
      <c r="N6447" s="29" t="s">
        <v>1232</v>
      </c>
      <c r="O6447" s="29"/>
      <c r="P6447" s="29" t="s">
        <v>3308</v>
      </c>
      <c r="Q6447" t="s">
        <v>2040</v>
      </c>
      <c r="R6447" t="s">
        <v>2634</v>
      </c>
      <c r="S6447">
        <v>35</v>
      </c>
      <c r="T6447" s="43" t="str">
        <f t="shared" si="295"/>
        <v>2019.006G.zip</v>
      </c>
      <c r="U6447" s="43" t="str">
        <f>HYPERLINK("https://ictv.global/taxonomy/taxondetails?taxnode_id=202206481","ictv.global=202206481")</f>
        <v>ictv.global=202206481</v>
      </c>
    </row>
    <row r="6448" spans="1:21">
      <c r="A6448">
        <v>6447</v>
      </c>
      <c r="B6448" s="29" t="s">
        <v>3223</v>
      </c>
      <c r="C6448" s="29"/>
      <c r="D6448" s="29" t="s">
        <v>4156</v>
      </c>
      <c r="E6448" s="29"/>
      <c r="F6448" s="29" t="s">
        <v>4173</v>
      </c>
      <c r="G6448" s="29"/>
      <c r="H6448" s="29" t="s">
        <v>4174</v>
      </c>
      <c r="I6448" s="29"/>
      <c r="J6448" s="29" t="s">
        <v>870</v>
      </c>
      <c r="K6448" s="29"/>
      <c r="L6448" s="29" t="s">
        <v>871</v>
      </c>
      <c r="M6448" s="29" t="s">
        <v>2174</v>
      </c>
      <c r="N6448" s="29" t="s">
        <v>1232</v>
      </c>
      <c r="O6448" s="29"/>
      <c r="P6448" s="29" t="s">
        <v>3309</v>
      </c>
      <c r="Q6448" t="s">
        <v>2040</v>
      </c>
      <c r="R6448" t="s">
        <v>2634</v>
      </c>
      <c r="S6448">
        <v>35</v>
      </c>
      <c r="T6448" s="43" t="str">
        <f t="shared" si="295"/>
        <v>2019.006G.zip</v>
      </c>
      <c r="U6448" s="43" t="str">
        <f>HYPERLINK("https://ictv.global/taxonomy/taxondetails?taxnode_id=202206487","ictv.global=202206487")</f>
        <v>ictv.global=202206487</v>
      </c>
    </row>
    <row r="6449" spans="1:21">
      <c r="A6449">
        <v>6448</v>
      </c>
      <c r="B6449" s="29" t="s">
        <v>3223</v>
      </c>
      <c r="C6449" s="29"/>
      <c r="D6449" s="29" t="s">
        <v>4156</v>
      </c>
      <c r="E6449" s="29"/>
      <c r="F6449" s="29" t="s">
        <v>4173</v>
      </c>
      <c r="G6449" s="29"/>
      <c r="H6449" s="29" t="s">
        <v>4174</v>
      </c>
      <c r="I6449" s="29"/>
      <c r="J6449" s="29" t="s">
        <v>870</v>
      </c>
      <c r="K6449" s="29"/>
      <c r="L6449" s="29" t="s">
        <v>871</v>
      </c>
      <c r="M6449" s="29" t="s">
        <v>2174</v>
      </c>
      <c r="N6449" s="29" t="s">
        <v>1232</v>
      </c>
      <c r="O6449" s="29"/>
      <c r="P6449" s="29" t="s">
        <v>3310</v>
      </c>
      <c r="Q6449" t="s">
        <v>2040</v>
      </c>
      <c r="R6449" t="s">
        <v>2634</v>
      </c>
      <c r="S6449">
        <v>35</v>
      </c>
      <c r="T6449" s="43" t="str">
        <f t="shared" si="295"/>
        <v>2019.006G.zip</v>
      </c>
      <c r="U6449" s="43" t="str">
        <f>HYPERLINK("https://ictv.global/taxonomy/taxondetails?taxnode_id=202206493","ictv.global=202206493")</f>
        <v>ictv.global=202206493</v>
      </c>
    </row>
    <row r="6450" spans="1:21">
      <c r="A6450">
        <v>6449</v>
      </c>
      <c r="B6450" s="29" t="s">
        <v>3223</v>
      </c>
      <c r="C6450" s="29"/>
      <c r="D6450" s="29" t="s">
        <v>4156</v>
      </c>
      <c r="E6450" s="29"/>
      <c r="F6450" s="29" t="s">
        <v>4173</v>
      </c>
      <c r="G6450" s="29"/>
      <c r="H6450" s="29" t="s">
        <v>4174</v>
      </c>
      <c r="I6450" s="29"/>
      <c r="J6450" s="29" t="s">
        <v>870</v>
      </c>
      <c r="K6450" s="29"/>
      <c r="L6450" s="29" t="s">
        <v>871</v>
      </c>
      <c r="M6450" s="29" t="s">
        <v>2174</v>
      </c>
      <c r="N6450" s="29" t="s">
        <v>1232</v>
      </c>
      <c r="O6450" s="29"/>
      <c r="P6450" s="29" t="s">
        <v>1543</v>
      </c>
      <c r="Q6450" t="s">
        <v>2040</v>
      </c>
      <c r="R6450" t="s">
        <v>2634</v>
      </c>
      <c r="S6450">
        <v>35</v>
      </c>
      <c r="T6450" s="43" t="str">
        <f t="shared" si="295"/>
        <v>2019.006G.zip</v>
      </c>
      <c r="U6450" s="43" t="str">
        <f>HYPERLINK("https://ictv.global/taxonomy/taxondetails?taxnode_id=202202334","ictv.global=202202334")</f>
        <v>ictv.global=202202334</v>
      </c>
    </row>
    <row r="6451" spans="1:21">
      <c r="A6451">
        <v>6450</v>
      </c>
      <c r="B6451" s="29" t="s">
        <v>3223</v>
      </c>
      <c r="C6451" s="29"/>
      <c r="D6451" s="29" t="s">
        <v>4156</v>
      </c>
      <c r="E6451" s="29"/>
      <c r="F6451" s="29" t="s">
        <v>4173</v>
      </c>
      <c r="G6451" s="29"/>
      <c r="H6451" s="29" t="s">
        <v>4174</v>
      </c>
      <c r="I6451" s="29"/>
      <c r="J6451" s="29" t="s">
        <v>870</v>
      </c>
      <c r="K6451" s="29"/>
      <c r="L6451" s="29" t="s">
        <v>871</v>
      </c>
      <c r="M6451" s="29" t="s">
        <v>2174</v>
      </c>
      <c r="N6451" s="29" t="s">
        <v>1232</v>
      </c>
      <c r="O6451" s="29"/>
      <c r="P6451" s="29" t="s">
        <v>1571</v>
      </c>
      <c r="Q6451" t="s">
        <v>2040</v>
      </c>
      <c r="R6451" t="s">
        <v>2634</v>
      </c>
      <c r="S6451">
        <v>35</v>
      </c>
      <c r="T6451" s="43" t="str">
        <f t="shared" si="295"/>
        <v>2019.006G.zip</v>
      </c>
      <c r="U6451" s="43" t="str">
        <f>HYPERLINK("https://ictv.global/taxonomy/taxondetails?taxnode_id=202202335","ictv.global=202202335")</f>
        <v>ictv.global=202202335</v>
      </c>
    </row>
    <row r="6452" spans="1:21">
      <c r="A6452">
        <v>6451</v>
      </c>
      <c r="B6452" s="29" t="s">
        <v>3223</v>
      </c>
      <c r="C6452" s="29"/>
      <c r="D6452" s="29" t="s">
        <v>4156</v>
      </c>
      <c r="E6452" s="29"/>
      <c r="F6452" s="29" t="s">
        <v>4173</v>
      </c>
      <c r="G6452" s="29"/>
      <c r="H6452" s="29" t="s">
        <v>4174</v>
      </c>
      <c r="I6452" s="29"/>
      <c r="J6452" s="29" t="s">
        <v>870</v>
      </c>
      <c r="K6452" s="29"/>
      <c r="L6452" s="29" t="s">
        <v>871</v>
      </c>
      <c r="M6452" s="29" t="s">
        <v>2174</v>
      </c>
      <c r="N6452" s="29" t="s">
        <v>1232</v>
      </c>
      <c r="O6452" s="29"/>
      <c r="P6452" s="29" t="s">
        <v>12292</v>
      </c>
      <c r="Q6452" t="s">
        <v>2040</v>
      </c>
      <c r="R6452" t="s">
        <v>2632</v>
      </c>
      <c r="S6452">
        <v>37</v>
      </c>
      <c r="T6452" s="43" t="str">
        <f>HYPERLINK("https://ictv.global/ictv/proposals/2021.007P.R.Betaflexiviridae_2ng_23nsp.zip","2021.007P.R.Betaflexiviridae_2ng_23nsp.zip")</f>
        <v>2021.007P.R.Betaflexiviridae_2ng_23nsp.zip</v>
      </c>
      <c r="U6452" s="43" t="str">
        <f>HYPERLINK("https://ictv.global/taxonomy/taxondetails?taxnode_id=202213860","ictv.global=202213860")</f>
        <v>ictv.global=202213860</v>
      </c>
    </row>
    <row r="6453" spans="1:21">
      <c r="A6453">
        <v>6452</v>
      </c>
      <c r="B6453" s="29" t="s">
        <v>3223</v>
      </c>
      <c r="C6453" s="29"/>
      <c r="D6453" s="29" t="s">
        <v>4156</v>
      </c>
      <c r="E6453" s="29"/>
      <c r="F6453" s="29" t="s">
        <v>4173</v>
      </c>
      <c r="G6453" s="29"/>
      <c r="H6453" s="29" t="s">
        <v>4174</v>
      </c>
      <c r="I6453" s="29"/>
      <c r="J6453" s="29" t="s">
        <v>870</v>
      </c>
      <c r="K6453" s="29"/>
      <c r="L6453" s="29" t="s">
        <v>871</v>
      </c>
      <c r="M6453" s="29" t="s">
        <v>2174</v>
      </c>
      <c r="N6453" s="29" t="s">
        <v>1232</v>
      </c>
      <c r="O6453" s="29"/>
      <c r="P6453" s="29" t="s">
        <v>12293</v>
      </c>
      <c r="Q6453" t="s">
        <v>2040</v>
      </c>
      <c r="R6453" t="s">
        <v>2632</v>
      </c>
      <c r="S6453">
        <v>37</v>
      </c>
      <c r="T6453" s="43" t="str">
        <f>HYPERLINK("https://ictv.global/ictv/proposals/2021.007P.R.Betaflexiviridae_2ng_23nsp.zip","2021.007P.R.Betaflexiviridae_2ng_23nsp.zip")</f>
        <v>2021.007P.R.Betaflexiviridae_2ng_23nsp.zip</v>
      </c>
      <c r="U6453" s="43" t="str">
        <f>HYPERLINK("https://ictv.global/taxonomy/taxondetails?taxnode_id=202213861","ictv.global=202213861")</f>
        <v>ictv.global=202213861</v>
      </c>
    </row>
    <row r="6454" spans="1:21">
      <c r="A6454">
        <v>6453</v>
      </c>
      <c r="B6454" s="29" t="s">
        <v>3223</v>
      </c>
      <c r="C6454" s="29"/>
      <c r="D6454" s="29" t="s">
        <v>4156</v>
      </c>
      <c r="E6454" s="29"/>
      <c r="F6454" s="29" t="s">
        <v>4173</v>
      </c>
      <c r="G6454" s="29"/>
      <c r="H6454" s="29" t="s">
        <v>4174</v>
      </c>
      <c r="I6454" s="29"/>
      <c r="J6454" s="29" t="s">
        <v>870</v>
      </c>
      <c r="K6454" s="29"/>
      <c r="L6454" s="29" t="s">
        <v>871</v>
      </c>
      <c r="M6454" s="29" t="s">
        <v>2174</v>
      </c>
      <c r="N6454" s="29" t="s">
        <v>3311</v>
      </c>
      <c r="O6454" s="29"/>
      <c r="P6454" s="29" t="s">
        <v>3312</v>
      </c>
      <c r="Q6454" t="s">
        <v>2040</v>
      </c>
      <c r="R6454" t="s">
        <v>6901</v>
      </c>
      <c r="S6454">
        <v>36</v>
      </c>
      <c r="T6454" s="43" t="str">
        <f>HYPERLINK("https://ictv.global/ictv/proposals/2020.001G.R.Abolish_type_species.pdf","2020.001G.R.Abolish_type_species.pdf")</f>
        <v>2020.001G.R.Abolish_type_species.pdf</v>
      </c>
      <c r="U6454" s="43" t="str">
        <f>HYPERLINK("https://ictv.global/taxonomy/taxondetails?taxnode_id=202206419","ictv.global=202206419")</f>
        <v>ictv.global=202206419</v>
      </c>
    </row>
    <row r="6455" spans="1:21">
      <c r="A6455">
        <v>6454</v>
      </c>
      <c r="B6455" s="29" t="s">
        <v>3223</v>
      </c>
      <c r="C6455" s="29"/>
      <c r="D6455" s="29" t="s">
        <v>4156</v>
      </c>
      <c r="E6455" s="29"/>
      <c r="F6455" s="29" t="s">
        <v>4173</v>
      </c>
      <c r="G6455" s="29"/>
      <c r="H6455" s="29" t="s">
        <v>4174</v>
      </c>
      <c r="I6455" s="29"/>
      <c r="J6455" s="29" t="s">
        <v>870</v>
      </c>
      <c r="K6455" s="29"/>
      <c r="L6455" s="29" t="s">
        <v>2746</v>
      </c>
      <c r="M6455" s="29"/>
      <c r="N6455" s="29" t="s">
        <v>2747</v>
      </c>
      <c r="O6455" s="29"/>
      <c r="P6455" s="29" t="s">
        <v>2748</v>
      </c>
      <c r="Q6455" t="s">
        <v>2040</v>
      </c>
      <c r="R6455" t="s">
        <v>2634</v>
      </c>
      <c r="S6455">
        <v>35</v>
      </c>
      <c r="T6455" s="43" t="str">
        <f>HYPERLINK("https://ictv.global/ictv/proposals/2019.006G.zip","2019.006G.zip")</f>
        <v>2019.006G.zip</v>
      </c>
      <c r="U6455" s="43" t="str">
        <f>HYPERLINK("https://ictv.global/taxonomy/taxondetails?taxnode_id=202205645","ictv.global=202205645")</f>
        <v>ictv.global=202205645</v>
      </c>
    </row>
    <row r="6456" spans="1:21">
      <c r="A6456">
        <v>6455</v>
      </c>
      <c r="B6456" s="29" t="s">
        <v>3223</v>
      </c>
      <c r="C6456" s="29"/>
      <c r="D6456" s="29" t="s">
        <v>4156</v>
      </c>
      <c r="E6456" s="29"/>
      <c r="F6456" s="29" t="s">
        <v>4173</v>
      </c>
      <c r="G6456" s="29"/>
      <c r="H6456" s="29" t="s">
        <v>4174</v>
      </c>
      <c r="I6456" s="29"/>
      <c r="J6456" s="29" t="s">
        <v>870</v>
      </c>
      <c r="K6456" s="29"/>
      <c r="L6456" s="29" t="s">
        <v>2746</v>
      </c>
      <c r="M6456" s="29"/>
      <c r="N6456" s="29" t="s">
        <v>2747</v>
      </c>
      <c r="O6456" s="29"/>
      <c r="P6456" s="29" t="s">
        <v>2749</v>
      </c>
      <c r="Q6456" t="s">
        <v>2040</v>
      </c>
      <c r="R6456" t="s">
        <v>6901</v>
      </c>
      <c r="S6456">
        <v>36</v>
      </c>
      <c r="T6456" s="43" t="str">
        <f>HYPERLINK("https://ictv.global/ictv/proposals/2020.001G.R.Abolish_type_species.pdf","2020.001G.R.Abolish_type_species.pdf")</f>
        <v>2020.001G.R.Abolish_type_species.pdf</v>
      </c>
      <c r="U6456" s="43" t="str">
        <f>HYPERLINK("https://ictv.global/taxonomy/taxondetails?taxnode_id=202205646","ictv.global=202205646")</f>
        <v>ictv.global=202205646</v>
      </c>
    </row>
    <row r="6457" spans="1:21">
      <c r="A6457">
        <v>6456</v>
      </c>
      <c r="B6457" s="29" t="s">
        <v>3223</v>
      </c>
      <c r="C6457" s="29"/>
      <c r="D6457" s="29" t="s">
        <v>4156</v>
      </c>
      <c r="E6457" s="29"/>
      <c r="F6457" s="29" t="s">
        <v>4173</v>
      </c>
      <c r="G6457" s="29"/>
      <c r="H6457" s="29" t="s">
        <v>4174</v>
      </c>
      <c r="I6457" s="29"/>
      <c r="J6457" s="29" t="s">
        <v>870</v>
      </c>
      <c r="K6457" s="29"/>
      <c r="L6457" s="29" t="s">
        <v>2746</v>
      </c>
      <c r="M6457" s="29"/>
      <c r="N6457" s="29" t="s">
        <v>2747</v>
      </c>
      <c r="O6457" s="29"/>
      <c r="P6457" s="29" t="s">
        <v>2750</v>
      </c>
      <c r="Q6457" t="s">
        <v>2040</v>
      </c>
      <c r="R6457" t="s">
        <v>2634</v>
      </c>
      <c r="S6457">
        <v>35</v>
      </c>
      <c r="T6457" s="43" t="str">
        <f>HYPERLINK("https://ictv.global/ictv/proposals/2019.006G.zip","2019.006G.zip")</f>
        <v>2019.006G.zip</v>
      </c>
      <c r="U6457" s="43" t="str">
        <f>HYPERLINK("https://ictv.global/taxonomy/taxondetails?taxnode_id=202205647","ictv.global=202205647")</f>
        <v>ictv.global=202205647</v>
      </c>
    </row>
    <row r="6458" spans="1:21">
      <c r="A6458">
        <v>6457</v>
      </c>
      <c r="B6458" s="29" t="s">
        <v>3223</v>
      </c>
      <c r="C6458" s="29"/>
      <c r="D6458" s="29" t="s">
        <v>4156</v>
      </c>
      <c r="E6458" s="29"/>
      <c r="F6458" s="29" t="s">
        <v>4173</v>
      </c>
      <c r="G6458" s="29"/>
      <c r="H6458" s="29" t="s">
        <v>4174</v>
      </c>
      <c r="I6458" s="29"/>
      <c r="J6458" s="29" t="s">
        <v>870</v>
      </c>
      <c r="K6458" s="29"/>
      <c r="L6458" s="29" t="s">
        <v>1255</v>
      </c>
      <c r="M6458" s="29"/>
      <c r="N6458" s="29" t="s">
        <v>12294</v>
      </c>
      <c r="O6458" s="29"/>
      <c r="P6458" s="29" t="s">
        <v>12295</v>
      </c>
      <c r="Q6458" t="s">
        <v>2040</v>
      </c>
      <c r="R6458" t="s">
        <v>2632</v>
      </c>
      <c r="S6458">
        <v>37</v>
      </c>
      <c r="T6458" s="43" t="str">
        <f>HYPERLINK("https://ictv.global/ictv/proposals/2021.007F.R.Gammaflexiviridae_2ngen_3nsp.zip","2021.007F.R.Gammaflexiviridae_2ngen_3nsp.zip")</f>
        <v>2021.007F.R.Gammaflexiviridae_2ngen_3nsp.zip</v>
      </c>
      <c r="U6458" s="43" t="str">
        <f>HYPERLINK("https://ictv.global/taxonomy/taxondetails?taxnode_id=202212524","ictv.global=202212524")</f>
        <v>ictv.global=202212524</v>
      </c>
    </row>
    <row r="6459" spans="1:21">
      <c r="A6459">
        <v>6458</v>
      </c>
      <c r="B6459" s="29" t="s">
        <v>3223</v>
      </c>
      <c r="C6459" s="29"/>
      <c r="D6459" s="29" t="s">
        <v>4156</v>
      </c>
      <c r="E6459" s="29"/>
      <c r="F6459" s="29" t="s">
        <v>4173</v>
      </c>
      <c r="G6459" s="29"/>
      <c r="H6459" s="29" t="s">
        <v>4174</v>
      </c>
      <c r="I6459" s="29"/>
      <c r="J6459" s="29" t="s">
        <v>870</v>
      </c>
      <c r="K6459" s="29"/>
      <c r="L6459" s="29" t="s">
        <v>1255</v>
      </c>
      <c r="M6459" s="29"/>
      <c r="N6459" s="29" t="s">
        <v>12294</v>
      </c>
      <c r="O6459" s="29"/>
      <c r="P6459" s="29" t="s">
        <v>12296</v>
      </c>
      <c r="Q6459" t="s">
        <v>2040</v>
      </c>
      <c r="R6459" t="s">
        <v>2632</v>
      </c>
      <c r="S6459">
        <v>37</v>
      </c>
      <c r="T6459" s="43" t="str">
        <f>HYPERLINK("https://ictv.global/ictv/proposals/2021.007F.R.Gammaflexiviridae_2ngen_3nsp.zip","2021.007F.R.Gammaflexiviridae_2ngen_3nsp.zip")</f>
        <v>2021.007F.R.Gammaflexiviridae_2ngen_3nsp.zip</v>
      </c>
      <c r="U6459" s="43" t="str">
        <f>HYPERLINK("https://ictv.global/taxonomy/taxondetails?taxnode_id=202212525","ictv.global=202212525")</f>
        <v>ictv.global=202212525</v>
      </c>
    </row>
    <row r="6460" spans="1:21">
      <c r="A6460">
        <v>6459</v>
      </c>
      <c r="B6460" s="29" t="s">
        <v>3223</v>
      </c>
      <c r="C6460" s="29"/>
      <c r="D6460" s="29" t="s">
        <v>4156</v>
      </c>
      <c r="E6460" s="29"/>
      <c r="F6460" s="29" t="s">
        <v>4173</v>
      </c>
      <c r="G6460" s="29"/>
      <c r="H6460" s="29" t="s">
        <v>4174</v>
      </c>
      <c r="I6460" s="29"/>
      <c r="J6460" s="29" t="s">
        <v>870</v>
      </c>
      <c r="K6460" s="29"/>
      <c r="L6460" s="29" t="s">
        <v>1255</v>
      </c>
      <c r="M6460" s="29"/>
      <c r="N6460" s="29" t="s">
        <v>244</v>
      </c>
      <c r="O6460" s="29"/>
      <c r="P6460" s="29" t="s">
        <v>241</v>
      </c>
      <c r="Q6460" t="s">
        <v>2040</v>
      </c>
      <c r="R6460" t="s">
        <v>6901</v>
      </c>
      <c r="S6460">
        <v>36</v>
      </c>
      <c r="T6460" s="43" t="str">
        <f>HYPERLINK("https://ictv.global/ictv/proposals/2020.001G.R.Abolish_type_species.pdf","2020.001G.R.Abolish_type_species.pdf")</f>
        <v>2020.001G.R.Abolish_type_species.pdf</v>
      </c>
      <c r="U6460" s="43" t="str">
        <f>HYPERLINK("https://ictv.global/taxonomy/taxondetails?taxnode_id=202202340","ictv.global=202202340")</f>
        <v>ictv.global=202202340</v>
      </c>
    </row>
    <row r="6461" spans="1:21">
      <c r="A6461">
        <v>6460</v>
      </c>
      <c r="B6461" s="29" t="s">
        <v>3223</v>
      </c>
      <c r="C6461" s="29"/>
      <c r="D6461" s="29" t="s">
        <v>4156</v>
      </c>
      <c r="E6461" s="29"/>
      <c r="F6461" s="29" t="s">
        <v>4173</v>
      </c>
      <c r="G6461" s="29"/>
      <c r="H6461" s="29" t="s">
        <v>4174</v>
      </c>
      <c r="I6461" s="29"/>
      <c r="J6461" s="29" t="s">
        <v>870</v>
      </c>
      <c r="K6461" s="29"/>
      <c r="L6461" s="29" t="s">
        <v>1255</v>
      </c>
      <c r="M6461" s="29"/>
      <c r="N6461" s="29" t="s">
        <v>12297</v>
      </c>
      <c r="O6461" s="29"/>
      <c r="P6461" s="29" t="s">
        <v>12298</v>
      </c>
      <c r="Q6461" t="s">
        <v>2040</v>
      </c>
      <c r="R6461" t="s">
        <v>2632</v>
      </c>
      <c r="S6461">
        <v>37</v>
      </c>
      <c r="T6461" s="43" t="str">
        <f>HYPERLINK("https://ictv.global/ictv/proposals/2021.007F.R.Gammaflexiviridae_2ngen_3nsp.zip","2021.007F.R.Gammaflexiviridae_2ngen_3nsp.zip")</f>
        <v>2021.007F.R.Gammaflexiviridae_2ngen_3nsp.zip</v>
      </c>
      <c r="U6461" s="43" t="str">
        <f>HYPERLINK("https://ictv.global/taxonomy/taxondetails?taxnode_id=202212527","ictv.global=202212527")</f>
        <v>ictv.global=202212527</v>
      </c>
    </row>
    <row r="6462" spans="1:21">
      <c r="A6462">
        <v>6461</v>
      </c>
      <c r="B6462" s="29" t="s">
        <v>3223</v>
      </c>
      <c r="C6462" s="29"/>
      <c r="D6462" s="29" t="s">
        <v>4156</v>
      </c>
      <c r="E6462" s="29"/>
      <c r="F6462" s="29" t="s">
        <v>4173</v>
      </c>
      <c r="G6462" s="29"/>
      <c r="H6462" s="29" t="s">
        <v>4174</v>
      </c>
      <c r="I6462" s="29"/>
      <c r="J6462" s="29" t="s">
        <v>870</v>
      </c>
      <c r="K6462" s="29"/>
      <c r="L6462" s="29" t="s">
        <v>995</v>
      </c>
      <c r="M6462" s="29"/>
      <c r="N6462" s="29" t="s">
        <v>996</v>
      </c>
      <c r="O6462" s="29"/>
      <c r="P6462" s="29" t="s">
        <v>12299</v>
      </c>
      <c r="Q6462" t="s">
        <v>2040</v>
      </c>
      <c r="R6462" t="s">
        <v>2635</v>
      </c>
      <c r="S6462">
        <v>38</v>
      </c>
      <c r="T6462" s="43" t="str">
        <f t="shared" ref="T6462:T6472" si="296">HYPERLINK("https://ictv.global/ictv/proposals/2022.013P.Tymoviridae_rename.zip","2022.013P.Tymoviridae_rename.zip")</f>
        <v>2022.013P.Tymoviridae_rename.zip</v>
      </c>
      <c r="U6462" s="43" t="str">
        <f>HYPERLINK("https://ictv.global/taxonomy/taxondetails?taxnode_id=202202344","ictv.global=202202344")</f>
        <v>ictv.global=202202344</v>
      </c>
    </row>
    <row r="6463" spans="1:21">
      <c r="A6463">
        <v>6462</v>
      </c>
      <c r="B6463" s="29" t="s">
        <v>3223</v>
      </c>
      <c r="C6463" s="29"/>
      <c r="D6463" s="29" t="s">
        <v>4156</v>
      </c>
      <c r="E6463" s="29"/>
      <c r="F6463" s="29" t="s">
        <v>4173</v>
      </c>
      <c r="G6463" s="29"/>
      <c r="H6463" s="29" t="s">
        <v>4174</v>
      </c>
      <c r="I6463" s="29"/>
      <c r="J6463" s="29" t="s">
        <v>870</v>
      </c>
      <c r="K6463" s="29"/>
      <c r="L6463" s="29" t="s">
        <v>995</v>
      </c>
      <c r="M6463" s="29"/>
      <c r="N6463" s="29" t="s">
        <v>997</v>
      </c>
      <c r="O6463" s="29"/>
      <c r="P6463" s="29" t="s">
        <v>12300</v>
      </c>
      <c r="Q6463" t="s">
        <v>2040</v>
      </c>
      <c r="R6463" t="s">
        <v>2635</v>
      </c>
      <c r="S6463">
        <v>38</v>
      </c>
      <c r="T6463" s="43" t="str">
        <f t="shared" si="296"/>
        <v>2022.013P.Tymoviridae_rename.zip</v>
      </c>
      <c r="U6463" s="43" t="str">
        <f>HYPERLINK("https://ictv.global/taxonomy/taxondetails?taxnode_id=202205650","ictv.global=202205650")</f>
        <v>ictv.global=202205650</v>
      </c>
    </row>
    <row r="6464" spans="1:21">
      <c r="A6464">
        <v>6463</v>
      </c>
      <c r="B6464" s="29" t="s">
        <v>3223</v>
      </c>
      <c r="C6464" s="29"/>
      <c r="D6464" s="29" t="s">
        <v>4156</v>
      </c>
      <c r="E6464" s="29"/>
      <c r="F6464" s="29" t="s">
        <v>4173</v>
      </c>
      <c r="G6464" s="29"/>
      <c r="H6464" s="29" t="s">
        <v>4174</v>
      </c>
      <c r="I6464" s="29"/>
      <c r="J6464" s="29" t="s">
        <v>870</v>
      </c>
      <c r="K6464" s="29"/>
      <c r="L6464" s="29" t="s">
        <v>995</v>
      </c>
      <c r="M6464" s="29"/>
      <c r="N6464" s="29" t="s">
        <v>997</v>
      </c>
      <c r="O6464" s="29"/>
      <c r="P6464" s="29" t="s">
        <v>12301</v>
      </c>
      <c r="Q6464" t="s">
        <v>2040</v>
      </c>
      <c r="R6464" t="s">
        <v>2635</v>
      </c>
      <c r="S6464">
        <v>38</v>
      </c>
      <c r="T6464" s="43" t="str">
        <f t="shared" si="296"/>
        <v>2022.013P.Tymoviridae_rename.zip</v>
      </c>
      <c r="U6464" s="43" t="str">
        <f>HYPERLINK("https://ictv.global/taxonomy/taxondetails?taxnode_id=202202352","ictv.global=202202352")</f>
        <v>ictv.global=202202352</v>
      </c>
    </row>
    <row r="6465" spans="1:21">
      <c r="A6465">
        <v>6464</v>
      </c>
      <c r="B6465" s="29" t="s">
        <v>3223</v>
      </c>
      <c r="C6465" s="29"/>
      <c r="D6465" s="29" t="s">
        <v>4156</v>
      </c>
      <c r="E6465" s="29"/>
      <c r="F6465" s="29" t="s">
        <v>4173</v>
      </c>
      <c r="G6465" s="29"/>
      <c r="H6465" s="29" t="s">
        <v>4174</v>
      </c>
      <c r="I6465" s="29"/>
      <c r="J6465" s="29" t="s">
        <v>870</v>
      </c>
      <c r="K6465" s="29"/>
      <c r="L6465" s="29" t="s">
        <v>995</v>
      </c>
      <c r="M6465" s="29"/>
      <c r="N6465" s="29" t="s">
        <v>997</v>
      </c>
      <c r="O6465" s="29"/>
      <c r="P6465" s="29" t="s">
        <v>12302</v>
      </c>
      <c r="Q6465" t="s">
        <v>2040</v>
      </c>
      <c r="R6465" t="s">
        <v>2635</v>
      </c>
      <c r="S6465">
        <v>38</v>
      </c>
      <c r="T6465" s="43" t="str">
        <f t="shared" si="296"/>
        <v>2022.013P.Tymoviridae_rename.zip</v>
      </c>
      <c r="U6465" s="43" t="str">
        <f>HYPERLINK("https://ictv.global/taxonomy/taxondetails?taxnode_id=202202348","ictv.global=202202348")</f>
        <v>ictv.global=202202348</v>
      </c>
    </row>
    <row r="6466" spans="1:21">
      <c r="A6466">
        <v>6465</v>
      </c>
      <c r="B6466" s="29" t="s">
        <v>3223</v>
      </c>
      <c r="C6466" s="29"/>
      <c r="D6466" s="29" t="s">
        <v>4156</v>
      </c>
      <c r="E6466" s="29"/>
      <c r="F6466" s="29" t="s">
        <v>4173</v>
      </c>
      <c r="G6466" s="29"/>
      <c r="H6466" s="29" t="s">
        <v>4174</v>
      </c>
      <c r="I6466" s="29"/>
      <c r="J6466" s="29" t="s">
        <v>870</v>
      </c>
      <c r="K6466" s="29"/>
      <c r="L6466" s="29" t="s">
        <v>995</v>
      </c>
      <c r="M6466" s="29"/>
      <c r="N6466" s="29" t="s">
        <v>997</v>
      </c>
      <c r="O6466" s="29"/>
      <c r="P6466" s="29" t="s">
        <v>12303</v>
      </c>
      <c r="Q6466" t="s">
        <v>2040</v>
      </c>
      <c r="R6466" t="s">
        <v>2635</v>
      </c>
      <c r="S6466">
        <v>38</v>
      </c>
      <c r="T6466" s="43" t="str">
        <f t="shared" si="296"/>
        <v>2022.013P.Tymoviridae_rename.zip</v>
      </c>
      <c r="U6466" s="43" t="str">
        <f>HYPERLINK("https://ictv.global/taxonomy/taxondetails?taxnode_id=202202346","ictv.global=202202346")</f>
        <v>ictv.global=202202346</v>
      </c>
    </row>
    <row r="6467" spans="1:21">
      <c r="A6467">
        <v>6466</v>
      </c>
      <c r="B6467" s="29" t="s">
        <v>3223</v>
      </c>
      <c r="C6467" s="29"/>
      <c r="D6467" s="29" t="s">
        <v>4156</v>
      </c>
      <c r="E6467" s="29"/>
      <c r="F6467" s="29" t="s">
        <v>4173</v>
      </c>
      <c r="G6467" s="29"/>
      <c r="H6467" s="29" t="s">
        <v>4174</v>
      </c>
      <c r="I6467" s="29"/>
      <c r="J6467" s="29" t="s">
        <v>870</v>
      </c>
      <c r="K6467" s="29"/>
      <c r="L6467" s="29" t="s">
        <v>995</v>
      </c>
      <c r="M6467" s="29"/>
      <c r="N6467" s="29" t="s">
        <v>997</v>
      </c>
      <c r="O6467" s="29"/>
      <c r="P6467" s="29" t="s">
        <v>12304</v>
      </c>
      <c r="Q6467" t="s">
        <v>2040</v>
      </c>
      <c r="R6467" t="s">
        <v>2635</v>
      </c>
      <c r="S6467">
        <v>38</v>
      </c>
      <c r="T6467" s="43" t="str">
        <f t="shared" si="296"/>
        <v>2022.013P.Tymoviridae_rename.zip</v>
      </c>
      <c r="U6467" s="43" t="str">
        <f>HYPERLINK("https://ictv.global/taxonomy/taxondetails?taxnode_id=202202350","ictv.global=202202350")</f>
        <v>ictv.global=202202350</v>
      </c>
    </row>
    <row r="6468" spans="1:21">
      <c r="A6468">
        <v>6467</v>
      </c>
      <c r="B6468" s="29" t="s">
        <v>3223</v>
      </c>
      <c r="C6468" s="29"/>
      <c r="D6468" s="29" t="s">
        <v>4156</v>
      </c>
      <c r="E6468" s="29"/>
      <c r="F6468" s="29" t="s">
        <v>4173</v>
      </c>
      <c r="G6468" s="29"/>
      <c r="H6468" s="29" t="s">
        <v>4174</v>
      </c>
      <c r="I6468" s="29"/>
      <c r="J6468" s="29" t="s">
        <v>870</v>
      </c>
      <c r="K6468" s="29"/>
      <c r="L6468" s="29" t="s">
        <v>995</v>
      </c>
      <c r="M6468" s="29"/>
      <c r="N6468" s="29" t="s">
        <v>997</v>
      </c>
      <c r="O6468" s="29"/>
      <c r="P6468" s="29" t="s">
        <v>12305</v>
      </c>
      <c r="Q6468" t="s">
        <v>2040</v>
      </c>
      <c r="R6468" t="s">
        <v>2635</v>
      </c>
      <c r="S6468">
        <v>38</v>
      </c>
      <c r="T6468" s="43" t="str">
        <f t="shared" si="296"/>
        <v>2022.013P.Tymoviridae_rename.zip</v>
      </c>
      <c r="U6468" s="43" t="str">
        <f>HYPERLINK("https://ictv.global/taxonomy/taxondetails?taxnode_id=202209793","ictv.global=202209793")</f>
        <v>ictv.global=202209793</v>
      </c>
    </row>
    <row r="6469" spans="1:21">
      <c r="A6469">
        <v>6468</v>
      </c>
      <c r="B6469" s="29" t="s">
        <v>3223</v>
      </c>
      <c r="C6469" s="29"/>
      <c r="D6469" s="29" t="s">
        <v>4156</v>
      </c>
      <c r="E6469" s="29"/>
      <c r="F6469" s="29" t="s">
        <v>4173</v>
      </c>
      <c r="G6469" s="29"/>
      <c r="H6469" s="29" t="s">
        <v>4174</v>
      </c>
      <c r="I6469" s="29"/>
      <c r="J6469" s="29" t="s">
        <v>870</v>
      </c>
      <c r="K6469" s="29"/>
      <c r="L6469" s="29" t="s">
        <v>995</v>
      </c>
      <c r="M6469" s="29"/>
      <c r="N6469" s="29" t="s">
        <v>997</v>
      </c>
      <c r="O6469" s="29"/>
      <c r="P6469" s="29" t="s">
        <v>12306</v>
      </c>
      <c r="Q6469" t="s">
        <v>2040</v>
      </c>
      <c r="R6469" t="s">
        <v>2635</v>
      </c>
      <c r="S6469">
        <v>38</v>
      </c>
      <c r="T6469" s="43" t="str">
        <f t="shared" si="296"/>
        <v>2022.013P.Tymoviridae_rename.zip</v>
      </c>
      <c r="U6469" s="43" t="str">
        <f>HYPERLINK("https://ictv.global/taxonomy/taxondetails?taxnode_id=202202351","ictv.global=202202351")</f>
        <v>ictv.global=202202351</v>
      </c>
    </row>
    <row r="6470" spans="1:21">
      <c r="A6470">
        <v>6469</v>
      </c>
      <c r="B6470" s="29" t="s">
        <v>3223</v>
      </c>
      <c r="C6470" s="29"/>
      <c r="D6470" s="29" t="s">
        <v>4156</v>
      </c>
      <c r="E6470" s="29"/>
      <c r="F6470" s="29" t="s">
        <v>4173</v>
      </c>
      <c r="G6470" s="29"/>
      <c r="H6470" s="29" t="s">
        <v>4174</v>
      </c>
      <c r="I6470" s="29"/>
      <c r="J6470" s="29" t="s">
        <v>870</v>
      </c>
      <c r="K6470" s="29"/>
      <c r="L6470" s="29" t="s">
        <v>995</v>
      </c>
      <c r="M6470" s="29"/>
      <c r="N6470" s="29" t="s">
        <v>997</v>
      </c>
      <c r="O6470" s="29"/>
      <c r="P6470" s="29" t="s">
        <v>12307</v>
      </c>
      <c r="Q6470" t="s">
        <v>2040</v>
      </c>
      <c r="R6470" t="s">
        <v>2635</v>
      </c>
      <c r="S6470">
        <v>38</v>
      </c>
      <c r="T6470" s="43" t="str">
        <f t="shared" si="296"/>
        <v>2022.013P.Tymoviridae_rename.zip</v>
      </c>
      <c r="U6470" s="43" t="str">
        <f>HYPERLINK("https://ictv.global/taxonomy/taxondetails?taxnode_id=202202353","ictv.global=202202353")</f>
        <v>ictv.global=202202353</v>
      </c>
    </row>
    <row r="6471" spans="1:21">
      <c r="A6471">
        <v>6470</v>
      </c>
      <c r="B6471" s="29" t="s">
        <v>3223</v>
      </c>
      <c r="C6471" s="29"/>
      <c r="D6471" s="29" t="s">
        <v>4156</v>
      </c>
      <c r="E6471" s="29"/>
      <c r="F6471" s="29" t="s">
        <v>4173</v>
      </c>
      <c r="G6471" s="29"/>
      <c r="H6471" s="29" t="s">
        <v>4174</v>
      </c>
      <c r="I6471" s="29"/>
      <c r="J6471" s="29" t="s">
        <v>870</v>
      </c>
      <c r="K6471" s="29"/>
      <c r="L6471" s="29" t="s">
        <v>995</v>
      </c>
      <c r="M6471" s="29"/>
      <c r="N6471" s="29" t="s">
        <v>997</v>
      </c>
      <c r="O6471" s="29"/>
      <c r="P6471" s="29" t="s">
        <v>12308</v>
      </c>
      <c r="Q6471" t="s">
        <v>2040</v>
      </c>
      <c r="R6471" t="s">
        <v>2635</v>
      </c>
      <c r="S6471">
        <v>38</v>
      </c>
      <c r="T6471" s="43" t="str">
        <f t="shared" si="296"/>
        <v>2022.013P.Tymoviridae_rename.zip</v>
      </c>
      <c r="U6471" s="43" t="str">
        <f>HYPERLINK("https://ictv.global/taxonomy/taxondetails?taxnode_id=202205651","ictv.global=202205651")</f>
        <v>ictv.global=202205651</v>
      </c>
    </row>
    <row r="6472" spans="1:21">
      <c r="A6472">
        <v>6471</v>
      </c>
      <c r="B6472" s="29" t="s">
        <v>3223</v>
      </c>
      <c r="C6472" s="29"/>
      <c r="D6472" s="29" t="s">
        <v>4156</v>
      </c>
      <c r="E6472" s="29"/>
      <c r="F6472" s="29" t="s">
        <v>4173</v>
      </c>
      <c r="G6472" s="29"/>
      <c r="H6472" s="29" t="s">
        <v>4174</v>
      </c>
      <c r="I6472" s="29"/>
      <c r="J6472" s="29" t="s">
        <v>870</v>
      </c>
      <c r="K6472" s="29"/>
      <c r="L6472" s="29" t="s">
        <v>995</v>
      </c>
      <c r="M6472" s="29"/>
      <c r="N6472" s="29" t="s">
        <v>997</v>
      </c>
      <c r="O6472" s="29"/>
      <c r="P6472" s="29" t="s">
        <v>12309</v>
      </c>
      <c r="Q6472" t="s">
        <v>2040</v>
      </c>
      <c r="R6472" t="s">
        <v>2635</v>
      </c>
      <c r="S6472">
        <v>38</v>
      </c>
      <c r="T6472" s="43" t="str">
        <f t="shared" si="296"/>
        <v>2022.013P.Tymoviridae_rename.zip</v>
      </c>
      <c r="U6472" s="43" t="str">
        <f>HYPERLINK("https://ictv.global/taxonomy/taxondetails?taxnode_id=202202347","ictv.global=202202347")</f>
        <v>ictv.global=202202347</v>
      </c>
    </row>
    <row r="6473" spans="1:21">
      <c r="A6473">
        <v>6472</v>
      </c>
      <c r="B6473" s="29" t="s">
        <v>3223</v>
      </c>
      <c r="C6473" s="29"/>
      <c r="D6473" s="29" t="s">
        <v>4156</v>
      </c>
      <c r="E6473" s="29"/>
      <c r="F6473" s="29" t="s">
        <v>4173</v>
      </c>
      <c r="G6473" s="29"/>
      <c r="H6473" s="29" t="s">
        <v>4174</v>
      </c>
      <c r="I6473" s="29"/>
      <c r="J6473" s="29" t="s">
        <v>870</v>
      </c>
      <c r="K6473" s="29"/>
      <c r="L6473" s="29" t="s">
        <v>995</v>
      </c>
      <c r="M6473" s="29"/>
      <c r="N6473" s="29" t="s">
        <v>997</v>
      </c>
      <c r="O6473" s="29"/>
      <c r="P6473" s="29" t="s">
        <v>12310</v>
      </c>
      <c r="Q6473" t="s">
        <v>2040</v>
      </c>
      <c r="R6473" t="s">
        <v>2632</v>
      </c>
      <c r="S6473">
        <v>38</v>
      </c>
      <c r="T6473" s="43" t="str">
        <f>HYPERLINK("https://ictv.global/ictv/proposals/2022.012P.Tymoviridae_3nsp.zip","2022.012P.Tymoviridae_3nsp.zip")</f>
        <v>2022.012P.Tymoviridae_3nsp.zip</v>
      </c>
      <c r="U6473" s="43" t="str">
        <f>HYPERLINK("https://ictv.global/taxonomy/taxondetails?taxnode_id=202215115","ictv.global=202215115")</f>
        <v>ictv.global=202215115</v>
      </c>
    </row>
    <row r="6474" spans="1:21">
      <c r="A6474">
        <v>6473</v>
      </c>
      <c r="B6474" s="29" t="s">
        <v>3223</v>
      </c>
      <c r="C6474" s="29"/>
      <c r="D6474" s="29" t="s">
        <v>4156</v>
      </c>
      <c r="E6474" s="29"/>
      <c r="F6474" s="29" t="s">
        <v>4173</v>
      </c>
      <c r="G6474" s="29"/>
      <c r="H6474" s="29" t="s">
        <v>4174</v>
      </c>
      <c r="I6474" s="29"/>
      <c r="J6474" s="29" t="s">
        <v>870</v>
      </c>
      <c r="K6474" s="29"/>
      <c r="L6474" s="29" t="s">
        <v>995</v>
      </c>
      <c r="M6474" s="29"/>
      <c r="N6474" s="29" t="s">
        <v>997</v>
      </c>
      <c r="O6474" s="29"/>
      <c r="P6474" s="29" t="s">
        <v>12311</v>
      </c>
      <c r="Q6474" t="s">
        <v>2040</v>
      </c>
      <c r="R6474" t="s">
        <v>2635</v>
      </c>
      <c r="S6474">
        <v>38</v>
      </c>
      <c r="T6474" s="43" t="str">
        <f t="shared" ref="T6474:T6493" si="297">HYPERLINK("https://ictv.global/ictv/proposals/2022.013P.Tymoviridae_rename.zip","2022.013P.Tymoviridae_rename.zip")</f>
        <v>2022.013P.Tymoviridae_rename.zip</v>
      </c>
      <c r="U6474" s="43" t="str">
        <f>HYPERLINK("https://ictv.global/taxonomy/taxondetails?taxnode_id=202202349","ictv.global=202202349")</f>
        <v>ictv.global=202202349</v>
      </c>
    </row>
    <row r="6475" spans="1:21">
      <c r="A6475">
        <v>6474</v>
      </c>
      <c r="B6475" s="29" t="s">
        <v>3223</v>
      </c>
      <c r="C6475" s="29"/>
      <c r="D6475" s="29" t="s">
        <v>4156</v>
      </c>
      <c r="E6475" s="29"/>
      <c r="F6475" s="29" t="s">
        <v>4173</v>
      </c>
      <c r="G6475" s="29"/>
      <c r="H6475" s="29" t="s">
        <v>4174</v>
      </c>
      <c r="I6475" s="29"/>
      <c r="J6475" s="29" t="s">
        <v>870</v>
      </c>
      <c r="K6475" s="29"/>
      <c r="L6475" s="29" t="s">
        <v>995</v>
      </c>
      <c r="M6475" s="29"/>
      <c r="N6475" s="29" t="s">
        <v>1097</v>
      </c>
      <c r="O6475" s="29"/>
      <c r="P6475" s="29" t="s">
        <v>12312</v>
      </c>
      <c r="Q6475" t="s">
        <v>2040</v>
      </c>
      <c r="R6475" t="s">
        <v>2635</v>
      </c>
      <c r="S6475">
        <v>38</v>
      </c>
      <c r="T6475" s="43" t="str">
        <f t="shared" si="297"/>
        <v>2022.013P.Tymoviridae_rename.zip</v>
      </c>
      <c r="U6475" s="43" t="str">
        <f>HYPERLINK("https://ictv.global/taxonomy/taxondetails?taxnode_id=202202371","ictv.global=202202371")</f>
        <v>ictv.global=202202371</v>
      </c>
    </row>
    <row r="6476" spans="1:21">
      <c r="A6476">
        <v>6475</v>
      </c>
      <c r="B6476" s="29" t="s">
        <v>3223</v>
      </c>
      <c r="C6476" s="29"/>
      <c r="D6476" s="29" t="s">
        <v>4156</v>
      </c>
      <c r="E6476" s="29"/>
      <c r="F6476" s="29" t="s">
        <v>4173</v>
      </c>
      <c r="G6476" s="29"/>
      <c r="H6476" s="29" t="s">
        <v>4174</v>
      </c>
      <c r="I6476" s="29"/>
      <c r="J6476" s="29" t="s">
        <v>870</v>
      </c>
      <c r="K6476" s="29"/>
      <c r="L6476" s="29" t="s">
        <v>995</v>
      </c>
      <c r="M6476" s="29"/>
      <c r="N6476" s="29" t="s">
        <v>1097</v>
      </c>
      <c r="O6476" s="29"/>
      <c r="P6476" s="29" t="s">
        <v>12313</v>
      </c>
      <c r="Q6476" t="s">
        <v>2040</v>
      </c>
      <c r="R6476" t="s">
        <v>2635</v>
      </c>
      <c r="S6476">
        <v>38</v>
      </c>
      <c r="T6476" s="43" t="str">
        <f t="shared" si="297"/>
        <v>2022.013P.Tymoviridae_rename.zip</v>
      </c>
      <c r="U6476" s="43" t="str">
        <f>HYPERLINK("https://ictv.global/taxonomy/taxondetails?taxnode_id=202202355","ictv.global=202202355")</f>
        <v>ictv.global=202202355</v>
      </c>
    </row>
    <row r="6477" spans="1:21">
      <c r="A6477">
        <v>6476</v>
      </c>
      <c r="B6477" s="29" t="s">
        <v>3223</v>
      </c>
      <c r="C6477" s="29"/>
      <c r="D6477" s="29" t="s">
        <v>4156</v>
      </c>
      <c r="E6477" s="29"/>
      <c r="F6477" s="29" t="s">
        <v>4173</v>
      </c>
      <c r="G6477" s="29"/>
      <c r="H6477" s="29" t="s">
        <v>4174</v>
      </c>
      <c r="I6477" s="29"/>
      <c r="J6477" s="29" t="s">
        <v>870</v>
      </c>
      <c r="K6477" s="29"/>
      <c r="L6477" s="29" t="s">
        <v>995</v>
      </c>
      <c r="M6477" s="29"/>
      <c r="N6477" s="29" t="s">
        <v>1097</v>
      </c>
      <c r="O6477" s="29"/>
      <c r="P6477" s="29" t="s">
        <v>12314</v>
      </c>
      <c r="Q6477" t="s">
        <v>2040</v>
      </c>
      <c r="R6477" t="s">
        <v>2635</v>
      </c>
      <c r="S6477">
        <v>38</v>
      </c>
      <c r="T6477" s="43" t="str">
        <f t="shared" si="297"/>
        <v>2022.013P.Tymoviridae_rename.zip</v>
      </c>
      <c r="U6477" s="43" t="str">
        <f>HYPERLINK("https://ictv.global/taxonomy/taxondetails?taxnode_id=202202374","ictv.global=202202374")</f>
        <v>ictv.global=202202374</v>
      </c>
    </row>
    <row r="6478" spans="1:21">
      <c r="A6478">
        <v>6477</v>
      </c>
      <c r="B6478" s="29" t="s">
        <v>3223</v>
      </c>
      <c r="C6478" s="29"/>
      <c r="D6478" s="29" t="s">
        <v>4156</v>
      </c>
      <c r="E6478" s="29"/>
      <c r="F6478" s="29" t="s">
        <v>4173</v>
      </c>
      <c r="G6478" s="29"/>
      <c r="H6478" s="29" t="s">
        <v>4174</v>
      </c>
      <c r="I6478" s="29"/>
      <c r="J6478" s="29" t="s">
        <v>870</v>
      </c>
      <c r="K6478" s="29"/>
      <c r="L6478" s="29" t="s">
        <v>995</v>
      </c>
      <c r="M6478" s="29"/>
      <c r="N6478" s="29" t="s">
        <v>1097</v>
      </c>
      <c r="O6478" s="29"/>
      <c r="P6478" s="29" t="s">
        <v>12315</v>
      </c>
      <c r="Q6478" t="s">
        <v>2040</v>
      </c>
      <c r="R6478" t="s">
        <v>2635</v>
      </c>
      <c r="S6478">
        <v>38</v>
      </c>
      <c r="T6478" s="43" t="str">
        <f t="shared" si="297"/>
        <v>2022.013P.Tymoviridae_rename.zip</v>
      </c>
      <c r="U6478" s="43" t="str">
        <f>HYPERLINK("https://ictv.global/taxonomy/taxondetails?taxnode_id=202202358","ictv.global=202202358")</f>
        <v>ictv.global=202202358</v>
      </c>
    </row>
    <row r="6479" spans="1:21">
      <c r="A6479">
        <v>6478</v>
      </c>
      <c r="B6479" s="29" t="s">
        <v>3223</v>
      </c>
      <c r="C6479" s="29"/>
      <c r="D6479" s="29" t="s">
        <v>4156</v>
      </c>
      <c r="E6479" s="29"/>
      <c r="F6479" s="29" t="s">
        <v>4173</v>
      </c>
      <c r="G6479" s="29"/>
      <c r="H6479" s="29" t="s">
        <v>4174</v>
      </c>
      <c r="I6479" s="29"/>
      <c r="J6479" s="29" t="s">
        <v>870</v>
      </c>
      <c r="K6479" s="29"/>
      <c r="L6479" s="29" t="s">
        <v>995</v>
      </c>
      <c r="M6479" s="29"/>
      <c r="N6479" s="29" t="s">
        <v>1097</v>
      </c>
      <c r="O6479" s="29"/>
      <c r="P6479" s="29" t="s">
        <v>12316</v>
      </c>
      <c r="Q6479" t="s">
        <v>2040</v>
      </c>
      <c r="R6479" t="s">
        <v>2635</v>
      </c>
      <c r="S6479">
        <v>38</v>
      </c>
      <c r="T6479" s="43" t="str">
        <f t="shared" si="297"/>
        <v>2022.013P.Tymoviridae_rename.zip</v>
      </c>
      <c r="U6479" s="43" t="str">
        <f>HYPERLINK("https://ictv.global/taxonomy/taxondetails?taxnode_id=202202380","ictv.global=202202380")</f>
        <v>ictv.global=202202380</v>
      </c>
    </row>
    <row r="6480" spans="1:21">
      <c r="A6480">
        <v>6479</v>
      </c>
      <c r="B6480" s="29" t="s">
        <v>3223</v>
      </c>
      <c r="C6480" s="29"/>
      <c r="D6480" s="29" t="s">
        <v>4156</v>
      </c>
      <c r="E6480" s="29"/>
      <c r="F6480" s="29" t="s">
        <v>4173</v>
      </c>
      <c r="G6480" s="29"/>
      <c r="H6480" s="29" t="s">
        <v>4174</v>
      </c>
      <c r="I6480" s="29"/>
      <c r="J6480" s="29" t="s">
        <v>870</v>
      </c>
      <c r="K6480" s="29"/>
      <c r="L6480" s="29" t="s">
        <v>995</v>
      </c>
      <c r="M6480" s="29"/>
      <c r="N6480" s="29" t="s">
        <v>1097</v>
      </c>
      <c r="O6480" s="29"/>
      <c r="P6480" s="29" t="s">
        <v>12317</v>
      </c>
      <c r="Q6480" t="s">
        <v>2040</v>
      </c>
      <c r="R6480" t="s">
        <v>2635</v>
      </c>
      <c r="S6480">
        <v>38</v>
      </c>
      <c r="T6480" s="43" t="str">
        <f t="shared" si="297"/>
        <v>2022.013P.Tymoviridae_rename.zip</v>
      </c>
      <c r="U6480" s="43" t="str">
        <f>HYPERLINK("https://ictv.global/taxonomy/taxondetails?taxnode_id=202202360","ictv.global=202202360")</f>
        <v>ictv.global=202202360</v>
      </c>
    </row>
    <row r="6481" spans="1:21">
      <c r="A6481">
        <v>6480</v>
      </c>
      <c r="B6481" s="29" t="s">
        <v>3223</v>
      </c>
      <c r="C6481" s="29"/>
      <c r="D6481" s="29" t="s">
        <v>4156</v>
      </c>
      <c r="E6481" s="29"/>
      <c r="F6481" s="29" t="s">
        <v>4173</v>
      </c>
      <c r="G6481" s="29"/>
      <c r="H6481" s="29" t="s">
        <v>4174</v>
      </c>
      <c r="I6481" s="29"/>
      <c r="J6481" s="29" t="s">
        <v>870</v>
      </c>
      <c r="K6481" s="29"/>
      <c r="L6481" s="29" t="s">
        <v>995</v>
      </c>
      <c r="M6481" s="29"/>
      <c r="N6481" s="29" t="s">
        <v>1097</v>
      </c>
      <c r="O6481" s="29"/>
      <c r="P6481" s="29" t="s">
        <v>12318</v>
      </c>
      <c r="Q6481" t="s">
        <v>2040</v>
      </c>
      <c r="R6481" t="s">
        <v>2635</v>
      </c>
      <c r="S6481">
        <v>38</v>
      </c>
      <c r="T6481" s="43" t="str">
        <f t="shared" si="297"/>
        <v>2022.013P.Tymoviridae_rename.zip</v>
      </c>
      <c r="U6481" s="43" t="str">
        <f>HYPERLINK("https://ictv.global/taxonomy/taxondetails?taxnode_id=202202361","ictv.global=202202361")</f>
        <v>ictv.global=202202361</v>
      </c>
    </row>
    <row r="6482" spans="1:21">
      <c r="A6482">
        <v>6481</v>
      </c>
      <c r="B6482" s="29" t="s">
        <v>3223</v>
      </c>
      <c r="C6482" s="29"/>
      <c r="D6482" s="29" t="s">
        <v>4156</v>
      </c>
      <c r="E6482" s="29"/>
      <c r="F6482" s="29" t="s">
        <v>4173</v>
      </c>
      <c r="G6482" s="29"/>
      <c r="H6482" s="29" t="s">
        <v>4174</v>
      </c>
      <c r="I6482" s="29"/>
      <c r="J6482" s="29" t="s">
        <v>870</v>
      </c>
      <c r="K6482" s="29"/>
      <c r="L6482" s="29" t="s">
        <v>995</v>
      </c>
      <c r="M6482" s="29"/>
      <c r="N6482" s="29" t="s">
        <v>1097</v>
      </c>
      <c r="O6482" s="29"/>
      <c r="P6482" s="29" t="s">
        <v>12319</v>
      </c>
      <c r="Q6482" t="s">
        <v>2040</v>
      </c>
      <c r="R6482" t="s">
        <v>2635</v>
      </c>
      <c r="S6482">
        <v>38</v>
      </c>
      <c r="T6482" s="43" t="str">
        <f t="shared" si="297"/>
        <v>2022.013P.Tymoviridae_rename.zip</v>
      </c>
      <c r="U6482" s="43" t="str">
        <f>HYPERLINK("https://ictv.global/taxonomy/taxondetails?taxnode_id=202202362","ictv.global=202202362")</f>
        <v>ictv.global=202202362</v>
      </c>
    </row>
    <row r="6483" spans="1:21">
      <c r="A6483">
        <v>6482</v>
      </c>
      <c r="B6483" s="29" t="s">
        <v>3223</v>
      </c>
      <c r="C6483" s="29"/>
      <c r="D6483" s="29" t="s">
        <v>4156</v>
      </c>
      <c r="E6483" s="29"/>
      <c r="F6483" s="29" t="s">
        <v>4173</v>
      </c>
      <c r="G6483" s="29"/>
      <c r="H6483" s="29" t="s">
        <v>4174</v>
      </c>
      <c r="I6483" s="29"/>
      <c r="J6483" s="29" t="s">
        <v>870</v>
      </c>
      <c r="K6483" s="29"/>
      <c r="L6483" s="29" t="s">
        <v>995</v>
      </c>
      <c r="M6483" s="29"/>
      <c r="N6483" s="29" t="s">
        <v>1097</v>
      </c>
      <c r="O6483" s="29"/>
      <c r="P6483" s="29" t="s">
        <v>12320</v>
      </c>
      <c r="Q6483" t="s">
        <v>2040</v>
      </c>
      <c r="R6483" t="s">
        <v>2635</v>
      </c>
      <c r="S6483">
        <v>38</v>
      </c>
      <c r="T6483" s="43" t="str">
        <f t="shared" si="297"/>
        <v>2022.013P.Tymoviridae_rename.zip</v>
      </c>
      <c r="U6483" s="43" t="str">
        <f>HYPERLINK("https://ictv.global/taxonomy/taxondetails?taxnode_id=202202363","ictv.global=202202363")</f>
        <v>ictv.global=202202363</v>
      </c>
    </row>
    <row r="6484" spans="1:21">
      <c r="A6484">
        <v>6483</v>
      </c>
      <c r="B6484" s="29" t="s">
        <v>3223</v>
      </c>
      <c r="C6484" s="29"/>
      <c r="D6484" s="29" t="s">
        <v>4156</v>
      </c>
      <c r="E6484" s="29"/>
      <c r="F6484" s="29" t="s">
        <v>4173</v>
      </c>
      <c r="G6484" s="29"/>
      <c r="H6484" s="29" t="s">
        <v>4174</v>
      </c>
      <c r="I6484" s="29"/>
      <c r="J6484" s="29" t="s">
        <v>870</v>
      </c>
      <c r="K6484" s="29"/>
      <c r="L6484" s="29" t="s">
        <v>995</v>
      </c>
      <c r="M6484" s="29"/>
      <c r="N6484" s="29" t="s">
        <v>1097</v>
      </c>
      <c r="O6484" s="29"/>
      <c r="P6484" s="29" t="s">
        <v>12321</v>
      </c>
      <c r="Q6484" t="s">
        <v>2040</v>
      </c>
      <c r="R6484" t="s">
        <v>2635</v>
      </c>
      <c r="S6484">
        <v>38</v>
      </c>
      <c r="T6484" s="43" t="str">
        <f t="shared" si="297"/>
        <v>2022.013P.Tymoviridae_rename.zip</v>
      </c>
      <c r="U6484" s="43" t="str">
        <f>HYPERLINK("https://ictv.global/taxonomy/taxondetails?taxnode_id=202202382","ictv.global=202202382")</f>
        <v>ictv.global=202202382</v>
      </c>
    </row>
    <row r="6485" spans="1:21">
      <c r="A6485">
        <v>6484</v>
      </c>
      <c r="B6485" s="29" t="s">
        <v>3223</v>
      </c>
      <c r="C6485" s="29"/>
      <c r="D6485" s="29" t="s">
        <v>4156</v>
      </c>
      <c r="E6485" s="29"/>
      <c r="F6485" s="29" t="s">
        <v>4173</v>
      </c>
      <c r="G6485" s="29"/>
      <c r="H6485" s="29" t="s">
        <v>4174</v>
      </c>
      <c r="I6485" s="29"/>
      <c r="J6485" s="29" t="s">
        <v>870</v>
      </c>
      <c r="K6485" s="29"/>
      <c r="L6485" s="29" t="s">
        <v>995</v>
      </c>
      <c r="M6485" s="29"/>
      <c r="N6485" s="29" t="s">
        <v>1097</v>
      </c>
      <c r="O6485" s="29"/>
      <c r="P6485" s="29" t="s">
        <v>12322</v>
      </c>
      <c r="Q6485" t="s">
        <v>2040</v>
      </c>
      <c r="R6485" t="s">
        <v>2635</v>
      </c>
      <c r="S6485">
        <v>38</v>
      </c>
      <c r="T6485" s="43" t="str">
        <f t="shared" si="297"/>
        <v>2022.013P.Tymoviridae_rename.zip</v>
      </c>
      <c r="U6485" s="43" t="str">
        <f>HYPERLINK("https://ictv.global/taxonomy/taxondetails?taxnode_id=202202364","ictv.global=202202364")</f>
        <v>ictv.global=202202364</v>
      </c>
    </row>
    <row r="6486" spans="1:21">
      <c r="A6486">
        <v>6485</v>
      </c>
      <c r="B6486" s="29" t="s">
        <v>3223</v>
      </c>
      <c r="C6486" s="29"/>
      <c r="D6486" s="29" t="s">
        <v>4156</v>
      </c>
      <c r="E6486" s="29"/>
      <c r="F6486" s="29" t="s">
        <v>4173</v>
      </c>
      <c r="G6486" s="29"/>
      <c r="H6486" s="29" t="s">
        <v>4174</v>
      </c>
      <c r="I6486" s="29"/>
      <c r="J6486" s="29" t="s">
        <v>870</v>
      </c>
      <c r="K6486" s="29"/>
      <c r="L6486" s="29" t="s">
        <v>995</v>
      </c>
      <c r="M6486" s="29"/>
      <c r="N6486" s="29" t="s">
        <v>1097</v>
      </c>
      <c r="O6486" s="29"/>
      <c r="P6486" s="29" t="s">
        <v>12323</v>
      </c>
      <c r="Q6486" t="s">
        <v>2040</v>
      </c>
      <c r="R6486" t="s">
        <v>2635</v>
      </c>
      <c r="S6486">
        <v>38</v>
      </c>
      <c r="T6486" s="43" t="str">
        <f t="shared" si="297"/>
        <v>2022.013P.Tymoviridae_rename.zip</v>
      </c>
      <c r="U6486" s="43" t="str">
        <f>HYPERLINK("https://ictv.global/taxonomy/taxondetails?taxnode_id=202202365","ictv.global=202202365")</f>
        <v>ictv.global=202202365</v>
      </c>
    </row>
    <row r="6487" spans="1:21">
      <c r="A6487">
        <v>6486</v>
      </c>
      <c r="B6487" s="29" t="s">
        <v>3223</v>
      </c>
      <c r="C6487" s="29"/>
      <c r="D6487" s="29" t="s">
        <v>4156</v>
      </c>
      <c r="E6487" s="29"/>
      <c r="F6487" s="29" t="s">
        <v>4173</v>
      </c>
      <c r="G6487" s="29"/>
      <c r="H6487" s="29" t="s">
        <v>4174</v>
      </c>
      <c r="I6487" s="29"/>
      <c r="J6487" s="29" t="s">
        <v>870</v>
      </c>
      <c r="K6487" s="29"/>
      <c r="L6487" s="29" t="s">
        <v>995</v>
      </c>
      <c r="M6487" s="29"/>
      <c r="N6487" s="29" t="s">
        <v>1097</v>
      </c>
      <c r="O6487" s="29"/>
      <c r="P6487" s="29" t="s">
        <v>12324</v>
      </c>
      <c r="Q6487" t="s">
        <v>2040</v>
      </c>
      <c r="R6487" t="s">
        <v>2635</v>
      </c>
      <c r="S6487">
        <v>38</v>
      </c>
      <c r="T6487" s="43" t="str">
        <f t="shared" si="297"/>
        <v>2022.013P.Tymoviridae_rename.zip</v>
      </c>
      <c r="U6487" s="43" t="str">
        <f>HYPERLINK("https://ictv.global/taxonomy/taxondetails?taxnode_id=202202367","ictv.global=202202367")</f>
        <v>ictv.global=202202367</v>
      </c>
    </row>
    <row r="6488" spans="1:21">
      <c r="A6488">
        <v>6487</v>
      </c>
      <c r="B6488" s="29" t="s">
        <v>3223</v>
      </c>
      <c r="C6488" s="29"/>
      <c r="D6488" s="29" t="s">
        <v>4156</v>
      </c>
      <c r="E6488" s="29"/>
      <c r="F6488" s="29" t="s">
        <v>4173</v>
      </c>
      <c r="G6488" s="29"/>
      <c r="H6488" s="29" t="s">
        <v>4174</v>
      </c>
      <c r="I6488" s="29"/>
      <c r="J6488" s="29" t="s">
        <v>870</v>
      </c>
      <c r="K6488" s="29"/>
      <c r="L6488" s="29" t="s">
        <v>995</v>
      </c>
      <c r="M6488" s="29"/>
      <c r="N6488" s="29" t="s">
        <v>1097</v>
      </c>
      <c r="O6488" s="29"/>
      <c r="P6488" s="29" t="s">
        <v>12325</v>
      </c>
      <c r="Q6488" t="s">
        <v>2040</v>
      </c>
      <c r="R6488" t="s">
        <v>2635</v>
      </c>
      <c r="S6488">
        <v>38</v>
      </c>
      <c r="T6488" s="43" t="str">
        <f t="shared" si="297"/>
        <v>2022.013P.Tymoviridae_rename.zip</v>
      </c>
      <c r="U6488" s="43" t="str">
        <f>HYPERLINK("https://ictv.global/taxonomy/taxondetails?taxnode_id=202202368","ictv.global=202202368")</f>
        <v>ictv.global=202202368</v>
      </c>
    </row>
    <row r="6489" spans="1:21">
      <c r="A6489">
        <v>6488</v>
      </c>
      <c r="B6489" s="29" t="s">
        <v>3223</v>
      </c>
      <c r="C6489" s="29"/>
      <c r="D6489" s="29" t="s">
        <v>4156</v>
      </c>
      <c r="E6489" s="29"/>
      <c r="F6489" s="29" t="s">
        <v>4173</v>
      </c>
      <c r="G6489" s="29"/>
      <c r="H6489" s="29" t="s">
        <v>4174</v>
      </c>
      <c r="I6489" s="29"/>
      <c r="J6489" s="29" t="s">
        <v>870</v>
      </c>
      <c r="K6489" s="29"/>
      <c r="L6489" s="29" t="s">
        <v>995</v>
      </c>
      <c r="M6489" s="29"/>
      <c r="N6489" s="29" t="s">
        <v>1097</v>
      </c>
      <c r="O6489" s="29"/>
      <c r="P6489" s="29" t="s">
        <v>12326</v>
      </c>
      <c r="Q6489" t="s">
        <v>2040</v>
      </c>
      <c r="R6489" t="s">
        <v>2635</v>
      </c>
      <c r="S6489">
        <v>38</v>
      </c>
      <c r="T6489" s="43" t="str">
        <f t="shared" si="297"/>
        <v>2022.013P.Tymoviridae_rename.zip</v>
      </c>
      <c r="U6489" s="43" t="str">
        <f>HYPERLINK("https://ictv.global/taxonomy/taxondetails?taxnode_id=202202356","ictv.global=202202356")</f>
        <v>ictv.global=202202356</v>
      </c>
    </row>
    <row r="6490" spans="1:21">
      <c r="A6490">
        <v>6489</v>
      </c>
      <c r="B6490" s="29" t="s">
        <v>3223</v>
      </c>
      <c r="C6490" s="29"/>
      <c r="D6490" s="29" t="s">
        <v>4156</v>
      </c>
      <c r="E6490" s="29"/>
      <c r="F6490" s="29" t="s">
        <v>4173</v>
      </c>
      <c r="G6490" s="29"/>
      <c r="H6490" s="29" t="s">
        <v>4174</v>
      </c>
      <c r="I6490" s="29"/>
      <c r="J6490" s="29" t="s">
        <v>870</v>
      </c>
      <c r="K6490" s="29"/>
      <c r="L6490" s="29" t="s">
        <v>995</v>
      </c>
      <c r="M6490" s="29"/>
      <c r="N6490" s="29" t="s">
        <v>1097</v>
      </c>
      <c r="O6490" s="29"/>
      <c r="P6490" s="29" t="s">
        <v>12327</v>
      </c>
      <c r="Q6490" t="s">
        <v>2040</v>
      </c>
      <c r="R6490" t="s">
        <v>2635</v>
      </c>
      <c r="S6490">
        <v>38</v>
      </c>
      <c r="T6490" s="43" t="str">
        <f t="shared" si="297"/>
        <v>2022.013P.Tymoviridae_rename.zip</v>
      </c>
      <c r="U6490" s="43" t="str">
        <f>HYPERLINK("https://ictv.global/taxonomy/taxondetails?taxnode_id=202202379","ictv.global=202202379")</f>
        <v>ictv.global=202202379</v>
      </c>
    </row>
    <row r="6491" spans="1:21">
      <c r="A6491">
        <v>6490</v>
      </c>
      <c r="B6491" s="29" t="s">
        <v>3223</v>
      </c>
      <c r="C6491" s="29"/>
      <c r="D6491" s="29" t="s">
        <v>4156</v>
      </c>
      <c r="E6491" s="29"/>
      <c r="F6491" s="29" t="s">
        <v>4173</v>
      </c>
      <c r="G6491" s="29"/>
      <c r="H6491" s="29" t="s">
        <v>4174</v>
      </c>
      <c r="I6491" s="29"/>
      <c r="J6491" s="29" t="s">
        <v>870</v>
      </c>
      <c r="K6491" s="29"/>
      <c r="L6491" s="29" t="s">
        <v>995</v>
      </c>
      <c r="M6491" s="29"/>
      <c r="N6491" s="29" t="s">
        <v>1097</v>
      </c>
      <c r="O6491" s="29"/>
      <c r="P6491" s="29" t="s">
        <v>12328</v>
      </c>
      <c r="Q6491" t="s">
        <v>2040</v>
      </c>
      <c r="R6491" t="s">
        <v>2635</v>
      </c>
      <c r="S6491">
        <v>38</v>
      </c>
      <c r="T6491" s="43" t="str">
        <f t="shared" si="297"/>
        <v>2022.013P.Tymoviridae_rename.zip</v>
      </c>
      <c r="U6491" s="43" t="str">
        <f>HYPERLINK("https://ictv.global/taxonomy/taxondetails?taxnode_id=202202366","ictv.global=202202366")</f>
        <v>ictv.global=202202366</v>
      </c>
    </row>
    <row r="6492" spans="1:21">
      <c r="A6492">
        <v>6491</v>
      </c>
      <c r="B6492" s="29" t="s">
        <v>3223</v>
      </c>
      <c r="C6492" s="29"/>
      <c r="D6492" s="29" t="s">
        <v>4156</v>
      </c>
      <c r="E6492" s="29"/>
      <c r="F6492" s="29" t="s">
        <v>4173</v>
      </c>
      <c r="G6492" s="29"/>
      <c r="H6492" s="29" t="s">
        <v>4174</v>
      </c>
      <c r="I6492" s="29"/>
      <c r="J6492" s="29" t="s">
        <v>870</v>
      </c>
      <c r="K6492" s="29"/>
      <c r="L6492" s="29" t="s">
        <v>995</v>
      </c>
      <c r="M6492" s="29"/>
      <c r="N6492" s="29" t="s">
        <v>1097</v>
      </c>
      <c r="O6492" s="29"/>
      <c r="P6492" s="29" t="s">
        <v>12329</v>
      </c>
      <c r="Q6492" t="s">
        <v>2040</v>
      </c>
      <c r="R6492" t="s">
        <v>2635</v>
      </c>
      <c r="S6492">
        <v>38</v>
      </c>
      <c r="T6492" s="43" t="str">
        <f t="shared" si="297"/>
        <v>2022.013P.Tymoviridae_rename.zip</v>
      </c>
      <c r="U6492" s="43" t="str">
        <f>HYPERLINK("https://ictv.global/taxonomy/taxondetails?taxnode_id=202202369","ictv.global=202202369")</f>
        <v>ictv.global=202202369</v>
      </c>
    </row>
    <row r="6493" spans="1:21">
      <c r="A6493">
        <v>6492</v>
      </c>
      <c r="B6493" s="29" t="s">
        <v>3223</v>
      </c>
      <c r="C6493" s="29"/>
      <c r="D6493" s="29" t="s">
        <v>4156</v>
      </c>
      <c r="E6493" s="29"/>
      <c r="F6493" s="29" t="s">
        <v>4173</v>
      </c>
      <c r="G6493" s="29"/>
      <c r="H6493" s="29" t="s">
        <v>4174</v>
      </c>
      <c r="I6493" s="29"/>
      <c r="J6493" s="29" t="s">
        <v>870</v>
      </c>
      <c r="K6493" s="29"/>
      <c r="L6493" s="29" t="s">
        <v>995</v>
      </c>
      <c r="M6493" s="29"/>
      <c r="N6493" s="29" t="s">
        <v>1097</v>
      </c>
      <c r="O6493" s="29"/>
      <c r="P6493" s="29" t="s">
        <v>12330</v>
      </c>
      <c r="Q6493" t="s">
        <v>2040</v>
      </c>
      <c r="R6493" t="s">
        <v>2635</v>
      </c>
      <c r="S6493">
        <v>38</v>
      </c>
      <c r="T6493" s="43" t="str">
        <f t="shared" si="297"/>
        <v>2022.013P.Tymoviridae_rename.zip</v>
      </c>
      <c r="U6493" s="43" t="str">
        <f>HYPERLINK("https://ictv.global/taxonomy/taxondetails?taxnode_id=202202357","ictv.global=202202357")</f>
        <v>ictv.global=202202357</v>
      </c>
    </row>
    <row r="6494" spans="1:21">
      <c r="A6494">
        <v>6493</v>
      </c>
      <c r="B6494" s="29" t="s">
        <v>3223</v>
      </c>
      <c r="C6494" s="29"/>
      <c r="D6494" s="29" t="s">
        <v>4156</v>
      </c>
      <c r="E6494" s="29"/>
      <c r="F6494" s="29" t="s">
        <v>4173</v>
      </c>
      <c r="G6494" s="29"/>
      <c r="H6494" s="29" t="s">
        <v>4174</v>
      </c>
      <c r="I6494" s="29"/>
      <c r="J6494" s="29" t="s">
        <v>870</v>
      </c>
      <c r="K6494" s="29"/>
      <c r="L6494" s="29" t="s">
        <v>995</v>
      </c>
      <c r="M6494" s="29"/>
      <c r="N6494" s="29" t="s">
        <v>1097</v>
      </c>
      <c r="O6494" s="29"/>
      <c r="P6494" s="29" t="s">
        <v>12331</v>
      </c>
      <c r="Q6494" t="s">
        <v>2040</v>
      </c>
      <c r="R6494" t="s">
        <v>2632</v>
      </c>
      <c r="S6494">
        <v>38</v>
      </c>
      <c r="T6494" s="43" t="str">
        <f>HYPERLINK("https://ictv.global/ictv/proposals/2022.012P.Tymoviridae_3nsp.zip","2022.012P.Tymoviridae_3nsp.zip")</f>
        <v>2022.012P.Tymoviridae_3nsp.zip</v>
      </c>
      <c r="U6494" s="43" t="str">
        <f>HYPERLINK("https://ictv.global/taxonomy/taxondetails?taxnode_id=202215116","ictv.global=202215116")</f>
        <v>ictv.global=202215116</v>
      </c>
    </row>
    <row r="6495" spans="1:21">
      <c r="A6495">
        <v>6494</v>
      </c>
      <c r="B6495" s="29" t="s">
        <v>3223</v>
      </c>
      <c r="C6495" s="29"/>
      <c r="D6495" s="29" t="s">
        <v>4156</v>
      </c>
      <c r="E6495" s="29"/>
      <c r="F6495" s="29" t="s">
        <v>4173</v>
      </c>
      <c r="G6495" s="29"/>
      <c r="H6495" s="29" t="s">
        <v>4174</v>
      </c>
      <c r="I6495" s="29"/>
      <c r="J6495" s="29" t="s">
        <v>870</v>
      </c>
      <c r="K6495" s="29"/>
      <c r="L6495" s="29" t="s">
        <v>995</v>
      </c>
      <c r="M6495" s="29"/>
      <c r="N6495" s="29" t="s">
        <v>1097</v>
      </c>
      <c r="O6495" s="29"/>
      <c r="P6495" s="29" t="s">
        <v>12332</v>
      </c>
      <c r="Q6495" t="s">
        <v>2040</v>
      </c>
      <c r="R6495" t="s">
        <v>2635</v>
      </c>
      <c r="S6495">
        <v>38</v>
      </c>
      <c r="T6495" s="43" t="str">
        <f t="shared" ref="T6495:T6500" si="298">HYPERLINK("https://ictv.global/ictv/proposals/2022.013P.Tymoviridae_rename.zip","2022.013P.Tymoviridae_rename.zip")</f>
        <v>2022.013P.Tymoviridae_rename.zip</v>
      </c>
      <c r="U6495" s="43" t="str">
        <f>HYPERLINK("https://ictv.global/taxonomy/taxondetails?taxnode_id=202202370","ictv.global=202202370")</f>
        <v>ictv.global=202202370</v>
      </c>
    </row>
    <row r="6496" spans="1:21">
      <c r="A6496">
        <v>6495</v>
      </c>
      <c r="B6496" s="29" t="s">
        <v>3223</v>
      </c>
      <c r="C6496" s="29"/>
      <c r="D6496" s="29" t="s">
        <v>4156</v>
      </c>
      <c r="E6496" s="29"/>
      <c r="F6496" s="29" t="s">
        <v>4173</v>
      </c>
      <c r="G6496" s="29"/>
      <c r="H6496" s="29" t="s">
        <v>4174</v>
      </c>
      <c r="I6496" s="29"/>
      <c r="J6496" s="29" t="s">
        <v>870</v>
      </c>
      <c r="K6496" s="29"/>
      <c r="L6496" s="29" t="s">
        <v>995</v>
      </c>
      <c r="M6496" s="29"/>
      <c r="N6496" s="29" t="s">
        <v>1097</v>
      </c>
      <c r="O6496" s="29"/>
      <c r="P6496" s="29" t="s">
        <v>12333</v>
      </c>
      <c r="Q6496" t="s">
        <v>2040</v>
      </c>
      <c r="R6496" t="s">
        <v>2635</v>
      </c>
      <c r="S6496">
        <v>38</v>
      </c>
      <c r="T6496" s="43" t="str">
        <f t="shared" si="298"/>
        <v>2022.013P.Tymoviridae_rename.zip</v>
      </c>
      <c r="U6496" s="43" t="str">
        <f>HYPERLINK("https://ictv.global/taxonomy/taxondetails?taxnode_id=202202372","ictv.global=202202372")</f>
        <v>ictv.global=202202372</v>
      </c>
    </row>
    <row r="6497" spans="1:21">
      <c r="A6497">
        <v>6496</v>
      </c>
      <c r="B6497" s="29" t="s">
        <v>3223</v>
      </c>
      <c r="C6497" s="29"/>
      <c r="D6497" s="29" t="s">
        <v>4156</v>
      </c>
      <c r="E6497" s="29"/>
      <c r="F6497" s="29" t="s">
        <v>4173</v>
      </c>
      <c r="G6497" s="29"/>
      <c r="H6497" s="29" t="s">
        <v>4174</v>
      </c>
      <c r="I6497" s="29"/>
      <c r="J6497" s="29" t="s">
        <v>870</v>
      </c>
      <c r="K6497" s="29"/>
      <c r="L6497" s="29" t="s">
        <v>995</v>
      </c>
      <c r="M6497" s="29"/>
      <c r="N6497" s="29" t="s">
        <v>1097</v>
      </c>
      <c r="O6497" s="29"/>
      <c r="P6497" s="29" t="s">
        <v>12334</v>
      </c>
      <c r="Q6497" t="s">
        <v>2040</v>
      </c>
      <c r="R6497" t="s">
        <v>2635</v>
      </c>
      <c r="S6497">
        <v>38</v>
      </c>
      <c r="T6497" s="43" t="str">
        <f t="shared" si="298"/>
        <v>2022.013P.Tymoviridae_rename.zip</v>
      </c>
      <c r="U6497" s="43" t="str">
        <f>HYPERLINK("https://ictv.global/taxonomy/taxondetails?taxnode_id=202202373","ictv.global=202202373")</f>
        <v>ictv.global=202202373</v>
      </c>
    </row>
    <row r="6498" spans="1:21">
      <c r="A6498">
        <v>6497</v>
      </c>
      <c r="B6498" s="29" t="s">
        <v>3223</v>
      </c>
      <c r="C6498" s="29"/>
      <c r="D6498" s="29" t="s">
        <v>4156</v>
      </c>
      <c r="E6498" s="29"/>
      <c r="F6498" s="29" t="s">
        <v>4173</v>
      </c>
      <c r="G6498" s="29"/>
      <c r="H6498" s="29" t="s">
        <v>4174</v>
      </c>
      <c r="I6498" s="29"/>
      <c r="J6498" s="29" t="s">
        <v>870</v>
      </c>
      <c r="K6498" s="29"/>
      <c r="L6498" s="29" t="s">
        <v>995</v>
      </c>
      <c r="M6498" s="29"/>
      <c r="N6498" s="29" t="s">
        <v>1097</v>
      </c>
      <c r="O6498" s="29"/>
      <c r="P6498" s="29" t="s">
        <v>12335</v>
      </c>
      <c r="Q6498" t="s">
        <v>2040</v>
      </c>
      <c r="R6498" t="s">
        <v>2635</v>
      </c>
      <c r="S6498">
        <v>38</v>
      </c>
      <c r="T6498" s="43" t="str">
        <f t="shared" si="298"/>
        <v>2022.013P.Tymoviridae_rename.zip</v>
      </c>
      <c r="U6498" s="43" t="str">
        <f>HYPERLINK("https://ictv.global/taxonomy/taxondetails?taxnode_id=202202375","ictv.global=202202375")</f>
        <v>ictv.global=202202375</v>
      </c>
    </row>
    <row r="6499" spans="1:21">
      <c r="A6499">
        <v>6498</v>
      </c>
      <c r="B6499" s="29" t="s">
        <v>3223</v>
      </c>
      <c r="C6499" s="29"/>
      <c r="D6499" s="29" t="s">
        <v>4156</v>
      </c>
      <c r="E6499" s="29"/>
      <c r="F6499" s="29" t="s">
        <v>4173</v>
      </c>
      <c r="G6499" s="29"/>
      <c r="H6499" s="29" t="s">
        <v>4174</v>
      </c>
      <c r="I6499" s="29"/>
      <c r="J6499" s="29" t="s">
        <v>870</v>
      </c>
      <c r="K6499" s="29"/>
      <c r="L6499" s="29" t="s">
        <v>995</v>
      </c>
      <c r="M6499" s="29"/>
      <c r="N6499" s="29" t="s">
        <v>1097</v>
      </c>
      <c r="O6499" s="29"/>
      <c r="P6499" s="29" t="s">
        <v>12336</v>
      </c>
      <c r="Q6499" t="s">
        <v>2040</v>
      </c>
      <c r="R6499" t="s">
        <v>2635</v>
      </c>
      <c r="S6499">
        <v>38</v>
      </c>
      <c r="T6499" s="43" t="str">
        <f t="shared" si="298"/>
        <v>2022.013P.Tymoviridae_rename.zip</v>
      </c>
      <c r="U6499" s="43" t="str">
        <f>HYPERLINK("https://ictv.global/taxonomy/taxondetails?taxnode_id=202202376","ictv.global=202202376")</f>
        <v>ictv.global=202202376</v>
      </c>
    </row>
    <row r="6500" spans="1:21">
      <c r="A6500">
        <v>6499</v>
      </c>
      <c r="B6500" s="29" t="s">
        <v>3223</v>
      </c>
      <c r="C6500" s="29"/>
      <c r="D6500" s="29" t="s">
        <v>4156</v>
      </c>
      <c r="E6500" s="29"/>
      <c r="F6500" s="29" t="s">
        <v>4173</v>
      </c>
      <c r="G6500" s="29"/>
      <c r="H6500" s="29" t="s">
        <v>4174</v>
      </c>
      <c r="I6500" s="29"/>
      <c r="J6500" s="29" t="s">
        <v>870</v>
      </c>
      <c r="K6500" s="29"/>
      <c r="L6500" s="29" t="s">
        <v>995</v>
      </c>
      <c r="M6500" s="29"/>
      <c r="N6500" s="29" t="s">
        <v>1097</v>
      </c>
      <c r="O6500" s="29"/>
      <c r="P6500" s="29" t="s">
        <v>12337</v>
      </c>
      <c r="Q6500" t="s">
        <v>2040</v>
      </c>
      <c r="R6500" t="s">
        <v>2635</v>
      </c>
      <c r="S6500">
        <v>38</v>
      </c>
      <c r="T6500" s="43" t="str">
        <f t="shared" si="298"/>
        <v>2022.013P.Tymoviridae_rename.zip</v>
      </c>
      <c r="U6500" s="43" t="str">
        <f>HYPERLINK("https://ictv.global/taxonomy/taxondetails?taxnode_id=202202377","ictv.global=202202377")</f>
        <v>ictv.global=202202377</v>
      </c>
    </row>
    <row r="6501" spans="1:21">
      <c r="A6501">
        <v>6500</v>
      </c>
      <c r="B6501" s="29" t="s">
        <v>3223</v>
      </c>
      <c r="C6501" s="29"/>
      <c r="D6501" s="29" t="s">
        <v>4156</v>
      </c>
      <c r="E6501" s="29"/>
      <c r="F6501" s="29" t="s">
        <v>4173</v>
      </c>
      <c r="G6501" s="29"/>
      <c r="H6501" s="29" t="s">
        <v>4174</v>
      </c>
      <c r="I6501" s="29"/>
      <c r="J6501" s="29" t="s">
        <v>870</v>
      </c>
      <c r="K6501" s="29"/>
      <c r="L6501" s="29" t="s">
        <v>995</v>
      </c>
      <c r="M6501" s="29"/>
      <c r="N6501" s="29" t="s">
        <v>1097</v>
      </c>
      <c r="O6501" s="29"/>
      <c r="P6501" s="29" t="s">
        <v>12338</v>
      </c>
      <c r="Q6501" t="s">
        <v>2040</v>
      </c>
      <c r="R6501" t="s">
        <v>2632</v>
      </c>
      <c r="S6501">
        <v>38</v>
      </c>
      <c r="T6501" s="43" t="str">
        <f>HYPERLINK("https://ictv.global/ictv/proposals/2022.012P.Tymoviridae_3nsp.zip","2022.012P.Tymoviridae_3nsp.zip")</f>
        <v>2022.012P.Tymoviridae_3nsp.zip</v>
      </c>
      <c r="U6501" s="43" t="str">
        <f>HYPERLINK("https://ictv.global/taxonomy/taxondetails?taxnode_id=202215117","ictv.global=202215117")</f>
        <v>ictv.global=202215117</v>
      </c>
    </row>
    <row r="6502" spans="1:21">
      <c r="A6502">
        <v>6501</v>
      </c>
      <c r="B6502" s="29" t="s">
        <v>3223</v>
      </c>
      <c r="C6502" s="29"/>
      <c r="D6502" s="29" t="s">
        <v>4156</v>
      </c>
      <c r="E6502" s="29"/>
      <c r="F6502" s="29" t="s">
        <v>4173</v>
      </c>
      <c r="G6502" s="29"/>
      <c r="H6502" s="29" t="s">
        <v>4174</v>
      </c>
      <c r="I6502" s="29"/>
      <c r="J6502" s="29" t="s">
        <v>870</v>
      </c>
      <c r="K6502" s="29"/>
      <c r="L6502" s="29" t="s">
        <v>995</v>
      </c>
      <c r="M6502" s="29"/>
      <c r="N6502" s="29" t="s">
        <v>1097</v>
      </c>
      <c r="O6502" s="29"/>
      <c r="P6502" s="29" t="s">
        <v>12339</v>
      </c>
      <c r="Q6502" t="s">
        <v>2040</v>
      </c>
      <c r="R6502" t="s">
        <v>2635</v>
      </c>
      <c r="S6502">
        <v>38</v>
      </c>
      <c r="T6502" s="43" t="str">
        <f>HYPERLINK("https://ictv.global/ictv/proposals/2022.013P.Tymoviridae_rename.zip","2022.013P.Tymoviridae_rename.zip")</f>
        <v>2022.013P.Tymoviridae_rename.zip</v>
      </c>
      <c r="U6502" s="43" t="str">
        <f>HYPERLINK("https://ictv.global/taxonomy/taxondetails?taxnode_id=202202378","ictv.global=202202378")</f>
        <v>ictv.global=202202378</v>
      </c>
    </row>
    <row r="6503" spans="1:21">
      <c r="A6503">
        <v>6502</v>
      </c>
      <c r="B6503" s="29" t="s">
        <v>3223</v>
      </c>
      <c r="C6503" s="29"/>
      <c r="D6503" s="29" t="s">
        <v>4156</v>
      </c>
      <c r="E6503" s="29"/>
      <c r="F6503" s="29" t="s">
        <v>4173</v>
      </c>
      <c r="G6503" s="29"/>
      <c r="H6503" s="29" t="s">
        <v>4174</v>
      </c>
      <c r="I6503" s="29"/>
      <c r="J6503" s="29" t="s">
        <v>870</v>
      </c>
      <c r="K6503" s="29"/>
      <c r="L6503" s="29" t="s">
        <v>995</v>
      </c>
      <c r="M6503" s="29"/>
      <c r="N6503" s="29" t="s">
        <v>1097</v>
      </c>
      <c r="O6503" s="29"/>
      <c r="P6503" s="29" t="s">
        <v>12340</v>
      </c>
      <c r="Q6503" t="s">
        <v>2040</v>
      </c>
      <c r="R6503" t="s">
        <v>2635</v>
      </c>
      <c r="S6503">
        <v>38</v>
      </c>
      <c r="T6503" s="43" t="str">
        <f>HYPERLINK("https://ictv.global/ictv/proposals/2022.013P.Tymoviridae_rename.zip","2022.013P.Tymoviridae_rename.zip")</f>
        <v>2022.013P.Tymoviridae_rename.zip</v>
      </c>
      <c r="U6503" s="43" t="str">
        <f>HYPERLINK("https://ictv.global/taxonomy/taxondetails?taxnode_id=202202359","ictv.global=202202359")</f>
        <v>ictv.global=202202359</v>
      </c>
    </row>
    <row r="6504" spans="1:21">
      <c r="A6504">
        <v>6503</v>
      </c>
      <c r="B6504" s="29" t="s">
        <v>3223</v>
      </c>
      <c r="C6504" s="29"/>
      <c r="D6504" s="29" t="s">
        <v>4156</v>
      </c>
      <c r="E6504" s="29"/>
      <c r="F6504" s="29" t="s">
        <v>4173</v>
      </c>
      <c r="G6504" s="29"/>
      <c r="H6504" s="29" t="s">
        <v>4174</v>
      </c>
      <c r="I6504" s="29"/>
      <c r="J6504" s="29" t="s">
        <v>870</v>
      </c>
      <c r="K6504" s="29"/>
      <c r="L6504" s="29" t="s">
        <v>995</v>
      </c>
      <c r="M6504" s="29"/>
      <c r="N6504" s="29" t="s">
        <v>1097</v>
      </c>
      <c r="O6504" s="29"/>
      <c r="P6504" s="29" t="s">
        <v>12341</v>
      </c>
      <c r="Q6504" t="s">
        <v>2040</v>
      </c>
      <c r="R6504" t="s">
        <v>2635</v>
      </c>
      <c r="S6504">
        <v>38</v>
      </c>
      <c r="T6504" s="43" t="str">
        <f>HYPERLINK("https://ictv.global/ictv/proposals/2022.013P.Tymoviridae_rename.zip","2022.013P.Tymoviridae_rename.zip")</f>
        <v>2022.013P.Tymoviridae_rename.zip</v>
      </c>
      <c r="U6504" s="43" t="str">
        <f>HYPERLINK("https://ictv.global/taxonomy/taxondetails?taxnode_id=202202381","ictv.global=202202381")</f>
        <v>ictv.global=202202381</v>
      </c>
    </row>
    <row r="6505" spans="1:21">
      <c r="A6505">
        <v>6504</v>
      </c>
      <c r="B6505" s="29" t="s">
        <v>3223</v>
      </c>
      <c r="C6505" s="29"/>
      <c r="D6505" s="29" t="s">
        <v>4156</v>
      </c>
      <c r="E6505" s="29"/>
      <c r="F6505" s="29" t="s">
        <v>4173</v>
      </c>
      <c r="G6505" s="29"/>
      <c r="H6505" s="29" t="s">
        <v>4174</v>
      </c>
      <c r="I6505" s="29"/>
      <c r="J6505" s="29" t="s">
        <v>870</v>
      </c>
      <c r="K6505" s="29"/>
      <c r="L6505" s="29" t="s">
        <v>995</v>
      </c>
      <c r="M6505" s="29"/>
      <c r="N6505" s="29"/>
      <c r="O6505" s="29"/>
      <c r="P6505" s="29" t="s">
        <v>9</v>
      </c>
      <c r="Q6505" t="s">
        <v>2040</v>
      </c>
      <c r="R6505" t="s">
        <v>2634</v>
      </c>
      <c r="S6505">
        <v>35</v>
      </c>
      <c r="T6505" s="43" t="str">
        <f>HYPERLINK("https://ictv.global/ictv/proposals/2019.006G.zip","2019.006G.zip")</f>
        <v>2019.006G.zip</v>
      </c>
      <c r="U6505" s="43" t="str">
        <f>HYPERLINK("https://ictv.global/taxonomy/taxondetails?taxnode_id=202202384","ictv.global=202202384")</f>
        <v>ictv.global=202202384</v>
      </c>
    </row>
    <row r="6506" spans="1:21">
      <c r="A6506">
        <v>6505</v>
      </c>
      <c r="B6506" s="29" t="s">
        <v>3223</v>
      </c>
      <c r="C6506" s="29"/>
      <c r="D6506" s="29" t="s">
        <v>4156</v>
      </c>
      <c r="E6506" s="29"/>
      <c r="F6506" s="29" t="s">
        <v>4173</v>
      </c>
      <c r="G6506" s="29"/>
      <c r="H6506" s="29" t="s">
        <v>4174</v>
      </c>
      <c r="I6506" s="29"/>
      <c r="J6506" s="29" t="s">
        <v>870</v>
      </c>
      <c r="K6506" s="29"/>
      <c r="L6506" s="29" t="s">
        <v>995</v>
      </c>
      <c r="M6506" s="29"/>
      <c r="N6506" s="29"/>
      <c r="O6506" s="29"/>
      <c r="P6506" s="29" t="s">
        <v>10</v>
      </c>
      <c r="Q6506" t="s">
        <v>2040</v>
      </c>
      <c r="R6506" t="s">
        <v>2634</v>
      </c>
      <c r="S6506">
        <v>35</v>
      </c>
      <c r="T6506" s="43" t="str">
        <f>HYPERLINK("https://ictv.global/ictv/proposals/2019.006G.zip","2019.006G.zip")</f>
        <v>2019.006G.zip</v>
      </c>
      <c r="U6506" s="43" t="str">
        <f>HYPERLINK("https://ictv.global/taxonomy/taxondetails?taxnode_id=202202385","ictv.global=202202385")</f>
        <v>ictv.global=202202385</v>
      </c>
    </row>
    <row r="6507" spans="1:21">
      <c r="A6507">
        <v>6506</v>
      </c>
      <c r="B6507" s="29" t="s">
        <v>3223</v>
      </c>
      <c r="C6507" s="29"/>
      <c r="D6507" s="29" t="s">
        <v>4156</v>
      </c>
      <c r="E6507" s="29"/>
      <c r="F6507" s="29" t="s">
        <v>4173</v>
      </c>
      <c r="G6507" s="29"/>
      <c r="H6507" s="29" t="s">
        <v>4192</v>
      </c>
      <c r="I6507" s="29"/>
      <c r="J6507" s="29" t="s">
        <v>4193</v>
      </c>
      <c r="K6507" s="29"/>
      <c r="L6507" s="29" t="s">
        <v>851</v>
      </c>
      <c r="M6507" s="29"/>
      <c r="N6507" s="29" t="s">
        <v>877</v>
      </c>
      <c r="O6507" s="29"/>
      <c r="P6507" s="29" t="s">
        <v>12342</v>
      </c>
      <c r="Q6507" t="s">
        <v>2040</v>
      </c>
      <c r="R6507" t="s">
        <v>2635</v>
      </c>
      <c r="S6507">
        <v>38</v>
      </c>
      <c r="T6507" s="43" t="str">
        <f t="shared" ref="T6507:T6538" si="299">HYPERLINK("https://ictv.global/ictv/proposals/2022.007S.Flaviviridae_1genren_sprenamed.zip","2022.007S.Flaviviridae_1genren_sprenamed.zip")</f>
        <v>2022.007S.Flaviviridae_1genren_sprenamed.zip</v>
      </c>
      <c r="U6507" s="43" t="str">
        <f>HYPERLINK("https://ictv.global/taxonomy/taxondetails?taxnode_id=202203138","ictv.global=202203138")</f>
        <v>ictv.global=202203138</v>
      </c>
    </row>
    <row r="6508" spans="1:21">
      <c r="A6508">
        <v>6507</v>
      </c>
      <c r="B6508" s="29" t="s">
        <v>3223</v>
      </c>
      <c r="C6508" s="29"/>
      <c r="D6508" s="29" t="s">
        <v>4156</v>
      </c>
      <c r="E6508" s="29"/>
      <c r="F6508" s="29" t="s">
        <v>4173</v>
      </c>
      <c r="G6508" s="29"/>
      <c r="H6508" s="29" t="s">
        <v>4192</v>
      </c>
      <c r="I6508" s="29"/>
      <c r="J6508" s="29" t="s">
        <v>4193</v>
      </c>
      <c r="K6508" s="29"/>
      <c r="L6508" s="29" t="s">
        <v>851</v>
      </c>
      <c r="M6508" s="29"/>
      <c r="N6508" s="29" t="s">
        <v>877</v>
      </c>
      <c r="O6508" s="29"/>
      <c r="P6508" s="29" t="s">
        <v>12343</v>
      </c>
      <c r="Q6508" t="s">
        <v>2040</v>
      </c>
      <c r="R6508" t="s">
        <v>2635</v>
      </c>
      <c r="S6508">
        <v>38</v>
      </c>
      <c r="T6508" s="43" t="str">
        <f t="shared" si="299"/>
        <v>2022.007S.Flaviviridae_1genren_sprenamed.zip</v>
      </c>
      <c r="U6508" s="43" t="str">
        <f>HYPERLINK("https://ictv.global/taxonomy/taxondetails?taxnode_id=202203128","ictv.global=202203128")</f>
        <v>ictv.global=202203128</v>
      </c>
    </row>
    <row r="6509" spans="1:21">
      <c r="A6509">
        <v>6508</v>
      </c>
      <c r="B6509" s="29" t="s">
        <v>3223</v>
      </c>
      <c r="C6509" s="29"/>
      <c r="D6509" s="29" t="s">
        <v>4156</v>
      </c>
      <c r="E6509" s="29"/>
      <c r="F6509" s="29" t="s">
        <v>4173</v>
      </c>
      <c r="G6509" s="29"/>
      <c r="H6509" s="29" t="s">
        <v>4192</v>
      </c>
      <c r="I6509" s="29"/>
      <c r="J6509" s="29" t="s">
        <v>4193</v>
      </c>
      <c r="K6509" s="29"/>
      <c r="L6509" s="29" t="s">
        <v>851</v>
      </c>
      <c r="M6509" s="29"/>
      <c r="N6509" s="29" t="s">
        <v>877</v>
      </c>
      <c r="O6509" s="29"/>
      <c r="P6509" s="29" t="s">
        <v>12344</v>
      </c>
      <c r="Q6509" t="s">
        <v>2040</v>
      </c>
      <c r="R6509" t="s">
        <v>2635</v>
      </c>
      <c r="S6509">
        <v>38</v>
      </c>
      <c r="T6509" s="43" t="str">
        <f t="shared" si="299"/>
        <v>2022.007S.Flaviviridae_1genren_sprenamed.zip</v>
      </c>
      <c r="U6509" s="43" t="str">
        <f>HYPERLINK("https://ictv.global/taxonomy/taxondetails?taxnode_id=202203125","ictv.global=202203125")</f>
        <v>ictv.global=202203125</v>
      </c>
    </row>
    <row r="6510" spans="1:21">
      <c r="A6510">
        <v>6509</v>
      </c>
      <c r="B6510" s="29" t="s">
        <v>3223</v>
      </c>
      <c r="C6510" s="29"/>
      <c r="D6510" s="29" t="s">
        <v>4156</v>
      </c>
      <c r="E6510" s="29"/>
      <c r="F6510" s="29" t="s">
        <v>4173</v>
      </c>
      <c r="G6510" s="29"/>
      <c r="H6510" s="29" t="s">
        <v>4192</v>
      </c>
      <c r="I6510" s="29"/>
      <c r="J6510" s="29" t="s">
        <v>4193</v>
      </c>
      <c r="K6510" s="29"/>
      <c r="L6510" s="29" t="s">
        <v>851</v>
      </c>
      <c r="M6510" s="29"/>
      <c r="N6510" s="29" t="s">
        <v>877</v>
      </c>
      <c r="O6510" s="29"/>
      <c r="P6510" s="29" t="s">
        <v>12345</v>
      </c>
      <c r="Q6510" t="s">
        <v>2040</v>
      </c>
      <c r="R6510" t="s">
        <v>2635</v>
      </c>
      <c r="S6510">
        <v>38</v>
      </c>
      <c r="T6510" s="43" t="str">
        <f t="shared" si="299"/>
        <v>2022.007S.Flaviviridae_1genren_sprenamed.zip</v>
      </c>
      <c r="U6510" s="43" t="str">
        <f>HYPERLINK("https://ictv.global/taxonomy/taxondetails?taxnode_id=202203134","ictv.global=202203134")</f>
        <v>ictv.global=202203134</v>
      </c>
    </row>
    <row r="6511" spans="1:21">
      <c r="A6511">
        <v>6510</v>
      </c>
      <c r="B6511" s="29" t="s">
        <v>3223</v>
      </c>
      <c r="C6511" s="29"/>
      <c r="D6511" s="29" t="s">
        <v>4156</v>
      </c>
      <c r="E6511" s="29"/>
      <c r="F6511" s="29" t="s">
        <v>4173</v>
      </c>
      <c r="G6511" s="29"/>
      <c r="H6511" s="29" t="s">
        <v>4192</v>
      </c>
      <c r="I6511" s="29"/>
      <c r="J6511" s="29" t="s">
        <v>4193</v>
      </c>
      <c r="K6511" s="29"/>
      <c r="L6511" s="29" t="s">
        <v>851</v>
      </c>
      <c r="M6511" s="29"/>
      <c r="N6511" s="29" t="s">
        <v>877</v>
      </c>
      <c r="O6511" s="29"/>
      <c r="P6511" s="29" t="s">
        <v>12346</v>
      </c>
      <c r="Q6511" t="s">
        <v>2040</v>
      </c>
      <c r="R6511" t="s">
        <v>2635</v>
      </c>
      <c r="S6511">
        <v>38</v>
      </c>
      <c r="T6511" s="43" t="str">
        <f t="shared" si="299"/>
        <v>2022.007S.Flaviviridae_1genren_sprenamed.zip</v>
      </c>
      <c r="U6511" s="43" t="str">
        <f>HYPERLINK("https://ictv.global/taxonomy/taxondetails?taxnode_id=202203127","ictv.global=202203127")</f>
        <v>ictv.global=202203127</v>
      </c>
    </row>
    <row r="6512" spans="1:21">
      <c r="A6512">
        <v>6511</v>
      </c>
      <c r="B6512" s="29" t="s">
        <v>3223</v>
      </c>
      <c r="C6512" s="29"/>
      <c r="D6512" s="29" t="s">
        <v>4156</v>
      </c>
      <c r="E6512" s="29"/>
      <c r="F6512" s="29" t="s">
        <v>4173</v>
      </c>
      <c r="G6512" s="29"/>
      <c r="H6512" s="29" t="s">
        <v>4192</v>
      </c>
      <c r="I6512" s="29"/>
      <c r="J6512" s="29" t="s">
        <v>4193</v>
      </c>
      <c r="K6512" s="29"/>
      <c r="L6512" s="29" t="s">
        <v>851</v>
      </c>
      <c r="M6512" s="29"/>
      <c r="N6512" s="29" t="s">
        <v>877</v>
      </c>
      <c r="O6512" s="29"/>
      <c r="P6512" s="29" t="s">
        <v>12347</v>
      </c>
      <c r="Q6512" t="s">
        <v>2040</v>
      </c>
      <c r="R6512" t="s">
        <v>2635</v>
      </c>
      <c r="S6512">
        <v>38</v>
      </c>
      <c r="T6512" s="43" t="str">
        <f t="shared" si="299"/>
        <v>2022.007S.Flaviviridae_1genren_sprenamed.zip</v>
      </c>
      <c r="U6512" s="43" t="str">
        <f>HYPERLINK("https://ictv.global/taxonomy/taxondetails?taxnode_id=202203135","ictv.global=202203135")</f>
        <v>ictv.global=202203135</v>
      </c>
    </row>
    <row r="6513" spans="1:21">
      <c r="A6513">
        <v>6512</v>
      </c>
      <c r="B6513" s="29" t="s">
        <v>3223</v>
      </c>
      <c r="C6513" s="29"/>
      <c r="D6513" s="29" t="s">
        <v>4156</v>
      </c>
      <c r="E6513" s="29"/>
      <c r="F6513" s="29" t="s">
        <v>4173</v>
      </c>
      <c r="G6513" s="29"/>
      <c r="H6513" s="29" t="s">
        <v>4192</v>
      </c>
      <c r="I6513" s="29"/>
      <c r="J6513" s="29" t="s">
        <v>4193</v>
      </c>
      <c r="K6513" s="29"/>
      <c r="L6513" s="29" t="s">
        <v>851</v>
      </c>
      <c r="M6513" s="29"/>
      <c r="N6513" s="29" t="s">
        <v>877</v>
      </c>
      <c r="O6513" s="29"/>
      <c r="P6513" s="29" t="s">
        <v>12348</v>
      </c>
      <c r="Q6513" t="s">
        <v>2040</v>
      </c>
      <c r="R6513" t="s">
        <v>2635</v>
      </c>
      <c r="S6513">
        <v>38</v>
      </c>
      <c r="T6513" s="43" t="str">
        <f t="shared" si="299"/>
        <v>2022.007S.Flaviviridae_1genren_sprenamed.zip</v>
      </c>
      <c r="U6513" s="43" t="str">
        <f>HYPERLINK("https://ictv.global/taxonomy/taxondetails?taxnode_id=202203130","ictv.global=202203130")</f>
        <v>ictv.global=202203130</v>
      </c>
    </row>
    <row r="6514" spans="1:21">
      <c r="A6514">
        <v>6513</v>
      </c>
      <c r="B6514" s="29" t="s">
        <v>3223</v>
      </c>
      <c r="C6514" s="29"/>
      <c r="D6514" s="29" t="s">
        <v>4156</v>
      </c>
      <c r="E6514" s="29"/>
      <c r="F6514" s="29" t="s">
        <v>4173</v>
      </c>
      <c r="G6514" s="29"/>
      <c r="H6514" s="29" t="s">
        <v>4192</v>
      </c>
      <c r="I6514" s="29"/>
      <c r="J6514" s="29" t="s">
        <v>4193</v>
      </c>
      <c r="K6514" s="29"/>
      <c r="L6514" s="29" t="s">
        <v>851</v>
      </c>
      <c r="M6514" s="29"/>
      <c r="N6514" s="29" t="s">
        <v>877</v>
      </c>
      <c r="O6514" s="29"/>
      <c r="P6514" s="29" t="s">
        <v>12349</v>
      </c>
      <c r="Q6514" t="s">
        <v>2040</v>
      </c>
      <c r="R6514" t="s">
        <v>2635</v>
      </c>
      <c r="S6514">
        <v>38</v>
      </c>
      <c r="T6514" s="43" t="str">
        <f t="shared" si="299"/>
        <v>2022.007S.Flaviviridae_1genren_sprenamed.zip</v>
      </c>
      <c r="U6514" s="43" t="str">
        <f>HYPERLINK("https://ictv.global/taxonomy/taxondetails?taxnode_id=202203132","ictv.global=202203132")</f>
        <v>ictv.global=202203132</v>
      </c>
    </row>
    <row r="6515" spans="1:21">
      <c r="A6515">
        <v>6514</v>
      </c>
      <c r="B6515" s="29" t="s">
        <v>3223</v>
      </c>
      <c r="C6515" s="29"/>
      <c r="D6515" s="29" t="s">
        <v>4156</v>
      </c>
      <c r="E6515" s="29"/>
      <c r="F6515" s="29" t="s">
        <v>4173</v>
      </c>
      <c r="G6515" s="29"/>
      <c r="H6515" s="29" t="s">
        <v>4192</v>
      </c>
      <c r="I6515" s="29"/>
      <c r="J6515" s="29" t="s">
        <v>4193</v>
      </c>
      <c r="K6515" s="29"/>
      <c r="L6515" s="29" t="s">
        <v>851</v>
      </c>
      <c r="M6515" s="29"/>
      <c r="N6515" s="29" t="s">
        <v>877</v>
      </c>
      <c r="O6515" s="29"/>
      <c r="P6515" s="29" t="s">
        <v>12350</v>
      </c>
      <c r="Q6515" t="s">
        <v>2040</v>
      </c>
      <c r="R6515" t="s">
        <v>2635</v>
      </c>
      <c r="S6515">
        <v>38</v>
      </c>
      <c r="T6515" s="43" t="str">
        <f t="shared" si="299"/>
        <v>2022.007S.Flaviviridae_1genren_sprenamed.zip</v>
      </c>
      <c r="U6515" s="43" t="str">
        <f>HYPERLINK("https://ictv.global/taxonomy/taxondetails?taxnode_id=202203137","ictv.global=202203137")</f>
        <v>ictv.global=202203137</v>
      </c>
    </row>
    <row r="6516" spans="1:21">
      <c r="A6516">
        <v>6515</v>
      </c>
      <c r="B6516" s="29" t="s">
        <v>3223</v>
      </c>
      <c r="C6516" s="29"/>
      <c r="D6516" s="29" t="s">
        <v>4156</v>
      </c>
      <c r="E6516" s="29"/>
      <c r="F6516" s="29" t="s">
        <v>4173</v>
      </c>
      <c r="G6516" s="29"/>
      <c r="H6516" s="29" t="s">
        <v>4192</v>
      </c>
      <c r="I6516" s="29"/>
      <c r="J6516" s="29" t="s">
        <v>4193</v>
      </c>
      <c r="K6516" s="29"/>
      <c r="L6516" s="29" t="s">
        <v>851</v>
      </c>
      <c r="M6516" s="29"/>
      <c r="N6516" s="29" t="s">
        <v>877</v>
      </c>
      <c r="O6516" s="29"/>
      <c r="P6516" s="29" t="s">
        <v>12351</v>
      </c>
      <c r="Q6516" t="s">
        <v>2040</v>
      </c>
      <c r="R6516" t="s">
        <v>2635</v>
      </c>
      <c r="S6516">
        <v>38</v>
      </c>
      <c r="T6516" s="43" t="str">
        <f t="shared" si="299"/>
        <v>2022.007S.Flaviviridae_1genren_sprenamed.zip</v>
      </c>
      <c r="U6516" s="43" t="str">
        <f>HYPERLINK("https://ictv.global/taxonomy/taxondetails?taxnode_id=202203129","ictv.global=202203129")</f>
        <v>ictv.global=202203129</v>
      </c>
    </row>
    <row r="6517" spans="1:21">
      <c r="A6517">
        <v>6516</v>
      </c>
      <c r="B6517" s="29" t="s">
        <v>3223</v>
      </c>
      <c r="C6517" s="29"/>
      <c r="D6517" s="29" t="s">
        <v>4156</v>
      </c>
      <c r="E6517" s="29"/>
      <c r="F6517" s="29" t="s">
        <v>4173</v>
      </c>
      <c r="G6517" s="29"/>
      <c r="H6517" s="29" t="s">
        <v>4192</v>
      </c>
      <c r="I6517" s="29"/>
      <c r="J6517" s="29" t="s">
        <v>4193</v>
      </c>
      <c r="K6517" s="29"/>
      <c r="L6517" s="29" t="s">
        <v>851</v>
      </c>
      <c r="M6517" s="29"/>
      <c r="N6517" s="29" t="s">
        <v>877</v>
      </c>
      <c r="O6517" s="29"/>
      <c r="P6517" s="29" t="s">
        <v>12352</v>
      </c>
      <c r="Q6517" t="s">
        <v>2040</v>
      </c>
      <c r="R6517" t="s">
        <v>2635</v>
      </c>
      <c r="S6517">
        <v>38</v>
      </c>
      <c r="T6517" s="43" t="str">
        <f t="shared" si="299"/>
        <v>2022.007S.Flaviviridae_1genren_sprenamed.zip</v>
      </c>
      <c r="U6517" s="43" t="str">
        <f>HYPERLINK("https://ictv.global/taxonomy/taxondetails?taxnode_id=202203126","ictv.global=202203126")</f>
        <v>ictv.global=202203126</v>
      </c>
    </row>
    <row r="6518" spans="1:21">
      <c r="A6518">
        <v>6517</v>
      </c>
      <c r="B6518" s="29" t="s">
        <v>3223</v>
      </c>
      <c r="C6518" s="29"/>
      <c r="D6518" s="29" t="s">
        <v>4156</v>
      </c>
      <c r="E6518" s="29"/>
      <c r="F6518" s="29" t="s">
        <v>4173</v>
      </c>
      <c r="G6518" s="29"/>
      <c r="H6518" s="29" t="s">
        <v>4192</v>
      </c>
      <c r="I6518" s="29"/>
      <c r="J6518" s="29" t="s">
        <v>4193</v>
      </c>
      <c r="K6518" s="29"/>
      <c r="L6518" s="29" t="s">
        <v>851</v>
      </c>
      <c r="M6518" s="29"/>
      <c r="N6518" s="29" t="s">
        <v>877</v>
      </c>
      <c r="O6518" s="29"/>
      <c r="P6518" s="29" t="s">
        <v>12353</v>
      </c>
      <c r="Q6518" t="s">
        <v>2040</v>
      </c>
      <c r="R6518" t="s">
        <v>2635</v>
      </c>
      <c r="S6518">
        <v>38</v>
      </c>
      <c r="T6518" s="43" t="str">
        <f t="shared" si="299"/>
        <v>2022.007S.Flaviviridae_1genren_sprenamed.zip</v>
      </c>
      <c r="U6518" s="43" t="str">
        <f>HYPERLINK("https://ictv.global/taxonomy/taxondetails?taxnode_id=202203131","ictv.global=202203131")</f>
        <v>ictv.global=202203131</v>
      </c>
    </row>
    <row r="6519" spans="1:21">
      <c r="A6519">
        <v>6518</v>
      </c>
      <c r="B6519" s="29" t="s">
        <v>3223</v>
      </c>
      <c r="C6519" s="29"/>
      <c r="D6519" s="29" t="s">
        <v>4156</v>
      </c>
      <c r="E6519" s="29"/>
      <c r="F6519" s="29" t="s">
        <v>4173</v>
      </c>
      <c r="G6519" s="29"/>
      <c r="H6519" s="29" t="s">
        <v>4192</v>
      </c>
      <c r="I6519" s="29"/>
      <c r="J6519" s="29" t="s">
        <v>4193</v>
      </c>
      <c r="K6519" s="29"/>
      <c r="L6519" s="29" t="s">
        <v>851</v>
      </c>
      <c r="M6519" s="29"/>
      <c r="N6519" s="29" t="s">
        <v>877</v>
      </c>
      <c r="O6519" s="29"/>
      <c r="P6519" s="29" t="s">
        <v>12354</v>
      </c>
      <c r="Q6519" t="s">
        <v>2040</v>
      </c>
      <c r="R6519" t="s">
        <v>2635</v>
      </c>
      <c r="S6519">
        <v>38</v>
      </c>
      <c r="T6519" s="43" t="str">
        <f t="shared" si="299"/>
        <v>2022.007S.Flaviviridae_1genren_sprenamed.zip</v>
      </c>
      <c r="U6519" s="43" t="str">
        <f>HYPERLINK("https://ictv.global/taxonomy/taxondetails?taxnode_id=202203133","ictv.global=202203133")</f>
        <v>ictv.global=202203133</v>
      </c>
    </row>
    <row r="6520" spans="1:21">
      <c r="A6520">
        <v>6519</v>
      </c>
      <c r="B6520" s="29" t="s">
        <v>3223</v>
      </c>
      <c r="C6520" s="29"/>
      <c r="D6520" s="29" t="s">
        <v>4156</v>
      </c>
      <c r="E6520" s="29"/>
      <c r="F6520" s="29" t="s">
        <v>4173</v>
      </c>
      <c r="G6520" s="29"/>
      <c r="H6520" s="29" t="s">
        <v>4192</v>
      </c>
      <c r="I6520" s="29"/>
      <c r="J6520" s="29" t="s">
        <v>4193</v>
      </c>
      <c r="K6520" s="29"/>
      <c r="L6520" s="29" t="s">
        <v>851</v>
      </c>
      <c r="M6520" s="29"/>
      <c r="N6520" s="29" t="s">
        <v>877</v>
      </c>
      <c r="O6520" s="29"/>
      <c r="P6520" s="29" t="s">
        <v>12355</v>
      </c>
      <c r="Q6520" t="s">
        <v>2040</v>
      </c>
      <c r="R6520" t="s">
        <v>2635</v>
      </c>
      <c r="S6520">
        <v>38</v>
      </c>
      <c r="T6520" s="43" t="str">
        <f t="shared" si="299"/>
        <v>2022.007S.Flaviviridae_1genren_sprenamed.zip</v>
      </c>
      <c r="U6520" s="43" t="str">
        <f>HYPERLINK("https://ictv.global/taxonomy/taxondetails?taxnode_id=202203136","ictv.global=202203136")</f>
        <v>ictv.global=202203136</v>
      </c>
    </row>
    <row r="6521" spans="1:21">
      <c r="A6521">
        <v>6520</v>
      </c>
      <c r="B6521" s="29" t="s">
        <v>3223</v>
      </c>
      <c r="C6521" s="29"/>
      <c r="D6521" s="29" t="s">
        <v>4156</v>
      </c>
      <c r="E6521" s="29"/>
      <c r="F6521" s="29" t="s">
        <v>4173</v>
      </c>
      <c r="G6521" s="29"/>
      <c r="H6521" s="29" t="s">
        <v>4192</v>
      </c>
      <c r="I6521" s="29"/>
      <c r="J6521" s="29" t="s">
        <v>4193</v>
      </c>
      <c r="K6521" s="29"/>
      <c r="L6521" s="29" t="s">
        <v>851</v>
      </c>
      <c r="M6521" s="29"/>
      <c r="N6521" s="29" t="s">
        <v>12356</v>
      </c>
      <c r="O6521" s="29"/>
      <c r="P6521" s="29" t="s">
        <v>12357</v>
      </c>
      <c r="Q6521" t="s">
        <v>2040</v>
      </c>
      <c r="R6521" t="s">
        <v>2635</v>
      </c>
      <c r="S6521">
        <v>38</v>
      </c>
      <c r="T6521" s="43" t="str">
        <f t="shared" si="299"/>
        <v>2022.007S.Flaviviridae_1genren_sprenamed.zip</v>
      </c>
      <c r="U6521" s="43" t="str">
        <f>HYPERLINK("https://ictv.global/taxonomy/taxondetails?taxnode_id=202203071","ictv.global=202203071")</f>
        <v>ictv.global=202203071</v>
      </c>
    </row>
    <row r="6522" spans="1:21">
      <c r="A6522">
        <v>6521</v>
      </c>
      <c r="B6522" s="29" t="s">
        <v>3223</v>
      </c>
      <c r="C6522" s="29"/>
      <c r="D6522" s="29" t="s">
        <v>4156</v>
      </c>
      <c r="E6522" s="29"/>
      <c r="F6522" s="29" t="s">
        <v>4173</v>
      </c>
      <c r="G6522" s="29"/>
      <c r="H6522" s="29" t="s">
        <v>4192</v>
      </c>
      <c r="I6522" s="29"/>
      <c r="J6522" s="29" t="s">
        <v>4193</v>
      </c>
      <c r="K6522" s="29"/>
      <c r="L6522" s="29" t="s">
        <v>851</v>
      </c>
      <c r="M6522" s="29"/>
      <c r="N6522" s="29" t="s">
        <v>12356</v>
      </c>
      <c r="O6522" s="29"/>
      <c r="P6522" s="29" t="s">
        <v>12358</v>
      </c>
      <c r="Q6522" t="s">
        <v>2040</v>
      </c>
      <c r="R6522" t="s">
        <v>2635</v>
      </c>
      <c r="S6522">
        <v>38</v>
      </c>
      <c r="T6522" s="43" t="str">
        <f t="shared" si="299"/>
        <v>2022.007S.Flaviviridae_1genren_sprenamed.zip</v>
      </c>
      <c r="U6522" s="43" t="str">
        <f>HYPERLINK("https://ictv.global/taxonomy/taxondetails?taxnode_id=202203072","ictv.global=202203072")</f>
        <v>ictv.global=202203072</v>
      </c>
    </row>
    <row r="6523" spans="1:21">
      <c r="A6523">
        <v>6522</v>
      </c>
      <c r="B6523" s="29" t="s">
        <v>3223</v>
      </c>
      <c r="C6523" s="29"/>
      <c r="D6523" s="29" t="s">
        <v>4156</v>
      </c>
      <c r="E6523" s="29"/>
      <c r="F6523" s="29" t="s">
        <v>4173</v>
      </c>
      <c r="G6523" s="29"/>
      <c r="H6523" s="29" t="s">
        <v>4192</v>
      </c>
      <c r="I6523" s="29"/>
      <c r="J6523" s="29" t="s">
        <v>4193</v>
      </c>
      <c r="K6523" s="29"/>
      <c r="L6523" s="29" t="s">
        <v>851</v>
      </c>
      <c r="M6523" s="29"/>
      <c r="N6523" s="29" t="s">
        <v>12356</v>
      </c>
      <c r="O6523" s="29"/>
      <c r="P6523" s="29" t="s">
        <v>12359</v>
      </c>
      <c r="Q6523" t="s">
        <v>2040</v>
      </c>
      <c r="R6523" t="s">
        <v>2635</v>
      </c>
      <c r="S6523">
        <v>38</v>
      </c>
      <c r="T6523" s="43" t="str">
        <f t="shared" si="299"/>
        <v>2022.007S.Flaviviridae_1genren_sprenamed.zip</v>
      </c>
      <c r="U6523" s="43" t="str">
        <f>HYPERLINK("https://ictv.global/taxonomy/taxondetails?taxnode_id=202203073","ictv.global=202203073")</f>
        <v>ictv.global=202203073</v>
      </c>
    </row>
    <row r="6524" spans="1:21">
      <c r="A6524">
        <v>6523</v>
      </c>
      <c r="B6524" s="29" t="s">
        <v>3223</v>
      </c>
      <c r="C6524" s="29"/>
      <c r="D6524" s="29" t="s">
        <v>4156</v>
      </c>
      <c r="E6524" s="29"/>
      <c r="F6524" s="29" t="s">
        <v>4173</v>
      </c>
      <c r="G6524" s="29"/>
      <c r="H6524" s="29" t="s">
        <v>4192</v>
      </c>
      <c r="I6524" s="29"/>
      <c r="J6524" s="29" t="s">
        <v>4193</v>
      </c>
      <c r="K6524" s="29"/>
      <c r="L6524" s="29" t="s">
        <v>851</v>
      </c>
      <c r="M6524" s="29"/>
      <c r="N6524" s="29" t="s">
        <v>12356</v>
      </c>
      <c r="O6524" s="29"/>
      <c r="P6524" s="29" t="s">
        <v>12360</v>
      </c>
      <c r="Q6524" t="s">
        <v>2040</v>
      </c>
      <c r="R6524" t="s">
        <v>2635</v>
      </c>
      <c r="S6524">
        <v>38</v>
      </c>
      <c r="T6524" s="43" t="str">
        <f t="shared" si="299"/>
        <v>2022.007S.Flaviviridae_1genren_sprenamed.zip</v>
      </c>
      <c r="U6524" s="43" t="str">
        <f>HYPERLINK("https://ictv.global/taxonomy/taxondetails?taxnode_id=202203074","ictv.global=202203074")</f>
        <v>ictv.global=202203074</v>
      </c>
    </row>
    <row r="6525" spans="1:21">
      <c r="A6525">
        <v>6524</v>
      </c>
      <c r="B6525" s="29" t="s">
        <v>3223</v>
      </c>
      <c r="C6525" s="29"/>
      <c r="D6525" s="29" t="s">
        <v>4156</v>
      </c>
      <c r="E6525" s="29"/>
      <c r="F6525" s="29" t="s">
        <v>4173</v>
      </c>
      <c r="G6525" s="29"/>
      <c r="H6525" s="29" t="s">
        <v>4192</v>
      </c>
      <c r="I6525" s="29"/>
      <c r="J6525" s="29" t="s">
        <v>4193</v>
      </c>
      <c r="K6525" s="29"/>
      <c r="L6525" s="29" t="s">
        <v>851</v>
      </c>
      <c r="M6525" s="29"/>
      <c r="N6525" s="29" t="s">
        <v>12356</v>
      </c>
      <c r="O6525" s="29"/>
      <c r="P6525" s="29" t="s">
        <v>12361</v>
      </c>
      <c r="Q6525" t="s">
        <v>2040</v>
      </c>
      <c r="R6525" t="s">
        <v>2635</v>
      </c>
      <c r="S6525">
        <v>38</v>
      </c>
      <c r="T6525" s="43" t="str">
        <f t="shared" si="299"/>
        <v>2022.007S.Flaviviridae_1genren_sprenamed.zip</v>
      </c>
      <c r="U6525" s="43" t="str">
        <f>HYPERLINK("https://ictv.global/taxonomy/taxondetails?taxnode_id=202203075","ictv.global=202203075")</f>
        <v>ictv.global=202203075</v>
      </c>
    </row>
    <row r="6526" spans="1:21">
      <c r="A6526">
        <v>6525</v>
      </c>
      <c r="B6526" s="29" t="s">
        <v>3223</v>
      </c>
      <c r="C6526" s="29"/>
      <c r="D6526" s="29" t="s">
        <v>4156</v>
      </c>
      <c r="E6526" s="29"/>
      <c r="F6526" s="29" t="s">
        <v>4173</v>
      </c>
      <c r="G6526" s="29"/>
      <c r="H6526" s="29" t="s">
        <v>4192</v>
      </c>
      <c r="I6526" s="29"/>
      <c r="J6526" s="29" t="s">
        <v>4193</v>
      </c>
      <c r="K6526" s="29"/>
      <c r="L6526" s="29" t="s">
        <v>851</v>
      </c>
      <c r="M6526" s="29"/>
      <c r="N6526" s="29" t="s">
        <v>12356</v>
      </c>
      <c r="O6526" s="29"/>
      <c r="P6526" s="29" t="s">
        <v>12362</v>
      </c>
      <c r="Q6526" t="s">
        <v>2040</v>
      </c>
      <c r="R6526" t="s">
        <v>2635</v>
      </c>
      <c r="S6526">
        <v>38</v>
      </c>
      <c r="T6526" s="43" t="str">
        <f t="shared" si="299"/>
        <v>2022.007S.Flaviviridae_1genren_sprenamed.zip</v>
      </c>
      <c r="U6526" s="43" t="str">
        <f>HYPERLINK("https://ictv.global/taxonomy/taxondetails?taxnode_id=202203105","ictv.global=202203105")</f>
        <v>ictv.global=202203105</v>
      </c>
    </row>
    <row r="6527" spans="1:21">
      <c r="A6527">
        <v>6526</v>
      </c>
      <c r="B6527" s="29" t="s">
        <v>3223</v>
      </c>
      <c r="C6527" s="29"/>
      <c r="D6527" s="29" t="s">
        <v>4156</v>
      </c>
      <c r="E6527" s="29"/>
      <c r="F6527" s="29" t="s">
        <v>4173</v>
      </c>
      <c r="G6527" s="29"/>
      <c r="H6527" s="29" t="s">
        <v>4192</v>
      </c>
      <c r="I6527" s="29"/>
      <c r="J6527" s="29" t="s">
        <v>4193</v>
      </c>
      <c r="K6527" s="29"/>
      <c r="L6527" s="29" t="s">
        <v>851</v>
      </c>
      <c r="M6527" s="29"/>
      <c r="N6527" s="29" t="s">
        <v>12356</v>
      </c>
      <c r="O6527" s="29"/>
      <c r="P6527" s="29" t="s">
        <v>12363</v>
      </c>
      <c r="Q6527" t="s">
        <v>2040</v>
      </c>
      <c r="R6527" t="s">
        <v>2635</v>
      </c>
      <c r="S6527">
        <v>38</v>
      </c>
      <c r="T6527" s="43" t="str">
        <f t="shared" si="299"/>
        <v>2022.007S.Flaviviridae_1genren_sprenamed.zip</v>
      </c>
      <c r="U6527" s="43" t="str">
        <f>HYPERLINK("https://ictv.global/taxonomy/taxondetails?taxnode_id=202203076","ictv.global=202203076")</f>
        <v>ictv.global=202203076</v>
      </c>
    </row>
    <row r="6528" spans="1:21">
      <c r="A6528">
        <v>6527</v>
      </c>
      <c r="B6528" s="29" t="s">
        <v>3223</v>
      </c>
      <c r="C6528" s="29"/>
      <c r="D6528" s="29" t="s">
        <v>4156</v>
      </c>
      <c r="E6528" s="29"/>
      <c r="F6528" s="29" t="s">
        <v>4173</v>
      </c>
      <c r="G6528" s="29"/>
      <c r="H6528" s="29" t="s">
        <v>4192</v>
      </c>
      <c r="I6528" s="29"/>
      <c r="J6528" s="29" t="s">
        <v>4193</v>
      </c>
      <c r="K6528" s="29"/>
      <c r="L6528" s="29" t="s">
        <v>851</v>
      </c>
      <c r="M6528" s="29"/>
      <c r="N6528" s="29" t="s">
        <v>12356</v>
      </c>
      <c r="O6528" s="29"/>
      <c r="P6528" s="29" t="s">
        <v>12364</v>
      </c>
      <c r="Q6528" t="s">
        <v>2040</v>
      </c>
      <c r="R6528" t="s">
        <v>2635</v>
      </c>
      <c r="S6528">
        <v>38</v>
      </c>
      <c r="T6528" s="43" t="str">
        <f t="shared" si="299"/>
        <v>2022.007S.Flaviviridae_1genren_sprenamed.zip</v>
      </c>
      <c r="U6528" s="43" t="str">
        <f>HYPERLINK("https://ictv.global/taxonomy/taxondetails?taxnode_id=202203077","ictv.global=202203077")</f>
        <v>ictv.global=202203077</v>
      </c>
    </row>
    <row r="6529" spans="1:21">
      <c r="A6529">
        <v>6528</v>
      </c>
      <c r="B6529" s="29" t="s">
        <v>3223</v>
      </c>
      <c r="C6529" s="29"/>
      <c r="D6529" s="29" t="s">
        <v>4156</v>
      </c>
      <c r="E6529" s="29"/>
      <c r="F6529" s="29" t="s">
        <v>4173</v>
      </c>
      <c r="G6529" s="29"/>
      <c r="H6529" s="29" t="s">
        <v>4192</v>
      </c>
      <c r="I6529" s="29"/>
      <c r="J6529" s="29" t="s">
        <v>4193</v>
      </c>
      <c r="K6529" s="29"/>
      <c r="L6529" s="29" t="s">
        <v>851</v>
      </c>
      <c r="M6529" s="29"/>
      <c r="N6529" s="29" t="s">
        <v>12356</v>
      </c>
      <c r="O6529" s="29"/>
      <c r="P6529" s="29" t="s">
        <v>12365</v>
      </c>
      <c r="Q6529" t="s">
        <v>2040</v>
      </c>
      <c r="R6529" t="s">
        <v>2635</v>
      </c>
      <c r="S6529">
        <v>38</v>
      </c>
      <c r="T6529" s="43" t="str">
        <f t="shared" si="299"/>
        <v>2022.007S.Flaviviridae_1genren_sprenamed.zip</v>
      </c>
      <c r="U6529" s="43" t="str">
        <f>HYPERLINK("https://ictv.global/taxonomy/taxondetails?taxnode_id=202203078","ictv.global=202203078")</f>
        <v>ictv.global=202203078</v>
      </c>
    </row>
    <row r="6530" spans="1:21">
      <c r="A6530">
        <v>6529</v>
      </c>
      <c r="B6530" s="29" t="s">
        <v>3223</v>
      </c>
      <c r="C6530" s="29"/>
      <c r="D6530" s="29" t="s">
        <v>4156</v>
      </c>
      <c r="E6530" s="29"/>
      <c r="F6530" s="29" t="s">
        <v>4173</v>
      </c>
      <c r="G6530" s="29"/>
      <c r="H6530" s="29" t="s">
        <v>4192</v>
      </c>
      <c r="I6530" s="29"/>
      <c r="J6530" s="29" t="s">
        <v>4193</v>
      </c>
      <c r="K6530" s="29"/>
      <c r="L6530" s="29" t="s">
        <v>851</v>
      </c>
      <c r="M6530" s="29"/>
      <c r="N6530" s="29" t="s">
        <v>12356</v>
      </c>
      <c r="O6530" s="29"/>
      <c r="P6530" s="29" t="s">
        <v>12366</v>
      </c>
      <c r="Q6530" t="s">
        <v>2040</v>
      </c>
      <c r="R6530" t="s">
        <v>2635</v>
      </c>
      <c r="S6530">
        <v>38</v>
      </c>
      <c r="T6530" s="43" t="str">
        <f t="shared" si="299"/>
        <v>2022.007S.Flaviviridae_1genren_sprenamed.zip</v>
      </c>
      <c r="U6530" s="43" t="str">
        <f>HYPERLINK("https://ictv.global/taxonomy/taxondetails?taxnode_id=202203079","ictv.global=202203079")</f>
        <v>ictv.global=202203079</v>
      </c>
    </row>
    <row r="6531" spans="1:21">
      <c r="A6531">
        <v>6530</v>
      </c>
      <c r="B6531" s="29" t="s">
        <v>3223</v>
      </c>
      <c r="C6531" s="29"/>
      <c r="D6531" s="29" t="s">
        <v>4156</v>
      </c>
      <c r="E6531" s="29"/>
      <c r="F6531" s="29" t="s">
        <v>4173</v>
      </c>
      <c r="G6531" s="29"/>
      <c r="H6531" s="29" t="s">
        <v>4192</v>
      </c>
      <c r="I6531" s="29"/>
      <c r="J6531" s="29" t="s">
        <v>4193</v>
      </c>
      <c r="K6531" s="29"/>
      <c r="L6531" s="29" t="s">
        <v>851</v>
      </c>
      <c r="M6531" s="29"/>
      <c r="N6531" s="29" t="s">
        <v>12356</v>
      </c>
      <c r="O6531" s="29"/>
      <c r="P6531" s="29" t="s">
        <v>12367</v>
      </c>
      <c r="Q6531" t="s">
        <v>2040</v>
      </c>
      <c r="R6531" t="s">
        <v>2635</v>
      </c>
      <c r="S6531">
        <v>38</v>
      </c>
      <c r="T6531" s="43" t="str">
        <f t="shared" si="299"/>
        <v>2022.007S.Flaviviridae_1genren_sprenamed.zip</v>
      </c>
      <c r="U6531" s="43" t="str">
        <f>HYPERLINK("https://ictv.global/taxonomy/taxondetails?taxnode_id=202203080","ictv.global=202203080")</f>
        <v>ictv.global=202203080</v>
      </c>
    </row>
    <row r="6532" spans="1:21">
      <c r="A6532">
        <v>6531</v>
      </c>
      <c r="B6532" s="29" t="s">
        <v>3223</v>
      </c>
      <c r="C6532" s="29"/>
      <c r="D6532" s="29" t="s">
        <v>4156</v>
      </c>
      <c r="E6532" s="29"/>
      <c r="F6532" s="29" t="s">
        <v>4173</v>
      </c>
      <c r="G6532" s="29"/>
      <c r="H6532" s="29" t="s">
        <v>4192</v>
      </c>
      <c r="I6532" s="29"/>
      <c r="J6532" s="29" t="s">
        <v>4193</v>
      </c>
      <c r="K6532" s="29"/>
      <c r="L6532" s="29" t="s">
        <v>851</v>
      </c>
      <c r="M6532" s="29"/>
      <c r="N6532" s="29" t="s">
        <v>12356</v>
      </c>
      <c r="O6532" s="29"/>
      <c r="P6532" s="29" t="s">
        <v>12368</v>
      </c>
      <c r="Q6532" t="s">
        <v>2040</v>
      </c>
      <c r="R6532" t="s">
        <v>2635</v>
      </c>
      <c r="S6532">
        <v>38</v>
      </c>
      <c r="T6532" s="43" t="str">
        <f t="shared" si="299"/>
        <v>2022.007S.Flaviviridae_1genren_sprenamed.zip</v>
      </c>
      <c r="U6532" s="43" t="str">
        <f>HYPERLINK("https://ictv.global/taxonomy/taxondetails?taxnode_id=202203081","ictv.global=202203081")</f>
        <v>ictv.global=202203081</v>
      </c>
    </row>
    <row r="6533" spans="1:21">
      <c r="A6533">
        <v>6532</v>
      </c>
      <c r="B6533" s="29" t="s">
        <v>3223</v>
      </c>
      <c r="C6533" s="29"/>
      <c r="D6533" s="29" t="s">
        <v>4156</v>
      </c>
      <c r="E6533" s="29"/>
      <c r="F6533" s="29" t="s">
        <v>4173</v>
      </c>
      <c r="G6533" s="29"/>
      <c r="H6533" s="29" t="s">
        <v>4192</v>
      </c>
      <c r="I6533" s="29"/>
      <c r="J6533" s="29" t="s">
        <v>4193</v>
      </c>
      <c r="K6533" s="29"/>
      <c r="L6533" s="29" t="s">
        <v>851</v>
      </c>
      <c r="M6533" s="29"/>
      <c r="N6533" s="29" t="s">
        <v>12356</v>
      </c>
      <c r="O6533" s="29"/>
      <c r="P6533" s="29" t="s">
        <v>12369</v>
      </c>
      <c r="Q6533" t="s">
        <v>2040</v>
      </c>
      <c r="R6533" t="s">
        <v>2635</v>
      </c>
      <c r="S6533">
        <v>38</v>
      </c>
      <c r="T6533" s="43" t="str">
        <f t="shared" si="299"/>
        <v>2022.007S.Flaviviridae_1genren_sprenamed.zip</v>
      </c>
      <c r="U6533" s="43" t="str">
        <f>HYPERLINK("https://ictv.global/taxonomy/taxondetails?taxnode_id=202203082","ictv.global=202203082")</f>
        <v>ictv.global=202203082</v>
      </c>
    </row>
    <row r="6534" spans="1:21">
      <c r="A6534">
        <v>6533</v>
      </c>
      <c r="B6534" s="29" t="s">
        <v>3223</v>
      </c>
      <c r="C6534" s="29"/>
      <c r="D6534" s="29" t="s">
        <v>4156</v>
      </c>
      <c r="E6534" s="29"/>
      <c r="F6534" s="29" t="s">
        <v>4173</v>
      </c>
      <c r="G6534" s="29"/>
      <c r="H6534" s="29" t="s">
        <v>4192</v>
      </c>
      <c r="I6534" s="29"/>
      <c r="J6534" s="29" t="s">
        <v>4193</v>
      </c>
      <c r="K6534" s="29"/>
      <c r="L6534" s="29" t="s">
        <v>851</v>
      </c>
      <c r="M6534" s="29"/>
      <c r="N6534" s="29" t="s">
        <v>12356</v>
      </c>
      <c r="O6534" s="29"/>
      <c r="P6534" s="29" t="s">
        <v>12370</v>
      </c>
      <c r="Q6534" t="s">
        <v>2040</v>
      </c>
      <c r="R6534" t="s">
        <v>2635</v>
      </c>
      <c r="S6534">
        <v>38</v>
      </c>
      <c r="T6534" s="43" t="str">
        <f t="shared" si="299"/>
        <v>2022.007S.Flaviviridae_1genren_sprenamed.zip</v>
      </c>
      <c r="U6534" s="43" t="str">
        <f>HYPERLINK("https://ictv.global/taxonomy/taxondetails?taxnode_id=202203114","ictv.global=202203114")</f>
        <v>ictv.global=202203114</v>
      </c>
    </row>
    <row r="6535" spans="1:21">
      <c r="A6535">
        <v>6534</v>
      </c>
      <c r="B6535" s="29" t="s">
        <v>3223</v>
      </c>
      <c r="C6535" s="29"/>
      <c r="D6535" s="29" t="s">
        <v>4156</v>
      </c>
      <c r="E6535" s="29"/>
      <c r="F6535" s="29" t="s">
        <v>4173</v>
      </c>
      <c r="G6535" s="29"/>
      <c r="H6535" s="29" t="s">
        <v>4192</v>
      </c>
      <c r="I6535" s="29"/>
      <c r="J6535" s="29" t="s">
        <v>4193</v>
      </c>
      <c r="K6535" s="29"/>
      <c r="L6535" s="29" t="s">
        <v>851</v>
      </c>
      <c r="M6535" s="29"/>
      <c r="N6535" s="29" t="s">
        <v>12356</v>
      </c>
      <c r="O6535" s="29"/>
      <c r="P6535" s="29" t="s">
        <v>12371</v>
      </c>
      <c r="Q6535" t="s">
        <v>2040</v>
      </c>
      <c r="R6535" t="s">
        <v>2635</v>
      </c>
      <c r="S6535">
        <v>38</v>
      </c>
      <c r="T6535" s="43" t="str">
        <f t="shared" si="299"/>
        <v>2022.007S.Flaviviridae_1genren_sprenamed.zip</v>
      </c>
      <c r="U6535" s="43" t="str">
        <f>HYPERLINK("https://ictv.global/taxonomy/taxondetails?taxnode_id=202203083","ictv.global=202203083")</f>
        <v>ictv.global=202203083</v>
      </c>
    </row>
    <row r="6536" spans="1:21">
      <c r="A6536">
        <v>6535</v>
      </c>
      <c r="B6536" s="29" t="s">
        <v>3223</v>
      </c>
      <c r="C6536" s="29"/>
      <c r="D6536" s="29" t="s">
        <v>4156</v>
      </c>
      <c r="E6536" s="29"/>
      <c r="F6536" s="29" t="s">
        <v>4173</v>
      </c>
      <c r="G6536" s="29"/>
      <c r="H6536" s="29" t="s">
        <v>4192</v>
      </c>
      <c r="I6536" s="29"/>
      <c r="J6536" s="29" t="s">
        <v>4193</v>
      </c>
      <c r="K6536" s="29"/>
      <c r="L6536" s="29" t="s">
        <v>851</v>
      </c>
      <c r="M6536" s="29"/>
      <c r="N6536" s="29" t="s">
        <v>12356</v>
      </c>
      <c r="O6536" s="29"/>
      <c r="P6536" s="29" t="s">
        <v>12372</v>
      </c>
      <c r="Q6536" t="s">
        <v>2040</v>
      </c>
      <c r="R6536" t="s">
        <v>2635</v>
      </c>
      <c r="S6536">
        <v>38</v>
      </c>
      <c r="T6536" s="43" t="str">
        <f t="shared" si="299"/>
        <v>2022.007S.Flaviviridae_1genren_sprenamed.zip</v>
      </c>
      <c r="U6536" s="43" t="str">
        <f>HYPERLINK("https://ictv.global/taxonomy/taxondetails?taxnode_id=202203121","ictv.global=202203121")</f>
        <v>ictv.global=202203121</v>
      </c>
    </row>
    <row r="6537" spans="1:21">
      <c r="A6537">
        <v>6536</v>
      </c>
      <c r="B6537" s="29" t="s">
        <v>3223</v>
      </c>
      <c r="C6537" s="29"/>
      <c r="D6537" s="29" t="s">
        <v>4156</v>
      </c>
      <c r="E6537" s="29"/>
      <c r="F6537" s="29" t="s">
        <v>4173</v>
      </c>
      <c r="G6537" s="29"/>
      <c r="H6537" s="29" t="s">
        <v>4192</v>
      </c>
      <c r="I6537" s="29"/>
      <c r="J6537" s="29" t="s">
        <v>4193</v>
      </c>
      <c r="K6537" s="29"/>
      <c r="L6537" s="29" t="s">
        <v>851</v>
      </c>
      <c r="M6537" s="29"/>
      <c r="N6537" s="29" t="s">
        <v>12356</v>
      </c>
      <c r="O6537" s="29"/>
      <c r="P6537" s="29" t="s">
        <v>12373</v>
      </c>
      <c r="Q6537" t="s">
        <v>2040</v>
      </c>
      <c r="R6537" t="s">
        <v>2635</v>
      </c>
      <c r="S6537">
        <v>38</v>
      </c>
      <c r="T6537" s="43" t="str">
        <f t="shared" si="299"/>
        <v>2022.007S.Flaviviridae_1genren_sprenamed.zip</v>
      </c>
      <c r="U6537" s="43" t="str">
        <f>HYPERLINK("https://ictv.global/taxonomy/taxondetails?taxnode_id=202203084","ictv.global=202203084")</f>
        <v>ictv.global=202203084</v>
      </c>
    </row>
    <row r="6538" spans="1:21">
      <c r="A6538">
        <v>6537</v>
      </c>
      <c r="B6538" s="29" t="s">
        <v>3223</v>
      </c>
      <c r="C6538" s="29"/>
      <c r="D6538" s="29" t="s">
        <v>4156</v>
      </c>
      <c r="E6538" s="29"/>
      <c r="F6538" s="29" t="s">
        <v>4173</v>
      </c>
      <c r="G6538" s="29"/>
      <c r="H6538" s="29" t="s">
        <v>4192</v>
      </c>
      <c r="I6538" s="29"/>
      <c r="J6538" s="29" t="s">
        <v>4193</v>
      </c>
      <c r="K6538" s="29"/>
      <c r="L6538" s="29" t="s">
        <v>851</v>
      </c>
      <c r="M6538" s="29"/>
      <c r="N6538" s="29" t="s">
        <v>12356</v>
      </c>
      <c r="O6538" s="29"/>
      <c r="P6538" s="29" t="s">
        <v>12374</v>
      </c>
      <c r="Q6538" t="s">
        <v>2040</v>
      </c>
      <c r="R6538" t="s">
        <v>2635</v>
      </c>
      <c r="S6538">
        <v>38</v>
      </c>
      <c r="T6538" s="43" t="str">
        <f t="shared" si="299"/>
        <v>2022.007S.Flaviviridae_1genren_sprenamed.zip</v>
      </c>
      <c r="U6538" s="43" t="str">
        <f>HYPERLINK("https://ictv.global/taxonomy/taxondetails?taxnode_id=202203085","ictv.global=202203085")</f>
        <v>ictv.global=202203085</v>
      </c>
    </row>
    <row r="6539" spans="1:21">
      <c r="A6539">
        <v>6538</v>
      </c>
      <c r="B6539" s="29" t="s">
        <v>3223</v>
      </c>
      <c r="C6539" s="29"/>
      <c r="D6539" s="29" t="s">
        <v>4156</v>
      </c>
      <c r="E6539" s="29"/>
      <c r="F6539" s="29" t="s">
        <v>4173</v>
      </c>
      <c r="G6539" s="29"/>
      <c r="H6539" s="29" t="s">
        <v>4192</v>
      </c>
      <c r="I6539" s="29"/>
      <c r="J6539" s="29" t="s">
        <v>4193</v>
      </c>
      <c r="K6539" s="29"/>
      <c r="L6539" s="29" t="s">
        <v>851</v>
      </c>
      <c r="M6539" s="29"/>
      <c r="N6539" s="29" t="s">
        <v>12356</v>
      </c>
      <c r="O6539" s="29"/>
      <c r="P6539" s="29" t="s">
        <v>12375</v>
      </c>
      <c r="Q6539" t="s">
        <v>2040</v>
      </c>
      <c r="R6539" t="s">
        <v>2635</v>
      </c>
      <c r="S6539">
        <v>38</v>
      </c>
      <c r="T6539" s="43" t="str">
        <f t="shared" ref="T6539:T6570" si="300">HYPERLINK("https://ictv.global/ictv/proposals/2022.007S.Flaviviridae_1genren_sprenamed.zip","2022.007S.Flaviviridae_1genren_sprenamed.zip")</f>
        <v>2022.007S.Flaviviridae_1genren_sprenamed.zip</v>
      </c>
      <c r="U6539" s="43" t="str">
        <f>HYPERLINK("https://ictv.global/taxonomy/taxondetails?taxnode_id=202203086","ictv.global=202203086")</f>
        <v>ictv.global=202203086</v>
      </c>
    </row>
    <row r="6540" spans="1:21">
      <c r="A6540">
        <v>6539</v>
      </c>
      <c r="B6540" s="29" t="s">
        <v>3223</v>
      </c>
      <c r="C6540" s="29"/>
      <c r="D6540" s="29" t="s">
        <v>4156</v>
      </c>
      <c r="E6540" s="29"/>
      <c r="F6540" s="29" t="s">
        <v>4173</v>
      </c>
      <c r="G6540" s="29"/>
      <c r="H6540" s="29" t="s">
        <v>4192</v>
      </c>
      <c r="I6540" s="29"/>
      <c r="J6540" s="29" t="s">
        <v>4193</v>
      </c>
      <c r="K6540" s="29"/>
      <c r="L6540" s="29" t="s">
        <v>851</v>
      </c>
      <c r="M6540" s="29"/>
      <c r="N6540" s="29" t="s">
        <v>12356</v>
      </c>
      <c r="O6540" s="29"/>
      <c r="P6540" s="29" t="s">
        <v>12376</v>
      </c>
      <c r="Q6540" t="s">
        <v>2040</v>
      </c>
      <c r="R6540" t="s">
        <v>2635</v>
      </c>
      <c r="S6540">
        <v>38</v>
      </c>
      <c r="T6540" s="43" t="str">
        <f t="shared" si="300"/>
        <v>2022.007S.Flaviviridae_1genren_sprenamed.zip</v>
      </c>
      <c r="U6540" s="43" t="str">
        <f>HYPERLINK("https://ictv.global/taxonomy/taxondetails?taxnode_id=202203087","ictv.global=202203087")</f>
        <v>ictv.global=202203087</v>
      </c>
    </row>
    <row r="6541" spans="1:21">
      <c r="A6541">
        <v>6540</v>
      </c>
      <c r="B6541" s="29" t="s">
        <v>3223</v>
      </c>
      <c r="C6541" s="29"/>
      <c r="D6541" s="29" t="s">
        <v>4156</v>
      </c>
      <c r="E6541" s="29"/>
      <c r="F6541" s="29" t="s">
        <v>4173</v>
      </c>
      <c r="G6541" s="29"/>
      <c r="H6541" s="29" t="s">
        <v>4192</v>
      </c>
      <c r="I6541" s="29"/>
      <c r="J6541" s="29" t="s">
        <v>4193</v>
      </c>
      <c r="K6541" s="29"/>
      <c r="L6541" s="29" t="s">
        <v>851</v>
      </c>
      <c r="M6541" s="29"/>
      <c r="N6541" s="29" t="s">
        <v>12356</v>
      </c>
      <c r="O6541" s="29"/>
      <c r="P6541" s="29" t="s">
        <v>12377</v>
      </c>
      <c r="Q6541" t="s">
        <v>2040</v>
      </c>
      <c r="R6541" t="s">
        <v>2635</v>
      </c>
      <c r="S6541">
        <v>38</v>
      </c>
      <c r="T6541" s="43" t="str">
        <f t="shared" si="300"/>
        <v>2022.007S.Flaviviridae_1genren_sprenamed.zip</v>
      </c>
      <c r="U6541" s="43" t="str">
        <f>HYPERLINK("https://ictv.global/taxonomy/taxondetails?taxnode_id=202203088","ictv.global=202203088")</f>
        <v>ictv.global=202203088</v>
      </c>
    </row>
    <row r="6542" spans="1:21">
      <c r="A6542">
        <v>6541</v>
      </c>
      <c r="B6542" s="29" t="s">
        <v>3223</v>
      </c>
      <c r="C6542" s="29"/>
      <c r="D6542" s="29" t="s">
        <v>4156</v>
      </c>
      <c r="E6542" s="29"/>
      <c r="F6542" s="29" t="s">
        <v>4173</v>
      </c>
      <c r="G6542" s="29"/>
      <c r="H6542" s="29" t="s">
        <v>4192</v>
      </c>
      <c r="I6542" s="29"/>
      <c r="J6542" s="29" t="s">
        <v>4193</v>
      </c>
      <c r="K6542" s="29"/>
      <c r="L6542" s="29" t="s">
        <v>851</v>
      </c>
      <c r="M6542" s="29"/>
      <c r="N6542" s="29" t="s">
        <v>12356</v>
      </c>
      <c r="O6542" s="29"/>
      <c r="P6542" s="29" t="s">
        <v>12378</v>
      </c>
      <c r="Q6542" t="s">
        <v>2040</v>
      </c>
      <c r="R6542" t="s">
        <v>2635</v>
      </c>
      <c r="S6542">
        <v>38</v>
      </c>
      <c r="T6542" s="43" t="str">
        <f t="shared" si="300"/>
        <v>2022.007S.Flaviviridae_1genren_sprenamed.zip</v>
      </c>
      <c r="U6542" s="43" t="str">
        <f>HYPERLINK("https://ictv.global/taxonomy/taxondetails?taxnode_id=202203089","ictv.global=202203089")</f>
        <v>ictv.global=202203089</v>
      </c>
    </row>
    <row r="6543" spans="1:21">
      <c r="A6543">
        <v>6542</v>
      </c>
      <c r="B6543" s="29" t="s">
        <v>3223</v>
      </c>
      <c r="C6543" s="29"/>
      <c r="D6543" s="29" t="s">
        <v>4156</v>
      </c>
      <c r="E6543" s="29"/>
      <c r="F6543" s="29" t="s">
        <v>4173</v>
      </c>
      <c r="G6543" s="29"/>
      <c r="H6543" s="29" t="s">
        <v>4192</v>
      </c>
      <c r="I6543" s="29"/>
      <c r="J6543" s="29" t="s">
        <v>4193</v>
      </c>
      <c r="K6543" s="29"/>
      <c r="L6543" s="29" t="s">
        <v>851</v>
      </c>
      <c r="M6543" s="29"/>
      <c r="N6543" s="29" t="s">
        <v>12356</v>
      </c>
      <c r="O6543" s="29"/>
      <c r="P6543" s="29" t="s">
        <v>12379</v>
      </c>
      <c r="Q6543" t="s">
        <v>2040</v>
      </c>
      <c r="R6543" t="s">
        <v>2635</v>
      </c>
      <c r="S6543">
        <v>38</v>
      </c>
      <c r="T6543" s="43" t="str">
        <f t="shared" si="300"/>
        <v>2022.007S.Flaviviridae_1genren_sprenamed.zip</v>
      </c>
      <c r="U6543" s="43" t="str">
        <f>HYPERLINK("https://ictv.global/taxonomy/taxondetails?taxnode_id=202203090","ictv.global=202203090")</f>
        <v>ictv.global=202203090</v>
      </c>
    </row>
    <row r="6544" spans="1:21">
      <c r="A6544">
        <v>6543</v>
      </c>
      <c r="B6544" s="29" t="s">
        <v>3223</v>
      </c>
      <c r="C6544" s="29"/>
      <c r="D6544" s="29" t="s">
        <v>4156</v>
      </c>
      <c r="E6544" s="29"/>
      <c r="F6544" s="29" t="s">
        <v>4173</v>
      </c>
      <c r="G6544" s="29"/>
      <c r="H6544" s="29" t="s">
        <v>4192</v>
      </c>
      <c r="I6544" s="29"/>
      <c r="J6544" s="29" t="s">
        <v>4193</v>
      </c>
      <c r="K6544" s="29"/>
      <c r="L6544" s="29" t="s">
        <v>851</v>
      </c>
      <c r="M6544" s="29"/>
      <c r="N6544" s="29" t="s">
        <v>12356</v>
      </c>
      <c r="O6544" s="29"/>
      <c r="P6544" s="29" t="s">
        <v>12380</v>
      </c>
      <c r="Q6544" t="s">
        <v>2040</v>
      </c>
      <c r="R6544" t="s">
        <v>2635</v>
      </c>
      <c r="S6544">
        <v>38</v>
      </c>
      <c r="T6544" s="43" t="str">
        <f t="shared" si="300"/>
        <v>2022.007S.Flaviviridae_1genren_sprenamed.zip</v>
      </c>
      <c r="U6544" s="43" t="str">
        <f>HYPERLINK("https://ictv.global/taxonomy/taxondetails?taxnode_id=202203091","ictv.global=202203091")</f>
        <v>ictv.global=202203091</v>
      </c>
    </row>
    <row r="6545" spans="1:21">
      <c r="A6545">
        <v>6544</v>
      </c>
      <c r="B6545" s="29" t="s">
        <v>3223</v>
      </c>
      <c r="C6545" s="29"/>
      <c r="D6545" s="29" t="s">
        <v>4156</v>
      </c>
      <c r="E6545" s="29"/>
      <c r="F6545" s="29" t="s">
        <v>4173</v>
      </c>
      <c r="G6545" s="29"/>
      <c r="H6545" s="29" t="s">
        <v>4192</v>
      </c>
      <c r="I6545" s="29"/>
      <c r="J6545" s="29" t="s">
        <v>4193</v>
      </c>
      <c r="K6545" s="29"/>
      <c r="L6545" s="29" t="s">
        <v>851</v>
      </c>
      <c r="M6545" s="29"/>
      <c r="N6545" s="29" t="s">
        <v>12356</v>
      </c>
      <c r="O6545" s="29"/>
      <c r="P6545" s="29" t="s">
        <v>12381</v>
      </c>
      <c r="Q6545" t="s">
        <v>2040</v>
      </c>
      <c r="R6545" t="s">
        <v>2635</v>
      </c>
      <c r="S6545">
        <v>38</v>
      </c>
      <c r="T6545" s="43" t="str">
        <f t="shared" si="300"/>
        <v>2022.007S.Flaviviridae_1genren_sprenamed.zip</v>
      </c>
      <c r="U6545" s="43" t="str">
        <f>HYPERLINK("https://ictv.global/taxonomy/taxondetails?taxnode_id=202203092","ictv.global=202203092")</f>
        <v>ictv.global=202203092</v>
      </c>
    </row>
    <row r="6546" spans="1:21">
      <c r="A6546">
        <v>6545</v>
      </c>
      <c r="B6546" s="29" t="s">
        <v>3223</v>
      </c>
      <c r="C6546" s="29"/>
      <c r="D6546" s="29" t="s">
        <v>4156</v>
      </c>
      <c r="E6546" s="29"/>
      <c r="F6546" s="29" t="s">
        <v>4173</v>
      </c>
      <c r="G6546" s="29"/>
      <c r="H6546" s="29" t="s">
        <v>4192</v>
      </c>
      <c r="I6546" s="29"/>
      <c r="J6546" s="29" t="s">
        <v>4193</v>
      </c>
      <c r="K6546" s="29"/>
      <c r="L6546" s="29" t="s">
        <v>851</v>
      </c>
      <c r="M6546" s="29"/>
      <c r="N6546" s="29" t="s">
        <v>12356</v>
      </c>
      <c r="O6546" s="29"/>
      <c r="P6546" s="29" t="s">
        <v>12382</v>
      </c>
      <c r="Q6546" t="s">
        <v>2040</v>
      </c>
      <c r="R6546" t="s">
        <v>2635</v>
      </c>
      <c r="S6546">
        <v>38</v>
      </c>
      <c r="T6546" s="43" t="str">
        <f t="shared" si="300"/>
        <v>2022.007S.Flaviviridae_1genren_sprenamed.zip</v>
      </c>
      <c r="U6546" s="43" t="str">
        <f>HYPERLINK("https://ictv.global/taxonomy/taxondetails?taxnode_id=202203093","ictv.global=202203093")</f>
        <v>ictv.global=202203093</v>
      </c>
    </row>
    <row r="6547" spans="1:21">
      <c r="A6547">
        <v>6546</v>
      </c>
      <c r="B6547" s="29" t="s">
        <v>3223</v>
      </c>
      <c r="C6547" s="29"/>
      <c r="D6547" s="29" t="s">
        <v>4156</v>
      </c>
      <c r="E6547" s="29"/>
      <c r="F6547" s="29" t="s">
        <v>4173</v>
      </c>
      <c r="G6547" s="29"/>
      <c r="H6547" s="29" t="s">
        <v>4192</v>
      </c>
      <c r="I6547" s="29"/>
      <c r="J6547" s="29" t="s">
        <v>4193</v>
      </c>
      <c r="K6547" s="29"/>
      <c r="L6547" s="29" t="s">
        <v>851</v>
      </c>
      <c r="M6547" s="29"/>
      <c r="N6547" s="29" t="s">
        <v>12356</v>
      </c>
      <c r="O6547" s="29"/>
      <c r="P6547" s="29" t="s">
        <v>12383</v>
      </c>
      <c r="Q6547" t="s">
        <v>2040</v>
      </c>
      <c r="R6547" t="s">
        <v>2635</v>
      </c>
      <c r="S6547">
        <v>38</v>
      </c>
      <c r="T6547" s="43" t="str">
        <f t="shared" si="300"/>
        <v>2022.007S.Flaviviridae_1genren_sprenamed.zip</v>
      </c>
      <c r="U6547" s="43" t="str">
        <f>HYPERLINK("https://ictv.global/taxonomy/taxondetails?taxnode_id=202203094","ictv.global=202203094")</f>
        <v>ictv.global=202203094</v>
      </c>
    </row>
    <row r="6548" spans="1:21">
      <c r="A6548">
        <v>6547</v>
      </c>
      <c r="B6548" s="29" t="s">
        <v>3223</v>
      </c>
      <c r="C6548" s="29"/>
      <c r="D6548" s="29" t="s">
        <v>4156</v>
      </c>
      <c r="E6548" s="29"/>
      <c r="F6548" s="29" t="s">
        <v>4173</v>
      </c>
      <c r="G6548" s="29"/>
      <c r="H6548" s="29" t="s">
        <v>4192</v>
      </c>
      <c r="I6548" s="29"/>
      <c r="J6548" s="29" t="s">
        <v>4193</v>
      </c>
      <c r="K6548" s="29"/>
      <c r="L6548" s="29" t="s">
        <v>851</v>
      </c>
      <c r="M6548" s="29"/>
      <c r="N6548" s="29" t="s">
        <v>12356</v>
      </c>
      <c r="O6548" s="29"/>
      <c r="P6548" s="29" t="s">
        <v>12384</v>
      </c>
      <c r="Q6548" t="s">
        <v>2040</v>
      </c>
      <c r="R6548" t="s">
        <v>2635</v>
      </c>
      <c r="S6548">
        <v>38</v>
      </c>
      <c r="T6548" s="43" t="str">
        <f t="shared" si="300"/>
        <v>2022.007S.Flaviviridae_1genren_sprenamed.zip</v>
      </c>
      <c r="U6548" s="43" t="str">
        <f>HYPERLINK("https://ictv.global/taxonomy/taxondetails?taxnode_id=202203095","ictv.global=202203095")</f>
        <v>ictv.global=202203095</v>
      </c>
    </row>
    <row r="6549" spans="1:21">
      <c r="A6549">
        <v>6548</v>
      </c>
      <c r="B6549" s="29" t="s">
        <v>3223</v>
      </c>
      <c r="C6549" s="29"/>
      <c r="D6549" s="29" t="s">
        <v>4156</v>
      </c>
      <c r="E6549" s="29"/>
      <c r="F6549" s="29" t="s">
        <v>4173</v>
      </c>
      <c r="G6549" s="29"/>
      <c r="H6549" s="29" t="s">
        <v>4192</v>
      </c>
      <c r="I6549" s="29"/>
      <c r="J6549" s="29" t="s">
        <v>4193</v>
      </c>
      <c r="K6549" s="29"/>
      <c r="L6549" s="29" t="s">
        <v>851</v>
      </c>
      <c r="M6549" s="29"/>
      <c r="N6549" s="29" t="s">
        <v>12356</v>
      </c>
      <c r="O6549" s="29"/>
      <c r="P6549" s="29" t="s">
        <v>12385</v>
      </c>
      <c r="Q6549" t="s">
        <v>2040</v>
      </c>
      <c r="R6549" t="s">
        <v>2635</v>
      </c>
      <c r="S6549">
        <v>38</v>
      </c>
      <c r="T6549" s="43" t="str">
        <f t="shared" si="300"/>
        <v>2022.007S.Flaviviridae_1genren_sprenamed.zip</v>
      </c>
      <c r="U6549" s="43" t="str">
        <f>HYPERLINK("https://ictv.global/taxonomy/taxondetails?taxnode_id=202203112","ictv.global=202203112")</f>
        <v>ictv.global=202203112</v>
      </c>
    </row>
    <row r="6550" spans="1:21">
      <c r="A6550">
        <v>6549</v>
      </c>
      <c r="B6550" s="29" t="s">
        <v>3223</v>
      </c>
      <c r="C6550" s="29"/>
      <c r="D6550" s="29" t="s">
        <v>4156</v>
      </c>
      <c r="E6550" s="29"/>
      <c r="F6550" s="29" t="s">
        <v>4173</v>
      </c>
      <c r="G6550" s="29"/>
      <c r="H6550" s="29" t="s">
        <v>4192</v>
      </c>
      <c r="I6550" s="29"/>
      <c r="J6550" s="29" t="s">
        <v>4193</v>
      </c>
      <c r="K6550" s="29"/>
      <c r="L6550" s="29" t="s">
        <v>851</v>
      </c>
      <c r="M6550" s="29"/>
      <c r="N6550" s="29" t="s">
        <v>12356</v>
      </c>
      <c r="O6550" s="29"/>
      <c r="P6550" s="29" t="s">
        <v>12386</v>
      </c>
      <c r="Q6550" t="s">
        <v>2040</v>
      </c>
      <c r="R6550" t="s">
        <v>2635</v>
      </c>
      <c r="S6550">
        <v>38</v>
      </c>
      <c r="T6550" s="43" t="str">
        <f t="shared" si="300"/>
        <v>2022.007S.Flaviviridae_1genren_sprenamed.zip</v>
      </c>
      <c r="U6550" s="43" t="str">
        <f>HYPERLINK("https://ictv.global/taxonomy/taxondetails?taxnode_id=202203096","ictv.global=202203096")</f>
        <v>ictv.global=202203096</v>
      </c>
    </row>
    <row r="6551" spans="1:21">
      <c r="A6551">
        <v>6550</v>
      </c>
      <c r="B6551" s="29" t="s">
        <v>3223</v>
      </c>
      <c r="C6551" s="29"/>
      <c r="D6551" s="29" t="s">
        <v>4156</v>
      </c>
      <c r="E6551" s="29"/>
      <c r="F6551" s="29" t="s">
        <v>4173</v>
      </c>
      <c r="G6551" s="29"/>
      <c r="H6551" s="29" t="s">
        <v>4192</v>
      </c>
      <c r="I6551" s="29"/>
      <c r="J6551" s="29" t="s">
        <v>4193</v>
      </c>
      <c r="K6551" s="29"/>
      <c r="L6551" s="29" t="s">
        <v>851</v>
      </c>
      <c r="M6551" s="29"/>
      <c r="N6551" s="29" t="s">
        <v>12356</v>
      </c>
      <c r="O6551" s="29"/>
      <c r="P6551" s="29" t="s">
        <v>12387</v>
      </c>
      <c r="Q6551" t="s">
        <v>2040</v>
      </c>
      <c r="R6551" t="s">
        <v>2635</v>
      </c>
      <c r="S6551">
        <v>38</v>
      </c>
      <c r="T6551" s="43" t="str">
        <f t="shared" si="300"/>
        <v>2022.007S.Flaviviridae_1genren_sprenamed.zip</v>
      </c>
      <c r="U6551" s="43" t="str">
        <f>HYPERLINK("https://ictv.global/taxonomy/taxondetails?taxnode_id=202203097","ictv.global=202203097")</f>
        <v>ictv.global=202203097</v>
      </c>
    </row>
    <row r="6552" spans="1:21">
      <c r="A6552">
        <v>6551</v>
      </c>
      <c r="B6552" s="29" t="s">
        <v>3223</v>
      </c>
      <c r="C6552" s="29"/>
      <c r="D6552" s="29" t="s">
        <v>4156</v>
      </c>
      <c r="E6552" s="29"/>
      <c r="F6552" s="29" t="s">
        <v>4173</v>
      </c>
      <c r="G6552" s="29"/>
      <c r="H6552" s="29" t="s">
        <v>4192</v>
      </c>
      <c r="I6552" s="29"/>
      <c r="J6552" s="29" t="s">
        <v>4193</v>
      </c>
      <c r="K6552" s="29"/>
      <c r="L6552" s="29" t="s">
        <v>851</v>
      </c>
      <c r="M6552" s="29"/>
      <c r="N6552" s="29" t="s">
        <v>12356</v>
      </c>
      <c r="O6552" s="29"/>
      <c r="P6552" s="29" t="s">
        <v>12388</v>
      </c>
      <c r="Q6552" t="s">
        <v>2040</v>
      </c>
      <c r="R6552" t="s">
        <v>2635</v>
      </c>
      <c r="S6552">
        <v>38</v>
      </c>
      <c r="T6552" s="43" t="str">
        <f t="shared" si="300"/>
        <v>2022.007S.Flaviviridae_1genren_sprenamed.zip</v>
      </c>
      <c r="U6552" s="43" t="str">
        <f>HYPERLINK("https://ictv.global/taxonomy/taxondetails?taxnode_id=202203098","ictv.global=202203098")</f>
        <v>ictv.global=202203098</v>
      </c>
    </row>
    <row r="6553" spans="1:21">
      <c r="A6553">
        <v>6552</v>
      </c>
      <c r="B6553" s="29" t="s">
        <v>3223</v>
      </c>
      <c r="C6553" s="29"/>
      <c r="D6553" s="29" t="s">
        <v>4156</v>
      </c>
      <c r="E6553" s="29"/>
      <c r="F6553" s="29" t="s">
        <v>4173</v>
      </c>
      <c r="G6553" s="29"/>
      <c r="H6553" s="29" t="s">
        <v>4192</v>
      </c>
      <c r="I6553" s="29"/>
      <c r="J6553" s="29" t="s">
        <v>4193</v>
      </c>
      <c r="K6553" s="29"/>
      <c r="L6553" s="29" t="s">
        <v>851</v>
      </c>
      <c r="M6553" s="29"/>
      <c r="N6553" s="29" t="s">
        <v>12356</v>
      </c>
      <c r="O6553" s="29"/>
      <c r="P6553" s="29" t="s">
        <v>12389</v>
      </c>
      <c r="Q6553" t="s">
        <v>2040</v>
      </c>
      <c r="R6553" t="s">
        <v>2635</v>
      </c>
      <c r="S6553">
        <v>38</v>
      </c>
      <c r="T6553" s="43" t="str">
        <f t="shared" si="300"/>
        <v>2022.007S.Flaviviridae_1genren_sprenamed.zip</v>
      </c>
      <c r="U6553" s="43" t="str">
        <f>HYPERLINK("https://ictv.global/taxonomy/taxondetails?taxnode_id=202203099","ictv.global=202203099")</f>
        <v>ictv.global=202203099</v>
      </c>
    </row>
    <row r="6554" spans="1:21">
      <c r="A6554">
        <v>6553</v>
      </c>
      <c r="B6554" s="29" t="s">
        <v>3223</v>
      </c>
      <c r="C6554" s="29"/>
      <c r="D6554" s="29" t="s">
        <v>4156</v>
      </c>
      <c r="E6554" s="29"/>
      <c r="F6554" s="29" t="s">
        <v>4173</v>
      </c>
      <c r="G6554" s="29"/>
      <c r="H6554" s="29" t="s">
        <v>4192</v>
      </c>
      <c r="I6554" s="29"/>
      <c r="J6554" s="29" t="s">
        <v>4193</v>
      </c>
      <c r="K6554" s="29"/>
      <c r="L6554" s="29" t="s">
        <v>851</v>
      </c>
      <c r="M6554" s="29"/>
      <c r="N6554" s="29" t="s">
        <v>12356</v>
      </c>
      <c r="O6554" s="29"/>
      <c r="P6554" s="29" t="s">
        <v>12390</v>
      </c>
      <c r="Q6554" t="s">
        <v>2040</v>
      </c>
      <c r="R6554" t="s">
        <v>2635</v>
      </c>
      <c r="S6554">
        <v>38</v>
      </c>
      <c r="T6554" s="43" t="str">
        <f t="shared" si="300"/>
        <v>2022.007S.Flaviviridae_1genren_sprenamed.zip</v>
      </c>
      <c r="U6554" s="43" t="str">
        <f>HYPERLINK("https://ictv.global/taxonomy/taxondetails?taxnode_id=202203100","ictv.global=202203100")</f>
        <v>ictv.global=202203100</v>
      </c>
    </row>
    <row r="6555" spans="1:21">
      <c r="A6555">
        <v>6554</v>
      </c>
      <c r="B6555" s="29" t="s">
        <v>3223</v>
      </c>
      <c r="C6555" s="29"/>
      <c r="D6555" s="29" t="s">
        <v>4156</v>
      </c>
      <c r="E6555" s="29"/>
      <c r="F6555" s="29" t="s">
        <v>4173</v>
      </c>
      <c r="G6555" s="29"/>
      <c r="H6555" s="29" t="s">
        <v>4192</v>
      </c>
      <c r="I6555" s="29"/>
      <c r="J6555" s="29" t="s">
        <v>4193</v>
      </c>
      <c r="K6555" s="29"/>
      <c r="L6555" s="29" t="s">
        <v>851</v>
      </c>
      <c r="M6555" s="29"/>
      <c r="N6555" s="29" t="s">
        <v>12356</v>
      </c>
      <c r="O6555" s="29"/>
      <c r="P6555" s="29" t="s">
        <v>12391</v>
      </c>
      <c r="Q6555" t="s">
        <v>2040</v>
      </c>
      <c r="R6555" t="s">
        <v>2635</v>
      </c>
      <c r="S6555">
        <v>38</v>
      </c>
      <c r="T6555" s="43" t="str">
        <f t="shared" si="300"/>
        <v>2022.007S.Flaviviridae_1genren_sprenamed.zip</v>
      </c>
      <c r="U6555" s="43" t="str">
        <f>HYPERLINK("https://ictv.global/taxonomy/taxondetails?taxnode_id=202203119","ictv.global=202203119")</f>
        <v>ictv.global=202203119</v>
      </c>
    </row>
    <row r="6556" spans="1:21">
      <c r="A6556">
        <v>6555</v>
      </c>
      <c r="B6556" s="29" t="s">
        <v>3223</v>
      </c>
      <c r="C6556" s="29"/>
      <c r="D6556" s="29" t="s">
        <v>4156</v>
      </c>
      <c r="E6556" s="29"/>
      <c r="F6556" s="29" t="s">
        <v>4173</v>
      </c>
      <c r="G6556" s="29"/>
      <c r="H6556" s="29" t="s">
        <v>4192</v>
      </c>
      <c r="I6556" s="29"/>
      <c r="J6556" s="29" t="s">
        <v>4193</v>
      </c>
      <c r="K6556" s="29"/>
      <c r="L6556" s="29" t="s">
        <v>851</v>
      </c>
      <c r="M6556" s="29"/>
      <c r="N6556" s="29" t="s">
        <v>12356</v>
      </c>
      <c r="O6556" s="29"/>
      <c r="P6556" s="29" t="s">
        <v>12392</v>
      </c>
      <c r="Q6556" t="s">
        <v>2040</v>
      </c>
      <c r="R6556" t="s">
        <v>2635</v>
      </c>
      <c r="S6556">
        <v>38</v>
      </c>
      <c r="T6556" s="43" t="str">
        <f t="shared" si="300"/>
        <v>2022.007S.Flaviviridae_1genren_sprenamed.zip</v>
      </c>
      <c r="U6556" s="43" t="str">
        <f>HYPERLINK("https://ictv.global/taxonomy/taxondetails?taxnode_id=202203101","ictv.global=202203101")</f>
        <v>ictv.global=202203101</v>
      </c>
    </row>
    <row r="6557" spans="1:21">
      <c r="A6557">
        <v>6556</v>
      </c>
      <c r="B6557" s="29" t="s">
        <v>3223</v>
      </c>
      <c r="C6557" s="29"/>
      <c r="D6557" s="29" t="s">
        <v>4156</v>
      </c>
      <c r="E6557" s="29"/>
      <c r="F6557" s="29" t="s">
        <v>4173</v>
      </c>
      <c r="G6557" s="29"/>
      <c r="H6557" s="29" t="s">
        <v>4192</v>
      </c>
      <c r="I6557" s="29"/>
      <c r="J6557" s="29" t="s">
        <v>4193</v>
      </c>
      <c r="K6557" s="29"/>
      <c r="L6557" s="29" t="s">
        <v>851</v>
      </c>
      <c r="M6557" s="29"/>
      <c r="N6557" s="29" t="s">
        <v>12356</v>
      </c>
      <c r="O6557" s="29"/>
      <c r="P6557" s="29" t="s">
        <v>12393</v>
      </c>
      <c r="Q6557" t="s">
        <v>2040</v>
      </c>
      <c r="R6557" t="s">
        <v>2635</v>
      </c>
      <c r="S6557">
        <v>38</v>
      </c>
      <c r="T6557" s="43" t="str">
        <f t="shared" si="300"/>
        <v>2022.007S.Flaviviridae_1genren_sprenamed.zip</v>
      </c>
      <c r="U6557" s="43" t="str">
        <f>HYPERLINK("https://ictv.global/taxonomy/taxondetails?taxnode_id=202203102","ictv.global=202203102")</f>
        <v>ictv.global=202203102</v>
      </c>
    </row>
    <row r="6558" spans="1:21">
      <c r="A6558">
        <v>6557</v>
      </c>
      <c r="B6558" s="29" t="s">
        <v>3223</v>
      </c>
      <c r="C6558" s="29"/>
      <c r="D6558" s="29" t="s">
        <v>4156</v>
      </c>
      <c r="E6558" s="29"/>
      <c r="F6558" s="29" t="s">
        <v>4173</v>
      </c>
      <c r="G6558" s="29"/>
      <c r="H6558" s="29" t="s">
        <v>4192</v>
      </c>
      <c r="I6558" s="29"/>
      <c r="J6558" s="29" t="s">
        <v>4193</v>
      </c>
      <c r="K6558" s="29"/>
      <c r="L6558" s="29" t="s">
        <v>851</v>
      </c>
      <c r="M6558" s="29"/>
      <c r="N6558" s="29" t="s">
        <v>12356</v>
      </c>
      <c r="O6558" s="29"/>
      <c r="P6558" s="29" t="s">
        <v>12394</v>
      </c>
      <c r="Q6558" t="s">
        <v>2040</v>
      </c>
      <c r="R6558" t="s">
        <v>2635</v>
      </c>
      <c r="S6558">
        <v>38</v>
      </c>
      <c r="T6558" s="43" t="str">
        <f t="shared" si="300"/>
        <v>2022.007S.Flaviviridae_1genren_sprenamed.zip</v>
      </c>
      <c r="U6558" s="43" t="str">
        <f>HYPERLINK("https://ictv.global/taxonomy/taxondetails?taxnode_id=202203109","ictv.global=202203109")</f>
        <v>ictv.global=202203109</v>
      </c>
    </row>
    <row r="6559" spans="1:21">
      <c r="A6559">
        <v>6558</v>
      </c>
      <c r="B6559" s="29" t="s">
        <v>3223</v>
      </c>
      <c r="C6559" s="29"/>
      <c r="D6559" s="29" t="s">
        <v>4156</v>
      </c>
      <c r="E6559" s="29"/>
      <c r="F6559" s="29" t="s">
        <v>4173</v>
      </c>
      <c r="G6559" s="29"/>
      <c r="H6559" s="29" t="s">
        <v>4192</v>
      </c>
      <c r="I6559" s="29"/>
      <c r="J6559" s="29" t="s">
        <v>4193</v>
      </c>
      <c r="K6559" s="29"/>
      <c r="L6559" s="29" t="s">
        <v>851</v>
      </c>
      <c r="M6559" s="29"/>
      <c r="N6559" s="29" t="s">
        <v>12356</v>
      </c>
      <c r="O6559" s="29"/>
      <c r="P6559" s="29" t="s">
        <v>12395</v>
      </c>
      <c r="Q6559" t="s">
        <v>2040</v>
      </c>
      <c r="R6559" t="s">
        <v>2635</v>
      </c>
      <c r="S6559">
        <v>38</v>
      </c>
      <c r="T6559" s="43" t="str">
        <f t="shared" si="300"/>
        <v>2022.007S.Flaviviridae_1genren_sprenamed.zip</v>
      </c>
      <c r="U6559" s="43" t="str">
        <f>HYPERLINK("https://ictv.global/taxonomy/taxondetails?taxnode_id=202203103","ictv.global=202203103")</f>
        <v>ictv.global=202203103</v>
      </c>
    </row>
    <row r="6560" spans="1:21">
      <c r="A6560">
        <v>6559</v>
      </c>
      <c r="B6560" s="29" t="s">
        <v>3223</v>
      </c>
      <c r="C6560" s="29"/>
      <c r="D6560" s="29" t="s">
        <v>4156</v>
      </c>
      <c r="E6560" s="29"/>
      <c r="F6560" s="29" t="s">
        <v>4173</v>
      </c>
      <c r="G6560" s="29"/>
      <c r="H6560" s="29" t="s">
        <v>4192</v>
      </c>
      <c r="I6560" s="29"/>
      <c r="J6560" s="29" t="s">
        <v>4193</v>
      </c>
      <c r="K6560" s="29"/>
      <c r="L6560" s="29" t="s">
        <v>851</v>
      </c>
      <c r="M6560" s="29"/>
      <c r="N6560" s="29" t="s">
        <v>12356</v>
      </c>
      <c r="O6560" s="29"/>
      <c r="P6560" s="29" t="s">
        <v>12396</v>
      </c>
      <c r="Q6560" t="s">
        <v>2040</v>
      </c>
      <c r="R6560" t="s">
        <v>2635</v>
      </c>
      <c r="S6560">
        <v>38</v>
      </c>
      <c r="T6560" s="43" t="str">
        <f t="shared" si="300"/>
        <v>2022.007S.Flaviviridae_1genren_sprenamed.zip</v>
      </c>
      <c r="U6560" s="43" t="str">
        <f>HYPERLINK("https://ictv.global/taxonomy/taxondetails?taxnode_id=202203104","ictv.global=202203104")</f>
        <v>ictv.global=202203104</v>
      </c>
    </row>
    <row r="6561" spans="1:21">
      <c r="A6561">
        <v>6560</v>
      </c>
      <c r="B6561" s="29" t="s">
        <v>3223</v>
      </c>
      <c r="C6561" s="29"/>
      <c r="D6561" s="29" t="s">
        <v>4156</v>
      </c>
      <c r="E6561" s="29"/>
      <c r="F6561" s="29" t="s">
        <v>4173</v>
      </c>
      <c r="G6561" s="29"/>
      <c r="H6561" s="29" t="s">
        <v>4192</v>
      </c>
      <c r="I6561" s="29"/>
      <c r="J6561" s="29" t="s">
        <v>4193</v>
      </c>
      <c r="K6561" s="29"/>
      <c r="L6561" s="29" t="s">
        <v>851</v>
      </c>
      <c r="M6561" s="29"/>
      <c r="N6561" s="29" t="s">
        <v>12356</v>
      </c>
      <c r="O6561" s="29"/>
      <c r="P6561" s="29" t="s">
        <v>12397</v>
      </c>
      <c r="Q6561" t="s">
        <v>2040</v>
      </c>
      <c r="R6561" t="s">
        <v>2635</v>
      </c>
      <c r="S6561">
        <v>38</v>
      </c>
      <c r="T6561" s="43" t="str">
        <f t="shared" si="300"/>
        <v>2022.007S.Flaviviridae_1genren_sprenamed.zip</v>
      </c>
      <c r="U6561" s="43" t="str">
        <f>HYPERLINK("https://ictv.global/taxonomy/taxondetails?taxnode_id=202203106","ictv.global=202203106")</f>
        <v>ictv.global=202203106</v>
      </c>
    </row>
    <row r="6562" spans="1:21">
      <c r="A6562">
        <v>6561</v>
      </c>
      <c r="B6562" s="29" t="s">
        <v>3223</v>
      </c>
      <c r="C6562" s="29"/>
      <c r="D6562" s="29" t="s">
        <v>4156</v>
      </c>
      <c r="E6562" s="29"/>
      <c r="F6562" s="29" t="s">
        <v>4173</v>
      </c>
      <c r="G6562" s="29"/>
      <c r="H6562" s="29" t="s">
        <v>4192</v>
      </c>
      <c r="I6562" s="29"/>
      <c r="J6562" s="29" t="s">
        <v>4193</v>
      </c>
      <c r="K6562" s="29"/>
      <c r="L6562" s="29" t="s">
        <v>851</v>
      </c>
      <c r="M6562" s="29"/>
      <c r="N6562" s="29" t="s">
        <v>12356</v>
      </c>
      <c r="O6562" s="29"/>
      <c r="P6562" s="29" t="s">
        <v>12398</v>
      </c>
      <c r="Q6562" t="s">
        <v>2040</v>
      </c>
      <c r="R6562" t="s">
        <v>2635</v>
      </c>
      <c r="S6562">
        <v>38</v>
      </c>
      <c r="T6562" s="43" t="str">
        <f t="shared" si="300"/>
        <v>2022.007S.Flaviviridae_1genren_sprenamed.zip</v>
      </c>
      <c r="U6562" s="43" t="str">
        <f>HYPERLINK("https://ictv.global/taxonomy/taxondetails?taxnode_id=202203107","ictv.global=202203107")</f>
        <v>ictv.global=202203107</v>
      </c>
    </row>
    <row r="6563" spans="1:21">
      <c r="A6563">
        <v>6562</v>
      </c>
      <c r="B6563" s="29" t="s">
        <v>3223</v>
      </c>
      <c r="C6563" s="29"/>
      <c r="D6563" s="29" t="s">
        <v>4156</v>
      </c>
      <c r="E6563" s="29"/>
      <c r="F6563" s="29" t="s">
        <v>4173</v>
      </c>
      <c r="G6563" s="29"/>
      <c r="H6563" s="29" t="s">
        <v>4192</v>
      </c>
      <c r="I6563" s="29"/>
      <c r="J6563" s="29" t="s">
        <v>4193</v>
      </c>
      <c r="K6563" s="29"/>
      <c r="L6563" s="29" t="s">
        <v>851</v>
      </c>
      <c r="M6563" s="29"/>
      <c r="N6563" s="29" t="s">
        <v>12356</v>
      </c>
      <c r="O6563" s="29"/>
      <c r="P6563" s="29" t="s">
        <v>12399</v>
      </c>
      <c r="Q6563" t="s">
        <v>2040</v>
      </c>
      <c r="R6563" t="s">
        <v>2635</v>
      </c>
      <c r="S6563">
        <v>38</v>
      </c>
      <c r="T6563" s="43" t="str">
        <f t="shared" si="300"/>
        <v>2022.007S.Flaviviridae_1genren_sprenamed.zip</v>
      </c>
      <c r="U6563" s="43" t="str">
        <f>HYPERLINK("https://ictv.global/taxonomy/taxondetails?taxnode_id=202203110","ictv.global=202203110")</f>
        <v>ictv.global=202203110</v>
      </c>
    </row>
    <row r="6564" spans="1:21">
      <c r="A6564">
        <v>6563</v>
      </c>
      <c r="B6564" s="29" t="s">
        <v>3223</v>
      </c>
      <c r="C6564" s="29"/>
      <c r="D6564" s="29" t="s">
        <v>4156</v>
      </c>
      <c r="E6564" s="29"/>
      <c r="F6564" s="29" t="s">
        <v>4173</v>
      </c>
      <c r="G6564" s="29"/>
      <c r="H6564" s="29" t="s">
        <v>4192</v>
      </c>
      <c r="I6564" s="29"/>
      <c r="J6564" s="29" t="s">
        <v>4193</v>
      </c>
      <c r="K6564" s="29"/>
      <c r="L6564" s="29" t="s">
        <v>851</v>
      </c>
      <c r="M6564" s="29"/>
      <c r="N6564" s="29" t="s">
        <v>12356</v>
      </c>
      <c r="O6564" s="29"/>
      <c r="P6564" s="29" t="s">
        <v>12400</v>
      </c>
      <c r="Q6564" t="s">
        <v>2040</v>
      </c>
      <c r="R6564" t="s">
        <v>2635</v>
      </c>
      <c r="S6564">
        <v>38</v>
      </c>
      <c r="T6564" s="43" t="str">
        <f t="shared" si="300"/>
        <v>2022.007S.Flaviviridae_1genren_sprenamed.zip</v>
      </c>
      <c r="U6564" s="43" t="str">
        <f>HYPERLINK("https://ictv.global/taxonomy/taxondetails?taxnode_id=202203111","ictv.global=202203111")</f>
        <v>ictv.global=202203111</v>
      </c>
    </row>
    <row r="6565" spans="1:21">
      <c r="A6565">
        <v>6564</v>
      </c>
      <c r="B6565" s="29" t="s">
        <v>3223</v>
      </c>
      <c r="C6565" s="29"/>
      <c r="D6565" s="29" t="s">
        <v>4156</v>
      </c>
      <c r="E6565" s="29"/>
      <c r="F6565" s="29" t="s">
        <v>4173</v>
      </c>
      <c r="G6565" s="29"/>
      <c r="H6565" s="29" t="s">
        <v>4192</v>
      </c>
      <c r="I6565" s="29"/>
      <c r="J6565" s="29" t="s">
        <v>4193</v>
      </c>
      <c r="K6565" s="29"/>
      <c r="L6565" s="29" t="s">
        <v>851</v>
      </c>
      <c r="M6565" s="29"/>
      <c r="N6565" s="29" t="s">
        <v>12356</v>
      </c>
      <c r="O6565" s="29"/>
      <c r="P6565" s="29" t="s">
        <v>12401</v>
      </c>
      <c r="Q6565" t="s">
        <v>2040</v>
      </c>
      <c r="R6565" t="s">
        <v>2635</v>
      </c>
      <c r="S6565">
        <v>38</v>
      </c>
      <c r="T6565" s="43" t="str">
        <f t="shared" si="300"/>
        <v>2022.007S.Flaviviridae_1genren_sprenamed.zip</v>
      </c>
      <c r="U6565" s="43" t="str">
        <f>HYPERLINK("https://ictv.global/taxonomy/taxondetails?taxnode_id=202203113","ictv.global=202203113")</f>
        <v>ictv.global=202203113</v>
      </c>
    </row>
    <row r="6566" spans="1:21">
      <c r="A6566">
        <v>6565</v>
      </c>
      <c r="B6566" s="29" t="s">
        <v>3223</v>
      </c>
      <c r="C6566" s="29"/>
      <c r="D6566" s="29" t="s">
        <v>4156</v>
      </c>
      <c r="E6566" s="29"/>
      <c r="F6566" s="29" t="s">
        <v>4173</v>
      </c>
      <c r="G6566" s="29"/>
      <c r="H6566" s="29" t="s">
        <v>4192</v>
      </c>
      <c r="I6566" s="29"/>
      <c r="J6566" s="29" t="s">
        <v>4193</v>
      </c>
      <c r="K6566" s="29"/>
      <c r="L6566" s="29" t="s">
        <v>851</v>
      </c>
      <c r="M6566" s="29"/>
      <c r="N6566" s="29" t="s">
        <v>12356</v>
      </c>
      <c r="O6566" s="29"/>
      <c r="P6566" s="29" t="s">
        <v>12402</v>
      </c>
      <c r="Q6566" t="s">
        <v>2040</v>
      </c>
      <c r="R6566" t="s">
        <v>2635</v>
      </c>
      <c r="S6566">
        <v>38</v>
      </c>
      <c r="T6566" s="43" t="str">
        <f t="shared" si="300"/>
        <v>2022.007S.Flaviviridae_1genren_sprenamed.zip</v>
      </c>
      <c r="U6566" s="43" t="str">
        <f>HYPERLINK("https://ictv.global/taxonomy/taxondetails?taxnode_id=202203115","ictv.global=202203115")</f>
        <v>ictv.global=202203115</v>
      </c>
    </row>
    <row r="6567" spans="1:21">
      <c r="A6567">
        <v>6566</v>
      </c>
      <c r="B6567" s="29" t="s">
        <v>3223</v>
      </c>
      <c r="C6567" s="29"/>
      <c r="D6567" s="29" t="s">
        <v>4156</v>
      </c>
      <c r="E6567" s="29"/>
      <c r="F6567" s="29" t="s">
        <v>4173</v>
      </c>
      <c r="G6567" s="29"/>
      <c r="H6567" s="29" t="s">
        <v>4192</v>
      </c>
      <c r="I6567" s="29"/>
      <c r="J6567" s="29" t="s">
        <v>4193</v>
      </c>
      <c r="K6567" s="29"/>
      <c r="L6567" s="29" t="s">
        <v>851</v>
      </c>
      <c r="M6567" s="29"/>
      <c r="N6567" s="29" t="s">
        <v>12356</v>
      </c>
      <c r="O6567" s="29"/>
      <c r="P6567" s="29" t="s">
        <v>12403</v>
      </c>
      <c r="Q6567" t="s">
        <v>2040</v>
      </c>
      <c r="R6567" t="s">
        <v>2635</v>
      </c>
      <c r="S6567">
        <v>38</v>
      </c>
      <c r="T6567" s="43" t="str">
        <f t="shared" si="300"/>
        <v>2022.007S.Flaviviridae_1genren_sprenamed.zip</v>
      </c>
      <c r="U6567" s="43" t="str">
        <f>HYPERLINK("https://ictv.global/taxonomy/taxondetails?taxnode_id=202203116","ictv.global=202203116")</f>
        <v>ictv.global=202203116</v>
      </c>
    </row>
    <row r="6568" spans="1:21">
      <c r="A6568">
        <v>6567</v>
      </c>
      <c r="B6568" s="29" t="s">
        <v>3223</v>
      </c>
      <c r="C6568" s="29"/>
      <c r="D6568" s="29" t="s">
        <v>4156</v>
      </c>
      <c r="E6568" s="29"/>
      <c r="F6568" s="29" t="s">
        <v>4173</v>
      </c>
      <c r="G6568" s="29"/>
      <c r="H6568" s="29" t="s">
        <v>4192</v>
      </c>
      <c r="I6568" s="29"/>
      <c r="J6568" s="29" t="s">
        <v>4193</v>
      </c>
      <c r="K6568" s="29"/>
      <c r="L6568" s="29" t="s">
        <v>851</v>
      </c>
      <c r="M6568" s="29"/>
      <c r="N6568" s="29" t="s">
        <v>12356</v>
      </c>
      <c r="O6568" s="29"/>
      <c r="P6568" s="29" t="s">
        <v>12404</v>
      </c>
      <c r="Q6568" t="s">
        <v>2040</v>
      </c>
      <c r="R6568" t="s">
        <v>2635</v>
      </c>
      <c r="S6568">
        <v>38</v>
      </c>
      <c r="T6568" s="43" t="str">
        <f t="shared" si="300"/>
        <v>2022.007S.Flaviviridae_1genren_sprenamed.zip</v>
      </c>
      <c r="U6568" s="43" t="str">
        <f>HYPERLINK("https://ictv.global/taxonomy/taxondetails?taxnode_id=202203117","ictv.global=202203117")</f>
        <v>ictv.global=202203117</v>
      </c>
    </row>
    <row r="6569" spans="1:21">
      <c r="A6569">
        <v>6568</v>
      </c>
      <c r="B6569" s="29" t="s">
        <v>3223</v>
      </c>
      <c r="C6569" s="29"/>
      <c r="D6569" s="29" t="s">
        <v>4156</v>
      </c>
      <c r="E6569" s="29"/>
      <c r="F6569" s="29" t="s">
        <v>4173</v>
      </c>
      <c r="G6569" s="29"/>
      <c r="H6569" s="29" t="s">
        <v>4192</v>
      </c>
      <c r="I6569" s="29"/>
      <c r="J6569" s="29" t="s">
        <v>4193</v>
      </c>
      <c r="K6569" s="29"/>
      <c r="L6569" s="29" t="s">
        <v>851</v>
      </c>
      <c r="M6569" s="29"/>
      <c r="N6569" s="29" t="s">
        <v>12356</v>
      </c>
      <c r="O6569" s="29"/>
      <c r="P6569" s="29" t="s">
        <v>12405</v>
      </c>
      <c r="Q6569" t="s">
        <v>2040</v>
      </c>
      <c r="R6569" t="s">
        <v>2635</v>
      </c>
      <c r="S6569">
        <v>38</v>
      </c>
      <c r="T6569" s="43" t="str">
        <f t="shared" si="300"/>
        <v>2022.007S.Flaviviridae_1genren_sprenamed.zip</v>
      </c>
      <c r="U6569" s="43" t="str">
        <f>HYPERLINK("https://ictv.global/taxonomy/taxondetails?taxnode_id=202203108","ictv.global=202203108")</f>
        <v>ictv.global=202203108</v>
      </c>
    </row>
    <row r="6570" spans="1:21">
      <c r="A6570">
        <v>6569</v>
      </c>
      <c r="B6570" s="29" t="s">
        <v>3223</v>
      </c>
      <c r="C6570" s="29"/>
      <c r="D6570" s="29" t="s">
        <v>4156</v>
      </c>
      <c r="E6570" s="29"/>
      <c r="F6570" s="29" t="s">
        <v>4173</v>
      </c>
      <c r="G6570" s="29"/>
      <c r="H6570" s="29" t="s">
        <v>4192</v>
      </c>
      <c r="I6570" s="29"/>
      <c r="J6570" s="29" t="s">
        <v>4193</v>
      </c>
      <c r="K6570" s="29"/>
      <c r="L6570" s="29" t="s">
        <v>851</v>
      </c>
      <c r="M6570" s="29"/>
      <c r="N6570" s="29" t="s">
        <v>12356</v>
      </c>
      <c r="O6570" s="29"/>
      <c r="P6570" s="29" t="s">
        <v>12406</v>
      </c>
      <c r="Q6570" t="s">
        <v>2040</v>
      </c>
      <c r="R6570" t="s">
        <v>2635</v>
      </c>
      <c r="S6570">
        <v>38</v>
      </c>
      <c r="T6570" s="43" t="str">
        <f t="shared" si="300"/>
        <v>2022.007S.Flaviviridae_1genren_sprenamed.zip</v>
      </c>
      <c r="U6570" s="43" t="str">
        <f>HYPERLINK("https://ictv.global/taxonomy/taxondetails?taxnode_id=202203118","ictv.global=202203118")</f>
        <v>ictv.global=202203118</v>
      </c>
    </row>
    <row r="6571" spans="1:21">
      <c r="A6571">
        <v>6570</v>
      </c>
      <c r="B6571" s="29" t="s">
        <v>3223</v>
      </c>
      <c r="C6571" s="29"/>
      <c r="D6571" s="29" t="s">
        <v>4156</v>
      </c>
      <c r="E6571" s="29"/>
      <c r="F6571" s="29" t="s">
        <v>4173</v>
      </c>
      <c r="G6571" s="29"/>
      <c r="H6571" s="29" t="s">
        <v>4192</v>
      </c>
      <c r="I6571" s="29"/>
      <c r="J6571" s="29" t="s">
        <v>4193</v>
      </c>
      <c r="K6571" s="29"/>
      <c r="L6571" s="29" t="s">
        <v>851</v>
      </c>
      <c r="M6571" s="29"/>
      <c r="N6571" s="29" t="s">
        <v>12356</v>
      </c>
      <c r="O6571" s="29"/>
      <c r="P6571" s="29" t="s">
        <v>12407</v>
      </c>
      <c r="Q6571" t="s">
        <v>2040</v>
      </c>
      <c r="R6571" t="s">
        <v>2635</v>
      </c>
      <c r="S6571">
        <v>38</v>
      </c>
      <c r="T6571" s="43" t="str">
        <f t="shared" ref="T6571:T6590" si="301">HYPERLINK("https://ictv.global/ictv/proposals/2022.007S.Flaviviridae_1genren_sprenamed.zip","2022.007S.Flaviviridae_1genren_sprenamed.zip")</f>
        <v>2022.007S.Flaviviridae_1genren_sprenamed.zip</v>
      </c>
      <c r="U6571" s="43" t="str">
        <f>HYPERLINK("https://ictv.global/taxonomy/taxondetails?taxnode_id=202203120","ictv.global=202203120")</f>
        <v>ictv.global=202203120</v>
      </c>
    </row>
    <row r="6572" spans="1:21">
      <c r="A6572">
        <v>6571</v>
      </c>
      <c r="B6572" s="29" t="s">
        <v>3223</v>
      </c>
      <c r="C6572" s="29"/>
      <c r="D6572" s="29" t="s">
        <v>4156</v>
      </c>
      <c r="E6572" s="29"/>
      <c r="F6572" s="29" t="s">
        <v>4173</v>
      </c>
      <c r="G6572" s="29"/>
      <c r="H6572" s="29" t="s">
        <v>4192</v>
      </c>
      <c r="I6572" s="29"/>
      <c r="J6572" s="29" t="s">
        <v>4193</v>
      </c>
      <c r="K6572" s="29"/>
      <c r="L6572" s="29" t="s">
        <v>851</v>
      </c>
      <c r="M6572" s="29"/>
      <c r="N6572" s="29" t="s">
        <v>12356</v>
      </c>
      <c r="O6572" s="29"/>
      <c r="P6572" s="29" t="s">
        <v>12408</v>
      </c>
      <c r="Q6572" t="s">
        <v>2040</v>
      </c>
      <c r="R6572" t="s">
        <v>2635</v>
      </c>
      <c r="S6572">
        <v>38</v>
      </c>
      <c r="T6572" s="43" t="str">
        <f t="shared" si="301"/>
        <v>2022.007S.Flaviviridae_1genren_sprenamed.zip</v>
      </c>
      <c r="U6572" s="43" t="str">
        <f>HYPERLINK("https://ictv.global/taxonomy/taxondetails?taxnode_id=202203122","ictv.global=202203122")</f>
        <v>ictv.global=202203122</v>
      </c>
    </row>
    <row r="6573" spans="1:21">
      <c r="A6573">
        <v>6572</v>
      </c>
      <c r="B6573" s="29" t="s">
        <v>3223</v>
      </c>
      <c r="C6573" s="29"/>
      <c r="D6573" s="29" t="s">
        <v>4156</v>
      </c>
      <c r="E6573" s="29"/>
      <c r="F6573" s="29" t="s">
        <v>4173</v>
      </c>
      <c r="G6573" s="29"/>
      <c r="H6573" s="29" t="s">
        <v>4192</v>
      </c>
      <c r="I6573" s="29"/>
      <c r="J6573" s="29" t="s">
        <v>4193</v>
      </c>
      <c r="K6573" s="29"/>
      <c r="L6573" s="29" t="s">
        <v>851</v>
      </c>
      <c r="M6573" s="29"/>
      <c r="N6573" s="29" t="s">
        <v>12356</v>
      </c>
      <c r="O6573" s="29"/>
      <c r="P6573" s="29" t="s">
        <v>12409</v>
      </c>
      <c r="Q6573" t="s">
        <v>2040</v>
      </c>
      <c r="R6573" t="s">
        <v>2635</v>
      </c>
      <c r="S6573">
        <v>38</v>
      </c>
      <c r="T6573" s="43" t="str">
        <f t="shared" si="301"/>
        <v>2022.007S.Flaviviridae_1genren_sprenamed.zip</v>
      </c>
      <c r="U6573" s="43" t="str">
        <f>HYPERLINK("https://ictv.global/taxonomy/taxondetails?taxnode_id=202203123","ictv.global=202203123")</f>
        <v>ictv.global=202203123</v>
      </c>
    </row>
    <row r="6574" spans="1:21">
      <c r="A6574">
        <v>6573</v>
      </c>
      <c r="B6574" s="29" t="s">
        <v>3223</v>
      </c>
      <c r="C6574" s="29"/>
      <c r="D6574" s="29" t="s">
        <v>4156</v>
      </c>
      <c r="E6574" s="29"/>
      <c r="F6574" s="29" t="s">
        <v>4173</v>
      </c>
      <c r="G6574" s="29"/>
      <c r="H6574" s="29" t="s">
        <v>4192</v>
      </c>
      <c r="I6574" s="29"/>
      <c r="J6574" s="29" t="s">
        <v>4193</v>
      </c>
      <c r="K6574" s="29"/>
      <c r="L6574" s="29" t="s">
        <v>851</v>
      </c>
      <c r="M6574" s="29"/>
      <c r="N6574" s="29" t="s">
        <v>1654</v>
      </c>
      <c r="O6574" s="29"/>
      <c r="P6574" s="29" t="s">
        <v>12410</v>
      </c>
      <c r="Q6574" t="s">
        <v>2040</v>
      </c>
      <c r="R6574" t="s">
        <v>2635</v>
      </c>
      <c r="S6574">
        <v>38</v>
      </c>
      <c r="T6574" s="43" t="str">
        <f t="shared" si="301"/>
        <v>2022.007S.Flaviviridae_1genren_sprenamed.zip</v>
      </c>
      <c r="U6574" s="43" t="str">
        <f>HYPERLINK("https://ictv.global/taxonomy/taxondetails?taxnode_id=202203144","ictv.global=202203144")</f>
        <v>ictv.global=202203144</v>
      </c>
    </row>
    <row r="6575" spans="1:21">
      <c r="A6575">
        <v>6574</v>
      </c>
      <c r="B6575" s="29" t="s">
        <v>3223</v>
      </c>
      <c r="C6575" s="29"/>
      <c r="D6575" s="29" t="s">
        <v>4156</v>
      </c>
      <c r="E6575" s="29"/>
      <c r="F6575" s="29" t="s">
        <v>4173</v>
      </c>
      <c r="G6575" s="29"/>
      <c r="H6575" s="29" t="s">
        <v>4192</v>
      </c>
      <c r="I6575" s="29"/>
      <c r="J6575" s="29" t="s">
        <v>4193</v>
      </c>
      <c r="K6575" s="29"/>
      <c r="L6575" s="29" t="s">
        <v>851</v>
      </c>
      <c r="M6575" s="29"/>
      <c r="N6575" s="29" t="s">
        <v>1654</v>
      </c>
      <c r="O6575" s="29"/>
      <c r="P6575" s="29" t="s">
        <v>12411</v>
      </c>
      <c r="Q6575" t="s">
        <v>2040</v>
      </c>
      <c r="R6575" t="s">
        <v>2635</v>
      </c>
      <c r="S6575">
        <v>38</v>
      </c>
      <c r="T6575" s="43" t="str">
        <f t="shared" si="301"/>
        <v>2022.007S.Flaviviridae_1genren_sprenamed.zip</v>
      </c>
      <c r="U6575" s="43" t="str">
        <f>HYPERLINK("https://ictv.global/taxonomy/taxondetails?taxnode_id=202203145","ictv.global=202203145")</f>
        <v>ictv.global=202203145</v>
      </c>
    </row>
    <row r="6576" spans="1:21">
      <c r="A6576">
        <v>6575</v>
      </c>
      <c r="B6576" s="29" t="s">
        <v>3223</v>
      </c>
      <c r="C6576" s="29"/>
      <c r="D6576" s="29" t="s">
        <v>4156</v>
      </c>
      <c r="E6576" s="29"/>
      <c r="F6576" s="29" t="s">
        <v>4173</v>
      </c>
      <c r="G6576" s="29"/>
      <c r="H6576" s="29" t="s">
        <v>4192</v>
      </c>
      <c r="I6576" s="29"/>
      <c r="J6576" s="29" t="s">
        <v>4193</v>
      </c>
      <c r="K6576" s="29"/>
      <c r="L6576" s="29" t="s">
        <v>851</v>
      </c>
      <c r="M6576" s="29"/>
      <c r="N6576" s="29" t="s">
        <v>1654</v>
      </c>
      <c r="O6576" s="29"/>
      <c r="P6576" s="29" t="s">
        <v>12412</v>
      </c>
      <c r="Q6576" t="s">
        <v>2040</v>
      </c>
      <c r="R6576" t="s">
        <v>2635</v>
      </c>
      <c r="S6576">
        <v>38</v>
      </c>
      <c r="T6576" s="43" t="str">
        <f t="shared" si="301"/>
        <v>2022.007S.Flaviviridae_1genren_sprenamed.zip</v>
      </c>
      <c r="U6576" s="43" t="str">
        <f>HYPERLINK("https://ictv.global/taxonomy/taxondetails?taxnode_id=202203147","ictv.global=202203147")</f>
        <v>ictv.global=202203147</v>
      </c>
    </row>
    <row r="6577" spans="1:21">
      <c r="A6577">
        <v>6576</v>
      </c>
      <c r="B6577" s="29" t="s">
        <v>3223</v>
      </c>
      <c r="C6577" s="29"/>
      <c r="D6577" s="29" t="s">
        <v>4156</v>
      </c>
      <c r="E6577" s="29"/>
      <c r="F6577" s="29" t="s">
        <v>4173</v>
      </c>
      <c r="G6577" s="29"/>
      <c r="H6577" s="29" t="s">
        <v>4192</v>
      </c>
      <c r="I6577" s="29"/>
      <c r="J6577" s="29" t="s">
        <v>4193</v>
      </c>
      <c r="K6577" s="29"/>
      <c r="L6577" s="29" t="s">
        <v>851</v>
      </c>
      <c r="M6577" s="29"/>
      <c r="N6577" s="29" t="s">
        <v>1654</v>
      </c>
      <c r="O6577" s="29"/>
      <c r="P6577" s="29" t="s">
        <v>12413</v>
      </c>
      <c r="Q6577" t="s">
        <v>2040</v>
      </c>
      <c r="R6577" t="s">
        <v>2635</v>
      </c>
      <c r="S6577">
        <v>38</v>
      </c>
      <c r="T6577" s="43" t="str">
        <f t="shared" si="301"/>
        <v>2022.007S.Flaviviridae_1genren_sprenamed.zip</v>
      </c>
      <c r="U6577" s="43" t="str">
        <f>HYPERLINK("https://ictv.global/taxonomy/taxondetails?taxnode_id=202203143","ictv.global=202203143")</f>
        <v>ictv.global=202203143</v>
      </c>
    </row>
    <row r="6578" spans="1:21">
      <c r="A6578">
        <v>6577</v>
      </c>
      <c r="B6578" s="29" t="s">
        <v>3223</v>
      </c>
      <c r="C6578" s="29"/>
      <c r="D6578" s="29" t="s">
        <v>4156</v>
      </c>
      <c r="E6578" s="29"/>
      <c r="F6578" s="29" t="s">
        <v>4173</v>
      </c>
      <c r="G6578" s="29"/>
      <c r="H6578" s="29" t="s">
        <v>4192</v>
      </c>
      <c r="I6578" s="29"/>
      <c r="J6578" s="29" t="s">
        <v>4193</v>
      </c>
      <c r="K6578" s="29"/>
      <c r="L6578" s="29" t="s">
        <v>851</v>
      </c>
      <c r="M6578" s="29"/>
      <c r="N6578" s="29" t="s">
        <v>1654</v>
      </c>
      <c r="O6578" s="29"/>
      <c r="P6578" s="29" t="s">
        <v>12414</v>
      </c>
      <c r="Q6578" t="s">
        <v>2040</v>
      </c>
      <c r="R6578" t="s">
        <v>2635</v>
      </c>
      <c r="S6578">
        <v>38</v>
      </c>
      <c r="T6578" s="43" t="str">
        <f t="shared" si="301"/>
        <v>2022.007S.Flaviviridae_1genren_sprenamed.zip</v>
      </c>
      <c r="U6578" s="43" t="str">
        <f>HYPERLINK("https://ictv.global/taxonomy/taxondetails?taxnode_id=202203142","ictv.global=202203142")</f>
        <v>ictv.global=202203142</v>
      </c>
    </row>
    <row r="6579" spans="1:21">
      <c r="A6579">
        <v>6578</v>
      </c>
      <c r="B6579" s="29" t="s">
        <v>3223</v>
      </c>
      <c r="C6579" s="29"/>
      <c r="D6579" s="29" t="s">
        <v>4156</v>
      </c>
      <c r="E6579" s="29"/>
      <c r="F6579" s="29" t="s">
        <v>4173</v>
      </c>
      <c r="G6579" s="29"/>
      <c r="H6579" s="29" t="s">
        <v>4192</v>
      </c>
      <c r="I6579" s="29"/>
      <c r="J6579" s="29" t="s">
        <v>4193</v>
      </c>
      <c r="K6579" s="29"/>
      <c r="L6579" s="29" t="s">
        <v>851</v>
      </c>
      <c r="M6579" s="29"/>
      <c r="N6579" s="29" t="s">
        <v>1654</v>
      </c>
      <c r="O6579" s="29"/>
      <c r="P6579" s="29" t="s">
        <v>12415</v>
      </c>
      <c r="Q6579" t="s">
        <v>2040</v>
      </c>
      <c r="R6579" t="s">
        <v>2635</v>
      </c>
      <c r="S6579">
        <v>38</v>
      </c>
      <c r="T6579" s="43" t="str">
        <f t="shared" si="301"/>
        <v>2022.007S.Flaviviridae_1genren_sprenamed.zip</v>
      </c>
      <c r="U6579" s="43" t="str">
        <f>HYPERLINK("https://ictv.global/taxonomy/taxondetails?taxnode_id=202203149","ictv.global=202203149")</f>
        <v>ictv.global=202203149</v>
      </c>
    </row>
    <row r="6580" spans="1:21">
      <c r="A6580">
        <v>6579</v>
      </c>
      <c r="B6580" s="29" t="s">
        <v>3223</v>
      </c>
      <c r="C6580" s="29"/>
      <c r="D6580" s="29" t="s">
        <v>4156</v>
      </c>
      <c r="E6580" s="29"/>
      <c r="F6580" s="29" t="s">
        <v>4173</v>
      </c>
      <c r="G6580" s="29"/>
      <c r="H6580" s="29" t="s">
        <v>4192</v>
      </c>
      <c r="I6580" s="29"/>
      <c r="J6580" s="29" t="s">
        <v>4193</v>
      </c>
      <c r="K6580" s="29"/>
      <c r="L6580" s="29" t="s">
        <v>851</v>
      </c>
      <c r="M6580" s="29"/>
      <c r="N6580" s="29" t="s">
        <v>1654</v>
      </c>
      <c r="O6580" s="29"/>
      <c r="P6580" s="29" t="s">
        <v>12416</v>
      </c>
      <c r="Q6580" t="s">
        <v>2040</v>
      </c>
      <c r="R6580" t="s">
        <v>2635</v>
      </c>
      <c r="S6580">
        <v>38</v>
      </c>
      <c r="T6580" s="43" t="str">
        <f t="shared" si="301"/>
        <v>2022.007S.Flaviviridae_1genren_sprenamed.zip</v>
      </c>
      <c r="U6580" s="43" t="str">
        <f>HYPERLINK("https://ictv.global/taxonomy/taxondetails?taxnode_id=202203140","ictv.global=202203140")</f>
        <v>ictv.global=202203140</v>
      </c>
    </row>
    <row r="6581" spans="1:21">
      <c r="A6581">
        <v>6580</v>
      </c>
      <c r="B6581" s="29" t="s">
        <v>3223</v>
      </c>
      <c r="C6581" s="29"/>
      <c r="D6581" s="29" t="s">
        <v>4156</v>
      </c>
      <c r="E6581" s="29"/>
      <c r="F6581" s="29" t="s">
        <v>4173</v>
      </c>
      <c r="G6581" s="29"/>
      <c r="H6581" s="29" t="s">
        <v>4192</v>
      </c>
      <c r="I6581" s="29"/>
      <c r="J6581" s="29" t="s">
        <v>4193</v>
      </c>
      <c r="K6581" s="29"/>
      <c r="L6581" s="29" t="s">
        <v>851</v>
      </c>
      <c r="M6581" s="29"/>
      <c r="N6581" s="29" t="s">
        <v>1654</v>
      </c>
      <c r="O6581" s="29"/>
      <c r="P6581" s="29" t="s">
        <v>12417</v>
      </c>
      <c r="Q6581" t="s">
        <v>2040</v>
      </c>
      <c r="R6581" t="s">
        <v>2635</v>
      </c>
      <c r="S6581">
        <v>38</v>
      </c>
      <c r="T6581" s="43" t="str">
        <f t="shared" si="301"/>
        <v>2022.007S.Flaviviridae_1genren_sprenamed.zip</v>
      </c>
      <c r="U6581" s="43" t="str">
        <f>HYPERLINK("https://ictv.global/taxonomy/taxondetails?taxnode_id=202203141","ictv.global=202203141")</f>
        <v>ictv.global=202203141</v>
      </c>
    </row>
    <row r="6582" spans="1:21">
      <c r="A6582">
        <v>6581</v>
      </c>
      <c r="B6582" s="29" t="s">
        <v>3223</v>
      </c>
      <c r="C6582" s="29"/>
      <c r="D6582" s="29" t="s">
        <v>4156</v>
      </c>
      <c r="E6582" s="29"/>
      <c r="F6582" s="29" t="s">
        <v>4173</v>
      </c>
      <c r="G6582" s="29"/>
      <c r="H6582" s="29" t="s">
        <v>4192</v>
      </c>
      <c r="I6582" s="29"/>
      <c r="J6582" s="29" t="s">
        <v>4193</v>
      </c>
      <c r="K6582" s="29"/>
      <c r="L6582" s="29" t="s">
        <v>851</v>
      </c>
      <c r="M6582" s="29"/>
      <c r="N6582" s="29" t="s">
        <v>1654</v>
      </c>
      <c r="O6582" s="29"/>
      <c r="P6582" s="29" t="s">
        <v>12418</v>
      </c>
      <c r="Q6582" t="s">
        <v>2040</v>
      </c>
      <c r="R6582" t="s">
        <v>2635</v>
      </c>
      <c r="S6582">
        <v>38</v>
      </c>
      <c r="T6582" s="43" t="str">
        <f t="shared" si="301"/>
        <v>2022.007S.Flaviviridae_1genren_sprenamed.zip</v>
      </c>
      <c r="U6582" s="43" t="str">
        <f>HYPERLINK("https://ictv.global/taxonomy/taxondetails?taxnode_id=202203146","ictv.global=202203146")</f>
        <v>ictv.global=202203146</v>
      </c>
    </row>
    <row r="6583" spans="1:21">
      <c r="A6583">
        <v>6582</v>
      </c>
      <c r="B6583" s="29" t="s">
        <v>3223</v>
      </c>
      <c r="C6583" s="29"/>
      <c r="D6583" s="29" t="s">
        <v>4156</v>
      </c>
      <c r="E6583" s="29"/>
      <c r="F6583" s="29" t="s">
        <v>4173</v>
      </c>
      <c r="G6583" s="29"/>
      <c r="H6583" s="29" t="s">
        <v>4192</v>
      </c>
      <c r="I6583" s="29"/>
      <c r="J6583" s="29" t="s">
        <v>4193</v>
      </c>
      <c r="K6583" s="29"/>
      <c r="L6583" s="29" t="s">
        <v>851</v>
      </c>
      <c r="M6583" s="29"/>
      <c r="N6583" s="29" t="s">
        <v>1654</v>
      </c>
      <c r="O6583" s="29"/>
      <c r="P6583" s="29" t="s">
        <v>12419</v>
      </c>
      <c r="Q6583" t="s">
        <v>2040</v>
      </c>
      <c r="R6583" t="s">
        <v>2635</v>
      </c>
      <c r="S6583">
        <v>38</v>
      </c>
      <c r="T6583" s="43" t="str">
        <f t="shared" si="301"/>
        <v>2022.007S.Flaviviridae_1genren_sprenamed.zip</v>
      </c>
      <c r="U6583" s="43" t="str">
        <f>HYPERLINK("https://ictv.global/taxonomy/taxondetails?taxnode_id=202203148","ictv.global=202203148")</f>
        <v>ictv.global=202203148</v>
      </c>
    </row>
    <row r="6584" spans="1:21">
      <c r="A6584">
        <v>6583</v>
      </c>
      <c r="B6584" s="29" t="s">
        <v>3223</v>
      </c>
      <c r="C6584" s="29"/>
      <c r="D6584" s="29" t="s">
        <v>4156</v>
      </c>
      <c r="E6584" s="29"/>
      <c r="F6584" s="29" t="s">
        <v>4173</v>
      </c>
      <c r="G6584" s="29"/>
      <c r="H6584" s="29" t="s">
        <v>4192</v>
      </c>
      <c r="I6584" s="29"/>
      <c r="J6584" s="29" t="s">
        <v>4193</v>
      </c>
      <c r="K6584" s="29"/>
      <c r="L6584" s="29" t="s">
        <v>851</v>
      </c>
      <c r="M6584" s="29"/>
      <c r="N6584" s="29" t="s">
        <v>1654</v>
      </c>
      <c r="O6584" s="29"/>
      <c r="P6584" s="29" t="s">
        <v>12420</v>
      </c>
      <c r="Q6584" t="s">
        <v>2040</v>
      </c>
      <c r="R6584" t="s">
        <v>2635</v>
      </c>
      <c r="S6584">
        <v>38</v>
      </c>
      <c r="T6584" s="43" t="str">
        <f t="shared" si="301"/>
        <v>2022.007S.Flaviviridae_1genren_sprenamed.zip</v>
      </c>
      <c r="U6584" s="43" t="str">
        <f>HYPERLINK("https://ictv.global/taxonomy/taxondetails?taxnode_id=202203150","ictv.global=202203150")</f>
        <v>ictv.global=202203150</v>
      </c>
    </row>
    <row r="6585" spans="1:21">
      <c r="A6585">
        <v>6584</v>
      </c>
      <c r="B6585" s="29" t="s">
        <v>3223</v>
      </c>
      <c r="C6585" s="29"/>
      <c r="D6585" s="29" t="s">
        <v>4156</v>
      </c>
      <c r="E6585" s="29"/>
      <c r="F6585" s="29" t="s">
        <v>4173</v>
      </c>
      <c r="G6585" s="29"/>
      <c r="H6585" s="29" t="s">
        <v>4192</v>
      </c>
      <c r="I6585" s="29"/>
      <c r="J6585" s="29" t="s">
        <v>4193</v>
      </c>
      <c r="K6585" s="29"/>
      <c r="L6585" s="29" t="s">
        <v>851</v>
      </c>
      <c r="M6585" s="29"/>
      <c r="N6585" s="29" t="s">
        <v>878</v>
      </c>
      <c r="O6585" s="29"/>
      <c r="P6585" s="29" t="s">
        <v>12421</v>
      </c>
      <c r="Q6585" t="s">
        <v>2040</v>
      </c>
      <c r="R6585" t="s">
        <v>2635</v>
      </c>
      <c r="S6585">
        <v>38</v>
      </c>
      <c r="T6585" s="43" t="str">
        <f t="shared" si="301"/>
        <v>2022.007S.Flaviviridae_1genren_sprenamed.zip</v>
      </c>
      <c r="U6585" s="43" t="str">
        <f>HYPERLINK("https://ictv.global/taxonomy/taxondetails?taxnode_id=202205780","ictv.global=202205780")</f>
        <v>ictv.global=202205780</v>
      </c>
    </row>
    <row r="6586" spans="1:21">
      <c r="A6586">
        <v>6585</v>
      </c>
      <c r="B6586" s="29" t="s">
        <v>3223</v>
      </c>
      <c r="C6586" s="29"/>
      <c r="D6586" s="29" t="s">
        <v>4156</v>
      </c>
      <c r="E6586" s="29"/>
      <c r="F6586" s="29" t="s">
        <v>4173</v>
      </c>
      <c r="G6586" s="29"/>
      <c r="H6586" s="29" t="s">
        <v>4192</v>
      </c>
      <c r="I6586" s="29"/>
      <c r="J6586" s="29" t="s">
        <v>4193</v>
      </c>
      <c r="K6586" s="29"/>
      <c r="L6586" s="29" t="s">
        <v>851</v>
      </c>
      <c r="M6586" s="29"/>
      <c r="N6586" s="29" t="s">
        <v>878</v>
      </c>
      <c r="O6586" s="29"/>
      <c r="P6586" s="29" t="s">
        <v>12422</v>
      </c>
      <c r="Q6586" t="s">
        <v>2040</v>
      </c>
      <c r="R6586" t="s">
        <v>2635</v>
      </c>
      <c r="S6586">
        <v>38</v>
      </c>
      <c r="T6586" s="43" t="str">
        <f t="shared" si="301"/>
        <v>2022.007S.Flaviviridae_1genren_sprenamed.zip</v>
      </c>
      <c r="U6586" s="43" t="str">
        <f>HYPERLINK("https://ictv.global/taxonomy/taxondetails?taxnode_id=202205781","ictv.global=202205781")</f>
        <v>ictv.global=202205781</v>
      </c>
    </row>
    <row r="6587" spans="1:21">
      <c r="A6587">
        <v>6586</v>
      </c>
      <c r="B6587" s="29" t="s">
        <v>3223</v>
      </c>
      <c r="C6587" s="29"/>
      <c r="D6587" s="29" t="s">
        <v>4156</v>
      </c>
      <c r="E6587" s="29"/>
      <c r="F6587" s="29" t="s">
        <v>4173</v>
      </c>
      <c r="G6587" s="29"/>
      <c r="H6587" s="29" t="s">
        <v>4192</v>
      </c>
      <c r="I6587" s="29"/>
      <c r="J6587" s="29" t="s">
        <v>4193</v>
      </c>
      <c r="K6587" s="29"/>
      <c r="L6587" s="29" t="s">
        <v>851</v>
      </c>
      <c r="M6587" s="29"/>
      <c r="N6587" s="29" t="s">
        <v>878</v>
      </c>
      <c r="O6587" s="29"/>
      <c r="P6587" s="29" t="s">
        <v>12423</v>
      </c>
      <c r="Q6587" t="s">
        <v>2040</v>
      </c>
      <c r="R6587" t="s">
        <v>2635</v>
      </c>
      <c r="S6587">
        <v>38</v>
      </c>
      <c r="T6587" s="43" t="str">
        <f t="shared" si="301"/>
        <v>2022.007S.Flaviviridae_1genren_sprenamed.zip</v>
      </c>
      <c r="U6587" s="43" t="str">
        <f>HYPERLINK("https://ictv.global/taxonomy/taxondetails?taxnode_id=202205784","ictv.global=202205784")</f>
        <v>ictv.global=202205784</v>
      </c>
    </row>
    <row r="6588" spans="1:21">
      <c r="A6588">
        <v>6587</v>
      </c>
      <c r="B6588" s="29" t="s">
        <v>3223</v>
      </c>
      <c r="C6588" s="29"/>
      <c r="D6588" s="29" t="s">
        <v>4156</v>
      </c>
      <c r="E6588" s="29"/>
      <c r="F6588" s="29" t="s">
        <v>4173</v>
      </c>
      <c r="G6588" s="29"/>
      <c r="H6588" s="29" t="s">
        <v>4192</v>
      </c>
      <c r="I6588" s="29"/>
      <c r="J6588" s="29" t="s">
        <v>4193</v>
      </c>
      <c r="K6588" s="29"/>
      <c r="L6588" s="29" t="s">
        <v>851</v>
      </c>
      <c r="M6588" s="29"/>
      <c r="N6588" s="29" t="s">
        <v>878</v>
      </c>
      <c r="O6588" s="29"/>
      <c r="P6588" s="29" t="s">
        <v>12424</v>
      </c>
      <c r="Q6588" t="s">
        <v>2040</v>
      </c>
      <c r="R6588" t="s">
        <v>2635</v>
      </c>
      <c r="S6588">
        <v>38</v>
      </c>
      <c r="T6588" s="43" t="str">
        <f t="shared" si="301"/>
        <v>2022.007S.Flaviviridae_1genren_sprenamed.zip</v>
      </c>
      <c r="U6588" s="43" t="str">
        <f>HYPERLINK("https://ictv.global/taxonomy/taxondetails?taxnode_id=202203153","ictv.global=202203153")</f>
        <v>ictv.global=202203153</v>
      </c>
    </row>
    <row r="6589" spans="1:21">
      <c r="A6589">
        <v>6588</v>
      </c>
      <c r="B6589" s="29" t="s">
        <v>3223</v>
      </c>
      <c r="C6589" s="29"/>
      <c r="D6589" s="29" t="s">
        <v>4156</v>
      </c>
      <c r="E6589" s="29"/>
      <c r="F6589" s="29" t="s">
        <v>4173</v>
      </c>
      <c r="G6589" s="29"/>
      <c r="H6589" s="29" t="s">
        <v>4192</v>
      </c>
      <c r="I6589" s="29"/>
      <c r="J6589" s="29" t="s">
        <v>4193</v>
      </c>
      <c r="K6589" s="29"/>
      <c r="L6589" s="29" t="s">
        <v>851</v>
      </c>
      <c r="M6589" s="29"/>
      <c r="N6589" s="29" t="s">
        <v>878</v>
      </c>
      <c r="O6589" s="29"/>
      <c r="P6589" s="29" t="s">
        <v>12425</v>
      </c>
      <c r="Q6589" t="s">
        <v>2040</v>
      </c>
      <c r="R6589" t="s">
        <v>2635</v>
      </c>
      <c r="S6589">
        <v>38</v>
      </c>
      <c r="T6589" s="43" t="str">
        <f t="shared" si="301"/>
        <v>2022.007S.Flaviviridae_1genren_sprenamed.zip</v>
      </c>
      <c r="U6589" s="43" t="str">
        <f>HYPERLINK("https://ictv.global/taxonomy/taxondetails?taxnode_id=202205783","ictv.global=202205783")</f>
        <v>ictv.global=202205783</v>
      </c>
    </row>
    <row r="6590" spans="1:21">
      <c r="A6590">
        <v>6589</v>
      </c>
      <c r="B6590" s="29" t="s">
        <v>3223</v>
      </c>
      <c r="C6590" s="29"/>
      <c r="D6590" s="29" t="s">
        <v>4156</v>
      </c>
      <c r="E6590" s="29"/>
      <c r="F6590" s="29" t="s">
        <v>4173</v>
      </c>
      <c r="G6590" s="29"/>
      <c r="H6590" s="29" t="s">
        <v>4192</v>
      </c>
      <c r="I6590" s="29"/>
      <c r="J6590" s="29" t="s">
        <v>4193</v>
      </c>
      <c r="K6590" s="29"/>
      <c r="L6590" s="29" t="s">
        <v>851</v>
      </c>
      <c r="M6590" s="29"/>
      <c r="N6590" s="29" t="s">
        <v>878</v>
      </c>
      <c r="O6590" s="29"/>
      <c r="P6590" s="29" t="s">
        <v>12426</v>
      </c>
      <c r="Q6590" t="s">
        <v>2040</v>
      </c>
      <c r="R6590" t="s">
        <v>2635</v>
      </c>
      <c r="S6590">
        <v>38</v>
      </c>
      <c r="T6590" s="43" t="str">
        <f t="shared" si="301"/>
        <v>2022.007S.Flaviviridae_1genren_sprenamed.zip</v>
      </c>
      <c r="U6590" s="43" t="str">
        <f>HYPERLINK("https://ictv.global/taxonomy/taxondetails?taxnode_id=202205782","ictv.global=202205782")</f>
        <v>ictv.global=202205782</v>
      </c>
    </row>
    <row r="6591" spans="1:21">
      <c r="A6591">
        <v>6590</v>
      </c>
      <c r="B6591" s="29" t="s">
        <v>3223</v>
      </c>
      <c r="C6591" s="29"/>
      <c r="D6591" s="29" t="s">
        <v>4156</v>
      </c>
      <c r="E6591" s="29"/>
      <c r="F6591" s="29" t="s">
        <v>4173</v>
      </c>
      <c r="G6591" s="29"/>
      <c r="H6591" s="29" t="s">
        <v>4192</v>
      </c>
      <c r="I6591" s="29"/>
      <c r="J6591" s="29" t="s">
        <v>4193</v>
      </c>
      <c r="K6591" s="29"/>
      <c r="L6591" s="29" t="s">
        <v>851</v>
      </c>
      <c r="M6591" s="29"/>
      <c r="N6591" s="29" t="s">
        <v>878</v>
      </c>
      <c r="O6591" s="29"/>
      <c r="P6591" s="29" t="s">
        <v>12427</v>
      </c>
      <c r="Q6591" t="s">
        <v>2040</v>
      </c>
      <c r="R6591" t="s">
        <v>2632</v>
      </c>
      <c r="S6591">
        <v>38</v>
      </c>
      <c r="T6591" s="43" t="str">
        <f>HYPERLINK("https://ictv.global/ictv/proposals/2022.002S.Pestivirus_8nsp.zip","2022.002S.Pestivirus_8nsp.zip")</f>
        <v>2022.002S.Pestivirus_8nsp.zip</v>
      </c>
      <c r="U6591" s="43" t="str">
        <f>HYPERLINK("https://ictv.global/taxonomy/taxondetails?taxnode_id=202214004","ictv.global=202214004")</f>
        <v>ictv.global=202214004</v>
      </c>
    </row>
    <row r="6592" spans="1:21">
      <c r="A6592">
        <v>6591</v>
      </c>
      <c r="B6592" s="29" t="s">
        <v>3223</v>
      </c>
      <c r="C6592" s="29"/>
      <c r="D6592" s="29" t="s">
        <v>4156</v>
      </c>
      <c r="E6592" s="29"/>
      <c r="F6592" s="29" t="s">
        <v>4173</v>
      </c>
      <c r="G6592" s="29"/>
      <c r="H6592" s="29" t="s">
        <v>4192</v>
      </c>
      <c r="I6592" s="29"/>
      <c r="J6592" s="29" t="s">
        <v>4193</v>
      </c>
      <c r="K6592" s="29"/>
      <c r="L6592" s="29" t="s">
        <v>851</v>
      </c>
      <c r="M6592" s="29"/>
      <c r="N6592" s="29" t="s">
        <v>878</v>
      </c>
      <c r="O6592" s="29"/>
      <c r="P6592" s="29" t="s">
        <v>12428</v>
      </c>
      <c r="Q6592" t="s">
        <v>2040</v>
      </c>
      <c r="R6592" t="s">
        <v>2632</v>
      </c>
      <c r="S6592">
        <v>38</v>
      </c>
      <c r="T6592" s="43" t="str">
        <f>HYPERLINK("https://ictv.global/ictv/proposals/2022.002S.Pestivirus_8nsp.zip","2022.002S.Pestivirus_8nsp.zip")</f>
        <v>2022.002S.Pestivirus_8nsp.zip</v>
      </c>
      <c r="U6592" s="43" t="str">
        <f>HYPERLINK("https://ictv.global/taxonomy/taxondetails?taxnode_id=202214005","ictv.global=202214005")</f>
        <v>ictv.global=202214005</v>
      </c>
    </row>
    <row r="6593" spans="1:21">
      <c r="A6593">
        <v>6592</v>
      </c>
      <c r="B6593" s="29" t="s">
        <v>3223</v>
      </c>
      <c r="C6593" s="29"/>
      <c r="D6593" s="29" t="s">
        <v>4156</v>
      </c>
      <c r="E6593" s="29"/>
      <c r="F6593" s="29" t="s">
        <v>4173</v>
      </c>
      <c r="G6593" s="29"/>
      <c r="H6593" s="29" t="s">
        <v>4192</v>
      </c>
      <c r="I6593" s="29"/>
      <c r="J6593" s="29" t="s">
        <v>4193</v>
      </c>
      <c r="K6593" s="29"/>
      <c r="L6593" s="29" t="s">
        <v>851</v>
      </c>
      <c r="M6593" s="29"/>
      <c r="N6593" s="29" t="s">
        <v>878</v>
      </c>
      <c r="O6593" s="29"/>
      <c r="P6593" s="29" t="s">
        <v>12429</v>
      </c>
      <c r="Q6593" t="s">
        <v>2040</v>
      </c>
      <c r="R6593" t="s">
        <v>2632</v>
      </c>
      <c r="S6593">
        <v>38</v>
      </c>
      <c r="T6593" s="43" t="str">
        <f>HYPERLINK("https://ictv.global/ictv/proposals/2022.002S.Pestivirus_8nsp.zip","2022.002S.Pestivirus_8nsp.zip")</f>
        <v>2022.002S.Pestivirus_8nsp.zip</v>
      </c>
      <c r="U6593" s="43" t="str">
        <f>HYPERLINK("https://ictv.global/taxonomy/taxondetails?taxnode_id=202214006","ictv.global=202214006")</f>
        <v>ictv.global=202214006</v>
      </c>
    </row>
    <row r="6594" spans="1:21">
      <c r="A6594">
        <v>6593</v>
      </c>
      <c r="B6594" s="29" t="s">
        <v>3223</v>
      </c>
      <c r="C6594" s="29"/>
      <c r="D6594" s="29" t="s">
        <v>4156</v>
      </c>
      <c r="E6594" s="29"/>
      <c r="F6594" s="29" t="s">
        <v>4173</v>
      </c>
      <c r="G6594" s="29"/>
      <c r="H6594" s="29" t="s">
        <v>4192</v>
      </c>
      <c r="I6594" s="29"/>
      <c r="J6594" s="29" t="s">
        <v>4193</v>
      </c>
      <c r="K6594" s="29"/>
      <c r="L6594" s="29" t="s">
        <v>851</v>
      </c>
      <c r="M6594" s="29"/>
      <c r="N6594" s="29" t="s">
        <v>878</v>
      </c>
      <c r="O6594" s="29"/>
      <c r="P6594" s="29" t="s">
        <v>12430</v>
      </c>
      <c r="Q6594" t="s">
        <v>2040</v>
      </c>
      <c r="R6594" t="s">
        <v>2632</v>
      </c>
      <c r="S6594">
        <v>38</v>
      </c>
      <c r="T6594" s="43" t="str">
        <f>HYPERLINK("https://ictv.global/ictv/proposals/2022.002S.Pestivirus_8nsp.zip","2022.002S.Pestivirus_8nsp.zip")</f>
        <v>2022.002S.Pestivirus_8nsp.zip</v>
      </c>
      <c r="U6594" s="43" t="str">
        <f>HYPERLINK("https://ictv.global/taxonomy/taxondetails?taxnode_id=202214007","ictv.global=202214007")</f>
        <v>ictv.global=202214007</v>
      </c>
    </row>
    <row r="6595" spans="1:21">
      <c r="A6595">
        <v>6594</v>
      </c>
      <c r="B6595" s="29" t="s">
        <v>3223</v>
      </c>
      <c r="C6595" s="29"/>
      <c r="D6595" s="29" t="s">
        <v>4156</v>
      </c>
      <c r="E6595" s="29"/>
      <c r="F6595" s="29" t="s">
        <v>4173</v>
      </c>
      <c r="G6595" s="29"/>
      <c r="H6595" s="29" t="s">
        <v>4192</v>
      </c>
      <c r="I6595" s="29"/>
      <c r="J6595" s="29" t="s">
        <v>4193</v>
      </c>
      <c r="K6595" s="29"/>
      <c r="L6595" s="29" t="s">
        <v>851</v>
      </c>
      <c r="M6595" s="29"/>
      <c r="N6595" s="29" t="s">
        <v>878</v>
      </c>
      <c r="O6595" s="29"/>
      <c r="P6595" s="29" t="s">
        <v>12431</v>
      </c>
      <c r="Q6595" t="s">
        <v>2040</v>
      </c>
      <c r="R6595" t="s">
        <v>2635</v>
      </c>
      <c r="S6595">
        <v>38</v>
      </c>
      <c r="T6595" s="43" t="str">
        <f>HYPERLINK("https://ictv.global/ictv/proposals/2022.007S.Flaviviridae_1genren_sprenamed.zip","2022.007S.Flaviviridae_1genren_sprenamed.zip")</f>
        <v>2022.007S.Flaviviridae_1genren_sprenamed.zip</v>
      </c>
      <c r="U6595" s="43" t="str">
        <f>HYPERLINK("https://ictv.global/taxonomy/taxondetails?taxnode_id=202203152","ictv.global=202203152")</f>
        <v>ictv.global=202203152</v>
      </c>
    </row>
    <row r="6596" spans="1:21">
      <c r="A6596">
        <v>6595</v>
      </c>
      <c r="B6596" s="29" t="s">
        <v>3223</v>
      </c>
      <c r="C6596" s="29"/>
      <c r="D6596" s="29" t="s">
        <v>4156</v>
      </c>
      <c r="E6596" s="29"/>
      <c r="F6596" s="29" t="s">
        <v>4173</v>
      </c>
      <c r="G6596" s="29"/>
      <c r="H6596" s="29" t="s">
        <v>4192</v>
      </c>
      <c r="I6596" s="29"/>
      <c r="J6596" s="29" t="s">
        <v>4193</v>
      </c>
      <c r="K6596" s="29"/>
      <c r="L6596" s="29" t="s">
        <v>851</v>
      </c>
      <c r="M6596" s="29"/>
      <c r="N6596" s="29" t="s">
        <v>878</v>
      </c>
      <c r="O6596" s="29"/>
      <c r="P6596" s="29" t="s">
        <v>12432</v>
      </c>
      <c r="Q6596" t="s">
        <v>2040</v>
      </c>
      <c r="R6596" t="s">
        <v>2632</v>
      </c>
      <c r="S6596">
        <v>38</v>
      </c>
      <c r="T6596" s="43" t="str">
        <f>HYPERLINK("https://ictv.global/ictv/proposals/2022.002S.Pestivirus_8nsp.zip","2022.002S.Pestivirus_8nsp.zip")</f>
        <v>2022.002S.Pestivirus_8nsp.zip</v>
      </c>
      <c r="U6596" s="43" t="str">
        <f>HYPERLINK("https://ictv.global/taxonomy/taxondetails?taxnode_id=202214008","ictv.global=202214008")</f>
        <v>ictv.global=202214008</v>
      </c>
    </row>
    <row r="6597" spans="1:21">
      <c r="A6597">
        <v>6596</v>
      </c>
      <c r="B6597" s="29" t="s">
        <v>3223</v>
      </c>
      <c r="C6597" s="29"/>
      <c r="D6597" s="29" t="s">
        <v>4156</v>
      </c>
      <c r="E6597" s="29"/>
      <c r="F6597" s="29" t="s">
        <v>4173</v>
      </c>
      <c r="G6597" s="29"/>
      <c r="H6597" s="29" t="s">
        <v>4192</v>
      </c>
      <c r="I6597" s="29"/>
      <c r="J6597" s="29" t="s">
        <v>4193</v>
      </c>
      <c r="K6597" s="29"/>
      <c r="L6597" s="29" t="s">
        <v>851</v>
      </c>
      <c r="M6597" s="29"/>
      <c r="N6597" s="29" t="s">
        <v>878</v>
      </c>
      <c r="O6597" s="29"/>
      <c r="P6597" s="29" t="s">
        <v>12433</v>
      </c>
      <c r="Q6597" t="s">
        <v>2040</v>
      </c>
      <c r="R6597" t="s">
        <v>2632</v>
      </c>
      <c r="S6597">
        <v>38</v>
      </c>
      <c r="T6597" s="43" t="str">
        <f>HYPERLINK("https://ictv.global/ictv/proposals/2022.002S.Pestivirus_8nsp.zip","2022.002S.Pestivirus_8nsp.zip")</f>
        <v>2022.002S.Pestivirus_8nsp.zip</v>
      </c>
      <c r="U6597" s="43" t="str">
        <f>HYPERLINK("https://ictv.global/taxonomy/taxondetails?taxnode_id=202214009","ictv.global=202214009")</f>
        <v>ictv.global=202214009</v>
      </c>
    </row>
    <row r="6598" spans="1:21">
      <c r="A6598">
        <v>6597</v>
      </c>
      <c r="B6598" s="29" t="s">
        <v>3223</v>
      </c>
      <c r="C6598" s="29"/>
      <c r="D6598" s="29" t="s">
        <v>4156</v>
      </c>
      <c r="E6598" s="29"/>
      <c r="F6598" s="29" t="s">
        <v>4173</v>
      </c>
      <c r="G6598" s="29"/>
      <c r="H6598" s="29" t="s">
        <v>4192</v>
      </c>
      <c r="I6598" s="29"/>
      <c r="J6598" s="29" t="s">
        <v>4193</v>
      </c>
      <c r="K6598" s="29"/>
      <c r="L6598" s="29" t="s">
        <v>851</v>
      </c>
      <c r="M6598" s="29"/>
      <c r="N6598" s="29" t="s">
        <v>878</v>
      </c>
      <c r="O6598" s="29"/>
      <c r="P6598" s="29" t="s">
        <v>12434</v>
      </c>
      <c r="Q6598" t="s">
        <v>2040</v>
      </c>
      <c r="R6598" t="s">
        <v>2632</v>
      </c>
      <c r="S6598">
        <v>38</v>
      </c>
      <c r="T6598" s="43" t="str">
        <f>HYPERLINK("https://ictv.global/ictv/proposals/2022.002S.Pestivirus_8nsp.zip","2022.002S.Pestivirus_8nsp.zip")</f>
        <v>2022.002S.Pestivirus_8nsp.zip</v>
      </c>
      <c r="U6598" s="43" t="str">
        <f>HYPERLINK("https://ictv.global/taxonomy/taxondetails?taxnode_id=202214010","ictv.global=202214010")</f>
        <v>ictv.global=202214010</v>
      </c>
    </row>
    <row r="6599" spans="1:21">
      <c r="A6599">
        <v>6598</v>
      </c>
      <c r="B6599" s="29" t="s">
        <v>3223</v>
      </c>
      <c r="C6599" s="29"/>
      <c r="D6599" s="29" t="s">
        <v>4156</v>
      </c>
      <c r="E6599" s="29"/>
      <c r="F6599" s="29" t="s">
        <v>4173</v>
      </c>
      <c r="G6599" s="29"/>
      <c r="H6599" s="29" t="s">
        <v>4192</v>
      </c>
      <c r="I6599" s="29"/>
      <c r="J6599" s="29" t="s">
        <v>4193</v>
      </c>
      <c r="K6599" s="29"/>
      <c r="L6599" s="29" t="s">
        <v>851</v>
      </c>
      <c r="M6599" s="29"/>
      <c r="N6599" s="29" t="s">
        <v>878</v>
      </c>
      <c r="O6599" s="29"/>
      <c r="P6599" s="29" t="s">
        <v>12435</v>
      </c>
      <c r="Q6599" t="s">
        <v>2040</v>
      </c>
      <c r="R6599" t="s">
        <v>2635</v>
      </c>
      <c r="S6599">
        <v>38</v>
      </c>
      <c r="T6599" s="43" t="str">
        <f>HYPERLINK("https://ictv.global/ictv/proposals/2022.007S.Flaviviridae_1genren_sprenamed.zip","2022.007S.Flaviviridae_1genren_sprenamed.zip")</f>
        <v>2022.007S.Flaviviridae_1genren_sprenamed.zip</v>
      </c>
      <c r="U6599" s="43" t="str">
        <f>HYPERLINK("https://ictv.global/taxonomy/taxondetails?taxnode_id=202205785","ictv.global=202205785")</f>
        <v>ictv.global=202205785</v>
      </c>
    </row>
    <row r="6600" spans="1:21">
      <c r="A6600">
        <v>6599</v>
      </c>
      <c r="B6600" s="29" t="s">
        <v>3223</v>
      </c>
      <c r="C6600" s="29"/>
      <c r="D6600" s="29" t="s">
        <v>4156</v>
      </c>
      <c r="E6600" s="29"/>
      <c r="F6600" s="29" t="s">
        <v>4173</v>
      </c>
      <c r="G6600" s="29"/>
      <c r="H6600" s="29" t="s">
        <v>4192</v>
      </c>
      <c r="I6600" s="29"/>
      <c r="J6600" s="29" t="s">
        <v>4193</v>
      </c>
      <c r="K6600" s="29"/>
      <c r="L6600" s="29" t="s">
        <v>851</v>
      </c>
      <c r="M6600" s="29"/>
      <c r="N6600" s="29" t="s">
        <v>878</v>
      </c>
      <c r="O6600" s="29"/>
      <c r="P6600" s="29" t="s">
        <v>12436</v>
      </c>
      <c r="Q6600" t="s">
        <v>2040</v>
      </c>
      <c r="R6600" t="s">
        <v>2632</v>
      </c>
      <c r="S6600">
        <v>38</v>
      </c>
      <c r="T6600" s="43" t="str">
        <f>HYPERLINK("https://ictv.global/ictv/proposals/2022.002S.Pestivirus_8nsp.zip","2022.002S.Pestivirus_8nsp.zip")</f>
        <v>2022.002S.Pestivirus_8nsp.zip</v>
      </c>
      <c r="U6600" s="43" t="str">
        <f>HYPERLINK("https://ictv.global/taxonomy/taxondetails?taxnode_id=202214011","ictv.global=202214011")</f>
        <v>ictv.global=202214011</v>
      </c>
    </row>
    <row r="6601" spans="1:21">
      <c r="A6601">
        <v>6600</v>
      </c>
      <c r="B6601" s="29" t="s">
        <v>3223</v>
      </c>
      <c r="C6601" s="29"/>
      <c r="D6601" s="29" t="s">
        <v>4156</v>
      </c>
      <c r="E6601" s="29"/>
      <c r="F6601" s="29" t="s">
        <v>4173</v>
      </c>
      <c r="G6601" s="29"/>
      <c r="H6601" s="29" t="s">
        <v>4192</v>
      </c>
      <c r="I6601" s="29"/>
      <c r="J6601" s="29" t="s">
        <v>4193</v>
      </c>
      <c r="K6601" s="29"/>
      <c r="L6601" s="29" t="s">
        <v>851</v>
      </c>
      <c r="M6601" s="29"/>
      <c r="N6601" s="29" t="s">
        <v>878</v>
      </c>
      <c r="O6601" s="29"/>
      <c r="P6601" s="29" t="s">
        <v>12437</v>
      </c>
      <c r="Q6601" t="s">
        <v>2040</v>
      </c>
      <c r="R6601" t="s">
        <v>2635</v>
      </c>
      <c r="S6601">
        <v>38</v>
      </c>
      <c r="T6601" s="43" t="str">
        <f>HYPERLINK("https://ictv.global/ictv/proposals/2022.007S.Flaviviridae_1genren_sprenamed.zip","2022.007S.Flaviviridae_1genren_sprenamed.zip")</f>
        <v>2022.007S.Flaviviridae_1genren_sprenamed.zip</v>
      </c>
      <c r="U6601" s="43" t="str">
        <f>HYPERLINK("https://ictv.global/taxonomy/taxondetails?taxnode_id=202205786","ictv.global=202205786")</f>
        <v>ictv.global=202205786</v>
      </c>
    </row>
    <row r="6602" spans="1:21">
      <c r="A6602">
        <v>6601</v>
      </c>
      <c r="B6602" s="29" t="s">
        <v>3223</v>
      </c>
      <c r="C6602" s="29"/>
      <c r="D6602" s="29" t="s">
        <v>4156</v>
      </c>
      <c r="E6602" s="29"/>
      <c r="F6602" s="29" t="s">
        <v>4173</v>
      </c>
      <c r="G6602" s="29"/>
      <c r="H6602" s="29" t="s">
        <v>4192</v>
      </c>
      <c r="I6602" s="29"/>
      <c r="J6602" s="29" t="s">
        <v>4193</v>
      </c>
      <c r="K6602" s="29"/>
      <c r="L6602" s="29" t="s">
        <v>851</v>
      </c>
      <c r="M6602" s="29"/>
      <c r="N6602" s="29" t="s">
        <v>878</v>
      </c>
      <c r="O6602" s="29"/>
      <c r="P6602" s="29" t="s">
        <v>12438</v>
      </c>
      <c r="Q6602" t="s">
        <v>2040</v>
      </c>
      <c r="R6602" t="s">
        <v>2635</v>
      </c>
      <c r="S6602">
        <v>38</v>
      </c>
      <c r="T6602" s="43" t="str">
        <f>HYPERLINK("https://ictv.global/ictv/proposals/2022.007S.Flaviviridae_1genren_sprenamed.zip","2022.007S.Flaviviridae_1genren_sprenamed.zip")</f>
        <v>2022.007S.Flaviviridae_1genren_sprenamed.zip</v>
      </c>
      <c r="U6602" s="43" t="str">
        <f>HYPERLINK("https://ictv.global/taxonomy/taxondetails?taxnode_id=202203155","ictv.global=202203155")</f>
        <v>ictv.global=202203155</v>
      </c>
    </row>
    <row r="6603" spans="1:21">
      <c r="A6603">
        <v>6602</v>
      </c>
      <c r="B6603" s="29" t="s">
        <v>3223</v>
      </c>
      <c r="C6603" s="29"/>
      <c r="D6603" s="29" t="s">
        <v>4156</v>
      </c>
      <c r="E6603" s="29"/>
      <c r="F6603" s="29" t="s">
        <v>4173</v>
      </c>
      <c r="G6603" s="29"/>
      <c r="H6603" s="29" t="s">
        <v>4192</v>
      </c>
      <c r="I6603" s="29"/>
      <c r="J6603" s="29" t="s">
        <v>4193</v>
      </c>
      <c r="K6603" s="29"/>
      <c r="L6603" s="29" t="s">
        <v>851</v>
      </c>
      <c r="M6603" s="29"/>
      <c r="N6603" s="29" t="s">
        <v>878</v>
      </c>
      <c r="O6603" s="29"/>
      <c r="P6603" s="29" t="s">
        <v>12439</v>
      </c>
      <c r="Q6603" t="s">
        <v>2040</v>
      </c>
      <c r="R6603" t="s">
        <v>2635</v>
      </c>
      <c r="S6603">
        <v>38</v>
      </c>
      <c r="T6603" s="43" t="str">
        <f>HYPERLINK("https://ictv.global/ictv/proposals/2022.007S.Flaviviridae_1genren_sprenamed.zip","2022.007S.Flaviviridae_1genren_sprenamed.zip")</f>
        <v>2022.007S.Flaviviridae_1genren_sprenamed.zip</v>
      </c>
      <c r="U6603" s="43" t="str">
        <f>HYPERLINK("https://ictv.global/taxonomy/taxondetails?taxnode_id=202203154","ictv.global=202203154")</f>
        <v>ictv.global=202203154</v>
      </c>
    </row>
    <row r="6604" spans="1:21">
      <c r="A6604">
        <v>6603</v>
      </c>
      <c r="B6604" s="29" t="s">
        <v>3223</v>
      </c>
      <c r="C6604" s="29"/>
      <c r="D6604" s="29" t="s">
        <v>4156</v>
      </c>
      <c r="E6604" s="29"/>
      <c r="F6604" s="29" t="s">
        <v>4173</v>
      </c>
      <c r="G6604" s="29"/>
      <c r="H6604" s="29" t="s">
        <v>4194</v>
      </c>
      <c r="I6604" s="29"/>
      <c r="J6604" s="29" t="s">
        <v>4195</v>
      </c>
      <c r="K6604" s="29"/>
      <c r="L6604" s="29" t="s">
        <v>824</v>
      </c>
      <c r="M6604" s="29"/>
      <c r="N6604" s="29" t="s">
        <v>825</v>
      </c>
      <c r="O6604" s="29"/>
      <c r="P6604" s="29" t="s">
        <v>826</v>
      </c>
      <c r="Q6604" t="s">
        <v>2040</v>
      </c>
      <c r="R6604" t="s">
        <v>2634</v>
      </c>
      <c r="S6604">
        <v>35</v>
      </c>
      <c r="T6604" s="43" t="str">
        <f>HYPERLINK("https://ictv.global/ictv/proposals/2019.006G.zip","2019.006G.zip")</f>
        <v>2019.006G.zip</v>
      </c>
      <c r="U6604" s="43" t="str">
        <f>HYPERLINK("https://ictv.global/taxonomy/taxondetails?taxnode_id=202203926","ictv.global=202203926")</f>
        <v>ictv.global=202203926</v>
      </c>
    </row>
    <row r="6605" spans="1:21">
      <c r="A6605">
        <v>6604</v>
      </c>
      <c r="B6605" s="29" t="s">
        <v>3223</v>
      </c>
      <c r="C6605" s="29"/>
      <c r="D6605" s="29" t="s">
        <v>4156</v>
      </c>
      <c r="E6605" s="29"/>
      <c r="F6605" s="29" t="s">
        <v>4173</v>
      </c>
      <c r="G6605" s="29"/>
      <c r="H6605" s="29" t="s">
        <v>4194</v>
      </c>
      <c r="I6605" s="29"/>
      <c r="J6605" s="29" t="s">
        <v>4195</v>
      </c>
      <c r="K6605" s="29"/>
      <c r="L6605" s="29" t="s">
        <v>824</v>
      </c>
      <c r="M6605" s="29"/>
      <c r="N6605" s="29" t="s">
        <v>825</v>
      </c>
      <c r="O6605" s="29"/>
      <c r="P6605" s="29" t="s">
        <v>827</v>
      </c>
      <c r="Q6605" t="s">
        <v>2040</v>
      </c>
      <c r="R6605" t="s">
        <v>2634</v>
      </c>
      <c r="S6605">
        <v>35</v>
      </c>
      <c r="T6605" s="43" t="str">
        <f>HYPERLINK("https://ictv.global/ictv/proposals/2019.006G.zip","2019.006G.zip")</f>
        <v>2019.006G.zip</v>
      </c>
      <c r="U6605" s="43" t="str">
        <f>HYPERLINK("https://ictv.global/taxonomy/taxondetails?taxnode_id=202203927","ictv.global=202203927")</f>
        <v>ictv.global=202203927</v>
      </c>
    </row>
    <row r="6606" spans="1:21">
      <c r="A6606">
        <v>6605</v>
      </c>
      <c r="B6606" s="29" t="s">
        <v>3223</v>
      </c>
      <c r="C6606" s="29"/>
      <c r="D6606" s="29" t="s">
        <v>4156</v>
      </c>
      <c r="E6606" s="29"/>
      <c r="F6606" s="29" t="s">
        <v>4173</v>
      </c>
      <c r="G6606" s="29"/>
      <c r="H6606" s="29" t="s">
        <v>4194</v>
      </c>
      <c r="I6606" s="29"/>
      <c r="J6606" s="29" t="s">
        <v>4195</v>
      </c>
      <c r="K6606" s="29"/>
      <c r="L6606" s="29" t="s">
        <v>824</v>
      </c>
      <c r="M6606" s="29"/>
      <c r="N6606" s="29" t="s">
        <v>825</v>
      </c>
      <c r="O6606" s="29"/>
      <c r="P6606" s="29" t="s">
        <v>828</v>
      </c>
      <c r="Q6606" t="s">
        <v>2040</v>
      </c>
      <c r="R6606" t="s">
        <v>2634</v>
      </c>
      <c r="S6606">
        <v>35</v>
      </c>
      <c r="T6606" s="43" t="str">
        <f>HYPERLINK("https://ictv.global/ictv/proposals/2019.006G.zip","2019.006G.zip")</f>
        <v>2019.006G.zip</v>
      </c>
      <c r="U6606" s="43" t="str">
        <f>HYPERLINK("https://ictv.global/taxonomy/taxondetails?taxnode_id=202203928","ictv.global=202203928")</f>
        <v>ictv.global=202203928</v>
      </c>
    </row>
    <row r="6607" spans="1:21">
      <c r="A6607">
        <v>6606</v>
      </c>
      <c r="B6607" s="29" t="s">
        <v>3223</v>
      </c>
      <c r="C6607" s="29"/>
      <c r="D6607" s="29" t="s">
        <v>4156</v>
      </c>
      <c r="E6607" s="29"/>
      <c r="F6607" s="29" t="s">
        <v>4173</v>
      </c>
      <c r="G6607" s="29"/>
      <c r="H6607" s="29" t="s">
        <v>4194</v>
      </c>
      <c r="I6607" s="29"/>
      <c r="J6607" s="29" t="s">
        <v>4195</v>
      </c>
      <c r="K6607" s="29"/>
      <c r="L6607" s="29" t="s">
        <v>824</v>
      </c>
      <c r="M6607" s="29"/>
      <c r="N6607" s="29" t="s">
        <v>825</v>
      </c>
      <c r="O6607" s="29"/>
      <c r="P6607" s="29" t="s">
        <v>829</v>
      </c>
      <c r="Q6607" t="s">
        <v>2040</v>
      </c>
      <c r="R6607" t="s">
        <v>6901</v>
      </c>
      <c r="S6607">
        <v>36</v>
      </c>
      <c r="T6607" s="43" t="str">
        <f>HYPERLINK("https://ictv.global/ictv/proposals/2020.001G.R.Abolish_type_species.pdf","2020.001G.R.Abolish_type_species.pdf")</f>
        <v>2020.001G.R.Abolish_type_species.pdf</v>
      </c>
      <c r="U6607" s="43" t="str">
        <f>HYPERLINK("https://ictv.global/taxonomy/taxondetails?taxnode_id=202203929","ictv.global=202203929")</f>
        <v>ictv.global=202203929</v>
      </c>
    </row>
    <row r="6608" spans="1:21">
      <c r="A6608">
        <v>6607</v>
      </c>
      <c r="B6608" s="29" t="s">
        <v>3223</v>
      </c>
      <c r="C6608" s="29"/>
      <c r="D6608" s="29" t="s">
        <v>4156</v>
      </c>
      <c r="E6608" s="29"/>
      <c r="F6608" s="29" t="s">
        <v>4173</v>
      </c>
      <c r="G6608" s="29"/>
      <c r="H6608" s="29" t="s">
        <v>4194</v>
      </c>
      <c r="I6608" s="29"/>
      <c r="J6608" s="29" t="s">
        <v>4195</v>
      </c>
      <c r="K6608" s="29"/>
      <c r="L6608" s="29" t="s">
        <v>824</v>
      </c>
      <c r="M6608" s="29"/>
      <c r="N6608" s="29" t="s">
        <v>825</v>
      </c>
      <c r="O6608" s="29"/>
      <c r="P6608" s="29" t="s">
        <v>830</v>
      </c>
      <c r="Q6608" t="s">
        <v>2040</v>
      </c>
      <c r="R6608" t="s">
        <v>2634</v>
      </c>
      <c r="S6608">
        <v>35</v>
      </c>
      <c r="T6608" s="43" t="str">
        <f>HYPERLINK("https://ictv.global/ictv/proposals/2019.006G.zip","2019.006G.zip")</f>
        <v>2019.006G.zip</v>
      </c>
      <c r="U6608" s="43" t="str">
        <f>HYPERLINK("https://ictv.global/taxonomy/taxondetails?taxnode_id=202203930","ictv.global=202203930")</f>
        <v>ictv.global=202203930</v>
      </c>
    </row>
    <row r="6609" spans="1:21">
      <c r="A6609">
        <v>6608</v>
      </c>
      <c r="B6609" s="29" t="s">
        <v>3223</v>
      </c>
      <c r="C6609" s="29"/>
      <c r="D6609" s="29" t="s">
        <v>4156</v>
      </c>
      <c r="E6609" s="29"/>
      <c r="F6609" s="29" t="s">
        <v>4173</v>
      </c>
      <c r="G6609" s="29"/>
      <c r="H6609" s="29" t="s">
        <v>4194</v>
      </c>
      <c r="I6609" s="29"/>
      <c r="J6609" s="29" t="s">
        <v>4195</v>
      </c>
      <c r="K6609" s="29"/>
      <c r="L6609" s="29" t="s">
        <v>824</v>
      </c>
      <c r="M6609" s="29"/>
      <c r="N6609" s="29" t="s">
        <v>831</v>
      </c>
      <c r="O6609" s="29"/>
      <c r="P6609" s="29" t="s">
        <v>832</v>
      </c>
      <c r="Q6609" t="s">
        <v>2040</v>
      </c>
      <c r="R6609" t="s">
        <v>2634</v>
      </c>
      <c r="S6609">
        <v>35</v>
      </c>
      <c r="T6609" s="43" t="str">
        <f>HYPERLINK("https://ictv.global/ictv/proposals/2019.006G.zip","2019.006G.zip")</f>
        <v>2019.006G.zip</v>
      </c>
      <c r="U6609" s="43" t="str">
        <f>HYPERLINK("https://ictv.global/taxonomy/taxondetails?taxnode_id=202203932","ictv.global=202203932")</f>
        <v>ictv.global=202203932</v>
      </c>
    </row>
    <row r="6610" spans="1:21">
      <c r="A6610">
        <v>6609</v>
      </c>
      <c r="B6610" s="29" t="s">
        <v>3223</v>
      </c>
      <c r="C6610" s="29"/>
      <c r="D6610" s="29" t="s">
        <v>4156</v>
      </c>
      <c r="E6610" s="29"/>
      <c r="F6610" s="29" t="s">
        <v>4173</v>
      </c>
      <c r="G6610" s="29"/>
      <c r="H6610" s="29" t="s">
        <v>4194</v>
      </c>
      <c r="I6610" s="29"/>
      <c r="J6610" s="29" t="s">
        <v>4195</v>
      </c>
      <c r="K6610" s="29"/>
      <c r="L6610" s="29" t="s">
        <v>824</v>
      </c>
      <c r="M6610" s="29"/>
      <c r="N6610" s="29" t="s">
        <v>831</v>
      </c>
      <c r="O6610" s="29"/>
      <c r="P6610" s="29" t="s">
        <v>1213</v>
      </c>
      <c r="Q6610" t="s">
        <v>2040</v>
      </c>
      <c r="R6610" t="s">
        <v>2634</v>
      </c>
      <c r="S6610">
        <v>35</v>
      </c>
      <c r="T6610" s="43" t="str">
        <f>HYPERLINK("https://ictv.global/ictv/proposals/2019.006G.zip","2019.006G.zip")</f>
        <v>2019.006G.zip</v>
      </c>
      <c r="U6610" s="43" t="str">
        <f>HYPERLINK("https://ictv.global/taxonomy/taxondetails?taxnode_id=202203933","ictv.global=202203933")</f>
        <v>ictv.global=202203933</v>
      </c>
    </row>
    <row r="6611" spans="1:21">
      <c r="A6611">
        <v>6610</v>
      </c>
      <c r="B6611" s="29" t="s">
        <v>3223</v>
      </c>
      <c r="C6611" s="29"/>
      <c r="D6611" s="29" t="s">
        <v>4156</v>
      </c>
      <c r="E6611" s="29"/>
      <c r="F6611" s="29" t="s">
        <v>4173</v>
      </c>
      <c r="G6611" s="29"/>
      <c r="H6611" s="29" t="s">
        <v>4194</v>
      </c>
      <c r="I6611" s="29"/>
      <c r="J6611" s="29" t="s">
        <v>4195</v>
      </c>
      <c r="K6611" s="29"/>
      <c r="L6611" s="29" t="s">
        <v>824</v>
      </c>
      <c r="M6611" s="29"/>
      <c r="N6611" s="29" t="s">
        <v>831</v>
      </c>
      <c r="O6611" s="29"/>
      <c r="P6611" s="29" t="s">
        <v>1214</v>
      </c>
      <c r="Q6611" t="s">
        <v>2040</v>
      </c>
      <c r="R6611" t="s">
        <v>6901</v>
      </c>
      <c r="S6611">
        <v>36</v>
      </c>
      <c r="T6611" s="43" t="str">
        <f>HYPERLINK("https://ictv.global/ictv/proposals/2020.001G.R.Abolish_type_species.pdf","2020.001G.R.Abolish_type_species.pdf")</f>
        <v>2020.001G.R.Abolish_type_species.pdf</v>
      </c>
      <c r="U6611" s="43" t="str">
        <f>HYPERLINK("https://ictv.global/taxonomy/taxondetails?taxnode_id=202203934","ictv.global=202203934")</f>
        <v>ictv.global=202203934</v>
      </c>
    </row>
    <row r="6612" spans="1:21">
      <c r="A6612">
        <v>6611</v>
      </c>
      <c r="B6612" s="29" t="s">
        <v>3223</v>
      </c>
      <c r="C6612" s="29"/>
      <c r="D6612" s="29" t="s">
        <v>4156</v>
      </c>
      <c r="E6612" s="29"/>
      <c r="F6612" s="29" t="s">
        <v>4173</v>
      </c>
      <c r="G6612" s="29"/>
      <c r="H6612" s="29" t="s">
        <v>4194</v>
      </c>
      <c r="I6612" s="29"/>
      <c r="J6612" s="29" t="s">
        <v>4195</v>
      </c>
      <c r="K6612" s="29"/>
      <c r="L6612" s="29" t="s">
        <v>824</v>
      </c>
      <c r="M6612" s="29"/>
      <c r="N6612" s="29" t="s">
        <v>831</v>
      </c>
      <c r="O6612" s="29"/>
      <c r="P6612" s="29" t="s">
        <v>1215</v>
      </c>
      <c r="Q6612" t="s">
        <v>2040</v>
      </c>
      <c r="R6612" t="s">
        <v>2634</v>
      </c>
      <c r="S6612">
        <v>35</v>
      </c>
      <c r="T6612" s="43" t="str">
        <f>HYPERLINK("https://ictv.global/ictv/proposals/2019.006G.zip","2019.006G.zip")</f>
        <v>2019.006G.zip</v>
      </c>
      <c r="U6612" s="43" t="str">
        <f>HYPERLINK("https://ictv.global/taxonomy/taxondetails?taxnode_id=202203935","ictv.global=202203935")</f>
        <v>ictv.global=202203935</v>
      </c>
    </row>
    <row r="6613" spans="1:21">
      <c r="A6613">
        <v>6612</v>
      </c>
      <c r="B6613" s="29" t="s">
        <v>3223</v>
      </c>
      <c r="C6613" s="29"/>
      <c r="D6613" s="29" t="s">
        <v>4156</v>
      </c>
      <c r="E6613" s="29"/>
      <c r="F6613" s="29" t="s">
        <v>4173</v>
      </c>
      <c r="G6613" s="29"/>
      <c r="H6613" s="29" t="s">
        <v>4194</v>
      </c>
      <c r="I6613" s="29"/>
      <c r="J6613" s="29" t="s">
        <v>4195</v>
      </c>
      <c r="K6613" s="29"/>
      <c r="L6613" s="29" t="s">
        <v>4196</v>
      </c>
      <c r="M6613" s="29"/>
      <c r="N6613" s="29" t="s">
        <v>2343</v>
      </c>
      <c r="O6613" s="29"/>
      <c r="P6613" s="29" t="s">
        <v>2344</v>
      </c>
      <c r="Q6613" t="s">
        <v>2040</v>
      </c>
      <c r="R6613" t="s">
        <v>2634</v>
      </c>
      <c r="S6613">
        <v>35</v>
      </c>
      <c r="T6613" s="43" t="str">
        <f>HYPERLINK("https://ictv.global/ictv/proposals/2019.006G.zip","2019.006G.zip")</f>
        <v>2019.006G.zip</v>
      </c>
      <c r="U6613" s="43" t="str">
        <f>HYPERLINK("https://ictv.global/taxonomy/taxondetails?taxnode_id=202205368","ictv.global=202205368")</f>
        <v>ictv.global=202205368</v>
      </c>
    </row>
    <row r="6614" spans="1:21">
      <c r="A6614">
        <v>6613</v>
      </c>
      <c r="B6614" s="29" t="s">
        <v>3223</v>
      </c>
      <c r="C6614" s="29"/>
      <c r="D6614" s="29" t="s">
        <v>4156</v>
      </c>
      <c r="E6614" s="29"/>
      <c r="F6614" s="29" t="s">
        <v>4173</v>
      </c>
      <c r="G6614" s="29"/>
      <c r="H6614" s="29" t="s">
        <v>4194</v>
      </c>
      <c r="I6614" s="29"/>
      <c r="J6614" s="29" t="s">
        <v>4195</v>
      </c>
      <c r="K6614" s="29"/>
      <c r="L6614" s="29" t="s">
        <v>4196</v>
      </c>
      <c r="M6614" s="29"/>
      <c r="N6614" s="29" t="s">
        <v>2343</v>
      </c>
      <c r="O6614" s="29"/>
      <c r="P6614" s="29" t="s">
        <v>2345</v>
      </c>
      <c r="Q6614" t="s">
        <v>2040</v>
      </c>
      <c r="R6614" t="s">
        <v>6901</v>
      </c>
      <c r="S6614">
        <v>36</v>
      </c>
      <c r="T6614" s="43" t="str">
        <f>HYPERLINK("https://ictv.global/ictv/proposals/2020.001G.R.Abolish_type_species.pdf","2020.001G.R.Abolish_type_species.pdf")</f>
        <v>2020.001G.R.Abolish_type_species.pdf</v>
      </c>
      <c r="U6614" s="43" t="str">
        <f>HYPERLINK("https://ictv.global/taxonomy/taxondetails?taxnode_id=202205369","ictv.global=202205369")</f>
        <v>ictv.global=202205369</v>
      </c>
    </row>
    <row r="6615" spans="1:21">
      <c r="A6615">
        <v>6614</v>
      </c>
      <c r="B6615" s="29" t="s">
        <v>3223</v>
      </c>
      <c r="C6615" s="29"/>
      <c r="D6615" s="29" t="s">
        <v>4156</v>
      </c>
      <c r="E6615" s="29"/>
      <c r="F6615" s="29" t="s">
        <v>4173</v>
      </c>
      <c r="G6615" s="29"/>
      <c r="H6615" s="29" t="s">
        <v>4197</v>
      </c>
      <c r="I6615" s="29"/>
      <c r="J6615" s="29" t="s">
        <v>4198</v>
      </c>
      <c r="K6615" s="29"/>
      <c r="L6615" s="29" t="s">
        <v>46</v>
      </c>
      <c r="M6615" s="29"/>
      <c r="N6615" s="29" t="s">
        <v>47</v>
      </c>
      <c r="O6615" s="29"/>
      <c r="P6615" s="29" t="s">
        <v>1168</v>
      </c>
      <c r="Q6615" t="s">
        <v>2040</v>
      </c>
      <c r="R6615" t="s">
        <v>6901</v>
      </c>
      <c r="S6615">
        <v>36</v>
      </c>
      <c r="T6615" s="43" t="str">
        <f>HYPERLINK("https://ictv.global/ictv/proposals/2020.001G.R.Abolish_type_species.pdf","2020.001G.R.Abolish_type_species.pdf")</f>
        <v>2020.001G.R.Abolish_type_species.pdf</v>
      </c>
      <c r="U6615" s="43" t="str">
        <f>HYPERLINK("https://ictv.global/taxonomy/taxondetails?taxnode_id=202202815","ictv.global=202202815")</f>
        <v>ictv.global=202202815</v>
      </c>
    </row>
    <row r="6616" spans="1:21">
      <c r="A6616">
        <v>6615</v>
      </c>
      <c r="B6616" s="29" t="s">
        <v>3223</v>
      </c>
      <c r="C6616" s="29"/>
      <c r="D6616" s="29" t="s">
        <v>4156</v>
      </c>
      <c r="E6616" s="29"/>
      <c r="F6616" s="29" t="s">
        <v>4173</v>
      </c>
      <c r="G6616" s="29"/>
      <c r="H6616" s="29" t="s">
        <v>4197</v>
      </c>
      <c r="I6616" s="29"/>
      <c r="J6616" s="29" t="s">
        <v>4198</v>
      </c>
      <c r="K6616" s="29"/>
      <c r="L6616" s="29" t="s">
        <v>603</v>
      </c>
      <c r="M6616" s="29" t="s">
        <v>3358</v>
      </c>
      <c r="N6616" s="29" t="s">
        <v>1275</v>
      </c>
      <c r="O6616" s="29"/>
      <c r="P6616" s="29" t="s">
        <v>12440</v>
      </c>
      <c r="Q6616" t="s">
        <v>2040</v>
      </c>
      <c r="R6616" t="s">
        <v>2635</v>
      </c>
      <c r="S6616">
        <v>38</v>
      </c>
      <c r="T6616" s="43" t="str">
        <f t="shared" ref="T6616:T6647" si="302">HYPERLINK("https://ictv.global/ictv/proposals/2022.015P.Tombusviridae_rename.zip","2022.015P.Tombusviridae_rename.zip")</f>
        <v>2022.015P.Tombusviridae_rename.zip</v>
      </c>
      <c r="U6616" s="43" t="str">
        <f>HYPERLINK("https://ictv.global/taxonomy/taxondetails?taxnode_id=202205270","ictv.global=202205270")</f>
        <v>ictv.global=202205270</v>
      </c>
    </row>
    <row r="6617" spans="1:21">
      <c r="A6617">
        <v>6616</v>
      </c>
      <c r="B6617" s="29" t="s">
        <v>3223</v>
      </c>
      <c r="C6617" s="29"/>
      <c r="D6617" s="29" t="s">
        <v>4156</v>
      </c>
      <c r="E6617" s="29"/>
      <c r="F6617" s="29" t="s">
        <v>4173</v>
      </c>
      <c r="G6617" s="29"/>
      <c r="H6617" s="29" t="s">
        <v>4197</v>
      </c>
      <c r="I6617" s="29"/>
      <c r="J6617" s="29" t="s">
        <v>4198</v>
      </c>
      <c r="K6617" s="29"/>
      <c r="L6617" s="29" t="s">
        <v>603</v>
      </c>
      <c r="M6617" s="29" t="s">
        <v>3358</v>
      </c>
      <c r="N6617" s="29" t="s">
        <v>1275</v>
      </c>
      <c r="O6617" s="29"/>
      <c r="P6617" s="29" t="s">
        <v>12441</v>
      </c>
      <c r="Q6617" t="s">
        <v>2040</v>
      </c>
      <c r="R6617" t="s">
        <v>2635</v>
      </c>
      <c r="S6617">
        <v>38</v>
      </c>
      <c r="T6617" s="43" t="str">
        <f t="shared" si="302"/>
        <v>2022.015P.Tombusviridae_rename.zip</v>
      </c>
      <c r="U6617" s="43" t="str">
        <f>HYPERLINK("https://ictv.global/taxonomy/taxondetails?taxnode_id=202205267","ictv.global=202205267")</f>
        <v>ictv.global=202205267</v>
      </c>
    </row>
    <row r="6618" spans="1:21">
      <c r="A6618">
        <v>6617</v>
      </c>
      <c r="B6618" s="29" t="s">
        <v>3223</v>
      </c>
      <c r="C6618" s="29"/>
      <c r="D6618" s="29" t="s">
        <v>4156</v>
      </c>
      <c r="E6618" s="29"/>
      <c r="F6618" s="29" t="s">
        <v>4173</v>
      </c>
      <c r="G6618" s="29"/>
      <c r="H6618" s="29" t="s">
        <v>4197</v>
      </c>
      <c r="I6618" s="29"/>
      <c r="J6618" s="29" t="s">
        <v>4198</v>
      </c>
      <c r="K6618" s="29"/>
      <c r="L6618" s="29" t="s">
        <v>603</v>
      </c>
      <c r="M6618" s="29" t="s">
        <v>3358</v>
      </c>
      <c r="N6618" s="29" t="s">
        <v>1275</v>
      </c>
      <c r="O6618" s="29"/>
      <c r="P6618" s="29" t="s">
        <v>12442</v>
      </c>
      <c r="Q6618" t="s">
        <v>2040</v>
      </c>
      <c r="R6618" t="s">
        <v>2635</v>
      </c>
      <c r="S6618">
        <v>38</v>
      </c>
      <c r="T6618" s="43" t="str">
        <f t="shared" si="302"/>
        <v>2022.015P.Tombusviridae_rename.zip</v>
      </c>
      <c r="U6618" s="43" t="str">
        <f>HYPERLINK("https://ictv.global/taxonomy/taxondetails?taxnode_id=202205269","ictv.global=202205269")</f>
        <v>ictv.global=202205269</v>
      </c>
    </row>
    <row r="6619" spans="1:21">
      <c r="A6619">
        <v>6618</v>
      </c>
      <c r="B6619" s="29" t="s">
        <v>3223</v>
      </c>
      <c r="C6619" s="29"/>
      <c r="D6619" s="29" t="s">
        <v>4156</v>
      </c>
      <c r="E6619" s="29"/>
      <c r="F6619" s="29" t="s">
        <v>4173</v>
      </c>
      <c r="G6619" s="29"/>
      <c r="H6619" s="29" t="s">
        <v>4197</v>
      </c>
      <c r="I6619" s="29"/>
      <c r="J6619" s="29" t="s">
        <v>4198</v>
      </c>
      <c r="K6619" s="29"/>
      <c r="L6619" s="29" t="s">
        <v>603</v>
      </c>
      <c r="M6619" s="29" t="s">
        <v>3358</v>
      </c>
      <c r="N6619" s="29" t="s">
        <v>1275</v>
      </c>
      <c r="O6619" s="29"/>
      <c r="P6619" s="29" t="s">
        <v>12443</v>
      </c>
      <c r="Q6619" t="s">
        <v>2040</v>
      </c>
      <c r="R6619" t="s">
        <v>2635</v>
      </c>
      <c r="S6619">
        <v>38</v>
      </c>
      <c r="T6619" s="43" t="str">
        <f t="shared" si="302"/>
        <v>2022.015P.Tombusviridae_rename.zip</v>
      </c>
      <c r="U6619" s="43" t="str">
        <f>HYPERLINK("https://ictv.global/taxonomy/taxondetails?taxnode_id=202209878","ictv.global=202209878")</f>
        <v>ictv.global=202209878</v>
      </c>
    </row>
    <row r="6620" spans="1:21">
      <c r="A6620">
        <v>6619</v>
      </c>
      <c r="B6620" s="29" t="s">
        <v>3223</v>
      </c>
      <c r="C6620" s="29"/>
      <c r="D6620" s="29" t="s">
        <v>4156</v>
      </c>
      <c r="E6620" s="29"/>
      <c r="F6620" s="29" t="s">
        <v>4173</v>
      </c>
      <c r="G6620" s="29"/>
      <c r="H6620" s="29" t="s">
        <v>4197</v>
      </c>
      <c r="I6620" s="29"/>
      <c r="J6620" s="29" t="s">
        <v>4198</v>
      </c>
      <c r="K6620" s="29"/>
      <c r="L6620" s="29" t="s">
        <v>603</v>
      </c>
      <c r="M6620" s="29" t="s">
        <v>3358</v>
      </c>
      <c r="N6620" s="29" t="s">
        <v>1275</v>
      </c>
      <c r="O6620" s="29"/>
      <c r="P6620" s="29" t="s">
        <v>12444</v>
      </c>
      <c r="Q6620" t="s">
        <v>2040</v>
      </c>
      <c r="R6620" t="s">
        <v>2635</v>
      </c>
      <c r="S6620">
        <v>38</v>
      </c>
      <c r="T6620" s="43" t="str">
        <f t="shared" si="302"/>
        <v>2022.015P.Tombusviridae_rename.zip</v>
      </c>
      <c r="U6620" s="43" t="str">
        <f>HYPERLINK("https://ictv.global/taxonomy/taxondetails?taxnode_id=202205271","ictv.global=202205271")</f>
        <v>ictv.global=202205271</v>
      </c>
    </row>
    <row r="6621" spans="1:21">
      <c r="A6621">
        <v>6620</v>
      </c>
      <c r="B6621" s="29" t="s">
        <v>3223</v>
      </c>
      <c r="C6621" s="29"/>
      <c r="D6621" s="29" t="s">
        <v>4156</v>
      </c>
      <c r="E6621" s="29"/>
      <c r="F6621" s="29" t="s">
        <v>4173</v>
      </c>
      <c r="G6621" s="29"/>
      <c r="H6621" s="29" t="s">
        <v>4197</v>
      </c>
      <c r="I6621" s="29"/>
      <c r="J6621" s="29" t="s">
        <v>4198</v>
      </c>
      <c r="K6621" s="29"/>
      <c r="L6621" s="29" t="s">
        <v>603</v>
      </c>
      <c r="M6621" s="29" t="s">
        <v>3358</v>
      </c>
      <c r="N6621" s="29" t="s">
        <v>1275</v>
      </c>
      <c r="O6621" s="29"/>
      <c r="P6621" s="29" t="s">
        <v>12445</v>
      </c>
      <c r="Q6621" t="s">
        <v>2040</v>
      </c>
      <c r="R6621" t="s">
        <v>2635</v>
      </c>
      <c r="S6621">
        <v>38</v>
      </c>
      <c r="T6621" s="43" t="str">
        <f t="shared" si="302"/>
        <v>2022.015P.Tombusviridae_rename.zip</v>
      </c>
      <c r="U6621" s="43" t="str">
        <f>HYPERLINK("https://ictv.global/taxonomy/taxondetails?taxnode_id=202205268","ictv.global=202205268")</f>
        <v>ictv.global=202205268</v>
      </c>
    </row>
    <row r="6622" spans="1:21">
      <c r="A6622">
        <v>6621</v>
      </c>
      <c r="B6622" s="29" t="s">
        <v>3223</v>
      </c>
      <c r="C6622" s="29"/>
      <c r="D6622" s="29" t="s">
        <v>4156</v>
      </c>
      <c r="E6622" s="29"/>
      <c r="F6622" s="29" t="s">
        <v>4173</v>
      </c>
      <c r="G6622" s="29"/>
      <c r="H6622" s="29" t="s">
        <v>4197</v>
      </c>
      <c r="I6622" s="29"/>
      <c r="J6622" s="29" t="s">
        <v>4198</v>
      </c>
      <c r="K6622" s="29"/>
      <c r="L6622" s="29" t="s">
        <v>603</v>
      </c>
      <c r="M6622" s="29" t="s">
        <v>3358</v>
      </c>
      <c r="N6622" s="29" t="s">
        <v>1275</v>
      </c>
      <c r="O6622" s="29"/>
      <c r="P6622" s="29" t="s">
        <v>12446</v>
      </c>
      <c r="Q6622" t="s">
        <v>2040</v>
      </c>
      <c r="R6622" t="s">
        <v>2635</v>
      </c>
      <c r="S6622">
        <v>38</v>
      </c>
      <c r="T6622" s="43" t="str">
        <f t="shared" si="302"/>
        <v>2022.015P.Tombusviridae_rename.zip</v>
      </c>
      <c r="U6622" s="43" t="str">
        <f>HYPERLINK("https://ictv.global/taxonomy/taxondetails?taxnode_id=202205275","ictv.global=202205275")</f>
        <v>ictv.global=202205275</v>
      </c>
    </row>
    <row r="6623" spans="1:21">
      <c r="A6623">
        <v>6622</v>
      </c>
      <c r="B6623" s="29" t="s">
        <v>3223</v>
      </c>
      <c r="C6623" s="29"/>
      <c r="D6623" s="29" t="s">
        <v>4156</v>
      </c>
      <c r="E6623" s="29"/>
      <c r="F6623" s="29" t="s">
        <v>4173</v>
      </c>
      <c r="G6623" s="29"/>
      <c r="H6623" s="29" t="s">
        <v>4197</v>
      </c>
      <c r="I6623" s="29"/>
      <c r="J6623" s="29" t="s">
        <v>4198</v>
      </c>
      <c r="K6623" s="29"/>
      <c r="L6623" s="29" t="s">
        <v>603</v>
      </c>
      <c r="M6623" s="29" t="s">
        <v>3358</v>
      </c>
      <c r="N6623" s="29" t="s">
        <v>1275</v>
      </c>
      <c r="O6623" s="29"/>
      <c r="P6623" s="29" t="s">
        <v>12447</v>
      </c>
      <c r="Q6623" t="s">
        <v>2040</v>
      </c>
      <c r="R6623" t="s">
        <v>2635</v>
      </c>
      <c r="S6623">
        <v>38</v>
      </c>
      <c r="T6623" s="43" t="str">
        <f t="shared" si="302"/>
        <v>2022.015P.Tombusviridae_rename.zip</v>
      </c>
      <c r="U6623" s="43" t="str">
        <f>HYPERLINK("https://ictv.global/taxonomy/taxondetails?taxnode_id=202205274","ictv.global=202205274")</f>
        <v>ictv.global=202205274</v>
      </c>
    </row>
    <row r="6624" spans="1:21">
      <c r="A6624">
        <v>6623</v>
      </c>
      <c r="B6624" s="29" t="s">
        <v>3223</v>
      </c>
      <c r="C6624" s="29"/>
      <c r="D6624" s="29" t="s">
        <v>4156</v>
      </c>
      <c r="E6624" s="29"/>
      <c r="F6624" s="29" t="s">
        <v>4173</v>
      </c>
      <c r="G6624" s="29"/>
      <c r="H6624" s="29" t="s">
        <v>4197</v>
      </c>
      <c r="I6624" s="29"/>
      <c r="J6624" s="29" t="s">
        <v>4198</v>
      </c>
      <c r="K6624" s="29"/>
      <c r="L6624" s="29" t="s">
        <v>603</v>
      </c>
      <c r="M6624" s="29" t="s">
        <v>3358</v>
      </c>
      <c r="N6624" s="29" t="s">
        <v>1275</v>
      </c>
      <c r="O6624" s="29"/>
      <c r="P6624" s="29" t="s">
        <v>12448</v>
      </c>
      <c r="Q6624" t="s">
        <v>2040</v>
      </c>
      <c r="R6624" t="s">
        <v>2635</v>
      </c>
      <c r="S6624">
        <v>38</v>
      </c>
      <c r="T6624" s="43" t="str">
        <f t="shared" si="302"/>
        <v>2022.015P.Tombusviridae_rename.zip</v>
      </c>
      <c r="U6624" s="43" t="str">
        <f>HYPERLINK("https://ictv.global/taxonomy/taxondetails?taxnode_id=202205272","ictv.global=202205272")</f>
        <v>ictv.global=202205272</v>
      </c>
    </row>
    <row r="6625" spans="1:21">
      <c r="A6625">
        <v>6624</v>
      </c>
      <c r="B6625" s="29" t="s">
        <v>3223</v>
      </c>
      <c r="C6625" s="29"/>
      <c r="D6625" s="29" t="s">
        <v>4156</v>
      </c>
      <c r="E6625" s="29"/>
      <c r="F6625" s="29" t="s">
        <v>4173</v>
      </c>
      <c r="G6625" s="29"/>
      <c r="H6625" s="29" t="s">
        <v>4197</v>
      </c>
      <c r="I6625" s="29"/>
      <c r="J6625" s="29" t="s">
        <v>4198</v>
      </c>
      <c r="K6625" s="29"/>
      <c r="L6625" s="29" t="s">
        <v>603</v>
      </c>
      <c r="M6625" s="29" t="s">
        <v>3358</v>
      </c>
      <c r="N6625" s="29" t="s">
        <v>1275</v>
      </c>
      <c r="O6625" s="29"/>
      <c r="P6625" s="29" t="s">
        <v>12449</v>
      </c>
      <c r="Q6625" t="s">
        <v>2040</v>
      </c>
      <c r="R6625" t="s">
        <v>2635</v>
      </c>
      <c r="S6625">
        <v>38</v>
      </c>
      <c r="T6625" s="43" t="str">
        <f t="shared" si="302"/>
        <v>2022.015P.Tombusviridae_rename.zip</v>
      </c>
      <c r="U6625" s="43" t="str">
        <f>HYPERLINK("https://ictv.global/taxonomy/taxondetails?taxnode_id=202209879","ictv.global=202209879")</f>
        <v>ictv.global=202209879</v>
      </c>
    </row>
    <row r="6626" spans="1:21">
      <c r="A6626">
        <v>6625</v>
      </c>
      <c r="B6626" s="29" t="s">
        <v>3223</v>
      </c>
      <c r="C6626" s="29"/>
      <c r="D6626" s="29" t="s">
        <v>4156</v>
      </c>
      <c r="E6626" s="29"/>
      <c r="F6626" s="29" t="s">
        <v>4173</v>
      </c>
      <c r="G6626" s="29"/>
      <c r="H6626" s="29" t="s">
        <v>4197</v>
      </c>
      <c r="I6626" s="29"/>
      <c r="J6626" s="29" t="s">
        <v>4198</v>
      </c>
      <c r="K6626" s="29"/>
      <c r="L6626" s="29" t="s">
        <v>603</v>
      </c>
      <c r="M6626" s="29" t="s">
        <v>3358</v>
      </c>
      <c r="N6626" s="29" t="s">
        <v>1275</v>
      </c>
      <c r="O6626" s="29"/>
      <c r="P6626" s="29" t="s">
        <v>12450</v>
      </c>
      <c r="Q6626" t="s">
        <v>2040</v>
      </c>
      <c r="R6626" t="s">
        <v>2635</v>
      </c>
      <c r="S6626">
        <v>38</v>
      </c>
      <c r="T6626" s="43" t="str">
        <f t="shared" si="302"/>
        <v>2022.015P.Tombusviridae_rename.zip</v>
      </c>
      <c r="U6626" s="43" t="str">
        <f>HYPERLINK("https://ictv.global/taxonomy/taxondetails?taxnode_id=202205273","ictv.global=202205273")</f>
        <v>ictv.global=202205273</v>
      </c>
    </row>
    <row r="6627" spans="1:21">
      <c r="A6627">
        <v>6626</v>
      </c>
      <c r="B6627" s="29" t="s">
        <v>3223</v>
      </c>
      <c r="C6627" s="29"/>
      <c r="D6627" s="29" t="s">
        <v>4156</v>
      </c>
      <c r="E6627" s="29"/>
      <c r="F6627" s="29" t="s">
        <v>4173</v>
      </c>
      <c r="G6627" s="29"/>
      <c r="H6627" s="29" t="s">
        <v>4197</v>
      </c>
      <c r="I6627" s="29"/>
      <c r="J6627" s="29" t="s">
        <v>4198</v>
      </c>
      <c r="K6627" s="29"/>
      <c r="L6627" s="29" t="s">
        <v>603</v>
      </c>
      <c r="M6627" s="29" t="s">
        <v>3359</v>
      </c>
      <c r="N6627" s="29" t="s">
        <v>2329</v>
      </c>
      <c r="O6627" s="29"/>
      <c r="P6627" s="29" t="s">
        <v>12451</v>
      </c>
      <c r="Q6627" t="s">
        <v>2040</v>
      </c>
      <c r="R6627" t="s">
        <v>2635</v>
      </c>
      <c r="S6627">
        <v>38</v>
      </c>
      <c r="T6627" s="43" t="str">
        <f t="shared" si="302"/>
        <v>2022.015P.Tombusviridae_rename.zip</v>
      </c>
      <c r="U6627" s="43" t="str">
        <f>HYPERLINK("https://ictv.global/taxonomy/taxondetails?taxnode_id=202209897","ictv.global=202209897")</f>
        <v>ictv.global=202209897</v>
      </c>
    </row>
    <row r="6628" spans="1:21">
      <c r="A6628">
        <v>6627</v>
      </c>
      <c r="B6628" s="29" t="s">
        <v>3223</v>
      </c>
      <c r="C6628" s="29"/>
      <c r="D6628" s="29" t="s">
        <v>4156</v>
      </c>
      <c r="E6628" s="29"/>
      <c r="F6628" s="29" t="s">
        <v>4173</v>
      </c>
      <c r="G6628" s="29"/>
      <c r="H6628" s="29" t="s">
        <v>4197</v>
      </c>
      <c r="I6628" s="29"/>
      <c r="J6628" s="29" t="s">
        <v>4198</v>
      </c>
      <c r="K6628" s="29"/>
      <c r="L6628" s="29" t="s">
        <v>603</v>
      </c>
      <c r="M6628" s="29" t="s">
        <v>3359</v>
      </c>
      <c r="N6628" s="29" t="s">
        <v>2329</v>
      </c>
      <c r="O6628" s="29"/>
      <c r="P6628" s="29" t="s">
        <v>12452</v>
      </c>
      <c r="Q6628" t="s">
        <v>2040</v>
      </c>
      <c r="R6628" t="s">
        <v>2635</v>
      </c>
      <c r="S6628">
        <v>38</v>
      </c>
      <c r="T6628" s="43" t="str">
        <f t="shared" si="302"/>
        <v>2022.015P.Tombusviridae_rename.zip</v>
      </c>
      <c r="U6628" s="43" t="str">
        <f>HYPERLINK("https://ictv.global/taxonomy/taxondetails?taxnode_id=202205195","ictv.global=202205195")</f>
        <v>ictv.global=202205195</v>
      </c>
    </row>
    <row r="6629" spans="1:21">
      <c r="A6629">
        <v>6628</v>
      </c>
      <c r="B6629" s="29" t="s">
        <v>3223</v>
      </c>
      <c r="C6629" s="29"/>
      <c r="D6629" s="29" t="s">
        <v>4156</v>
      </c>
      <c r="E6629" s="29"/>
      <c r="F6629" s="29" t="s">
        <v>4173</v>
      </c>
      <c r="G6629" s="29"/>
      <c r="H6629" s="29" t="s">
        <v>4197</v>
      </c>
      <c r="I6629" s="29"/>
      <c r="J6629" s="29" t="s">
        <v>4198</v>
      </c>
      <c r="K6629" s="29"/>
      <c r="L6629" s="29" t="s">
        <v>603</v>
      </c>
      <c r="M6629" s="29" t="s">
        <v>3359</v>
      </c>
      <c r="N6629" s="29" t="s">
        <v>2329</v>
      </c>
      <c r="O6629" s="29"/>
      <c r="P6629" s="29" t="s">
        <v>12453</v>
      </c>
      <c r="Q6629" t="s">
        <v>2040</v>
      </c>
      <c r="R6629" t="s">
        <v>2635</v>
      </c>
      <c r="S6629">
        <v>38</v>
      </c>
      <c r="T6629" s="43" t="str">
        <f t="shared" si="302"/>
        <v>2022.015P.Tombusviridae_rename.zip</v>
      </c>
      <c r="U6629" s="43" t="str">
        <f>HYPERLINK("https://ictv.global/taxonomy/taxondetails?taxnode_id=202205201","ictv.global=202205201")</f>
        <v>ictv.global=202205201</v>
      </c>
    </row>
    <row r="6630" spans="1:21">
      <c r="A6630">
        <v>6629</v>
      </c>
      <c r="B6630" s="29" t="s">
        <v>3223</v>
      </c>
      <c r="C6630" s="29"/>
      <c r="D6630" s="29" t="s">
        <v>4156</v>
      </c>
      <c r="E6630" s="29"/>
      <c r="F6630" s="29" t="s">
        <v>4173</v>
      </c>
      <c r="G6630" s="29"/>
      <c r="H6630" s="29" t="s">
        <v>4197</v>
      </c>
      <c r="I6630" s="29"/>
      <c r="J6630" s="29" t="s">
        <v>4198</v>
      </c>
      <c r="K6630" s="29"/>
      <c r="L6630" s="29" t="s">
        <v>603</v>
      </c>
      <c r="M6630" s="29" t="s">
        <v>3359</v>
      </c>
      <c r="N6630" s="29" t="s">
        <v>2329</v>
      </c>
      <c r="O6630" s="29"/>
      <c r="P6630" s="29" t="s">
        <v>12454</v>
      </c>
      <c r="Q6630" t="s">
        <v>2040</v>
      </c>
      <c r="R6630" t="s">
        <v>2635</v>
      </c>
      <c r="S6630">
        <v>38</v>
      </c>
      <c r="T6630" s="43" t="str">
        <f t="shared" si="302"/>
        <v>2022.015P.Tombusviridae_rename.zip</v>
      </c>
      <c r="U6630" s="43" t="str">
        <f>HYPERLINK("https://ictv.global/taxonomy/taxondetails?taxnode_id=202205196","ictv.global=202205196")</f>
        <v>ictv.global=202205196</v>
      </c>
    </row>
    <row r="6631" spans="1:21">
      <c r="A6631">
        <v>6630</v>
      </c>
      <c r="B6631" s="29" t="s">
        <v>3223</v>
      </c>
      <c r="C6631" s="29"/>
      <c r="D6631" s="29" t="s">
        <v>4156</v>
      </c>
      <c r="E6631" s="29"/>
      <c r="F6631" s="29" t="s">
        <v>4173</v>
      </c>
      <c r="G6631" s="29"/>
      <c r="H6631" s="29" t="s">
        <v>4197</v>
      </c>
      <c r="I6631" s="29"/>
      <c r="J6631" s="29" t="s">
        <v>4198</v>
      </c>
      <c r="K6631" s="29"/>
      <c r="L6631" s="29" t="s">
        <v>603</v>
      </c>
      <c r="M6631" s="29" t="s">
        <v>3359</v>
      </c>
      <c r="N6631" s="29" t="s">
        <v>2329</v>
      </c>
      <c r="O6631" s="29"/>
      <c r="P6631" s="29" t="s">
        <v>12455</v>
      </c>
      <c r="Q6631" t="s">
        <v>2040</v>
      </c>
      <c r="R6631" t="s">
        <v>2635</v>
      </c>
      <c r="S6631">
        <v>38</v>
      </c>
      <c r="T6631" s="43" t="str">
        <f t="shared" si="302"/>
        <v>2022.015P.Tombusviridae_rename.zip</v>
      </c>
      <c r="U6631" s="43" t="str">
        <f>HYPERLINK("https://ictv.global/taxonomy/taxondetails?taxnode_id=202205197","ictv.global=202205197")</f>
        <v>ictv.global=202205197</v>
      </c>
    </row>
    <row r="6632" spans="1:21">
      <c r="A6632">
        <v>6631</v>
      </c>
      <c r="B6632" s="29" t="s">
        <v>3223</v>
      </c>
      <c r="C6632" s="29"/>
      <c r="D6632" s="29" t="s">
        <v>4156</v>
      </c>
      <c r="E6632" s="29"/>
      <c r="F6632" s="29" t="s">
        <v>4173</v>
      </c>
      <c r="G6632" s="29"/>
      <c r="H6632" s="29" t="s">
        <v>4197</v>
      </c>
      <c r="I6632" s="29"/>
      <c r="J6632" s="29" t="s">
        <v>4198</v>
      </c>
      <c r="K6632" s="29"/>
      <c r="L6632" s="29" t="s">
        <v>603</v>
      </c>
      <c r="M6632" s="29" t="s">
        <v>3359</v>
      </c>
      <c r="N6632" s="29" t="s">
        <v>2329</v>
      </c>
      <c r="O6632" s="29"/>
      <c r="P6632" s="29" t="s">
        <v>12456</v>
      </c>
      <c r="Q6632" t="s">
        <v>2040</v>
      </c>
      <c r="R6632" t="s">
        <v>2635</v>
      </c>
      <c r="S6632">
        <v>38</v>
      </c>
      <c r="T6632" s="43" t="str">
        <f t="shared" si="302"/>
        <v>2022.015P.Tombusviridae_rename.zip</v>
      </c>
      <c r="U6632" s="43" t="str">
        <f>HYPERLINK("https://ictv.global/taxonomy/taxondetails?taxnode_id=202205198","ictv.global=202205198")</f>
        <v>ictv.global=202205198</v>
      </c>
    </row>
    <row r="6633" spans="1:21">
      <c r="A6633">
        <v>6632</v>
      </c>
      <c r="B6633" s="29" t="s">
        <v>3223</v>
      </c>
      <c r="C6633" s="29"/>
      <c r="D6633" s="29" t="s">
        <v>4156</v>
      </c>
      <c r="E6633" s="29"/>
      <c r="F6633" s="29" t="s">
        <v>4173</v>
      </c>
      <c r="G6633" s="29"/>
      <c r="H6633" s="29" t="s">
        <v>4197</v>
      </c>
      <c r="I6633" s="29"/>
      <c r="J6633" s="29" t="s">
        <v>4198</v>
      </c>
      <c r="K6633" s="29"/>
      <c r="L6633" s="29" t="s">
        <v>603</v>
      </c>
      <c r="M6633" s="29" t="s">
        <v>3359</v>
      </c>
      <c r="N6633" s="29" t="s">
        <v>2329</v>
      </c>
      <c r="O6633" s="29"/>
      <c r="P6633" s="29" t="s">
        <v>12457</v>
      </c>
      <c r="Q6633" t="s">
        <v>2040</v>
      </c>
      <c r="R6633" t="s">
        <v>2635</v>
      </c>
      <c r="S6633">
        <v>38</v>
      </c>
      <c r="T6633" s="43" t="str">
        <f t="shared" si="302"/>
        <v>2022.015P.Tombusviridae_rename.zip</v>
      </c>
      <c r="U6633" s="43" t="str">
        <f>HYPERLINK("https://ictv.global/taxonomy/taxondetails?taxnode_id=202205199","ictv.global=202205199")</f>
        <v>ictv.global=202205199</v>
      </c>
    </row>
    <row r="6634" spans="1:21">
      <c r="A6634">
        <v>6633</v>
      </c>
      <c r="B6634" s="29" t="s">
        <v>3223</v>
      </c>
      <c r="C6634" s="29"/>
      <c r="D6634" s="29" t="s">
        <v>4156</v>
      </c>
      <c r="E6634" s="29"/>
      <c r="F6634" s="29" t="s">
        <v>4173</v>
      </c>
      <c r="G6634" s="29"/>
      <c r="H6634" s="29" t="s">
        <v>4197</v>
      </c>
      <c r="I6634" s="29"/>
      <c r="J6634" s="29" t="s">
        <v>4198</v>
      </c>
      <c r="K6634" s="29"/>
      <c r="L6634" s="29" t="s">
        <v>603</v>
      </c>
      <c r="M6634" s="29" t="s">
        <v>3359</v>
      </c>
      <c r="N6634" s="29" t="s">
        <v>2329</v>
      </c>
      <c r="O6634" s="29"/>
      <c r="P6634" s="29" t="s">
        <v>12458</v>
      </c>
      <c r="Q6634" t="s">
        <v>2040</v>
      </c>
      <c r="R6634" t="s">
        <v>2635</v>
      </c>
      <c r="S6634">
        <v>38</v>
      </c>
      <c r="T6634" s="43" t="str">
        <f t="shared" si="302"/>
        <v>2022.015P.Tombusviridae_rename.zip</v>
      </c>
      <c r="U6634" s="43" t="str">
        <f>HYPERLINK("https://ictv.global/taxonomy/taxondetails?taxnode_id=202205200","ictv.global=202205200")</f>
        <v>ictv.global=202205200</v>
      </c>
    </row>
    <row r="6635" spans="1:21">
      <c r="A6635">
        <v>6634</v>
      </c>
      <c r="B6635" s="29" t="s">
        <v>3223</v>
      </c>
      <c r="C6635" s="29"/>
      <c r="D6635" s="29" t="s">
        <v>4156</v>
      </c>
      <c r="E6635" s="29"/>
      <c r="F6635" s="29" t="s">
        <v>4173</v>
      </c>
      <c r="G6635" s="29"/>
      <c r="H6635" s="29" t="s">
        <v>4197</v>
      </c>
      <c r="I6635" s="29"/>
      <c r="J6635" s="29" t="s">
        <v>4198</v>
      </c>
      <c r="K6635" s="29"/>
      <c r="L6635" s="29" t="s">
        <v>603</v>
      </c>
      <c r="M6635" s="29" t="s">
        <v>3359</v>
      </c>
      <c r="N6635" s="29" t="s">
        <v>1695</v>
      </c>
      <c r="O6635" s="29"/>
      <c r="P6635" s="29" t="s">
        <v>12459</v>
      </c>
      <c r="Q6635" t="s">
        <v>2040</v>
      </c>
      <c r="R6635" t="s">
        <v>2635</v>
      </c>
      <c r="S6635">
        <v>38</v>
      </c>
      <c r="T6635" s="43" t="str">
        <f t="shared" si="302"/>
        <v>2022.015P.Tombusviridae_rename.zip</v>
      </c>
      <c r="U6635" s="43" t="str">
        <f>HYPERLINK("https://ictv.global/taxonomy/taxondetails?taxnode_id=202205205","ictv.global=202205205")</f>
        <v>ictv.global=202205205</v>
      </c>
    </row>
    <row r="6636" spans="1:21">
      <c r="A6636">
        <v>6635</v>
      </c>
      <c r="B6636" s="29" t="s">
        <v>3223</v>
      </c>
      <c r="C6636" s="29"/>
      <c r="D6636" s="29" t="s">
        <v>4156</v>
      </c>
      <c r="E6636" s="29"/>
      <c r="F6636" s="29" t="s">
        <v>4173</v>
      </c>
      <c r="G6636" s="29"/>
      <c r="H6636" s="29" t="s">
        <v>4197</v>
      </c>
      <c r="I6636" s="29"/>
      <c r="J6636" s="29" t="s">
        <v>4198</v>
      </c>
      <c r="K6636" s="29"/>
      <c r="L6636" s="29" t="s">
        <v>603</v>
      </c>
      <c r="M6636" s="29" t="s">
        <v>3359</v>
      </c>
      <c r="N6636" s="29" t="s">
        <v>1695</v>
      </c>
      <c r="O6636" s="29"/>
      <c r="P6636" s="29" t="s">
        <v>12460</v>
      </c>
      <c r="Q6636" t="s">
        <v>2040</v>
      </c>
      <c r="R6636" t="s">
        <v>2635</v>
      </c>
      <c r="S6636">
        <v>38</v>
      </c>
      <c r="T6636" s="43" t="str">
        <f t="shared" si="302"/>
        <v>2022.015P.Tombusviridae_rename.zip</v>
      </c>
      <c r="U6636" s="43" t="str">
        <f>HYPERLINK("https://ictv.global/taxonomy/taxondetails?taxnode_id=202205203","ictv.global=202205203")</f>
        <v>ictv.global=202205203</v>
      </c>
    </row>
    <row r="6637" spans="1:21">
      <c r="A6637">
        <v>6636</v>
      </c>
      <c r="B6637" s="29" t="s">
        <v>3223</v>
      </c>
      <c r="C6637" s="29"/>
      <c r="D6637" s="29" t="s">
        <v>4156</v>
      </c>
      <c r="E6637" s="29"/>
      <c r="F6637" s="29" t="s">
        <v>4173</v>
      </c>
      <c r="G6637" s="29"/>
      <c r="H6637" s="29" t="s">
        <v>4197</v>
      </c>
      <c r="I6637" s="29"/>
      <c r="J6637" s="29" t="s">
        <v>4198</v>
      </c>
      <c r="K6637" s="29"/>
      <c r="L6637" s="29" t="s">
        <v>603</v>
      </c>
      <c r="M6637" s="29" t="s">
        <v>3359</v>
      </c>
      <c r="N6637" s="29" t="s">
        <v>1695</v>
      </c>
      <c r="O6637" s="29"/>
      <c r="P6637" s="29" t="s">
        <v>12461</v>
      </c>
      <c r="Q6637" t="s">
        <v>2040</v>
      </c>
      <c r="R6637" t="s">
        <v>2635</v>
      </c>
      <c r="S6637">
        <v>38</v>
      </c>
      <c r="T6637" s="43" t="str">
        <f t="shared" si="302"/>
        <v>2022.015P.Tombusviridae_rename.zip</v>
      </c>
      <c r="U6637" s="43" t="str">
        <f>HYPERLINK("https://ictv.global/taxonomy/taxondetails?taxnode_id=202206636","ictv.global=202206636")</f>
        <v>ictv.global=202206636</v>
      </c>
    </row>
    <row r="6638" spans="1:21">
      <c r="A6638">
        <v>6637</v>
      </c>
      <c r="B6638" s="29" t="s">
        <v>3223</v>
      </c>
      <c r="C6638" s="29"/>
      <c r="D6638" s="29" t="s">
        <v>4156</v>
      </c>
      <c r="E6638" s="29"/>
      <c r="F6638" s="29" t="s">
        <v>4173</v>
      </c>
      <c r="G6638" s="29"/>
      <c r="H6638" s="29" t="s">
        <v>4197</v>
      </c>
      <c r="I6638" s="29"/>
      <c r="J6638" s="29" t="s">
        <v>4198</v>
      </c>
      <c r="K6638" s="29"/>
      <c r="L6638" s="29" t="s">
        <v>603</v>
      </c>
      <c r="M6638" s="29" t="s">
        <v>3359</v>
      </c>
      <c r="N6638" s="29" t="s">
        <v>1695</v>
      </c>
      <c r="O6638" s="29"/>
      <c r="P6638" s="29" t="s">
        <v>12462</v>
      </c>
      <c r="Q6638" t="s">
        <v>2040</v>
      </c>
      <c r="R6638" t="s">
        <v>2635</v>
      </c>
      <c r="S6638">
        <v>38</v>
      </c>
      <c r="T6638" s="43" t="str">
        <f t="shared" si="302"/>
        <v>2022.015P.Tombusviridae_rename.zip</v>
      </c>
      <c r="U6638" s="43" t="str">
        <f>HYPERLINK("https://ictv.global/taxonomy/taxondetails?taxnode_id=202205204","ictv.global=202205204")</f>
        <v>ictv.global=202205204</v>
      </c>
    </row>
    <row r="6639" spans="1:21">
      <c r="A6639">
        <v>6638</v>
      </c>
      <c r="B6639" s="29" t="s">
        <v>3223</v>
      </c>
      <c r="C6639" s="29"/>
      <c r="D6639" s="29" t="s">
        <v>4156</v>
      </c>
      <c r="E6639" s="29"/>
      <c r="F6639" s="29" t="s">
        <v>4173</v>
      </c>
      <c r="G6639" s="29"/>
      <c r="H6639" s="29" t="s">
        <v>4197</v>
      </c>
      <c r="I6639" s="29"/>
      <c r="J6639" s="29" t="s">
        <v>4198</v>
      </c>
      <c r="K6639" s="29"/>
      <c r="L6639" s="29" t="s">
        <v>603</v>
      </c>
      <c r="M6639" s="29" t="s">
        <v>3359</v>
      </c>
      <c r="N6639" s="29" t="s">
        <v>604</v>
      </c>
      <c r="O6639" s="29"/>
      <c r="P6639" s="29" t="s">
        <v>12463</v>
      </c>
      <c r="Q6639" t="s">
        <v>2040</v>
      </c>
      <c r="R6639" t="s">
        <v>2635</v>
      </c>
      <c r="S6639">
        <v>38</v>
      </c>
      <c r="T6639" s="43" t="str">
        <f t="shared" si="302"/>
        <v>2022.015P.Tombusviridae_rename.zip</v>
      </c>
      <c r="U6639" s="43" t="str">
        <f>HYPERLINK("https://ictv.global/taxonomy/taxondetails?taxnode_id=202205210","ictv.global=202205210")</f>
        <v>ictv.global=202205210</v>
      </c>
    </row>
    <row r="6640" spans="1:21">
      <c r="A6640">
        <v>6639</v>
      </c>
      <c r="B6640" s="29" t="s">
        <v>3223</v>
      </c>
      <c r="C6640" s="29"/>
      <c r="D6640" s="29" t="s">
        <v>4156</v>
      </c>
      <c r="E6640" s="29"/>
      <c r="F6640" s="29" t="s">
        <v>4173</v>
      </c>
      <c r="G6640" s="29"/>
      <c r="H6640" s="29" t="s">
        <v>4197</v>
      </c>
      <c r="I6640" s="29"/>
      <c r="J6640" s="29" t="s">
        <v>4198</v>
      </c>
      <c r="K6640" s="29"/>
      <c r="L6640" s="29" t="s">
        <v>603</v>
      </c>
      <c r="M6640" s="29" t="s">
        <v>3359</v>
      </c>
      <c r="N6640" s="29" t="s">
        <v>604</v>
      </c>
      <c r="O6640" s="29"/>
      <c r="P6640" s="29" t="s">
        <v>12464</v>
      </c>
      <c r="Q6640" t="s">
        <v>2040</v>
      </c>
      <c r="R6640" t="s">
        <v>2635</v>
      </c>
      <c r="S6640">
        <v>38</v>
      </c>
      <c r="T6640" s="43" t="str">
        <f t="shared" si="302"/>
        <v>2022.015P.Tombusviridae_rename.zip</v>
      </c>
      <c r="U6640" s="43" t="str">
        <f>HYPERLINK("https://ictv.global/taxonomy/taxondetails?taxnode_id=202205207","ictv.global=202205207")</f>
        <v>ictv.global=202205207</v>
      </c>
    </row>
    <row r="6641" spans="1:21">
      <c r="A6641">
        <v>6640</v>
      </c>
      <c r="B6641" s="29" t="s">
        <v>3223</v>
      </c>
      <c r="C6641" s="29"/>
      <c r="D6641" s="29" t="s">
        <v>4156</v>
      </c>
      <c r="E6641" s="29"/>
      <c r="F6641" s="29" t="s">
        <v>4173</v>
      </c>
      <c r="G6641" s="29"/>
      <c r="H6641" s="29" t="s">
        <v>4197</v>
      </c>
      <c r="I6641" s="29"/>
      <c r="J6641" s="29" t="s">
        <v>4198</v>
      </c>
      <c r="K6641" s="29"/>
      <c r="L6641" s="29" t="s">
        <v>603</v>
      </c>
      <c r="M6641" s="29" t="s">
        <v>3359</v>
      </c>
      <c r="N6641" s="29" t="s">
        <v>604</v>
      </c>
      <c r="O6641" s="29"/>
      <c r="P6641" s="29" t="s">
        <v>12465</v>
      </c>
      <c r="Q6641" t="s">
        <v>2040</v>
      </c>
      <c r="R6641" t="s">
        <v>2635</v>
      </c>
      <c r="S6641">
        <v>38</v>
      </c>
      <c r="T6641" s="43" t="str">
        <f t="shared" si="302"/>
        <v>2022.015P.Tombusviridae_rename.zip</v>
      </c>
      <c r="U6641" s="43" t="str">
        <f>HYPERLINK("https://ictv.global/taxonomy/taxondetails?taxnode_id=202205211","ictv.global=202205211")</f>
        <v>ictv.global=202205211</v>
      </c>
    </row>
    <row r="6642" spans="1:21">
      <c r="A6642">
        <v>6641</v>
      </c>
      <c r="B6642" s="29" t="s">
        <v>3223</v>
      </c>
      <c r="C6642" s="29"/>
      <c r="D6642" s="29" t="s">
        <v>4156</v>
      </c>
      <c r="E6642" s="29"/>
      <c r="F6642" s="29" t="s">
        <v>4173</v>
      </c>
      <c r="G6642" s="29"/>
      <c r="H6642" s="29" t="s">
        <v>4197</v>
      </c>
      <c r="I6642" s="29"/>
      <c r="J6642" s="29" t="s">
        <v>4198</v>
      </c>
      <c r="K6642" s="29"/>
      <c r="L6642" s="29" t="s">
        <v>603</v>
      </c>
      <c r="M6642" s="29" t="s">
        <v>3359</v>
      </c>
      <c r="N6642" s="29" t="s">
        <v>604</v>
      </c>
      <c r="O6642" s="29"/>
      <c r="P6642" s="29" t="s">
        <v>12466</v>
      </c>
      <c r="Q6642" t="s">
        <v>2040</v>
      </c>
      <c r="R6642" t="s">
        <v>2635</v>
      </c>
      <c r="S6642">
        <v>38</v>
      </c>
      <c r="T6642" s="43" t="str">
        <f t="shared" si="302"/>
        <v>2022.015P.Tombusviridae_rename.zip</v>
      </c>
      <c r="U6642" s="43" t="str">
        <f>HYPERLINK("https://ictv.global/taxonomy/taxondetails?taxnode_id=202209900","ictv.global=202209900")</f>
        <v>ictv.global=202209900</v>
      </c>
    </row>
    <row r="6643" spans="1:21">
      <c r="A6643">
        <v>6642</v>
      </c>
      <c r="B6643" s="29" t="s">
        <v>3223</v>
      </c>
      <c r="C6643" s="29"/>
      <c r="D6643" s="29" t="s">
        <v>4156</v>
      </c>
      <c r="E6643" s="29"/>
      <c r="F6643" s="29" t="s">
        <v>4173</v>
      </c>
      <c r="G6643" s="29"/>
      <c r="H6643" s="29" t="s">
        <v>4197</v>
      </c>
      <c r="I6643" s="29"/>
      <c r="J6643" s="29" t="s">
        <v>4198</v>
      </c>
      <c r="K6643" s="29"/>
      <c r="L6643" s="29" t="s">
        <v>603</v>
      </c>
      <c r="M6643" s="29" t="s">
        <v>3359</v>
      </c>
      <c r="N6643" s="29" t="s">
        <v>604</v>
      </c>
      <c r="O6643" s="29"/>
      <c r="P6643" s="29" t="s">
        <v>12467</v>
      </c>
      <c r="Q6643" t="s">
        <v>2040</v>
      </c>
      <c r="R6643" t="s">
        <v>2635</v>
      </c>
      <c r="S6643">
        <v>38</v>
      </c>
      <c r="T6643" s="43" t="str">
        <f t="shared" si="302"/>
        <v>2022.015P.Tombusviridae_rename.zip</v>
      </c>
      <c r="U6643" s="43" t="str">
        <f>HYPERLINK("https://ictv.global/taxonomy/taxondetails?taxnode_id=202205208","ictv.global=202205208")</f>
        <v>ictv.global=202205208</v>
      </c>
    </row>
    <row r="6644" spans="1:21">
      <c r="A6644">
        <v>6643</v>
      </c>
      <c r="B6644" s="29" t="s">
        <v>3223</v>
      </c>
      <c r="C6644" s="29"/>
      <c r="D6644" s="29" t="s">
        <v>4156</v>
      </c>
      <c r="E6644" s="29"/>
      <c r="F6644" s="29" t="s">
        <v>4173</v>
      </c>
      <c r="G6644" s="29"/>
      <c r="H6644" s="29" t="s">
        <v>4197</v>
      </c>
      <c r="I6644" s="29"/>
      <c r="J6644" s="29" t="s">
        <v>4198</v>
      </c>
      <c r="K6644" s="29"/>
      <c r="L6644" s="29" t="s">
        <v>603</v>
      </c>
      <c r="M6644" s="29" t="s">
        <v>3359</v>
      </c>
      <c r="N6644" s="29" t="s">
        <v>604</v>
      </c>
      <c r="O6644" s="29"/>
      <c r="P6644" s="29" t="s">
        <v>12468</v>
      </c>
      <c r="Q6644" t="s">
        <v>2040</v>
      </c>
      <c r="R6644" t="s">
        <v>2635</v>
      </c>
      <c r="S6644">
        <v>38</v>
      </c>
      <c r="T6644" s="43" t="str">
        <f t="shared" si="302"/>
        <v>2022.015P.Tombusviridae_rename.zip</v>
      </c>
      <c r="U6644" s="43" t="str">
        <f>HYPERLINK("https://ictv.global/taxonomy/taxondetails?taxnode_id=202205209","ictv.global=202205209")</f>
        <v>ictv.global=202205209</v>
      </c>
    </row>
    <row r="6645" spans="1:21">
      <c r="A6645">
        <v>6644</v>
      </c>
      <c r="B6645" s="29" t="s">
        <v>3223</v>
      </c>
      <c r="C6645" s="29"/>
      <c r="D6645" s="29" t="s">
        <v>4156</v>
      </c>
      <c r="E6645" s="29"/>
      <c r="F6645" s="29" t="s">
        <v>4173</v>
      </c>
      <c r="G6645" s="29"/>
      <c r="H6645" s="29" t="s">
        <v>4197</v>
      </c>
      <c r="I6645" s="29"/>
      <c r="J6645" s="29" t="s">
        <v>4198</v>
      </c>
      <c r="K6645" s="29"/>
      <c r="L6645" s="29" t="s">
        <v>603</v>
      </c>
      <c r="M6645" s="29" t="s">
        <v>3359</v>
      </c>
      <c r="N6645" s="29" t="s">
        <v>605</v>
      </c>
      <c r="O6645" s="29"/>
      <c r="P6645" s="29" t="s">
        <v>12469</v>
      </c>
      <c r="Q6645" t="s">
        <v>3206</v>
      </c>
      <c r="R6645" t="s">
        <v>2635</v>
      </c>
      <c r="S6645">
        <v>38</v>
      </c>
      <c r="T6645" s="43" t="str">
        <f t="shared" si="302"/>
        <v>2022.015P.Tombusviridae_rename.zip</v>
      </c>
      <c r="U6645" s="43" t="str">
        <f>HYPERLINK("https://ictv.global/taxonomy/taxondetails?taxnode_id=202205213","ictv.global=202205213")</f>
        <v>ictv.global=202205213</v>
      </c>
    </row>
    <row r="6646" spans="1:21">
      <c r="A6646">
        <v>6645</v>
      </c>
      <c r="B6646" s="29" t="s">
        <v>3223</v>
      </c>
      <c r="C6646" s="29"/>
      <c r="D6646" s="29" t="s">
        <v>4156</v>
      </c>
      <c r="E6646" s="29"/>
      <c r="F6646" s="29" t="s">
        <v>4173</v>
      </c>
      <c r="G6646" s="29"/>
      <c r="H6646" s="29" t="s">
        <v>4197</v>
      </c>
      <c r="I6646" s="29"/>
      <c r="J6646" s="29" t="s">
        <v>4198</v>
      </c>
      <c r="K6646" s="29"/>
      <c r="L6646" s="29" t="s">
        <v>603</v>
      </c>
      <c r="M6646" s="29" t="s">
        <v>3359</v>
      </c>
      <c r="N6646" s="29" t="s">
        <v>2330</v>
      </c>
      <c r="O6646" s="29"/>
      <c r="P6646" s="29" t="s">
        <v>12470</v>
      </c>
      <c r="Q6646" t="s">
        <v>2040</v>
      </c>
      <c r="R6646" t="s">
        <v>2635</v>
      </c>
      <c r="S6646">
        <v>38</v>
      </c>
      <c r="T6646" s="43" t="str">
        <f t="shared" si="302"/>
        <v>2022.015P.Tombusviridae_rename.zip</v>
      </c>
      <c r="U6646" s="43" t="str">
        <f>HYPERLINK("https://ictv.global/taxonomy/taxondetails?taxnode_id=202205218","ictv.global=202205218")</f>
        <v>ictv.global=202205218</v>
      </c>
    </row>
    <row r="6647" spans="1:21">
      <c r="A6647">
        <v>6646</v>
      </c>
      <c r="B6647" s="29" t="s">
        <v>3223</v>
      </c>
      <c r="C6647" s="29"/>
      <c r="D6647" s="29" t="s">
        <v>4156</v>
      </c>
      <c r="E6647" s="29"/>
      <c r="F6647" s="29" t="s">
        <v>4173</v>
      </c>
      <c r="G6647" s="29"/>
      <c r="H6647" s="29" t="s">
        <v>4197</v>
      </c>
      <c r="I6647" s="29"/>
      <c r="J6647" s="29" t="s">
        <v>4198</v>
      </c>
      <c r="K6647" s="29"/>
      <c r="L6647" s="29" t="s">
        <v>603</v>
      </c>
      <c r="M6647" s="29" t="s">
        <v>3359</v>
      </c>
      <c r="N6647" s="29" t="s">
        <v>2330</v>
      </c>
      <c r="O6647" s="29"/>
      <c r="P6647" s="29" t="s">
        <v>12471</v>
      </c>
      <c r="Q6647" t="s">
        <v>2040</v>
      </c>
      <c r="R6647" t="s">
        <v>2635</v>
      </c>
      <c r="S6647">
        <v>38</v>
      </c>
      <c r="T6647" s="43" t="str">
        <f t="shared" si="302"/>
        <v>2022.015P.Tombusviridae_rename.zip</v>
      </c>
      <c r="U6647" s="43" t="str">
        <f>HYPERLINK("https://ictv.global/taxonomy/taxondetails?taxnode_id=202205215","ictv.global=202205215")</f>
        <v>ictv.global=202205215</v>
      </c>
    </row>
    <row r="6648" spans="1:21">
      <c r="A6648">
        <v>6647</v>
      </c>
      <c r="B6648" s="29" t="s">
        <v>3223</v>
      </c>
      <c r="C6648" s="29"/>
      <c r="D6648" s="29" t="s">
        <v>4156</v>
      </c>
      <c r="E6648" s="29"/>
      <c r="F6648" s="29" t="s">
        <v>4173</v>
      </c>
      <c r="G6648" s="29"/>
      <c r="H6648" s="29" t="s">
        <v>4197</v>
      </c>
      <c r="I6648" s="29"/>
      <c r="J6648" s="29" t="s">
        <v>4198</v>
      </c>
      <c r="K6648" s="29"/>
      <c r="L6648" s="29" t="s">
        <v>603</v>
      </c>
      <c r="M6648" s="29" t="s">
        <v>3359</v>
      </c>
      <c r="N6648" s="29" t="s">
        <v>2330</v>
      </c>
      <c r="O6648" s="29"/>
      <c r="P6648" s="29" t="s">
        <v>12472</v>
      </c>
      <c r="Q6648" t="s">
        <v>2040</v>
      </c>
      <c r="R6648" t="s">
        <v>2635</v>
      </c>
      <c r="S6648">
        <v>38</v>
      </c>
      <c r="T6648" s="43" t="str">
        <f t="shared" ref="T6648:T6679" si="303">HYPERLINK("https://ictv.global/ictv/proposals/2022.015P.Tombusviridae_rename.zip","2022.015P.Tombusviridae_rename.zip")</f>
        <v>2022.015P.Tombusviridae_rename.zip</v>
      </c>
      <c r="U6648" s="43" t="str">
        <f>HYPERLINK("https://ictv.global/taxonomy/taxondetails?taxnode_id=202205216","ictv.global=202205216")</f>
        <v>ictv.global=202205216</v>
      </c>
    </row>
    <row r="6649" spans="1:21">
      <c r="A6649">
        <v>6648</v>
      </c>
      <c r="B6649" s="29" t="s">
        <v>3223</v>
      </c>
      <c r="C6649" s="29"/>
      <c r="D6649" s="29" t="s">
        <v>4156</v>
      </c>
      <c r="E6649" s="29"/>
      <c r="F6649" s="29" t="s">
        <v>4173</v>
      </c>
      <c r="G6649" s="29"/>
      <c r="H6649" s="29" t="s">
        <v>4197</v>
      </c>
      <c r="I6649" s="29"/>
      <c r="J6649" s="29" t="s">
        <v>4198</v>
      </c>
      <c r="K6649" s="29"/>
      <c r="L6649" s="29" t="s">
        <v>603</v>
      </c>
      <c r="M6649" s="29" t="s">
        <v>3359</v>
      </c>
      <c r="N6649" s="29" t="s">
        <v>2330</v>
      </c>
      <c r="O6649" s="29"/>
      <c r="P6649" s="29" t="s">
        <v>12473</v>
      </c>
      <c r="Q6649" t="s">
        <v>2040</v>
      </c>
      <c r="R6649" t="s">
        <v>2635</v>
      </c>
      <c r="S6649">
        <v>38</v>
      </c>
      <c r="T6649" s="43" t="str">
        <f t="shared" si="303"/>
        <v>2022.015P.Tombusviridae_rename.zip</v>
      </c>
      <c r="U6649" s="43" t="str">
        <f>HYPERLINK("https://ictv.global/taxonomy/taxondetails?taxnode_id=202205217","ictv.global=202205217")</f>
        <v>ictv.global=202205217</v>
      </c>
    </row>
    <row r="6650" spans="1:21">
      <c r="A6650">
        <v>6649</v>
      </c>
      <c r="B6650" s="29" t="s">
        <v>3223</v>
      </c>
      <c r="C6650" s="29"/>
      <c r="D6650" s="29" t="s">
        <v>4156</v>
      </c>
      <c r="E6650" s="29"/>
      <c r="F6650" s="29" t="s">
        <v>4173</v>
      </c>
      <c r="G6650" s="29"/>
      <c r="H6650" s="29" t="s">
        <v>4197</v>
      </c>
      <c r="I6650" s="29"/>
      <c r="J6650" s="29" t="s">
        <v>4198</v>
      </c>
      <c r="K6650" s="29"/>
      <c r="L6650" s="29" t="s">
        <v>603</v>
      </c>
      <c r="M6650" s="29" t="s">
        <v>3359</v>
      </c>
      <c r="N6650" s="29" t="s">
        <v>1696</v>
      </c>
      <c r="O6650" s="29"/>
      <c r="P6650" s="29" t="s">
        <v>12474</v>
      </c>
      <c r="Q6650" t="s">
        <v>2040</v>
      </c>
      <c r="R6650" t="s">
        <v>2635</v>
      </c>
      <c r="S6650">
        <v>38</v>
      </c>
      <c r="T6650" s="43" t="str">
        <f t="shared" si="303"/>
        <v>2022.015P.Tombusviridae_rename.zip</v>
      </c>
      <c r="U6650" s="43" t="str">
        <f>HYPERLINK("https://ictv.global/taxonomy/taxondetails?taxnode_id=202205220","ictv.global=202205220")</f>
        <v>ictv.global=202205220</v>
      </c>
    </row>
    <row r="6651" spans="1:21">
      <c r="A6651">
        <v>6650</v>
      </c>
      <c r="B6651" s="29" t="s">
        <v>3223</v>
      </c>
      <c r="C6651" s="29"/>
      <c r="D6651" s="29" t="s">
        <v>4156</v>
      </c>
      <c r="E6651" s="29"/>
      <c r="F6651" s="29" t="s">
        <v>4173</v>
      </c>
      <c r="G6651" s="29"/>
      <c r="H6651" s="29" t="s">
        <v>4197</v>
      </c>
      <c r="I6651" s="29"/>
      <c r="J6651" s="29" t="s">
        <v>4198</v>
      </c>
      <c r="K6651" s="29"/>
      <c r="L6651" s="29" t="s">
        <v>603</v>
      </c>
      <c r="M6651" s="29" t="s">
        <v>3359</v>
      </c>
      <c r="N6651" s="29" t="s">
        <v>1696</v>
      </c>
      <c r="O6651" s="29"/>
      <c r="P6651" s="29" t="s">
        <v>12475</v>
      </c>
      <c r="Q6651" t="s">
        <v>2040</v>
      </c>
      <c r="R6651" t="s">
        <v>2635</v>
      </c>
      <c r="S6651">
        <v>38</v>
      </c>
      <c r="T6651" s="43" t="str">
        <f t="shared" si="303"/>
        <v>2022.015P.Tombusviridae_rename.zip</v>
      </c>
      <c r="U6651" s="43" t="str">
        <f>HYPERLINK("https://ictv.global/taxonomy/taxondetails?taxnode_id=202205222","ictv.global=202205222")</f>
        <v>ictv.global=202205222</v>
      </c>
    </row>
    <row r="6652" spans="1:21">
      <c r="A6652">
        <v>6651</v>
      </c>
      <c r="B6652" s="29" t="s">
        <v>3223</v>
      </c>
      <c r="C6652" s="29"/>
      <c r="D6652" s="29" t="s">
        <v>4156</v>
      </c>
      <c r="E6652" s="29"/>
      <c r="F6652" s="29" t="s">
        <v>4173</v>
      </c>
      <c r="G6652" s="29"/>
      <c r="H6652" s="29" t="s">
        <v>4197</v>
      </c>
      <c r="I6652" s="29"/>
      <c r="J6652" s="29" t="s">
        <v>4198</v>
      </c>
      <c r="K6652" s="29"/>
      <c r="L6652" s="29" t="s">
        <v>603</v>
      </c>
      <c r="M6652" s="29" t="s">
        <v>3359</v>
      </c>
      <c r="N6652" s="29" t="s">
        <v>1696</v>
      </c>
      <c r="O6652" s="29"/>
      <c r="P6652" s="29" t="s">
        <v>12476</v>
      </c>
      <c r="Q6652" t="s">
        <v>2040</v>
      </c>
      <c r="R6652" t="s">
        <v>2635</v>
      </c>
      <c r="S6652">
        <v>38</v>
      </c>
      <c r="T6652" s="43" t="str">
        <f t="shared" si="303"/>
        <v>2022.015P.Tombusviridae_rename.zip</v>
      </c>
      <c r="U6652" s="43" t="str">
        <f>HYPERLINK("https://ictv.global/taxonomy/taxondetails?taxnode_id=202205221","ictv.global=202205221")</f>
        <v>ictv.global=202205221</v>
      </c>
    </row>
    <row r="6653" spans="1:21">
      <c r="A6653">
        <v>6652</v>
      </c>
      <c r="B6653" s="29" t="s">
        <v>3223</v>
      </c>
      <c r="C6653" s="29"/>
      <c r="D6653" s="29" t="s">
        <v>4156</v>
      </c>
      <c r="E6653" s="29"/>
      <c r="F6653" s="29" t="s">
        <v>4173</v>
      </c>
      <c r="G6653" s="29"/>
      <c r="H6653" s="29" t="s">
        <v>4197</v>
      </c>
      <c r="I6653" s="29"/>
      <c r="J6653" s="29" t="s">
        <v>4198</v>
      </c>
      <c r="K6653" s="29"/>
      <c r="L6653" s="29" t="s">
        <v>603</v>
      </c>
      <c r="M6653" s="29" t="s">
        <v>3359</v>
      </c>
      <c r="N6653" s="29" t="s">
        <v>1697</v>
      </c>
      <c r="O6653" s="29"/>
      <c r="P6653" s="29" t="s">
        <v>12477</v>
      </c>
      <c r="Q6653" t="s">
        <v>2040</v>
      </c>
      <c r="R6653" t="s">
        <v>2635</v>
      </c>
      <c r="S6653">
        <v>38</v>
      </c>
      <c r="T6653" s="43" t="str">
        <f t="shared" si="303"/>
        <v>2022.015P.Tombusviridae_rename.zip</v>
      </c>
      <c r="U6653" s="43" t="str">
        <f>HYPERLINK("https://ictv.global/taxonomy/taxondetails?taxnode_id=202205228","ictv.global=202205228")</f>
        <v>ictv.global=202205228</v>
      </c>
    </row>
    <row r="6654" spans="1:21">
      <c r="A6654">
        <v>6653</v>
      </c>
      <c r="B6654" s="29" t="s">
        <v>3223</v>
      </c>
      <c r="C6654" s="29"/>
      <c r="D6654" s="29" t="s">
        <v>4156</v>
      </c>
      <c r="E6654" s="29"/>
      <c r="F6654" s="29" t="s">
        <v>4173</v>
      </c>
      <c r="G6654" s="29"/>
      <c r="H6654" s="29" t="s">
        <v>4197</v>
      </c>
      <c r="I6654" s="29"/>
      <c r="J6654" s="29" t="s">
        <v>4198</v>
      </c>
      <c r="K6654" s="29"/>
      <c r="L6654" s="29" t="s">
        <v>603</v>
      </c>
      <c r="M6654" s="29" t="s">
        <v>3359</v>
      </c>
      <c r="N6654" s="29" t="s">
        <v>2331</v>
      </c>
      <c r="O6654" s="29"/>
      <c r="P6654" s="29" t="s">
        <v>12478</v>
      </c>
      <c r="Q6654" t="s">
        <v>2040</v>
      </c>
      <c r="R6654" t="s">
        <v>2635</v>
      </c>
      <c r="S6654">
        <v>38</v>
      </c>
      <c r="T6654" s="43" t="str">
        <f t="shared" si="303"/>
        <v>2022.015P.Tombusviridae_rename.zip</v>
      </c>
      <c r="U6654" s="43" t="str">
        <f>HYPERLINK("https://ictv.global/taxonomy/taxondetails?taxnode_id=202205233","ictv.global=202205233")</f>
        <v>ictv.global=202205233</v>
      </c>
    </row>
    <row r="6655" spans="1:21">
      <c r="A6655">
        <v>6654</v>
      </c>
      <c r="B6655" s="29" t="s">
        <v>3223</v>
      </c>
      <c r="C6655" s="29"/>
      <c r="D6655" s="29" t="s">
        <v>4156</v>
      </c>
      <c r="E6655" s="29"/>
      <c r="F6655" s="29" t="s">
        <v>4173</v>
      </c>
      <c r="G6655" s="29"/>
      <c r="H6655" s="29" t="s">
        <v>4197</v>
      </c>
      <c r="I6655" s="29"/>
      <c r="J6655" s="29" t="s">
        <v>4198</v>
      </c>
      <c r="K6655" s="29"/>
      <c r="L6655" s="29" t="s">
        <v>603</v>
      </c>
      <c r="M6655" s="29" t="s">
        <v>3359</v>
      </c>
      <c r="N6655" s="29" t="s">
        <v>2331</v>
      </c>
      <c r="O6655" s="29"/>
      <c r="P6655" s="29" t="s">
        <v>12479</v>
      </c>
      <c r="Q6655" t="s">
        <v>2040</v>
      </c>
      <c r="R6655" t="s">
        <v>2635</v>
      </c>
      <c r="S6655">
        <v>38</v>
      </c>
      <c r="T6655" s="43" t="str">
        <f t="shared" si="303"/>
        <v>2022.015P.Tombusviridae_rename.zip</v>
      </c>
      <c r="U6655" s="43" t="str">
        <f>HYPERLINK("https://ictv.global/taxonomy/taxondetails?taxnode_id=202205231","ictv.global=202205231")</f>
        <v>ictv.global=202205231</v>
      </c>
    </row>
    <row r="6656" spans="1:21">
      <c r="A6656">
        <v>6655</v>
      </c>
      <c r="B6656" s="29" t="s">
        <v>3223</v>
      </c>
      <c r="C6656" s="29"/>
      <c r="D6656" s="29" t="s">
        <v>4156</v>
      </c>
      <c r="E6656" s="29"/>
      <c r="F6656" s="29" t="s">
        <v>4173</v>
      </c>
      <c r="G6656" s="29"/>
      <c r="H6656" s="29" t="s">
        <v>4197</v>
      </c>
      <c r="I6656" s="29"/>
      <c r="J6656" s="29" t="s">
        <v>4198</v>
      </c>
      <c r="K6656" s="29"/>
      <c r="L6656" s="29" t="s">
        <v>603</v>
      </c>
      <c r="M6656" s="29" t="s">
        <v>3359</v>
      </c>
      <c r="N6656" s="29" t="s">
        <v>2331</v>
      </c>
      <c r="O6656" s="29"/>
      <c r="P6656" s="29" t="s">
        <v>12480</v>
      </c>
      <c r="Q6656" t="s">
        <v>2040</v>
      </c>
      <c r="R6656" t="s">
        <v>2635</v>
      </c>
      <c r="S6656">
        <v>38</v>
      </c>
      <c r="T6656" s="43" t="str">
        <f t="shared" si="303"/>
        <v>2022.015P.Tombusviridae_rename.zip</v>
      </c>
      <c r="U6656" s="43" t="str">
        <f>HYPERLINK("https://ictv.global/taxonomy/taxondetails?taxnode_id=202205232","ictv.global=202205232")</f>
        <v>ictv.global=202205232</v>
      </c>
    </row>
    <row r="6657" spans="1:21">
      <c r="A6657">
        <v>6656</v>
      </c>
      <c r="B6657" s="29" t="s">
        <v>3223</v>
      </c>
      <c r="C6657" s="29"/>
      <c r="D6657" s="29" t="s">
        <v>4156</v>
      </c>
      <c r="E6657" s="29"/>
      <c r="F6657" s="29" t="s">
        <v>4173</v>
      </c>
      <c r="G6657" s="29"/>
      <c r="H6657" s="29" t="s">
        <v>4197</v>
      </c>
      <c r="I6657" s="29"/>
      <c r="J6657" s="29" t="s">
        <v>4198</v>
      </c>
      <c r="K6657" s="29"/>
      <c r="L6657" s="29" t="s">
        <v>603</v>
      </c>
      <c r="M6657" s="29" t="s">
        <v>3359</v>
      </c>
      <c r="N6657" s="29" t="s">
        <v>2331</v>
      </c>
      <c r="O6657" s="29"/>
      <c r="P6657" s="29" t="s">
        <v>12481</v>
      </c>
      <c r="Q6657" t="s">
        <v>2040</v>
      </c>
      <c r="R6657" t="s">
        <v>2635</v>
      </c>
      <c r="S6657">
        <v>38</v>
      </c>
      <c r="T6657" s="43" t="str">
        <f t="shared" si="303"/>
        <v>2022.015P.Tombusviridae_rename.zip</v>
      </c>
      <c r="U6657" s="43" t="str">
        <f>HYPERLINK("https://ictv.global/taxonomy/taxondetails?taxnode_id=202205230","ictv.global=202205230")</f>
        <v>ictv.global=202205230</v>
      </c>
    </row>
    <row r="6658" spans="1:21">
      <c r="A6658">
        <v>6657</v>
      </c>
      <c r="B6658" s="29" t="s">
        <v>3223</v>
      </c>
      <c r="C6658" s="29"/>
      <c r="D6658" s="29" t="s">
        <v>4156</v>
      </c>
      <c r="E6658" s="29"/>
      <c r="F6658" s="29" t="s">
        <v>4173</v>
      </c>
      <c r="G6658" s="29"/>
      <c r="H6658" s="29" t="s">
        <v>4197</v>
      </c>
      <c r="I6658" s="29"/>
      <c r="J6658" s="29" t="s">
        <v>4198</v>
      </c>
      <c r="K6658" s="29"/>
      <c r="L6658" s="29" t="s">
        <v>603</v>
      </c>
      <c r="M6658" s="29" t="s">
        <v>3359</v>
      </c>
      <c r="N6658" s="29" t="s">
        <v>1698</v>
      </c>
      <c r="O6658" s="29"/>
      <c r="P6658" s="29" t="s">
        <v>12482</v>
      </c>
      <c r="Q6658" t="s">
        <v>2040</v>
      </c>
      <c r="R6658" t="s">
        <v>2635</v>
      </c>
      <c r="S6658">
        <v>38</v>
      </c>
      <c r="T6658" s="43" t="str">
        <f t="shared" si="303"/>
        <v>2022.015P.Tombusviridae_rename.zip</v>
      </c>
      <c r="U6658" s="43" t="str">
        <f>HYPERLINK("https://ictv.global/taxonomy/taxondetails?taxnode_id=202205235","ictv.global=202205235")</f>
        <v>ictv.global=202205235</v>
      </c>
    </row>
    <row r="6659" spans="1:21">
      <c r="A6659">
        <v>6658</v>
      </c>
      <c r="B6659" s="29" t="s">
        <v>3223</v>
      </c>
      <c r="C6659" s="29"/>
      <c r="D6659" s="29" t="s">
        <v>4156</v>
      </c>
      <c r="E6659" s="29"/>
      <c r="F6659" s="29" t="s">
        <v>4173</v>
      </c>
      <c r="G6659" s="29"/>
      <c r="H6659" s="29" t="s">
        <v>4197</v>
      </c>
      <c r="I6659" s="29"/>
      <c r="J6659" s="29" t="s">
        <v>4198</v>
      </c>
      <c r="K6659" s="29"/>
      <c r="L6659" s="29" t="s">
        <v>603</v>
      </c>
      <c r="M6659" s="29" t="s">
        <v>3359</v>
      </c>
      <c r="N6659" s="29" t="s">
        <v>944</v>
      </c>
      <c r="O6659" s="29"/>
      <c r="P6659" s="29" t="s">
        <v>12483</v>
      </c>
      <c r="Q6659" t="s">
        <v>2040</v>
      </c>
      <c r="R6659" t="s">
        <v>2635</v>
      </c>
      <c r="S6659">
        <v>38</v>
      </c>
      <c r="T6659" s="43" t="str">
        <f t="shared" si="303"/>
        <v>2022.015P.Tombusviridae_rename.zip</v>
      </c>
      <c r="U6659" s="43" t="str">
        <f>HYPERLINK("https://ictv.global/taxonomy/taxondetails?taxnode_id=202205237","ictv.global=202205237")</f>
        <v>ictv.global=202205237</v>
      </c>
    </row>
    <row r="6660" spans="1:21">
      <c r="A6660">
        <v>6659</v>
      </c>
      <c r="B6660" s="29" t="s">
        <v>3223</v>
      </c>
      <c r="C6660" s="29"/>
      <c r="D6660" s="29" t="s">
        <v>4156</v>
      </c>
      <c r="E6660" s="29"/>
      <c r="F6660" s="29" t="s">
        <v>4173</v>
      </c>
      <c r="G6660" s="29"/>
      <c r="H6660" s="29" t="s">
        <v>4197</v>
      </c>
      <c r="I6660" s="29"/>
      <c r="J6660" s="29" t="s">
        <v>4198</v>
      </c>
      <c r="K6660" s="29"/>
      <c r="L6660" s="29" t="s">
        <v>603</v>
      </c>
      <c r="M6660" s="29" t="s">
        <v>3359</v>
      </c>
      <c r="N6660" s="29" t="s">
        <v>1394</v>
      </c>
      <c r="O6660" s="29"/>
      <c r="P6660" s="29" t="s">
        <v>12484</v>
      </c>
      <c r="Q6660" t="s">
        <v>2040</v>
      </c>
      <c r="R6660" t="s">
        <v>2635</v>
      </c>
      <c r="S6660">
        <v>38</v>
      </c>
      <c r="T6660" s="43" t="str">
        <f t="shared" si="303"/>
        <v>2022.015P.Tombusviridae_rename.zip</v>
      </c>
      <c r="U6660" s="43" t="str">
        <f>HYPERLINK("https://ictv.global/taxonomy/taxondetails?taxnode_id=202205239","ictv.global=202205239")</f>
        <v>ictv.global=202205239</v>
      </c>
    </row>
    <row r="6661" spans="1:21">
      <c r="A6661">
        <v>6660</v>
      </c>
      <c r="B6661" s="29" t="s">
        <v>3223</v>
      </c>
      <c r="C6661" s="29"/>
      <c r="D6661" s="29" t="s">
        <v>4156</v>
      </c>
      <c r="E6661" s="29"/>
      <c r="F6661" s="29" t="s">
        <v>4173</v>
      </c>
      <c r="G6661" s="29"/>
      <c r="H6661" s="29" t="s">
        <v>4197</v>
      </c>
      <c r="I6661" s="29"/>
      <c r="J6661" s="29" t="s">
        <v>4198</v>
      </c>
      <c r="K6661" s="29"/>
      <c r="L6661" s="29" t="s">
        <v>603</v>
      </c>
      <c r="M6661" s="29" t="s">
        <v>3359</v>
      </c>
      <c r="N6661" s="29" t="s">
        <v>1394</v>
      </c>
      <c r="O6661" s="29"/>
      <c r="P6661" s="29" t="s">
        <v>12485</v>
      </c>
      <c r="Q6661" t="s">
        <v>2040</v>
      </c>
      <c r="R6661" t="s">
        <v>2635</v>
      </c>
      <c r="S6661">
        <v>38</v>
      </c>
      <c r="T6661" s="43" t="str">
        <f t="shared" si="303"/>
        <v>2022.015P.Tombusviridae_rename.zip</v>
      </c>
      <c r="U6661" s="43" t="str">
        <f>HYPERLINK("https://ictv.global/taxonomy/taxondetails?taxnode_id=202205240","ictv.global=202205240")</f>
        <v>ictv.global=202205240</v>
      </c>
    </row>
    <row r="6662" spans="1:21">
      <c r="A6662">
        <v>6661</v>
      </c>
      <c r="B6662" s="29" t="s">
        <v>3223</v>
      </c>
      <c r="C6662" s="29"/>
      <c r="D6662" s="29" t="s">
        <v>4156</v>
      </c>
      <c r="E6662" s="29"/>
      <c r="F6662" s="29" t="s">
        <v>4173</v>
      </c>
      <c r="G6662" s="29"/>
      <c r="H6662" s="29" t="s">
        <v>4197</v>
      </c>
      <c r="I6662" s="29"/>
      <c r="J6662" s="29" t="s">
        <v>4198</v>
      </c>
      <c r="K6662" s="29"/>
      <c r="L6662" s="29" t="s">
        <v>603</v>
      </c>
      <c r="M6662" s="29" t="s">
        <v>3359</v>
      </c>
      <c r="N6662" s="29" t="s">
        <v>1394</v>
      </c>
      <c r="O6662" s="29"/>
      <c r="P6662" s="29" t="s">
        <v>12486</v>
      </c>
      <c r="Q6662" t="s">
        <v>2040</v>
      </c>
      <c r="R6662" t="s">
        <v>2635</v>
      </c>
      <c r="S6662">
        <v>38</v>
      </c>
      <c r="T6662" s="43" t="str">
        <f t="shared" si="303"/>
        <v>2022.015P.Tombusviridae_rename.zip</v>
      </c>
      <c r="U6662" s="43" t="str">
        <f>HYPERLINK("https://ictv.global/taxonomy/taxondetails?taxnode_id=202205241","ictv.global=202205241")</f>
        <v>ictv.global=202205241</v>
      </c>
    </row>
    <row r="6663" spans="1:21">
      <c r="A6663">
        <v>6662</v>
      </c>
      <c r="B6663" s="29" t="s">
        <v>3223</v>
      </c>
      <c r="C6663" s="29"/>
      <c r="D6663" s="29" t="s">
        <v>4156</v>
      </c>
      <c r="E6663" s="29"/>
      <c r="F6663" s="29" t="s">
        <v>4173</v>
      </c>
      <c r="G6663" s="29"/>
      <c r="H6663" s="29" t="s">
        <v>4197</v>
      </c>
      <c r="I6663" s="29"/>
      <c r="J6663" s="29" t="s">
        <v>4198</v>
      </c>
      <c r="K6663" s="29"/>
      <c r="L6663" s="29" t="s">
        <v>603</v>
      </c>
      <c r="M6663" s="29" t="s">
        <v>3359</v>
      </c>
      <c r="N6663" s="29" t="s">
        <v>2332</v>
      </c>
      <c r="O6663" s="29"/>
      <c r="P6663" s="29" t="s">
        <v>12487</v>
      </c>
      <c r="Q6663" t="s">
        <v>2040</v>
      </c>
      <c r="R6663" t="s">
        <v>2635</v>
      </c>
      <c r="S6663">
        <v>38</v>
      </c>
      <c r="T6663" s="43" t="str">
        <f t="shared" si="303"/>
        <v>2022.015P.Tombusviridae_rename.zip</v>
      </c>
      <c r="U6663" s="43" t="str">
        <f>HYPERLINK("https://ictv.global/taxonomy/taxondetails?taxnode_id=202205246","ictv.global=202205246")</f>
        <v>ictv.global=202205246</v>
      </c>
    </row>
    <row r="6664" spans="1:21">
      <c r="A6664">
        <v>6663</v>
      </c>
      <c r="B6664" s="29" t="s">
        <v>3223</v>
      </c>
      <c r="C6664" s="29"/>
      <c r="D6664" s="29" t="s">
        <v>4156</v>
      </c>
      <c r="E6664" s="29"/>
      <c r="F6664" s="29" t="s">
        <v>4173</v>
      </c>
      <c r="G6664" s="29"/>
      <c r="H6664" s="29" t="s">
        <v>4197</v>
      </c>
      <c r="I6664" s="29"/>
      <c r="J6664" s="29" t="s">
        <v>4198</v>
      </c>
      <c r="K6664" s="29"/>
      <c r="L6664" s="29" t="s">
        <v>603</v>
      </c>
      <c r="M6664" s="29" t="s">
        <v>3359</v>
      </c>
      <c r="N6664" s="29" t="s">
        <v>2332</v>
      </c>
      <c r="O6664" s="29"/>
      <c r="P6664" s="29" t="s">
        <v>12488</v>
      </c>
      <c r="Q6664" t="s">
        <v>2040</v>
      </c>
      <c r="R6664" t="s">
        <v>2635</v>
      </c>
      <c r="S6664">
        <v>38</v>
      </c>
      <c r="T6664" s="43" t="str">
        <f t="shared" si="303"/>
        <v>2022.015P.Tombusviridae_rename.zip</v>
      </c>
      <c r="U6664" s="43" t="str">
        <f>HYPERLINK("https://ictv.global/taxonomy/taxondetails?taxnode_id=202205244","ictv.global=202205244")</f>
        <v>ictv.global=202205244</v>
      </c>
    </row>
    <row r="6665" spans="1:21">
      <c r="A6665">
        <v>6664</v>
      </c>
      <c r="B6665" s="29" t="s">
        <v>3223</v>
      </c>
      <c r="C6665" s="29"/>
      <c r="D6665" s="29" t="s">
        <v>4156</v>
      </c>
      <c r="E6665" s="29"/>
      <c r="F6665" s="29" t="s">
        <v>4173</v>
      </c>
      <c r="G6665" s="29"/>
      <c r="H6665" s="29" t="s">
        <v>4197</v>
      </c>
      <c r="I6665" s="29"/>
      <c r="J6665" s="29" t="s">
        <v>4198</v>
      </c>
      <c r="K6665" s="29"/>
      <c r="L6665" s="29" t="s">
        <v>603</v>
      </c>
      <c r="M6665" s="29" t="s">
        <v>3359</v>
      </c>
      <c r="N6665" s="29" t="s">
        <v>2332</v>
      </c>
      <c r="O6665" s="29"/>
      <c r="P6665" s="29" t="s">
        <v>12489</v>
      </c>
      <c r="Q6665" t="s">
        <v>2040</v>
      </c>
      <c r="R6665" t="s">
        <v>2635</v>
      </c>
      <c r="S6665">
        <v>38</v>
      </c>
      <c r="T6665" s="43" t="str">
        <f t="shared" si="303"/>
        <v>2022.015P.Tombusviridae_rename.zip</v>
      </c>
      <c r="U6665" s="43" t="str">
        <f>HYPERLINK("https://ictv.global/taxonomy/taxondetails?taxnode_id=202206290","ictv.global=202206290")</f>
        <v>ictv.global=202206290</v>
      </c>
    </row>
    <row r="6666" spans="1:21">
      <c r="A6666">
        <v>6665</v>
      </c>
      <c r="B6666" s="29" t="s">
        <v>3223</v>
      </c>
      <c r="C6666" s="29"/>
      <c r="D6666" s="29" t="s">
        <v>4156</v>
      </c>
      <c r="E6666" s="29"/>
      <c r="F6666" s="29" t="s">
        <v>4173</v>
      </c>
      <c r="G6666" s="29"/>
      <c r="H6666" s="29" t="s">
        <v>4197</v>
      </c>
      <c r="I6666" s="29"/>
      <c r="J6666" s="29" t="s">
        <v>4198</v>
      </c>
      <c r="K6666" s="29"/>
      <c r="L6666" s="29" t="s">
        <v>603</v>
      </c>
      <c r="M6666" s="29" t="s">
        <v>3359</v>
      </c>
      <c r="N6666" s="29" t="s">
        <v>2332</v>
      </c>
      <c r="O6666" s="29"/>
      <c r="P6666" s="29" t="s">
        <v>12490</v>
      </c>
      <c r="Q6666" t="s">
        <v>2040</v>
      </c>
      <c r="R6666" t="s">
        <v>2635</v>
      </c>
      <c r="S6666">
        <v>38</v>
      </c>
      <c r="T6666" s="43" t="str">
        <f t="shared" si="303"/>
        <v>2022.015P.Tombusviridae_rename.zip</v>
      </c>
      <c r="U6666" s="43" t="str">
        <f>HYPERLINK("https://ictv.global/taxonomy/taxondetails?taxnode_id=202209875","ictv.global=202209875")</f>
        <v>ictv.global=202209875</v>
      </c>
    </row>
    <row r="6667" spans="1:21">
      <c r="A6667">
        <v>6666</v>
      </c>
      <c r="B6667" s="29" t="s">
        <v>3223</v>
      </c>
      <c r="C6667" s="29"/>
      <c r="D6667" s="29" t="s">
        <v>4156</v>
      </c>
      <c r="E6667" s="29"/>
      <c r="F6667" s="29" t="s">
        <v>4173</v>
      </c>
      <c r="G6667" s="29"/>
      <c r="H6667" s="29" t="s">
        <v>4197</v>
      </c>
      <c r="I6667" s="29"/>
      <c r="J6667" s="29" t="s">
        <v>4198</v>
      </c>
      <c r="K6667" s="29"/>
      <c r="L6667" s="29" t="s">
        <v>603</v>
      </c>
      <c r="M6667" s="29" t="s">
        <v>3359</v>
      </c>
      <c r="N6667" s="29" t="s">
        <v>2332</v>
      </c>
      <c r="O6667" s="29"/>
      <c r="P6667" s="29" t="s">
        <v>12491</v>
      </c>
      <c r="Q6667" t="s">
        <v>2040</v>
      </c>
      <c r="R6667" t="s">
        <v>2635</v>
      </c>
      <c r="S6667">
        <v>38</v>
      </c>
      <c r="T6667" s="43" t="str">
        <f t="shared" si="303"/>
        <v>2022.015P.Tombusviridae_rename.zip</v>
      </c>
      <c r="U6667" s="43" t="str">
        <f>HYPERLINK("https://ictv.global/taxonomy/taxondetails?taxnode_id=202205245","ictv.global=202205245")</f>
        <v>ictv.global=202205245</v>
      </c>
    </row>
    <row r="6668" spans="1:21">
      <c r="A6668">
        <v>6667</v>
      </c>
      <c r="B6668" s="29" t="s">
        <v>3223</v>
      </c>
      <c r="C6668" s="29"/>
      <c r="D6668" s="29" t="s">
        <v>4156</v>
      </c>
      <c r="E6668" s="29"/>
      <c r="F6668" s="29" t="s">
        <v>4173</v>
      </c>
      <c r="G6668" s="29"/>
      <c r="H6668" s="29" t="s">
        <v>4197</v>
      </c>
      <c r="I6668" s="29"/>
      <c r="J6668" s="29" t="s">
        <v>4198</v>
      </c>
      <c r="K6668" s="29"/>
      <c r="L6668" s="29" t="s">
        <v>603</v>
      </c>
      <c r="M6668" s="29" t="s">
        <v>3359</v>
      </c>
      <c r="N6668" s="29" t="s">
        <v>2332</v>
      </c>
      <c r="O6668" s="29"/>
      <c r="P6668" s="29" t="s">
        <v>12492</v>
      </c>
      <c r="Q6668" t="s">
        <v>2040</v>
      </c>
      <c r="R6668" t="s">
        <v>2635</v>
      </c>
      <c r="S6668">
        <v>38</v>
      </c>
      <c r="T6668" s="43" t="str">
        <f t="shared" si="303"/>
        <v>2022.015P.Tombusviridae_rename.zip</v>
      </c>
      <c r="U6668" s="43" t="str">
        <f>HYPERLINK("https://ictv.global/taxonomy/taxondetails?taxnode_id=202205247","ictv.global=202205247")</f>
        <v>ictv.global=202205247</v>
      </c>
    </row>
    <row r="6669" spans="1:21">
      <c r="A6669">
        <v>6668</v>
      </c>
      <c r="B6669" s="29" t="s">
        <v>3223</v>
      </c>
      <c r="C6669" s="29"/>
      <c r="D6669" s="29" t="s">
        <v>4156</v>
      </c>
      <c r="E6669" s="29"/>
      <c r="F6669" s="29" t="s">
        <v>4173</v>
      </c>
      <c r="G6669" s="29"/>
      <c r="H6669" s="29" t="s">
        <v>4197</v>
      </c>
      <c r="I6669" s="29"/>
      <c r="J6669" s="29" t="s">
        <v>4198</v>
      </c>
      <c r="K6669" s="29"/>
      <c r="L6669" s="29" t="s">
        <v>603</v>
      </c>
      <c r="M6669" s="29" t="s">
        <v>3359</v>
      </c>
      <c r="N6669" s="29" t="s">
        <v>2332</v>
      </c>
      <c r="O6669" s="29"/>
      <c r="P6669" s="29" t="s">
        <v>12493</v>
      </c>
      <c r="Q6669" t="s">
        <v>2040</v>
      </c>
      <c r="R6669" t="s">
        <v>2635</v>
      </c>
      <c r="S6669">
        <v>38</v>
      </c>
      <c r="T6669" s="43" t="str">
        <f t="shared" si="303"/>
        <v>2022.015P.Tombusviridae_rename.zip</v>
      </c>
      <c r="U6669" s="43" t="str">
        <f>HYPERLINK("https://ictv.global/taxonomy/taxondetails?taxnode_id=202205243","ictv.global=202205243")</f>
        <v>ictv.global=202205243</v>
      </c>
    </row>
    <row r="6670" spans="1:21">
      <c r="A6670">
        <v>6669</v>
      </c>
      <c r="B6670" s="29" t="s">
        <v>3223</v>
      </c>
      <c r="C6670" s="29"/>
      <c r="D6670" s="29" t="s">
        <v>4156</v>
      </c>
      <c r="E6670" s="29"/>
      <c r="F6670" s="29" t="s">
        <v>4173</v>
      </c>
      <c r="G6670" s="29"/>
      <c r="H6670" s="29" t="s">
        <v>4197</v>
      </c>
      <c r="I6670" s="29"/>
      <c r="J6670" s="29" t="s">
        <v>4198</v>
      </c>
      <c r="K6670" s="29"/>
      <c r="L6670" s="29" t="s">
        <v>603</v>
      </c>
      <c r="M6670" s="29" t="s">
        <v>3359</v>
      </c>
      <c r="N6670" s="29" t="s">
        <v>2332</v>
      </c>
      <c r="O6670" s="29"/>
      <c r="P6670" s="29" t="s">
        <v>12494</v>
      </c>
      <c r="Q6670" t="s">
        <v>2040</v>
      </c>
      <c r="R6670" t="s">
        <v>2635</v>
      </c>
      <c r="S6670">
        <v>38</v>
      </c>
      <c r="T6670" s="43" t="str">
        <f t="shared" si="303"/>
        <v>2022.015P.Tombusviridae_rename.zip</v>
      </c>
      <c r="U6670" s="43" t="str">
        <f>HYPERLINK("https://ictv.global/taxonomy/taxondetails?taxnode_id=202209876","ictv.global=202209876")</f>
        <v>ictv.global=202209876</v>
      </c>
    </row>
    <row r="6671" spans="1:21">
      <c r="A6671">
        <v>6670</v>
      </c>
      <c r="B6671" s="29" t="s">
        <v>3223</v>
      </c>
      <c r="C6671" s="29"/>
      <c r="D6671" s="29" t="s">
        <v>4156</v>
      </c>
      <c r="E6671" s="29"/>
      <c r="F6671" s="29" t="s">
        <v>4173</v>
      </c>
      <c r="G6671" s="29"/>
      <c r="H6671" s="29" t="s">
        <v>4197</v>
      </c>
      <c r="I6671" s="29"/>
      <c r="J6671" s="29" t="s">
        <v>4198</v>
      </c>
      <c r="K6671" s="29"/>
      <c r="L6671" s="29" t="s">
        <v>603</v>
      </c>
      <c r="M6671" s="29" t="s">
        <v>3359</v>
      </c>
      <c r="N6671" s="29" t="s">
        <v>1395</v>
      </c>
      <c r="O6671" s="29"/>
      <c r="P6671" s="29" t="s">
        <v>12495</v>
      </c>
      <c r="Q6671" t="s">
        <v>2040</v>
      </c>
      <c r="R6671" t="s">
        <v>2635</v>
      </c>
      <c r="S6671">
        <v>38</v>
      </c>
      <c r="T6671" s="43" t="str">
        <f t="shared" si="303"/>
        <v>2022.015P.Tombusviridae_rename.zip</v>
      </c>
      <c r="U6671" s="43" t="str">
        <f>HYPERLINK("https://ictv.global/taxonomy/taxondetails?taxnode_id=202205255","ictv.global=202205255")</f>
        <v>ictv.global=202205255</v>
      </c>
    </row>
    <row r="6672" spans="1:21">
      <c r="A6672">
        <v>6671</v>
      </c>
      <c r="B6672" s="29" t="s">
        <v>3223</v>
      </c>
      <c r="C6672" s="29"/>
      <c r="D6672" s="29" t="s">
        <v>4156</v>
      </c>
      <c r="E6672" s="29"/>
      <c r="F6672" s="29" t="s">
        <v>4173</v>
      </c>
      <c r="G6672" s="29"/>
      <c r="H6672" s="29" t="s">
        <v>4197</v>
      </c>
      <c r="I6672" s="29"/>
      <c r="J6672" s="29" t="s">
        <v>4198</v>
      </c>
      <c r="K6672" s="29"/>
      <c r="L6672" s="29" t="s">
        <v>603</v>
      </c>
      <c r="M6672" s="29" t="s">
        <v>3359</v>
      </c>
      <c r="N6672" s="29" t="s">
        <v>1395</v>
      </c>
      <c r="O6672" s="29"/>
      <c r="P6672" s="29" t="s">
        <v>12496</v>
      </c>
      <c r="Q6672" t="s">
        <v>2040</v>
      </c>
      <c r="R6672" t="s">
        <v>2635</v>
      </c>
      <c r="S6672">
        <v>38</v>
      </c>
      <c r="T6672" s="43" t="str">
        <f t="shared" si="303"/>
        <v>2022.015P.Tombusviridae_rename.zip</v>
      </c>
      <c r="U6672" s="43" t="str">
        <f>HYPERLINK("https://ictv.global/taxonomy/taxondetails?taxnode_id=202205251","ictv.global=202205251")</f>
        <v>ictv.global=202205251</v>
      </c>
    </row>
    <row r="6673" spans="1:21">
      <c r="A6673">
        <v>6672</v>
      </c>
      <c r="B6673" s="29" t="s">
        <v>3223</v>
      </c>
      <c r="C6673" s="29"/>
      <c r="D6673" s="29" t="s">
        <v>4156</v>
      </c>
      <c r="E6673" s="29"/>
      <c r="F6673" s="29" t="s">
        <v>4173</v>
      </c>
      <c r="G6673" s="29"/>
      <c r="H6673" s="29" t="s">
        <v>4197</v>
      </c>
      <c r="I6673" s="29"/>
      <c r="J6673" s="29" t="s">
        <v>4198</v>
      </c>
      <c r="K6673" s="29"/>
      <c r="L6673" s="29" t="s">
        <v>603</v>
      </c>
      <c r="M6673" s="29" t="s">
        <v>3359</v>
      </c>
      <c r="N6673" s="29" t="s">
        <v>1395</v>
      </c>
      <c r="O6673" s="29"/>
      <c r="P6673" s="29" t="s">
        <v>12497</v>
      </c>
      <c r="Q6673" t="s">
        <v>2040</v>
      </c>
      <c r="R6673" t="s">
        <v>2635</v>
      </c>
      <c r="S6673">
        <v>38</v>
      </c>
      <c r="T6673" s="43" t="str">
        <f t="shared" si="303"/>
        <v>2022.015P.Tombusviridae_rename.zip</v>
      </c>
      <c r="U6673" s="43" t="str">
        <f>HYPERLINK("https://ictv.global/taxonomy/taxondetails?taxnode_id=202205252","ictv.global=202205252")</f>
        <v>ictv.global=202205252</v>
      </c>
    </row>
    <row r="6674" spans="1:21">
      <c r="A6674">
        <v>6673</v>
      </c>
      <c r="B6674" s="29" t="s">
        <v>3223</v>
      </c>
      <c r="C6674" s="29"/>
      <c r="D6674" s="29" t="s">
        <v>4156</v>
      </c>
      <c r="E6674" s="29"/>
      <c r="F6674" s="29" t="s">
        <v>4173</v>
      </c>
      <c r="G6674" s="29"/>
      <c r="H6674" s="29" t="s">
        <v>4197</v>
      </c>
      <c r="I6674" s="29"/>
      <c r="J6674" s="29" t="s">
        <v>4198</v>
      </c>
      <c r="K6674" s="29"/>
      <c r="L6674" s="29" t="s">
        <v>603</v>
      </c>
      <c r="M6674" s="29" t="s">
        <v>3359</v>
      </c>
      <c r="N6674" s="29" t="s">
        <v>1395</v>
      </c>
      <c r="O6674" s="29"/>
      <c r="P6674" s="29" t="s">
        <v>12498</v>
      </c>
      <c r="Q6674" t="s">
        <v>2040</v>
      </c>
      <c r="R6674" t="s">
        <v>2635</v>
      </c>
      <c r="S6674">
        <v>38</v>
      </c>
      <c r="T6674" s="43" t="str">
        <f t="shared" si="303"/>
        <v>2022.015P.Tombusviridae_rename.zip</v>
      </c>
      <c r="U6674" s="43" t="str">
        <f>HYPERLINK("https://ictv.global/taxonomy/taxondetails?taxnode_id=202205253","ictv.global=202205253")</f>
        <v>ictv.global=202205253</v>
      </c>
    </row>
    <row r="6675" spans="1:21">
      <c r="A6675">
        <v>6674</v>
      </c>
      <c r="B6675" s="29" t="s">
        <v>3223</v>
      </c>
      <c r="C6675" s="29"/>
      <c r="D6675" s="29" t="s">
        <v>4156</v>
      </c>
      <c r="E6675" s="29"/>
      <c r="F6675" s="29" t="s">
        <v>4173</v>
      </c>
      <c r="G6675" s="29"/>
      <c r="H6675" s="29" t="s">
        <v>4197</v>
      </c>
      <c r="I6675" s="29"/>
      <c r="J6675" s="29" t="s">
        <v>4198</v>
      </c>
      <c r="K6675" s="29"/>
      <c r="L6675" s="29" t="s">
        <v>603</v>
      </c>
      <c r="M6675" s="29" t="s">
        <v>3359</v>
      </c>
      <c r="N6675" s="29" t="s">
        <v>1395</v>
      </c>
      <c r="O6675" s="29"/>
      <c r="P6675" s="29" t="s">
        <v>12499</v>
      </c>
      <c r="Q6675" t="s">
        <v>2040</v>
      </c>
      <c r="R6675" t="s">
        <v>2635</v>
      </c>
      <c r="S6675">
        <v>38</v>
      </c>
      <c r="T6675" s="43" t="str">
        <f t="shared" si="303"/>
        <v>2022.015P.Tombusviridae_rename.zip</v>
      </c>
      <c r="U6675" s="43" t="str">
        <f>HYPERLINK("https://ictv.global/taxonomy/taxondetails?taxnode_id=202205249","ictv.global=202205249")</f>
        <v>ictv.global=202205249</v>
      </c>
    </row>
    <row r="6676" spans="1:21">
      <c r="A6676">
        <v>6675</v>
      </c>
      <c r="B6676" s="29" t="s">
        <v>3223</v>
      </c>
      <c r="C6676" s="29"/>
      <c r="D6676" s="29" t="s">
        <v>4156</v>
      </c>
      <c r="E6676" s="29"/>
      <c r="F6676" s="29" t="s">
        <v>4173</v>
      </c>
      <c r="G6676" s="29"/>
      <c r="H6676" s="29" t="s">
        <v>4197</v>
      </c>
      <c r="I6676" s="29"/>
      <c r="J6676" s="29" t="s">
        <v>4198</v>
      </c>
      <c r="K6676" s="29"/>
      <c r="L6676" s="29" t="s">
        <v>603</v>
      </c>
      <c r="M6676" s="29" t="s">
        <v>3359</v>
      </c>
      <c r="N6676" s="29" t="s">
        <v>1395</v>
      </c>
      <c r="O6676" s="29"/>
      <c r="P6676" s="29" t="s">
        <v>12500</v>
      </c>
      <c r="Q6676" t="s">
        <v>2040</v>
      </c>
      <c r="R6676" t="s">
        <v>2635</v>
      </c>
      <c r="S6676">
        <v>38</v>
      </c>
      <c r="T6676" s="43" t="str">
        <f t="shared" si="303"/>
        <v>2022.015P.Tombusviridae_rename.zip</v>
      </c>
      <c r="U6676" s="43" t="str">
        <f>HYPERLINK("https://ictv.global/taxonomy/taxondetails?taxnode_id=202205250","ictv.global=202205250")</f>
        <v>ictv.global=202205250</v>
      </c>
    </row>
    <row r="6677" spans="1:21">
      <c r="A6677">
        <v>6676</v>
      </c>
      <c r="B6677" s="29" t="s">
        <v>3223</v>
      </c>
      <c r="C6677" s="29"/>
      <c r="D6677" s="29" t="s">
        <v>4156</v>
      </c>
      <c r="E6677" s="29"/>
      <c r="F6677" s="29" t="s">
        <v>4173</v>
      </c>
      <c r="G6677" s="29"/>
      <c r="H6677" s="29" t="s">
        <v>4197</v>
      </c>
      <c r="I6677" s="29"/>
      <c r="J6677" s="29" t="s">
        <v>4198</v>
      </c>
      <c r="K6677" s="29"/>
      <c r="L6677" s="29" t="s">
        <v>603</v>
      </c>
      <c r="M6677" s="29" t="s">
        <v>3359</v>
      </c>
      <c r="N6677" s="29" t="s">
        <v>1395</v>
      </c>
      <c r="O6677" s="29"/>
      <c r="P6677" s="29" t="s">
        <v>12501</v>
      </c>
      <c r="Q6677" t="s">
        <v>2040</v>
      </c>
      <c r="R6677" t="s">
        <v>2635</v>
      </c>
      <c r="S6677">
        <v>38</v>
      </c>
      <c r="T6677" s="43" t="str">
        <f t="shared" si="303"/>
        <v>2022.015P.Tombusviridae_rename.zip</v>
      </c>
      <c r="U6677" s="43" t="str">
        <f>HYPERLINK("https://ictv.global/taxonomy/taxondetails?taxnode_id=202205256","ictv.global=202205256")</f>
        <v>ictv.global=202205256</v>
      </c>
    </row>
    <row r="6678" spans="1:21">
      <c r="A6678">
        <v>6677</v>
      </c>
      <c r="B6678" s="29" t="s">
        <v>3223</v>
      </c>
      <c r="C6678" s="29"/>
      <c r="D6678" s="29" t="s">
        <v>4156</v>
      </c>
      <c r="E6678" s="29"/>
      <c r="F6678" s="29" t="s">
        <v>4173</v>
      </c>
      <c r="G6678" s="29"/>
      <c r="H6678" s="29" t="s">
        <v>4197</v>
      </c>
      <c r="I6678" s="29"/>
      <c r="J6678" s="29" t="s">
        <v>4198</v>
      </c>
      <c r="K6678" s="29"/>
      <c r="L6678" s="29" t="s">
        <v>603</v>
      </c>
      <c r="M6678" s="29" t="s">
        <v>3359</v>
      </c>
      <c r="N6678" s="29" t="s">
        <v>1395</v>
      </c>
      <c r="O6678" s="29"/>
      <c r="P6678" s="29" t="s">
        <v>12502</v>
      </c>
      <c r="Q6678" t="s">
        <v>2040</v>
      </c>
      <c r="R6678" t="s">
        <v>2635</v>
      </c>
      <c r="S6678">
        <v>38</v>
      </c>
      <c r="T6678" s="43" t="str">
        <f t="shared" si="303"/>
        <v>2022.015P.Tombusviridae_rename.zip</v>
      </c>
      <c r="U6678" s="43" t="str">
        <f>HYPERLINK("https://ictv.global/taxonomy/taxondetails?taxnode_id=202205257","ictv.global=202205257")</f>
        <v>ictv.global=202205257</v>
      </c>
    </row>
    <row r="6679" spans="1:21">
      <c r="A6679">
        <v>6678</v>
      </c>
      <c r="B6679" s="29" t="s">
        <v>3223</v>
      </c>
      <c r="C6679" s="29"/>
      <c r="D6679" s="29" t="s">
        <v>4156</v>
      </c>
      <c r="E6679" s="29"/>
      <c r="F6679" s="29" t="s">
        <v>4173</v>
      </c>
      <c r="G6679" s="29"/>
      <c r="H6679" s="29" t="s">
        <v>4197</v>
      </c>
      <c r="I6679" s="29"/>
      <c r="J6679" s="29" t="s">
        <v>4198</v>
      </c>
      <c r="K6679" s="29"/>
      <c r="L6679" s="29" t="s">
        <v>603</v>
      </c>
      <c r="M6679" s="29" t="s">
        <v>3359</v>
      </c>
      <c r="N6679" s="29" t="s">
        <v>1395</v>
      </c>
      <c r="O6679" s="29"/>
      <c r="P6679" s="29" t="s">
        <v>12503</v>
      </c>
      <c r="Q6679" t="s">
        <v>2040</v>
      </c>
      <c r="R6679" t="s">
        <v>2635</v>
      </c>
      <c r="S6679">
        <v>38</v>
      </c>
      <c r="T6679" s="43" t="str">
        <f t="shared" si="303"/>
        <v>2022.015P.Tombusviridae_rename.zip</v>
      </c>
      <c r="U6679" s="43" t="str">
        <f>HYPERLINK("https://ictv.global/taxonomy/taxondetails?taxnode_id=202205258","ictv.global=202205258")</f>
        <v>ictv.global=202205258</v>
      </c>
    </row>
    <row r="6680" spans="1:21">
      <c r="A6680">
        <v>6679</v>
      </c>
      <c r="B6680" s="29" t="s">
        <v>3223</v>
      </c>
      <c r="C6680" s="29"/>
      <c r="D6680" s="29" t="s">
        <v>4156</v>
      </c>
      <c r="E6680" s="29"/>
      <c r="F6680" s="29" t="s">
        <v>4173</v>
      </c>
      <c r="G6680" s="29"/>
      <c r="H6680" s="29" t="s">
        <v>4197</v>
      </c>
      <c r="I6680" s="29"/>
      <c r="J6680" s="29" t="s">
        <v>4198</v>
      </c>
      <c r="K6680" s="29"/>
      <c r="L6680" s="29" t="s">
        <v>603</v>
      </c>
      <c r="M6680" s="29" t="s">
        <v>3359</v>
      </c>
      <c r="N6680" s="29" t="s">
        <v>1395</v>
      </c>
      <c r="O6680" s="29"/>
      <c r="P6680" s="29" t="s">
        <v>12504</v>
      </c>
      <c r="Q6680" t="s">
        <v>2040</v>
      </c>
      <c r="R6680" t="s">
        <v>2635</v>
      </c>
      <c r="S6680">
        <v>38</v>
      </c>
      <c r="T6680" s="43" t="str">
        <f t="shared" ref="T6680:T6687" si="304">HYPERLINK("https://ictv.global/ictv/proposals/2022.015P.Tombusviridae_rename.zip","2022.015P.Tombusviridae_rename.zip")</f>
        <v>2022.015P.Tombusviridae_rename.zip</v>
      </c>
      <c r="U6680" s="43" t="str">
        <f>HYPERLINK("https://ictv.global/taxonomy/taxondetails?taxnode_id=202205265","ictv.global=202205265")</f>
        <v>ictv.global=202205265</v>
      </c>
    </row>
    <row r="6681" spans="1:21">
      <c r="A6681">
        <v>6680</v>
      </c>
      <c r="B6681" s="29" t="s">
        <v>3223</v>
      </c>
      <c r="C6681" s="29"/>
      <c r="D6681" s="29" t="s">
        <v>4156</v>
      </c>
      <c r="E6681" s="29"/>
      <c r="F6681" s="29" t="s">
        <v>4173</v>
      </c>
      <c r="G6681" s="29"/>
      <c r="H6681" s="29" t="s">
        <v>4197</v>
      </c>
      <c r="I6681" s="29"/>
      <c r="J6681" s="29" t="s">
        <v>4198</v>
      </c>
      <c r="K6681" s="29"/>
      <c r="L6681" s="29" t="s">
        <v>603</v>
      </c>
      <c r="M6681" s="29" t="s">
        <v>3359</v>
      </c>
      <c r="N6681" s="29" t="s">
        <v>1395</v>
      </c>
      <c r="O6681" s="29"/>
      <c r="P6681" s="29" t="s">
        <v>12505</v>
      </c>
      <c r="Q6681" t="s">
        <v>2040</v>
      </c>
      <c r="R6681" t="s">
        <v>2635</v>
      </c>
      <c r="S6681">
        <v>38</v>
      </c>
      <c r="T6681" s="43" t="str">
        <f t="shared" si="304"/>
        <v>2022.015P.Tombusviridae_rename.zip</v>
      </c>
      <c r="U6681" s="43" t="str">
        <f>HYPERLINK("https://ictv.global/taxonomy/taxondetails?taxnode_id=202205254","ictv.global=202205254")</f>
        <v>ictv.global=202205254</v>
      </c>
    </row>
    <row r="6682" spans="1:21">
      <c r="A6682">
        <v>6681</v>
      </c>
      <c r="B6682" s="29" t="s">
        <v>3223</v>
      </c>
      <c r="C6682" s="29"/>
      <c r="D6682" s="29" t="s">
        <v>4156</v>
      </c>
      <c r="E6682" s="29"/>
      <c r="F6682" s="29" t="s">
        <v>4173</v>
      </c>
      <c r="G6682" s="29"/>
      <c r="H6682" s="29" t="s">
        <v>4197</v>
      </c>
      <c r="I6682" s="29"/>
      <c r="J6682" s="29" t="s">
        <v>4198</v>
      </c>
      <c r="K6682" s="29"/>
      <c r="L6682" s="29" t="s">
        <v>603</v>
      </c>
      <c r="M6682" s="29" t="s">
        <v>3359</v>
      </c>
      <c r="N6682" s="29" t="s">
        <v>1395</v>
      </c>
      <c r="O6682" s="29"/>
      <c r="P6682" s="29" t="s">
        <v>12506</v>
      </c>
      <c r="Q6682" t="s">
        <v>2040</v>
      </c>
      <c r="R6682" t="s">
        <v>2635</v>
      </c>
      <c r="S6682">
        <v>38</v>
      </c>
      <c r="T6682" s="43" t="str">
        <f t="shared" si="304"/>
        <v>2022.015P.Tombusviridae_rename.zip</v>
      </c>
      <c r="U6682" s="43" t="str">
        <f>HYPERLINK("https://ictv.global/taxonomy/taxondetails?taxnode_id=202205259","ictv.global=202205259")</f>
        <v>ictv.global=202205259</v>
      </c>
    </row>
    <row r="6683" spans="1:21">
      <c r="A6683">
        <v>6682</v>
      </c>
      <c r="B6683" s="29" t="s">
        <v>3223</v>
      </c>
      <c r="C6683" s="29"/>
      <c r="D6683" s="29" t="s">
        <v>4156</v>
      </c>
      <c r="E6683" s="29"/>
      <c r="F6683" s="29" t="s">
        <v>4173</v>
      </c>
      <c r="G6683" s="29"/>
      <c r="H6683" s="29" t="s">
        <v>4197</v>
      </c>
      <c r="I6683" s="29"/>
      <c r="J6683" s="29" t="s">
        <v>4198</v>
      </c>
      <c r="K6683" s="29"/>
      <c r="L6683" s="29" t="s">
        <v>603</v>
      </c>
      <c r="M6683" s="29" t="s">
        <v>3359</v>
      </c>
      <c r="N6683" s="29" t="s">
        <v>1395</v>
      </c>
      <c r="O6683" s="29"/>
      <c r="P6683" s="29" t="s">
        <v>12507</v>
      </c>
      <c r="Q6683" t="s">
        <v>2040</v>
      </c>
      <c r="R6683" t="s">
        <v>2635</v>
      </c>
      <c r="S6683">
        <v>38</v>
      </c>
      <c r="T6683" s="43" t="str">
        <f t="shared" si="304"/>
        <v>2022.015P.Tombusviridae_rename.zip</v>
      </c>
      <c r="U6683" s="43" t="str">
        <f>HYPERLINK("https://ictv.global/taxonomy/taxondetails?taxnode_id=202205260","ictv.global=202205260")</f>
        <v>ictv.global=202205260</v>
      </c>
    </row>
    <row r="6684" spans="1:21">
      <c r="A6684">
        <v>6683</v>
      </c>
      <c r="B6684" s="29" t="s">
        <v>3223</v>
      </c>
      <c r="C6684" s="29"/>
      <c r="D6684" s="29" t="s">
        <v>4156</v>
      </c>
      <c r="E6684" s="29"/>
      <c r="F6684" s="29" t="s">
        <v>4173</v>
      </c>
      <c r="G6684" s="29"/>
      <c r="H6684" s="29" t="s">
        <v>4197</v>
      </c>
      <c r="I6684" s="29"/>
      <c r="J6684" s="29" t="s">
        <v>4198</v>
      </c>
      <c r="K6684" s="29"/>
      <c r="L6684" s="29" t="s">
        <v>603</v>
      </c>
      <c r="M6684" s="29" t="s">
        <v>3359</v>
      </c>
      <c r="N6684" s="29" t="s">
        <v>1395</v>
      </c>
      <c r="O6684" s="29"/>
      <c r="P6684" s="29" t="s">
        <v>12508</v>
      </c>
      <c r="Q6684" t="s">
        <v>2040</v>
      </c>
      <c r="R6684" t="s">
        <v>2635</v>
      </c>
      <c r="S6684">
        <v>38</v>
      </c>
      <c r="T6684" s="43" t="str">
        <f t="shared" si="304"/>
        <v>2022.015P.Tombusviridae_rename.zip</v>
      </c>
      <c r="U6684" s="43" t="str">
        <f>HYPERLINK("https://ictv.global/taxonomy/taxondetails?taxnode_id=202205262","ictv.global=202205262")</f>
        <v>ictv.global=202205262</v>
      </c>
    </row>
    <row r="6685" spans="1:21">
      <c r="A6685">
        <v>6684</v>
      </c>
      <c r="B6685" s="29" t="s">
        <v>3223</v>
      </c>
      <c r="C6685" s="29"/>
      <c r="D6685" s="29" t="s">
        <v>4156</v>
      </c>
      <c r="E6685" s="29"/>
      <c r="F6685" s="29" t="s">
        <v>4173</v>
      </c>
      <c r="G6685" s="29"/>
      <c r="H6685" s="29" t="s">
        <v>4197</v>
      </c>
      <c r="I6685" s="29"/>
      <c r="J6685" s="29" t="s">
        <v>4198</v>
      </c>
      <c r="K6685" s="29"/>
      <c r="L6685" s="29" t="s">
        <v>603</v>
      </c>
      <c r="M6685" s="29" t="s">
        <v>3359</v>
      </c>
      <c r="N6685" s="29" t="s">
        <v>1395</v>
      </c>
      <c r="O6685" s="29"/>
      <c r="P6685" s="29" t="s">
        <v>12509</v>
      </c>
      <c r="Q6685" t="s">
        <v>2040</v>
      </c>
      <c r="R6685" t="s">
        <v>2635</v>
      </c>
      <c r="S6685">
        <v>38</v>
      </c>
      <c r="T6685" s="43" t="str">
        <f t="shared" si="304"/>
        <v>2022.015P.Tombusviridae_rename.zip</v>
      </c>
      <c r="U6685" s="43" t="str">
        <f>HYPERLINK("https://ictv.global/taxonomy/taxondetails?taxnode_id=202205261","ictv.global=202205261")</f>
        <v>ictv.global=202205261</v>
      </c>
    </row>
    <row r="6686" spans="1:21">
      <c r="A6686">
        <v>6685</v>
      </c>
      <c r="B6686" s="29" t="s">
        <v>3223</v>
      </c>
      <c r="C6686" s="29"/>
      <c r="D6686" s="29" t="s">
        <v>4156</v>
      </c>
      <c r="E6686" s="29"/>
      <c r="F6686" s="29" t="s">
        <v>4173</v>
      </c>
      <c r="G6686" s="29"/>
      <c r="H6686" s="29" t="s">
        <v>4197</v>
      </c>
      <c r="I6686" s="29"/>
      <c r="J6686" s="29" t="s">
        <v>4198</v>
      </c>
      <c r="K6686" s="29"/>
      <c r="L6686" s="29" t="s">
        <v>603</v>
      </c>
      <c r="M6686" s="29" t="s">
        <v>3359</v>
      </c>
      <c r="N6686" s="29" t="s">
        <v>1395</v>
      </c>
      <c r="O6686" s="29"/>
      <c r="P6686" s="29" t="s">
        <v>12510</v>
      </c>
      <c r="Q6686" t="s">
        <v>2040</v>
      </c>
      <c r="R6686" t="s">
        <v>2635</v>
      </c>
      <c r="S6686">
        <v>38</v>
      </c>
      <c r="T6686" s="43" t="str">
        <f t="shared" si="304"/>
        <v>2022.015P.Tombusviridae_rename.zip</v>
      </c>
      <c r="U6686" s="43" t="str">
        <f>HYPERLINK("https://ictv.global/taxonomy/taxondetails?taxnode_id=202205263","ictv.global=202205263")</f>
        <v>ictv.global=202205263</v>
      </c>
    </row>
    <row r="6687" spans="1:21">
      <c r="A6687">
        <v>6686</v>
      </c>
      <c r="B6687" s="29" t="s">
        <v>3223</v>
      </c>
      <c r="C6687" s="29"/>
      <c r="D6687" s="29" t="s">
        <v>4156</v>
      </c>
      <c r="E6687" s="29"/>
      <c r="F6687" s="29" t="s">
        <v>4173</v>
      </c>
      <c r="G6687" s="29"/>
      <c r="H6687" s="29" t="s">
        <v>4197</v>
      </c>
      <c r="I6687" s="29"/>
      <c r="J6687" s="29" t="s">
        <v>4198</v>
      </c>
      <c r="K6687" s="29"/>
      <c r="L6687" s="29" t="s">
        <v>603</v>
      </c>
      <c r="M6687" s="29" t="s">
        <v>3359</v>
      </c>
      <c r="N6687" s="29" t="s">
        <v>1395</v>
      </c>
      <c r="O6687" s="29"/>
      <c r="P6687" s="29" t="s">
        <v>12511</v>
      </c>
      <c r="Q6687" t="s">
        <v>2040</v>
      </c>
      <c r="R6687" t="s">
        <v>2635</v>
      </c>
      <c r="S6687">
        <v>38</v>
      </c>
      <c r="T6687" s="43" t="str">
        <f t="shared" si="304"/>
        <v>2022.015P.Tombusviridae_rename.zip</v>
      </c>
      <c r="U6687" s="43" t="str">
        <f>HYPERLINK("https://ictv.global/taxonomy/taxondetails?taxnode_id=202205264","ictv.global=202205264")</f>
        <v>ictv.global=202205264</v>
      </c>
    </row>
    <row r="6688" spans="1:21">
      <c r="A6688">
        <v>6687</v>
      </c>
      <c r="B6688" s="29" t="s">
        <v>3223</v>
      </c>
      <c r="C6688" s="29"/>
      <c r="D6688" s="29" t="s">
        <v>4156</v>
      </c>
      <c r="E6688" s="29"/>
      <c r="F6688" s="29" t="s">
        <v>4173</v>
      </c>
      <c r="G6688" s="29"/>
      <c r="H6688" s="29" t="s">
        <v>4197</v>
      </c>
      <c r="I6688" s="29"/>
      <c r="J6688" s="29" t="s">
        <v>4198</v>
      </c>
      <c r="K6688" s="29"/>
      <c r="L6688" s="29" t="s">
        <v>603</v>
      </c>
      <c r="M6688" s="29" t="s">
        <v>3359</v>
      </c>
      <c r="N6688" s="29" t="s">
        <v>12512</v>
      </c>
      <c r="O6688" s="29"/>
      <c r="P6688" s="29" t="s">
        <v>12513</v>
      </c>
      <c r="Q6688" t="s">
        <v>2040</v>
      </c>
      <c r="R6688" t="s">
        <v>2632</v>
      </c>
      <c r="S6688">
        <v>37</v>
      </c>
      <c r="T6688" s="43" t="str">
        <f>HYPERLINK("https://ictv.global/ictv/proposals/2021.018P.R.Tombusviridae_1ng_2ns.zip","2021.018P.R.Tombusviridae_1ng_2ns.zip")</f>
        <v>2021.018P.R.Tombusviridae_1ng_2ns.zip</v>
      </c>
      <c r="U6688" s="43" t="str">
        <f>HYPERLINK("https://ictv.global/taxonomy/taxondetails?taxnode_id=202213879","ictv.global=202213879")</f>
        <v>ictv.global=202213879</v>
      </c>
    </row>
    <row r="6689" spans="1:21">
      <c r="A6689">
        <v>6688</v>
      </c>
      <c r="B6689" s="29" t="s">
        <v>3223</v>
      </c>
      <c r="C6689" s="29"/>
      <c r="D6689" s="29" t="s">
        <v>4156</v>
      </c>
      <c r="E6689" s="29"/>
      <c r="F6689" s="29" t="s">
        <v>4173</v>
      </c>
      <c r="G6689" s="29"/>
      <c r="H6689" s="29" t="s">
        <v>4197</v>
      </c>
      <c r="I6689" s="29"/>
      <c r="J6689" s="29" t="s">
        <v>4198</v>
      </c>
      <c r="K6689" s="29"/>
      <c r="L6689" s="29" t="s">
        <v>603</v>
      </c>
      <c r="M6689" s="29" t="s">
        <v>3359</v>
      </c>
      <c r="N6689" s="29" t="s">
        <v>12512</v>
      </c>
      <c r="O6689" s="29"/>
      <c r="P6689" s="29" t="s">
        <v>12514</v>
      </c>
      <c r="Q6689" t="s">
        <v>2040</v>
      </c>
      <c r="R6689" t="s">
        <v>2633</v>
      </c>
      <c r="S6689">
        <v>37</v>
      </c>
      <c r="T6689" s="43" t="str">
        <f>HYPERLINK("https://ictv.global/ictv/proposals/2021.018P.R.Tombusviridae_1ng_2ns.zip","2021.018P.R.Tombusviridae_1ng_2ns.zip")</f>
        <v>2021.018P.R.Tombusviridae_1ng_2ns.zip</v>
      </c>
      <c r="U6689" s="43" t="str">
        <f>HYPERLINK("https://ictv.global/taxonomy/taxondetails?taxnode_id=202205281","ictv.global=202205281")</f>
        <v>ictv.global=202205281</v>
      </c>
    </row>
    <row r="6690" spans="1:21">
      <c r="A6690">
        <v>6689</v>
      </c>
      <c r="B6690" s="29" t="s">
        <v>3223</v>
      </c>
      <c r="C6690" s="29"/>
      <c r="D6690" s="29" t="s">
        <v>4156</v>
      </c>
      <c r="E6690" s="29"/>
      <c r="F6690" s="29" t="s">
        <v>4173</v>
      </c>
      <c r="G6690" s="29"/>
      <c r="H6690" s="29" t="s">
        <v>4197</v>
      </c>
      <c r="I6690" s="29"/>
      <c r="J6690" s="29" t="s">
        <v>4198</v>
      </c>
      <c r="K6690" s="29"/>
      <c r="L6690" s="29" t="s">
        <v>603</v>
      </c>
      <c r="M6690" s="29" t="s">
        <v>3359</v>
      </c>
      <c r="N6690" s="29" t="s">
        <v>1699</v>
      </c>
      <c r="O6690" s="29"/>
      <c r="P6690" s="29" t="s">
        <v>12515</v>
      </c>
      <c r="Q6690" t="s">
        <v>2040</v>
      </c>
      <c r="R6690" t="s">
        <v>2635</v>
      </c>
      <c r="S6690">
        <v>38</v>
      </c>
      <c r="T6690" s="43" t="str">
        <f>HYPERLINK("https://ictv.global/ictv/proposals/2022.015P.Tombusviridae_rename.zip","2022.015P.Tombusviridae_rename.zip")</f>
        <v>2022.015P.Tombusviridae_rename.zip</v>
      </c>
      <c r="U6690" s="43" t="str">
        <f>HYPERLINK("https://ictv.global/taxonomy/taxondetails?taxnode_id=202205284","ictv.global=202205284")</f>
        <v>ictv.global=202205284</v>
      </c>
    </row>
    <row r="6691" spans="1:21">
      <c r="A6691">
        <v>6690</v>
      </c>
      <c r="B6691" s="29" t="s">
        <v>3223</v>
      </c>
      <c r="C6691" s="29"/>
      <c r="D6691" s="29" t="s">
        <v>4156</v>
      </c>
      <c r="E6691" s="29"/>
      <c r="F6691" s="29" t="s">
        <v>4173</v>
      </c>
      <c r="G6691" s="29"/>
      <c r="H6691" s="29" t="s">
        <v>4197</v>
      </c>
      <c r="I6691" s="29"/>
      <c r="J6691" s="29" t="s">
        <v>4198</v>
      </c>
      <c r="K6691" s="29"/>
      <c r="L6691" s="29" t="s">
        <v>603</v>
      </c>
      <c r="M6691" s="29" t="s">
        <v>3359</v>
      </c>
      <c r="N6691" s="29"/>
      <c r="O6691" s="29"/>
      <c r="P6691" s="29" t="s">
        <v>606</v>
      </c>
      <c r="Q6691" t="s">
        <v>2040</v>
      </c>
      <c r="R6691" t="s">
        <v>2634</v>
      </c>
      <c r="S6691">
        <v>35</v>
      </c>
      <c r="T6691" s="43" t="str">
        <f>HYPERLINK("https://ictv.global/ictv/proposals/2019.006G.zip","2019.006G.zip")</f>
        <v>2019.006G.zip</v>
      </c>
      <c r="U6691" s="43" t="str">
        <f>HYPERLINK("https://ictv.global/taxonomy/taxondetails?taxnode_id=202205277","ictv.global=202205277")</f>
        <v>ictv.global=202205277</v>
      </c>
    </row>
    <row r="6692" spans="1:21">
      <c r="A6692">
        <v>6691</v>
      </c>
      <c r="B6692" s="29" t="s">
        <v>3223</v>
      </c>
      <c r="C6692" s="29"/>
      <c r="D6692" s="29" t="s">
        <v>4156</v>
      </c>
      <c r="E6692" s="29"/>
      <c r="F6692" s="29" t="s">
        <v>4173</v>
      </c>
      <c r="G6692" s="29"/>
      <c r="H6692" s="29" t="s">
        <v>4197</v>
      </c>
      <c r="I6692" s="29"/>
      <c r="J6692" s="29" t="s">
        <v>4198</v>
      </c>
      <c r="K6692" s="29"/>
      <c r="L6692" s="29" t="s">
        <v>603</v>
      </c>
      <c r="M6692" s="29" t="s">
        <v>3359</v>
      </c>
      <c r="N6692" s="29"/>
      <c r="O6692" s="29"/>
      <c r="P6692" s="29" t="s">
        <v>607</v>
      </c>
      <c r="Q6692" t="s">
        <v>2040</v>
      </c>
      <c r="R6692" t="s">
        <v>2634</v>
      </c>
      <c r="S6692">
        <v>35</v>
      </c>
      <c r="T6692" s="43" t="str">
        <f>HYPERLINK("https://ictv.global/ictv/proposals/2019.006G.zip","2019.006G.zip")</f>
        <v>2019.006G.zip</v>
      </c>
      <c r="U6692" s="43" t="str">
        <f>HYPERLINK("https://ictv.global/taxonomy/taxondetails?taxnode_id=202205278","ictv.global=202205278")</f>
        <v>ictv.global=202205278</v>
      </c>
    </row>
    <row r="6693" spans="1:21">
      <c r="A6693">
        <v>6692</v>
      </c>
      <c r="B6693" s="29" t="s">
        <v>3223</v>
      </c>
      <c r="C6693" s="29"/>
      <c r="D6693" s="29" t="s">
        <v>4156</v>
      </c>
      <c r="E6693" s="29"/>
      <c r="F6693" s="29" t="s">
        <v>4173</v>
      </c>
      <c r="G6693" s="29"/>
      <c r="H6693" s="29" t="s">
        <v>4197</v>
      </c>
      <c r="I6693" s="29"/>
      <c r="J6693" s="29" t="s">
        <v>4198</v>
      </c>
      <c r="K6693" s="29"/>
      <c r="L6693" s="29" t="s">
        <v>603</v>
      </c>
      <c r="M6693" s="29" t="s">
        <v>3359</v>
      </c>
      <c r="N6693" s="29"/>
      <c r="O6693" s="29"/>
      <c r="P6693" s="29" t="s">
        <v>676</v>
      </c>
      <c r="Q6693" t="s">
        <v>2040</v>
      </c>
      <c r="R6693" t="s">
        <v>2634</v>
      </c>
      <c r="S6693">
        <v>35</v>
      </c>
      <c r="T6693" s="43" t="str">
        <f>HYPERLINK("https://ictv.global/ictv/proposals/2019.006G.zip","2019.006G.zip")</f>
        <v>2019.006G.zip</v>
      </c>
      <c r="U6693" s="43" t="str">
        <f>HYPERLINK("https://ictv.global/taxonomy/taxondetails?taxnode_id=202205279","ictv.global=202205279")</f>
        <v>ictv.global=202205279</v>
      </c>
    </row>
    <row r="6694" spans="1:21">
      <c r="A6694">
        <v>6693</v>
      </c>
      <c r="B6694" s="29" t="s">
        <v>3223</v>
      </c>
      <c r="C6694" s="29"/>
      <c r="D6694" s="29" t="s">
        <v>4156</v>
      </c>
      <c r="E6694" s="29"/>
      <c r="F6694" s="29" t="s">
        <v>4173</v>
      </c>
      <c r="G6694" s="29"/>
      <c r="H6694" s="29" t="s">
        <v>4197</v>
      </c>
      <c r="I6694" s="29"/>
      <c r="J6694" s="29" t="s">
        <v>4198</v>
      </c>
      <c r="K6694" s="29"/>
      <c r="L6694" s="29" t="s">
        <v>603</v>
      </c>
      <c r="M6694" s="29" t="s">
        <v>3359</v>
      </c>
      <c r="N6694" s="29"/>
      <c r="O6694" s="29"/>
      <c r="P6694" s="29" t="s">
        <v>1032</v>
      </c>
      <c r="Q6694" t="s">
        <v>2040</v>
      </c>
      <c r="R6694" t="s">
        <v>2634</v>
      </c>
      <c r="S6694">
        <v>35</v>
      </c>
      <c r="T6694" s="43" t="str">
        <f>HYPERLINK("https://ictv.global/ictv/proposals/2019.006G.zip","2019.006G.zip")</f>
        <v>2019.006G.zip</v>
      </c>
      <c r="U6694" s="43" t="str">
        <f>HYPERLINK("https://ictv.global/taxonomy/taxondetails?taxnode_id=202205280","ictv.global=202205280")</f>
        <v>ictv.global=202205280</v>
      </c>
    </row>
    <row r="6695" spans="1:21">
      <c r="A6695">
        <v>6694</v>
      </c>
      <c r="B6695" s="29" t="s">
        <v>3223</v>
      </c>
      <c r="C6695" s="29"/>
      <c r="D6695" s="29" t="s">
        <v>4156</v>
      </c>
      <c r="E6695" s="29"/>
      <c r="F6695" s="29" t="s">
        <v>4173</v>
      </c>
      <c r="G6695" s="29"/>
      <c r="H6695" s="29" t="s">
        <v>4197</v>
      </c>
      <c r="I6695" s="29"/>
      <c r="J6695" s="29" t="s">
        <v>4198</v>
      </c>
      <c r="K6695" s="29"/>
      <c r="L6695" s="29" t="s">
        <v>603</v>
      </c>
      <c r="M6695" s="29" t="s">
        <v>3359</v>
      </c>
      <c r="N6695" s="29"/>
      <c r="O6695" s="29"/>
      <c r="P6695" s="29" t="s">
        <v>942</v>
      </c>
      <c r="Q6695" t="s">
        <v>2040</v>
      </c>
      <c r="R6695" t="s">
        <v>2634</v>
      </c>
      <c r="S6695">
        <v>35</v>
      </c>
      <c r="T6695" s="43" t="str">
        <f>HYPERLINK("https://ictv.global/ictv/proposals/2019.006G.zip","2019.006G.zip")</f>
        <v>2019.006G.zip</v>
      </c>
      <c r="U6695" s="43" t="str">
        <f>HYPERLINK("https://ictv.global/taxonomy/taxondetails?taxnode_id=202205282","ictv.global=202205282")</f>
        <v>ictv.global=202205282</v>
      </c>
    </row>
    <row r="6696" spans="1:21">
      <c r="A6696">
        <v>6695</v>
      </c>
      <c r="B6696" s="29" t="s">
        <v>3223</v>
      </c>
      <c r="C6696" s="29"/>
      <c r="D6696" s="29" t="s">
        <v>4156</v>
      </c>
      <c r="E6696" s="29"/>
      <c r="F6696" s="29" t="s">
        <v>4173</v>
      </c>
      <c r="G6696" s="29"/>
      <c r="H6696" s="29" t="s">
        <v>4197</v>
      </c>
      <c r="I6696" s="29"/>
      <c r="J6696" s="29" t="s">
        <v>4198</v>
      </c>
      <c r="K6696" s="29"/>
      <c r="L6696" s="29" t="s">
        <v>603</v>
      </c>
      <c r="M6696" s="29" t="s">
        <v>3360</v>
      </c>
      <c r="N6696" s="29" t="s">
        <v>943</v>
      </c>
      <c r="O6696" s="29"/>
      <c r="P6696" s="29" t="s">
        <v>12516</v>
      </c>
      <c r="Q6696" t="s">
        <v>2040</v>
      </c>
      <c r="R6696" t="s">
        <v>2635</v>
      </c>
      <c r="S6696">
        <v>38</v>
      </c>
      <c r="T6696" s="43" t="str">
        <f t="shared" ref="T6696:T6711" si="305">HYPERLINK("https://ictv.global/ictv/proposals/2022.015P.Tombusviridae_rename.zip","2022.015P.Tombusviridae_rename.zip")</f>
        <v>2022.015P.Tombusviridae_rename.zip</v>
      </c>
      <c r="U6696" s="43" t="str">
        <f>HYPERLINK("https://ictv.global/taxonomy/taxondetails?taxnode_id=202205224","ictv.global=202205224")</f>
        <v>ictv.global=202205224</v>
      </c>
    </row>
    <row r="6697" spans="1:21">
      <c r="A6697">
        <v>6696</v>
      </c>
      <c r="B6697" s="29" t="s">
        <v>3223</v>
      </c>
      <c r="C6697" s="29"/>
      <c r="D6697" s="29" t="s">
        <v>4156</v>
      </c>
      <c r="E6697" s="29"/>
      <c r="F6697" s="29" t="s">
        <v>4173</v>
      </c>
      <c r="G6697" s="29"/>
      <c r="H6697" s="29" t="s">
        <v>4197</v>
      </c>
      <c r="I6697" s="29"/>
      <c r="J6697" s="29" t="s">
        <v>4198</v>
      </c>
      <c r="K6697" s="29"/>
      <c r="L6697" s="29" t="s">
        <v>603</v>
      </c>
      <c r="M6697" s="29" t="s">
        <v>3360</v>
      </c>
      <c r="N6697" s="29" t="s">
        <v>943</v>
      </c>
      <c r="O6697" s="29"/>
      <c r="P6697" s="29" t="s">
        <v>12517</v>
      </c>
      <c r="Q6697" t="s">
        <v>2040</v>
      </c>
      <c r="R6697" t="s">
        <v>2635</v>
      </c>
      <c r="S6697">
        <v>38</v>
      </c>
      <c r="T6697" s="43" t="str">
        <f t="shared" si="305"/>
        <v>2022.015P.Tombusviridae_rename.zip</v>
      </c>
      <c r="U6697" s="43" t="str">
        <f>HYPERLINK("https://ictv.global/taxonomy/taxondetails?taxnode_id=202205226","ictv.global=202205226")</f>
        <v>ictv.global=202205226</v>
      </c>
    </row>
    <row r="6698" spans="1:21">
      <c r="A6698">
        <v>6697</v>
      </c>
      <c r="B6698" s="29" t="s">
        <v>3223</v>
      </c>
      <c r="C6698" s="29"/>
      <c r="D6698" s="29" t="s">
        <v>4156</v>
      </c>
      <c r="E6698" s="29"/>
      <c r="F6698" s="29" t="s">
        <v>4173</v>
      </c>
      <c r="G6698" s="29"/>
      <c r="H6698" s="29" t="s">
        <v>4197</v>
      </c>
      <c r="I6698" s="29"/>
      <c r="J6698" s="29" t="s">
        <v>4198</v>
      </c>
      <c r="K6698" s="29"/>
      <c r="L6698" s="29" t="s">
        <v>603</v>
      </c>
      <c r="M6698" s="29" t="s">
        <v>3360</v>
      </c>
      <c r="N6698" s="29" t="s">
        <v>943</v>
      </c>
      <c r="O6698" s="29"/>
      <c r="P6698" s="29" t="s">
        <v>12518</v>
      </c>
      <c r="Q6698" t="s">
        <v>2040</v>
      </c>
      <c r="R6698" t="s">
        <v>2635</v>
      </c>
      <c r="S6698">
        <v>38</v>
      </c>
      <c r="T6698" s="43" t="str">
        <f t="shared" si="305"/>
        <v>2022.015P.Tombusviridae_rename.zip</v>
      </c>
      <c r="U6698" s="43" t="str">
        <f>HYPERLINK("https://ictv.global/taxonomy/taxondetails?taxnode_id=202205225","ictv.global=202205225")</f>
        <v>ictv.global=202205225</v>
      </c>
    </row>
    <row r="6699" spans="1:21">
      <c r="A6699">
        <v>6698</v>
      </c>
      <c r="B6699" s="29" t="s">
        <v>3223</v>
      </c>
      <c r="C6699" s="29"/>
      <c r="D6699" s="29" t="s">
        <v>4156</v>
      </c>
      <c r="E6699" s="29"/>
      <c r="F6699" s="29" t="s">
        <v>4173</v>
      </c>
      <c r="G6699" s="29"/>
      <c r="H6699" s="29" t="s">
        <v>4197</v>
      </c>
      <c r="I6699" s="29"/>
      <c r="J6699" s="29" t="s">
        <v>4198</v>
      </c>
      <c r="K6699" s="29"/>
      <c r="L6699" s="29" t="s">
        <v>603</v>
      </c>
      <c r="M6699" s="29" t="s">
        <v>3360</v>
      </c>
      <c r="N6699" s="29" t="s">
        <v>845</v>
      </c>
      <c r="O6699" s="29"/>
      <c r="P6699" s="29" t="s">
        <v>12519</v>
      </c>
      <c r="Q6699" t="s">
        <v>2040</v>
      </c>
      <c r="R6699" t="s">
        <v>2635</v>
      </c>
      <c r="S6699">
        <v>38</v>
      </c>
      <c r="T6699" s="43" t="str">
        <f t="shared" si="305"/>
        <v>2022.015P.Tombusviridae_rename.zip</v>
      </c>
      <c r="U6699" s="43" t="str">
        <f>HYPERLINK("https://ictv.global/taxonomy/taxondetails?taxnode_id=202206618","ictv.global=202206618")</f>
        <v>ictv.global=202206618</v>
      </c>
    </row>
    <row r="6700" spans="1:21">
      <c r="A6700">
        <v>6699</v>
      </c>
      <c r="B6700" s="29" t="s">
        <v>3223</v>
      </c>
      <c r="C6700" s="29"/>
      <c r="D6700" s="29" t="s">
        <v>4156</v>
      </c>
      <c r="E6700" s="29"/>
      <c r="F6700" s="29" t="s">
        <v>4173</v>
      </c>
      <c r="G6700" s="29"/>
      <c r="H6700" s="29" t="s">
        <v>4197</v>
      </c>
      <c r="I6700" s="29"/>
      <c r="J6700" s="29" t="s">
        <v>4198</v>
      </c>
      <c r="K6700" s="29"/>
      <c r="L6700" s="29" t="s">
        <v>603</v>
      </c>
      <c r="M6700" s="29" t="s">
        <v>3360</v>
      </c>
      <c r="N6700" s="29" t="s">
        <v>845</v>
      </c>
      <c r="O6700" s="29"/>
      <c r="P6700" s="29" t="s">
        <v>12520</v>
      </c>
      <c r="Q6700" t="s">
        <v>2040</v>
      </c>
      <c r="R6700" t="s">
        <v>2635</v>
      </c>
      <c r="S6700">
        <v>38</v>
      </c>
      <c r="T6700" s="43" t="str">
        <f t="shared" si="305"/>
        <v>2022.015P.Tombusviridae_rename.zip</v>
      </c>
      <c r="U6700" s="43" t="str">
        <f>HYPERLINK("https://ictv.global/taxonomy/taxondetails?taxnode_id=202203772","ictv.global=202203772")</f>
        <v>ictv.global=202203772</v>
      </c>
    </row>
    <row r="6701" spans="1:21">
      <c r="A6701">
        <v>6700</v>
      </c>
      <c r="B6701" s="29" t="s">
        <v>3223</v>
      </c>
      <c r="C6701" s="29"/>
      <c r="D6701" s="29" t="s">
        <v>4156</v>
      </c>
      <c r="E6701" s="29"/>
      <c r="F6701" s="29" t="s">
        <v>4173</v>
      </c>
      <c r="G6701" s="29"/>
      <c r="H6701" s="29" t="s">
        <v>4197</v>
      </c>
      <c r="I6701" s="29"/>
      <c r="J6701" s="29" t="s">
        <v>4198</v>
      </c>
      <c r="K6701" s="29"/>
      <c r="L6701" s="29" t="s">
        <v>603</v>
      </c>
      <c r="M6701" s="29" t="s">
        <v>3360</v>
      </c>
      <c r="N6701" s="29" t="s">
        <v>845</v>
      </c>
      <c r="O6701" s="29"/>
      <c r="P6701" s="29" t="s">
        <v>12521</v>
      </c>
      <c r="Q6701" t="s">
        <v>2040</v>
      </c>
      <c r="R6701" t="s">
        <v>2635</v>
      </c>
      <c r="S6701">
        <v>38</v>
      </c>
      <c r="T6701" s="43" t="str">
        <f t="shared" si="305"/>
        <v>2022.015P.Tombusviridae_rename.zip</v>
      </c>
      <c r="U6701" s="43" t="str">
        <f>HYPERLINK("https://ictv.global/taxonomy/taxondetails?taxnode_id=202203765","ictv.global=202203765")</f>
        <v>ictv.global=202203765</v>
      </c>
    </row>
    <row r="6702" spans="1:21">
      <c r="A6702">
        <v>6701</v>
      </c>
      <c r="B6702" s="29" t="s">
        <v>3223</v>
      </c>
      <c r="C6702" s="29"/>
      <c r="D6702" s="29" t="s">
        <v>4156</v>
      </c>
      <c r="E6702" s="29"/>
      <c r="F6702" s="29" t="s">
        <v>4173</v>
      </c>
      <c r="G6702" s="29"/>
      <c r="H6702" s="29" t="s">
        <v>4197</v>
      </c>
      <c r="I6702" s="29"/>
      <c r="J6702" s="29" t="s">
        <v>4198</v>
      </c>
      <c r="K6702" s="29"/>
      <c r="L6702" s="29" t="s">
        <v>603</v>
      </c>
      <c r="M6702" s="29" t="s">
        <v>3360</v>
      </c>
      <c r="N6702" s="29" t="s">
        <v>845</v>
      </c>
      <c r="O6702" s="29"/>
      <c r="P6702" s="29" t="s">
        <v>12522</v>
      </c>
      <c r="Q6702" t="s">
        <v>2040</v>
      </c>
      <c r="R6702" t="s">
        <v>2635</v>
      </c>
      <c r="S6702">
        <v>38</v>
      </c>
      <c r="T6702" s="43" t="str">
        <f t="shared" si="305"/>
        <v>2022.015P.Tombusviridae_rename.zip</v>
      </c>
      <c r="U6702" s="43" t="str">
        <f>HYPERLINK("https://ictv.global/taxonomy/taxondetails?taxnode_id=202203766","ictv.global=202203766")</f>
        <v>ictv.global=202203766</v>
      </c>
    </row>
    <row r="6703" spans="1:21">
      <c r="A6703">
        <v>6702</v>
      </c>
      <c r="B6703" s="29" t="s">
        <v>3223</v>
      </c>
      <c r="C6703" s="29"/>
      <c r="D6703" s="29" t="s">
        <v>4156</v>
      </c>
      <c r="E6703" s="29"/>
      <c r="F6703" s="29" t="s">
        <v>4173</v>
      </c>
      <c r="G6703" s="29"/>
      <c r="H6703" s="29" t="s">
        <v>4197</v>
      </c>
      <c r="I6703" s="29"/>
      <c r="J6703" s="29" t="s">
        <v>4198</v>
      </c>
      <c r="K6703" s="29"/>
      <c r="L6703" s="29" t="s">
        <v>603</v>
      </c>
      <c r="M6703" s="29" t="s">
        <v>3360</v>
      </c>
      <c r="N6703" s="29" t="s">
        <v>845</v>
      </c>
      <c r="O6703" s="29"/>
      <c r="P6703" s="29" t="s">
        <v>12523</v>
      </c>
      <c r="Q6703" t="s">
        <v>2040</v>
      </c>
      <c r="R6703" t="s">
        <v>2635</v>
      </c>
      <c r="S6703">
        <v>38</v>
      </c>
      <c r="T6703" s="43" t="str">
        <f t="shared" si="305"/>
        <v>2022.015P.Tombusviridae_rename.zip</v>
      </c>
      <c r="U6703" s="43" t="str">
        <f>HYPERLINK("https://ictv.global/taxonomy/taxondetails?taxnode_id=202207551","ictv.global=202207551")</f>
        <v>ictv.global=202207551</v>
      </c>
    </row>
    <row r="6704" spans="1:21">
      <c r="A6704">
        <v>6703</v>
      </c>
      <c r="B6704" s="29" t="s">
        <v>3223</v>
      </c>
      <c r="C6704" s="29"/>
      <c r="D6704" s="29" t="s">
        <v>4156</v>
      </c>
      <c r="E6704" s="29"/>
      <c r="F6704" s="29" t="s">
        <v>4173</v>
      </c>
      <c r="G6704" s="29"/>
      <c r="H6704" s="29" t="s">
        <v>4197</v>
      </c>
      <c r="I6704" s="29"/>
      <c r="J6704" s="29" t="s">
        <v>4198</v>
      </c>
      <c r="K6704" s="29"/>
      <c r="L6704" s="29" t="s">
        <v>603</v>
      </c>
      <c r="M6704" s="29" t="s">
        <v>3360</v>
      </c>
      <c r="N6704" s="29" t="s">
        <v>845</v>
      </c>
      <c r="O6704" s="29"/>
      <c r="P6704" s="29" t="s">
        <v>12524</v>
      </c>
      <c r="Q6704" t="s">
        <v>2040</v>
      </c>
      <c r="R6704" t="s">
        <v>2635</v>
      </c>
      <c r="S6704">
        <v>38</v>
      </c>
      <c r="T6704" s="43" t="str">
        <f t="shared" si="305"/>
        <v>2022.015P.Tombusviridae_rename.zip</v>
      </c>
      <c r="U6704" s="43" t="str">
        <f>HYPERLINK("https://ictv.global/taxonomy/taxondetails?taxnode_id=202203767","ictv.global=202203767")</f>
        <v>ictv.global=202203767</v>
      </c>
    </row>
    <row r="6705" spans="1:21">
      <c r="A6705">
        <v>6704</v>
      </c>
      <c r="B6705" s="29" t="s">
        <v>3223</v>
      </c>
      <c r="C6705" s="29"/>
      <c r="D6705" s="29" t="s">
        <v>4156</v>
      </c>
      <c r="E6705" s="29"/>
      <c r="F6705" s="29" t="s">
        <v>4173</v>
      </c>
      <c r="G6705" s="29"/>
      <c r="H6705" s="29" t="s">
        <v>4197</v>
      </c>
      <c r="I6705" s="29"/>
      <c r="J6705" s="29" t="s">
        <v>4198</v>
      </c>
      <c r="K6705" s="29"/>
      <c r="L6705" s="29" t="s">
        <v>603</v>
      </c>
      <c r="M6705" s="29" t="s">
        <v>3360</v>
      </c>
      <c r="N6705" s="29" t="s">
        <v>845</v>
      </c>
      <c r="O6705" s="29"/>
      <c r="P6705" s="29" t="s">
        <v>12525</v>
      </c>
      <c r="Q6705" t="s">
        <v>2040</v>
      </c>
      <c r="R6705" t="s">
        <v>2635</v>
      </c>
      <c r="S6705">
        <v>38</v>
      </c>
      <c r="T6705" s="43" t="str">
        <f t="shared" si="305"/>
        <v>2022.015P.Tombusviridae_rename.zip</v>
      </c>
      <c r="U6705" s="43" t="str">
        <f>HYPERLINK("https://ictv.global/taxonomy/taxondetails?taxnode_id=202206615","ictv.global=202206615")</f>
        <v>ictv.global=202206615</v>
      </c>
    </row>
    <row r="6706" spans="1:21">
      <c r="A6706">
        <v>6705</v>
      </c>
      <c r="B6706" s="29" t="s">
        <v>3223</v>
      </c>
      <c r="C6706" s="29"/>
      <c r="D6706" s="29" t="s">
        <v>4156</v>
      </c>
      <c r="E6706" s="29"/>
      <c r="F6706" s="29" t="s">
        <v>4173</v>
      </c>
      <c r="G6706" s="29"/>
      <c r="H6706" s="29" t="s">
        <v>4197</v>
      </c>
      <c r="I6706" s="29"/>
      <c r="J6706" s="29" t="s">
        <v>4198</v>
      </c>
      <c r="K6706" s="29"/>
      <c r="L6706" s="29" t="s">
        <v>603</v>
      </c>
      <c r="M6706" s="29" t="s">
        <v>3360</v>
      </c>
      <c r="N6706" s="29" t="s">
        <v>845</v>
      </c>
      <c r="O6706" s="29"/>
      <c r="P6706" s="29" t="s">
        <v>12526</v>
      </c>
      <c r="Q6706" t="s">
        <v>2040</v>
      </c>
      <c r="R6706" t="s">
        <v>2635</v>
      </c>
      <c r="S6706">
        <v>38</v>
      </c>
      <c r="T6706" s="43" t="str">
        <f t="shared" si="305"/>
        <v>2022.015P.Tombusviridae_rename.zip</v>
      </c>
      <c r="U6706" s="43" t="str">
        <f>HYPERLINK("https://ictv.global/taxonomy/taxondetails?taxnode_id=202203768","ictv.global=202203768")</f>
        <v>ictv.global=202203768</v>
      </c>
    </row>
    <row r="6707" spans="1:21">
      <c r="A6707">
        <v>6706</v>
      </c>
      <c r="B6707" s="29" t="s">
        <v>3223</v>
      </c>
      <c r="C6707" s="29"/>
      <c r="D6707" s="29" t="s">
        <v>4156</v>
      </c>
      <c r="E6707" s="29"/>
      <c r="F6707" s="29" t="s">
        <v>4173</v>
      </c>
      <c r="G6707" s="29"/>
      <c r="H6707" s="29" t="s">
        <v>4197</v>
      </c>
      <c r="I6707" s="29"/>
      <c r="J6707" s="29" t="s">
        <v>4198</v>
      </c>
      <c r="K6707" s="29"/>
      <c r="L6707" s="29" t="s">
        <v>603</v>
      </c>
      <c r="M6707" s="29" t="s">
        <v>3360</v>
      </c>
      <c r="N6707" s="29" t="s">
        <v>845</v>
      </c>
      <c r="O6707" s="29"/>
      <c r="P6707" s="29" t="s">
        <v>12527</v>
      </c>
      <c r="Q6707" t="s">
        <v>2040</v>
      </c>
      <c r="R6707" t="s">
        <v>2635</v>
      </c>
      <c r="S6707">
        <v>38</v>
      </c>
      <c r="T6707" s="43" t="str">
        <f t="shared" si="305"/>
        <v>2022.015P.Tombusviridae_rename.zip</v>
      </c>
      <c r="U6707" s="43" t="str">
        <f>HYPERLINK("https://ictv.global/taxonomy/taxondetails?taxnode_id=202203769","ictv.global=202203769")</f>
        <v>ictv.global=202203769</v>
      </c>
    </row>
    <row r="6708" spans="1:21">
      <c r="A6708">
        <v>6707</v>
      </c>
      <c r="B6708" s="29" t="s">
        <v>3223</v>
      </c>
      <c r="C6708" s="29"/>
      <c r="D6708" s="29" t="s">
        <v>4156</v>
      </c>
      <c r="E6708" s="29"/>
      <c r="F6708" s="29" t="s">
        <v>4173</v>
      </c>
      <c r="G6708" s="29"/>
      <c r="H6708" s="29" t="s">
        <v>4197</v>
      </c>
      <c r="I6708" s="29"/>
      <c r="J6708" s="29" t="s">
        <v>4198</v>
      </c>
      <c r="K6708" s="29"/>
      <c r="L6708" s="29" t="s">
        <v>603</v>
      </c>
      <c r="M6708" s="29" t="s">
        <v>3360</v>
      </c>
      <c r="N6708" s="29" t="s">
        <v>845</v>
      </c>
      <c r="O6708" s="29"/>
      <c r="P6708" s="29" t="s">
        <v>12528</v>
      </c>
      <c r="Q6708" t="s">
        <v>2040</v>
      </c>
      <c r="R6708" t="s">
        <v>2635</v>
      </c>
      <c r="S6708">
        <v>38</v>
      </c>
      <c r="T6708" s="43" t="str">
        <f t="shared" si="305"/>
        <v>2022.015P.Tombusviridae_rename.zip</v>
      </c>
      <c r="U6708" s="43" t="str">
        <f>HYPERLINK("https://ictv.global/taxonomy/taxondetails?taxnode_id=202203770","ictv.global=202203770")</f>
        <v>ictv.global=202203770</v>
      </c>
    </row>
    <row r="6709" spans="1:21">
      <c r="A6709">
        <v>6708</v>
      </c>
      <c r="B6709" s="29" t="s">
        <v>3223</v>
      </c>
      <c r="C6709" s="29"/>
      <c r="D6709" s="29" t="s">
        <v>4156</v>
      </c>
      <c r="E6709" s="29"/>
      <c r="F6709" s="29" t="s">
        <v>4173</v>
      </c>
      <c r="G6709" s="29"/>
      <c r="H6709" s="29" t="s">
        <v>4197</v>
      </c>
      <c r="I6709" s="29"/>
      <c r="J6709" s="29" t="s">
        <v>4198</v>
      </c>
      <c r="K6709" s="29"/>
      <c r="L6709" s="29" t="s">
        <v>603</v>
      </c>
      <c r="M6709" s="29" t="s">
        <v>3360</v>
      </c>
      <c r="N6709" s="29" t="s">
        <v>845</v>
      </c>
      <c r="O6709" s="29"/>
      <c r="P6709" s="29" t="s">
        <v>12529</v>
      </c>
      <c r="Q6709" t="s">
        <v>2040</v>
      </c>
      <c r="R6709" t="s">
        <v>2635</v>
      </c>
      <c r="S6709">
        <v>38</v>
      </c>
      <c r="T6709" s="43" t="str">
        <f t="shared" si="305"/>
        <v>2022.015P.Tombusviridae_rename.zip</v>
      </c>
      <c r="U6709" s="43" t="str">
        <f>HYPERLINK("https://ictv.global/taxonomy/taxondetails?taxnode_id=202203771","ictv.global=202203771")</f>
        <v>ictv.global=202203771</v>
      </c>
    </row>
    <row r="6710" spans="1:21">
      <c r="A6710">
        <v>6709</v>
      </c>
      <c r="B6710" s="29" t="s">
        <v>3223</v>
      </c>
      <c r="C6710" s="29"/>
      <c r="D6710" s="29" t="s">
        <v>4156</v>
      </c>
      <c r="E6710" s="29"/>
      <c r="F6710" s="29" t="s">
        <v>4173</v>
      </c>
      <c r="G6710" s="29"/>
      <c r="H6710" s="29" t="s">
        <v>4197</v>
      </c>
      <c r="I6710" s="29"/>
      <c r="J6710" s="29" t="s">
        <v>4198</v>
      </c>
      <c r="K6710" s="29"/>
      <c r="L6710" s="29" t="s">
        <v>603</v>
      </c>
      <c r="M6710" s="29" t="s">
        <v>3360</v>
      </c>
      <c r="N6710" s="29" t="s">
        <v>845</v>
      </c>
      <c r="O6710" s="29"/>
      <c r="P6710" s="29" t="s">
        <v>12530</v>
      </c>
      <c r="Q6710" t="s">
        <v>2040</v>
      </c>
      <c r="R6710" t="s">
        <v>2635</v>
      </c>
      <c r="S6710">
        <v>38</v>
      </c>
      <c r="T6710" s="43" t="str">
        <f t="shared" si="305"/>
        <v>2022.015P.Tombusviridae_rename.zip</v>
      </c>
      <c r="U6710" s="43" t="str">
        <f>HYPERLINK("https://ictv.global/taxonomy/taxondetails?taxnode_id=202207550","ictv.global=202207550")</f>
        <v>ictv.global=202207550</v>
      </c>
    </row>
    <row r="6711" spans="1:21">
      <c r="A6711">
        <v>6710</v>
      </c>
      <c r="B6711" s="29" t="s">
        <v>3223</v>
      </c>
      <c r="C6711" s="29"/>
      <c r="D6711" s="29" t="s">
        <v>4156</v>
      </c>
      <c r="E6711" s="29"/>
      <c r="F6711" s="29" t="s">
        <v>4173</v>
      </c>
      <c r="G6711" s="29"/>
      <c r="H6711" s="29" t="s">
        <v>4197</v>
      </c>
      <c r="I6711" s="29"/>
      <c r="J6711" s="29" t="s">
        <v>4198</v>
      </c>
      <c r="K6711" s="29"/>
      <c r="L6711" s="29" t="s">
        <v>603</v>
      </c>
      <c r="M6711" s="29" t="s">
        <v>3360</v>
      </c>
      <c r="N6711" s="29" t="s">
        <v>845</v>
      </c>
      <c r="O6711" s="29"/>
      <c r="P6711" s="29" t="s">
        <v>12531</v>
      </c>
      <c r="Q6711" t="s">
        <v>2040</v>
      </c>
      <c r="R6711" t="s">
        <v>2635</v>
      </c>
      <c r="S6711">
        <v>38</v>
      </c>
      <c r="T6711" s="43" t="str">
        <f t="shared" si="305"/>
        <v>2022.015P.Tombusviridae_rename.zip</v>
      </c>
      <c r="U6711" s="43" t="str">
        <f>HYPERLINK("https://ictv.global/taxonomy/taxondetails?taxnode_id=202207552","ictv.global=202207552")</f>
        <v>ictv.global=202207552</v>
      </c>
    </row>
    <row r="6712" spans="1:21">
      <c r="A6712">
        <v>6711</v>
      </c>
      <c r="B6712" s="29" t="s">
        <v>3223</v>
      </c>
      <c r="C6712" s="29"/>
      <c r="D6712" s="29" t="s">
        <v>4156</v>
      </c>
      <c r="E6712" s="29"/>
      <c r="F6712" s="29" t="s">
        <v>4202</v>
      </c>
      <c r="G6712" s="29"/>
      <c r="H6712" s="29" t="s">
        <v>4203</v>
      </c>
      <c r="I6712" s="29"/>
      <c r="J6712" s="29" t="s">
        <v>4204</v>
      </c>
      <c r="K6712" s="29"/>
      <c r="L6712" s="29" t="s">
        <v>819</v>
      </c>
      <c r="M6712" s="29"/>
      <c r="N6712" s="29" t="s">
        <v>767</v>
      </c>
      <c r="O6712" s="29"/>
      <c r="P6712" s="29" t="s">
        <v>768</v>
      </c>
      <c r="Q6712" t="s">
        <v>2040</v>
      </c>
      <c r="R6712" t="s">
        <v>6901</v>
      </c>
      <c r="S6712">
        <v>36</v>
      </c>
      <c r="T6712" s="43" t="str">
        <f>HYPERLINK("https://ictv.global/ictv/proposals/2020.001G.R.Abolish_type_species.pdf","2020.001G.R.Abolish_type_species.pdf")</f>
        <v>2020.001G.R.Abolish_type_species.pdf</v>
      </c>
      <c r="U6712" s="43" t="str">
        <f>HYPERLINK("https://ictv.global/taxonomy/taxondetails?taxnode_id=202203917","ictv.global=202203917")</f>
        <v>ictv.global=202203917</v>
      </c>
    </row>
    <row r="6713" spans="1:21">
      <c r="A6713">
        <v>6712</v>
      </c>
      <c r="B6713" s="29" t="s">
        <v>3223</v>
      </c>
      <c r="C6713" s="29"/>
      <c r="D6713" s="29" t="s">
        <v>4156</v>
      </c>
      <c r="E6713" s="29"/>
      <c r="F6713" s="29" t="s">
        <v>4202</v>
      </c>
      <c r="G6713" s="29"/>
      <c r="H6713" s="29" t="s">
        <v>4203</v>
      </c>
      <c r="I6713" s="29"/>
      <c r="J6713" s="29" t="s">
        <v>4204</v>
      </c>
      <c r="K6713" s="29"/>
      <c r="L6713" s="29" t="s">
        <v>819</v>
      </c>
      <c r="M6713" s="29"/>
      <c r="N6713" s="29" t="s">
        <v>767</v>
      </c>
      <c r="O6713" s="29"/>
      <c r="P6713" s="29" t="s">
        <v>820</v>
      </c>
      <c r="Q6713" t="s">
        <v>2040</v>
      </c>
      <c r="R6713" t="s">
        <v>2634</v>
      </c>
      <c r="S6713">
        <v>35</v>
      </c>
      <c r="T6713" s="43" t="str">
        <f>HYPERLINK("https://ictv.global/ictv/proposals/2019.006G.zip","2019.006G.zip")</f>
        <v>2019.006G.zip</v>
      </c>
      <c r="U6713" s="43" t="str">
        <f>HYPERLINK("https://ictv.global/taxonomy/taxondetails?taxnode_id=202203918","ictv.global=202203918")</f>
        <v>ictv.global=202203918</v>
      </c>
    </row>
    <row r="6714" spans="1:21">
      <c r="A6714">
        <v>6713</v>
      </c>
      <c r="B6714" s="29" t="s">
        <v>3223</v>
      </c>
      <c r="C6714" s="29"/>
      <c r="D6714" s="29" t="s">
        <v>4156</v>
      </c>
      <c r="E6714" s="29"/>
      <c r="F6714" s="29" t="s">
        <v>4202</v>
      </c>
      <c r="G6714" s="29"/>
      <c r="H6714" s="29" t="s">
        <v>4205</v>
      </c>
      <c r="I6714" s="29"/>
      <c r="J6714" s="29" t="s">
        <v>4206</v>
      </c>
      <c r="K6714" s="29"/>
      <c r="L6714" s="29" t="s">
        <v>4207</v>
      </c>
      <c r="M6714" s="29"/>
      <c r="N6714" s="29" t="s">
        <v>12532</v>
      </c>
      <c r="O6714" s="29"/>
      <c r="P6714" s="29" t="s">
        <v>12533</v>
      </c>
      <c r="Q6714" t="s">
        <v>2040</v>
      </c>
      <c r="R6714" t="s">
        <v>2632</v>
      </c>
      <c r="S6714">
        <v>37</v>
      </c>
      <c r="T6714" s="43" t="str">
        <f t="shared" ref="T6714:T6745" si="306">HYPERLINK("https://ictv.global/ictv/proposals/2021.003F.R.Mitoviridae_100nsp_4ngen.zip","2021.003F.R.Mitoviridae_100nsp_4ngen.zip")</f>
        <v>2021.003F.R.Mitoviridae_100nsp_4ngen.zip</v>
      </c>
      <c r="U6714" s="43" t="str">
        <f>HYPERLINK("https://ictv.global/taxonomy/taxondetails?taxnode_id=202213794","ictv.global=202213794")</f>
        <v>ictv.global=202213794</v>
      </c>
    </row>
    <row r="6715" spans="1:21">
      <c r="A6715">
        <v>6714</v>
      </c>
      <c r="B6715" s="29" t="s">
        <v>3223</v>
      </c>
      <c r="C6715" s="29"/>
      <c r="D6715" s="29" t="s">
        <v>4156</v>
      </c>
      <c r="E6715" s="29"/>
      <c r="F6715" s="29" t="s">
        <v>4202</v>
      </c>
      <c r="G6715" s="29"/>
      <c r="H6715" s="29" t="s">
        <v>4205</v>
      </c>
      <c r="I6715" s="29"/>
      <c r="J6715" s="29" t="s">
        <v>4206</v>
      </c>
      <c r="K6715" s="29"/>
      <c r="L6715" s="29" t="s">
        <v>4207</v>
      </c>
      <c r="M6715" s="29"/>
      <c r="N6715" s="29" t="s">
        <v>12532</v>
      </c>
      <c r="O6715" s="29"/>
      <c r="P6715" s="29" t="s">
        <v>12534</v>
      </c>
      <c r="Q6715" t="s">
        <v>2040</v>
      </c>
      <c r="R6715" t="s">
        <v>2632</v>
      </c>
      <c r="S6715">
        <v>37</v>
      </c>
      <c r="T6715" s="43" t="str">
        <f t="shared" si="306"/>
        <v>2021.003F.R.Mitoviridae_100nsp_4ngen.zip</v>
      </c>
      <c r="U6715" s="43" t="str">
        <f>HYPERLINK("https://ictv.global/taxonomy/taxondetails?taxnode_id=202213795","ictv.global=202213795")</f>
        <v>ictv.global=202213795</v>
      </c>
    </row>
    <row r="6716" spans="1:21">
      <c r="A6716">
        <v>6715</v>
      </c>
      <c r="B6716" s="29" t="s">
        <v>3223</v>
      </c>
      <c r="C6716" s="29"/>
      <c r="D6716" s="29" t="s">
        <v>4156</v>
      </c>
      <c r="E6716" s="29"/>
      <c r="F6716" s="29" t="s">
        <v>4202</v>
      </c>
      <c r="G6716" s="29"/>
      <c r="H6716" s="29" t="s">
        <v>4205</v>
      </c>
      <c r="I6716" s="29"/>
      <c r="J6716" s="29" t="s">
        <v>4206</v>
      </c>
      <c r="K6716" s="29"/>
      <c r="L6716" s="29" t="s">
        <v>4207</v>
      </c>
      <c r="M6716" s="29"/>
      <c r="N6716" s="29" t="s">
        <v>12532</v>
      </c>
      <c r="O6716" s="29"/>
      <c r="P6716" s="29" t="s">
        <v>12535</v>
      </c>
      <c r="Q6716" t="s">
        <v>2040</v>
      </c>
      <c r="R6716" t="s">
        <v>2632</v>
      </c>
      <c r="S6716">
        <v>37</v>
      </c>
      <c r="T6716" s="43" t="str">
        <f t="shared" si="306"/>
        <v>2021.003F.R.Mitoviridae_100nsp_4ngen.zip</v>
      </c>
      <c r="U6716" s="43" t="str">
        <f>HYPERLINK("https://ictv.global/taxonomy/taxondetails?taxnode_id=202213796","ictv.global=202213796")</f>
        <v>ictv.global=202213796</v>
      </c>
    </row>
    <row r="6717" spans="1:21">
      <c r="A6717">
        <v>6716</v>
      </c>
      <c r="B6717" s="29" t="s">
        <v>3223</v>
      </c>
      <c r="C6717" s="29"/>
      <c r="D6717" s="29" t="s">
        <v>4156</v>
      </c>
      <c r="E6717" s="29"/>
      <c r="F6717" s="29" t="s">
        <v>4202</v>
      </c>
      <c r="G6717" s="29"/>
      <c r="H6717" s="29" t="s">
        <v>4205</v>
      </c>
      <c r="I6717" s="29"/>
      <c r="J6717" s="29" t="s">
        <v>4206</v>
      </c>
      <c r="K6717" s="29"/>
      <c r="L6717" s="29" t="s">
        <v>4207</v>
      </c>
      <c r="M6717" s="29"/>
      <c r="N6717" s="29" t="s">
        <v>12532</v>
      </c>
      <c r="O6717" s="29"/>
      <c r="P6717" s="29" t="s">
        <v>12536</v>
      </c>
      <c r="Q6717" t="s">
        <v>2040</v>
      </c>
      <c r="R6717" t="s">
        <v>2632</v>
      </c>
      <c r="S6717">
        <v>37</v>
      </c>
      <c r="T6717" s="43" t="str">
        <f t="shared" si="306"/>
        <v>2021.003F.R.Mitoviridae_100nsp_4ngen.zip</v>
      </c>
      <c r="U6717" s="43" t="str">
        <f>HYPERLINK("https://ictv.global/taxonomy/taxondetails?taxnode_id=202213798","ictv.global=202213798")</f>
        <v>ictv.global=202213798</v>
      </c>
    </row>
    <row r="6718" spans="1:21">
      <c r="A6718">
        <v>6717</v>
      </c>
      <c r="B6718" s="29" t="s">
        <v>3223</v>
      </c>
      <c r="C6718" s="29"/>
      <c r="D6718" s="29" t="s">
        <v>4156</v>
      </c>
      <c r="E6718" s="29"/>
      <c r="F6718" s="29" t="s">
        <v>4202</v>
      </c>
      <c r="G6718" s="29"/>
      <c r="H6718" s="29" t="s">
        <v>4205</v>
      </c>
      <c r="I6718" s="29"/>
      <c r="J6718" s="29" t="s">
        <v>4206</v>
      </c>
      <c r="K6718" s="29"/>
      <c r="L6718" s="29" t="s">
        <v>4207</v>
      </c>
      <c r="M6718" s="29"/>
      <c r="N6718" s="29" t="s">
        <v>12532</v>
      </c>
      <c r="O6718" s="29"/>
      <c r="P6718" s="29" t="s">
        <v>12537</v>
      </c>
      <c r="Q6718" t="s">
        <v>2040</v>
      </c>
      <c r="R6718" t="s">
        <v>2632</v>
      </c>
      <c r="S6718">
        <v>37</v>
      </c>
      <c r="T6718" s="43" t="str">
        <f t="shared" si="306"/>
        <v>2021.003F.R.Mitoviridae_100nsp_4ngen.zip</v>
      </c>
      <c r="U6718" s="43" t="str">
        <f>HYPERLINK("https://ictv.global/taxonomy/taxondetails?taxnode_id=202213799","ictv.global=202213799")</f>
        <v>ictv.global=202213799</v>
      </c>
    </row>
    <row r="6719" spans="1:21">
      <c r="A6719">
        <v>6718</v>
      </c>
      <c r="B6719" s="29" t="s">
        <v>3223</v>
      </c>
      <c r="C6719" s="29"/>
      <c r="D6719" s="29" t="s">
        <v>4156</v>
      </c>
      <c r="E6719" s="29"/>
      <c r="F6719" s="29" t="s">
        <v>4202</v>
      </c>
      <c r="G6719" s="29"/>
      <c r="H6719" s="29" t="s">
        <v>4205</v>
      </c>
      <c r="I6719" s="29"/>
      <c r="J6719" s="29" t="s">
        <v>4206</v>
      </c>
      <c r="K6719" s="29"/>
      <c r="L6719" s="29" t="s">
        <v>4207</v>
      </c>
      <c r="M6719" s="29"/>
      <c r="N6719" s="29" t="s">
        <v>12532</v>
      </c>
      <c r="O6719" s="29"/>
      <c r="P6719" s="29" t="s">
        <v>12538</v>
      </c>
      <c r="Q6719" t="s">
        <v>2040</v>
      </c>
      <c r="R6719" t="s">
        <v>2632</v>
      </c>
      <c r="S6719">
        <v>37</v>
      </c>
      <c r="T6719" s="43" t="str">
        <f t="shared" si="306"/>
        <v>2021.003F.R.Mitoviridae_100nsp_4ngen.zip</v>
      </c>
      <c r="U6719" s="43" t="str">
        <f>HYPERLINK("https://ictv.global/taxonomy/taxondetails?taxnode_id=202213797","ictv.global=202213797")</f>
        <v>ictv.global=202213797</v>
      </c>
    </row>
    <row r="6720" spans="1:21">
      <c r="A6720">
        <v>6719</v>
      </c>
      <c r="B6720" s="29" t="s">
        <v>3223</v>
      </c>
      <c r="C6720" s="29"/>
      <c r="D6720" s="29" t="s">
        <v>4156</v>
      </c>
      <c r="E6720" s="29"/>
      <c r="F6720" s="29" t="s">
        <v>4202</v>
      </c>
      <c r="G6720" s="29"/>
      <c r="H6720" s="29" t="s">
        <v>4205</v>
      </c>
      <c r="I6720" s="29"/>
      <c r="J6720" s="29" t="s">
        <v>4206</v>
      </c>
      <c r="K6720" s="29"/>
      <c r="L6720" s="29" t="s">
        <v>4207</v>
      </c>
      <c r="M6720" s="29"/>
      <c r="N6720" s="29" t="s">
        <v>12532</v>
      </c>
      <c r="O6720" s="29"/>
      <c r="P6720" s="29" t="s">
        <v>12539</v>
      </c>
      <c r="Q6720" t="s">
        <v>2040</v>
      </c>
      <c r="R6720" t="s">
        <v>2632</v>
      </c>
      <c r="S6720">
        <v>37</v>
      </c>
      <c r="T6720" s="43" t="str">
        <f t="shared" si="306"/>
        <v>2021.003F.R.Mitoviridae_100nsp_4ngen.zip</v>
      </c>
      <c r="U6720" s="43" t="str">
        <f>HYPERLINK("https://ictv.global/taxonomy/taxondetails?taxnode_id=202213800","ictv.global=202213800")</f>
        <v>ictv.global=202213800</v>
      </c>
    </row>
    <row r="6721" spans="1:21">
      <c r="A6721">
        <v>6720</v>
      </c>
      <c r="B6721" s="29" t="s">
        <v>3223</v>
      </c>
      <c r="C6721" s="29"/>
      <c r="D6721" s="29" t="s">
        <v>4156</v>
      </c>
      <c r="E6721" s="29"/>
      <c r="F6721" s="29" t="s">
        <v>4202</v>
      </c>
      <c r="G6721" s="29"/>
      <c r="H6721" s="29" t="s">
        <v>4205</v>
      </c>
      <c r="I6721" s="29"/>
      <c r="J6721" s="29" t="s">
        <v>4206</v>
      </c>
      <c r="K6721" s="29"/>
      <c r="L6721" s="29" t="s">
        <v>4207</v>
      </c>
      <c r="M6721" s="29"/>
      <c r="N6721" s="29" t="s">
        <v>12532</v>
      </c>
      <c r="O6721" s="29"/>
      <c r="P6721" s="29" t="s">
        <v>12540</v>
      </c>
      <c r="Q6721" t="s">
        <v>2040</v>
      </c>
      <c r="R6721" t="s">
        <v>2632</v>
      </c>
      <c r="S6721">
        <v>37</v>
      </c>
      <c r="T6721" s="43" t="str">
        <f t="shared" si="306"/>
        <v>2021.003F.R.Mitoviridae_100nsp_4ngen.zip</v>
      </c>
      <c r="U6721" s="43" t="str">
        <f>HYPERLINK("https://ictv.global/taxonomy/taxondetails?taxnode_id=202213801","ictv.global=202213801")</f>
        <v>ictv.global=202213801</v>
      </c>
    </row>
    <row r="6722" spans="1:21">
      <c r="A6722">
        <v>6721</v>
      </c>
      <c r="B6722" s="29" t="s">
        <v>3223</v>
      </c>
      <c r="C6722" s="29"/>
      <c r="D6722" s="29" t="s">
        <v>4156</v>
      </c>
      <c r="E6722" s="29"/>
      <c r="F6722" s="29" t="s">
        <v>4202</v>
      </c>
      <c r="G6722" s="29"/>
      <c r="H6722" s="29" t="s">
        <v>4205</v>
      </c>
      <c r="I6722" s="29"/>
      <c r="J6722" s="29" t="s">
        <v>4206</v>
      </c>
      <c r="K6722" s="29"/>
      <c r="L6722" s="29" t="s">
        <v>4207</v>
      </c>
      <c r="M6722" s="29"/>
      <c r="N6722" s="29" t="s">
        <v>12532</v>
      </c>
      <c r="O6722" s="29"/>
      <c r="P6722" s="29" t="s">
        <v>12541</v>
      </c>
      <c r="Q6722" t="s">
        <v>2040</v>
      </c>
      <c r="R6722" t="s">
        <v>2632</v>
      </c>
      <c r="S6722">
        <v>37</v>
      </c>
      <c r="T6722" s="43" t="str">
        <f t="shared" si="306"/>
        <v>2021.003F.R.Mitoviridae_100nsp_4ngen.zip</v>
      </c>
      <c r="U6722" s="43" t="str">
        <f>HYPERLINK("https://ictv.global/taxonomy/taxondetails?taxnode_id=202213802","ictv.global=202213802")</f>
        <v>ictv.global=202213802</v>
      </c>
    </row>
    <row r="6723" spans="1:21">
      <c r="A6723">
        <v>6722</v>
      </c>
      <c r="B6723" s="29" t="s">
        <v>3223</v>
      </c>
      <c r="C6723" s="29"/>
      <c r="D6723" s="29" t="s">
        <v>4156</v>
      </c>
      <c r="E6723" s="29"/>
      <c r="F6723" s="29" t="s">
        <v>4202</v>
      </c>
      <c r="G6723" s="29"/>
      <c r="H6723" s="29" t="s">
        <v>4205</v>
      </c>
      <c r="I6723" s="29"/>
      <c r="J6723" s="29" t="s">
        <v>4206</v>
      </c>
      <c r="K6723" s="29"/>
      <c r="L6723" s="29" t="s">
        <v>4207</v>
      </c>
      <c r="M6723" s="29"/>
      <c r="N6723" s="29" t="s">
        <v>12532</v>
      </c>
      <c r="O6723" s="29"/>
      <c r="P6723" s="29" t="s">
        <v>12542</v>
      </c>
      <c r="Q6723" t="s">
        <v>2040</v>
      </c>
      <c r="R6723" t="s">
        <v>2632</v>
      </c>
      <c r="S6723">
        <v>37</v>
      </c>
      <c r="T6723" s="43" t="str">
        <f t="shared" si="306"/>
        <v>2021.003F.R.Mitoviridae_100nsp_4ngen.zip</v>
      </c>
      <c r="U6723" s="43" t="str">
        <f>HYPERLINK("https://ictv.global/taxonomy/taxondetails?taxnode_id=202213803","ictv.global=202213803")</f>
        <v>ictv.global=202213803</v>
      </c>
    </row>
    <row r="6724" spans="1:21">
      <c r="A6724">
        <v>6723</v>
      </c>
      <c r="B6724" s="29" t="s">
        <v>3223</v>
      </c>
      <c r="C6724" s="29"/>
      <c r="D6724" s="29" t="s">
        <v>4156</v>
      </c>
      <c r="E6724" s="29"/>
      <c r="F6724" s="29" t="s">
        <v>4202</v>
      </c>
      <c r="G6724" s="29"/>
      <c r="H6724" s="29" t="s">
        <v>4205</v>
      </c>
      <c r="I6724" s="29"/>
      <c r="J6724" s="29" t="s">
        <v>4206</v>
      </c>
      <c r="K6724" s="29"/>
      <c r="L6724" s="29" t="s">
        <v>4207</v>
      </c>
      <c r="M6724" s="29"/>
      <c r="N6724" s="29" t="s">
        <v>12532</v>
      </c>
      <c r="O6724" s="29"/>
      <c r="P6724" s="29" t="s">
        <v>12543</v>
      </c>
      <c r="Q6724" t="s">
        <v>2040</v>
      </c>
      <c r="R6724" t="s">
        <v>2632</v>
      </c>
      <c r="S6724">
        <v>37</v>
      </c>
      <c r="T6724" s="43" t="str">
        <f t="shared" si="306"/>
        <v>2021.003F.R.Mitoviridae_100nsp_4ngen.zip</v>
      </c>
      <c r="U6724" s="43" t="str">
        <f>HYPERLINK("https://ictv.global/taxonomy/taxondetails?taxnode_id=202213804","ictv.global=202213804")</f>
        <v>ictv.global=202213804</v>
      </c>
    </row>
    <row r="6725" spans="1:21">
      <c r="A6725">
        <v>6724</v>
      </c>
      <c r="B6725" s="29" t="s">
        <v>3223</v>
      </c>
      <c r="C6725" s="29"/>
      <c r="D6725" s="29" t="s">
        <v>4156</v>
      </c>
      <c r="E6725" s="29"/>
      <c r="F6725" s="29" t="s">
        <v>4202</v>
      </c>
      <c r="G6725" s="29"/>
      <c r="H6725" s="29" t="s">
        <v>4205</v>
      </c>
      <c r="I6725" s="29"/>
      <c r="J6725" s="29" t="s">
        <v>4206</v>
      </c>
      <c r="K6725" s="29"/>
      <c r="L6725" s="29" t="s">
        <v>4207</v>
      </c>
      <c r="M6725" s="29"/>
      <c r="N6725" s="29" t="s">
        <v>12532</v>
      </c>
      <c r="O6725" s="29"/>
      <c r="P6725" s="29" t="s">
        <v>12544</v>
      </c>
      <c r="Q6725" t="s">
        <v>2040</v>
      </c>
      <c r="R6725" t="s">
        <v>2633</v>
      </c>
      <c r="S6725">
        <v>37</v>
      </c>
      <c r="T6725" s="43" t="str">
        <f t="shared" si="306"/>
        <v>2021.003F.R.Mitoviridae_100nsp_4ngen.zip</v>
      </c>
      <c r="U6725" s="43" t="str">
        <f>HYPERLINK("https://ictv.global/taxonomy/taxondetails?taxnode_id=202203911","ictv.global=202203911")</f>
        <v>ictv.global=202203911</v>
      </c>
    </row>
    <row r="6726" spans="1:21">
      <c r="A6726">
        <v>6725</v>
      </c>
      <c r="B6726" s="29" t="s">
        <v>3223</v>
      </c>
      <c r="C6726" s="29"/>
      <c r="D6726" s="29" t="s">
        <v>4156</v>
      </c>
      <c r="E6726" s="29"/>
      <c r="F6726" s="29" t="s">
        <v>4202</v>
      </c>
      <c r="G6726" s="29"/>
      <c r="H6726" s="29" t="s">
        <v>4205</v>
      </c>
      <c r="I6726" s="29"/>
      <c r="J6726" s="29" t="s">
        <v>4206</v>
      </c>
      <c r="K6726" s="29"/>
      <c r="L6726" s="29" t="s">
        <v>4207</v>
      </c>
      <c r="M6726" s="29"/>
      <c r="N6726" s="29" t="s">
        <v>12532</v>
      </c>
      <c r="O6726" s="29"/>
      <c r="P6726" s="29" t="s">
        <v>12545</v>
      </c>
      <c r="Q6726" t="s">
        <v>2040</v>
      </c>
      <c r="R6726" t="s">
        <v>2632</v>
      </c>
      <c r="S6726">
        <v>37</v>
      </c>
      <c r="T6726" s="43" t="str">
        <f t="shared" si="306"/>
        <v>2021.003F.R.Mitoviridae_100nsp_4ngen.zip</v>
      </c>
      <c r="U6726" s="43" t="str">
        <f>HYPERLINK("https://ictv.global/taxonomy/taxondetails?taxnode_id=202213805","ictv.global=202213805")</f>
        <v>ictv.global=202213805</v>
      </c>
    </row>
    <row r="6727" spans="1:21">
      <c r="A6727">
        <v>6726</v>
      </c>
      <c r="B6727" s="29" t="s">
        <v>3223</v>
      </c>
      <c r="C6727" s="29"/>
      <c r="D6727" s="29" t="s">
        <v>4156</v>
      </c>
      <c r="E6727" s="29"/>
      <c r="F6727" s="29" t="s">
        <v>4202</v>
      </c>
      <c r="G6727" s="29"/>
      <c r="H6727" s="29" t="s">
        <v>4205</v>
      </c>
      <c r="I6727" s="29"/>
      <c r="J6727" s="29" t="s">
        <v>4206</v>
      </c>
      <c r="K6727" s="29"/>
      <c r="L6727" s="29" t="s">
        <v>4207</v>
      </c>
      <c r="M6727" s="29"/>
      <c r="N6727" s="29" t="s">
        <v>12532</v>
      </c>
      <c r="O6727" s="29"/>
      <c r="P6727" s="29" t="s">
        <v>12546</v>
      </c>
      <c r="Q6727" t="s">
        <v>2040</v>
      </c>
      <c r="R6727" t="s">
        <v>2632</v>
      </c>
      <c r="S6727">
        <v>37</v>
      </c>
      <c r="T6727" s="43" t="str">
        <f t="shared" si="306"/>
        <v>2021.003F.R.Mitoviridae_100nsp_4ngen.zip</v>
      </c>
      <c r="U6727" s="43" t="str">
        <f>HYPERLINK("https://ictv.global/taxonomy/taxondetails?taxnode_id=202213806","ictv.global=202213806")</f>
        <v>ictv.global=202213806</v>
      </c>
    </row>
    <row r="6728" spans="1:21">
      <c r="A6728">
        <v>6727</v>
      </c>
      <c r="B6728" s="29" t="s">
        <v>3223</v>
      </c>
      <c r="C6728" s="29"/>
      <c r="D6728" s="29" t="s">
        <v>4156</v>
      </c>
      <c r="E6728" s="29"/>
      <c r="F6728" s="29" t="s">
        <v>4202</v>
      </c>
      <c r="G6728" s="29"/>
      <c r="H6728" s="29" t="s">
        <v>4205</v>
      </c>
      <c r="I6728" s="29"/>
      <c r="J6728" s="29" t="s">
        <v>4206</v>
      </c>
      <c r="K6728" s="29"/>
      <c r="L6728" s="29" t="s">
        <v>4207</v>
      </c>
      <c r="M6728" s="29"/>
      <c r="N6728" s="29" t="s">
        <v>12532</v>
      </c>
      <c r="O6728" s="29"/>
      <c r="P6728" s="29" t="s">
        <v>12547</v>
      </c>
      <c r="Q6728" t="s">
        <v>2040</v>
      </c>
      <c r="R6728" t="s">
        <v>2632</v>
      </c>
      <c r="S6728">
        <v>37</v>
      </c>
      <c r="T6728" s="43" t="str">
        <f t="shared" si="306"/>
        <v>2021.003F.R.Mitoviridae_100nsp_4ngen.zip</v>
      </c>
      <c r="U6728" s="43" t="str">
        <f>HYPERLINK("https://ictv.global/taxonomy/taxondetails?taxnode_id=202213807","ictv.global=202213807")</f>
        <v>ictv.global=202213807</v>
      </c>
    </row>
    <row r="6729" spans="1:21">
      <c r="A6729">
        <v>6728</v>
      </c>
      <c r="B6729" s="29" t="s">
        <v>3223</v>
      </c>
      <c r="C6729" s="29"/>
      <c r="D6729" s="29" t="s">
        <v>4156</v>
      </c>
      <c r="E6729" s="29"/>
      <c r="F6729" s="29" t="s">
        <v>4202</v>
      </c>
      <c r="G6729" s="29"/>
      <c r="H6729" s="29" t="s">
        <v>4205</v>
      </c>
      <c r="I6729" s="29"/>
      <c r="J6729" s="29" t="s">
        <v>4206</v>
      </c>
      <c r="K6729" s="29"/>
      <c r="L6729" s="29" t="s">
        <v>4207</v>
      </c>
      <c r="M6729" s="29"/>
      <c r="N6729" s="29" t="s">
        <v>12532</v>
      </c>
      <c r="O6729" s="29"/>
      <c r="P6729" s="29" t="s">
        <v>12548</v>
      </c>
      <c r="Q6729" t="s">
        <v>2040</v>
      </c>
      <c r="R6729" t="s">
        <v>2632</v>
      </c>
      <c r="S6729">
        <v>37</v>
      </c>
      <c r="T6729" s="43" t="str">
        <f t="shared" si="306"/>
        <v>2021.003F.R.Mitoviridae_100nsp_4ngen.zip</v>
      </c>
      <c r="U6729" s="43" t="str">
        <f>HYPERLINK("https://ictv.global/taxonomy/taxondetails?taxnode_id=202213808","ictv.global=202213808")</f>
        <v>ictv.global=202213808</v>
      </c>
    </row>
    <row r="6730" spans="1:21">
      <c r="A6730">
        <v>6729</v>
      </c>
      <c r="B6730" s="29" t="s">
        <v>3223</v>
      </c>
      <c r="C6730" s="29"/>
      <c r="D6730" s="29" t="s">
        <v>4156</v>
      </c>
      <c r="E6730" s="29"/>
      <c r="F6730" s="29" t="s">
        <v>4202</v>
      </c>
      <c r="G6730" s="29"/>
      <c r="H6730" s="29" t="s">
        <v>4205</v>
      </c>
      <c r="I6730" s="29"/>
      <c r="J6730" s="29" t="s">
        <v>4206</v>
      </c>
      <c r="K6730" s="29"/>
      <c r="L6730" s="29" t="s">
        <v>4207</v>
      </c>
      <c r="M6730" s="29"/>
      <c r="N6730" s="29" t="s">
        <v>12532</v>
      </c>
      <c r="O6730" s="29"/>
      <c r="P6730" s="29" t="s">
        <v>12549</v>
      </c>
      <c r="Q6730" t="s">
        <v>2040</v>
      </c>
      <c r="R6730" t="s">
        <v>2632</v>
      </c>
      <c r="S6730">
        <v>37</v>
      </c>
      <c r="T6730" s="43" t="str">
        <f t="shared" si="306"/>
        <v>2021.003F.R.Mitoviridae_100nsp_4ngen.zip</v>
      </c>
      <c r="U6730" s="43" t="str">
        <f>HYPERLINK("https://ictv.global/taxonomy/taxondetails?taxnode_id=202213809","ictv.global=202213809")</f>
        <v>ictv.global=202213809</v>
      </c>
    </row>
    <row r="6731" spans="1:21">
      <c r="A6731">
        <v>6730</v>
      </c>
      <c r="B6731" s="29" t="s">
        <v>3223</v>
      </c>
      <c r="C6731" s="29"/>
      <c r="D6731" s="29" t="s">
        <v>4156</v>
      </c>
      <c r="E6731" s="29"/>
      <c r="F6731" s="29" t="s">
        <v>4202</v>
      </c>
      <c r="G6731" s="29"/>
      <c r="H6731" s="29" t="s">
        <v>4205</v>
      </c>
      <c r="I6731" s="29"/>
      <c r="J6731" s="29" t="s">
        <v>4206</v>
      </c>
      <c r="K6731" s="29"/>
      <c r="L6731" s="29" t="s">
        <v>4207</v>
      </c>
      <c r="M6731" s="29"/>
      <c r="N6731" s="29" t="s">
        <v>12532</v>
      </c>
      <c r="O6731" s="29"/>
      <c r="P6731" s="29" t="s">
        <v>12550</v>
      </c>
      <c r="Q6731" t="s">
        <v>2040</v>
      </c>
      <c r="R6731" t="s">
        <v>2632</v>
      </c>
      <c r="S6731">
        <v>37</v>
      </c>
      <c r="T6731" s="43" t="str">
        <f t="shared" si="306"/>
        <v>2021.003F.R.Mitoviridae_100nsp_4ngen.zip</v>
      </c>
      <c r="U6731" s="43" t="str">
        <f>HYPERLINK("https://ictv.global/taxonomy/taxondetails?taxnode_id=202213810","ictv.global=202213810")</f>
        <v>ictv.global=202213810</v>
      </c>
    </row>
    <row r="6732" spans="1:21">
      <c r="A6732">
        <v>6731</v>
      </c>
      <c r="B6732" s="29" t="s">
        <v>3223</v>
      </c>
      <c r="C6732" s="29"/>
      <c r="D6732" s="29" t="s">
        <v>4156</v>
      </c>
      <c r="E6732" s="29"/>
      <c r="F6732" s="29" t="s">
        <v>4202</v>
      </c>
      <c r="G6732" s="29"/>
      <c r="H6732" s="29" t="s">
        <v>4205</v>
      </c>
      <c r="I6732" s="29"/>
      <c r="J6732" s="29" t="s">
        <v>4206</v>
      </c>
      <c r="K6732" s="29"/>
      <c r="L6732" s="29" t="s">
        <v>4207</v>
      </c>
      <c r="M6732" s="29"/>
      <c r="N6732" s="29" t="s">
        <v>12532</v>
      </c>
      <c r="O6732" s="29"/>
      <c r="P6732" s="29" t="s">
        <v>12551</v>
      </c>
      <c r="Q6732" t="s">
        <v>2040</v>
      </c>
      <c r="R6732" t="s">
        <v>2632</v>
      </c>
      <c r="S6732">
        <v>37</v>
      </c>
      <c r="T6732" s="43" t="str">
        <f t="shared" si="306"/>
        <v>2021.003F.R.Mitoviridae_100nsp_4ngen.zip</v>
      </c>
      <c r="U6732" s="43" t="str">
        <f>HYPERLINK("https://ictv.global/taxonomy/taxondetails?taxnode_id=202213811","ictv.global=202213811")</f>
        <v>ictv.global=202213811</v>
      </c>
    </row>
    <row r="6733" spans="1:21">
      <c r="A6733">
        <v>6732</v>
      </c>
      <c r="B6733" s="29" t="s">
        <v>3223</v>
      </c>
      <c r="C6733" s="29"/>
      <c r="D6733" s="29" t="s">
        <v>4156</v>
      </c>
      <c r="E6733" s="29"/>
      <c r="F6733" s="29" t="s">
        <v>4202</v>
      </c>
      <c r="G6733" s="29"/>
      <c r="H6733" s="29" t="s">
        <v>4205</v>
      </c>
      <c r="I6733" s="29"/>
      <c r="J6733" s="29" t="s">
        <v>4206</v>
      </c>
      <c r="K6733" s="29"/>
      <c r="L6733" s="29" t="s">
        <v>4207</v>
      </c>
      <c r="M6733" s="29"/>
      <c r="N6733" s="29" t="s">
        <v>12532</v>
      </c>
      <c r="O6733" s="29"/>
      <c r="P6733" s="29" t="s">
        <v>12552</v>
      </c>
      <c r="Q6733" t="s">
        <v>2040</v>
      </c>
      <c r="R6733" t="s">
        <v>2632</v>
      </c>
      <c r="S6733">
        <v>37</v>
      </c>
      <c r="T6733" s="43" t="str">
        <f t="shared" si="306"/>
        <v>2021.003F.R.Mitoviridae_100nsp_4ngen.zip</v>
      </c>
      <c r="U6733" s="43" t="str">
        <f>HYPERLINK("https://ictv.global/taxonomy/taxondetails?taxnode_id=202213812","ictv.global=202213812")</f>
        <v>ictv.global=202213812</v>
      </c>
    </row>
    <row r="6734" spans="1:21">
      <c r="A6734">
        <v>6733</v>
      </c>
      <c r="B6734" s="29" t="s">
        <v>3223</v>
      </c>
      <c r="C6734" s="29"/>
      <c r="D6734" s="29" t="s">
        <v>4156</v>
      </c>
      <c r="E6734" s="29"/>
      <c r="F6734" s="29" t="s">
        <v>4202</v>
      </c>
      <c r="G6734" s="29"/>
      <c r="H6734" s="29" t="s">
        <v>4205</v>
      </c>
      <c r="I6734" s="29"/>
      <c r="J6734" s="29" t="s">
        <v>4206</v>
      </c>
      <c r="K6734" s="29"/>
      <c r="L6734" s="29" t="s">
        <v>4207</v>
      </c>
      <c r="M6734" s="29"/>
      <c r="N6734" s="29" t="s">
        <v>12532</v>
      </c>
      <c r="O6734" s="29"/>
      <c r="P6734" s="29" t="s">
        <v>12553</v>
      </c>
      <c r="Q6734" t="s">
        <v>2040</v>
      </c>
      <c r="R6734" t="s">
        <v>2632</v>
      </c>
      <c r="S6734">
        <v>37</v>
      </c>
      <c r="T6734" s="43" t="str">
        <f t="shared" si="306"/>
        <v>2021.003F.R.Mitoviridae_100nsp_4ngen.zip</v>
      </c>
      <c r="U6734" s="43" t="str">
        <f>HYPERLINK("https://ictv.global/taxonomy/taxondetails?taxnode_id=202213813","ictv.global=202213813")</f>
        <v>ictv.global=202213813</v>
      </c>
    </row>
    <row r="6735" spans="1:21">
      <c r="A6735">
        <v>6734</v>
      </c>
      <c r="B6735" s="29" t="s">
        <v>3223</v>
      </c>
      <c r="C6735" s="29"/>
      <c r="D6735" s="29" t="s">
        <v>4156</v>
      </c>
      <c r="E6735" s="29"/>
      <c r="F6735" s="29" t="s">
        <v>4202</v>
      </c>
      <c r="G6735" s="29"/>
      <c r="H6735" s="29" t="s">
        <v>4205</v>
      </c>
      <c r="I6735" s="29"/>
      <c r="J6735" s="29" t="s">
        <v>4206</v>
      </c>
      <c r="K6735" s="29"/>
      <c r="L6735" s="29" t="s">
        <v>4207</v>
      </c>
      <c r="M6735" s="29"/>
      <c r="N6735" s="29" t="s">
        <v>12532</v>
      </c>
      <c r="O6735" s="29"/>
      <c r="P6735" s="29" t="s">
        <v>12554</v>
      </c>
      <c r="Q6735" t="s">
        <v>2040</v>
      </c>
      <c r="R6735" t="s">
        <v>2632</v>
      </c>
      <c r="S6735">
        <v>37</v>
      </c>
      <c r="T6735" s="43" t="str">
        <f t="shared" si="306"/>
        <v>2021.003F.R.Mitoviridae_100nsp_4ngen.zip</v>
      </c>
      <c r="U6735" s="43" t="str">
        <f>HYPERLINK("https://ictv.global/taxonomy/taxondetails?taxnode_id=202213814","ictv.global=202213814")</f>
        <v>ictv.global=202213814</v>
      </c>
    </row>
    <row r="6736" spans="1:21">
      <c r="A6736">
        <v>6735</v>
      </c>
      <c r="B6736" s="29" t="s">
        <v>3223</v>
      </c>
      <c r="C6736" s="29"/>
      <c r="D6736" s="29" t="s">
        <v>4156</v>
      </c>
      <c r="E6736" s="29"/>
      <c r="F6736" s="29" t="s">
        <v>4202</v>
      </c>
      <c r="G6736" s="29"/>
      <c r="H6736" s="29" t="s">
        <v>4205</v>
      </c>
      <c r="I6736" s="29"/>
      <c r="J6736" s="29" t="s">
        <v>4206</v>
      </c>
      <c r="K6736" s="29"/>
      <c r="L6736" s="29" t="s">
        <v>4207</v>
      </c>
      <c r="M6736" s="29"/>
      <c r="N6736" s="29" t="s">
        <v>12532</v>
      </c>
      <c r="O6736" s="29"/>
      <c r="P6736" s="29" t="s">
        <v>12555</v>
      </c>
      <c r="Q6736" t="s">
        <v>2040</v>
      </c>
      <c r="R6736" t="s">
        <v>2632</v>
      </c>
      <c r="S6736">
        <v>37</v>
      </c>
      <c r="T6736" s="43" t="str">
        <f t="shared" si="306"/>
        <v>2021.003F.R.Mitoviridae_100nsp_4ngen.zip</v>
      </c>
      <c r="U6736" s="43" t="str">
        <f>HYPERLINK("https://ictv.global/taxonomy/taxondetails?taxnode_id=202213815","ictv.global=202213815")</f>
        <v>ictv.global=202213815</v>
      </c>
    </row>
    <row r="6737" spans="1:21">
      <c r="A6737">
        <v>6736</v>
      </c>
      <c r="B6737" s="29" t="s">
        <v>3223</v>
      </c>
      <c r="C6737" s="29"/>
      <c r="D6737" s="29" t="s">
        <v>4156</v>
      </c>
      <c r="E6737" s="29"/>
      <c r="F6737" s="29" t="s">
        <v>4202</v>
      </c>
      <c r="G6737" s="29"/>
      <c r="H6737" s="29" t="s">
        <v>4205</v>
      </c>
      <c r="I6737" s="29"/>
      <c r="J6737" s="29" t="s">
        <v>4206</v>
      </c>
      <c r="K6737" s="29"/>
      <c r="L6737" s="29" t="s">
        <v>4207</v>
      </c>
      <c r="M6737" s="29"/>
      <c r="N6737" s="29" t="s">
        <v>12532</v>
      </c>
      <c r="O6737" s="29"/>
      <c r="P6737" s="29" t="s">
        <v>12556</v>
      </c>
      <c r="Q6737" t="s">
        <v>2040</v>
      </c>
      <c r="R6737" t="s">
        <v>2632</v>
      </c>
      <c r="S6737">
        <v>37</v>
      </c>
      <c r="T6737" s="43" t="str">
        <f t="shared" si="306"/>
        <v>2021.003F.R.Mitoviridae_100nsp_4ngen.zip</v>
      </c>
      <c r="U6737" s="43" t="str">
        <f>HYPERLINK("https://ictv.global/taxonomy/taxondetails?taxnode_id=202212426","ictv.global=202212426")</f>
        <v>ictv.global=202212426</v>
      </c>
    </row>
    <row r="6738" spans="1:21">
      <c r="A6738">
        <v>6737</v>
      </c>
      <c r="B6738" s="29" t="s">
        <v>3223</v>
      </c>
      <c r="C6738" s="29"/>
      <c r="D6738" s="29" t="s">
        <v>4156</v>
      </c>
      <c r="E6738" s="29"/>
      <c r="F6738" s="29" t="s">
        <v>4202</v>
      </c>
      <c r="G6738" s="29"/>
      <c r="H6738" s="29" t="s">
        <v>4205</v>
      </c>
      <c r="I6738" s="29"/>
      <c r="J6738" s="29" t="s">
        <v>4206</v>
      </c>
      <c r="K6738" s="29"/>
      <c r="L6738" s="29" t="s">
        <v>4207</v>
      </c>
      <c r="M6738" s="29"/>
      <c r="N6738" s="29" t="s">
        <v>12532</v>
      </c>
      <c r="O6738" s="29"/>
      <c r="P6738" s="29" t="s">
        <v>12557</v>
      </c>
      <c r="Q6738" t="s">
        <v>2040</v>
      </c>
      <c r="R6738" t="s">
        <v>2632</v>
      </c>
      <c r="S6738">
        <v>37</v>
      </c>
      <c r="T6738" s="43" t="str">
        <f t="shared" si="306"/>
        <v>2021.003F.R.Mitoviridae_100nsp_4ngen.zip</v>
      </c>
      <c r="U6738" s="43" t="str">
        <f>HYPERLINK("https://ictv.global/taxonomy/taxondetails?taxnode_id=202212427","ictv.global=202212427")</f>
        <v>ictv.global=202212427</v>
      </c>
    </row>
    <row r="6739" spans="1:21">
      <c r="A6739">
        <v>6738</v>
      </c>
      <c r="B6739" s="29" t="s">
        <v>3223</v>
      </c>
      <c r="C6739" s="29"/>
      <c r="D6739" s="29" t="s">
        <v>4156</v>
      </c>
      <c r="E6739" s="29"/>
      <c r="F6739" s="29" t="s">
        <v>4202</v>
      </c>
      <c r="G6739" s="29"/>
      <c r="H6739" s="29" t="s">
        <v>4205</v>
      </c>
      <c r="I6739" s="29"/>
      <c r="J6739" s="29" t="s">
        <v>4206</v>
      </c>
      <c r="K6739" s="29"/>
      <c r="L6739" s="29" t="s">
        <v>4207</v>
      </c>
      <c r="M6739" s="29"/>
      <c r="N6739" s="29" t="s">
        <v>12532</v>
      </c>
      <c r="O6739" s="29"/>
      <c r="P6739" s="29" t="s">
        <v>12558</v>
      </c>
      <c r="Q6739" t="s">
        <v>2040</v>
      </c>
      <c r="R6739" t="s">
        <v>2632</v>
      </c>
      <c r="S6739">
        <v>37</v>
      </c>
      <c r="T6739" s="43" t="str">
        <f t="shared" si="306"/>
        <v>2021.003F.R.Mitoviridae_100nsp_4ngen.zip</v>
      </c>
      <c r="U6739" s="43" t="str">
        <f>HYPERLINK("https://ictv.global/taxonomy/taxondetails?taxnode_id=202212428","ictv.global=202212428")</f>
        <v>ictv.global=202212428</v>
      </c>
    </row>
    <row r="6740" spans="1:21">
      <c r="A6740">
        <v>6739</v>
      </c>
      <c r="B6740" s="29" t="s">
        <v>3223</v>
      </c>
      <c r="C6740" s="29"/>
      <c r="D6740" s="29" t="s">
        <v>4156</v>
      </c>
      <c r="E6740" s="29"/>
      <c r="F6740" s="29" t="s">
        <v>4202</v>
      </c>
      <c r="G6740" s="29"/>
      <c r="H6740" s="29" t="s">
        <v>4205</v>
      </c>
      <c r="I6740" s="29"/>
      <c r="J6740" s="29" t="s">
        <v>4206</v>
      </c>
      <c r="K6740" s="29"/>
      <c r="L6740" s="29" t="s">
        <v>4207</v>
      </c>
      <c r="M6740" s="29"/>
      <c r="N6740" s="29" t="s">
        <v>12532</v>
      </c>
      <c r="O6740" s="29"/>
      <c r="P6740" s="29" t="s">
        <v>12559</v>
      </c>
      <c r="Q6740" t="s">
        <v>2040</v>
      </c>
      <c r="R6740" t="s">
        <v>2632</v>
      </c>
      <c r="S6740">
        <v>37</v>
      </c>
      <c r="T6740" s="43" t="str">
        <f t="shared" si="306"/>
        <v>2021.003F.R.Mitoviridae_100nsp_4ngen.zip</v>
      </c>
      <c r="U6740" s="43" t="str">
        <f>HYPERLINK("https://ictv.global/taxonomy/taxondetails?taxnode_id=202212429","ictv.global=202212429")</f>
        <v>ictv.global=202212429</v>
      </c>
    </row>
    <row r="6741" spans="1:21">
      <c r="A6741">
        <v>6740</v>
      </c>
      <c r="B6741" s="29" t="s">
        <v>3223</v>
      </c>
      <c r="C6741" s="29"/>
      <c r="D6741" s="29" t="s">
        <v>4156</v>
      </c>
      <c r="E6741" s="29"/>
      <c r="F6741" s="29" t="s">
        <v>4202</v>
      </c>
      <c r="G6741" s="29"/>
      <c r="H6741" s="29" t="s">
        <v>4205</v>
      </c>
      <c r="I6741" s="29"/>
      <c r="J6741" s="29" t="s">
        <v>4206</v>
      </c>
      <c r="K6741" s="29"/>
      <c r="L6741" s="29" t="s">
        <v>4207</v>
      </c>
      <c r="M6741" s="29"/>
      <c r="N6741" s="29" t="s">
        <v>12532</v>
      </c>
      <c r="O6741" s="29"/>
      <c r="P6741" s="29" t="s">
        <v>12560</v>
      </c>
      <c r="Q6741" t="s">
        <v>2040</v>
      </c>
      <c r="R6741" t="s">
        <v>2632</v>
      </c>
      <c r="S6741">
        <v>37</v>
      </c>
      <c r="T6741" s="43" t="str">
        <f t="shared" si="306"/>
        <v>2021.003F.R.Mitoviridae_100nsp_4ngen.zip</v>
      </c>
      <c r="U6741" s="43" t="str">
        <f>HYPERLINK("https://ictv.global/taxonomy/taxondetails?taxnode_id=202212430","ictv.global=202212430")</f>
        <v>ictv.global=202212430</v>
      </c>
    </row>
    <row r="6742" spans="1:21">
      <c r="A6742">
        <v>6741</v>
      </c>
      <c r="B6742" s="29" t="s">
        <v>3223</v>
      </c>
      <c r="C6742" s="29"/>
      <c r="D6742" s="29" t="s">
        <v>4156</v>
      </c>
      <c r="E6742" s="29"/>
      <c r="F6742" s="29" t="s">
        <v>4202</v>
      </c>
      <c r="G6742" s="29"/>
      <c r="H6742" s="29" t="s">
        <v>4205</v>
      </c>
      <c r="I6742" s="29"/>
      <c r="J6742" s="29" t="s">
        <v>4206</v>
      </c>
      <c r="K6742" s="29"/>
      <c r="L6742" s="29" t="s">
        <v>4207</v>
      </c>
      <c r="M6742" s="29"/>
      <c r="N6742" s="29" t="s">
        <v>12532</v>
      </c>
      <c r="O6742" s="29"/>
      <c r="P6742" s="29" t="s">
        <v>12561</v>
      </c>
      <c r="Q6742" t="s">
        <v>2040</v>
      </c>
      <c r="R6742" t="s">
        <v>2632</v>
      </c>
      <c r="S6742">
        <v>37</v>
      </c>
      <c r="T6742" s="43" t="str">
        <f t="shared" si="306"/>
        <v>2021.003F.R.Mitoviridae_100nsp_4ngen.zip</v>
      </c>
      <c r="U6742" s="43" t="str">
        <f>HYPERLINK("https://ictv.global/taxonomy/taxondetails?taxnode_id=202212431","ictv.global=202212431")</f>
        <v>ictv.global=202212431</v>
      </c>
    </row>
    <row r="6743" spans="1:21">
      <c r="A6743">
        <v>6742</v>
      </c>
      <c r="B6743" s="29" t="s">
        <v>3223</v>
      </c>
      <c r="C6743" s="29"/>
      <c r="D6743" s="29" t="s">
        <v>4156</v>
      </c>
      <c r="E6743" s="29"/>
      <c r="F6743" s="29" t="s">
        <v>4202</v>
      </c>
      <c r="G6743" s="29"/>
      <c r="H6743" s="29" t="s">
        <v>4205</v>
      </c>
      <c r="I6743" s="29"/>
      <c r="J6743" s="29" t="s">
        <v>4206</v>
      </c>
      <c r="K6743" s="29"/>
      <c r="L6743" s="29" t="s">
        <v>4207</v>
      </c>
      <c r="M6743" s="29"/>
      <c r="N6743" s="29" t="s">
        <v>12532</v>
      </c>
      <c r="O6743" s="29"/>
      <c r="P6743" s="29" t="s">
        <v>12562</v>
      </c>
      <c r="Q6743" t="s">
        <v>2040</v>
      </c>
      <c r="R6743" t="s">
        <v>2632</v>
      </c>
      <c r="S6743">
        <v>37</v>
      </c>
      <c r="T6743" s="43" t="str">
        <f t="shared" si="306"/>
        <v>2021.003F.R.Mitoviridae_100nsp_4ngen.zip</v>
      </c>
      <c r="U6743" s="43" t="str">
        <f>HYPERLINK("https://ictv.global/taxonomy/taxondetails?taxnode_id=202212432","ictv.global=202212432")</f>
        <v>ictv.global=202212432</v>
      </c>
    </row>
    <row r="6744" spans="1:21">
      <c r="A6744">
        <v>6743</v>
      </c>
      <c r="B6744" s="29" t="s">
        <v>3223</v>
      </c>
      <c r="C6744" s="29"/>
      <c r="D6744" s="29" t="s">
        <v>4156</v>
      </c>
      <c r="E6744" s="29"/>
      <c r="F6744" s="29" t="s">
        <v>4202</v>
      </c>
      <c r="G6744" s="29"/>
      <c r="H6744" s="29" t="s">
        <v>4205</v>
      </c>
      <c r="I6744" s="29"/>
      <c r="J6744" s="29" t="s">
        <v>4206</v>
      </c>
      <c r="K6744" s="29"/>
      <c r="L6744" s="29" t="s">
        <v>4207</v>
      </c>
      <c r="M6744" s="29"/>
      <c r="N6744" s="29" t="s">
        <v>12532</v>
      </c>
      <c r="O6744" s="29"/>
      <c r="P6744" s="29" t="s">
        <v>12563</v>
      </c>
      <c r="Q6744" t="s">
        <v>2040</v>
      </c>
      <c r="R6744" t="s">
        <v>2633</v>
      </c>
      <c r="S6744">
        <v>37</v>
      </c>
      <c r="T6744" s="43" t="str">
        <f t="shared" si="306"/>
        <v>2021.003F.R.Mitoviridae_100nsp_4ngen.zip</v>
      </c>
      <c r="U6744" s="43" t="str">
        <f>HYPERLINK("https://ictv.global/taxonomy/taxondetails?taxnode_id=202203915","ictv.global=202203915")</f>
        <v>ictv.global=202203915</v>
      </c>
    </row>
    <row r="6745" spans="1:21">
      <c r="A6745">
        <v>6744</v>
      </c>
      <c r="B6745" s="29" t="s">
        <v>3223</v>
      </c>
      <c r="C6745" s="29"/>
      <c r="D6745" s="29" t="s">
        <v>4156</v>
      </c>
      <c r="E6745" s="29"/>
      <c r="F6745" s="29" t="s">
        <v>4202</v>
      </c>
      <c r="G6745" s="29"/>
      <c r="H6745" s="29" t="s">
        <v>4205</v>
      </c>
      <c r="I6745" s="29"/>
      <c r="J6745" s="29" t="s">
        <v>4206</v>
      </c>
      <c r="K6745" s="29"/>
      <c r="L6745" s="29" t="s">
        <v>4207</v>
      </c>
      <c r="M6745" s="29"/>
      <c r="N6745" s="29" t="s">
        <v>12532</v>
      </c>
      <c r="O6745" s="29"/>
      <c r="P6745" s="29" t="s">
        <v>12564</v>
      </c>
      <c r="Q6745" t="s">
        <v>2040</v>
      </c>
      <c r="R6745" t="s">
        <v>2632</v>
      </c>
      <c r="S6745">
        <v>37</v>
      </c>
      <c r="T6745" s="43" t="str">
        <f t="shared" si="306"/>
        <v>2021.003F.R.Mitoviridae_100nsp_4ngen.zip</v>
      </c>
      <c r="U6745" s="43" t="str">
        <f>HYPERLINK("https://ictv.global/taxonomy/taxondetails?taxnode_id=202212433","ictv.global=202212433")</f>
        <v>ictv.global=202212433</v>
      </c>
    </row>
    <row r="6746" spans="1:21">
      <c r="A6746">
        <v>6745</v>
      </c>
      <c r="B6746" s="29" t="s">
        <v>3223</v>
      </c>
      <c r="C6746" s="29"/>
      <c r="D6746" s="29" t="s">
        <v>4156</v>
      </c>
      <c r="E6746" s="29"/>
      <c r="F6746" s="29" t="s">
        <v>4202</v>
      </c>
      <c r="G6746" s="29"/>
      <c r="H6746" s="29" t="s">
        <v>4205</v>
      </c>
      <c r="I6746" s="29"/>
      <c r="J6746" s="29" t="s">
        <v>4206</v>
      </c>
      <c r="K6746" s="29"/>
      <c r="L6746" s="29" t="s">
        <v>4207</v>
      </c>
      <c r="M6746" s="29"/>
      <c r="N6746" s="29" t="s">
        <v>12532</v>
      </c>
      <c r="O6746" s="29"/>
      <c r="P6746" s="29" t="s">
        <v>12565</v>
      </c>
      <c r="Q6746" t="s">
        <v>2040</v>
      </c>
      <c r="R6746" t="s">
        <v>2632</v>
      </c>
      <c r="S6746">
        <v>37</v>
      </c>
      <c r="T6746" s="43" t="str">
        <f t="shared" ref="T6746:T6777" si="307">HYPERLINK("https://ictv.global/ictv/proposals/2021.003F.R.Mitoviridae_100nsp_4ngen.zip","2021.003F.R.Mitoviridae_100nsp_4ngen.zip")</f>
        <v>2021.003F.R.Mitoviridae_100nsp_4ngen.zip</v>
      </c>
      <c r="U6746" s="43" t="str">
        <f>HYPERLINK("https://ictv.global/taxonomy/taxondetails?taxnode_id=202212434","ictv.global=202212434")</f>
        <v>ictv.global=202212434</v>
      </c>
    </row>
    <row r="6747" spans="1:21">
      <c r="A6747">
        <v>6746</v>
      </c>
      <c r="B6747" s="29" t="s">
        <v>3223</v>
      </c>
      <c r="C6747" s="29"/>
      <c r="D6747" s="29" t="s">
        <v>4156</v>
      </c>
      <c r="E6747" s="29"/>
      <c r="F6747" s="29" t="s">
        <v>4202</v>
      </c>
      <c r="G6747" s="29"/>
      <c r="H6747" s="29" t="s">
        <v>4205</v>
      </c>
      <c r="I6747" s="29"/>
      <c r="J6747" s="29" t="s">
        <v>4206</v>
      </c>
      <c r="K6747" s="29"/>
      <c r="L6747" s="29" t="s">
        <v>4207</v>
      </c>
      <c r="M6747" s="29"/>
      <c r="N6747" s="29" t="s">
        <v>12532</v>
      </c>
      <c r="O6747" s="29"/>
      <c r="P6747" s="29" t="s">
        <v>12566</v>
      </c>
      <c r="Q6747" t="s">
        <v>2040</v>
      </c>
      <c r="R6747" t="s">
        <v>2632</v>
      </c>
      <c r="S6747">
        <v>37</v>
      </c>
      <c r="T6747" s="43" t="str">
        <f t="shared" si="307"/>
        <v>2021.003F.R.Mitoviridae_100nsp_4ngen.zip</v>
      </c>
      <c r="U6747" s="43" t="str">
        <f>HYPERLINK("https://ictv.global/taxonomy/taxondetails?taxnode_id=202212435","ictv.global=202212435")</f>
        <v>ictv.global=202212435</v>
      </c>
    </row>
    <row r="6748" spans="1:21">
      <c r="A6748">
        <v>6747</v>
      </c>
      <c r="B6748" s="29" t="s">
        <v>3223</v>
      </c>
      <c r="C6748" s="29"/>
      <c r="D6748" s="29" t="s">
        <v>4156</v>
      </c>
      <c r="E6748" s="29"/>
      <c r="F6748" s="29" t="s">
        <v>4202</v>
      </c>
      <c r="G6748" s="29"/>
      <c r="H6748" s="29" t="s">
        <v>4205</v>
      </c>
      <c r="I6748" s="29"/>
      <c r="J6748" s="29" t="s">
        <v>4206</v>
      </c>
      <c r="K6748" s="29"/>
      <c r="L6748" s="29" t="s">
        <v>4207</v>
      </c>
      <c r="M6748" s="29"/>
      <c r="N6748" s="29" t="s">
        <v>12532</v>
      </c>
      <c r="O6748" s="29"/>
      <c r="P6748" s="29" t="s">
        <v>12567</v>
      </c>
      <c r="Q6748" t="s">
        <v>2040</v>
      </c>
      <c r="R6748" t="s">
        <v>2632</v>
      </c>
      <c r="S6748">
        <v>37</v>
      </c>
      <c r="T6748" s="43" t="str">
        <f t="shared" si="307"/>
        <v>2021.003F.R.Mitoviridae_100nsp_4ngen.zip</v>
      </c>
      <c r="U6748" s="43" t="str">
        <f>HYPERLINK("https://ictv.global/taxonomy/taxondetails?taxnode_id=202212436","ictv.global=202212436")</f>
        <v>ictv.global=202212436</v>
      </c>
    </row>
    <row r="6749" spans="1:21">
      <c r="A6749">
        <v>6748</v>
      </c>
      <c r="B6749" s="29" t="s">
        <v>3223</v>
      </c>
      <c r="C6749" s="29"/>
      <c r="D6749" s="29" t="s">
        <v>4156</v>
      </c>
      <c r="E6749" s="29"/>
      <c r="F6749" s="29" t="s">
        <v>4202</v>
      </c>
      <c r="G6749" s="29"/>
      <c r="H6749" s="29" t="s">
        <v>4205</v>
      </c>
      <c r="I6749" s="29"/>
      <c r="J6749" s="29" t="s">
        <v>4206</v>
      </c>
      <c r="K6749" s="29"/>
      <c r="L6749" s="29" t="s">
        <v>4207</v>
      </c>
      <c r="M6749" s="29"/>
      <c r="N6749" s="29" t="s">
        <v>12532</v>
      </c>
      <c r="O6749" s="29"/>
      <c r="P6749" s="29" t="s">
        <v>12568</v>
      </c>
      <c r="Q6749" t="s">
        <v>2040</v>
      </c>
      <c r="R6749" t="s">
        <v>2632</v>
      </c>
      <c r="S6749">
        <v>37</v>
      </c>
      <c r="T6749" s="43" t="str">
        <f t="shared" si="307"/>
        <v>2021.003F.R.Mitoviridae_100nsp_4ngen.zip</v>
      </c>
      <c r="U6749" s="43" t="str">
        <f>HYPERLINK("https://ictv.global/taxonomy/taxondetails?taxnode_id=202212444","ictv.global=202212444")</f>
        <v>ictv.global=202212444</v>
      </c>
    </row>
    <row r="6750" spans="1:21">
      <c r="A6750">
        <v>6749</v>
      </c>
      <c r="B6750" s="29" t="s">
        <v>3223</v>
      </c>
      <c r="C6750" s="29"/>
      <c r="D6750" s="29" t="s">
        <v>4156</v>
      </c>
      <c r="E6750" s="29"/>
      <c r="F6750" s="29" t="s">
        <v>4202</v>
      </c>
      <c r="G6750" s="29"/>
      <c r="H6750" s="29" t="s">
        <v>4205</v>
      </c>
      <c r="I6750" s="29"/>
      <c r="J6750" s="29" t="s">
        <v>4206</v>
      </c>
      <c r="K6750" s="29"/>
      <c r="L6750" s="29" t="s">
        <v>4207</v>
      </c>
      <c r="M6750" s="29"/>
      <c r="N6750" s="29" t="s">
        <v>12532</v>
      </c>
      <c r="O6750" s="29"/>
      <c r="P6750" s="29" t="s">
        <v>12569</v>
      </c>
      <c r="Q6750" t="s">
        <v>2040</v>
      </c>
      <c r="R6750" t="s">
        <v>2632</v>
      </c>
      <c r="S6750">
        <v>37</v>
      </c>
      <c r="T6750" s="43" t="str">
        <f t="shared" si="307"/>
        <v>2021.003F.R.Mitoviridae_100nsp_4ngen.zip</v>
      </c>
      <c r="U6750" s="43" t="str">
        <f>HYPERLINK("https://ictv.global/taxonomy/taxondetails?taxnode_id=202212437","ictv.global=202212437")</f>
        <v>ictv.global=202212437</v>
      </c>
    </row>
    <row r="6751" spans="1:21">
      <c r="A6751">
        <v>6750</v>
      </c>
      <c r="B6751" s="29" t="s">
        <v>3223</v>
      </c>
      <c r="C6751" s="29"/>
      <c r="D6751" s="29" t="s">
        <v>4156</v>
      </c>
      <c r="E6751" s="29"/>
      <c r="F6751" s="29" t="s">
        <v>4202</v>
      </c>
      <c r="G6751" s="29"/>
      <c r="H6751" s="29" t="s">
        <v>4205</v>
      </c>
      <c r="I6751" s="29"/>
      <c r="J6751" s="29" t="s">
        <v>4206</v>
      </c>
      <c r="K6751" s="29"/>
      <c r="L6751" s="29" t="s">
        <v>4207</v>
      </c>
      <c r="M6751" s="29"/>
      <c r="N6751" s="29" t="s">
        <v>12532</v>
      </c>
      <c r="O6751" s="29"/>
      <c r="P6751" s="29" t="s">
        <v>12570</v>
      </c>
      <c r="Q6751" t="s">
        <v>2040</v>
      </c>
      <c r="R6751" t="s">
        <v>2632</v>
      </c>
      <c r="S6751">
        <v>37</v>
      </c>
      <c r="T6751" s="43" t="str">
        <f t="shared" si="307"/>
        <v>2021.003F.R.Mitoviridae_100nsp_4ngen.zip</v>
      </c>
      <c r="U6751" s="43" t="str">
        <f>HYPERLINK("https://ictv.global/taxonomy/taxondetails?taxnode_id=202212438","ictv.global=202212438")</f>
        <v>ictv.global=202212438</v>
      </c>
    </row>
    <row r="6752" spans="1:21">
      <c r="A6752">
        <v>6751</v>
      </c>
      <c r="B6752" s="29" t="s">
        <v>3223</v>
      </c>
      <c r="C6752" s="29"/>
      <c r="D6752" s="29" t="s">
        <v>4156</v>
      </c>
      <c r="E6752" s="29"/>
      <c r="F6752" s="29" t="s">
        <v>4202</v>
      </c>
      <c r="G6752" s="29"/>
      <c r="H6752" s="29" t="s">
        <v>4205</v>
      </c>
      <c r="I6752" s="29"/>
      <c r="J6752" s="29" t="s">
        <v>4206</v>
      </c>
      <c r="K6752" s="29"/>
      <c r="L6752" s="29" t="s">
        <v>4207</v>
      </c>
      <c r="M6752" s="29"/>
      <c r="N6752" s="29" t="s">
        <v>12532</v>
      </c>
      <c r="O6752" s="29"/>
      <c r="P6752" s="29" t="s">
        <v>12571</v>
      </c>
      <c r="Q6752" t="s">
        <v>2040</v>
      </c>
      <c r="R6752" t="s">
        <v>2632</v>
      </c>
      <c r="S6752">
        <v>37</v>
      </c>
      <c r="T6752" s="43" t="str">
        <f t="shared" si="307"/>
        <v>2021.003F.R.Mitoviridae_100nsp_4ngen.zip</v>
      </c>
      <c r="U6752" s="43" t="str">
        <f>HYPERLINK("https://ictv.global/taxonomy/taxondetails?taxnode_id=202212439","ictv.global=202212439")</f>
        <v>ictv.global=202212439</v>
      </c>
    </row>
    <row r="6753" spans="1:21">
      <c r="A6753">
        <v>6752</v>
      </c>
      <c r="B6753" s="29" t="s">
        <v>3223</v>
      </c>
      <c r="C6753" s="29"/>
      <c r="D6753" s="29" t="s">
        <v>4156</v>
      </c>
      <c r="E6753" s="29"/>
      <c r="F6753" s="29" t="s">
        <v>4202</v>
      </c>
      <c r="G6753" s="29"/>
      <c r="H6753" s="29" t="s">
        <v>4205</v>
      </c>
      <c r="I6753" s="29"/>
      <c r="J6753" s="29" t="s">
        <v>4206</v>
      </c>
      <c r="K6753" s="29"/>
      <c r="L6753" s="29" t="s">
        <v>4207</v>
      </c>
      <c r="M6753" s="29"/>
      <c r="N6753" s="29" t="s">
        <v>12532</v>
      </c>
      <c r="O6753" s="29"/>
      <c r="P6753" s="29" t="s">
        <v>12572</v>
      </c>
      <c r="Q6753" t="s">
        <v>2040</v>
      </c>
      <c r="R6753" t="s">
        <v>2632</v>
      </c>
      <c r="S6753">
        <v>37</v>
      </c>
      <c r="T6753" s="43" t="str">
        <f t="shared" si="307"/>
        <v>2021.003F.R.Mitoviridae_100nsp_4ngen.zip</v>
      </c>
      <c r="U6753" s="43" t="str">
        <f>HYPERLINK("https://ictv.global/taxonomy/taxondetails?taxnode_id=202212440","ictv.global=202212440")</f>
        <v>ictv.global=202212440</v>
      </c>
    </row>
    <row r="6754" spans="1:21">
      <c r="A6754">
        <v>6753</v>
      </c>
      <c r="B6754" s="29" t="s">
        <v>3223</v>
      </c>
      <c r="C6754" s="29"/>
      <c r="D6754" s="29" t="s">
        <v>4156</v>
      </c>
      <c r="E6754" s="29"/>
      <c r="F6754" s="29" t="s">
        <v>4202</v>
      </c>
      <c r="G6754" s="29"/>
      <c r="H6754" s="29" t="s">
        <v>4205</v>
      </c>
      <c r="I6754" s="29"/>
      <c r="J6754" s="29" t="s">
        <v>4206</v>
      </c>
      <c r="K6754" s="29"/>
      <c r="L6754" s="29" t="s">
        <v>4207</v>
      </c>
      <c r="M6754" s="29"/>
      <c r="N6754" s="29" t="s">
        <v>12532</v>
      </c>
      <c r="O6754" s="29"/>
      <c r="P6754" s="29" t="s">
        <v>12573</v>
      </c>
      <c r="Q6754" t="s">
        <v>2040</v>
      </c>
      <c r="R6754" t="s">
        <v>2632</v>
      </c>
      <c r="S6754">
        <v>37</v>
      </c>
      <c r="T6754" s="43" t="str">
        <f t="shared" si="307"/>
        <v>2021.003F.R.Mitoviridae_100nsp_4ngen.zip</v>
      </c>
      <c r="U6754" s="43" t="str">
        <f>HYPERLINK("https://ictv.global/taxonomy/taxondetails?taxnode_id=202212441","ictv.global=202212441")</f>
        <v>ictv.global=202212441</v>
      </c>
    </row>
    <row r="6755" spans="1:21">
      <c r="A6755">
        <v>6754</v>
      </c>
      <c r="B6755" s="29" t="s">
        <v>3223</v>
      </c>
      <c r="C6755" s="29"/>
      <c r="D6755" s="29" t="s">
        <v>4156</v>
      </c>
      <c r="E6755" s="29"/>
      <c r="F6755" s="29" t="s">
        <v>4202</v>
      </c>
      <c r="G6755" s="29"/>
      <c r="H6755" s="29" t="s">
        <v>4205</v>
      </c>
      <c r="I6755" s="29"/>
      <c r="J6755" s="29" t="s">
        <v>4206</v>
      </c>
      <c r="K6755" s="29"/>
      <c r="L6755" s="29" t="s">
        <v>4207</v>
      </c>
      <c r="M6755" s="29"/>
      <c r="N6755" s="29" t="s">
        <v>12532</v>
      </c>
      <c r="O6755" s="29"/>
      <c r="P6755" s="29" t="s">
        <v>12574</v>
      </c>
      <c r="Q6755" t="s">
        <v>2040</v>
      </c>
      <c r="R6755" t="s">
        <v>2632</v>
      </c>
      <c r="S6755">
        <v>37</v>
      </c>
      <c r="T6755" s="43" t="str">
        <f t="shared" si="307"/>
        <v>2021.003F.R.Mitoviridae_100nsp_4ngen.zip</v>
      </c>
      <c r="U6755" s="43" t="str">
        <f>HYPERLINK("https://ictv.global/taxonomy/taxondetails?taxnode_id=202212442","ictv.global=202212442")</f>
        <v>ictv.global=202212442</v>
      </c>
    </row>
    <row r="6756" spans="1:21">
      <c r="A6756">
        <v>6755</v>
      </c>
      <c r="B6756" s="29" t="s">
        <v>3223</v>
      </c>
      <c r="C6756" s="29"/>
      <c r="D6756" s="29" t="s">
        <v>4156</v>
      </c>
      <c r="E6756" s="29"/>
      <c r="F6756" s="29" t="s">
        <v>4202</v>
      </c>
      <c r="G6756" s="29"/>
      <c r="H6756" s="29" t="s">
        <v>4205</v>
      </c>
      <c r="I6756" s="29"/>
      <c r="J6756" s="29" t="s">
        <v>4206</v>
      </c>
      <c r="K6756" s="29"/>
      <c r="L6756" s="29" t="s">
        <v>4207</v>
      </c>
      <c r="M6756" s="29"/>
      <c r="N6756" s="29" t="s">
        <v>12532</v>
      </c>
      <c r="O6756" s="29"/>
      <c r="P6756" s="29" t="s">
        <v>12575</v>
      </c>
      <c r="Q6756" t="s">
        <v>2040</v>
      </c>
      <c r="R6756" t="s">
        <v>2632</v>
      </c>
      <c r="S6756">
        <v>37</v>
      </c>
      <c r="T6756" s="43" t="str">
        <f t="shared" si="307"/>
        <v>2021.003F.R.Mitoviridae_100nsp_4ngen.zip</v>
      </c>
      <c r="U6756" s="43" t="str">
        <f>HYPERLINK("https://ictv.global/taxonomy/taxondetails?taxnode_id=202212443","ictv.global=202212443")</f>
        <v>ictv.global=202212443</v>
      </c>
    </row>
    <row r="6757" spans="1:21">
      <c r="A6757">
        <v>6756</v>
      </c>
      <c r="B6757" s="29" t="s">
        <v>3223</v>
      </c>
      <c r="C6757" s="29"/>
      <c r="D6757" s="29" t="s">
        <v>4156</v>
      </c>
      <c r="E6757" s="29"/>
      <c r="F6757" s="29" t="s">
        <v>4202</v>
      </c>
      <c r="G6757" s="29"/>
      <c r="H6757" s="29" t="s">
        <v>4205</v>
      </c>
      <c r="I6757" s="29"/>
      <c r="J6757" s="29" t="s">
        <v>4206</v>
      </c>
      <c r="K6757" s="29"/>
      <c r="L6757" s="29" t="s">
        <v>4207</v>
      </c>
      <c r="M6757" s="29"/>
      <c r="N6757" s="29" t="s">
        <v>12532</v>
      </c>
      <c r="O6757" s="29"/>
      <c r="P6757" s="29" t="s">
        <v>12576</v>
      </c>
      <c r="Q6757" t="s">
        <v>2040</v>
      </c>
      <c r="R6757" t="s">
        <v>2632</v>
      </c>
      <c r="S6757">
        <v>37</v>
      </c>
      <c r="T6757" s="43" t="str">
        <f t="shared" si="307"/>
        <v>2021.003F.R.Mitoviridae_100nsp_4ngen.zip</v>
      </c>
      <c r="U6757" s="43" t="str">
        <f>HYPERLINK("https://ictv.global/taxonomy/taxondetails?taxnode_id=202212445","ictv.global=202212445")</f>
        <v>ictv.global=202212445</v>
      </c>
    </row>
    <row r="6758" spans="1:21">
      <c r="A6758">
        <v>6757</v>
      </c>
      <c r="B6758" s="29" t="s">
        <v>3223</v>
      </c>
      <c r="C6758" s="29"/>
      <c r="D6758" s="29" t="s">
        <v>4156</v>
      </c>
      <c r="E6758" s="29"/>
      <c r="F6758" s="29" t="s">
        <v>4202</v>
      </c>
      <c r="G6758" s="29"/>
      <c r="H6758" s="29" t="s">
        <v>4205</v>
      </c>
      <c r="I6758" s="29"/>
      <c r="J6758" s="29" t="s">
        <v>4206</v>
      </c>
      <c r="K6758" s="29"/>
      <c r="L6758" s="29" t="s">
        <v>4207</v>
      </c>
      <c r="M6758" s="29"/>
      <c r="N6758" s="29" t="s">
        <v>12532</v>
      </c>
      <c r="O6758" s="29"/>
      <c r="P6758" s="29" t="s">
        <v>12577</v>
      </c>
      <c r="Q6758" t="s">
        <v>2040</v>
      </c>
      <c r="R6758" t="s">
        <v>2632</v>
      </c>
      <c r="S6758">
        <v>37</v>
      </c>
      <c r="T6758" s="43" t="str">
        <f t="shared" si="307"/>
        <v>2021.003F.R.Mitoviridae_100nsp_4ngen.zip</v>
      </c>
      <c r="U6758" s="43" t="str">
        <f>HYPERLINK("https://ictv.global/taxonomy/taxondetails?taxnode_id=202212446","ictv.global=202212446")</f>
        <v>ictv.global=202212446</v>
      </c>
    </row>
    <row r="6759" spans="1:21">
      <c r="A6759">
        <v>6758</v>
      </c>
      <c r="B6759" s="29" t="s">
        <v>3223</v>
      </c>
      <c r="C6759" s="29"/>
      <c r="D6759" s="29" t="s">
        <v>4156</v>
      </c>
      <c r="E6759" s="29"/>
      <c r="F6759" s="29" t="s">
        <v>4202</v>
      </c>
      <c r="G6759" s="29"/>
      <c r="H6759" s="29" t="s">
        <v>4205</v>
      </c>
      <c r="I6759" s="29"/>
      <c r="J6759" s="29" t="s">
        <v>4206</v>
      </c>
      <c r="K6759" s="29"/>
      <c r="L6759" s="29" t="s">
        <v>4207</v>
      </c>
      <c r="M6759" s="29"/>
      <c r="N6759" s="29" t="s">
        <v>12532</v>
      </c>
      <c r="O6759" s="29"/>
      <c r="P6759" s="29" t="s">
        <v>12578</v>
      </c>
      <c r="Q6759" t="s">
        <v>2040</v>
      </c>
      <c r="R6759" t="s">
        <v>2632</v>
      </c>
      <c r="S6759">
        <v>37</v>
      </c>
      <c r="T6759" s="43" t="str">
        <f t="shared" si="307"/>
        <v>2021.003F.R.Mitoviridae_100nsp_4ngen.zip</v>
      </c>
      <c r="U6759" s="43" t="str">
        <f>HYPERLINK("https://ictv.global/taxonomy/taxondetails?taxnode_id=202212447","ictv.global=202212447")</f>
        <v>ictv.global=202212447</v>
      </c>
    </row>
    <row r="6760" spans="1:21">
      <c r="A6760">
        <v>6759</v>
      </c>
      <c r="B6760" s="29" t="s">
        <v>3223</v>
      </c>
      <c r="C6760" s="29"/>
      <c r="D6760" s="29" t="s">
        <v>4156</v>
      </c>
      <c r="E6760" s="29"/>
      <c r="F6760" s="29" t="s">
        <v>4202</v>
      </c>
      <c r="G6760" s="29"/>
      <c r="H6760" s="29" t="s">
        <v>4205</v>
      </c>
      <c r="I6760" s="29"/>
      <c r="J6760" s="29" t="s">
        <v>4206</v>
      </c>
      <c r="K6760" s="29"/>
      <c r="L6760" s="29" t="s">
        <v>4207</v>
      </c>
      <c r="M6760" s="29"/>
      <c r="N6760" s="29" t="s">
        <v>12532</v>
      </c>
      <c r="O6760" s="29"/>
      <c r="P6760" s="29" t="s">
        <v>12579</v>
      </c>
      <c r="Q6760" t="s">
        <v>2040</v>
      </c>
      <c r="R6760" t="s">
        <v>2632</v>
      </c>
      <c r="S6760">
        <v>37</v>
      </c>
      <c r="T6760" s="43" t="str">
        <f t="shared" si="307"/>
        <v>2021.003F.R.Mitoviridae_100nsp_4ngen.zip</v>
      </c>
      <c r="U6760" s="43" t="str">
        <f>HYPERLINK("https://ictv.global/taxonomy/taxondetails?taxnode_id=202212448","ictv.global=202212448")</f>
        <v>ictv.global=202212448</v>
      </c>
    </row>
    <row r="6761" spans="1:21">
      <c r="A6761">
        <v>6760</v>
      </c>
      <c r="B6761" s="29" t="s">
        <v>3223</v>
      </c>
      <c r="C6761" s="29"/>
      <c r="D6761" s="29" t="s">
        <v>4156</v>
      </c>
      <c r="E6761" s="29"/>
      <c r="F6761" s="29" t="s">
        <v>4202</v>
      </c>
      <c r="G6761" s="29"/>
      <c r="H6761" s="29" t="s">
        <v>4205</v>
      </c>
      <c r="I6761" s="29"/>
      <c r="J6761" s="29" t="s">
        <v>4206</v>
      </c>
      <c r="K6761" s="29"/>
      <c r="L6761" s="29" t="s">
        <v>4207</v>
      </c>
      <c r="M6761" s="29"/>
      <c r="N6761" s="29" t="s">
        <v>12532</v>
      </c>
      <c r="O6761" s="29"/>
      <c r="P6761" s="29" t="s">
        <v>12580</v>
      </c>
      <c r="Q6761" t="s">
        <v>2040</v>
      </c>
      <c r="R6761" t="s">
        <v>2632</v>
      </c>
      <c r="S6761">
        <v>37</v>
      </c>
      <c r="T6761" s="43" t="str">
        <f t="shared" si="307"/>
        <v>2021.003F.R.Mitoviridae_100nsp_4ngen.zip</v>
      </c>
      <c r="U6761" s="43" t="str">
        <f>HYPERLINK("https://ictv.global/taxonomy/taxondetails?taxnode_id=202212449","ictv.global=202212449")</f>
        <v>ictv.global=202212449</v>
      </c>
    </row>
    <row r="6762" spans="1:21">
      <c r="A6762">
        <v>6761</v>
      </c>
      <c r="B6762" s="29" t="s">
        <v>3223</v>
      </c>
      <c r="C6762" s="29"/>
      <c r="D6762" s="29" t="s">
        <v>4156</v>
      </c>
      <c r="E6762" s="29"/>
      <c r="F6762" s="29" t="s">
        <v>4202</v>
      </c>
      <c r="G6762" s="29"/>
      <c r="H6762" s="29" t="s">
        <v>4205</v>
      </c>
      <c r="I6762" s="29"/>
      <c r="J6762" s="29" t="s">
        <v>4206</v>
      </c>
      <c r="K6762" s="29"/>
      <c r="L6762" s="29" t="s">
        <v>4207</v>
      </c>
      <c r="M6762" s="29"/>
      <c r="N6762" s="29" t="s">
        <v>12532</v>
      </c>
      <c r="O6762" s="29"/>
      <c r="P6762" s="29" t="s">
        <v>12581</v>
      </c>
      <c r="Q6762" t="s">
        <v>2040</v>
      </c>
      <c r="R6762" t="s">
        <v>2632</v>
      </c>
      <c r="S6762">
        <v>37</v>
      </c>
      <c r="T6762" s="43" t="str">
        <f t="shared" si="307"/>
        <v>2021.003F.R.Mitoviridae_100nsp_4ngen.zip</v>
      </c>
      <c r="U6762" s="43" t="str">
        <f>HYPERLINK("https://ictv.global/taxonomy/taxondetails?taxnode_id=202212450","ictv.global=202212450")</f>
        <v>ictv.global=202212450</v>
      </c>
    </row>
    <row r="6763" spans="1:21">
      <c r="A6763">
        <v>6762</v>
      </c>
      <c r="B6763" s="29" t="s">
        <v>3223</v>
      </c>
      <c r="C6763" s="29"/>
      <c r="D6763" s="29" t="s">
        <v>4156</v>
      </c>
      <c r="E6763" s="29"/>
      <c r="F6763" s="29" t="s">
        <v>4202</v>
      </c>
      <c r="G6763" s="29"/>
      <c r="H6763" s="29" t="s">
        <v>4205</v>
      </c>
      <c r="I6763" s="29"/>
      <c r="J6763" s="29" t="s">
        <v>4206</v>
      </c>
      <c r="K6763" s="29"/>
      <c r="L6763" s="29" t="s">
        <v>4207</v>
      </c>
      <c r="M6763" s="29"/>
      <c r="N6763" s="29" t="s">
        <v>12582</v>
      </c>
      <c r="O6763" s="29"/>
      <c r="P6763" s="29" t="s">
        <v>12583</v>
      </c>
      <c r="Q6763" t="s">
        <v>2040</v>
      </c>
      <c r="R6763" t="s">
        <v>2632</v>
      </c>
      <c r="S6763">
        <v>37</v>
      </c>
      <c r="T6763" s="43" t="str">
        <f t="shared" si="307"/>
        <v>2021.003F.R.Mitoviridae_100nsp_4ngen.zip</v>
      </c>
      <c r="U6763" s="43" t="str">
        <f>HYPERLINK("https://ictv.global/taxonomy/taxondetails?taxnode_id=202212462","ictv.global=202212462")</f>
        <v>ictv.global=202212462</v>
      </c>
    </row>
    <row r="6764" spans="1:21">
      <c r="A6764">
        <v>6763</v>
      </c>
      <c r="B6764" s="29" t="s">
        <v>3223</v>
      </c>
      <c r="C6764" s="29"/>
      <c r="D6764" s="29" t="s">
        <v>4156</v>
      </c>
      <c r="E6764" s="29"/>
      <c r="F6764" s="29" t="s">
        <v>4202</v>
      </c>
      <c r="G6764" s="29"/>
      <c r="H6764" s="29" t="s">
        <v>4205</v>
      </c>
      <c r="I6764" s="29"/>
      <c r="J6764" s="29" t="s">
        <v>4206</v>
      </c>
      <c r="K6764" s="29"/>
      <c r="L6764" s="29" t="s">
        <v>4207</v>
      </c>
      <c r="M6764" s="29"/>
      <c r="N6764" s="29" t="s">
        <v>12584</v>
      </c>
      <c r="O6764" s="29"/>
      <c r="P6764" s="29" t="s">
        <v>12585</v>
      </c>
      <c r="Q6764" t="s">
        <v>2040</v>
      </c>
      <c r="R6764" t="s">
        <v>2632</v>
      </c>
      <c r="S6764">
        <v>37</v>
      </c>
      <c r="T6764" s="43" t="str">
        <f t="shared" si="307"/>
        <v>2021.003F.R.Mitoviridae_100nsp_4ngen.zip</v>
      </c>
      <c r="U6764" s="43" t="str">
        <f>HYPERLINK("https://ictv.global/taxonomy/taxondetails?taxnode_id=202212452","ictv.global=202212452")</f>
        <v>ictv.global=202212452</v>
      </c>
    </row>
    <row r="6765" spans="1:21">
      <c r="A6765">
        <v>6764</v>
      </c>
      <c r="B6765" s="29" t="s">
        <v>3223</v>
      </c>
      <c r="C6765" s="29"/>
      <c r="D6765" s="29" t="s">
        <v>4156</v>
      </c>
      <c r="E6765" s="29"/>
      <c r="F6765" s="29" t="s">
        <v>4202</v>
      </c>
      <c r="G6765" s="29"/>
      <c r="H6765" s="29" t="s">
        <v>4205</v>
      </c>
      <c r="I6765" s="29"/>
      <c r="J6765" s="29" t="s">
        <v>4206</v>
      </c>
      <c r="K6765" s="29"/>
      <c r="L6765" s="29" t="s">
        <v>4207</v>
      </c>
      <c r="M6765" s="29"/>
      <c r="N6765" s="29" t="s">
        <v>12584</v>
      </c>
      <c r="O6765" s="29"/>
      <c r="P6765" s="29" t="s">
        <v>12586</v>
      </c>
      <c r="Q6765" t="s">
        <v>2040</v>
      </c>
      <c r="R6765" t="s">
        <v>2632</v>
      </c>
      <c r="S6765">
        <v>37</v>
      </c>
      <c r="T6765" s="43" t="str">
        <f t="shared" si="307"/>
        <v>2021.003F.R.Mitoviridae_100nsp_4ngen.zip</v>
      </c>
      <c r="U6765" s="43" t="str">
        <f>HYPERLINK("https://ictv.global/taxonomy/taxondetails?taxnode_id=202212453","ictv.global=202212453")</f>
        <v>ictv.global=202212453</v>
      </c>
    </row>
    <row r="6766" spans="1:21">
      <c r="A6766">
        <v>6765</v>
      </c>
      <c r="B6766" s="29" t="s">
        <v>3223</v>
      </c>
      <c r="C6766" s="29"/>
      <c r="D6766" s="29" t="s">
        <v>4156</v>
      </c>
      <c r="E6766" s="29"/>
      <c r="F6766" s="29" t="s">
        <v>4202</v>
      </c>
      <c r="G6766" s="29"/>
      <c r="H6766" s="29" t="s">
        <v>4205</v>
      </c>
      <c r="I6766" s="29"/>
      <c r="J6766" s="29" t="s">
        <v>4206</v>
      </c>
      <c r="K6766" s="29"/>
      <c r="L6766" s="29" t="s">
        <v>4207</v>
      </c>
      <c r="M6766" s="29"/>
      <c r="N6766" s="29" t="s">
        <v>12584</v>
      </c>
      <c r="O6766" s="29"/>
      <c r="P6766" s="29" t="s">
        <v>12587</v>
      </c>
      <c r="Q6766" t="s">
        <v>2040</v>
      </c>
      <c r="R6766" t="s">
        <v>2632</v>
      </c>
      <c r="S6766">
        <v>37</v>
      </c>
      <c r="T6766" s="43" t="str">
        <f t="shared" si="307"/>
        <v>2021.003F.R.Mitoviridae_100nsp_4ngen.zip</v>
      </c>
      <c r="U6766" s="43" t="str">
        <f>HYPERLINK("https://ictv.global/taxonomy/taxondetails?taxnode_id=202212459","ictv.global=202212459")</f>
        <v>ictv.global=202212459</v>
      </c>
    </row>
    <row r="6767" spans="1:21">
      <c r="A6767">
        <v>6766</v>
      </c>
      <c r="B6767" s="29" t="s">
        <v>3223</v>
      </c>
      <c r="C6767" s="29"/>
      <c r="D6767" s="29" t="s">
        <v>4156</v>
      </c>
      <c r="E6767" s="29"/>
      <c r="F6767" s="29" t="s">
        <v>4202</v>
      </c>
      <c r="G6767" s="29"/>
      <c r="H6767" s="29" t="s">
        <v>4205</v>
      </c>
      <c r="I6767" s="29"/>
      <c r="J6767" s="29" t="s">
        <v>4206</v>
      </c>
      <c r="K6767" s="29"/>
      <c r="L6767" s="29" t="s">
        <v>4207</v>
      </c>
      <c r="M6767" s="29"/>
      <c r="N6767" s="29" t="s">
        <v>12584</v>
      </c>
      <c r="O6767" s="29"/>
      <c r="P6767" s="29" t="s">
        <v>12588</v>
      </c>
      <c r="Q6767" t="s">
        <v>2040</v>
      </c>
      <c r="R6767" t="s">
        <v>2632</v>
      </c>
      <c r="S6767">
        <v>37</v>
      </c>
      <c r="T6767" s="43" t="str">
        <f t="shared" si="307"/>
        <v>2021.003F.R.Mitoviridae_100nsp_4ngen.zip</v>
      </c>
      <c r="U6767" s="43" t="str">
        <f>HYPERLINK("https://ictv.global/taxonomy/taxondetails?taxnode_id=202212454","ictv.global=202212454")</f>
        <v>ictv.global=202212454</v>
      </c>
    </row>
    <row r="6768" spans="1:21">
      <c r="A6768">
        <v>6767</v>
      </c>
      <c r="B6768" s="29" t="s">
        <v>3223</v>
      </c>
      <c r="C6768" s="29"/>
      <c r="D6768" s="29" t="s">
        <v>4156</v>
      </c>
      <c r="E6768" s="29"/>
      <c r="F6768" s="29" t="s">
        <v>4202</v>
      </c>
      <c r="G6768" s="29"/>
      <c r="H6768" s="29" t="s">
        <v>4205</v>
      </c>
      <c r="I6768" s="29"/>
      <c r="J6768" s="29" t="s">
        <v>4206</v>
      </c>
      <c r="K6768" s="29"/>
      <c r="L6768" s="29" t="s">
        <v>4207</v>
      </c>
      <c r="M6768" s="29"/>
      <c r="N6768" s="29" t="s">
        <v>12584</v>
      </c>
      <c r="O6768" s="29"/>
      <c r="P6768" s="29" t="s">
        <v>12589</v>
      </c>
      <c r="Q6768" t="s">
        <v>2040</v>
      </c>
      <c r="R6768" t="s">
        <v>2632</v>
      </c>
      <c r="S6768">
        <v>37</v>
      </c>
      <c r="T6768" s="43" t="str">
        <f t="shared" si="307"/>
        <v>2021.003F.R.Mitoviridae_100nsp_4ngen.zip</v>
      </c>
      <c r="U6768" s="43" t="str">
        <f>HYPERLINK("https://ictv.global/taxonomy/taxondetails?taxnode_id=202212455","ictv.global=202212455")</f>
        <v>ictv.global=202212455</v>
      </c>
    </row>
    <row r="6769" spans="1:21">
      <c r="A6769">
        <v>6768</v>
      </c>
      <c r="B6769" s="29" t="s">
        <v>3223</v>
      </c>
      <c r="C6769" s="29"/>
      <c r="D6769" s="29" t="s">
        <v>4156</v>
      </c>
      <c r="E6769" s="29"/>
      <c r="F6769" s="29" t="s">
        <v>4202</v>
      </c>
      <c r="G6769" s="29"/>
      <c r="H6769" s="29" t="s">
        <v>4205</v>
      </c>
      <c r="I6769" s="29"/>
      <c r="J6769" s="29" t="s">
        <v>4206</v>
      </c>
      <c r="K6769" s="29"/>
      <c r="L6769" s="29" t="s">
        <v>4207</v>
      </c>
      <c r="M6769" s="29"/>
      <c r="N6769" s="29" t="s">
        <v>12584</v>
      </c>
      <c r="O6769" s="29"/>
      <c r="P6769" s="29" t="s">
        <v>12590</v>
      </c>
      <c r="Q6769" t="s">
        <v>2040</v>
      </c>
      <c r="R6769" t="s">
        <v>2632</v>
      </c>
      <c r="S6769">
        <v>37</v>
      </c>
      <c r="T6769" s="43" t="str">
        <f t="shared" si="307"/>
        <v>2021.003F.R.Mitoviridae_100nsp_4ngen.zip</v>
      </c>
      <c r="U6769" s="43" t="str">
        <f>HYPERLINK("https://ictv.global/taxonomy/taxondetails?taxnode_id=202212456","ictv.global=202212456")</f>
        <v>ictv.global=202212456</v>
      </c>
    </row>
    <row r="6770" spans="1:21">
      <c r="A6770">
        <v>6769</v>
      </c>
      <c r="B6770" s="29" t="s">
        <v>3223</v>
      </c>
      <c r="C6770" s="29"/>
      <c r="D6770" s="29" t="s">
        <v>4156</v>
      </c>
      <c r="E6770" s="29"/>
      <c r="F6770" s="29" t="s">
        <v>4202</v>
      </c>
      <c r="G6770" s="29"/>
      <c r="H6770" s="29" t="s">
        <v>4205</v>
      </c>
      <c r="I6770" s="29"/>
      <c r="J6770" s="29" t="s">
        <v>4206</v>
      </c>
      <c r="K6770" s="29"/>
      <c r="L6770" s="29" t="s">
        <v>4207</v>
      </c>
      <c r="M6770" s="29"/>
      <c r="N6770" s="29" t="s">
        <v>12584</v>
      </c>
      <c r="O6770" s="29"/>
      <c r="P6770" s="29" t="s">
        <v>12591</v>
      </c>
      <c r="Q6770" t="s">
        <v>2040</v>
      </c>
      <c r="R6770" t="s">
        <v>2632</v>
      </c>
      <c r="S6770">
        <v>37</v>
      </c>
      <c r="T6770" s="43" t="str">
        <f t="shared" si="307"/>
        <v>2021.003F.R.Mitoviridae_100nsp_4ngen.zip</v>
      </c>
      <c r="U6770" s="43" t="str">
        <f>HYPERLINK("https://ictv.global/taxonomy/taxondetails?taxnode_id=202212457","ictv.global=202212457")</f>
        <v>ictv.global=202212457</v>
      </c>
    </row>
    <row r="6771" spans="1:21">
      <c r="A6771">
        <v>6770</v>
      </c>
      <c r="B6771" s="29" t="s">
        <v>3223</v>
      </c>
      <c r="C6771" s="29"/>
      <c r="D6771" s="29" t="s">
        <v>4156</v>
      </c>
      <c r="E6771" s="29"/>
      <c r="F6771" s="29" t="s">
        <v>4202</v>
      </c>
      <c r="G6771" s="29"/>
      <c r="H6771" s="29" t="s">
        <v>4205</v>
      </c>
      <c r="I6771" s="29"/>
      <c r="J6771" s="29" t="s">
        <v>4206</v>
      </c>
      <c r="K6771" s="29"/>
      <c r="L6771" s="29" t="s">
        <v>4207</v>
      </c>
      <c r="M6771" s="29"/>
      <c r="N6771" s="29" t="s">
        <v>12584</v>
      </c>
      <c r="O6771" s="29"/>
      <c r="P6771" s="29" t="s">
        <v>12592</v>
      </c>
      <c r="Q6771" t="s">
        <v>2040</v>
      </c>
      <c r="R6771" t="s">
        <v>2632</v>
      </c>
      <c r="S6771">
        <v>37</v>
      </c>
      <c r="T6771" s="43" t="str">
        <f t="shared" si="307"/>
        <v>2021.003F.R.Mitoviridae_100nsp_4ngen.zip</v>
      </c>
      <c r="U6771" s="43" t="str">
        <f>HYPERLINK("https://ictv.global/taxonomy/taxondetails?taxnode_id=202212458","ictv.global=202212458")</f>
        <v>ictv.global=202212458</v>
      </c>
    </row>
    <row r="6772" spans="1:21">
      <c r="A6772">
        <v>6771</v>
      </c>
      <c r="B6772" s="29" t="s">
        <v>3223</v>
      </c>
      <c r="C6772" s="29"/>
      <c r="D6772" s="29" t="s">
        <v>4156</v>
      </c>
      <c r="E6772" s="29"/>
      <c r="F6772" s="29" t="s">
        <v>4202</v>
      </c>
      <c r="G6772" s="29"/>
      <c r="H6772" s="29" t="s">
        <v>4205</v>
      </c>
      <c r="I6772" s="29"/>
      <c r="J6772" s="29" t="s">
        <v>4206</v>
      </c>
      <c r="K6772" s="29"/>
      <c r="L6772" s="29" t="s">
        <v>4207</v>
      </c>
      <c r="M6772" s="29"/>
      <c r="N6772" s="29" t="s">
        <v>12584</v>
      </c>
      <c r="O6772" s="29"/>
      <c r="P6772" s="29" t="s">
        <v>12593</v>
      </c>
      <c r="Q6772" t="s">
        <v>2040</v>
      </c>
      <c r="R6772" t="s">
        <v>2632</v>
      </c>
      <c r="S6772">
        <v>37</v>
      </c>
      <c r="T6772" s="43" t="str">
        <f t="shared" si="307"/>
        <v>2021.003F.R.Mitoviridae_100nsp_4ngen.zip</v>
      </c>
      <c r="U6772" s="43" t="str">
        <f>HYPERLINK("https://ictv.global/taxonomy/taxondetails?taxnode_id=202212460","ictv.global=202212460")</f>
        <v>ictv.global=202212460</v>
      </c>
    </row>
    <row r="6773" spans="1:21">
      <c r="A6773">
        <v>6772</v>
      </c>
      <c r="B6773" s="29" t="s">
        <v>3223</v>
      </c>
      <c r="C6773" s="29"/>
      <c r="D6773" s="29" t="s">
        <v>4156</v>
      </c>
      <c r="E6773" s="29"/>
      <c r="F6773" s="29" t="s">
        <v>4202</v>
      </c>
      <c r="G6773" s="29"/>
      <c r="H6773" s="29" t="s">
        <v>4205</v>
      </c>
      <c r="I6773" s="29"/>
      <c r="J6773" s="29" t="s">
        <v>4206</v>
      </c>
      <c r="K6773" s="29"/>
      <c r="L6773" s="29" t="s">
        <v>4207</v>
      </c>
      <c r="M6773" s="29"/>
      <c r="N6773" s="29" t="s">
        <v>12594</v>
      </c>
      <c r="O6773" s="29"/>
      <c r="P6773" s="29" t="s">
        <v>12595</v>
      </c>
      <c r="Q6773" t="s">
        <v>2040</v>
      </c>
      <c r="R6773" t="s">
        <v>2632</v>
      </c>
      <c r="S6773">
        <v>37</v>
      </c>
      <c r="T6773" s="43" t="str">
        <f t="shared" si="307"/>
        <v>2021.003F.R.Mitoviridae_100nsp_4ngen.zip</v>
      </c>
      <c r="U6773" s="43" t="str">
        <f>HYPERLINK("https://ictv.global/taxonomy/taxondetails?taxnode_id=202213750","ictv.global=202213750")</f>
        <v>ictv.global=202213750</v>
      </c>
    </row>
    <row r="6774" spans="1:21">
      <c r="A6774">
        <v>6773</v>
      </c>
      <c r="B6774" s="29" t="s">
        <v>3223</v>
      </c>
      <c r="C6774" s="29"/>
      <c r="D6774" s="29" t="s">
        <v>4156</v>
      </c>
      <c r="E6774" s="29"/>
      <c r="F6774" s="29" t="s">
        <v>4202</v>
      </c>
      <c r="G6774" s="29"/>
      <c r="H6774" s="29" t="s">
        <v>4205</v>
      </c>
      <c r="I6774" s="29"/>
      <c r="J6774" s="29" t="s">
        <v>4206</v>
      </c>
      <c r="K6774" s="29"/>
      <c r="L6774" s="29" t="s">
        <v>4207</v>
      </c>
      <c r="M6774" s="29"/>
      <c r="N6774" s="29" t="s">
        <v>12594</v>
      </c>
      <c r="O6774" s="29"/>
      <c r="P6774" s="29" t="s">
        <v>12596</v>
      </c>
      <c r="Q6774" t="s">
        <v>2040</v>
      </c>
      <c r="R6774" t="s">
        <v>2632</v>
      </c>
      <c r="S6774">
        <v>37</v>
      </c>
      <c r="T6774" s="43" t="str">
        <f t="shared" si="307"/>
        <v>2021.003F.R.Mitoviridae_100nsp_4ngen.zip</v>
      </c>
      <c r="U6774" s="43" t="str">
        <f>HYPERLINK("https://ictv.global/taxonomy/taxondetails?taxnode_id=202213751","ictv.global=202213751")</f>
        <v>ictv.global=202213751</v>
      </c>
    </row>
    <row r="6775" spans="1:21">
      <c r="A6775">
        <v>6774</v>
      </c>
      <c r="B6775" s="29" t="s">
        <v>3223</v>
      </c>
      <c r="C6775" s="29"/>
      <c r="D6775" s="29" t="s">
        <v>4156</v>
      </c>
      <c r="E6775" s="29"/>
      <c r="F6775" s="29" t="s">
        <v>4202</v>
      </c>
      <c r="G6775" s="29"/>
      <c r="H6775" s="29" t="s">
        <v>4205</v>
      </c>
      <c r="I6775" s="29"/>
      <c r="J6775" s="29" t="s">
        <v>4206</v>
      </c>
      <c r="K6775" s="29"/>
      <c r="L6775" s="29" t="s">
        <v>4207</v>
      </c>
      <c r="M6775" s="29"/>
      <c r="N6775" s="29" t="s">
        <v>12594</v>
      </c>
      <c r="O6775" s="29"/>
      <c r="P6775" s="29" t="s">
        <v>12597</v>
      </c>
      <c r="Q6775" t="s">
        <v>2040</v>
      </c>
      <c r="R6775" t="s">
        <v>2632</v>
      </c>
      <c r="S6775">
        <v>37</v>
      </c>
      <c r="T6775" s="43" t="str">
        <f t="shared" si="307"/>
        <v>2021.003F.R.Mitoviridae_100nsp_4ngen.zip</v>
      </c>
      <c r="U6775" s="43" t="str">
        <f>HYPERLINK("https://ictv.global/taxonomy/taxondetails?taxnode_id=202213752","ictv.global=202213752")</f>
        <v>ictv.global=202213752</v>
      </c>
    </row>
    <row r="6776" spans="1:21">
      <c r="A6776">
        <v>6775</v>
      </c>
      <c r="B6776" s="29" t="s">
        <v>3223</v>
      </c>
      <c r="C6776" s="29"/>
      <c r="D6776" s="29" t="s">
        <v>4156</v>
      </c>
      <c r="E6776" s="29"/>
      <c r="F6776" s="29" t="s">
        <v>4202</v>
      </c>
      <c r="G6776" s="29"/>
      <c r="H6776" s="29" t="s">
        <v>4205</v>
      </c>
      <c r="I6776" s="29"/>
      <c r="J6776" s="29" t="s">
        <v>4206</v>
      </c>
      <c r="K6776" s="29"/>
      <c r="L6776" s="29" t="s">
        <v>4207</v>
      </c>
      <c r="M6776" s="29"/>
      <c r="N6776" s="29" t="s">
        <v>12594</v>
      </c>
      <c r="O6776" s="29"/>
      <c r="P6776" s="29" t="s">
        <v>12598</v>
      </c>
      <c r="Q6776" t="s">
        <v>2040</v>
      </c>
      <c r="R6776" t="s">
        <v>2632</v>
      </c>
      <c r="S6776">
        <v>37</v>
      </c>
      <c r="T6776" s="43" t="str">
        <f t="shared" si="307"/>
        <v>2021.003F.R.Mitoviridae_100nsp_4ngen.zip</v>
      </c>
      <c r="U6776" s="43" t="str">
        <f>HYPERLINK("https://ictv.global/taxonomy/taxondetails?taxnode_id=202213753","ictv.global=202213753")</f>
        <v>ictv.global=202213753</v>
      </c>
    </row>
    <row r="6777" spans="1:21">
      <c r="A6777">
        <v>6776</v>
      </c>
      <c r="B6777" s="29" t="s">
        <v>3223</v>
      </c>
      <c r="C6777" s="29"/>
      <c r="D6777" s="29" t="s">
        <v>4156</v>
      </c>
      <c r="E6777" s="29"/>
      <c r="F6777" s="29" t="s">
        <v>4202</v>
      </c>
      <c r="G6777" s="29"/>
      <c r="H6777" s="29" t="s">
        <v>4205</v>
      </c>
      <c r="I6777" s="29"/>
      <c r="J6777" s="29" t="s">
        <v>4206</v>
      </c>
      <c r="K6777" s="29"/>
      <c r="L6777" s="29" t="s">
        <v>4207</v>
      </c>
      <c r="M6777" s="29"/>
      <c r="N6777" s="29" t="s">
        <v>12594</v>
      </c>
      <c r="O6777" s="29"/>
      <c r="P6777" s="29" t="s">
        <v>12599</v>
      </c>
      <c r="Q6777" t="s">
        <v>2040</v>
      </c>
      <c r="R6777" t="s">
        <v>2632</v>
      </c>
      <c r="S6777">
        <v>37</v>
      </c>
      <c r="T6777" s="43" t="str">
        <f t="shared" si="307"/>
        <v>2021.003F.R.Mitoviridae_100nsp_4ngen.zip</v>
      </c>
      <c r="U6777" s="43" t="str">
        <f>HYPERLINK("https://ictv.global/taxonomy/taxondetails?taxnode_id=202213754","ictv.global=202213754")</f>
        <v>ictv.global=202213754</v>
      </c>
    </row>
    <row r="6778" spans="1:21">
      <c r="A6778">
        <v>6777</v>
      </c>
      <c r="B6778" s="29" t="s">
        <v>3223</v>
      </c>
      <c r="C6778" s="29"/>
      <c r="D6778" s="29" t="s">
        <v>4156</v>
      </c>
      <c r="E6778" s="29"/>
      <c r="F6778" s="29" t="s">
        <v>4202</v>
      </c>
      <c r="G6778" s="29"/>
      <c r="H6778" s="29" t="s">
        <v>4205</v>
      </c>
      <c r="I6778" s="29"/>
      <c r="J6778" s="29" t="s">
        <v>4206</v>
      </c>
      <c r="K6778" s="29"/>
      <c r="L6778" s="29" t="s">
        <v>4207</v>
      </c>
      <c r="M6778" s="29"/>
      <c r="N6778" s="29" t="s">
        <v>12594</v>
      </c>
      <c r="O6778" s="29"/>
      <c r="P6778" s="29" t="s">
        <v>12600</v>
      </c>
      <c r="Q6778" t="s">
        <v>2040</v>
      </c>
      <c r="R6778" t="s">
        <v>2632</v>
      </c>
      <c r="S6778">
        <v>37</v>
      </c>
      <c r="T6778" s="43" t="str">
        <f t="shared" ref="T6778:T6809" si="308">HYPERLINK("https://ictv.global/ictv/proposals/2021.003F.R.Mitoviridae_100nsp_4ngen.zip","2021.003F.R.Mitoviridae_100nsp_4ngen.zip")</f>
        <v>2021.003F.R.Mitoviridae_100nsp_4ngen.zip</v>
      </c>
      <c r="U6778" s="43" t="str">
        <f>HYPERLINK("https://ictv.global/taxonomy/taxondetails?taxnode_id=202213755","ictv.global=202213755")</f>
        <v>ictv.global=202213755</v>
      </c>
    </row>
    <row r="6779" spans="1:21">
      <c r="A6779">
        <v>6778</v>
      </c>
      <c r="B6779" s="29" t="s">
        <v>3223</v>
      </c>
      <c r="C6779" s="29"/>
      <c r="D6779" s="29" t="s">
        <v>4156</v>
      </c>
      <c r="E6779" s="29"/>
      <c r="F6779" s="29" t="s">
        <v>4202</v>
      </c>
      <c r="G6779" s="29"/>
      <c r="H6779" s="29" t="s">
        <v>4205</v>
      </c>
      <c r="I6779" s="29"/>
      <c r="J6779" s="29" t="s">
        <v>4206</v>
      </c>
      <c r="K6779" s="29"/>
      <c r="L6779" s="29" t="s">
        <v>4207</v>
      </c>
      <c r="M6779" s="29"/>
      <c r="N6779" s="29" t="s">
        <v>12594</v>
      </c>
      <c r="O6779" s="29"/>
      <c r="P6779" s="29" t="s">
        <v>12601</v>
      </c>
      <c r="Q6779" t="s">
        <v>2040</v>
      </c>
      <c r="R6779" t="s">
        <v>2632</v>
      </c>
      <c r="S6779">
        <v>37</v>
      </c>
      <c r="T6779" s="43" t="str">
        <f t="shared" si="308"/>
        <v>2021.003F.R.Mitoviridae_100nsp_4ngen.zip</v>
      </c>
      <c r="U6779" s="43" t="str">
        <f>HYPERLINK("https://ictv.global/taxonomy/taxondetails?taxnode_id=202213756","ictv.global=202213756")</f>
        <v>ictv.global=202213756</v>
      </c>
    </row>
    <row r="6780" spans="1:21">
      <c r="A6780">
        <v>6779</v>
      </c>
      <c r="B6780" s="29" t="s">
        <v>3223</v>
      </c>
      <c r="C6780" s="29"/>
      <c r="D6780" s="29" t="s">
        <v>4156</v>
      </c>
      <c r="E6780" s="29"/>
      <c r="F6780" s="29" t="s">
        <v>4202</v>
      </c>
      <c r="G6780" s="29"/>
      <c r="H6780" s="29" t="s">
        <v>4205</v>
      </c>
      <c r="I6780" s="29"/>
      <c r="J6780" s="29" t="s">
        <v>4206</v>
      </c>
      <c r="K6780" s="29"/>
      <c r="L6780" s="29" t="s">
        <v>4207</v>
      </c>
      <c r="M6780" s="29"/>
      <c r="N6780" s="29" t="s">
        <v>12594</v>
      </c>
      <c r="O6780" s="29"/>
      <c r="P6780" s="29" t="s">
        <v>12602</v>
      </c>
      <c r="Q6780" t="s">
        <v>2040</v>
      </c>
      <c r="R6780" t="s">
        <v>2632</v>
      </c>
      <c r="S6780">
        <v>37</v>
      </c>
      <c r="T6780" s="43" t="str">
        <f t="shared" si="308"/>
        <v>2021.003F.R.Mitoviridae_100nsp_4ngen.zip</v>
      </c>
      <c r="U6780" s="43" t="str">
        <f>HYPERLINK("https://ictv.global/taxonomy/taxondetails?taxnode_id=202213757","ictv.global=202213757")</f>
        <v>ictv.global=202213757</v>
      </c>
    </row>
    <row r="6781" spans="1:21">
      <c r="A6781">
        <v>6780</v>
      </c>
      <c r="B6781" s="29" t="s">
        <v>3223</v>
      </c>
      <c r="C6781" s="29"/>
      <c r="D6781" s="29" t="s">
        <v>4156</v>
      </c>
      <c r="E6781" s="29"/>
      <c r="F6781" s="29" t="s">
        <v>4202</v>
      </c>
      <c r="G6781" s="29"/>
      <c r="H6781" s="29" t="s">
        <v>4205</v>
      </c>
      <c r="I6781" s="29"/>
      <c r="J6781" s="29" t="s">
        <v>4206</v>
      </c>
      <c r="K6781" s="29"/>
      <c r="L6781" s="29" t="s">
        <v>4207</v>
      </c>
      <c r="M6781" s="29"/>
      <c r="N6781" s="29" t="s">
        <v>12594</v>
      </c>
      <c r="O6781" s="29"/>
      <c r="P6781" s="29" t="s">
        <v>12603</v>
      </c>
      <c r="Q6781" t="s">
        <v>2040</v>
      </c>
      <c r="R6781" t="s">
        <v>2632</v>
      </c>
      <c r="S6781">
        <v>37</v>
      </c>
      <c r="T6781" s="43" t="str">
        <f t="shared" si="308"/>
        <v>2021.003F.R.Mitoviridae_100nsp_4ngen.zip</v>
      </c>
      <c r="U6781" s="43" t="str">
        <f>HYPERLINK("https://ictv.global/taxonomy/taxondetails?taxnode_id=202213758","ictv.global=202213758")</f>
        <v>ictv.global=202213758</v>
      </c>
    </row>
    <row r="6782" spans="1:21">
      <c r="A6782">
        <v>6781</v>
      </c>
      <c r="B6782" s="29" t="s">
        <v>3223</v>
      </c>
      <c r="C6782" s="29"/>
      <c r="D6782" s="29" t="s">
        <v>4156</v>
      </c>
      <c r="E6782" s="29"/>
      <c r="F6782" s="29" t="s">
        <v>4202</v>
      </c>
      <c r="G6782" s="29"/>
      <c r="H6782" s="29" t="s">
        <v>4205</v>
      </c>
      <c r="I6782" s="29"/>
      <c r="J6782" s="29" t="s">
        <v>4206</v>
      </c>
      <c r="K6782" s="29"/>
      <c r="L6782" s="29" t="s">
        <v>4207</v>
      </c>
      <c r="M6782" s="29"/>
      <c r="N6782" s="29" t="s">
        <v>12594</v>
      </c>
      <c r="O6782" s="29"/>
      <c r="P6782" s="29" t="s">
        <v>12604</v>
      </c>
      <c r="Q6782" t="s">
        <v>2040</v>
      </c>
      <c r="R6782" t="s">
        <v>2632</v>
      </c>
      <c r="S6782">
        <v>37</v>
      </c>
      <c r="T6782" s="43" t="str">
        <f t="shared" si="308"/>
        <v>2021.003F.R.Mitoviridae_100nsp_4ngen.zip</v>
      </c>
      <c r="U6782" s="43" t="str">
        <f>HYPERLINK("https://ictv.global/taxonomy/taxondetails?taxnode_id=202213759","ictv.global=202213759")</f>
        <v>ictv.global=202213759</v>
      </c>
    </row>
    <row r="6783" spans="1:21">
      <c r="A6783">
        <v>6782</v>
      </c>
      <c r="B6783" s="29" t="s">
        <v>3223</v>
      </c>
      <c r="C6783" s="29"/>
      <c r="D6783" s="29" t="s">
        <v>4156</v>
      </c>
      <c r="E6783" s="29"/>
      <c r="F6783" s="29" t="s">
        <v>4202</v>
      </c>
      <c r="G6783" s="29"/>
      <c r="H6783" s="29" t="s">
        <v>4205</v>
      </c>
      <c r="I6783" s="29"/>
      <c r="J6783" s="29" t="s">
        <v>4206</v>
      </c>
      <c r="K6783" s="29"/>
      <c r="L6783" s="29" t="s">
        <v>4207</v>
      </c>
      <c r="M6783" s="29"/>
      <c r="N6783" s="29" t="s">
        <v>12594</v>
      </c>
      <c r="O6783" s="29"/>
      <c r="P6783" s="29" t="s">
        <v>12605</v>
      </c>
      <c r="Q6783" t="s">
        <v>2040</v>
      </c>
      <c r="R6783" t="s">
        <v>2632</v>
      </c>
      <c r="S6783">
        <v>37</v>
      </c>
      <c r="T6783" s="43" t="str">
        <f t="shared" si="308"/>
        <v>2021.003F.R.Mitoviridae_100nsp_4ngen.zip</v>
      </c>
      <c r="U6783" s="43" t="str">
        <f>HYPERLINK("https://ictv.global/taxonomy/taxondetails?taxnode_id=202213760","ictv.global=202213760")</f>
        <v>ictv.global=202213760</v>
      </c>
    </row>
    <row r="6784" spans="1:21">
      <c r="A6784">
        <v>6783</v>
      </c>
      <c r="B6784" s="29" t="s">
        <v>3223</v>
      </c>
      <c r="C6784" s="29"/>
      <c r="D6784" s="29" t="s">
        <v>4156</v>
      </c>
      <c r="E6784" s="29"/>
      <c r="F6784" s="29" t="s">
        <v>4202</v>
      </c>
      <c r="G6784" s="29"/>
      <c r="H6784" s="29" t="s">
        <v>4205</v>
      </c>
      <c r="I6784" s="29"/>
      <c r="J6784" s="29" t="s">
        <v>4206</v>
      </c>
      <c r="K6784" s="29"/>
      <c r="L6784" s="29" t="s">
        <v>4207</v>
      </c>
      <c r="M6784" s="29"/>
      <c r="N6784" s="29" t="s">
        <v>12594</v>
      </c>
      <c r="O6784" s="29"/>
      <c r="P6784" s="29" t="s">
        <v>12606</v>
      </c>
      <c r="Q6784" t="s">
        <v>2040</v>
      </c>
      <c r="R6784" t="s">
        <v>2632</v>
      </c>
      <c r="S6784">
        <v>37</v>
      </c>
      <c r="T6784" s="43" t="str">
        <f t="shared" si="308"/>
        <v>2021.003F.R.Mitoviridae_100nsp_4ngen.zip</v>
      </c>
      <c r="U6784" s="43" t="str">
        <f>HYPERLINK("https://ictv.global/taxonomy/taxondetails?taxnode_id=202213761","ictv.global=202213761")</f>
        <v>ictv.global=202213761</v>
      </c>
    </row>
    <row r="6785" spans="1:21">
      <c r="A6785">
        <v>6784</v>
      </c>
      <c r="B6785" s="29" t="s">
        <v>3223</v>
      </c>
      <c r="C6785" s="29"/>
      <c r="D6785" s="29" t="s">
        <v>4156</v>
      </c>
      <c r="E6785" s="29"/>
      <c r="F6785" s="29" t="s">
        <v>4202</v>
      </c>
      <c r="G6785" s="29"/>
      <c r="H6785" s="29" t="s">
        <v>4205</v>
      </c>
      <c r="I6785" s="29"/>
      <c r="J6785" s="29" t="s">
        <v>4206</v>
      </c>
      <c r="K6785" s="29"/>
      <c r="L6785" s="29" t="s">
        <v>4207</v>
      </c>
      <c r="M6785" s="29"/>
      <c r="N6785" s="29" t="s">
        <v>12594</v>
      </c>
      <c r="O6785" s="29"/>
      <c r="P6785" s="29" t="s">
        <v>12607</v>
      </c>
      <c r="Q6785" t="s">
        <v>2040</v>
      </c>
      <c r="R6785" t="s">
        <v>2632</v>
      </c>
      <c r="S6785">
        <v>37</v>
      </c>
      <c r="T6785" s="43" t="str">
        <f t="shared" si="308"/>
        <v>2021.003F.R.Mitoviridae_100nsp_4ngen.zip</v>
      </c>
      <c r="U6785" s="43" t="str">
        <f>HYPERLINK("https://ictv.global/taxonomy/taxondetails?taxnode_id=202213762","ictv.global=202213762")</f>
        <v>ictv.global=202213762</v>
      </c>
    </row>
    <row r="6786" spans="1:21">
      <c r="A6786">
        <v>6785</v>
      </c>
      <c r="B6786" s="29" t="s">
        <v>3223</v>
      </c>
      <c r="C6786" s="29"/>
      <c r="D6786" s="29" t="s">
        <v>4156</v>
      </c>
      <c r="E6786" s="29"/>
      <c r="F6786" s="29" t="s">
        <v>4202</v>
      </c>
      <c r="G6786" s="29"/>
      <c r="H6786" s="29" t="s">
        <v>4205</v>
      </c>
      <c r="I6786" s="29"/>
      <c r="J6786" s="29" t="s">
        <v>4206</v>
      </c>
      <c r="K6786" s="29"/>
      <c r="L6786" s="29" t="s">
        <v>4207</v>
      </c>
      <c r="M6786" s="29"/>
      <c r="N6786" s="29" t="s">
        <v>12594</v>
      </c>
      <c r="O6786" s="29"/>
      <c r="P6786" s="29" t="s">
        <v>12608</v>
      </c>
      <c r="Q6786" t="s">
        <v>2040</v>
      </c>
      <c r="R6786" t="s">
        <v>2632</v>
      </c>
      <c r="S6786">
        <v>37</v>
      </c>
      <c r="T6786" s="43" t="str">
        <f t="shared" si="308"/>
        <v>2021.003F.R.Mitoviridae_100nsp_4ngen.zip</v>
      </c>
      <c r="U6786" s="43" t="str">
        <f>HYPERLINK("https://ictv.global/taxonomy/taxondetails?taxnode_id=202213763","ictv.global=202213763")</f>
        <v>ictv.global=202213763</v>
      </c>
    </row>
    <row r="6787" spans="1:21">
      <c r="A6787">
        <v>6786</v>
      </c>
      <c r="B6787" s="29" t="s">
        <v>3223</v>
      </c>
      <c r="C6787" s="29"/>
      <c r="D6787" s="29" t="s">
        <v>4156</v>
      </c>
      <c r="E6787" s="29"/>
      <c r="F6787" s="29" t="s">
        <v>4202</v>
      </c>
      <c r="G6787" s="29"/>
      <c r="H6787" s="29" t="s">
        <v>4205</v>
      </c>
      <c r="I6787" s="29"/>
      <c r="J6787" s="29" t="s">
        <v>4206</v>
      </c>
      <c r="K6787" s="29"/>
      <c r="L6787" s="29" t="s">
        <v>4207</v>
      </c>
      <c r="M6787" s="29"/>
      <c r="N6787" s="29" t="s">
        <v>12594</v>
      </c>
      <c r="O6787" s="29"/>
      <c r="P6787" s="29" t="s">
        <v>12609</v>
      </c>
      <c r="Q6787" t="s">
        <v>2040</v>
      </c>
      <c r="R6787" t="s">
        <v>2632</v>
      </c>
      <c r="S6787">
        <v>37</v>
      </c>
      <c r="T6787" s="43" t="str">
        <f t="shared" si="308"/>
        <v>2021.003F.R.Mitoviridae_100nsp_4ngen.zip</v>
      </c>
      <c r="U6787" s="43" t="str">
        <f>HYPERLINK("https://ictv.global/taxonomy/taxondetails?taxnode_id=202213764","ictv.global=202213764")</f>
        <v>ictv.global=202213764</v>
      </c>
    </row>
    <row r="6788" spans="1:21">
      <c r="A6788">
        <v>6787</v>
      </c>
      <c r="B6788" s="29" t="s">
        <v>3223</v>
      </c>
      <c r="C6788" s="29"/>
      <c r="D6788" s="29" t="s">
        <v>4156</v>
      </c>
      <c r="E6788" s="29"/>
      <c r="F6788" s="29" t="s">
        <v>4202</v>
      </c>
      <c r="G6788" s="29"/>
      <c r="H6788" s="29" t="s">
        <v>4205</v>
      </c>
      <c r="I6788" s="29"/>
      <c r="J6788" s="29" t="s">
        <v>4206</v>
      </c>
      <c r="K6788" s="29"/>
      <c r="L6788" s="29" t="s">
        <v>4207</v>
      </c>
      <c r="M6788" s="29"/>
      <c r="N6788" s="29" t="s">
        <v>12594</v>
      </c>
      <c r="O6788" s="29"/>
      <c r="P6788" s="29" t="s">
        <v>12610</v>
      </c>
      <c r="Q6788" t="s">
        <v>2040</v>
      </c>
      <c r="R6788" t="s">
        <v>2632</v>
      </c>
      <c r="S6788">
        <v>37</v>
      </c>
      <c r="T6788" s="43" t="str">
        <f t="shared" si="308"/>
        <v>2021.003F.R.Mitoviridae_100nsp_4ngen.zip</v>
      </c>
      <c r="U6788" s="43" t="str">
        <f>HYPERLINK("https://ictv.global/taxonomy/taxondetails?taxnode_id=202213765","ictv.global=202213765")</f>
        <v>ictv.global=202213765</v>
      </c>
    </row>
    <row r="6789" spans="1:21">
      <c r="A6789">
        <v>6788</v>
      </c>
      <c r="B6789" s="29" t="s">
        <v>3223</v>
      </c>
      <c r="C6789" s="29"/>
      <c r="D6789" s="29" t="s">
        <v>4156</v>
      </c>
      <c r="E6789" s="29"/>
      <c r="F6789" s="29" t="s">
        <v>4202</v>
      </c>
      <c r="G6789" s="29"/>
      <c r="H6789" s="29" t="s">
        <v>4205</v>
      </c>
      <c r="I6789" s="29"/>
      <c r="J6789" s="29" t="s">
        <v>4206</v>
      </c>
      <c r="K6789" s="29"/>
      <c r="L6789" s="29" t="s">
        <v>4207</v>
      </c>
      <c r="M6789" s="29"/>
      <c r="N6789" s="29" t="s">
        <v>12594</v>
      </c>
      <c r="O6789" s="29"/>
      <c r="P6789" s="29" t="s">
        <v>12611</v>
      </c>
      <c r="Q6789" t="s">
        <v>2040</v>
      </c>
      <c r="R6789" t="s">
        <v>2632</v>
      </c>
      <c r="S6789">
        <v>37</v>
      </c>
      <c r="T6789" s="43" t="str">
        <f t="shared" si="308"/>
        <v>2021.003F.R.Mitoviridae_100nsp_4ngen.zip</v>
      </c>
      <c r="U6789" s="43" t="str">
        <f>HYPERLINK("https://ictv.global/taxonomy/taxondetails?taxnode_id=202213766","ictv.global=202213766")</f>
        <v>ictv.global=202213766</v>
      </c>
    </row>
    <row r="6790" spans="1:21">
      <c r="A6790">
        <v>6789</v>
      </c>
      <c r="B6790" s="29" t="s">
        <v>3223</v>
      </c>
      <c r="C6790" s="29"/>
      <c r="D6790" s="29" t="s">
        <v>4156</v>
      </c>
      <c r="E6790" s="29"/>
      <c r="F6790" s="29" t="s">
        <v>4202</v>
      </c>
      <c r="G6790" s="29"/>
      <c r="H6790" s="29" t="s">
        <v>4205</v>
      </c>
      <c r="I6790" s="29"/>
      <c r="J6790" s="29" t="s">
        <v>4206</v>
      </c>
      <c r="K6790" s="29"/>
      <c r="L6790" s="29" t="s">
        <v>4207</v>
      </c>
      <c r="M6790" s="29"/>
      <c r="N6790" s="29" t="s">
        <v>12594</v>
      </c>
      <c r="O6790" s="29"/>
      <c r="P6790" s="29" t="s">
        <v>12612</v>
      </c>
      <c r="Q6790" t="s">
        <v>2040</v>
      </c>
      <c r="R6790" t="s">
        <v>2632</v>
      </c>
      <c r="S6790">
        <v>37</v>
      </c>
      <c r="T6790" s="43" t="str">
        <f t="shared" si="308"/>
        <v>2021.003F.R.Mitoviridae_100nsp_4ngen.zip</v>
      </c>
      <c r="U6790" s="43" t="str">
        <f>HYPERLINK("https://ictv.global/taxonomy/taxondetails?taxnode_id=202213767","ictv.global=202213767")</f>
        <v>ictv.global=202213767</v>
      </c>
    </row>
    <row r="6791" spans="1:21">
      <c r="A6791">
        <v>6790</v>
      </c>
      <c r="B6791" s="29" t="s">
        <v>3223</v>
      </c>
      <c r="C6791" s="29"/>
      <c r="D6791" s="29" t="s">
        <v>4156</v>
      </c>
      <c r="E6791" s="29"/>
      <c r="F6791" s="29" t="s">
        <v>4202</v>
      </c>
      <c r="G6791" s="29"/>
      <c r="H6791" s="29" t="s">
        <v>4205</v>
      </c>
      <c r="I6791" s="29"/>
      <c r="J6791" s="29" t="s">
        <v>4206</v>
      </c>
      <c r="K6791" s="29"/>
      <c r="L6791" s="29" t="s">
        <v>4207</v>
      </c>
      <c r="M6791" s="29"/>
      <c r="N6791" s="29" t="s">
        <v>12594</v>
      </c>
      <c r="O6791" s="29"/>
      <c r="P6791" s="29" t="s">
        <v>12613</v>
      </c>
      <c r="Q6791" t="s">
        <v>2040</v>
      </c>
      <c r="R6791" t="s">
        <v>2632</v>
      </c>
      <c r="S6791">
        <v>37</v>
      </c>
      <c r="T6791" s="43" t="str">
        <f t="shared" si="308"/>
        <v>2021.003F.R.Mitoviridae_100nsp_4ngen.zip</v>
      </c>
      <c r="U6791" s="43" t="str">
        <f>HYPERLINK("https://ictv.global/taxonomy/taxondetails?taxnode_id=202213768","ictv.global=202213768")</f>
        <v>ictv.global=202213768</v>
      </c>
    </row>
    <row r="6792" spans="1:21">
      <c r="A6792">
        <v>6791</v>
      </c>
      <c r="B6792" s="29" t="s">
        <v>3223</v>
      </c>
      <c r="C6792" s="29"/>
      <c r="D6792" s="29" t="s">
        <v>4156</v>
      </c>
      <c r="E6792" s="29"/>
      <c r="F6792" s="29" t="s">
        <v>4202</v>
      </c>
      <c r="G6792" s="29"/>
      <c r="H6792" s="29" t="s">
        <v>4205</v>
      </c>
      <c r="I6792" s="29"/>
      <c r="J6792" s="29" t="s">
        <v>4206</v>
      </c>
      <c r="K6792" s="29"/>
      <c r="L6792" s="29" t="s">
        <v>4207</v>
      </c>
      <c r="M6792" s="29"/>
      <c r="N6792" s="29" t="s">
        <v>12594</v>
      </c>
      <c r="O6792" s="29"/>
      <c r="P6792" s="29" t="s">
        <v>12614</v>
      </c>
      <c r="Q6792" t="s">
        <v>2040</v>
      </c>
      <c r="R6792" t="s">
        <v>2632</v>
      </c>
      <c r="S6792">
        <v>37</v>
      </c>
      <c r="T6792" s="43" t="str">
        <f t="shared" si="308"/>
        <v>2021.003F.R.Mitoviridae_100nsp_4ngen.zip</v>
      </c>
      <c r="U6792" s="43" t="str">
        <f>HYPERLINK("https://ictv.global/taxonomy/taxondetails?taxnode_id=202213769","ictv.global=202213769")</f>
        <v>ictv.global=202213769</v>
      </c>
    </row>
    <row r="6793" spans="1:21">
      <c r="A6793">
        <v>6792</v>
      </c>
      <c r="B6793" s="29" t="s">
        <v>3223</v>
      </c>
      <c r="C6793" s="29"/>
      <c r="D6793" s="29" t="s">
        <v>4156</v>
      </c>
      <c r="E6793" s="29"/>
      <c r="F6793" s="29" t="s">
        <v>4202</v>
      </c>
      <c r="G6793" s="29"/>
      <c r="H6793" s="29" t="s">
        <v>4205</v>
      </c>
      <c r="I6793" s="29"/>
      <c r="J6793" s="29" t="s">
        <v>4206</v>
      </c>
      <c r="K6793" s="29"/>
      <c r="L6793" s="29" t="s">
        <v>4207</v>
      </c>
      <c r="M6793" s="29"/>
      <c r="N6793" s="29" t="s">
        <v>12594</v>
      </c>
      <c r="O6793" s="29"/>
      <c r="P6793" s="29" t="s">
        <v>12615</v>
      </c>
      <c r="Q6793" t="s">
        <v>2040</v>
      </c>
      <c r="R6793" t="s">
        <v>2632</v>
      </c>
      <c r="S6793">
        <v>37</v>
      </c>
      <c r="T6793" s="43" t="str">
        <f t="shared" si="308"/>
        <v>2021.003F.R.Mitoviridae_100nsp_4ngen.zip</v>
      </c>
      <c r="U6793" s="43" t="str">
        <f>HYPERLINK("https://ictv.global/taxonomy/taxondetails?taxnode_id=202213770","ictv.global=202213770")</f>
        <v>ictv.global=202213770</v>
      </c>
    </row>
    <row r="6794" spans="1:21">
      <c r="A6794">
        <v>6793</v>
      </c>
      <c r="B6794" s="29" t="s">
        <v>3223</v>
      </c>
      <c r="C6794" s="29"/>
      <c r="D6794" s="29" t="s">
        <v>4156</v>
      </c>
      <c r="E6794" s="29"/>
      <c r="F6794" s="29" t="s">
        <v>4202</v>
      </c>
      <c r="G6794" s="29"/>
      <c r="H6794" s="29" t="s">
        <v>4205</v>
      </c>
      <c r="I6794" s="29"/>
      <c r="J6794" s="29" t="s">
        <v>4206</v>
      </c>
      <c r="K6794" s="29"/>
      <c r="L6794" s="29" t="s">
        <v>4207</v>
      </c>
      <c r="M6794" s="29"/>
      <c r="N6794" s="29" t="s">
        <v>12594</v>
      </c>
      <c r="O6794" s="29"/>
      <c r="P6794" s="29" t="s">
        <v>12616</v>
      </c>
      <c r="Q6794" t="s">
        <v>2040</v>
      </c>
      <c r="R6794" t="s">
        <v>2632</v>
      </c>
      <c r="S6794">
        <v>37</v>
      </c>
      <c r="T6794" s="43" t="str">
        <f t="shared" si="308"/>
        <v>2021.003F.R.Mitoviridae_100nsp_4ngen.zip</v>
      </c>
      <c r="U6794" s="43" t="str">
        <f>HYPERLINK("https://ictv.global/taxonomy/taxondetails?taxnode_id=202213771","ictv.global=202213771")</f>
        <v>ictv.global=202213771</v>
      </c>
    </row>
    <row r="6795" spans="1:21">
      <c r="A6795">
        <v>6794</v>
      </c>
      <c r="B6795" s="29" t="s">
        <v>3223</v>
      </c>
      <c r="C6795" s="29"/>
      <c r="D6795" s="29" t="s">
        <v>4156</v>
      </c>
      <c r="E6795" s="29"/>
      <c r="F6795" s="29" t="s">
        <v>4202</v>
      </c>
      <c r="G6795" s="29"/>
      <c r="H6795" s="29" t="s">
        <v>4205</v>
      </c>
      <c r="I6795" s="29"/>
      <c r="J6795" s="29" t="s">
        <v>4206</v>
      </c>
      <c r="K6795" s="29"/>
      <c r="L6795" s="29" t="s">
        <v>4207</v>
      </c>
      <c r="M6795" s="29"/>
      <c r="N6795" s="29" t="s">
        <v>12594</v>
      </c>
      <c r="O6795" s="29"/>
      <c r="P6795" s="29" t="s">
        <v>12617</v>
      </c>
      <c r="Q6795" t="s">
        <v>2040</v>
      </c>
      <c r="R6795" t="s">
        <v>2632</v>
      </c>
      <c r="S6795">
        <v>37</v>
      </c>
      <c r="T6795" s="43" t="str">
        <f t="shared" si="308"/>
        <v>2021.003F.R.Mitoviridae_100nsp_4ngen.zip</v>
      </c>
      <c r="U6795" s="43" t="str">
        <f>HYPERLINK("https://ictv.global/taxonomy/taxondetails?taxnode_id=202213772","ictv.global=202213772")</f>
        <v>ictv.global=202213772</v>
      </c>
    </row>
    <row r="6796" spans="1:21">
      <c r="A6796">
        <v>6795</v>
      </c>
      <c r="B6796" s="29" t="s">
        <v>3223</v>
      </c>
      <c r="C6796" s="29"/>
      <c r="D6796" s="29" t="s">
        <v>4156</v>
      </c>
      <c r="E6796" s="29"/>
      <c r="F6796" s="29" t="s">
        <v>4202</v>
      </c>
      <c r="G6796" s="29"/>
      <c r="H6796" s="29" t="s">
        <v>4205</v>
      </c>
      <c r="I6796" s="29"/>
      <c r="J6796" s="29" t="s">
        <v>4206</v>
      </c>
      <c r="K6796" s="29"/>
      <c r="L6796" s="29" t="s">
        <v>4207</v>
      </c>
      <c r="M6796" s="29"/>
      <c r="N6796" s="29" t="s">
        <v>12594</v>
      </c>
      <c r="O6796" s="29"/>
      <c r="P6796" s="29" t="s">
        <v>12618</v>
      </c>
      <c r="Q6796" t="s">
        <v>2040</v>
      </c>
      <c r="R6796" t="s">
        <v>2632</v>
      </c>
      <c r="S6796">
        <v>37</v>
      </c>
      <c r="T6796" s="43" t="str">
        <f t="shared" si="308"/>
        <v>2021.003F.R.Mitoviridae_100nsp_4ngen.zip</v>
      </c>
      <c r="U6796" s="43" t="str">
        <f>HYPERLINK("https://ictv.global/taxonomy/taxondetails?taxnode_id=202213773","ictv.global=202213773")</f>
        <v>ictv.global=202213773</v>
      </c>
    </row>
    <row r="6797" spans="1:21">
      <c r="A6797">
        <v>6796</v>
      </c>
      <c r="B6797" s="29" t="s">
        <v>3223</v>
      </c>
      <c r="C6797" s="29"/>
      <c r="D6797" s="29" t="s">
        <v>4156</v>
      </c>
      <c r="E6797" s="29"/>
      <c r="F6797" s="29" t="s">
        <v>4202</v>
      </c>
      <c r="G6797" s="29"/>
      <c r="H6797" s="29" t="s">
        <v>4205</v>
      </c>
      <c r="I6797" s="29"/>
      <c r="J6797" s="29" t="s">
        <v>4206</v>
      </c>
      <c r="K6797" s="29"/>
      <c r="L6797" s="29" t="s">
        <v>4207</v>
      </c>
      <c r="M6797" s="29"/>
      <c r="N6797" s="29" t="s">
        <v>12594</v>
      </c>
      <c r="O6797" s="29"/>
      <c r="P6797" s="29" t="s">
        <v>12619</v>
      </c>
      <c r="Q6797" t="s">
        <v>2040</v>
      </c>
      <c r="R6797" t="s">
        <v>2632</v>
      </c>
      <c r="S6797">
        <v>37</v>
      </c>
      <c r="T6797" s="43" t="str">
        <f t="shared" si="308"/>
        <v>2021.003F.R.Mitoviridae_100nsp_4ngen.zip</v>
      </c>
      <c r="U6797" s="43" t="str">
        <f>HYPERLINK("https://ictv.global/taxonomy/taxondetails?taxnode_id=202213774","ictv.global=202213774")</f>
        <v>ictv.global=202213774</v>
      </c>
    </row>
    <row r="6798" spans="1:21">
      <c r="A6798">
        <v>6797</v>
      </c>
      <c r="B6798" s="29" t="s">
        <v>3223</v>
      </c>
      <c r="C6798" s="29"/>
      <c r="D6798" s="29" t="s">
        <v>4156</v>
      </c>
      <c r="E6798" s="29"/>
      <c r="F6798" s="29" t="s">
        <v>4202</v>
      </c>
      <c r="G6798" s="29"/>
      <c r="H6798" s="29" t="s">
        <v>4205</v>
      </c>
      <c r="I6798" s="29"/>
      <c r="J6798" s="29" t="s">
        <v>4206</v>
      </c>
      <c r="K6798" s="29"/>
      <c r="L6798" s="29" t="s">
        <v>4207</v>
      </c>
      <c r="M6798" s="29"/>
      <c r="N6798" s="29" t="s">
        <v>12594</v>
      </c>
      <c r="O6798" s="29"/>
      <c r="P6798" s="29" t="s">
        <v>12620</v>
      </c>
      <c r="Q6798" t="s">
        <v>2040</v>
      </c>
      <c r="R6798" t="s">
        <v>2632</v>
      </c>
      <c r="S6798">
        <v>37</v>
      </c>
      <c r="T6798" s="43" t="str">
        <f t="shared" si="308"/>
        <v>2021.003F.R.Mitoviridae_100nsp_4ngen.zip</v>
      </c>
      <c r="U6798" s="43" t="str">
        <f>HYPERLINK("https://ictv.global/taxonomy/taxondetails?taxnode_id=202213775","ictv.global=202213775")</f>
        <v>ictv.global=202213775</v>
      </c>
    </row>
    <row r="6799" spans="1:21">
      <c r="A6799">
        <v>6798</v>
      </c>
      <c r="B6799" s="29" t="s">
        <v>3223</v>
      </c>
      <c r="C6799" s="29"/>
      <c r="D6799" s="29" t="s">
        <v>4156</v>
      </c>
      <c r="E6799" s="29"/>
      <c r="F6799" s="29" t="s">
        <v>4202</v>
      </c>
      <c r="G6799" s="29"/>
      <c r="H6799" s="29" t="s">
        <v>4205</v>
      </c>
      <c r="I6799" s="29"/>
      <c r="J6799" s="29" t="s">
        <v>4206</v>
      </c>
      <c r="K6799" s="29"/>
      <c r="L6799" s="29" t="s">
        <v>4207</v>
      </c>
      <c r="M6799" s="29"/>
      <c r="N6799" s="29" t="s">
        <v>12594</v>
      </c>
      <c r="O6799" s="29"/>
      <c r="P6799" s="29" t="s">
        <v>12621</v>
      </c>
      <c r="Q6799" t="s">
        <v>2040</v>
      </c>
      <c r="R6799" t="s">
        <v>2632</v>
      </c>
      <c r="S6799">
        <v>37</v>
      </c>
      <c r="T6799" s="43" t="str">
        <f t="shared" si="308"/>
        <v>2021.003F.R.Mitoviridae_100nsp_4ngen.zip</v>
      </c>
      <c r="U6799" s="43" t="str">
        <f>HYPERLINK("https://ictv.global/taxonomy/taxondetails?taxnode_id=202213776","ictv.global=202213776")</f>
        <v>ictv.global=202213776</v>
      </c>
    </row>
    <row r="6800" spans="1:21">
      <c r="A6800">
        <v>6799</v>
      </c>
      <c r="B6800" s="29" t="s">
        <v>3223</v>
      </c>
      <c r="C6800" s="29"/>
      <c r="D6800" s="29" t="s">
        <v>4156</v>
      </c>
      <c r="E6800" s="29"/>
      <c r="F6800" s="29" t="s">
        <v>4202</v>
      </c>
      <c r="G6800" s="29"/>
      <c r="H6800" s="29" t="s">
        <v>4205</v>
      </c>
      <c r="I6800" s="29"/>
      <c r="J6800" s="29" t="s">
        <v>4206</v>
      </c>
      <c r="K6800" s="29"/>
      <c r="L6800" s="29" t="s">
        <v>4207</v>
      </c>
      <c r="M6800" s="29"/>
      <c r="N6800" s="29" t="s">
        <v>12594</v>
      </c>
      <c r="O6800" s="29"/>
      <c r="P6800" s="29" t="s">
        <v>12622</v>
      </c>
      <c r="Q6800" t="s">
        <v>2040</v>
      </c>
      <c r="R6800" t="s">
        <v>2632</v>
      </c>
      <c r="S6800">
        <v>37</v>
      </c>
      <c r="T6800" s="43" t="str">
        <f t="shared" si="308"/>
        <v>2021.003F.R.Mitoviridae_100nsp_4ngen.zip</v>
      </c>
      <c r="U6800" s="43" t="str">
        <f>HYPERLINK("https://ictv.global/taxonomy/taxondetails?taxnode_id=202213777","ictv.global=202213777")</f>
        <v>ictv.global=202213777</v>
      </c>
    </row>
    <row r="6801" spans="1:21">
      <c r="A6801">
        <v>6800</v>
      </c>
      <c r="B6801" s="29" t="s">
        <v>3223</v>
      </c>
      <c r="C6801" s="29"/>
      <c r="D6801" s="29" t="s">
        <v>4156</v>
      </c>
      <c r="E6801" s="29"/>
      <c r="F6801" s="29" t="s">
        <v>4202</v>
      </c>
      <c r="G6801" s="29"/>
      <c r="H6801" s="29" t="s">
        <v>4205</v>
      </c>
      <c r="I6801" s="29"/>
      <c r="J6801" s="29" t="s">
        <v>4206</v>
      </c>
      <c r="K6801" s="29"/>
      <c r="L6801" s="29" t="s">
        <v>4207</v>
      </c>
      <c r="M6801" s="29"/>
      <c r="N6801" s="29" t="s">
        <v>12594</v>
      </c>
      <c r="O6801" s="29"/>
      <c r="P6801" s="29" t="s">
        <v>12623</v>
      </c>
      <c r="Q6801" t="s">
        <v>2040</v>
      </c>
      <c r="R6801" t="s">
        <v>2632</v>
      </c>
      <c r="S6801">
        <v>37</v>
      </c>
      <c r="T6801" s="43" t="str">
        <f t="shared" si="308"/>
        <v>2021.003F.R.Mitoviridae_100nsp_4ngen.zip</v>
      </c>
      <c r="U6801" s="43" t="str">
        <f>HYPERLINK("https://ictv.global/taxonomy/taxondetails?taxnode_id=202213778","ictv.global=202213778")</f>
        <v>ictv.global=202213778</v>
      </c>
    </row>
    <row r="6802" spans="1:21">
      <c r="A6802">
        <v>6801</v>
      </c>
      <c r="B6802" s="29" t="s">
        <v>3223</v>
      </c>
      <c r="C6802" s="29"/>
      <c r="D6802" s="29" t="s">
        <v>4156</v>
      </c>
      <c r="E6802" s="29"/>
      <c r="F6802" s="29" t="s">
        <v>4202</v>
      </c>
      <c r="G6802" s="29"/>
      <c r="H6802" s="29" t="s">
        <v>4205</v>
      </c>
      <c r="I6802" s="29"/>
      <c r="J6802" s="29" t="s">
        <v>4206</v>
      </c>
      <c r="K6802" s="29"/>
      <c r="L6802" s="29" t="s">
        <v>4207</v>
      </c>
      <c r="M6802" s="29"/>
      <c r="N6802" s="29" t="s">
        <v>12594</v>
      </c>
      <c r="O6802" s="29"/>
      <c r="P6802" s="29" t="s">
        <v>12624</v>
      </c>
      <c r="Q6802" t="s">
        <v>2040</v>
      </c>
      <c r="R6802" t="s">
        <v>2632</v>
      </c>
      <c r="S6802">
        <v>37</v>
      </c>
      <c r="T6802" s="43" t="str">
        <f t="shared" si="308"/>
        <v>2021.003F.R.Mitoviridae_100nsp_4ngen.zip</v>
      </c>
      <c r="U6802" s="43" t="str">
        <f>HYPERLINK("https://ictv.global/taxonomy/taxondetails?taxnode_id=202213779","ictv.global=202213779")</f>
        <v>ictv.global=202213779</v>
      </c>
    </row>
    <row r="6803" spans="1:21">
      <c r="A6803">
        <v>6802</v>
      </c>
      <c r="B6803" s="29" t="s">
        <v>3223</v>
      </c>
      <c r="C6803" s="29"/>
      <c r="D6803" s="29" t="s">
        <v>4156</v>
      </c>
      <c r="E6803" s="29"/>
      <c r="F6803" s="29" t="s">
        <v>4202</v>
      </c>
      <c r="G6803" s="29"/>
      <c r="H6803" s="29" t="s">
        <v>4205</v>
      </c>
      <c r="I6803" s="29"/>
      <c r="J6803" s="29" t="s">
        <v>4206</v>
      </c>
      <c r="K6803" s="29"/>
      <c r="L6803" s="29" t="s">
        <v>4207</v>
      </c>
      <c r="M6803" s="29"/>
      <c r="N6803" s="29" t="s">
        <v>12594</v>
      </c>
      <c r="O6803" s="29"/>
      <c r="P6803" s="29" t="s">
        <v>12625</v>
      </c>
      <c r="Q6803" t="s">
        <v>2040</v>
      </c>
      <c r="R6803" t="s">
        <v>2632</v>
      </c>
      <c r="S6803">
        <v>37</v>
      </c>
      <c r="T6803" s="43" t="str">
        <f t="shared" si="308"/>
        <v>2021.003F.R.Mitoviridae_100nsp_4ngen.zip</v>
      </c>
      <c r="U6803" s="43" t="str">
        <f>HYPERLINK("https://ictv.global/taxonomy/taxondetails?taxnode_id=202213781","ictv.global=202213781")</f>
        <v>ictv.global=202213781</v>
      </c>
    </row>
    <row r="6804" spans="1:21">
      <c r="A6804">
        <v>6803</v>
      </c>
      <c r="B6804" s="29" t="s">
        <v>3223</v>
      </c>
      <c r="C6804" s="29"/>
      <c r="D6804" s="29" t="s">
        <v>4156</v>
      </c>
      <c r="E6804" s="29"/>
      <c r="F6804" s="29" t="s">
        <v>4202</v>
      </c>
      <c r="G6804" s="29"/>
      <c r="H6804" s="29" t="s">
        <v>4205</v>
      </c>
      <c r="I6804" s="29"/>
      <c r="J6804" s="29" t="s">
        <v>4206</v>
      </c>
      <c r="K6804" s="29"/>
      <c r="L6804" s="29" t="s">
        <v>4207</v>
      </c>
      <c r="M6804" s="29"/>
      <c r="N6804" s="29" t="s">
        <v>12594</v>
      </c>
      <c r="O6804" s="29"/>
      <c r="P6804" s="29" t="s">
        <v>12626</v>
      </c>
      <c r="Q6804" t="s">
        <v>2040</v>
      </c>
      <c r="R6804" t="s">
        <v>2632</v>
      </c>
      <c r="S6804">
        <v>37</v>
      </c>
      <c r="T6804" s="43" t="str">
        <f t="shared" si="308"/>
        <v>2021.003F.R.Mitoviridae_100nsp_4ngen.zip</v>
      </c>
      <c r="U6804" s="43" t="str">
        <f>HYPERLINK("https://ictv.global/taxonomy/taxondetails?taxnode_id=202213780","ictv.global=202213780")</f>
        <v>ictv.global=202213780</v>
      </c>
    </row>
    <row r="6805" spans="1:21">
      <c r="A6805">
        <v>6804</v>
      </c>
      <c r="B6805" s="29" t="s">
        <v>3223</v>
      </c>
      <c r="C6805" s="29"/>
      <c r="D6805" s="29" t="s">
        <v>4156</v>
      </c>
      <c r="E6805" s="29"/>
      <c r="F6805" s="29" t="s">
        <v>4202</v>
      </c>
      <c r="G6805" s="29"/>
      <c r="H6805" s="29" t="s">
        <v>4205</v>
      </c>
      <c r="I6805" s="29"/>
      <c r="J6805" s="29" t="s">
        <v>4206</v>
      </c>
      <c r="K6805" s="29"/>
      <c r="L6805" s="29" t="s">
        <v>4207</v>
      </c>
      <c r="M6805" s="29"/>
      <c r="N6805" s="29" t="s">
        <v>12594</v>
      </c>
      <c r="O6805" s="29"/>
      <c r="P6805" s="29" t="s">
        <v>12627</v>
      </c>
      <c r="Q6805" t="s">
        <v>2040</v>
      </c>
      <c r="R6805" t="s">
        <v>2632</v>
      </c>
      <c r="S6805">
        <v>37</v>
      </c>
      <c r="T6805" s="43" t="str">
        <f t="shared" si="308"/>
        <v>2021.003F.R.Mitoviridae_100nsp_4ngen.zip</v>
      </c>
      <c r="U6805" s="43" t="str">
        <f>HYPERLINK("https://ictv.global/taxonomy/taxondetails?taxnode_id=202213782","ictv.global=202213782")</f>
        <v>ictv.global=202213782</v>
      </c>
    </row>
    <row r="6806" spans="1:21">
      <c r="A6806">
        <v>6805</v>
      </c>
      <c r="B6806" s="29" t="s">
        <v>3223</v>
      </c>
      <c r="C6806" s="29"/>
      <c r="D6806" s="29" t="s">
        <v>4156</v>
      </c>
      <c r="E6806" s="29"/>
      <c r="F6806" s="29" t="s">
        <v>4202</v>
      </c>
      <c r="G6806" s="29"/>
      <c r="H6806" s="29" t="s">
        <v>4205</v>
      </c>
      <c r="I6806" s="29"/>
      <c r="J6806" s="29" t="s">
        <v>4206</v>
      </c>
      <c r="K6806" s="29"/>
      <c r="L6806" s="29" t="s">
        <v>4207</v>
      </c>
      <c r="M6806" s="29"/>
      <c r="N6806" s="29" t="s">
        <v>12594</v>
      </c>
      <c r="O6806" s="29"/>
      <c r="P6806" s="29" t="s">
        <v>12628</v>
      </c>
      <c r="Q6806" t="s">
        <v>2040</v>
      </c>
      <c r="R6806" t="s">
        <v>2632</v>
      </c>
      <c r="S6806">
        <v>37</v>
      </c>
      <c r="T6806" s="43" t="str">
        <f t="shared" si="308"/>
        <v>2021.003F.R.Mitoviridae_100nsp_4ngen.zip</v>
      </c>
      <c r="U6806" s="43" t="str">
        <f>HYPERLINK("https://ictv.global/taxonomy/taxondetails?taxnode_id=202213783","ictv.global=202213783")</f>
        <v>ictv.global=202213783</v>
      </c>
    </row>
    <row r="6807" spans="1:21">
      <c r="A6807">
        <v>6806</v>
      </c>
      <c r="B6807" s="29" t="s">
        <v>3223</v>
      </c>
      <c r="C6807" s="29"/>
      <c r="D6807" s="29" t="s">
        <v>4156</v>
      </c>
      <c r="E6807" s="29"/>
      <c r="F6807" s="29" t="s">
        <v>4202</v>
      </c>
      <c r="G6807" s="29"/>
      <c r="H6807" s="29" t="s">
        <v>4205</v>
      </c>
      <c r="I6807" s="29"/>
      <c r="J6807" s="29" t="s">
        <v>4206</v>
      </c>
      <c r="K6807" s="29"/>
      <c r="L6807" s="29" t="s">
        <v>4207</v>
      </c>
      <c r="M6807" s="29"/>
      <c r="N6807" s="29" t="s">
        <v>12594</v>
      </c>
      <c r="O6807" s="29"/>
      <c r="P6807" s="29" t="s">
        <v>12629</v>
      </c>
      <c r="Q6807" t="s">
        <v>2040</v>
      </c>
      <c r="R6807" t="s">
        <v>2632</v>
      </c>
      <c r="S6807">
        <v>37</v>
      </c>
      <c r="T6807" s="43" t="str">
        <f t="shared" si="308"/>
        <v>2021.003F.R.Mitoviridae_100nsp_4ngen.zip</v>
      </c>
      <c r="U6807" s="43" t="str">
        <f>HYPERLINK("https://ictv.global/taxonomy/taxondetails?taxnode_id=202213784","ictv.global=202213784")</f>
        <v>ictv.global=202213784</v>
      </c>
    </row>
    <row r="6808" spans="1:21">
      <c r="A6808">
        <v>6807</v>
      </c>
      <c r="B6808" s="29" t="s">
        <v>3223</v>
      </c>
      <c r="C6808" s="29"/>
      <c r="D6808" s="29" t="s">
        <v>4156</v>
      </c>
      <c r="E6808" s="29"/>
      <c r="F6808" s="29" t="s">
        <v>4202</v>
      </c>
      <c r="G6808" s="29"/>
      <c r="H6808" s="29" t="s">
        <v>4205</v>
      </c>
      <c r="I6808" s="29"/>
      <c r="J6808" s="29" t="s">
        <v>4206</v>
      </c>
      <c r="K6808" s="29"/>
      <c r="L6808" s="29" t="s">
        <v>4207</v>
      </c>
      <c r="M6808" s="29"/>
      <c r="N6808" s="29" t="s">
        <v>12594</v>
      </c>
      <c r="O6808" s="29"/>
      <c r="P6808" s="29" t="s">
        <v>12630</v>
      </c>
      <c r="Q6808" t="s">
        <v>2040</v>
      </c>
      <c r="R6808" t="s">
        <v>2632</v>
      </c>
      <c r="S6808">
        <v>37</v>
      </c>
      <c r="T6808" s="43" t="str">
        <f t="shared" si="308"/>
        <v>2021.003F.R.Mitoviridae_100nsp_4ngen.zip</v>
      </c>
      <c r="U6808" s="43" t="str">
        <f>HYPERLINK("https://ictv.global/taxonomy/taxondetails?taxnode_id=202213785","ictv.global=202213785")</f>
        <v>ictv.global=202213785</v>
      </c>
    </row>
    <row r="6809" spans="1:21">
      <c r="A6809">
        <v>6808</v>
      </c>
      <c r="B6809" s="29" t="s">
        <v>3223</v>
      </c>
      <c r="C6809" s="29"/>
      <c r="D6809" s="29" t="s">
        <v>4156</v>
      </c>
      <c r="E6809" s="29"/>
      <c r="F6809" s="29" t="s">
        <v>4202</v>
      </c>
      <c r="G6809" s="29"/>
      <c r="H6809" s="29" t="s">
        <v>4205</v>
      </c>
      <c r="I6809" s="29"/>
      <c r="J6809" s="29" t="s">
        <v>4206</v>
      </c>
      <c r="K6809" s="29"/>
      <c r="L6809" s="29" t="s">
        <v>4207</v>
      </c>
      <c r="M6809" s="29"/>
      <c r="N6809" s="29" t="s">
        <v>12594</v>
      </c>
      <c r="O6809" s="29"/>
      <c r="P6809" s="29" t="s">
        <v>12631</v>
      </c>
      <c r="Q6809" t="s">
        <v>2040</v>
      </c>
      <c r="R6809" t="s">
        <v>2633</v>
      </c>
      <c r="S6809">
        <v>37</v>
      </c>
      <c r="T6809" s="43" t="str">
        <f t="shared" si="308"/>
        <v>2021.003F.R.Mitoviridae_100nsp_4ngen.zip</v>
      </c>
      <c r="U6809" s="43" t="str">
        <f>HYPERLINK("https://ictv.global/taxonomy/taxondetails?taxnode_id=202203912","ictv.global=202203912")</f>
        <v>ictv.global=202203912</v>
      </c>
    </row>
    <row r="6810" spans="1:21">
      <c r="A6810">
        <v>6809</v>
      </c>
      <c r="B6810" s="29" t="s">
        <v>3223</v>
      </c>
      <c r="C6810" s="29"/>
      <c r="D6810" s="29" t="s">
        <v>4156</v>
      </c>
      <c r="E6810" s="29"/>
      <c r="F6810" s="29" t="s">
        <v>4202</v>
      </c>
      <c r="G6810" s="29"/>
      <c r="H6810" s="29" t="s">
        <v>4205</v>
      </c>
      <c r="I6810" s="29"/>
      <c r="J6810" s="29" t="s">
        <v>4206</v>
      </c>
      <c r="K6810" s="29"/>
      <c r="L6810" s="29" t="s">
        <v>4207</v>
      </c>
      <c r="M6810" s="29"/>
      <c r="N6810" s="29" t="s">
        <v>12594</v>
      </c>
      <c r="O6810" s="29"/>
      <c r="P6810" s="29" t="s">
        <v>12632</v>
      </c>
      <c r="Q6810" t="s">
        <v>2040</v>
      </c>
      <c r="R6810" t="s">
        <v>2633</v>
      </c>
      <c r="S6810">
        <v>37</v>
      </c>
      <c r="T6810" s="43" t="str">
        <f t="shared" ref="T6810:T6818" si="309">HYPERLINK("https://ictv.global/ictv/proposals/2021.003F.R.Mitoviridae_100nsp_4ngen.zip","2021.003F.R.Mitoviridae_100nsp_4ngen.zip")</f>
        <v>2021.003F.R.Mitoviridae_100nsp_4ngen.zip</v>
      </c>
      <c r="U6810" s="43" t="str">
        <f>HYPERLINK("https://ictv.global/taxonomy/taxondetails?taxnode_id=202203913","ictv.global=202203913")</f>
        <v>ictv.global=202203913</v>
      </c>
    </row>
    <row r="6811" spans="1:21">
      <c r="A6811">
        <v>6810</v>
      </c>
      <c r="B6811" s="29" t="s">
        <v>3223</v>
      </c>
      <c r="C6811" s="29"/>
      <c r="D6811" s="29" t="s">
        <v>4156</v>
      </c>
      <c r="E6811" s="29"/>
      <c r="F6811" s="29" t="s">
        <v>4202</v>
      </c>
      <c r="G6811" s="29"/>
      <c r="H6811" s="29" t="s">
        <v>4205</v>
      </c>
      <c r="I6811" s="29"/>
      <c r="J6811" s="29" t="s">
        <v>4206</v>
      </c>
      <c r="K6811" s="29"/>
      <c r="L6811" s="29" t="s">
        <v>4207</v>
      </c>
      <c r="M6811" s="29"/>
      <c r="N6811" s="29" t="s">
        <v>12594</v>
      </c>
      <c r="O6811" s="29"/>
      <c r="P6811" s="29" t="s">
        <v>12633</v>
      </c>
      <c r="Q6811" t="s">
        <v>2040</v>
      </c>
      <c r="R6811" t="s">
        <v>2633</v>
      </c>
      <c r="S6811">
        <v>37</v>
      </c>
      <c r="T6811" s="43" t="str">
        <f t="shared" si="309"/>
        <v>2021.003F.R.Mitoviridae_100nsp_4ngen.zip</v>
      </c>
      <c r="U6811" s="43" t="str">
        <f>HYPERLINK("https://ictv.global/taxonomy/taxondetails?taxnode_id=202203914","ictv.global=202203914")</f>
        <v>ictv.global=202203914</v>
      </c>
    </row>
    <row r="6812" spans="1:21">
      <c r="A6812">
        <v>6811</v>
      </c>
      <c r="B6812" s="29" t="s">
        <v>3223</v>
      </c>
      <c r="C6812" s="29"/>
      <c r="D6812" s="29" t="s">
        <v>4156</v>
      </c>
      <c r="E6812" s="29"/>
      <c r="F6812" s="29" t="s">
        <v>4202</v>
      </c>
      <c r="G6812" s="29"/>
      <c r="H6812" s="29" t="s">
        <v>4205</v>
      </c>
      <c r="I6812" s="29"/>
      <c r="J6812" s="29" t="s">
        <v>4206</v>
      </c>
      <c r="K6812" s="29"/>
      <c r="L6812" s="29" t="s">
        <v>4207</v>
      </c>
      <c r="M6812" s="29"/>
      <c r="N6812" s="29" t="s">
        <v>12594</v>
      </c>
      <c r="O6812" s="29"/>
      <c r="P6812" s="29" t="s">
        <v>12634</v>
      </c>
      <c r="Q6812" t="s">
        <v>2040</v>
      </c>
      <c r="R6812" t="s">
        <v>2632</v>
      </c>
      <c r="S6812">
        <v>37</v>
      </c>
      <c r="T6812" s="43" t="str">
        <f t="shared" si="309"/>
        <v>2021.003F.R.Mitoviridae_100nsp_4ngen.zip</v>
      </c>
      <c r="U6812" s="43" t="str">
        <f>HYPERLINK("https://ictv.global/taxonomy/taxondetails?taxnode_id=202213786","ictv.global=202213786")</f>
        <v>ictv.global=202213786</v>
      </c>
    </row>
    <row r="6813" spans="1:21">
      <c r="A6813">
        <v>6812</v>
      </c>
      <c r="B6813" s="29" t="s">
        <v>3223</v>
      </c>
      <c r="C6813" s="29"/>
      <c r="D6813" s="29" t="s">
        <v>4156</v>
      </c>
      <c r="E6813" s="29"/>
      <c r="F6813" s="29" t="s">
        <v>4202</v>
      </c>
      <c r="G6813" s="29"/>
      <c r="H6813" s="29" t="s">
        <v>4205</v>
      </c>
      <c r="I6813" s="29"/>
      <c r="J6813" s="29" t="s">
        <v>4206</v>
      </c>
      <c r="K6813" s="29"/>
      <c r="L6813" s="29" t="s">
        <v>4207</v>
      </c>
      <c r="M6813" s="29"/>
      <c r="N6813" s="29" t="s">
        <v>12594</v>
      </c>
      <c r="O6813" s="29"/>
      <c r="P6813" s="29" t="s">
        <v>12635</v>
      </c>
      <c r="Q6813" t="s">
        <v>2040</v>
      </c>
      <c r="R6813" t="s">
        <v>2632</v>
      </c>
      <c r="S6813">
        <v>37</v>
      </c>
      <c r="T6813" s="43" t="str">
        <f t="shared" si="309"/>
        <v>2021.003F.R.Mitoviridae_100nsp_4ngen.zip</v>
      </c>
      <c r="U6813" s="43" t="str">
        <f>HYPERLINK("https://ictv.global/taxonomy/taxondetails?taxnode_id=202213787","ictv.global=202213787")</f>
        <v>ictv.global=202213787</v>
      </c>
    </row>
    <row r="6814" spans="1:21">
      <c r="A6814">
        <v>6813</v>
      </c>
      <c r="B6814" s="29" t="s">
        <v>3223</v>
      </c>
      <c r="C6814" s="29"/>
      <c r="D6814" s="29" t="s">
        <v>4156</v>
      </c>
      <c r="E6814" s="29"/>
      <c r="F6814" s="29" t="s">
        <v>4202</v>
      </c>
      <c r="G6814" s="29"/>
      <c r="H6814" s="29" t="s">
        <v>4205</v>
      </c>
      <c r="I6814" s="29"/>
      <c r="J6814" s="29" t="s">
        <v>4206</v>
      </c>
      <c r="K6814" s="29"/>
      <c r="L6814" s="29" t="s">
        <v>4207</v>
      </c>
      <c r="M6814" s="29"/>
      <c r="N6814" s="29" t="s">
        <v>12594</v>
      </c>
      <c r="O6814" s="29"/>
      <c r="P6814" s="29" t="s">
        <v>12636</v>
      </c>
      <c r="Q6814" t="s">
        <v>2040</v>
      </c>
      <c r="R6814" t="s">
        <v>2632</v>
      </c>
      <c r="S6814">
        <v>37</v>
      </c>
      <c r="T6814" s="43" t="str">
        <f t="shared" si="309"/>
        <v>2021.003F.R.Mitoviridae_100nsp_4ngen.zip</v>
      </c>
      <c r="U6814" s="43" t="str">
        <f>HYPERLINK("https://ictv.global/taxonomy/taxondetails?taxnode_id=202213788","ictv.global=202213788")</f>
        <v>ictv.global=202213788</v>
      </c>
    </row>
    <row r="6815" spans="1:21">
      <c r="A6815">
        <v>6814</v>
      </c>
      <c r="B6815" s="29" t="s">
        <v>3223</v>
      </c>
      <c r="C6815" s="29"/>
      <c r="D6815" s="29" t="s">
        <v>4156</v>
      </c>
      <c r="E6815" s="29"/>
      <c r="F6815" s="29" t="s">
        <v>4202</v>
      </c>
      <c r="G6815" s="29"/>
      <c r="H6815" s="29" t="s">
        <v>4205</v>
      </c>
      <c r="I6815" s="29"/>
      <c r="J6815" s="29" t="s">
        <v>4206</v>
      </c>
      <c r="K6815" s="29"/>
      <c r="L6815" s="29" t="s">
        <v>4207</v>
      </c>
      <c r="M6815" s="29"/>
      <c r="N6815" s="29" t="s">
        <v>12594</v>
      </c>
      <c r="O6815" s="29"/>
      <c r="P6815" s="29" t="s">
        <v>12637</v>
      </c>
      <c r="Q6815" t="s">
        <v>2040</v>
      </c>
      <c r="R6815" t="s">
        <v>2632</v>
      </c>
      <c r="S6815">
        <v>37</v>
      </c>
      <c r="T6815" s="43" t="str">
        <f t="shared" si="309"/>
        <v>2021.003F.R.Mitoviridae_100nsp_4ngen.zip</v>
      </c>
      <c r="U6815" s="43" t="str">
        <f>HYPERLINK("https://ictv.global/taxonomy/taxondetails?taxnode_id=202213789","ictv.global=202213789")</f>
        <v>ictv.global=202213789</v>
      </c>
    </row>
    <row r="6816" spans="1:21">
      <c r="A6816">
        <v>6815</v>
      </c>
      <c r="B6816" s="29" t="s">
        <v>3223</v>
      </c>
      <c r="C6816" s="29"/>
      <c r="D6816" s="29" t="s">
        <v>4156</v>
      </c>
      <c r="E6816" s="29"/>
      <c r="F6816" s="29" t="s">
        <v>4202</v>
      </c>
      <c r="G6816" s="29"/>
      <c r="H6816" s="29" t="s">
        <v>4205</v>
      </c>
      <c r="I6816" s="29"/>
      <c r="J6816" s="29" t="s">
        <v>4206</v>
      </c>
      <c r="K6816" s="29"/>
      <c r="L6816" s="29" t="s">
        <v>4207</v>
      </c>
      <c r="M6816" s="29"/>
      <c r="N6816" s="29" t="s">
        <v>12594</v>
      </c>
      <c r="O6816" s="29"/>
      <c r="P6816" s="29" t="s">
        <v>12638</v>
      </c>
      <c r="Q6816" t="s">
        <v>2040</v>
      </c>
      <c r="R6816" t="s">
        <v>2632</v>
      </c>
      <c r="S6816">
        <v>37</v>
      </c>
      <c r="T6816" s="43" t="str">
        <f t="shared" si="309"/>
        <v>2021.003F.R.Mitoviridae_100nsp_4ngen.zip</v>
      </c>
      <c r="U6816" s="43" t="str">
        <f>HYPERLINK("https://ictv.global/taxonomy/taxondetails?taxnode_id=202213790","ictv.global=202213790")</f>
        <v>ictv.global=202213790</v>
      </c>
    </row>
    <row r="6817" spans="1:21">
      <c r="A6817">
        <v>6816</v>
      </c>
      <c r="B6817" s="29" t="s">
        <v>3223</v>
      </c>
      <c r="C6817" s="29"/>
      <c r="D6817" s="29" t="s">
        <v>4156</v>
      </c>
      <c r="E6817" s="29"/>
      <c r="F6817" s="29" t="s">
        <v>4202</v>
      </c>
      <c r="G6817" s="29"/>
      <c r="H6817" s="29" t="s">
        <v>4205</v>
      </c>
      <c r="I6817" s="29"/>
      <c r="J6817" s="29" t="s">
        <v>4206</v>
      </c>
      <c r="K6817" s="29"/>
      <c r="L6817" s="29" t="s">
        <v>4207</v>
      </c>
      <c r="M6817" s="29"/>
      <c r="N6817" s="29" t="s">
        <v>12594</v>
      </c>
      <c r="O6817" s="29"/>
      <c r="P6817" s="29" t="s">
        <v>12639</v>
      </c>
      <c r="Q6817" t="s">
        <v>2040</v>
      </c>
      <c r="R6817" t="s">
        <v>2632</v>
      </c>
      <c r="S6817">
        <v>37</v>
      </c>
      <c r="T6817" s="43" t="str">
        <f t="shared" si="309"/>
        <v>2021.003F.R.Mitoviridae_100nsp_4ngen.zip</v>
      </c>
      <c r="U6817" s="43" t="str">
        <f>HYPERLINK("https://ictv.global/taxonomy/taxondetails?taxnode_id=202213791","ictv.global=202213791")</f>
        <v>ictv.global=202213791</v>
      </c>
    </row>
    <row r="6818" spans="1:21">
      <c r="A6818">
        <v>6817</v>
      </c>
      <c r="B6818" s="29" t="s">
        <v>3223</v>
      </c>
      <c r="C6818" s="29"/>
      <c r="D6818" s="29" t="s">
        <v>4156</v>
      </c>
      <c r="E6818" s="29"/>
      <c r="F6818" s="29" t="s">
        <v>4202</v>
      </c>
      <c r="G6818" s="29"/>
      <c r="H6818" s="29" t="s">
        <v>4205</v>
      </c>
      <c r="I6818" s="29"/>
      <c r="J6818" s="29" t="s">
        <v>4206</v>
      </c>
      <c r="K6818" s="29"/>
      <c r="L6818" s="29" t="s">
        <v>4207</v>
      </c>
      <c r="M6818" s="29"/>
      <c r="N6818" s="29" t="s">
        <v>12594</v>
      </c>
      <c r="O6818" s="29"/>
      <c r="P6818" s="29" t="s">
        <v>12640</v>
      </c>
      <c r="Q6818" t="s">
        <v>2040</v>
      </c>
      <c r="R6818" t="s">
        <v>2632</v>
      </c>
      <c r="S6818">
        <v>37</v>
      </c>
      <c r="T6818" s="43" t="str">
        <f t="shared" si="309"/>
        <v>2021.003F.R.Mitoviridae_100nsp_4ngen.zip</v>
      </c>
      <c r="U6818" s="43" t="str">
        <f>HYPERLINK("https://ictv.global/taxonomy/taxondetails?taxnode_id=202213792","ictv.global=202213792")</f>
        <v>ictv.global=202213792</v>
      </c>
    </row>
    <row r="6819" spans="1:21">
      <c r="A6819">
        <v>6818</v>
      </c>
      <c r="B6819" s="29" t="s">
        <v>3223</v>
      </c>
      <c r="C6819" s="29"/>
      <c r="D6819" s="29" t="s">
        <v>4156</v>
      </c>
      <c r="E6819" s="29"/>
      <c r="F6819" s="29" t="s">
        <v>4202</v>
      </c>
      <c r="G6819" s="29"/>
      <c r="H6819" s="29" t="s">
        <v>5205</v>
      </c>
      <c r="I6819" s="29"/>
      <c r="J6819" s="29" t="s">
        <v>5206</v>
      </c>
      <c r="K6819" s="29"/>
      <c r="L6819" s="29" t="s">
        <v>5207</v>
      </c>
      <c r="M6819" s="29"/>
      <c r="N6819" s="29" t="s">
        <v>5208</v>
      </c>
      <c r="O6819" s="29"/>
      <c r="P6819" s="29" t="s">
        <v>5209</v>
      </c>
      <c r="Q6819" t="s">
        <v>2040</v>
      </c>
      <c r="R6819" t="s">
        <v>2632</v>
      </c>
      <c r="S6819">
        <v>36</v>
      </c>
      <c r="T6819" s="43" t="str">
        <f t="shared" ref="T6819:T6850" si="310">HYPERLINK("https://ictv.global/ictv/proposals/2020.095B.R.Leviviricetes.zip","2020.095B.R.Leviviricetes.zip")</f>
        <v>2020.095B.R.Leviviricetes.zip</v>
      </c>
      <c r="U6819" s="43" t="str">
        <f>HYPERLINK("https://ictv.global/taxonomy/taxondetails?taxnode_id=202210696","ictv.global=202210696")</f>
        <v>ictv.global=202210696</v>
      </c>
    </row>
    <row r="6820" spans="1:21">
      <c r="A6820">
        <v>6819</v>
      </c>
      <c r="B6820" s="29" t="s">
        <v>3223</v>
      </c>
      <c r="C6820" s="29"/>
      <c r="D6820" s="29" t="s">
        <v>4156</v>
      </c>
      <c r="E6820" s="29"/>
      <c r="F6820" s="29" t="s">
        <v>4202</v>
      </c>
      <c r="G6820" s="29"/>
      <c r="H6820" s="29" t="s">
        <v>5205</v>
      </c>
      <c r="I6820" s="29"/>
      <c r="J6820" s="29" t="s">
        <v>5206</v>
      </c>
      <c r="K6820" s="29"/>
      <c r="L6820" s="29" t="s">
        <v>5207</v>
      </c>
      <c r="M6820" s="29"/>
      <c r="N6820" s="29" t="s">
        <v>5210</v>
      </c>
      <c r="O6820" s="29"/>
      <c r="P6820" s="29" t="s">
        <v>5211</v>
      </c>
      <c r="Q6820" t="s">
        <v>2040</v>
      </c>
      <c r="R6820" t="s">
        <v>2632</v>
      </c>
      <c r="S6820">
        <v>36</v>
      </c>
      <c r="T6820" s="43" t="str">
        <f t="shared" si="310"/>
        <v>2020.095B.R.Leviviricetes.zip</v>
      </c>
      <c r="U6820" s="43" t="str">
        <f>HYPERLINK("https://ictv.global/taxonomy/taxondetails?taxnode_id=202210699","ictv.global=202210699")</f>
        <v>ictv.global=202210699</v>
      </c>
    </row>
    <row r="6821" spans="1:21">
      <c r="A6821">
        <v>6820</v>
      </c>
      <c r="B6821" s="29" t="s">
        <v>3223</v>
      </c>
      <c r="C6821" s="29"/>
      <c r="D6821" s="29" t="s">
        <v>4156</v>
      </c>
      <c r="E6821" s="29"/>
      <c r="F6821" s="29" t="s">
        <v>4202</v>
      </c>
      <c r="G6821" s="29"/>
      <c r="H6821" s="29" t="s">
        <v>5205</v>
      </c>
      <c r="I6821" s="29"/>
      <c r="J6821" s="29" t="s">
        <v>5206</v>
      </c>
      <c r="K6821" s="29"/>
      <c r="L6821" s="29" t="s">
        <v>5207</v>
      </c>
      <c r="M6821" s="29"/>
      <c r="N6821" s="29" t="s">
        <v>5210</v>
      </c>
      <c r="O6821" s="29"/>
      <c r="P6821" s="29" t="s">
        <v>5212</v>
      </c>
      <c r="Q6821" t="s">
        <v>2040</v>
      </c>
      <c r="R6821" t="s">
        <v>2632</v>
      </c>
      <c r="S6821">
        <v>36</v>
      </c>
      <c r="T6821" s="43" t="str">
        <f t="shared" si="310"/>
        <v>2020.095B.R.Leviviricetes.zip</v>
      </c>
      <c r="U6821" s="43" t="str">
        <f>HYPERLINK("https://ictv.global/taxonomy/taxondetails?taxnode_id=202210698","ictv.global=202210698")</f>
        <v>ictv.global=202210698</v>
      </c>
    </row>
    <row r="6822" spans="1:21">
      <c r="A6822">
        <v>6821</v>
      </c>
      <c r="B6822" s="29" t="s">
        <v>3223</v>
      </c>
      <c r="C6822" s="29"/>
      <c r="D6822" s="29" t="s">
        <v>4156</v>
      </c>
      <c r="E6822" s="29"/>
      <c r="F6822" s="29" t="s">
        <v>4202</v>
      </c>
      <c r="G6822" s="29"/>
      <c r="H6822" s="29" t="s">
        <v>5205</v>
      </c>
      <c r="I6822" s="29"/>
      <c r="J6822" s="29" t="s">
        <v>5206</v>
      </c>
      <c r="K6822" s="29"/>
      <c r="L6822" s="29" t="s">
        <v>5207</v>
      </c>
      <c r="M6822" s="29"/>
      <c r="N6822" s="29" t="s">
        <v>5213</v>
      </c>
      <c r="O6822" s="29"/>
      <c r="P6822" s="29" t="s">
        <v>5214</v>
      </c>
      <c r="Q6822" t="s">
        <v>2040</v>
      </c>
      <c r="R6822" t="s">
        <v>2632</v>
      </c>
      <c r="S6822">
        <v>36</v>
      </c>
      <c r="T6822" s="43" t="str">
        <f t="shared" si="310"/>
        <v>2020.095B.R.Leviviricetes.zip</v>
      </c>
      <c r="U6822" s="43" t="str">
        <f>HYPERLINK("https://ictv.global/taxonomy/taxondetails?taxnode_id=202210701","ictv.global=202210701")</f>
        <v>ictv.global=202210701</v>
      </c>
    </row>
    <row r="6823" spans="1:21">
      <c r="A6823">
        <v>6822</v>
      </c>
      <c r="B6823" s="29" t="s">
        <v>3223</v>
      </c>
      <c r="C6823" s="29"/>
      <c r="D6823" s="29" t="s">
        <v>4156</v>
      </c>
      <c r="E6823" s="29"/>
      <c r="F6823" s="29" t="s">
        <v>4202</v>
      </c>
      <c r="G6823" s="29"/>
      <c r="H6823" s="29" t="s">
        <v>5205</v>
      </c>
      <c r="I6823" s="29"/>
      <c r="J6823" s="29" t="s">
        <v>5206</v>
      </c>
      <c r="K6823" s="29"/>
      <c r="L6823" s="29" t="s">
        <v>5207</v>
      </c>
      <c r="M6823" s="29"/>
      <c r="N6823" s="29" t="s">
        <v>5215</v>
      </c>
      <c r="O6823" s="29"/>
      <c r="P6823" s="29" t="s">
        <v>5216</v>
      </c>
      <c r="Q6823" t="s">
        <v>2040</v>
      </c>
      <c r="R6823" t="s">
        <v>2632</v>
      </c>
      <c r="S6823">
        <v>36</v>
      </c>
      <c r="T6823" s="43" t="str">
        <f t="shared" si="310"/>
        <v>2020.095B.R.Leviviricetes.zip</v>
      </c>
      <c r="U6823" s="43" t="str">
        <f>HYPERLINK("https://ictv.global/taxonomy/taxondetails?taxnode_id=202210703","ictv.global=202210703")</f>
        <v>ictv.global=202210703</v>
      </c>
    </row>
    <row r="6824" spans="1:21">
      <c r="A6824">
        <v>6823</v>
      </c>
      <c r="B6824" s="29" t="s">
        <v>3223</v>
      </c>
      <c r="C6824" s="29"/>
      <c r="D6824" s="29" t="s">
        <v>4156</v>
      </c>
      <c r="E6824" s="29"/>
      <c r="F6824" s="29" t="s">
        <v>4202</v>
      </c>
      <c r="G6824" s="29"/>
      <c r="H6824" s="29" t="s">
        <v>5205</v>
      </c>
      <c r="I6824" s="29"/>
      <c r="J6824" s="29" t="s">
        <v>5206</v>
      </c>
      <c r="K6824" s="29"/>
      <c r="L6824" s="29" t="s">
        <v>5207</v>
      </c>
      <c r="M6824" s="29"/>
      <c r="N6824" s="29" t="s">
        <v>5215</v>
      </c>
      <c r="O6824" s="29"/>
      <c r="P6824" s="29" t="s">
        <v>5217</v>
      </c>
      <c r="Q6824" t="s">
        <v>2040</v>
      </c>
      <c r="R6824" t="s">
        <v>2632</v>
      </c>
      <c r="S6824">
        <v>36</v>
      </c>
      <c r="T6824" s="43" t="str">
        <f t="shared" si="310"/>
        <v>2020.095B.R.Leviviricetes.zip</v>
      </c>
      <c r="U6824" s="43" t="str">
        <f>HYPERLINK("https://ictv.global/taxonomy/taxondetails?taxnode_id=202210704","ictv.global=202210704")</f>
        <v>ictv.global=202210704</v>
      </c>
    </row>
    <row r="6825" spans="1:21">
      <c r="A6825">
        <v>6824</v>
      </c>
      <c r="B6825" s="29" t="s">
        <v>3223</v>
      </c>
      <c r="C6825" s="29"/>
      <c r="D6825" s="29" t="s">
        <v>4156</v>
      </c>
      <c r="E6825" s="29"/>
      <c r="F6825" s="29" t="s">
        <v>4202</v>
      </c>
      <c r="G6825" s="29"/>
      <c r="H6825" s="29" t="s">
        <v>5205</v>
      </c>
      <c r="I6825" s="29"/>
      <c r="J6825" s="29" t="s">
        <v>5206</v>
      </c>
      <c r="K6825" s="29"/>
      <c r="L6825" s="29" t="s">
        <v>5207</v>
      </c>
      <c r="M6825" s="29"/>
      <c r="N6825" s="29" t="s">
        <v>5218</v>
      </c>
      <c r="O6825" s="29"/>
      <c r="P6825" s="29" t="s">
        <v>5219</v>
      </c>
      <c r="Q6825" t="s">
        <v>2040</v>
      </c>
      <c r="R6825" t="s">
        <v>2632</v>
      </c>
      <c r="S6825">
        <v>36</v>
      </c>
      <c r="T6825" s="43" t="str">
        <f t="shared" si="310"/>
        <v>2020.095B.R.Leviviricetes.zip</v>
      </c>
      <c r="U6825" s="43" t="str">
        <f>HYPERLINK("https://ictv.global/taxonomy/taxondetails?taxnode_id=202210706","ictv.global=202210706")</f>
        <v>ictv.global=202210706</v>
      </c>
    </row>
    <row r="6826" spans="1:21">
      <c r="A6826">
        <v>6825</v>
      </c>
      <c r="B6826" s="29" t="s">
        <v>3223</v>
      </c>
      <c r="C6826" s="29"/>
      <c r="D6826" s="29" t="s">
        <v>4156</v>
      </c>
      <c r="E6826" s="29"/>
      <c r="F6826" s="29" t="s">
        <v>4202</v>
      </c>
      <c r="G6826" s="29"/>
      <c r="H6826" s="29" t="s">
        <v>5205</v>
      </c>
      <c r="I6826" s="29"/>
      <c r="J6826" s="29" t="s">
        <v>5206</v>
      </c>
      <c r="K6826" s="29"/>
      <c r="L6826" s="29" t="s">
        <v>5207</v>
      </c>
      <c r="M6826" s="29"/>
      <c r="N6826" s="29" t="s">
        <v>5220</v>
      </c>
      <c r="O6826" s="29"/>
      <c r="P6826" s="29" t="s">
        <v>5221</v>
      </c>
      <c r="Q6826" t="s">
        <v>2040</v>
      </c>
      <c r="R6826" t="s">
        <v>2632</v>
      </c>
      <c r="S6826">
        <v>36</v>
      </c>
      <c r="T6826" s="43" t="str">
        <f t="shared" si="310"/>
        <v>2020.095B.R.Leviviricetes.zip</v>
      </c>
      <c r="U6826" s="43" t="str">
        <f>HYPERLINK("https://ictv.global/taxonomy/taxondetails?taxnode_id=202210708","ictv.global=202210708")</f>
        <v>ictv.global=202210708</v>
      </c>
    </row>
    <row r="6827" spans="1:21">
      <c r="A6827">
        <v>6826</v>
      </c>
      <c r="B6827" s="29" t="s">
        <v>3223</v>
      </c>
      <c r="C6827" s="29"/>
      <c r="D6827" s="29" t="s">
        <v>4156</v>
      </c>
      <c r="E6827" s="29"/>
      <c r="F6827" s="29" t="s">
        <v>4202</v>
      </c>
      <c r="G6827" s="29"/>
      <c r="H6827" s="29" t="s">
        <v>5205</v>
      </c>
      <c r="I6827" s="29"/>
      <c r="J6827" s="29" t="s">
        <v>5206</v>
      </c>
      <c r="K6827" s="29"/>
      <c r="L6827" s="29" t="s">
        <v>5207</v>
      </c>
      <c r="M6827" s="29"/>
      <c r="N6827" s="29" t="s">
        <v>5220</v>
      </c>
      <c r="O6827" s="29"/>
      <c r="P6827" s="29" t="s">
        <v>5222</v>
      </c>
      <c r="Q6827" t="s">
        <v>2040</v>
      </c>
      <c r="R6827" t="s">
        <v>2632</v>
      </c>
      <c r="S6827">
        <v>36</v>
      </c>
      <c r="T6827" s="43" t="str">
        <f t="shared" si="310"/>
        <v>2020.095B.R.Leviviricetes.zip</v>
      </c>
      <c r="U6827" s="43" t="str">
        <f>HYPERLINK("https://ictv.global/taxonomy/taxondetails?taxnode_id=202210709","ictv.global=202210709")</f>
        <v>ictv.global=202210709</v>
      </c>
    </row>
    <row r="6828" spans="1:21">
      <c r="A6828">
        <v>6827</v>
      </c>
      <c r="B6828" s="29" t="s">
        <v>3223</v>
      </c>
      <c r="C6828" s="29"/>
      <c r="D6828" s="29" t="s">
        <v>4156</v>
      </c>
      <c r="E6828" s="29"/>
      <c r="F6828" s="29" t="s">
        <v>4202</v>
      </c>
      <c r="G6828" s="29"/>
      <c r="H6828" s="29" t="s">
        <v>5205</v>
      </c>
      <c r="I6828" s="29"/>
      <c r="J6828" s="29" t="s">
        <v>5206</v>
      </c>
      <c r="K6828" s="29"/>
      <c r="L6828" s="29" t="s">
        <v>5207</v>
      </c>
      <c r="M6828" s="29"/>
      <c r="N6828" s="29" t="s">
        <v>5223</v>
      </c>
      <c r="O6828" s="29"/>
      <c r="P6828" s="29" t="s">
        <v>5224</v>
      </c>
      <c r="Q6828" t="s">
        <v>2040</v>
      </c>
      <c r="R6828" t="s">
        <v>2632</v>
      </c>
      <c r="S6828">
        <v>36</v>
      </c>
      <c r="T6828" s="43" t="str">
        <f t="shared" si="310"/>
        <v>2020.095B.R.Leviviricetes.zip</v>
      </c>
      <c r="U6828" s="43" t="str">
        <f>HYPERLINK("https://ictv.global/taxonomy/taxondetails?taxnode_id=202210711","ictv.global=202210711")</f>
        <v>ictv.global=202210711</v>
      </c>
    </row>
    <row r="6829" spans="1:21">
      <c r="A6829">
        <v>6828</v>
      </c>
      <c r="B6829" s="29" t="s">
        <v>3223</v>
      </c>
      <c r="C6829" s="29"/>
      <c r="D6829" s="29" t="s">
        <v>4156</v>
      </c>
      <c r="E6829" s="29"/>
      <c r="F6829" s="29" t="s">
        <v>4202</v>
      </c>
      <c r="G6829" s="29"/>
      <c r="H6829" s="29" t="s">
        <v>5205</v>
      </c>
      <c r="I6829" s="29"/>
      <c r="J6829" s="29" t="s">
        <v>5206</v>
      </c>
      <c r="K6829" s="29"/>
      <c r="L6829" s="29" t="s">
        <v>5207</v>
      </c>
      <c r="M6829" s="29"/>
      <c r="N6829" s="29" t="s">
        <v>5225</v>
      </c>
      <c r="O6829" s="29"/>
      <c r="P6829" s="29" t="s">
        <v>5226</v>
      </c>
      <c r="Q6829" t="s">
        <v>2040</v>
      </c>
      <c r="R6829" t="s">
        <v>2632</v>
      </c>
      <c r="S6829">
        <v>36</v>
      </c>
      <c r="T6829" s="43" t="str">
        <f t="shared" si="310"/>
        <v>2020.095B.R.Leviviricetes.zip</v>
      </c>
      <c r="U6829" s="43" t="str">
        <f>HYPERLINK("https://ictv.global/taxonomy/taxondetails?taxnode_id=202210713","ictv.global=202210713")</f>
        <v>ictv.global=202210713</v>
      </c>
    </row>
    <row r="6830" spans="1:21">
      <c r="A6830">
        <v>6829</v>
      </c>
      <c r="B6830" s="29" t="s">
        <v>3223</v>
      </c>
      <c r="C6830" s="29"/>
      <c r="D6830" s="29" t="s">
        <v>4156</v>
      </c>
      <c r="E6830" s="29"/>
      <c r="F6830" s="29" t="s">
        <v>4202</v>
      </c>
      <c r="G6830" s="29"/>
      <c r="H6830" s="29" t="s">
        <v>5205</v>
      </c>
      <c r="I6830" s="29"/>
      <c r="J6830" s="29" t="s">
        <v>5206</v>
      </c>
      <c r="K6830" s="29"/>
      <c r="L6830" s="29" t="s">
        <v>5207</v>
      </c>
      <c r="M6830" s="29"/>
      <c r="N6830" s="29" t="s">
        <v>5227</v>
      </c>
      <c r="O6830" s="29"/>
      <c r="P6830" s="29" t="s">
        <v>5228</v>
      </c>
      <c r="Q6830" t="s">
        <v>2040</v>
      </c>
      <c r="R6830" t="s">
        <v>2632</v>
      </c>
      <c r="S6830">
        <v>36</v>
      </c>
      <c r="T6830" s="43" t="str">
        <f t="shared" si="310"/>
        <v>2020.095B.R.Leviviricetes.zip</v>
      </c>
      <c r="U6830" s="43" t="str">
        <f>HYPERLINK("https://ictv.global/taxonomy/taxondetails?taxnode_id=202210715","ictv.global=202210715")</f>
        <v>ictv.global=202210715</v>
      </c>
    </row>
    <row r="6831" spans="1:21">
      <c r="A6831">
        <v>6830</v>
      </c>
      <c r="B6831" s="29" t="s">
        <v>3223</v>
      </c>
      <c r="C6831" s="29"/>
      <c r="D6831" s="29" t="s">
        <v>4156</v>
      </c>
      <c r="E6831" s="29"/>
      <c r="F6831" s="29" t="s">
        <v>4202</v>
      </c>
      <c r="G6831" s="29"/>
      <c r="H6831" s="29" t="s">
        <v>5205</v>
      </c>
      <c r="I6831" s="29"/>
      <c r="J6831" s="29" t="s">
        <v>5206</v>
      </c>
      <c r="K6831" s="29"/>
      <c r="L6831" s="29" t="s">
        <v>5207</v>
      </c>
      <c r="M6831" s="29"/>
      <c r="N6831" s="29" t="s">
        <v>5229</v>
      </c>
      <c r="O6831" s="29"/>
      <c r="P6831" s="29" t="s">
        <v>5230</v>
      </c>
      <c r="Q6831" t="s">
        <v>2040</v>
      </c>
      <c r="R6831" t="s">
        <v>2632</v>
      </c>
      <c r="S6831">
        <v>36</v>
      </c>
      <c r="T6831" s="43" t="str">
        <f t="shared" si="310"/>
        <v>2020.095B.R.Leviviricetes.zip</v>
      </c>
      <c r="U6831" s="43" t="str">
        <f>HYPERLINK("https://ictv.global/taxonomy/taxondetails?taxnode_id=202210717","ictv.global=202210717")</f>
        <v>ictv.global=202210717</v>
      </c>
    </row>
    <row r="6832" spans="1:21">
      <c r="A6832">
        <v>6831</v>
      </c>
      <c r="B6832" s="29" t="s">
        <v>3223</v>
      </c>
      <c r="C6832" s="29"/>
      <c r="D6832" s="29" t="s">
        <v>4156</v>
      </c>
      <c r="E6832" s="29"/>
      <c r="F6832" s="29" t="s">
        <v>4202</v>
      </c>
      <c r="G6832" s="29"/>
      <c r="H6832" s="29" t="s">
        <v>5205</v>
      </c>
      <c r="I6832" s="29"/>
      <c r="J6832" s="29" t="s">
        <v>5206</v>
      </c>
      <c r="K6832" s="29"/>
      <c r="L6832" s="29" t="s">
        <v>5207</v>
      </c>
      <c r="M6832" s="29"/>
      <c r="N6832" s="29" t="s">
        <v>5231</v>
      </c>
      <c r="O6832" s="29"/>
      <c r="P6832" s="29" t="s">
        <v>5232</v>
      </c>
      <c r="Q6832" t="s">
        <v>2040</v>
      </c>
      <c r="R6832" t="s">
        <v>2632</v>
      </c>
      <c r="S6832">
        <v>36</v>
      </c>
      <c r="T6832" s="43" t="str">
        <f t="shared" si="310"/>
        <v>2020.095B.R.Leviviricetes.zip</v>
      </c>
      <c r="U6832" s="43" t="str">
        <f>HYPERLINK("https://ictv.global/taxonomy/taxondetails?taxnode_id=202210719","ictv.global=202210719")</f>
        <v>ictv.global=202210719</v>
      </c>
    </row>
    <row r="6833" spans="1:21">
      <c r="A6833">
        <v>6832</v>
      </c>
      <c r="B6833" s="29" t="s">
        <v>3223</v>
      </c>
      <c r="C6833" s="29"/>
      <c r="D6833" s="29" t="s">
        <v>4156</v>
      </c>
      <c r="E6833" s="29"/>
      <c r="F6833" s="29" t="s">
        <v>4202</v>
      </c>
      <c r="G6833" s="29"/>
      <c r="H6833" s="29" t="s">
        <v>5205</v>
      </c>
      <c r="I6833" s="29"/>
      <c r="J6833" s="29" t="s">
        <v>5206</v>
      </c>
      <c r="K6833" s="29"/>
      <c r="L6833" s="29" t="s">
        <v>5207</v>
      </c>
      <c r="M6833" s="29"/>
      <c r="N6833" s="29" t="s">
        <v>5233</v>
      </c>
      <c r="O6833" s="29"/>
      <c r="P6833" s="29" t="s">
        <v>5234</v>
      </c>
      <c r="Q6833" t="s">
        <v>2040</v>
      </c>
      <c r="R6833" t="s">
        <v>2632</v>
      </c>
      <c r="S6833">
        <v>36</v>
      </c>
      <c r="T6833" s="43" t="str">
        <f t="shared" si="310"/>
        <v>2020.095B.R.Leviviricetes.zip</v>
      </c>
      <c r="U6833" s="43" t="str">
        <f>HYPERLINK("https://ictv.global/taxonomy/taxondetails?taxnode_id=202210723","ictv.global=202210723")</f>
        <v>ictv.global=202210723</v>
      </c>
    </row>
    <row r="6834" spans="1:21">
      <c r="A6834">
        <v>6833</v>
      </c>
      <c r="B6834" s="29" t="s">
        <v>3223</v>
      </c>
      <c r="C6834" s="29"/>
      <c r="D6834" s="29" t="s">
        <v>4156</v>
      </c>
      <c r="E6834" s="29"/>
      <c r="F6834" s="29" t="s">
        <v>4202</v>
      </c>
      <c r="G6834" s="29"/>
      <c r="H6834" s="29" t="s">
        <v>5205</v>
      </c>
      <c r="I6834" s="29"/>
      <c r="J6834" s="29" t="s">
        <v>5206</v>
      </c>
      <c r="K6834" s="29"/>
      <c r="L6834" s="29" t="s">
        <v>5207</v>
      </c>
      <c r="M6834" s="29"/>
      <c r="N6834" s="29" t="s">
        <v>5233</v>
      </c>
      <c r="O6834" s="29"/>
      <c r="P6834" s="29" t="s">
        <v>5235</v>
      </c>
      <c r="Q6834" t="s">
        <v>2040</v>
      </c>
      <c r="R6834" t="s">
        <v>2632</v>
      </c>
      <c r="S6834">
        <v>36</v>
      </c>
      <c r="T6834" s="43" t="str">
        <f t="shared" si="310"/>
        <v>2020.095B.R.Leviviricetes.zip</v>
      </c>
      <c r="U6834" s="43" t="str">
        <f>HYPERLINK("https://ictv.global/taxonomy/taxondetails?taxnode_id=202210721","ictv.global=202210721")</f>
        <v>ictv.global=202210721</v>
      </c>
    </row>
    <row r="6835" spans="1:21">
      <c r="A6835">
        <v>6834</v>
      </c>
      <c r="B6835" s="29" t="s">
        <v>3223</v>
      </c>
      <c r="C6835" s="29"/>
      <c r="D6835" s="29" t="s">
        <v>4156</v>
      </c>
      <c r="E6835" s="29"/>
      <c r="F6835" s="29" t="s">
        <v>4202</v>
      </c>
      <c r="G6835" s="29"/>
      <c r="H6835" s="29" t="s">
        <v>5205</v>
      </c>
      <c r="I6835" s="29"/>
      <c r="J6835" s="29" t="s">
        <v>5206</v>
      </c>
      <c r="K6835" s="29"/>
      <c r="L6835" s="29" t="s">
        <v>5207</v>
      </c>
      <c r="M6835" s="29"/>
      <c r="N6835" s="29" t="s">
        <v>5233</v>
      </c>
      <c r="O6835" s="29"/>
      <c r="P6835" s="29" t="s">
        <v>5236</v>
      </c>
      <c r="Q6835" t="s">
        <v>2040</v>
      </c>
      <c r="R6835" t="s">
        <v>2632</v>
      </c>
      <c r="S6835">
        <v>36</v>
      </c>
      <c r="T6835" s="43" t="str">
        <f t="shared" si="310"/>
        <v>2020.095B.R.Leviviricetes.zip</v>
      </c>
      <c r="U6835" s="43" t="str">
        <f>HYPERLINK("https://ictv.global/taxonomy/taxondetails?taxnode_id=202210722","ictv.global=202210722")</f>
        <v>ictv.global=202210722</v>
      </c>
    </row>
    <row r="6836" spans="1:21">
      <c r="A6836">
        <v>6835</v>
      </c>
      <c r="B6836" s="29" t="s">
        <v>3223</v>
      </c>
      <c r="C6836" s="29"/>
      <c r="D6836" s="29" t="s">
        <v>4156</v>
      </c>
      <c r="E6836" s="29"/>
      <c r="F6836" s="29" t="s">
        <v>4202</v>
      </c>
      <c r="G6836" s="29"/>
      <c r="H6836" s="29" t="s">
        <v>5205</v>
      </c>
      <c r="I6836" s="29"/>
      <c r="J6836" s="29" t="s">
        <v>5206</v>
      </c>
      <c r="K6836" s="29"/>
      <c r="L6836" s="29" t="s">
        <v>5207</v>
      </c>
      <c r="M6836" s="29"/>
      <c r="N6836" s="29" t="s">
        <v>5237</v>
      </c>
      <c r="O6836" s="29"/>
      <c r="P6836" s="29" t="s">
        <v>5238</v>
      </c>
      <c r="Q6836" t="s">
        <v>2040</v>
      </c>
      <c r="R6836" t="s">
        <v>2632</v>
      </c>
      <c r="S6836">
        <v>36</v>
      </c>
      <c r="T6836" s="43" t="str">
        <f t="shared" si="310"/>
        <v>2020.095B.R.Leviviricetes.zip</v>
      </c>
      <c r="U6836" s="43" t="str">
        <f>HYPERLINK("https://ictv.global/taxonomy/taxondetails?taxnode_id=202210725","ictv.global=202210725")</f>
        <v>ictv.global=202210725</v>
      </c>
    </row>
    <row r="6837" spans="1:21">
      <c r="A6837">
        <v>6836</v>
      </c>
      <c r="B6837" s="29" t="s">
        <v>3223</v>
      </c>
      <c r="C6837" s="29"/>
      <c r="D6837" s="29" t="s">
        <v>4156</v>
      </c>
      <c r="E6837" s="29"/>
      <c r="F6837" s="29" t="s">
        <v>4202</v>
      </c>
      <c r="G6837" s="29"/>
      <c r="H6837" s="29" t="s">
        <v>5205</v>
      </c>
      <c r="I6837" s="29"/>
      <c r="J6837" s="29" t="s">
        <v>5206</v>
      </c>
      <c r="K6837" s="29"/>
      <c r="L6837" s="29" t="s">
        <v>5207</v>
      </c>
      <c r="M6837" s="29"/>
      <c r="N6837" s="29" t="s">
        <v>5239</v>
      </c>
      <c r="O6837" s="29"/>
      <c r="P6837" s="29" t="s">
        <v>5240</v>
      </c>
      <c r="Q6837" t="s">
        <v>2040</v>
      </c>
      <c r="R6837" t="s">
        <v>2632</v>
      </c>
      <c r="S6837">
        <v>36</v>
      </c>
      <c r="T6837" s="43" t="str">
        <f t="shared" si="310"/>
        <v>2020.095B.R.Leviviricetes.zip</v>
      </c>
      <c r="U6837" s="43" t="str">
        <f>HYPERLINK("https://ictv.global/taxonomy/taxondetails?taxnode_id=202210727","ictv.global=202210727")</f>
        <v>ictv.global=202210727</v>
      </c>
    </row>
    <row r="6838" spans="1:21">
      <c r="A6838">
        <v>6837</v>
      </c>
      <c r="B6838" s="29" t="s">
        <v>3223</v>
      </c>
      <c r="C6838" s="29"/>
      <c r="D6838" s="29" t="s">
        <v>4156</v>
      </c>
      <c r="E6838" s="29"/>
      <c r="F6838" s="29" t="s">
        <v>4202</v>
      </c>
      <c r="G6838" s="29"/>
      <c r="H6838" s="29" t="s">
        <v>5205</v>
      </c>
      <c r="I6838" s="29"/>
      <c r="J6838" s="29" t="s">
        <v>5206</v>
      </c>
      <c r="K6838" s="29"/>
      <c r="L6838" s="29" t="s">
        <v>5207</v>
      </c>
      <c r="M6838" s="29"/>
      <c r="N6838" s="29" t="s">
        <v>5241</v>
      </c>
      <c r="O6838" s="29"/>
      <c r="P6838" s="29" t="s">
        <v>5242</v>
      </c>
      <c r="Q6838" t="s">
        <v>2040</v>
      </c>
      <c r="R6838" t="s">
        <v>2632</v>
      </c>
      <c r="S6838">
        <v>36</v>
      </c>
      <c r="T6838" s="43" t="str">
        <f t="shared" si="310"/>
        <v>2020.095B.R.Leviviricetes.zip</v>
      </c>
      <c r="U6838" s="43" t="str">
        <f>HYPERLINK("https://ictv.global/taxonomy/taxondetails?taxnode_id=202210729","ictv.global=202210729")</f>
        <v>ictv.global=202210729</v>
      </c>
    </row>
    <row r="6839" spans="1:21">
      <c r="A6839">
        <v>6838</v>
      </c>
      <c r="B6839" s="29" t="s">
        <v>3223</v>
      </c>
      <c r="C6839" s="29"/>
      <c r="D6839" s="29" t="s">
        <v>4156</v>
      </c>
      <c r="E6839" s="29"/>
      <c r="F6839" s="29" t="s">
        <v>4202</v>
      </c>
      <c r="G6839" s="29"/>
      <c r="H6839" s="29" t="s">
        <v>5205</v>
      </c>
      <c r="I6839" s="29"/>
      <c r="J6839" s="29" t="s">
        <v>5206</v>
      </c>
      <c r="K6839" s="29"/>
      <c r="L6839" s="29" t="s">
        <v>5207</v>
      </c>
      <c r="M6839" s="29"/>
      <c r="N6839" s="29" t="s">
        <v>5243</v>
      </c>
      <c r="O6839" s="29"/>
      <c r="P6839" s="29" t="s">
        <v>5244</v>
      </c>
      <c r="Q6839" t="s">
        <v>2040</v>
      </c>
      <c r="R6839" t="s">
        <v>2632</v>
      </c>
      <c r="S6839">
        <v>36</v>
      </c>
      <c r="T6839" s="43" t="str">
        <f t="shared" si="310"/>
        <v>2020.095B.R.Leviviricetes.zip</v>
      </c>
      <c r="U6839" s="43" t="str">
        <f>HYPERLINK("https://ictv.global/taxonomy/taxondetails?taxnode_id=202210731","ictv.global=202210731")</f>
        <v>ictv.global=202210731</v>
      </c>
    </row>
    <row r="6840" spans="1:21">
      <c r="A6840">
        <v>6839</v>
      </c>
      <c r="B6840" s="29" t="s">
        <v>3223</v>
      </c>
      <c r="C6840" s="29"/>
      <c r="D6840" s="29" t="s">
        <v>4156</v>
      </c>
      <c r="E6840" s="29"/>
      <c r="F6840" s="29" t="s">
        <v>4202</v>
      </c>
      <c r="G6840" s="29"/>
      <c r="H6840" s="29" t="s">
        <v>5205</v>
      </c>
      <c r="I6840" s="29"/>
      <c r="J6840" s="29" t="s">
        <v>5206</v>
      </c>
      <c r="K6840" s="29"/>
      <c r="L6840" s="29" t="s">
        <v>5207</v>
      </c>
      <c r="M6840" s="29"/>
      <c r="N6840" s="29" t="s">
        <v>5245</v>
      </c>
      <c r="O6840" s="29"/>
      <c r="P6840" s="29" t="s">
        <v>5246</v>
      </c>
      <c r="Q6840" t="s">
        <v>2040</v>
      </c>
      <c r="R6840" t="s">
        <v>2632</v>
      </c>
      <c r="S6840">
        <v>36</v>
      </c>
      <c r="T6840" s="43" t="str">
        <f t="shared" si="310"/>
        <v>2020.095B.R.Leviviricetes.zip</v>
      </c>
      <c r="U6840" s="43" t="str">
        <f>HYPERLINK("https://ictv.global/taxonomy/taxondetails?taxnode_id=202210733","ictv.global=202210733")</f>
        <v>ictv.global=202210733</v>
      </c>
    </row>
    <row r="6841" spans="1:21">
      <c r="A6841">
        <v>6840</v>
      </c>
      <c r="B6841" s="29" t="s">
        <v>3223</v>
      </c>
      <c r="C6841" s="29"/>
      <c r="D6841" s="29" t="s">
        <v>4156</v>
      </c>
      <c r="E6841" s="29"/>
      <c r="F6841" s="29" t="s">
        <v>4202</v>
      </c>
      <c r="G6841" s="29"/>
      <c r="H6841" s="29" t="s">
        <v>5205</v>
      </c>
      <c r="I6841" s="29"/>
      <c r="J6841" s="29" t="s">
        <v>5206</v>
      </c>
      <c r="K6841" s="29"/>
      <c r="L6841" s="29" t="s">
        <v>5207</v>
      </c>
      <c r="M6841" s="29"/>
      <c r="N6841" s="29" t="s">
        <v>5247</v>
      </c>
      <c r="O6841" s="29"/>
      <c r="P6841" s="29" t="s">
        <v>5248</v>
      </c>
      <c r="Q6841" t="s">
        <v>2040</v>
      </c>
      <c r="R6841" t="s">
        <v>2632</v>
      </c>
      <c r="S6841">
        <v>36</v>
      </c>
      <c r="T6841" s="43" t="str">
        <f t="shared" si="310"/>
        <v>2020.095B.R.Leviviricetes.zip</v>
      </c>
      <c r="U6841" s="43" t="str">
        <f>HYPERLINK("https://ictv.global/taxonomy/taxondetails?taxnode_id=202210735","ictv.global=202210735")</f>
        <v>ictv.global=202210735</v>
      </c>
    </row>
    <row r="6842" spans="1:21">
      <c r="A6842">
        <v>6841</v>
      </c>
      <c r="B6842" s="29" t="s">
        <v>3223</v>
      </c>
      <c r="C6842" s="29"/>
      <c r="D6842" s="29" t="s">
        <v>4156</v>
      </c>
      <c r="E6842" s="29"/>
      <c r="F6842" s="29" t="s">
        <v>4202</v>
      </c>
      <c r="G6842" s="29"/>
      <c r="H6842" s="29" t="s">
        <v>5205</v>
      </c>
      <c r="I6842" s="29"/>
      <c r="J6842" s="29" t="s">
        <v>5206</v>
      </c>
      <c r="K6842" s="29"/>
      <c r="L6842" s="29" t="s">
        <v>5207</v>
      </c>
      <c r="M6842" s="29"/>
      <c r="N6842" s="29" t="s">
        <v>5249</v>
      </c>
      <c r="O6842" s="29"/>
      <c r="P6842" s="29" t="s">
        <v>5250</v>
      </c>
      <c r="Q6842" t="s">
        <v>2040</v>
      </c>
      <c r="R6842" t="s">
        <v>2632</v>
      </c>
      <c r="S6842">
        <v>36</v>
      </c>
      <c r="T6842" s="43" t="str">
        <f t="shared" si="310"/>
        <v>2020.095B.R.Leviviricetes.zip</v>
      </c>
      <c r="U6842" s="43" t="str">
        <f>HYPERLINK("https://ictv.global/taxonomy/taxondetails?taxnode_id=202210737","ictv.global=202210737")</f>
        <v>ictv.global=202210737</v>
      </c>
    </row>
    <row r="6843" spans="1:21">
      <c r="A6843">
        <v>6842</v>
      </c>
      <c r="B6843" s="29" t="s">
        <v>3223</v>
      </c>
      <c r="C6843" s="29"/>
      <c r="D6843" s="29" t="s">
        <v>4156</v>
      </c>
      <c r="E6843" s="29"/>
      <c r="F6843" s="29" t="s">
        <v>4202</v>
      </c>
      <c r="G6843" s="29"/>
      <c r="H6843" s="29" t="s">
        <v>5205</v>
      </c>
      <c r="I6843" s="29"/>
      <c r="J6843" s="29" t="s">
        <v>5206</v>
      </c>
      <c r="K6843" s="29"/>
      <c r="L6843" s="29" t="s">
        <v>5207</v>
      </c>
      <c r="M6843" s="29"/>
      <c r="N6843" s="29" t="s">
        <v>5251</v>
      </c>
      <c r="O6843" s="29"/>
      <c r="P6843" s="29" t="s">
        <v>5252</v>
      </c>
      <c r="Q6843" t="s">
        <v>2040</v>
      </c>
      <c r="R6843" t="s">
        <v>2632</v>
      </c>
      <c r="S6843">
        <v>36</v>
      </c>
      <c r="T6843" s="43" t="str">
        <f t="shared" si="310"/>
        <v>2020.095B.R.Leviviricetes.zip</v>
      </c>
      <c r="U6843" s="43" t="str">
        <f>HYPERLINK("https://ictv.global/taxonomy/taxondetails?taxnode_id=202210740","ictv.global=202210740")</f>
        <v>ictv.global=202210740</v>
      </c>
    </row>
    <row r="6844" spans="1:21">
      <c r="A6844">
        <v>6843</v>
      </c>
      <c r="B6844" s="29" t="s">
        <v>3223</v>
      </c>
      <c r="C6844" s="29"/>
      <c r="D6844" s="29" t="s">
        <v>4156</v>
      </c>
      <c r="E6844" s="29"/>
      <c r="F6844" s="29" t="s">
        <v>4202</v>
      </c>
      <c r="G6844" s="29"/>
      <c r="H6844" s="29" t="s">
        <v>5205</v>
      </c>
      <c r="I6844" s="29"/>
      <c r="J6844" s="29" t="s">
        <v>5206</v>
      </c>
      <c r="K6844" s="29"/>
      <c r="L6844" s="29" t="s">
        <v>5207</v>
      </c>
      <c r="M6844" s="29"/>
      <c r="N6844" s="29" t="s">
        <v>5251</v>
      </c>
      <c r="O6844" s="29"/>
      <c r="P6844" s="29" t="s">
        <v>5253</v>
      </c>
      <c r="Q6844" t="s">
        <v>2040</v>
      </c>
      <c r="R6844" t="s">
        <v>2632</v>
      </c>
      <c r="S6844">
        <v>36</v>
      </c>
      <c r="T6844" s="43" t="str">
        <f t="shared" si="310"/>
        <v>2020.095B.R.Leviviricetes.zip</v>
      </c>
      <c r="U6844" s="43" t="str">
        <f>HYPERLINK("https://ictv.global/taxonomy/taxondetails?taxnode_id=202210741","ictv.global=202210741")</f>
        <v>ictv.global=202210741</v>
      </c>
    </row>
    <row r="6845" spans="1:21">
      <c r="A6845">
        <v>6844</v>
      </c>
      <c r="B6845" s="29" t="s">
        <v>3223</v>
      </c>
      <c r="C6845" s="29"/>
      <c r="D6845" s="29" t="s">
        <v>4156</v>
      </c>
      <c r="E6845" s="29"/>
      <c r="F6845" s="29" t="s">
        <v>4202</v>
      </c>
      <c r="G6845" s="29"/>
      <c r="H6845" s="29" t="s">
        <v>5205</v>
      </c>
      <c r="I6845" s="29"/>
      <c r="J6845" s="29" t="s">
        <v>5206</v>
      </c>
      <c r="K6845" s="29"/>
      <c r="L6845" s="29" t="s">
        <v>5207</v>
      </c>
      <c r="M6845" s="29"/>
      <c r="N6845" s="29" t="s">
        <v>5251</v>
      </c>
      <c r="O6845" s="29"/>
      <c r="P6845" s="29" t="s">
        <v>5254</v>
      </c>
      <c r="Q6845" t="s">
        <v>2040</v>
      </c>
      <c r="R6845" t="s">
        <v>2632</v>
      </c>
      <c r="S6845">
        <v>36</v>
      </c>
      <c r="T6845" s="43" t="str">
        <f t="shared" si="310"/>
        <v>2020.095B.R.Leviviricetes.zip</v>
      </c>
      <c r="U6845" s="43" t="str">
        <f>HYPERLINK("https://ictv.global/taxonomy/taxondetails?taxnode_id=202210743","ictv.global=202210743")</f>
        <v>ictv.global=202210743</v>
      </c>
    </row>
    <row r="6846" spans="1:21">
      <c r="A6846">
        <v>6845</v>
      </c>
      <c r="B6846" s="29" t="s">
        <v>3223</v>
      </c>
      <c r="C6846" s="29"/>
      <c r="D6846" s="29" t="s">
        <v>4156</v>
      </c>
      <c r="E6846" s="29"/>
      <c r="F6846" s="29" t="s">
        <v>4202</v>
      </c>
      <c r="G6846" s="29"/>
      <c r="H6846" s="29" t="s">
        <v>5205</v>
      </c>
      <c r="I6846" s="29"/>
      <c r="J6846" s="29" t="s">
        <v>5206</v>
      </c>
      <c r="K6846" s="29"/>
      <c r="L6846" s="29" t="s">
        <v>5207</v>
      </c>
      <c r="M6846" s="29"/>
      <c r="N6846" s="29" t="s">
        <v>5251</v>
      </c>
      <c r="O6846" s="29"/>
      <c r="P6846" s="29" t="s">
        <v>5255</v>
      </c>
      <c r="Q6846" t="s">
        <v>2040</v>
      </c>
      <c r="R6846" t="s">
        <v>2632</v>
      </c>
      <c r="S6846">
        <v>36</v>
      </c>
      <c r="T6846" s="43" t="str">
        <f t="shared" si="310"/>
        <v>2020.095B.R.Leviviricetes.zip</v>
      </c>
      <c r="U6846" s="43" t="str">
        <f>HYPERLINK("https://ictv.global/taxonomy/taxondetails?taxnode_id=202210742","ictv.global=202210742")</f>
        <v>ictv.global=202210742</v>
      </c>
    </row>
    <row r="6847" spans="1:21">
      <c r="A6847">
        <v>6846</v>
      </c>
      <c r="B6847" s="29" t="s">
        <v>3223</v>
      </c>
      <c r="C6847" s="29"/>
      <c r="D6847" s="29" t="s">
        <v>4156</v>
      </c>
      <c r="E6847" s="29"/>
      <c r="F6847" s="29" t="s">
        <v>4202</v>
      </c>
      <c r="G6847" s="29"/>
      <c r="H6847" s="29" t="s">
        <v>5205</v>
      </c>
      <c r="I6847" s="29"/>
      <c r="J6847" s="29" t="s">
        <v>5206</v>
      </c>
      <c r="K6847" s="29"/>
      <c r="L6847" s="29" t="s">
        <v>5207</v>
      </c>
      <c r="M6847" s="29"/>
      <c r="N6847" s="29" t="s">
        <v>5251</v>
      </c>
      <c r="O6847" s="29"/>
      <c r="P6847" s="29" t="s">
        <v>5256</v>
      </c>
      <c r="Q6847" t="s">
        <v>2040</v>
      </c>
      <c r="R6847" t="s">
        <v>2632</v>
      </c>
      <c r="S6847">
        <v>36</v>
      </c>
      <c r="T6847" s="43" t="str">
        <f t="shared" si="310"/>
        <v>2020.095B.R.Leviviricetes.zip</v>
      </c>
      <c r="U6847" s="43" t="str">
        <f>HYPERLINK("https://ictv.global/taxonomy/taxondetails?taxnode_id=202210739","ictv.global=202210739")</f>
        <v>ictv.global=202210739</v>
      </c>
    </row>
    <row r="6848" spans="1:21">
      <c r="A6848">
        <v>6847</v>
      </c>
      <c r="B6848" s="29" t="s">
        <v>3223</v>
      </c>
      <c r="C6848" s="29"/>
      <c r="D6848" s="29" t="s">
        <v>4156</v>
      </c>
      <c r="E6848" s="29"/>
      <c r="F6848" s="29" t="s">
        <v>4202</v>
      </c>
      <c r="G6848" s="29"/>
      <c r="H6848" s="29" t="s">
        <v>5205</v>
      </c>
      <c r="I6848" s="29"/>
      <c r="J6848" s="29" t="s">
        <v>5206</v>
      </c>
      <c r="K6848" s="29"/>
      <c r="L6848" s="29" t="s">
        <v>5207</v>
      </c>
      <c r="M6848" s="29"/>
      <c r="N6848" s="29" t="s">
        <v>5251</v>
      </c>
      <c r="O6848" s="29"/>
      <c r="P6848" s="29" t="s">
        <v>5257</v>
      </c>
      <c r="Q6848" t="s">
        <v>2040</v>
      </c>
      <c r="R6848" t="s">
        <v>2632</v>
      </c>
      <c r="S6848">
        <v>36</v>
      </c>
      <c r="T6848" s="43" t="str">
        <f t="shared" si="310"/>
        <v>2020.095B.R.Leviviricetes.zip</v>
      </c>
      <c r="U6848" s="43" t="str">
        <f>HYPERLINK("https://ictv.global/taxonomy/taxondetails?taxnode_id=202210744","ictv.global=202210744")</f>
        <v>ictv.global=202210744</v>
      </c>
    </row>
    <row r="6849" spans="1:21">
      <c r="A6849">
        <v>6848</v>
      </c>
      <c r="B6849" s="29" t="s">
        <v>3223</v>
      </c>
      <c r="C6849" s="29"/>
      <c r="D6849" s="29" t="s">
        <v>4156</v>
      </c>
      <c r="E6849" s="29"/>
      <c r="F6849" s="29" t="s">
        <v>4202</v>
      </c>
      <c r="G6849" s="29"/>
      <c r="H6849" s="29" t="s">
        <v>5205</v>
      </c>
      <c r="I6849" s="29"/>
      <c r="J6849" s="29" t="s">
        <v>5206</v>
      </c>
      <c r="K6849" s="29"/>
      <c r="L6849" s="29" t="s">
        <v>5207</v>
      </c>
      <c r="M6849" s="29"/>
      <c r="N6849" s="29" t="s">
        <v>5258</v>
      </c>
      <c r="O6849" s="29"/>
      <c r="P6849" s="29" t="s">
        <v>5259</v>
      </c>
      <c r="Q6849" t="s">
        <v>2040</v>
      </c>
      <c r="R6849" t="s">
        <v>2632</v>
      </c>
      <c r="S6849">
        <v>36</v>
      </c>
      <c r="T6849" s="43" t="str">
        <f t="shared" si="310"/>
        <v>2020.095B.R.Leviviricetes.zip</v>
      </c>
      <c r="U6849" s="43" t="str">
        <f>HYPERLINK("https://ictv.global/taxonomy/taxondetails?taxnode_id=202210746","ictv.global=202210746")</f>
        <v>ictv.global=202210746</v>
      </c>
    </row>
    <row r="6850" spans="1:21">
      <c r="A6850">
        <v>6849</v>
      </c>
      <c r="B6850" s="29" t="s">
        <v>3223</v>
      </c>
      <c r="C6850" s="29"/>
      <c r="D6850" s="29" t="s">
        <v>4156</v>
      </c>
      <c r="E6850" s="29"/>
      <c r="F6850" s="29" t="s">
        <v>4202</v>
      </c>
      <c r="G6850" s="29"/>
      <c r="H6850" s="29" t="s">
        <v>5205</v>
      </c>
      <c r="I6850" s="29"/>
      <c r="J6850" s="29" t="s">
        <v>5206</v>
      </c>
      <c r="K6850" s="29"/>
      <c r="L6850" s="29" t="s">
        <v>5207</v>
      </c>
      <c r="M6850" s="29"/>
      <c r="N6850" s="29" t="s">
        <v>5260</v>
      </c>
      <c r="O6850" s="29"/>
      <c r="P6850" s="29" t="s">
        <v>5261</v>
      </c>
      <c r="Q6850" t="s">
        <v>2040</v>
      </c>
      <c r="R6850" t="s">
        <v>2632</v>
      </c>
      <c r="S6850">
        <v>36</v>
      </c>
      <c r="T6850" s="43" t="str">
        <f t="shared" si="310"/>
        <v>2020.095B.R.Leviviricetes.zip</v>
      </c>
      <c r="U6850" s="43" t="str">
        <f>HYPERLINK("https://ictv.global/taxonomy/taxondetails?taxnode_id=202210748","ictv.global=202210748")</f>
        <v>ictv.global=202210748</v>
      </c>
    </row>
    <row r="6851" spans="1:21">
      <c r="A6851">
        <v>6850</v>
      </c>
      <c r="B6851" s="29" t="s">
        <v>3223</v>
      </c>
      <c r="C6851" s="29"/>
      <c r="D6851" s="29" t="s">
        <v>4156</v>
      </c>
      <c r="E6851" s="29"/>
      <c r="F6851" s="29" t="s">
        <v>4202</v>
      </c>
      <c r="G6851" s="29"/>
      <c r="H6851" s="29" t="s">
        <v>5205</v>
      </c>
      <c r="I6851" s="29"/>
      <c r="J6851" s="29" t="s">
        <v>5206</v>
      </c>
      <c r="K6851" s="29"/>
      <c r="L6851" s="29" t="s">
        <v>5207</v>
      </c>
      <c r="M6851" s="29"/>
      <c r="N6851" s="29" t="s">
        <v>5262</v>
      </c>
      <c r="O6851" s="29"/>
      <c r="P6851" s="29" t="s">
        <v>5263</v>
      </c>
      <c r="Q6851" t="s">
        <v>2040</v>
      </c>
      <c r="R6851" t="s">
        <v>2632</v>
      </c>
      <c r="S6851">
        <v>36</v>
      </c>
      <c r="T6851" s="43" t="str">
        <f t="shared" ref="T6851:T6882" si="311">HYPERLINK("https://ictv.global/ictv/proposals/2020.095B.R.Leviviricetes.zip","2020.095B.R.Leviviricetes.zip")</f>
        <v>2020.095B.R.Leviviricetes.zip</v>
      </c>
      <c r="U6851" s="43" t="str">
        <f>HYPERLINK("https://ictv.global/taxonomy/taxondetails?taxnode_id=202210750","ictv.global=202210750")</f>
        <v>ictv.global=202210750</v>
      </c>
    </row>
    <row r="6852" spans="1:21">
      <c r="A6852">
        <v>6851</v>
      </c>
      <c r="B6852" s="29" t="s">
        <v>3223</v>
      </c>
      <c r="C6852" s="29"/>
      <c r="D6852" s="29" t="s">
        <v>4156</v>
      </c>
      <c r="E6852" s="29"/>
      <c r="F6852" s="29" t="s">
        <v>4202</v>
      </c>
      <c r="G6852" s="29"/>
      <c r="H6852" s="29" t="s">
        <v>5205</v>
      </c>
      <c r="I6852" s="29"/>
      <c r="J6852" s="29" t="s">
        <v>5206</v>
      </c>
      <c r="K6852" s="29"/>
      <c r="L6852" s="29" t="s">
        <v>5207</v>
      </c>
      <c r="M6852" s="29"/>
      <c r="N6852" s="29" t="s">
        <v>5264</v>
      </c>
      <c r="O6852" s="29"/>
      <c r="P6852" s="29" t="s">
        <v>5265</v>
      </c>
      <c r="Q6852" t="s">
        <v>2040</v>
      </c>
      <c r="R6852" t="s">
        <v>2632</v>
      </c>
      <c r="S6852">
        <v>36</v>
      </c>
      <c r="T6852" s="43" t="str">
        <f t="shared" si="311"/>
        <v>2020.095B.R.Leviviricetes.zip</v>
      </c>
      <c r="U6852" s="43" t="str">
        <f>HYPERLINK("https://ictv.global/taxonomy/taxondetails?taxnode_id=202210752","ictv.global=202210752")</f>
        <v>ictv.global=202210752</v>
      </c>
    </row>
    <row r="6853" spans="1:21">
      <c r="A6853">
        <v>6852</v>
      </c>
      <c r="B6853" s="29" t="s">
        <v>3223</v>
      </c>
      <c r="C6853" s="29"/>
      <c r="D6853" s="29" t="s">
        <v>4156</v>
      </c>
      <c r="E6853" s="29"/>
      <c r="F6853" s="29" t="s">
        <v>4202</v>
      </c>
      <c r="G6853" s="29"/>
      <c r="H6853" s="29" t="s">
        <v>5205</v>
      </c>
      <c r="I6853" s="29"/>
      <c r="J6853" s="29" t="s">
        <v>5206</v>
      </c>
      <c r="K6853" s="29"/>
      <c r="L6853" s="29" t="s">
        <v>5207</v>
      </c>
      <c r="M6853" s="29"/>
      <c r="N6853" s="29" t="s">
        <v>5266</v>
      </c>
      <c r="O6853" s="29"/>
      <c r="P6853" s="29" t="s">
        <v>5267</v>
      </c>
      <c r="Q6853" t="s">
        <v>2040</v>
      </c>
      <c r="R6853" t="s">
        <v>2632</v>
      </c>
      <c r="S6853">
        <v>36</v>
      </c>
      <c r="T6853" s="43" t="str">
        <f t="shared" si="311"/>
        <v>2020.095B.R.Leviviricetes.zip</v>
      </c>
      <c r="U6853" s="43" t="str">
        <f>HYPERLINK("https://ictv.global/taxonomy/taxondetails?taxnode_id=202210754","ictv.global=202210754")</f>
        <v>ictv.global=202210754</v>
      </c>
    </row>
    <row r="6854" spans="1:21">
      <c r="A6854">
        <v>6853</v>
      </c>
      <c r="B6854" s="29" t="s">
        <v>3223</v>
      </c>
      <c r="C6854" s="29"/>
      <c r="D6854" s="29" t="s">
        <v>4156</v>
      </c>
      <c r="E6854" s="29"/>
      <c r="F6854" s="29" t="s">
        <v>4202</v>
      </c>
      <c r="G6854" s="29"/>
      <c r="H6854" s="29" t="s">
        <v>5205</v>
      </c>
      <c r="I6854" s="29"/>
      <c r="J6854" s="29" t="s">
        <v>5206</v>
      </c>
      <c r="K6854" s="29"/>
      <c r="L6854" s="29" t="s">
        <v>5207</v>
      </c>
      <c r="M6854" s="29"/>
      <c r="N6854" s="29" t="s">
        <v>5268</v>
      </c>
      <c r="O6854" s="29"/>
      <c r="P6854" s="29" t="s">
        <v>5269</v>
      </c>
      <c r="Q6854" t="s">
        <v>2040</v>
      </c>
      <c r="R6854" t="s">
        <v>2632</v>
      </c>
      <c r="S6854">
        <v>36</v>
      </c>
      <c r="T6854" s="43" t="str">
        <f t="shared" si="311"/>
        <v>2020.095B.R.Leviviricetes.zip</v>
      </c>
      <c r="U6854" s="43" t="str">
        <f>HYPERLINK("https://ictv.global/taxonomy/taxondetails?taxnode_id=202210756","ictv.global=202210756")</f>
        <v>ictv.global=202210756</v>
      </c>
    </row>
    <row r="6855" spans="1:21">
      <c r="A6855">
        <v>6854</v>
      </c>
      <c r="B6855" s="29" t="s">
        <v>3223</v>
      </c>
      <c r="C6855" s="29"/>
      <c r="D6855" s="29" t="s">
        <v>4156</v>
      </c>
      <c r="E6855" s="29"/>
      <c r="F6855" s="29" t="s">
        <v>4202</v>
      </c>
      <c r="G6855" s="29"/>
      <c r="H6855" s="29" t="s">
        <v>5205</v>
      </c>
      <c r="I6855" s="29"/>
      <c r="J6855" s="29" t="s">
        <v>5206</v>
      </c>
      <c r="K6855" s="29"/>
      <c r="L6855" s="29" t="s">
        <v>5207</v>
      </c>
      <c r="M6855" s="29"/>
      <c r="N6855" s="29" t="s">
        <v>5270</v>
      </c>
      <c r="O6855" s="29"/>
      <c r="P6855" s="29" t="s">
        <v>5271</v>
      </c>
      <c r="Q6855" t="s">
        <v>2040</v>
      </c>
      <c r="R6855" t="s">
        <v>2632</v>
      </c>
      <c r="S6855">
        <v>36</v>
      </c>
      <c r="T6855" s="43" t="str">
        <f t="shared" si="311"/>
        <v>2020.095B.R.Leviviricetes.zip</v>
      </c>
      <c r="U6855" s="43" t="str">
        <f>HYPERLINK("https://ictv.global/taxonomy/taxondetails?taxnode_id=202210758","ictv.global=202210758")</f>
        <v>ictv.global=202210758</v>
      </c>
    </row>
    <row r="6856" spans="1:21">
      <c r="A6856">
        <v>6855</v>
      </c>
      <c r="B6856" s="29" t="s">
        <v>3223</v>
      </c>
      <c r="C6856" s="29"/>
      <c r="D6856" s="29" t="s">
        <v>4156</v>
      </c>
      <c r="E6856" s="29"/>
      <c r="F6856" s="29" t="s">
        <v>4202</v>
      </c>
      <c r="G6856" s="29"/>
      <c r="H6856" s="29" t="s">
        <v>5205</v>
      </c>
      <c r="I6856" s="29"/>
      <c r="J6856" s="29" t="s">
        <v>5206</v>
      </c>
      <c r="K6856" s="29"/>
      <c r="L6856" s="29" t="s">
        <v>5207</v>
      </c>
      <c r="M6856" s="29"/>
      <c r="N6856" s="29" t="s">
        <v>5272</v>
      </c>
      <c r="O6856" s="29"/>
      <c r="P6856" s="29" t="s">
        <v>5273</v>
      </c>
      <c r="Q6856" t="s">
        <v>2040</v>
      </c>
      <c r="R6856" t="s">
        <v>2632</v>
      </c>
      <c r="S6856">
        <v>36</v>
      </c>
      <c r="T6856" s="43" t="str">
        <f t="shared" si="311"/>
        <v>2020.095B.R.Leviviricetes.zip</v>
      </c>
      <c r="U6856" s="43" t="str">
        <f>HYPERLINK("https://ictv.global/taxonomy/taxondetails?taxnode_id=202210760","ictv.global=202210760")</f>
        <v>ictv.global=202210760</v>
      </c>
    </row>
    <row r="6857" spans="1:21">
      <c r="A6857">
        <v>6856</v>
      </c>
      <c r="B6857" s="29" t="s">
        <v>3223</v>
      </c>
      <c r="C6857" s="29"/>
      <c r="D6857" s="29" t="s">
        <v>4156</v>
      </c>
      <c r="E6857" s="29"/>
      <c r="F6857" s="29" t="s">
        <v>4202</v>
      </c>
      <c r="G6857" s="29"/>
      <c r="H6857" s="29" t="s">
        <v>5205</v>
      </c>
      <c r="I6857" s="29"/>
      <c r="J6857" s="29" t="s">
        <v>5206</v>
      </c>
      <c r="K6857" s="29"/>
      <c r="L6857" s="29" t="s">
        <v>5207</v>
      </c>
      <c r="M6857" s="29"/>
      <c r="N6857" s="29" t="s">
        <v>5274</v>
      </c>
      <c r="O6857" s="29"/>
      <c r="P6857" s="29" t="s">
        <v>5275</v>
      </c>
      <c r="Q6857" t="s">
        <v>2040</v>
      </c>
      <c r="R6857" t="s">
        <v>2632</v>
      </c>
      <c r="S6857">
        <v>36</v>
      </c>
      <c r="T6857" s="43" t="str">
        <f t="shared" si="311"/>
        <v>2020.095B.R.Leviviricetes.zip</v>
      </c>
      <c r="U6857" s="43" t="str">
        <f>HYPERLINK("https://ictv.global/taxonomy/taxondetails?taxnode_id=202210762","ictv.global=202210762")</f>
        <v>ictv.global=202210762</v>
      </c>
    </row>
    <row r="6858" spans="1:21">
      <c r="A6858">
        <v>6857</v>
      </c>
      <c r="B6858" s="29" t="s">
        <v>3223</v>
      </c>
      <c r="C6858" s="29"/>
      <c r="D6858" s="29" t="s">
        <v>4156</v>
      </c>
      <c r="E6858" s="29"/>
      <c r="F6858" s="29" t="s">
        <v>4202</v>
      </c>
      <c r="G6858" s="29"/>
      <c r="H6858" s="29" t="s">
        <v>5205</v>
      </c>
      <c r="I6858" s="29"/>
      <c r="J6858" s="29" t="s">
        <v>5206</v>
      </c>
      <c r="K6858" s="29"/>
      <c r="L6858" s="29" t="s">
        <v>5207</v>
      </c>
      <c r="M6858" s="29"/>
      <c r="N6858" s="29" t="s">
        <v>5276</v>
      </c>
      <c r="O6858" s="29"/>
      <c r="P6858" s="29" t="s">
        <v>5277</v>
      </c>
      <c r="Q6858" t="s">
        <v>2040</v>
      </c>
      <c r="R6858" t="s">
        <v>2632</v>
      </c>
      <c r="S6858">
        <v>36</v>
      </c>
      <c r="T6858" s="43" t="str">
        <f t="shared" si="311"/>
        <v>2020.095B.R.Leviviricetes.zip</v>
      </c>
      <c r="U6858" s="43" t="str">
        <f>HYPERLINK("https://ictv.global/taxonomy/taxondetails?taxnode_id=202210765","ictv.global=202210765")</f>
        <v>ictv.global=202210765</v>
      </c>
    </row>
    <row r="6859" spans="1:21">
      <c r="A6859">
        <v>6858</v>
      </c>
      <c r="B6859" s="29" t="s">
        <v>3223</v>
      </c>
      <c r="C6859" s="29"/>
      <c r="D6859" s="29" t="s">
        <v>4156</v>
      </c>
      <c r="E6859" s="29"/>
      <c r="F6859" s="29" t="s">
        <v>4202</v>
      </c>
      <c r="G6859" s="29"/>
      <c r="H6859" s="29" t="s">
        <v>5205</v>
      </c>
      <c r="I6859" s="29"/>
      <c r="J6859" s="29" t="s">
        <v>5206</v>
      </c>
      <c r="K6859" s="29"/>
      <c r="L6859" s="29" t="s">
        <v>5207</v>
      </c>
      <c r="M6859" s="29"/>
      <c r="N6859" s="29" t="s">
        <v>5276</v>
      </c>
      <c r="O6859" s="29"/>
      <c r="P6859" s="29" t="s">
        <v>5278</v>
      </c>
      <c r="Q6859" t="s">
        <v>2040</v>
      </c>
      <c r="R6859" t="s">
        <v>2632</v>
      </c>
      <c r="S6859">
        <v>36</v>
      </c>
      <c r="T6859" s="43" t="str">
        <f t="shared" si="311"/>
        <v>2020.095B.R.Leviviricetes.zip</v>
      </c>
      <c r="U6859" s="43" t="str">
        <f>HYPERLINK("https://ictv.global/taxonomy/taxondetails?taxnode_id=202210766","ictv.global=202210766")</f>
        <v>ictv.global=202210766</v>
      </c>
    </row>
    <row r="6860" spans="1:21">
      <c r="A6860">
        <v>6859</v>
      </c>
      <c r="B6860" s="29" t="s">
        <v>3223</v>
      </c>
      <c r="C6860" s="29"/>
      <c r="D6860" s="29" t="s">
        <v>4156</v>
      </c>
      <c r="E6860" s="29"/>
      <c r="F6860" s="29" t="s">
        <v>4202</v>
      </c>
      <c r="G6860" s="29"/>
      <c r="H6860" s="29" t="s">
        <v>5205</v>
      </c>
      <c r="I6860" s="29"/>
      <c r="J6860" s="29" t="s">
        <v>5206</v>
      </c>
      <c r="K6860" s="29"/>
      <c r="L6860" s="29" t="s">
        <v>5207</v>
      </c>
      <c r="M6860" s="29"/>
      <c r="N6860" s="29" t="s">
        <v>5276</v>
      </c>
      <c r="O6860" s="29"/>
      <c r="P6860" s="29" t="s">
        <v>5279</v>
      </c>
      <c r="Q6860" t="s">
        <v>2040</v>
      </c>
      <c r="R6860" t="s">
        <v>2632</v>
      </c>
      <c r="S6860">
        <v>36</v>
      </c>
      <c r="T6860" s="43" t="str">
        <f t="shared" si="311"/>
        <v>2020.095B.R.Leviviricetes.zip</v>
      </c>
      <c r="U6860" s="43" t="str">
        <f>HYPERLINK("https://ictv.global/taxonomy/taxondetails?taxnode_id=202210767","ictv.global=202210767")</f>
        <v>ictv.global=202210767</v>
      </c>
    </row>
    <row r="6861" spans="1:21">
      <c r="A6861">
        <v>6860</v>
      </c>
      <c r="B6861" s="29" t="s">
        <v>3223</v>
      </c>
      <c r="C6861" s="29"/>
      <c r="D6861" s="29" t="s">
        <v>4156</v>
      </c>
      <c r="E6861" s="29"/>
      <c r="F6861" s="29" t="s">
        <v>4202</v>
      </c>
      <c r="G6861" s="29"/>
      <c r="H6861" s="29" t="s">
        <v>5205</v>
      </c>
      <c r="I6861" s="29"/>
      <c r="J6861" s="29" t="s">
        <v>5206</v>
      </c>
      <c r="K6861" s="29"/>
      <c r="L6861" s="29" t="s">
        <v>5207</v>
      </c>
      <c r="M6861" s="29"/>
      <c r="N6861" s="29" t="s">
        <v>5276</v>
      </c>
      <c r="O6861" s="29"/>
      <c r="P6861" s="29" t="s">
        <v>5280</v>
      </c>
      <c r="Q6861" t="s">
        <v>2040</v>
      </c>
      <c r="R6861" t="s">
        <v>2632</v>
      </c>
      <c r="S6861">
        <v>36</v>
      </c>
      <c r="T6861" s="43" t="str">
        <f t="shared" si="311"/>
        <v>2020.095B.R.Leviviricetes.zip</v>
      </c>
      <c r="U6861" s="43" t="str">
        <f>HYPERLINK("https://ictv.global/taxonomy/taxondetails?taxnode_id=202210768","ictv.global=202210768")</f>
        <v>ictv.global=202210768</v>
      </c>
    </row>
    <row r="6862" spans="1:21">
      <c r="A6862">
        <v>6861</v>
      </c>
      <c r="B6862" s="29" t="s">
        <v>3223</v>
      </c>
      <c r="C6862" s="29"/>
      <c r="D6862" s="29" t="s">
        <v>4156</v>
      </c>
      <c r="E6862" s="29"/>
      <c r="F6862" s="29" t="s">
        <v>4202</v>
      </c>
      <c r="G6862" s="29"/>
      <c r="H6862" s="29" t="s">
        <v>5205</v>
      </c>
      <c r="I6862" s="29"/>
      <c r="J6862" s="29" t="s">
        <v>5206</v>
      </c>
      <c r="K6862" s="29"/>
      <c r="L6862" s="29" t="s">
        <v>5207</v>
      </c>
      <c r="M6862" s="29"/>
      <c r="N6862" s="29" t="s">
        <v>5276</v>
      </c>
      <c r="O6862" s="29"/>
      <c r="P6862" s="29" t="s">
        <v>5281</v>
      </c>
      <c r="Q6862" t="s">
        <v>2040</v>
      </c>
      <c r="R6862" t="s">
        <v>2632</v>
      </c>
      <c r="S6862">
        <v>36</v>
      </c>
      <c r="T6862" s="43" t="str">
        <f t="shared" si="311"/>
        <v>2020.095B.R.Leviviricetes.zip</v>
      </c>
      <c r="U6862" s="43" t="str">
        <f>HYPERLINK("https://ictv.global/taxonomy/taxondetails?taxnode_id=202210764","ictv.global=202210764")</f>
        <v>ictv.global=202210764</v>
      </c>
    </row>
    <row r="6863" spans="1:21">
      <c r="A6863">
        <v>6862</v>
      </c>
      <c r="B6863" s="29" t="s">
        <v>3223</v>
      </c>
      <c r="C6863" s="29"/>
      <c r="D6863" s="29" t="s">
        <v>4156</v>
      </c>
      <c r="E6863" s="29"/>
      <c r="F6863" s="29" t="s">
        <v>4202</v>
      </c>
      <c r="G6863" s="29"/>
      <c r="H6863" s="29" t="s">
        <v>5205</v>
      </c>
      <c r="I6863" s="29"/>
      <c r="J6863" s="29" t="s">
        <v>5206</v>
      </c>
      <c r="K6863" s="29"/>
      <c r="L6863" s="29" t="s">
        <v>5207</v>
      </c>
      <c r="M6863" s="29"/>
      <c r="N6863" s="29" t="s">
        <v>5282</v>
      </c>
      <c r="O6863" s="29"/>
      <c r="P6863" s="29" t="s">
        <v>5283</v>
      </c>
      <c r="Q6863" t="s">
        <v>2040</v>
      </c>
      <c r="R6863" t="s">
        <v>2632</v>
      </c>
      <c r="S6863">
        <v>36</v>
      </c>
      <c r="T6863" s="43" t="str">
        <f t="shared" si="311"/>
        <v>2020.095B.R.Leviviricetes.zip</v>
      </c>
      <c r="U6863" s="43" t="str">
        <f>HYPERLINK("https://ictv.global/taxonomy/taxondetails?taxnode_id=202210773","ictv.global=202210773")</f>
        <v>ictv.global=202210773</v>
      </c>
    </row>
    <row r="6864" spans="1:21">
      <c r="A6864">
        <v>6863</v>
      </c>
      <c r="B6864" s="29" t="s">
        <v>3223</v>
      </c>
      <c r="C6864" s="29"/>
      <c r="D6864" s="29" t="s">
        <v>4156</v>
      </c>
      <c r="E6864" s="29"/>
      <c r="F6864" s="29" t="s">
        <v>4202</v>
      </c>
      <c r="G6864" s="29"/>
      <c r="H6864" s="29" t="s">
        <v>5205</v>
      </c>
      <c r="I6864" s="29"/>
      <c r="J6864" s="29" t="s">
        <v>5206</v>
      </c>
      <c r="K6864" s="29"/>
      <c r="L6864" s="29" t="s">
        <v>5207</v>
      </c>
      <c r="M6864" s="29"/>
      <c r="N6864" s="29" t="s">
        <v>5282</v>
      </c>
      <c r="O6864" s="29"/>
      <c r="P6864" s="29" t="s">
        <v>5284</v>
      </c>
      <c r="Q6864" t="s">
        <v>2040</v>
      </c>
      <c r="R6864" t="s">
        <v>2632</v>
      </c>
      <c r="S6864">
        <v>36</v>
      </c>
      <c r="T6864" s="43" t="str">
        <f t="shared" si="311"/>
        <v>2020.095B.R.Leviviricetes.zip</v>
      </c>
      <c r="U6864" s="43" t="str">
        <f>HYPERLINK("https://ictv.global/taxonomy/taxondetails?taxnode_id=202210774","ictv.global=202210774")</f>
        <v>ictv.global=202210774</v>
      </c>
    </row>
    <row r="6865" spans="1:21">
      <c r="A6865">
        <v>6864</v>
      </c>
      <c r="B6865" s="29" t="s">
        <v>3223</v>
      </c>
      <c r="C6865" s="29"/>
      <c r="D6865" s="29" t="s">
        <v>4156</v>
      </c>
      <c r="E6865" s="29"/>
      <c r="F6865" s="29" t="s">
        <v>4202</v>
      </c>
      <c r="G6865" s="29"/>
      <c r="H6865" s="29" t="s">
        <v>5205</v>
      </c>
      <c r="I6865" s="29"/>
      <c r="J6865" s="29" t="s">
        <v>5206</v>
      </c>
      <c r="K6865" s="29"/>
      <c r="L6865" s="29" t="s">
        <v>5207</v>
      </c>
      <c r="M6865" s="29"/>
      <c r="N6865" s="29" t="s">
        <v>5282</v>
      </c>
      <c r="O6865" s="29"/>
      <c r="P6865" s="29" t="s">
        <v>5285</v>
      </c>
      <c r="Q6865" t="s">
        <v>2040</v>
      </c>
      <c r="R6865" t="s">
        <v>2632</v>
      </c>
      <c r="S6865">
        <v>36</v>
      </c>
      <c r="T6865" s="43" t="str">
        <f t="shared" si="311"/>
        <v>2020.095B.R.Leviviricetes.zip</v>
      </c>
      <c r="U6865" s="43" t="str">
        <f>HYPERLINK("https://ictv.global/taxonomy/taxondetails?taxnode_id=202210770","ictv.global=202210770")</f>
        <v>ictv.global=202210770</v>
      </c>
    </row>
    <row r="6866" spans="1:21">
      <c r="A6866">
        <v>6865</v>
      </c>
      <c r="B6866" s="29" t="s">
        <v>3223</v>
      </c>
      <c r="C6866" s="29"/>
      <c r="D6866" s="29" t="s">
        <v>4156</v>
      </c>
      <c r="E6866" s="29"/>
      <c r="F6866" s="29" t="s">
        <v>4202</v>
      </c>
      <c r="G6866" s="29"/>
      <c r="H6866" s="29" t="s">
        <v>5205</v>
      </c>
      <c r="I6866" s="29"/>
      <c r="J6866" s="29" t="s">
        <v>5206</v>
      </c>
      <c r="K6866" s="29"/>
      <c r="L6866" s="29" t="s">
        <v>5207</v>
      </c>
      <c r="M6866" s="29"/>
      <c r="N6866" s="29" t="s">
        <v>5282</v>
      </c>
      <c r="O6866" s="29"/>
      <c r="P6866" s="29" t="s">
        <v>5286</v>
      </c>
      <c r="Q6866" t="s">
        <v>2040</v>
      </c>
      <c r="R6866" t="s">
        <v>2632</v>
      </c>
      <c r="S6866">
        <v>36</v>
      </c>
      <c r="T6866" s="43" t="str">
        <f t="shared" si="311"/>
        <v>2020.095B.R.Leviviricetes.zip</v>
      </c>
      <c r="U6866" s="43" t="str">
        <f>HYPERLINK("https://ictv.global/taxonomy/taxondetails?taxnode_id=202210771","ictv.global=202210771")</f>
        <v>ictv.global=202210771</v>
      </c>
    </row>
    <row r="6867" spans="1:21">
      <c r="A6867">
        <v>6866</v>
      </c>
      <c r="B6867" s="29" t="s">
        <v>3223</v>
      </c>
      <c r="C6867" s="29"/>
      <c r="D6867" s="29" t="s">
        <v>4156</v>
      </c>
      <c r="E6867" s="29"/>
      <c r="F6867" s="29" t="s">
        <v>4202</v>
      </c>
      <c r="G6867" s="29"/>
      <c r="H6867" s="29" t="s">
        <v>5205</v>
      </c>
      <c r="I6867" s="29"/>
      <c r="J6867" s="29" t="s">
        <v>5206</v>
      </c>
      <c r="K6867" s="29"/>
      <c r="L6867" s="29" t="s">
        <v>5207</v>
      </c>
      <c r="M6867" s="29"/>
      <c r="N6867" s="29" t="s">
        <v>5282</v>
      </c>
      <c r="O6867" s="29"/>
      <c r="P6867" s="29" t="s">
        <v>5287</v>
      </c>
      <c r="Q6867" t="s">
        <v>2040</v>
      </c>
      <c r="R6867" t="s">
        <v>2632</v>
      </c>
      <c r="S6867">
        <v>36</v>
      </c>
      <c r="T6867" s="43" t="str">
        <f t="shared" si="311"/>
        <v>2020.095B.R.Leviviricetes.zip</v>
      </c>
      <c r="U6867" s="43" t="str">
        <f>HYPERLINK("https://ictv.global/taxonomy/taxondetails?taxnode_id=202210772","ictv.global=202210772")</f>
        <v>ictv.global=202210772</v>
      </c>
    </row>
    <row r="6868" spans="1:21">
      <c r="A6868">
        <v>6867</v>
      </c>
      <c r="B6868" s="29" t="s">
        <v>3223</v>
      </c>
      <c r="C6868" s="29"/>
      <c r="D6868" s="29" t="s">
        <v>4156</v>
      </c>
      <c r="E6868" s="29"/>
      <c r="F6868" s="29" t="s">
        <v>4202</v>
      </c>
      <c r="G6868" s="29"/>
      <c r="H6868" s="29" t="s">
        <v>5205</v>
      </c>
      <c r="I6868" s="29"/>
      <c r="J6868" s="29" t="s">
        <v>5206</v>
      </c>
      <c r="K6868" s="29"/>
      <c r="L6868" s="29" t="s">
        <v>5207</v>
      </c>
      <c r="M6868" s="29"/>
      <c r="N6868" s="29" t="s">
        <v>5288</v>
      </c>
      <c r="O6868" s="29"/>
      <c r="P6868" s="29" t="s">
        <v>5289</v>
      </c>
      <c r="Q6868" t="s">
        <v>2040</v>
      </c>
      <c r="R6868" t="s">
        <v>2632</v>
      </c>
      <c r="S6868">
        <v>36</v>
      </c>
      <c r="T6868" s="43" t="str">
        <f t="shared" si="311"/>
        <v>2020.095B.R.Leviviricetes.zip</v>
      </c>
      <c r="U6868" s="43" t="str">
        <f>HYPERLINK("https://ictv.global/taxonomy/taxondetails?taxnode_id=202210776","ictv.global=202210776")</f>
        <v>ictv.global=202210776</v>
      </c>
    </row>
    <row r="6869" spans="1:21">
      <c r="A6869">
        <v>6868</v>
      </c>
      <c r="B6869" s="29" t="s">
        <v>3223</v>
      </c>
      <c r="C6869" s="29"/>
      <c r="D6869" s="29" t="s">
        <v>4156</v>
      </c>
      <c r="E6869" s="29"/>
      <c r="F6869" s="29" t="s">
        <v>4202</v>
      </c>
      <c r="G6869" s="29"/>
      <c r="H6869" s="29" t="s">
        <v>5205</v>
      </c>
      <c r="I6869" s="29"/>
      <c r="J6869" s="29" t="s">
        <v>5206</v>
      </c>
      <c r="K6869" s="29"/>
      <c r="L6869" s="29" t="s">
        <v>5207</v>
      </c>
      <c r="M6869" s="29"/>
      <c r="N6869" s="29" t="s">
        <v>5290</v>
      </c>
      <c r="O6869" s="29"/>
      <c r="P6869" s="29" t="s">
        <v>5291</v>
      </c>
      <c r="Q6869" t="s">
        <v>2040</v>
      </c>
      <c r="R6869" t="s">
        <v>2632</v>
      </c>
      <c r="S6869">
        <v>36</v>
      </c>
      <c r="T6869" s="43" t="str">
        <f t="shared" si="311"/>
        <v>2020.095B.R.Leviviricetes.zip</v>
      </c>
      <c r="U6869" s="43" t="str">
        <f>HYPERLINK("https://ictv.global/taxonomy/taxondetails?taxnode_id=202210778","ictv.global=202210778")</f>
        <v>ictv.global=202210778</v>
      </c>
    </row>
    <row r="6870" spans="1:21">
      <c r="A6870">
        <v>6869</v>
      </c>
      <c r="B6870" s="29" t="s">
        <v>3223</v>
      </c>
      <c r="C6870" s="29"/>
      <c r="D6870" s="29" t="s">
        <v>4156</v>
      </c>
      <c r="E6870" s="29"/>
      <c r="F6870" s="29" t="s">
        <v>4202</v>
      </c>
      <c r="G6870" s="29"/>
      <c r="H6870" s="29" t="s">
        <v>5205</v>
      </c>
      <c r="I6870" s="29"/>
      <c r="J6870" s="29" t="s">
        <v>5206</v>
      </c>
      <c r="K6870" s="29"/>
      <c r="L6870" s="29" t="s">
        <v>5207</v>
      </c>
      <c r="M6870" s="29"/>
      <c r="N6870" s="29" t="s">
        <v>5292</v>
      </c>
      <c r="O6870" s="29"/>
      <c r="P6870" s="29" t="s">
        <v>5293</v>
      </c>
      <c r="Q6870" t="s">
        <v>2040</v>
      </c>
      <c r="R6870" t="s">
        <v>2632</v>
      </c>
      <c r="S6870">
        <v>36</v>
      </c>
      <c r="T6870" s="43" t="str">
        <f t="shared" si="311"/>
        <v>2020.095B.R.Leviviricetes.zip</v>
      </c>
      <c r="U6870" s="43" t="str">
        <f>HYPERLINK("https://ictv.global/taxonomy/taxondetails?taxnode_id=202210780","ictv.global=202210780")</f>
        <v>ictv.global=202210780</v>
      </c>
    </row>
    <row r="6871" spans="1:21">
      <c r="A6871">
        <v>6870</v>
      </c>
      <c r="B6871" s="29" t="s">
        <v>3223</v>
      </c>
      <c r="C6871" s="29"/>
      <c r="D6871" s="29" t="s">
        <v>4156</v>
      </c>
      <c r="E6871" s="29"/>
      <c r="F6871" s="29" t="s">
        <v>4202</v>
      </c>
      <c r="G6871" s="29"/>
      <c r="H6871" s="29" t="s">
        <v>5205</v>
      </c>
      <c r="I6871" s="29"/>
      <c r="J6871" s="29" t="s">
        <v>5206</v>
      </c>
      <c r="K6871" s="29"/>
      <c r="L6871" s="29" t="s">
        <v>5207</v>
      </c>
      <c r="M6871" s="29"/>
      <c r="N6871" s="29" t="s">
        <v>5294</v>
      </c>
      <c r="O6871" s="29"/>
      <c r="P6871" s="29" t="s">
        <v>5295</v>
      </c>
      <c r="Q6871" t="s">
        <v>2040</v>
      </c>
      <c r="R6871" t="s">
        <v>2632</v>
      </c>
      <c r="S6871">
        <v>36</v>
      </c>
      <c r="T6871" s="43" t="str">
        <f t="shared" si="311"/>
        <v>2020.095B.R.Leviviricetes.zip</v>
      </c>
      <c r="U6871" s="43" t="str">
        <f>HYPERLINK("https://ictv.global/taxonomy/taxondetails?taxnode_id=202210782","ictv.global=202210782")</f>
        <v>ictv.global=202210782</v>
      </c>
    </row>
    <row r="6872" spans="1:21">
      <c r="A6872">
        <v>6871</v>
      </c>
      <c r="B6872" s="29" t="s">
        <v>3223</v>
      </c>
      <c r="C6872" s="29"/>
      <c r="D6872" s="29" t="s">
        <v>4156</v>
      </c>
      <c r="E6872" s="29"/>
      <c r="F6872" s="29" t="s">
        <v>4202</v>
      </c>
      <c r="G6872" s="29"/>
      <c r="H6872" s="29" t="s">
        <v>5205</v>
      </c>
      <c r="I6872" s="29"/>
      <c r="J6872" s="29" t="s">
        <v>5206</v>
      </c>
      <c r="K6872" s="29"/>
      <c r="L6872" s="29" t="s">
        <v>5207</v>
      </c>
      <c r="M6872" s="29"/>
      <c r="N6872" s="29" t="s">
        <v>5296</v>
      </c>
      <c r="O6872" s="29"/>
      <c r="P6872" s="29" t="s">
        <v>5297</v>
      </c>
      <c r="Q6872" t="s">
        <v>2040</v>
      </c>
      <c r="R6872" t="s">
        <v>2632</v>
      </c>
      <c r="S6872">
        <v>36</v>
      </c>
      <c r="T6872" s="43" t="str">
        <f t="shared" si="311"/>
        <v>2020.095B.R.Leviviricetes.zip</v>
      </c>
      <c r="U6872" s="43" t="str">
        <f>HYPERLINK("https://ictv.global/taxonomy/taxondetails?taxnode_id=202210784","ictv.global=202210784")</f>
        <v>ictv.global=202210784</v>
      </c>
    </row>
    <row r="6873" spans="1:21">
      <c r="A6873">
        <v>6872</v>
      </c>
      <c r="B6873" s="29" t="s">
        <v>3223</v>
      </c>
      <c r="C6873" s="29"/>
      <c r="D6873" s="29" t="s">
        <v>4156</v>
      </c>
      <c r="E6873" s="29"/>
      <c r="F6873" s="29" t="s">
        <v>4202</v>
      </c>
      <c r="G6873" s="29"/>
      <c r="H6873" s="29" t="s">
        <v>5205</v>
      </c>
      <c r="I6873" s="29"/>
      <c r="J6873" s="29" t="s">
        <v>5206</v>
      </c>
      <c r="K6873" s="29"/>
      <c r="L6873" s="29" t="s">
        <v>5207</v>
      </c>
      <c r="M6873" s="29"/>
      <c r="N6873" s="29" t="s">
        <v>5298</v>
      </c>
      <c r="O6873" s="29"/>
      <c r="P6873" s="29" t="s">
        <v>5299</v>
      </c>
      <c r="Q6873" t="s">
        <v>2040</v>
      </c>
      <c r="R6873" t="s">
        <v>2632</v>
      </c>
      <c r="S6873">
        <v>36</v>
      </c>
      <c r="T6873" s="43" t="str">
        <f t="shared" si="311"/>
        <v>2020.095B.R.Leviviricetes.zip</v>
      </c>
      <c r="U6873" s="43" t="str">
        <f>HYPERLINK("https://ictv.global/taxonomy/taxondetails?taxnode_id=202210786","ictv.global=202210786")</f>
        <v>ictv.global=202210786</v>
      </c>
    </row>
    <row r="6874" spans="1:21">
      <c r="A6874">
        <v>6873</v>
      </c>
      <c r="B6874" s="29" t="s">
        <v>3223</v>
      </c>
      <c r="C6874" s="29"/>
      <c r="D6874" s="29" t="s">
        <v>4156</v>
      </c>
      <c r="E6874" s="29"/>
      <c r="F6874" s="29" t="s">
        <v>4202</v>
      </c>
      <c r="G6874" s="29"/>
      <c r="H6874" s="29" t="s">
        <v>5205</v>
      </c>
      <c r="I6874" s="29"/>
      <c r="J6874" s="29" t="s">
        <v>5206</v>
      </c>
      <c r="K6874" s="29"/>
      <c r="L6874" s="29" t="s">
        <v>5207</v>
      </c>
      <c r="M6874" s="29"/>
      <c r="N6874" s="29" t="s">
        <v>5300</v>
      </c>
      <c r="O6874" s="29"/>
      <c r="P6874" s="29" t="s">
        <v>5301</v>
      </c>
      <c r="Q6874" t="s">
        <v>2040</v>
      </c>
      <c r="R6874" t="s">
        <v>2632</v>
      </c>
      <c r="S6874">
        <v>36</v>
      </c>
      <c r="T6874" s="43" t="str">
        <f t="shared" si="311"/>
        <v>2020.095B.R.Leviviricetes.zip</v>
      </c>
      <c r="U6874" s="43" t="str">
        <f>HYPERLINK("https://ictv.global/taxonomy/taxondetails?taxnode_id=202210788","ictv.global=202210788")</f>
        <v>ictv.global=202210788</v>
      </c>
    </row>
    <row r="6875" spans="1:21">
      <c r="A6875">
        <v>6874</v>
      </c>
      <c r="B6875" s="29" t="s">
        <v>3223</v>
      </c>
      <c r="C6875" s="29"/>
      <c r="D6875" s="29" t="s">
        <v>4156</v>
      </c>
      <c r="E6875" s="29"/>
      <c r="F6875" s="29" t="s">
        <v>4202</v>
      </c>
      <c r="G6875" s="29"/>
      <c r="H6875" s="29" t="s">
        <v>5205</v>
      </c>
      <c r="I6875" s="29"/>
      <c r="J6875" s="29" t="s">
        <v>5206</v>
      </c>
      <c r="K6875" s="29"/>
      <c r="L6875" s="29" t="s">
        <v>5207</v>
      </c>
      <c r="M6875" s="29"/>
      <c r="N6875" s="29" t="s">
        <v>5302</v>
      </c>
      <c r="O6875" s="29"/>
      <c r="P6875" s="29" t="s">
        <v>5303</v>
      </c>
      <c r="Q6875" t="s">
        <v>2040</v>
      </c>
      <c r="R6875" t="s">
        <v>2632</v>
      </c>
      <c r="S6875">
        <v>36</v>
      </c>
      <c r="T6875" s="43" t="str">
        <f t="shared" si="311"/>
        <v>2020.095B.R.Leviviricetes.zip</v>
      </c>
      <c r="U6875" s="43" t="str">
        <f>HYPERLINK("https://ictv.global/taxonomy/taxondetails?taxnode_id=202210790","ictv.global=202210790")</f>
        <v>ictv.global=202210790</v>
      </c>
    </row>
    <row r="6876" spans="1:21">
      <c r="A6876">
        <v>6875</v>
      </c>
      <c r="B6876" s="29" t="s">
        <v>3223</v>
      </c>
      <c r="C6876" s="29"/>
      <c r="D6876" s="29" t="s">
        <v>4156</v>
      </c>
      <c r="E6876" s="29"/>
      <c r="F6876" s="29" t="s">
        <v>4202</v>
      </c>
      <c r="G6876" s="29"/>
      <c r="H6876" s="29" t="s">
        <v>5205</v>
      </c>
      <c r="I6876" s="29"/>
      <c r="J6876" s="29" t="s">
        <v>5206</v>
      </c>
      <c r="K6876" s="29"/>
      <c r="L6876" s="29" t="s">
        <v>5207</v>
      </c>
      <c r="M6876" s="29"/>
      <c r="N6876" s="29" t="s">
        <v>5304</v>
      </c>
      <c r="O6876" s="29"/>
      <c r="P6876" s="29" t="s">
        <v>5305</v>
      </c>
      <c r="Q6876" t="s">
        <v>2040</v>
      </c>
      <c r="R6876" t="s">
        <v>2632</v>
      </c>
      <c r="S6876">
        <v>36</v>
      </c>
      <c r="T6876" s="43" t="str">
        <f t="shared" si="311"/>
        <v>2020.095B.R.Leviviricetes.zip</v>
      </c>
      <c r="U6876" s="43" t="str">
        <f>HYPERLINK("https://ictv.global/taxonomy/taxondetails?taxnode_id=202210792","ictv.global=202210792")</f>
        <v>ictv.global=202210792</v>
      </c>
    </row>
    <row r="6877" spans="1:21">
      <c r="A6877">
        <v>6876</v>
      </c>
      <c r="B6877" s="29" t="s">
        <v>3223</v>
      </c>
      <c r="C6877" s="29"/>
      <c r="D6877" s="29" t="s">
        <v>4156</v>
      </c>
      <c r="E6877" s="29"/>
      <c r="F6877" s="29" t="s">
        <v>4202</v>
      </c>
      <c r="G6877" s="29"/>
      <c r="H6877" s="29" t="s">
        <v>5205</v>
      </c>
      <c r="I6877" s="29"/>
      <c r="J6877" s="29" t="s">
        <v>5206</v>
      </c>
      <c r="K6877" s="29"/>
      <c r="L6877" s="29" t="s">
        <v>5207</v>
      </c>
      <c r="M6877" s="29"/>
      <c r="N6877" s="29" t="s">
        <v>5304</v>
      </c>
      <c r="O6877" s="29"/>
      <c r="P6877" s="29" t="s">
        <v>5306</v>
      </c>
      <c r="Q6877" t="s">
        <v>2040</v>
      </c>
      <c r="R6877" t="s">
        <v>2632</v>
      </c>
      <c r="S6877">
        <v>36</v>
      </c>
      <c r="T6877" s="43" t="str">
        <f t="shared" si="311"/>
        <v>2020.095B.R.Leviviricetes.zip</v>
      </c>
      <c r="U6877" s="43" t="str">
        <f>HYPERLINK("https://ictv.global/taxonomy/taxondetails?taxnode_id=202210793","ictv.global=202210793")</f>
        <v>ictv.global=202210793</v>
      </c>
    </row>
    <row r="6878" spans="1:21">
      <c r="A6878">
        <v>6877</v>
      </c>
      <c r="B6878" s="29" t="s">
        <v>3223</v>
      </c>
      <c r="C6878" s="29"/>
      <c r="D6878" s="29" t="s">
        <v>4156</v>
      </c>
      <c r="E6878" s="29"/>
      <c r="F6878" s="29" t="s">
        <v>4202</v>
      </c>
      <c r="G6878" s="29"/>
      <c r="H6878" s="29" t="s">
        <v>5205</v>
      </c>
      <c r="I6878" s="29"/>
      <c r="J6878" s="29" t="s">
        <v>5206</v>
      </c>
      <c r="K6878" s="29"/>
      <c r="L6878" s="29" t="s">
        <v>5207</v>
      </c>
      <c r="M6878" s="29"/>
      <c r="N6878" s="29" t="s">
        <v>5304</v>
      </c>
      <c r="O6878" s="29"/>
      <c r="P6878" s="29" t="s">
        <v>5307</v>
      </c>
      <c r="Q6878" t="s">
        <v>2040</v>
      </c>
      <c r="R6878" t="s">
        <v>2632</v>
      </c>
      <c r="S6878">
        <v>36</v>
      </c>
      <c r="T6878" s="43" t="str">
        <f t="shared" si="311"/>
        <v>2020.095B.R.Leviviricetes.zip</v>
      </c>
      <c r="U6878" s="43" t="str">
        <f>HYPERLINK("https://ictv.global/taxonomy/taxondetails?taxnode_id=202210794","ictv.global=202210794")</f>
        <v>ictv.global=202210794</v>
      </c>
    </row>
    <row r="6879" spans="1:21">
      <c r="A6879">
        <v>6878</v>
      </c>
      <c r="B6879" s="29" t="s">
        <v>3223</v>
      </c>
      <c r="C6879" s="29"/>
      <c r="D6879" s="29" t="s">
        <v>4156</v>
      </c>
      <c r="E6879" s="29"/>
      <c r="F6879" s="29" t="s">
        <v>4202</v>
      </c>
      <c r="G6879" s="29"/>
      <c r="H6879" s="29" t="s">
        <v>5205</v>
      </c>
      <c r="I6879" s="29"/>
      <c r="J6879" s="29" t="s">
        <v>5206</v>
      </c>
      <c r="K6879" s="29"/>
      <c r="L6879" s="29" t="s">
        <v>5207</v>
      </c>
      <c r="M6879" s="29"/>
      <c r="N6879" s="29" t="s">
        <v>5308</v>
      </c>
      <c r="O6879" s="29"/>
      <c r="P6879" s="29" t="s">
        <v>5309</v>
      </c>
      <c r="Q6879" t="s">
        <v>2040</v>
      </c>
      <c r="R6879" t="s">
        <v>2632</v>
      </c>
      <c r="S6879">
        <v>36</v>
      </c>
      <c r="T6879" s="43" t="str">
        <f t="shared" si="311"/>
        <v>2020.095B.R.Leviviricetes.zip</v>
      </c>
      <c r="U6879" s="43" t="str">
        <f>HYPERLINK("https://ictv.global/taxonomy/taxondetails?taxnode_id=202210796","ictv.global=202210796")</f>
        <v>ictv.global=202210796</v>
      </c>
    </row>
    <row r="6880" spans="1:21">
      <c r="A6880">
        <v>6879</v>
      </c>
      <c r="B6880" s="29" t="s">
        <v>3223</v>
      </c>
      <c r="C6880" s="29"/>
      <c r="D6880" s="29" t="s">
        <v>4156</v>
      </c>
      <c r="E6880" s="29"/>
      <c r="F6880" s="29" t="s">
        <v>4202</v>
      </c>
      <c r="G6880" s="29"/>
      <c r="H6880" s="29" t="s">
        <v>5205</v>
      </c>
      <c r="I6880" s="29"/>
      <c r="J6880" s="29" t="s">
        <v>5206</v>
      </c>
      <c r="K6880" s="29"/>
      <c r="L6880" s="29" t="s">
        <v>5207</v>
      </c>
      <c r="M6880" s="29"/>
      <c r="N6880" s="29" t="s">
        <v>5308</v>
      </c>
      <c r="O6880" s="29"/>
      <c r="P6880" s="29" t="s">
        <v>5310</v>
      </c>
      <c r="Q6880" t="s">
        <v>2040</v>
      </c>
      <c r="R6880" t="s">
        <v>2632</v>
      </c>
      <c r="S6880">
        <v>36</v>
      </c>
      <c r="T6880" s="43" t="str">
        <f t="shared" si="311"/>
        <v>2020.095B.R.Leviviricetes.zip</v>
      </c>
      <c r="U6880" s="43" t="str">
        <f>HYPERLINK("https://ictv.global/taxonomy/taxondetails?taxnode_id=202210797","ictv.global=202210797")</f>
        <v>ictv.global=202210797</v>
      </c>
    </row>
    <row r="6881" spans="1:21">
      <c r="A6881">
        <v>6880</v>
      </c>
      <c r="B6881" s="29" t="s">
        <v>3223</v>
      </c>
      <c r="C6881" s="29"/>
      <c r="D6881" s="29" t="s">
        <v>4156</v>
      </c>
      <c r="E6881" s="29"/>
      <c r="F6881" s="29" t="s">
        <v>4202</v>
      </c>
      <c r="G6881" s="29"/>
      <c r="H6881" s="29" t="s">
        <v>5205</v>
      </c>
      <c r="I6881" s="29"/>
      <c r="J6881" s="29" t="s">
        <v>5206</v>
      </c>
      <c r="K6881" s="29"/>
      <c r="L6881" s="29" t="s">
        <v>5207</v>
      </c>
      <c r="M6881" s="29"/>
      <c r="N6881" s="29" t="s">
        <v>5311</v>
      </c>
      <c r="O6881" s="29"/>
      <c r="P6881" s="29" t="s">
        <v>5312</v>
      </c>
      <c r="Q6881" t="s">
        <v>2040</v>
      </c>
      <c r="R6881" t="s">
        <v>2632</v>
      </c>
      <c r="S6881">
        <v>36</v>
      </c>
      <c r="T6881" s="43" t="str">
        <f t="shared" si="311"/>
        <v>2020.095B.R.Leviviricetes.zip</v>
      </c>
      <c r="U6881" s="43" t="str">
        <f>HYPERLINK("https://ictv.global/taxonomy/taxondetails?taxnode_id=202210799","ictv.global=202210799")</f>
        <v>ictv.global=202210799</v>
      </c>
    </row>
    <row r="6882" spans="1:21">
      <c r="A6882">
        <v>6881</v>
      </c>
      <c r="B6882" s="29" t="s">
        <v>3223</v>
      </c>
      <c r="C6882" s="29"/>
      <c r="D6882" s="29" t="s">
        <v>4156</v>
      </c>
      <c r="E6882" s="29"/>
      <c r="F6882" s="29" t="s">
        <v>4202</v>
      </c>
      <c r="G6882" s="29"/>
      <c r="H6882" s="29" t="s">
        <v>5205</v>
      </c>
      <c r="I6882" s="29"/>
      <c r="J6882" s="29" t="s">
        <v>5206</v>
      </c>
      <c r="K6882" s="29"/>
      <c r="L6882" s="29" t="s">
        <v>5207</v>
      </c>
      <c r="M6882" s="29"/>
      <c r="N6882" s="29" t="s">
        <v>5313</v>
      </c>
      <c r="O6882" s="29"/>
      <c r="P6882" s="29" t="s">
        <v>5314</v>
      </c>
      <c r="Q6882" t="s">
        <v>2040</v>
      </c>
      <c r="R6882" t="s">
        <v>2632</v>
      </c>
      <c r="S6882">
        <v>36</v>
      </c>
      <c r="T6882" s="43" t="str">
        <f t="shared" si="311"/>
        <v>2020.095B.R.Leviviricetes.zip</v>
      </c>
      <c r="U6882" s="43" t="str">
        <f>HYPERLINK("https://ictv.global/taxonomy/taxondetails?taxnode_id=202210801","ictv.global=202210801")</f>
        <v>ictv.global=202210801</v>
      </c>
    </row>
    <row r="6883" spans="1:21">
      <c r="A6883">
        <v>6882</v>
      </c>
      <c r="B6883" s="29" t="s">
        <v>3223</v>
      </c>
      <c r="C6883" s="29"/>
      <c r="D6883" s="29" t="s">
        <v>4156</v>
      </c>
      <c r="E6883" s="29"/>
      <c r="F6883" s="29" t="s">
        <v>4202</v>
      </c>
      <c r="G6883" s="29"/>
      <c r="H6883" s="29" t="s">
        <v>5205</v>
      </c>
      <c r="I6883" s="29"/>
      <c r="J6883" s="29" t="s">
        <v>5206</v>
      </c>
      <c r="K6883" s="29"/>
      <c r="L6883" s="29" t="s">
        <v>5207</v>
      </c>
      <c r="M6883" s="29"/>
      <c r="N6883" s="29" t="s">
        <v>5313</v>
      </c>
      <c r="O6883" s="29"/>
      <c r="P6883" s="29" t="s">
        <v>5315</v>
      </c>
      <c r="Q6883" t="s">
        <v>2040</v>
      </c>
      <c r="R6883" t="s">
        <v>2632</v>
      </c>
      <c r="S6883">
        <v>36</v>
      </c>
      <c r="T6883" s="43" t="str">
        <f t="shared" ref="T6883:T6914" si="312">HYPERLINK("https://ictv.global/ictv/proposals/2020.095B.R.Leviviricetes.zip","2020.095B.R.Leviviricetes.zip")</f>
        <v>2020.095B.R.Leviviricetes.zip</v>
      </c>
      <c r="U6883" s="43" t="str">
        <f>HYPERLINK("https://ictv.global/taxonomy/taxondetails?taxnode_id=202210802","ictv.global=202210802")</f>
        <v>ictv.global=202210802</v>
      </c>
    </row>
    <row r="6884" spans="1:21">
      <c r="A6884">
        <v>6883</v>
      </c>
      <c r="B6884" s="29" t="s">
        <v>3223</v>
      </c>
      <c r="C6884" s="29"/>
      <c r="D6884" s="29" t="s">
        <v>4156</v>
      </c>
      <c r="E6884" s="29"/>
      <c r="F6884" s="29" t="s">
        <v>4202</v>
      </c>
      <c r="G6884" s="29"/>
      <c r="H6884" s="29" t="s">
        <v>5205</v>
      </c>
      <c r="I6884" s="29"/>
      <c r="J6884" s="29" t="s">
        <v>5206</v>
      </c>
      <c r="K6884" s="29"/>
      <c r="L6884" s="29" t="s">
        <v>5207</v>
      </c>
      <c r="M6884" s="29"/>
      <c r="N6884" s="29" t="s">
        <v>5313</v>
      </c>
      <c r="O6884" s="29"/>
      <c r="P6884" s="29" t="s">
        <v>5316</v>
      </c>
      <c r="Q6884" t="s">
        <v>2040</v>
      </c>
      <c r="R6884" t="s">
        <v>2632</v>
      </c>
      <c r="S6884">
        <v>36</v>
      </c>
      <c r="T6884" s="43" t="str">
        <f t="shared" si="312"/>
        <v>2020.095B.R.Leviviricetes.zip</v>
      </c>
      <c r="U6884" s="43" t="str">
        <f>HYPERLINK("https://ictv.global/taxonomy/taxondetails?taxnode_id=202210803","ictv.global=202210803")</f>
        <v>ictv.global=202210803</v>
      </c>
    </row>
    <row r="6885" spans="1:21">
      <c r="A6885">
        <v>6884</v>
      </c>
      <c r="B6885" s="29" t="s">
        <v>3223</v>
      </c>
      <c r="C6885" s="29"/>
      <c r="D6885" s="29" t="s">
        <v>4156</v>
      </c>
      <c r="E6885" s="29"/>
      <c r="F6885" s="29" t="s">
        <v>4202</v>
      </c>
      <c r="G6885" s="29"/>
      <c r="H6885" s="29" t="s">
        <v>5205</v>
      </c>
      <c r="I6885" s="29"/>
      <c r="J6885" s="29" t="s">
        <v>5206</v>
      </c>
      <c r="K6885" s="29"/>
      <c r="L6885" s="29" t="s">
        <v>5207</v>
      </c>
      <c r="M6885" s="29"/>
      <c r="N6885" s="29" t="s">
        <v>5313</v>
      </c>
      <c r="O6885" s="29"/>
      <c r="P6885" s="29" t="s">
        <v>5317</v>
      </c>
      <c r="Q6885" t="s">
        <v>2040</v>
      </c>
      <c r="R6885" t="s">
        <v>2632</v>
      </c>
      <c r="S6885">
        <v>36</v>
      </c>
      <c r="T6885" s="43" t="str">
        <f t="shared" si="312"/>
        <v>2020.095B.R.Leviviricetes.zip</v>
      </c>
      <c r="U6885" s="43" t="str">
        <f>HYPERLINK("https://ictv.global/taxonomy/taxondetails?taxnode_id=202210804","ictv.global=202210804")</f>
        <v>ictv.global=202210804</v>
      </c>
    </row>
    <row r="6886" spans="1:21">
      <c r="A6886">
        <v>6885</v>
      </c>
      <c r="B6886" s="29" t="s">
        <v>3223</v>
      </c>
      <c r="C6886" s="29"/>
      <c r="D6886" s="29" t="s">
        <v>4156</v>
      </c>
      <c r="E6886" s="29"/>
      <c r="F6886" s="29" t="s">
        <v>4202</v>
      </c>
      <c r="G6886" s="29"/>
      <c r="H6886" s="29" t="s">
        <v>5205</v>
      </c>
      <c r="I6886" s="29"/>
      <c r="J6886" s="29" t="s">
        <v>5206</v>
      </c>
      <c r="K6886" s="29"/>
      <c r="L6886" s="29" t="s">
        <v>5207</v>
      </c>
      <c r="M6886" s="29"/>
      <c r="N6886" s="29" t="s">
        <v>5313</v>
      </c>
      <c r="O6886" s="29"/>
      <c r="P6886" s="29" t="s">
        <v>5318</v>
      </c>
      <c r="Q6886" t="s">
        <v>2040</v>
      </c>
      <c r="R6886" t="s">
        <v>2632</v>
      </c>
      <c r="S6886">
        <v>36</v>
      </c>
      <c r="T6886" s="43" t="str">
        <f t="shared" si="312"/>
        <v>2020.095B.R.Leviviricetes.zip</v>
      </c>
      <c r="U6886" s="43" t="str">
        <f>HYPERLINK("https://ictv.global/taxonomy/taxondetails?taxnode_id=202210805","ictv.global=202210805")</f>
        <v>ictv.global=202210805</v>
      </c>
    </row>
    <row r="6887" spans="1:21">
      <c r="A6887">
        <v>6886</v>
      </c>
      <c r="B6887" s="29" t="s">
        <v>3223</v>
      </c>
      <c r="C6887" s="29"/>
      <c r="D6887" s="29" t="s">
        <v>4156</v>
      </c>
      <c r="E6887" s="29"/>
      <c r="F6887" s="29" t="s">
        <v>4202</v>
      </c>
      <c r="G6887" s="29"/>
      <c r="H6887" s="29" t="s">
        <v>5205</v>
      </c>
      <c r="I6887" s="29"/>
      <c r="J6887" s="29" t="s">
        <v>5206</v>
      </c>
      <c r="K6887" s="29"/>
      <c r="L6887" s="29" t="s">
        <v>5207</v>
      </c>
      <c r="M6887" s="29"/>
      <c r="N6887" s="29" t="s">
        <v>5313</v>
      </c>
      <c r="O6887" s="29"/>
      <c r="P6887" s="29" t="s">
        <v>5319</v>
      </c>
      <c r="Q6887" t="s">
        <v>2040</v>
      </c>
      <c r="R6887" t="s">
        <v>2632</v>
      </c>
      <c r="S6887">
        <v>36</v>
      </c>
      <c r="T6887" s="43" t="str">
        <f t="shared" si="312"/>
        <v>2020.095B.R.Leviviricetes.zip</v>
      </c>
      <c r="U6887" s="43" t="str">
        <f>HYPERLINK("https://ictv.global/taxonomy/taxondetails?taxnode_id=202210806","ictv.global=202210806")</f>
        <v>ictv.global=202210806</v>
      </c>
    </row>
    <row r="6888" spans="1:21">
      <c r="A6888">
        <v>6887</v>
      </c>
      <c r="B6888" s="29" t="s">
        <v>3223</v>
      </c>
      <c r="C6888" s="29"/>
      <c r="D6888" s="29" t="s">
        <v>4156</v>
      </c>
      <c r="E6888" s="29"/>
      <c r="F6888" s="29" t="s">
        <v>4202</v>
      </c>
      <c r="G6888" s="29"/>
      <c r="H6888" s="29" t="s">
        <v>5205</v>
      </c>
      <c r="I6888" s="29"/>
      <c r="J6888" s="29" t="s">
        <v>5206</v>
      </c>
      <c r="K6888" s="29"/>
      <c r="L6888" s="29" t="s">
        <v>5207</v>
      </c>
      <c r="M6888" s="29"/>
      <c r="N6888" s="29" t="s">
        <v>5320</v>
      </c>
      <c r="O6888" s="29"/>
      <c r="P6888" s="29" t="s">
        <v>5321</v>
      </c>
      <c r="Q6888" t="s">
        <v>2040</v>
      </c>
      <c r="R6888" t="s">
        <v>2632</v>
      </c>
      <c r="S6888">
        <v>36</v>
      </c>
      <c r="T6888" s="43" t="str">
        <f t="shared" si="312"/>
        <v>2020.095B.R.Leviviricetes.zip</v>
      </c>
      <c r="U6888" s="43" t="str">
        <f>HYPERLINK("https://ictv.global/taxonomy/taxondetails?taxnode_id=202210808","ictv.global=202210808")</f>
        <v>ictv.global=202210808</v>
      </c>
    </row>
    <row r="6889" spans="1:21">
      <c r="A6889">
        <v>6888</v>
      </c>
      <c r="B6889" s="29" t="s">
        <v>3223</v>
      </c>
      <c r="C6889" s="29"/>
      <c r="D6889" s="29" t="s">
        <v>4156</v>
      </c>
      <c r="E6889" s="29"/>
      <c r="F6889" s="29" t="s">
        <v>4202</v>
      </c>
      <c r="G6889" s="29"/>
      <c r="H6889" s="29" t="s">
        <v>5205</v>
      </c>
      <c r="I6889" s="29"/>
      <c r="J6889" s="29" t="s">
        <v>5206</v>
      </c>
      <c r="K6889" s="29"/>
      <c r="L6889" s="29" t="s">
        <v>5207</v>
      </c>
      <c r="M6889" s="29"/>
      <c r="N6889" s="29" t="s">
        <v>5320</v>
      </c>
      <c r="O6889" s="29"/>
      <c r="P6889" s="29" t="s">
        <v>5322</v>
      </c>
      <c r="Q6889" t="s">
        <v>2040</v>
      </c>
      <c r="R6889" t="s">
        <v>2632</v>
      </c>
      <c r="S6889">
        <v>36</v>
      </c>
      <c r="T6889" s="43" t="str">
        <f t="shared" si="312"/>
        <v>2020.095B.R.Leviviricetes.zip</v>
      </c>
      <c r="U6889" s="43" t="str">
        <f>HYPERLINK("https://ictv.global/taxonomy/taxondetails?taxnode_id=202210811","ictv.global=202210811")</f>
        <v>ictv.global=202210811</v>
      </c>
    </row>
    <row r="6890" spans="1:21">
      <c r="A6890">
        <v>6889</v>
      </c>
      <c r="B6890" s="29" t="s">
        <v>3223</v>
      </c>
      <c r="C6890" s="29"/>
      <c r="D6890" s="29" t="s">
        <v>4156</v>
      </c>
      <c r="E6890" s="29"/>
      <c r="F6890" s="29" t="s">
        <v>4202</v>
      </c>
      <c r="G6890" s="29"/>
      <c r="H6890" s="29" t="s">
        <v>5205</v>
      </c>
      <c r="I6890" s="29"/>
      <c r="J6890" s="29" t="s">
        <v>5206</v>
      </c>
      <c r="K6890" s="29"/>
      <c r="L6890" s="29" t="s">
        <v>5207</v>
      </c>
      <c r="M6890" s="29"/>
      <c r="N6890" s="29" t="s">
        <v>5320</v>
      </c>
      <c r="O6890" s="29"/>
      <c r="P6890" s="29" t="s">
        <v>5323</v>
      </c>
      <c r="Q6890" t="s">
        <v>2040</v>
      </c>
      <c r="R6890" t="s">
        <v>2632</v>
      </c>
      <c r="S6890">
        <v>36</v>
      </c>
      <c r="T6890" s="43" t="str">
        <f t="shared" si="312"/>
        <v>2020.095B.R.Leviviricetes.zip</v>
      </c>
      <c r="U6890" s="43" t="str">
        <f>HYPERLINK("https://ictv.global/taxonomy/taxondetails?taxnode_id=202210812","ictv.global=202210812")</f>
        <v>ictv.global=202210812</v>
      </c>
    </row>
    <row r="6891" spans="1:21">
      <c r="A6891">
        <v>6890</v>
      </c>
      <c r="B6891" s="29" t="s">
        <v>3223</v>
      </c>
      <c r="C6891" s="29"/>
      <c r="D6891" s="29" t="s">
        <v>4156</v>
      </c>
      <c r="E6891" s="29"/>
      <c r="F6891" s="29" t="s">
        <v>4202</v>
      </c>
      <c r="G6891" s="29"/>
      <c r="H6891" s="29" t="s">
        <v>5205</v>
      </c>
      <c r="I6891" s="29"/>
      <c r="J6891" s="29" t="s">
        <v>5206</v>
      </c>
      <c r="K6891" s="29"/>
      <c r="L6891" s="29" t="s">
        <v>5207</v>
      </c>
      <c r="M6891" s="29"/>
      <c r="N6891" s="29" t="s">
        <v>5320</v>
      </c>
      <c r="O6891" s="29"/>
      <c r="P6891" s="29" t="s">
        <v>5324</v>
      </c>
      <c r="Q6891" t="s">
        <v>2040</v>
      </c>
      <c r="R6891" t="s">
        <v>2632</v>
      </c>
      <c r="S6891">
        <v>36</v>
      </c>
      <c r="T6891" s="43" t="str">
        <f t="shared" si="312"/>
        <v>2020.095B.R.Leviviricetes.zip</v>
      </c>
      <c r="U6891" s="43" t="str">
        <f>HYPERLINK("https://ictv.global/taxonomy/taxondetails?taxnode_id=202210813","ictv.global=202210813")</f>
        <v>ictv.global=202210813</v>
      </c>
    </row>
    <row r="6892" spans="1:21">
      <c r="A6892">
        <v>6891</v>
      </c>
      <c r="B6892" s="29" t="s">
        <v>3223</v>
      </c>
      <c r="C6892" s="29"/>
      <c r="D6892" s="29" t="s">
        <v>4156</v>
      </c>
      <c r="E6892" s="29"/>
      <c r="F6892" s="29" t="s">
        <v>4202</v>
      </c>
      <c r="G6892" s="29"/>
      <c r="H6892" s="29" t="s">
        <v>5205</v>
      </c>
      <c r="I6892" s="29"/>
      <c r="J6892" s="29" t="s">
        <v>5206</v>
      </c>
      <c r="K6892" s="29"/>
      <c r="L6892" s="29" t="s">
        <v>5207</v>
      </c>
      <c r="M6892" s="29"/>
      <c r="N6892" s="29" t="s">
        <v>5320</v>
      </c>
      <c r="O6892" s="29"/>
      <c r="P6892" s="29" t="s">
        <v>5325</v>
      </c>
      <c r="Q6892" t="s">
        <v>2040</v>
      </c>
      <c r="R6892" t="s">
        <v>2632</v>
      </c>
      <c r="S6892">
        <v>36</v>
      </c>
      <c r="T6892" s="43" t="str">
        <f t="shared" si="312"/>
        <v>2020.095B.R.Leviviricetes.zip</v>
      </c>
      <c r="U6892" s="43" t="str">
        <f>HYPERLINK("https://ictv.global/taxonomy/taxondetails?taxnode_id=202210809","ictv.global=202210809")</f>
        <v>ictv.global=202210809</v>
      </c>
    </row>
    <row r="6893" spans="1:21">
      <c r="A6893">
        <v>6892</v>
      </c>
      <c r="B6893" s="29" t="s">
        <v>3223</v>
      </c>
      <c r="C6893" s="29"/>
      <c r="D6893" s="29" t="s">
        <v>4156</v>
      </c>
      <c r="E6893" s="29"/>
      <c r="F6893" s="29" t="s">
        <v>4202</v>
      </c>
      <c r="G6893" s="29"/>
      <c r="H6893" s="29" t="s">
        <v>5205</v>
      </c>
      <c r="I6893" s="29"/>
      <c r="J6893" s="29" t="s">
        <v>5206</v>
      </c>
      <c r="K6893" s="29"/>
      <c r="L6893" s="29" t="s">
        <v>5207</v>
      </c>
      <c r="M6893" s="29"/>
      <c r="N6893" s="29" t="s">
        <v>5320</v>
      </c>
      <c r="O6893" s="29"/>
      <c r="P6893" s="29" t="s">
        <v>5326</v>
      </c>
      <c r="Q6893" t="s">
        <v>2040</v>
      </c>
      <c r="R6893" t="s">
        <v>2632</v>
      </c>
      <c r="S6893">
        <v>36</v>
      </c>
      <c r="T6893" s="43" t="str">
        <f t="shared" si="312"/>
        <v>2020.095B.R.Leviviricetes.zip</v>
      </c>
      <c r="U6893" s="43" t="str">
        <f>HYPERLINK("https://ictv.global/taxonomy/taxondetails?taxnode_id=202210810","ictv.global=202210810")</f>
        <v>ictv.global=202210810</v>
      </c>
    </row>
    <row r="6894" spans="1:21">
      <c r="A6894">
        <v>6893</v>
      </c>
      <c r="B6894" s="29" t="s">
        <v>3223</v>
      </c>
      <c r="C6894" s="29"/>
      <c r="D6894" s="29" t="s">
        <v>4156</v>
      </c>
      <c r="E6894" s="29"/>
      <c r="F6894" s="29" t="s">
        <v>4202</v>
      </c>
      <c r="G6894" s="29"/>
      <c r="H6894" s="29" t="s">
        <v>5205</v>
      </c>
      <c r="I6894" s="29"/>
      <c r="J6894" s="29" t="s">
        <v>5206</v>
      </c>
      <c r="K6894" s="29"/>
      <c r="L6894" s="29" t="s">
        <v>5207</v>
      </c>
      <c r="M6894" s="29"/>
      <c r="N6894" s="29" t="s">
        <v>5320</v>
      </c>
      <c r="O6894" s="29"/>
      <c r="P6894" s="29" t="s">
        <v>5327</v>
      </c>
      <c r="Q6894" t="s">
        <v>2040</v>
      </c>
      <c r="R6894" t="s">
        <v>2632</v>
      </c>
      <c r="S6894">
        <v>36</v>
      </c>
      <c r="T6894" s="43" t="str">
        <f t="shared" si="312"/>
        <v>2020.095B.R.Leviviricetes.zip</v>
      </c>
      <c r="U6894" s="43" t="str">
        <f>HYPERLINK("https://ictv.global/taxonomy/taxondetails?taxnode_id=202210814","ictv.global=202210814")</f>
        <v>ictv.global=202210814</v>
      </c>
    </row>
    <row r="6895" spans="1:21">
      <c r="A6895">
        <v>6894</v>
      </c>
      <c r="B6895" s="29" t="s">
        <v>3223</v>
      </c>
      <c r="C6895" s="29"/>
      <c r="D6895" s="29" t="s">
        <v>4156</v>
      </c>
      <c r="E6895" s="29"/>
      <c r="F6895" s="29" t="s">
        <v>4202</v>
      </c>
      <c r="G6895" s="29"/>
      <c r="H6895" s="29" t="s">
        <v>5205</v>
      </c>
      <c r="I6895" s="29"/>
      <c r="J6895" s="29" t="s">
        <v>5206</v>
      </c>
      <c r="K6895" s="29"/>
      <c r="L6895" s="29" t="s">
        <v>5207</v>
      </c>
      <c r="M6895" s="29"/>
      <c r="N6895" s="29" t="s">
        <v>5320</v>
      </c>
      <c r="O6895" s="29"/>
      <c r="P6895" s="29" t="s">
        <v>5328</v>
      </c>
      <c r="Q6895" t="s">
        <v>2040</v>
      </c>
      <c r="R6895" t="s">
        <v>2632</v>
      </c>
      <c r="S6895">
        <v>36</v>
      </c>
      <c r="T6895" s="43" t="str">
        <f t="shared" si="312"/>
        <v>2020.095B.R.Leviviricetes.zip</v>
      </c>
      <c r="U6895" s="43" t="str">
        <f>HYPERLINK("https://ictv.global/taxonomy/taxondetails?taxnode_id=202210815","ictv.global=202210815")</f>
        <v>ictv.global=202210815</v>
      </c>
    </row>
    <row r="6896" spans="1:21">
      <c r="A6896">
        <v>6895</v>
      </c>
      <c r="B6896" s="29" t="s">
        <v>3223</v>
      </c>
      <c r="C6896" s="29"/>
      <c r="D6896" s="29" t="s">
        <v>4156</v>
      </c>
      <c r="E6896" s="29"/>
      <c r="F6896" s="29" t="s">
        <v>4202</v>
      </c>
      <c r="G6896" s="29"/>
      <c r="H6896" s="29" t="s">
        <v>5205</v>
      </c>
      <c r="I6896" s="29"/>
      <c r="J6896" s="29" t="s">
        <v>5206</v>
      </c>
      <c r="K6896" s="29"/>
      <c r="L6896" s="29" t="s">
        <v>5207</v>
      </c>
      <c r="M6896" s="29"/>
      <c r="N6896" s="29" t="s">
        <v>5329</v>
      </c>
      <c r="O6896" s="29"/>
      <c r="P6896" s="29" t="s">
        <v>5330</v>
      </c>
      <c r="Q6896" t="s">
        <v>2040</v>
      </c>
      <c r="R6896" t="s">
        <v>2632</v>
      </c>
      <c r="S6896">
        <v>36</v>
      </c>
      <c r="T6896" s="43" t="str">
        <f t="shared" si="312"/>
        <v>2020.095B.R.Leviviricetes.zip</v>
      </c>
      <c r="U6896" s="43" t="str">
        <f>HYPERLINK("https://ictv.global/taxonomy/taxondetails?taxnode_id=202210817","ictv.global=202210817")</f>
        <v>ictv.global=202210817</v>
      </c>
    </row>
    <row r="6897" spans="1:21">
      <c r="A6897">
        <v>6896</v>
      </c>
      <c r="B6897" s="29" t="s">
        <v>3223</v>
      </c>
      <c r="C6897" s="29"/>
      <c r="D6897" s="29" t="s">
        <v>4156</v>
      </c>
      <c r="E6897" s="29"/>
      <c r="F6897" s="29" t="s">
        <v>4202</v>
      </c>
      <c r="G6897" s="29"/>
      <c r="H6897" s="29" t="s">
        <v>5205</v>
      </c>
      <c r="I6897" s="29"/>
      <c r="J6897" s="29" t="s">
        <v>5206</v>
      </c>
      <c r="K6897" s="29"/>
      <c r="L6897" s="29" t="s">
        <v>5207</v>
      </c>
      <c r="M6897" s="29"/>
      <c r="N6897" s="29" t="s">
        <v>5331</v>
      </c>
      <c r="O6897" s="29"/>
      <c r="P6897" s="29" t="s">
        <v>5332</v>
      </c>
      <c r="Q6897" t="s">
        <v>2040</v>
      </c>
      <c r="R6897" t="s">
        <v>2632</v>
      </c>
      <c r="S6897">
        <v>36</v>
      </c>
      <c r="T6897" s="43" t="str">
        <f t="shared" si="312"/>
        <v>2020.095B.R.Leviviricetes.zip</v>
      </c>
      <c r="U6897" s="43" t="str">
        <f>HYPERLINK("https://ictv.global/taxonomy/taxondetails?taxnode_id=202210819","ictv.global=202210819")</f>
        <v>ictv.global=202210819</v>
      </c>
    </row>
    <row r="6898" spans="1:21">
      <c r="A6898">
        <v>6897</v>
      </c>
      <c r="B6898" s="29" t="s">
        <v>3223</v>
      </c>
      <c r="C6898" s="29"/>
      <c r="D6898" s="29" t="s">
        <v>4156</v>
      </c>
      <c r="E6898" s="29"/>
      <c r="F6898" s="29" t="s">
        <v>4202</v>
      </c>
      <c r="G6898" s="29"/>
      <c r="H6898" s="29" t="s">
        <v>5205</v>
      </c>
      <c r="I6898" s="29"/>
      <c r="J6898" s="29" t="s">
        <v>5206</v>
      </c>
      <c r="K6898" s="29"/>
      <c r="L6898" s="29" t="s">
        <v>5207</v>
      </c>
      <c r="M6898" s="29"/>
      <c r="N6898" s="29" t="s">
        <v>5333</v>
      </c>
      <c r="O6898" s="29"/>
      <c r="P6898" s="29" t="s">
        <v>5334</v>
      </c>
      <c r="Q6898" t="s">
        <v>2040</v>
      </c>
      <c r="R6898" t="s">
        <v>2632</v>
      </c>
      <c r="S6898">
        <v>36</v>
      </c>
      <c r="T6898" s="43" t="str">
        <f t="shared" si="312"/>
        <v>2020.095B.R.Leviviricetes.zip</v>
      </c>
      <c r="U6898" s="43" t="str">
        <f>HYPERLINK("https://ictv.global/taxonomy/taxondetails?taxnode_id=202210821","ictv.global=202210821")</f>
        <v>ictv.global=202210821</v>
      </c>
    </row>
    <row r="6899" spans="1:21">
      <c r="A6899">
        <v>6898</v>
      </c>
      <c r="B6899" s="29" t="s">
        <v>3223</v>
      </c>
      <c r="C6899" s="29"/>
      <c r="D6899" s="29" t="s">
        <v>4156</v>
      </c>
      <c r="E6899" s="29"/>
      <c r="F6899" s="29" t="s">
        <v>4202</v>
      </c>
      <c r="G6899" s="29"/>
      <c r="H6899" s="29" t="s">
        <v>5205</v>
      </c>
      <c r="I6899" s="29"/>
      <c r="J6899" s="29" t="s">
        <v>5206</v>
      </c>
      <c r="K6899" s="29"/>
      <c r="L6899" s="29" t="s">
        <v>5207</v>
      </c>
      <c r="M6899" s="29"/>
      <c r="N6899" s="29" t="s">
        <v>5335</v>
      </c>
      <c r="O6899" s="29"/>
      <c r="P6899" s="29" t="s">
        <v>5336</v>
      </c>
      <c r="Q6899" t="s">
        <v>2040</v>
      </c>
      <c r="R6899" t="s">
        <v>2632</v>
      </c>
      <c r="S6899">
        <v>36</v>
      </c>
      <c r="T6899" s="43" t="str">
        <f t="shared" si="312"/>
        <v>2020.095B.R.Leviviricetes.zip</v>
      </c>
      <c r="U6899" s="43" t="str">
        <f>HYPERLINK("https://ictv.global/taxonomy/taxondetails?taxnode_id=202210823","ictv.global=202210823")</f>
        <v>ictv.global=202210823</v>
      </c>
    </row>
    <row r="6900" spans="1:21">
      <c r="A6900">
        <v>6899</v>
      </c>
      <c r="B6900" s="29" t="s">
        <v>3223</v>
      </c>
      <c r="C6900" s="29"/>
      <c r="D6900" s="29" t="s">
        <v>4156</v>
      </c>
      <c r="E6900" s="29"/>
      <c r="F6900" s="29" t="s">
        <v>4202</v>
      </c>
      <c r="G6900" s="29"/>
      <c r="H6900" s="29" t="s">
        <v>5205</v>
      </c>
      <c r="I6900" s="29"/>
      <c r="J6900" s="29" t="s">
        <v>5206</v>
      </c>
      <c r="K6900" s="29"/>
      <c r="L6900" s="29" t="s">
        <v>5207</v>
      </c>
      <c r="M6900" s="29"/>
      <c r="N6900" s="29" t="s">
        <v>5337</v>
      </c>
      <c r="O6900" s="29"/>
      <c r="P6900" s="29" t="s">
        <v>5338</v>
      </c>
      <c r="Q6900" t="s">
        <v>2040</v>
      </c>
      <c r="R6900" t="s">
        <v>2632</v>
      </c>
      <c r="S6900">
        <v>36</v>
      </c>
      <c r="T6900" s="43" t="str">
        <f t="shared" si="312"/>
        <v>2020.095B.R.Leviviricetes.zip</v>
      </c>
      <c r="U6900" s="43" t="str">
        <f>HYPERLINK("https://ictv.global/taxonomy/taxondetails?taxnode_id=202210826","ictv.global=202210826")</f>
        <v>ictv.global=202210826</v>
      </c>
    </row>
    <row r="6901" spans="1:21">
      <c r="A6901">
        <v>6900</v>
      </c>
      <c r="B6901" s="29" t="s">
        <v>3223</v>
      </c>
      <c r="C6901" s="29"/>
      <c r="D6901" s="29" t="s">
        <v>4156</v>
      </c>
      <c r="E6901" s="29"/>
      <c r="F6901" s="29" t="s">
        <v>4202</v>
      </c>
      <c r="G6901" s="29"/>
      <c r="H6901" s="29" t="s">
        <v>5205</v>
      </c>
      <c r="I6901" s="29"/>
      <c r="J6901" s="29" t="s">
        <v>5206</v>
      </c>
      <c r="K6901" s="29"/>
      <c r="L6901" s="29" t="s">
        <v>5207</v>
      </c>
      <c r="M6901" s="29"/>
      <c r="N6901" s="29" t="s">
        <v>5337</v>
      </c>
      <c r="O6901" s="29"/>
      <c r="P6901" s="29" t="s">
        <v>5339</v>
      </c>
      <c r="Q6901" t="s">
        <v>2040</v>
      </c>
      <c r="R6901" t="s">
        <v>2632</v>
      </c>
      <c r="S6901">
        <v>36</v>
      </c>
      <c r="T6901" s="43" t="str">
        <f t="shared" si="312"/>
        <v>2020.095B.R.Leviviricetes.zip</v>
      </c>
      <c r="U6901" s="43" t="str">
        <f>HYPERLINK("https://ictv.global/taxonomy/taxondetails?taxnode_id=202210825","ictv.global=202210825")</f>
        <v>ictv.global=202210825</v>
      </c>
    </row>
    <row r="6902" spans="1:21">
      <c r="A6902">
        <v>6901</v>
      </c>
      <c r="B6902" s="29" t="s">
        <v>3223</v>
      </c>
      <c r="C6902" s="29"/>
      <c r="D6902" s="29" t="s">
        <v>4156</v>
      </c>
      <c r="E6902" s="29"/>
      <c r="F6902" s="29" t="s">
        <v>4202</v>
      </c>
      <c r="G6902" s="29"/>
      <c r="H6902" s="29" t="s">
        <v>5205</v>
      </c>
      <c r="I6902" s="29"/>
      <c r="J6902" s="29" t="s">
        <v>5206</v>
      </c>
      <c r="K6902" s="29"/>
      <c r="L6902" s="29" t="s">
        <v>5207</v>
      </c>
      <c r="M6902" s="29"/>
      <c r="N6902" s="29" t="s">
        <v>5340</v>
      </c>
      <c r="O6902" s="29"/>
      <c r="P6902" s="29" t="s">
        <v>5341</v>
      </c>
      <c r="Q6902" t="s">
        <v>2040</v>
      </c>
      <c r="R6902" t="s">
        <v>2632</v>
      </c>
      <c r="S6902">
        <v>36</v>
      </c>
      <c r="T6902" s="43" t="str">
        <f t="shared" si="312"/>
        <v>2020.095B.R.Leviviricetes.zip</v>
      </c>
      <c r="U6902" s="43" t="str">
        <f>HYPERLINK("https://ictv.global/taxonomy/taxondetails?taxnode_id=202210828","ictv.global=202210828")</f>
        <v>ictv.global=202210828</v>
      </c>
    </row>
    <row r="6903" spans="1:21">
      <c r="A6903">
        <v>6902</v>
      </c>
      <c r="B6903" s="29" t="s">
        <v>3223</v>
      </c>
      <c r="C6903" s="29"/>
      <c r="D6903" s="29" t="s">
        <v>4156</v>
      </c>
      <c r="E6903" s="29"/>
      <c r="F6903" s="29" t="s">
        <v>4202</v>
      </c>
      <c r="G6903" s="29"/>
      <c r="H6903" s="29" t="s">
        <v>5205</v>
      </c>
      <c r="I6903" s="29"/>
      <c r="J6903" s="29" t="s">
        <v>5206</v>
      </c>
      <c r="K6903" s="29"/>
      <c r="L6903" s="29" t="s">
        <v>5207</v>
      </c>
      <c r="M6903" s="29"/>
      <c r="N6903" s="29" t="s">
        <v>5342</v>
      </c>
      <c r="O6903" s="29"/>
      <c r="P6903" s="29" t="s">
        <v>5343</v>
      </c>
      <c r="Q6903" t="s">
        <v>2040</v>
      </c>
      <c r="R6903" t="s">
        <v>2632</v>
      </c>
      <c r="S6903">
        <v>36</v>
      </c>
      <c r="T6903" s="43" t="str">
        <f t="shared" si="312"/>
        <v>2020.095B.R.Leviviricetes.zip</v>
      </c>
      <c r="U6903" s="43" t="str">
        <f>HYPERLINK("https://ictv.global/taxonomy/taxondetails?taxnode_id=202210830","ictv.global=202210830")</f>
        <v>ictv.global=202210830</v>
      </c>
    </row>
    <row r="6904" spans="1:21">
      <c r="A6904">
        <v>6903</v>
      </c>
      <c r="B6904" s="29" t="s">
        <v>3223</v>
      </c>
      <c r="C6904" s="29"/>
      <c r="D6904" s="29" t="s">
        <v>4156</v>
      </c>
      <c r="E6904" s="29"/>
      <c r="F6904" s="29" t="s">
        <v>4202</v>
      </c>
      <c r="G6904" s="29"/>
      <c r="H6904" s="29" t="s">
        <v>5205</v>
      </c>
      <c r="I6904" s="29"/>
      <c r="J6904" s="29" t="s">
        <v>5206</v>
      </c>
      <c r="K6904" s="29"/>
      <c r="L6904" s="29" t="s">
        <v>5207</v>
      </c>
      <c r="M6904" s="29"/>
      <c r="N6904" s="29" t="s">
        <v>5344</v>
      </c>
      <c r="O6904" s="29"/>
      <c r="P6904" s="29" t="s">
        <v>5345</v>
      </c>
      <c r="Q6904" t="s">
        <v>2040</v>
      </c>
      <c r="R6904" t="s">
        <v>2632</v>
      </c>
      <c r="S6904">
        <v>36</v>
      </c>
      <c r="T6904" s="43" t="str">
        <f t="shared" si="312"/>
        <v>2020.095B.R.Leviviricetes.zip</v>
      </c>
      <c r="U6904" s="43" t="str">
        <f>HYPERLINK("https://ictv.global/taxonomy/taxondetails?taxnode_id=202210832","ictv.global=202210832")</f>
        <v>ictv.global=202210832</v>
      </c>
    </row>
    <row r="6905" spans="1:21">
      <c r="A6905">
        <v>6904</v>
      </c>
      <c r="B6905" s="29" t="s">
        <v>3223</v>
      </c>
      <c r="C6905" s="29"/>
      <c r="D6905" s="29" t="s">
        <v>4156</v>
      </c>
      <c r="E6905" s="29"/>
      <c r="F6905" s="29" t="s">
        <v>4202</v>
      </c>
      <c r="G6905" s="29"/>
      <c r="H6905" s="29" t="s">
        <v>5205</v>
      </c>
      <c r="I6905" s="29"/>
      <c r="J6905" s="29" t="s">
        <v>5206</v>
      </c>
      <c r="K6905" s="29"/>
      <c r="L6905" s="29" t="s">
        <v>5207</v>
      </c>
      <c r="M6905" s="29"/>
      <c r="N6905" s="29" t="s">
        <v>5346</v>
      </c>
      <c r="O6905" s="29"/>
      <c r="P6905" s="29" t="s">
        <v>5347</v>
      </c>
      <c r="Q6905" t="s">
        <v>2040</v>
      </c>
      <c r="R6905" t="s">
        <v>2632</v>
      </c>
      <c r="S6905">
        <v>36</v>
      </c>
      <c r="T6905" s="43" t="str">
        <f t="shared" si="312"/>
        <v>2020.095B.R.Leviviricetes.zip</v>
      </c>
      <c r="U6905" s="43" t="str">
        <f>HYPERLINK("https://ictv.global/taxonomy/taxondetails?taxnode_id=202210834","ictv.global=202210834")</f>
        <v>ictv.global=202210834</v>
      </c>
    </row>
    <row r="6906" spans="1:21">
      <c r="A6906">
        <v>6905</v>
      </c>
      <c r="B6906" s="29" t="s">
        <v>3223</v>
      </c>
      <c r="C6906" s="29"/>
      <c r="D6906" s="29" t="s">
        <v>4156</v>
      </c>
      <c r="E6906" s="29"/>
      <c r="F6906" s="29" t="s">
        <v>4202</v>
      </c>
      <c r="G6906" s="29"/>
      <c r="H6906" s="29" t="s">
        <v>5205</v>
      </c>
      <c r="I6906" s="29"/>
      <c r="J6906" s="29" t="s">
        <v>5206</v>
      </c>
      <c r="K6906" s="29"/>
      <c r="L6906" s="29" t="s">
        <v>5207</v>
      </c>
      <c r="M6906" s="29"/>
      <c r="N6906" s="29" t="s">
        <v>5348</v>
      </c>
      <c r="O6906" s="29"/>
      <c r="P6906" s="29" t="s">
        <v>5349</v>
      </c>
      <c r="Q6906" t="s">
        <v>2040</v>
      </c>
      <c r="R6906" t="s">
        <v>2632</v>
      </c>
      <c r="S6906">
        <v>36</v>
      </c>
      <c r="T6906" s="43" t="str">
        <f t="shared" si="312"/>
        <v>2020.095B.R.Leviviricetes.zip</v>
      </c>
      <c r="U6906" s="43" t="str">
        <f>HYPERLINK("https://ictv.global/taxonomy/taxondetails?taxnode_id=202210836","ictv.global=202210836")</f>
        <v>ictv.global=202210836</v>
      </c>
    </row>
    <row r="6907" spans="1:21">
      <c r="A6907">
        <v>6906</v>
      </c>
      <c r="B6907" s="29" t="s">
        <v>3223</v>
      </c>
      <c r="C6907" s="29"/>
      <c r="D6907" s="29" t="s">
        <v>4156</v>
      </c>
      <c r="E6907" s="29"/>
      <c r="F6907" s="29" t="s">
        <v>4202</v>
      </c>
      <c r="G6907" s="29"/>
      <c r="H6907" s="29" t="s">
        <v>5205</v>
      </c>
      <c r="I6907" s="29"/>
      <c r="J6907" s="29" t="s">
        <v>5206</v>
      </c>
      <c r="K6907" s="29"/>
      <c r="L6907" s="29" t="s">
        <v>5207</v>
      </c>
      <c r="M6907" s="29"/>
      <c r="N6907" s="29" t="s">
        <v>5350</v>
      </c>
      <c r="O6907" s="29"/>
      <c r="P6907" s="29" t="s">
        <v>5351</v>
      </c>
      <c r="Q6907" t="s">
        <v>2040</v>
      </c>
      <c r="R6907" t="s">
        <v>2632</v>
      </c>
      <c r="S6907">
        <v>36</v>
      </c>
      <c r="T6907" s="43" t="str">
        <f t="shared" si="312"/>
        <v>2020.095B.R.Leviviricetes.zip</v>
      </c>
      <c r="U6907" s="43" t="str">
        <f>HYPERLINK("https://ictv.global/taxonomy/taxondetails?taxnode_id=202210838","ictv.global=202210838")</f>
        <v>ictv.global=202210838</v>
      </c>
    </row>
    <row r="6908" spans="1:21">
      <c r="A6908">
        <v>6907</v>
      </c>
      <c r="B6908" s="29" t="s">
        <v>3223</v>
      </c>
      <c r="C6908" s="29"/>
      <c r="D6908" s="29" t="s">
        <v>4156</v>
      </c>
      <c r="E6908" s="29"/>
      <c r="F6908" s="29" t="s">
        <v>4202</v>
      </c>
      <c r="G6908" s="29"/>
      <c r="H6908" s="29" t="s">
        <v>5205</v>
      </c>
      <c r="I6908" s="29"/>
      <c r="J6908" s="29" t="s">
        <v>5206</v>
      </c>
      <c r="K6908" s="29"/>
      <c r="L6908" s="29" t="s">
        <v>5207</v>
      </c>
      <c r="M6908" s="29"/>
      <c r="N6908" s="29" t="s">
        <v>5352</v>
      </c>
      <c r="O6908" s="29"/>
      <c r="P6908" s="29" t="s">
        <v>5353</v>
      </c>
      <c r="Q6908" t="s">
        <v>2040</v>
      </c>
      <c r="R6908" t="s">
        <v>2632</v>
      </c>
      <c r="S6908">
        <v>36</v>
      </c>
      <c r="T6908" s="43" t="str">
        <f t="shared" si="312"/>
        <v>2020.095B.R.Leviviricetes.zip</v>
      </c>
      <c r="U6908" s="43" t="str">
        <f>HYPERLINK("https://ictv.global/taxonomy/taxondetails?taxnode_id=202210840","ictv.global=202210840")</f>
        <v>ictv.global=202210840</v>
      </c>
    </row>
    <row r="6909" spans="1:21">
      <c r="A6909">
        <v>6908</v>
      </c>
      <c r="B6909" s="29" t="s">
        <v>3223</v>
      </c>
      <c r="C6909" s="29"/>
      <c r="D6909" s="29" t="s">
        <v>4156</v>
      </c>
      <c r="E6909" s="29"/>
      <c r="F6909" s="29" t="s">
        <v>4202</v>
      </c>
      <c r="G6909" s="29"/>
      <c r="H6909" s="29" t="s">
        <v>5205</v>
      </c>
      <c r="I6909" s="29"/>
      <c r="J6909" s="29" t="s">
        <v>5206</v>
      </c>
      <c r="K6909" s="29"/>
      <c r="L6909" s="29" t="s">
        <v>5207</v>
      </c>
      <c r="M6909" s="29"/>
      <c r="N6909" s="29" t="s">
        <v>5352</v>
      </c>
      <c r="O6909" s="29"/>
      <c r="P6909" s="29" t="s">
        <v>5354</v>
      </c>
      <c r="Q6909" t="s">
        <v>2040</v>
      </c>
      <c r="R6909" t="s">
        <v>2632</v>
      </c>
      <c r="S6909">
        <v>36</v>
      </c>
      <c r="T6909" s="43" t="str">
        <f t="shared" si="312"/>
        <v>2020.095B.R.Leviviricetes.zip</v>
      </c>
      <c r="U6909" s="43" t="str">
        <f>HYPERLINK("https://ictv.global/taxonomy/taxondetails?taxnode_id=202210841","ictv.global=202210841")</f>
        <v>ictv.global=202210841</v>
      </c>
    </row>
    <row r="6910" spans="1:21">
      <c r="A6910">
        <v>6909</v>
      </c>
      <c r="B6910" s="29" t="s">
        <v>3223</v>
      </c>
      <c r="C6910" s="29"/>
      <c r="D6910" s="29" t="s">
        <v>4156</v>
      </c>
      <c r="E6910" s="29"/>
      <c r="F6910" s="29" t="s">
        <v>4202</v>
      </c>
      <c r="G6910" s="29"/>
      <c r="H6910" s="29" t="s">
        <v>5205</v>
      </c>
      <c r="I6910" s="29"/>
      <c r="J6910" s="29" t="s">
        <v>5206</v>
      </c>
      <c r="K6910" s="29"/>
      <c r="L6910" s="29" t="s">
        <v>5355</v>
      </c>
      <c r="M6910" s="29"/>
      <c r="N6910" s="29" t="s">
        <v>5356</v>
      </c>
      <c r="O6910" s="29"/>
      <c r="P6910" s="29" t="s">
        <v>5357</v>
      </c>
      <c r="Q6910" t="s">
        <v>2040</v>
      </c>
      <c r="R6910" t="s">
        <v>2632</v>
      </c>
      <c r="S6910">
        <v>36</v>
      </c>
      <c r="T6910" s="43" t="str">
        <f t="shared" si="312"/>
        <v>2020.095B.R.Leviviricetes.zip</v>
      </c>
      <c r="U6910" s="43" t="str">
        <f>HYPERLINK("https://ictv.global/taxonomy/taxondetails?taxnode_id=202210844","ictv.global=202210844")</f>
        <v>ictv.global=202210844</v>
      </c>
    </row>
    <row r="6911" spans="1:21">
      <c r="A6911">
        <v>6910</v>
      </c>
      <c r="B6911" s="29" t="s">
        <v>3223</v>
      </c>
      <c r="C6911" s="29"/>
      <c r="D6911" s="29" t="s">
        <v>4156</v>
      </c>
      <c r="E6911" s="29"/>
      <c r="F6911" s="29" t="s">
        <v>4202</v>
      </c>
      <c r="G6911" s="29"/>
      <c r="H6911" s="29" t="s">
        <v>5205</v>
      </c>
      <c r="I6911" s="29"/>
      <c r="J6911" s="29" t="s">
        <v>5206</v>
      </c>
      <c r="K6911" s="29"/>
      <c r="L6911" s="29" t="s">
        <v>5355</v>
      </c>
      <c r="M6911" s="29"/>
      <c r="N6911" s="29" t="s">
        <v>5358</v>
      </c>
      <c r="O6911" s="29"/>
      <c r="P6911" s="29" t="s">
        <v>5359</v>
      </c>
      <c r="Q6911" t="s">
        <v>2040</v>
      </c>
      <c r="R6911" t="s">
        <v>2632</v>
      </c>
      <c r="S6911">
        <v>36</v>
      </c>
      <c r="T6911" s="43" t="str">
        <f t="shared" si="312"/>
        <v>2020.095B.R.Leviviricetes.zip</v>
      </c>
      <c r="U6911" s="43" t="str">
        <f>HYPERLINK("https://ictv.global/taxonomy/taxondetails?taxnode_id=202210846","ictv.global=202210846")</f>
        <v>ictv.global=202210846</v>
      </c>
    </row>
    <row r="6912" spans="1:21">
      <c r="A6912">
        <v>6911</v>
      </c>
      <c r="B6912" s="29" t="s">
        <v>3223</v>
      </c>
      <c r="C6912" s="29"/>
      <c r="D6912" s="29" t="s">
        <v>4156</v>
      </c>
      <c r="E6912" s="29"/>
      <c r="F6912" s="29" t="s">
        <v>4202</v>
      </c>
      <c r="G6912" s="29"/>
      <c r="H6912" s="29" t="s">
        <v>5205</v>
      </c>
      <c r="I6912" s="29"/>
      <c r="J6912" s="29" t="s">
        <v>5206</v>
      </c>
      <c r="K6912" s="29"/>
      <c r="L6912" s="29" t="s">
        <v>5355</v>
      </c>
      <c r="M6912" s="29"/>
      <c r="N6912" s="29" t="s">
        <v>5360</v>
      </c>
      <c r="O6912" s="29"/>
      <c r="P6912" s="29" t="s">
        <v>5361</v>
      </c>
      <c r="Q6912" t="s">
        <v>2040</v>
      </c>
      <c r="R6912" t="s">
        <v>2632</v>
      </c>
      <c r="S6912">
        <v>36</v>
      </c>
      <c r="T6912" s="43" t="str">
        <f t="shared" si="312"/>
        <v>2020.095B.R.Leviviricetes.zip</v>
      </c>
      <c r="U6912" s="43" t="str">
        <f>HYPERLINK("https://ictv.global/taxonomy/taxondetails?taxnode_id=202210848","ictv.global=202210848")</f>
        <v>ictv.global=202210848</v>
      </c>
    </row>
    <row r="6913" spans="1:21">
      <c r="A6913">
        <v>6912</v>
      </c>
      <c r="B6913" s="29" t="s">
        <v>3223</v>
      </c>
      <c r="C6913" s="29"/>
      <c r="D6913" s="29" t="s">
        <v>4156</v>
      </c>
      <c r="E6913" s="29"/>
      <c r="F6913" s="29" t="s">
        <v>4202</v>
      </c>
      <c r="G6913" s="29"/>
      <c r="H6913" s="29" t="s">
        <v>5205</v>
      </c>
      <c r="I6913" s="29"/>
      <c r="J6913" s="29" t="s">
        <v>5206</v>
      </c>
      <c r="K6913" s="29"/>
      <c r="L6913" s="29" t="s">
        <v>5355</v>
      </c>
      <c r="M6913" s="29"/>
      <c r="N6913" s="29" t="s">
        <v>5362</v>
      </c>
      <c r="O6913" s="29"/>
      <c r="P6913" s="29" t="s">
        <v>5363</v>
      </c>
      <c r="Q6913" t="s">
        <v>2040</v>
      </c>
      <c r="R6913" t="s">
        <v>2632</v>
      </c>
      <c r="S6913">
        <v>36</v>
      </c>
      <c r="T6913" s="43" t="str">
        <f t="shared" si="312"/>
        <v>2020.095B.R.Leviviricetes.zip</v>
      </c>
      <c r="U6913" s="43" t="str">
        <f>HYPERLINK("https://ictv.global/taxonomy/taxondetails?taxnode_id=202210850","ictv.global=202210850")</f>
        <v>ictv.global=202210850</v>
      </c>
    </row>
    <row r="6914" spans="1:21">
      <c r="A6914">
        <v>6913</v>
      </c>
      <c r="B6914" s="29" t="s">
        <v>3223</v>
      </c>
      <c r="C6914" s="29"/>
      <c r="D6914" s="29" t="s">
        <v>4156</v>
      </c>
      <c r="E6914" s="29"/>
      <c r="F6914" s="29" t="s">
        <v>4202</v>
      </c>
      <c r="G6914" s="29"/>
      <c r="H6914" s="29" t="s">
        <v>5205</v>
      </c>
      <c r="I6914" s="29"/>
      <c r="J6914" s="29" t="s">
        <v>5206</v>
      </c>
      <c r="K6914" s="29"/>
      <c r="L6914" s="29" t="s">
        <v>5355</v>
      </c>
      <c r="M6914" s="29"/>
      <c r="N6914" s="29" t="s">
        <v>5364</v>
      </c>
      <c r="O6914" s="29"/>
      <c r="P6914" s="29" t="s">
        <v>5365</v>
      </c>
      <c r="Q6914" t="s">
        <v>2040</v>
      </c>
      <c r="R6914" t="s">
        <v>2632</v>
      </c>
      <c r="S6914">
        <v>36</v>
      </c>
      <c r="T6914" s="43" t="str">
        <f t="shared" si="312"/>
        <v>2020.095B.R.Leviviricetes.zip</v>
      </c>
      <c r="U6914" s="43" t="str">
        <f>HYPERLINK("https://ictv.global/taxonomy/taxondetails?taxnode_id=202210852","ictv.global=202210852")</f>
        <v>ictv.global=202210852</v>
      </c>
    </row>
    <row r="6915" spans="1:21">
      <c r="A6915">
        <v>6914</v>
      </c>
      <c r="B6915" s="29" t="s">
        <v>3223</v>
      </c>
      <c r="C6915" s="29"/>
      <c r="D6915" s="29" t="s">
        <v>4156</v>
      </c>
      <c r="E6915" s="29"/>
      <c r="F6915" s="29" t="s">
        <v>4202</v>
      </c>
      <c r="G6915" s="29"/>
      <c r="H6915" s="29" t="s">
        <v>5205</v>
      </c>
      <c r="I6915" s="29"/>
      <c r="J6915" s="29" t="s">
        <v>5206</v>
      </c>
      <c r="K6915" s="29"/>
      <c r="L6915" s="29" t="s">
        <v>5355</v>
      </c>
      <c r="M6915" s="29"/>
      <c r="N6915" s="29" t="s">
        <v>5366</v>
      </c>
      <c r="O6915" s="29"/>
      <c r="P6915" s="29" t="s">
        <v>5367</v>
      </c>
      <c r="Q6915" t="s">
        <v>2040</v>
      </c>
      <c r="R6915" t="s">
        <v>2632</v>
      </c>
      <c r="S6915">
        <v>36</v>
      </c>
      <c r="T6915" s="43" t="str">
        <f t="shared" ref="T6915:T6946" si="313">HYPERLINK("https://ictv.global/ictv/proposals/2020.095B.R.Leviviricetes.zip","2020.095B.R.Leviviricetes.zip")</f>
        <v>2020.095B.R.Leviviricetes.zip</v>
      </c>
      <c r="U6915" s="43" t="str">
        <f>HYPERLINK("https://ictv.global/taxonomy/taxondetails?taxnode_id=202210854","ictv.global=202210854")</f>
        <v>ictv.global=202210854</v>
      </c>
    </row>
    <row r="6916" spans="1:21">
      <c r="A6916">
        <v>6915</v>
      </c>
      <c r="B6916" s="29" t="s">
        <v>3223</v>
      </c>
      <c r="C6916" s="29"/>
      <c r="D6916" s="29" t="s">
        <v>4156</v>
      </c>
      <c r="E6916" s="29"/>
      <c r="F6916" s="29" t="s">
        <v>4202</v>
      </c>
      <c r="G6916" s="29"/>
      <c r="H6916" s="29" t="s">
        <v>5205</v>
      </c>
      <c r="I6916" s="29"/>
      <c r="J6916" s="29" t="s">
        <v>5206</v>
      </c>
      <c r="K6916" s="29"/>
      <c r="L6916" s="29" t="s">
        <v>5368</v>
      </c>
      <c r="M6916" s="29"/>
      <c r="N6916" s="29" t="s">
        <v>5369</v>
      </c>
      <c r="O6916" s="29"/>
      <c r="P6916" s="29" t="s">
        <v>5370</v>
      </c>
      <c r="Q6916" t="s">
        <v>2040</v>
      </c>
      <c r="R6916" t="s">
        <v>2632</v>
      </c>
      <c r="S6916">
        <v>36</v>
      </c>
      <c r="T6916" s="43" t="str">
        <f t="shared" si="313"/>
        <v>2020.095B.R.Leviviricetes.zip</v>
      </c>
      <c r="U6916" s="43" t="str">
        <f>HYPERLINK("https://ictv.global/taxonomy/taxondetails?taxnode_id=202210219","ictv.global=202210219")</f>
        <v>ictv.global=202210219</v>
      </c>
    </row>
    <row r="6917" spans="1:21">
      <c r="A6917">
        <v>6916</v>
      </c>
      <c r="B6917" s="29" t="s">
        <v>3223</v>
      </c>
      <c r="C6917" s="29"/>
      <c r="D6917" s="29" t="s">
        <v>4156</v>
      </c>
      <c r="E6917" s="29"/>
      <c r="F6917" s="29" t="s">
        <v>4202</v>
      </c>
      <c r="G6917" s="29"/>
      <c r="H6917" s="29" t="s">
        <v>5205</v>
      </c>
      <c r="I6917" s="29"/>
      <c r="J6917" s="29" t="s">
        <v>5206</v>
      </c>
      <c r="K6917" s="29"/>
      <c r="L6917" s="29" t="s">
        <v>5368</v>
      </c>
      <c r="M6917" s="29"/>
      <c r="N6917" s="29" t="s">
        <v>5371</v>
      </c>
      <c r="O6917" s="29"/>
      <c r="P6917" s="29" t="s">
        <v>5372</v>
      </c>
      <c r="Q6917" t="s">
        <v>2040</v>
      </c>
      <c r="R6917" t="s">
        <v>2632</v>
      </c>
      <c r="S6917">
        <v>36</v>
      </c>
      <c r="T6917" s="43" t="str">
        <f t="shared" si="313"/>
        <v>2020.095B.R.Leviviricetes.zip</v>
      </c>
      <c r="U6917" s="43" t="str">
        <f>HYPERLINK("https://ictv.global/taxonomy/taxondetails?taxnode_id=202210221","ictv.global=202210221")</f>
        <v>ictv.global=202210221</v>
      </c>
    </row>
    <row r="6918" spans="1:21">
      <c r="A6918">
        <v>6917</v>
      </c>
      <c r="B6918" s="29" t="s">
        <v>3223</v>
      </c>
      <c r="C6918" s="29"/>
      <c r="D6918" s="29" t="s">
        <v>4156</v>
      </c>
      <c r="E6918" s="29"/>
      <c r="F6918" s="29" t="s">
        <v>4202</v>
      </c>
      <c r="G6918" s="29"/>
      <c r="H6918" s="29" t="s">
        <v>5205</v>
      </c>
      <c r="I6918" s="29"/>
      <c r="J6918" s="29" t="s">
        <v>5206</v>
      </c>
      <c r="K6918" s="29"/>
      <c r="L6918" s="29" t="s">
        <v>5368</v>
      </c>
      <c r="M6918" s="29"/>
      <c r="N6918" s="29" t="s">
        <v>5373</v>
      </c>
      <c r="O6918" s="29"/>
      <c r="P6918" s="29" t="s">
        <v>5374</v>
      </c>
      <c r="Q6918" t="s">
        <v>2040</v>
      </c>
      <c r="R6918" t="s">
        <v>2632</v>
      </c>
      <c r="S6918">
        <v>36</v>
      </c>
      <c r="T6918" s="43" t="str">
        <f t="shared" si="313"/>
        <v>2020.095B.R.Leviviricetes.zip</v>
      </c>
      <c r="U6918" s="43" t="str">
        <f>HYPERLINK("https://ictv.global/taxonomy/taxondetails?taxnode_id=202210223","ictv.global=202210223")</f>
        <v>ictv.global=202210223</v>
      </c>
    </row>
    <row r="6919" spans="1:21">
      <c r="A6919">
        <v>6918</v>
      </c>
      <c r="B6919" s="29" t="s">
        <v>3223</v>
      </c>
      <c r="C6919" s="29"/>
      <c r="D6919" s="29" t="s">
        <v>4156</v>
      </c>
      <c r="E6919" s="29"/>
      <c r="F6919" s="29" t="s">
        <v>4202</v>
      </c>
      <c r="G6919" s="29"/>
      <c r="H6919" s="29" t="s">
        <v>5205</v>
      </c>
      <c r="I6919" s="29"/>
      <c r="J6919" s="29" t="s">
        <v>5206</v>
      </c>
      <c r="K6919" s="29"/>
      <c r="L6919" s="29" t="s">
        <v>5368</v>
      </c>
      <c r="M6919" s="29"/>
      <c r="N6919" s="29" t="s">
        <v>5375</v>
      </c>
      <c r="O6919" s="29"/>
      <c r="P6919" s="29" t="s">
        <v>5376</v>
      </c>
      <c r="Q6919" t="s">
        <v>2040</v>
      </c>
      <c r="R6919" t="s">
        <v>2632</v>
      </c>
      <c r="S6919">
        <v>36</v>
      </c>
      <c r="T6919" s="43" t="str">
        <f t="shared" si="313"/>
        <v>2020.095B.R.Leviviricetes.zip</v>
      </c>
      <c r="U6919" s="43" t="str">
        <f>HYPERLINK("https://ictv.global/taxonomy/taxondetails?taxnode_id=202210225","ictv.global=202210225")</f>
        <v>ictv.global=202210225</v>
      </c>
    </row>
    <row r="6920" spans="1:21">
      <c r="A6920">
        <v>6919</v>
      </c>
      <c r="B6920" s="29" t="s">
        <v>3223</v>
      </c>
      <c r="C6920" s="29"/>
      <c r="D6920" s="29" t="s">
        <v>4156</v>
      </c>
      <c r="E6920" s="29"/>
      <c r="F6920" s="29" t="s">
        <v>4202</v>
      </c>
      <c r="G6920" s="29"/>
      <c r="H6920" s="29" t="s">
        <v>5205</v>
      </c>
      <c r="I6920" s="29"/>
      <c r="J6920" s="29" t="s">
        <v>5206</v>
      </c>
      <c r="K6920" s="29"/>
      <c r="L6920" s="29" t="s">
        <v>5368</v>
      </c>
      <c r="M6920" s="29"/>
      <c r="N6920" s="29" t="s">
        <v>5375</v>
      </c>
      <c r="O6920" s="29"/>
      <c r="P6920" s="29" t="s">
        <v>5377</v>
      </c>
      <c r="Q6920" t="s">
        <v>2040</v>
      </c>
      <c r="R6920" t="s">
        <v>2632</v>
      </c>
      <c r="S6920">
        <v>36</v>
      </c>
      <c r="T6920" s="43" t="str">
        <f t="shared" si="313"/>
        <v>2020.095B.R.Leviviricetes.zip</v>
      </c>
      <c r="U6920" s="43" t="str">
        <f>HYPERLINK("https://ictv.global/taxonomy/taxondetails?taxnode_id=202210226","ictv.global=202210226")</f>
        <v>ictv.global=202210226</v>
      </c>
    </row>
    <row r="6921" spans="1:21">
      <c r="A6921">
        <v>6920</v>
      </c>
      <c r="B6921" s="29" t="s">
        <v>3223</v>
      </c>
      <c r="C6921" s="29"/>
      <c r="D6921" s="29" t="s">
        <v>4156</v>
      </c>
      <c r="E6921" s="29"/>
      <c r="F6921" s="29" t="s">
        <v>4202</v>
      </c>
      <c r="G6921" s="29"/>
      <c r="H6921" s="29" t="s">
        <v>5205</v>
      </c>
      <c r="I6921" s="29"/>
      <c r="J6921" s="29" t="s">
        <v>5206</v>
      </c>
      <c r="K6921" s="29"/>
      <c r="L6921" s="29" t="s">
        <v>5368</v>
      </c>
      <c r="M6921" s="29"/>
      <c r="N6921" s="29" t="s">
        <v>5378</v>
      </c>
      <c r="O6921" s="29"/>
      <c r="P6921" s="29" t="s">
        <v>5379</v>
      </c>
      <c r="Q6921" t="s">
        <v>2040</v>
      </c>
      <c r="R6921" t="s">
        <v>2632</v>
      </c>
      <c r="S6921">
        <v>36</v>
      </c>
      <c r="T6921" s="43" t="str">
        <f t="shared" si="313"/>
        <v>2020.095B.R.Leviviricetes.zip</v>
      </c>
      <c r="U6921" s="43" t="str">
        <f>HYPERLINK("https://ictv.global/taxonomy/taxondetails?taxnode_id=202210229","ictv.global=202210229")</f>
        <v>ictv.global=202210229</v>
      </c>
    </row>
    <row r="6922" spans="1:21">
      <c r="A6922">
        <v>6921</v>
      </c>
      <c r="B6922" s="29" t="s">
        <v>3223</v>
      </c>
      <c r="C6922" s="29"/>
      <c r="D6922" s="29" t="s">
        <v>4156</v>
      </c>
      <c r="E6922" s="29"/>
      <c r="F6922" s="29" t="s">
        <v>4202</v>
      </c>
      <c r="G6922" s="29"/>
      <c r="H6922" s="29" t="s">
        <v>5205</v>
      </c>
      <c r="I6922" s="29"/>
      <c r="J6922" s="29" t="s">
        <v>5206</v>
      </c>
      <c r="K6922" s="29"/>
      <c r="L6922" s="29" t="s">
        <v>5368</v>
      </c>
      <c r="M6922" s="29"/>
      <c r="N6922" s="29" t="s">
        <v>5378</v>
      </c>
      <c r="O6922" s="29"/>
      <c r="P6922" s="29" t="s">
        <v>5380</v>
      </c>
      <c r="Q6922" t="s">
        <v>2040</v>
      </c>
      <c r="R6922" t="s">
        <v>2632</v>
      </c>
      <c r="S6922">
        <v>36</v>
      </c>
      <c r="T6922" s="43" t="str">
        <f t="shared" si="313"/>
        <v>2020.095B.R.Leviviricetes.zip</v>
      </c>
      <c r="U6922" s="43" t="str">
        <f>HYPERLINK("https://ictv.global/taxonomy/taxondetails?taxnode_id=202210228","ictv.global=202210228")</f>
        <v>ictv.global=202210228</v>
      </c>
    </row>
    <row r="6923" spans="1:21">
      <c r="A6923">
        <v>6922</v>
      </c>
      <c r="B6923" s="29" t="s">
        <v>3223</v>
      </c>
      <c r="C6923" s="29"/>
      <c r="D6923" s="29" t="s">
        <v>4156</v>
      </c>
      <c r="E6923" s="29"/>
      <c r="F6923" s="29" t="s">
        <v>4202</v>
      </c>
      <c r="G6923" s="29"/>
      <c r="H6923" s="29" t="s">
        <v>5205</v>
      </c>
      <c r="I6923" s="29"/>
      <c r="J6923" s="29" t="s">
        <v>5206</v>
      </c>
      <c r="K6923" s="29"/>
      <c r="L6923" s="29" t="s">
        <v>5368</v>
      </c>
      <c r="M6923" s="29"/>
      <c r="N6923" s="29" t="s">
        <v>5378</v>
      </c>
      <c r="O6923" s="29"/>
      <c r="P6923" s="29" t="s">
        <v>5381</v>
      </c>
      <c r="Q6923" t="s">
        <v>2040</v>
      </c>
      <c r="R6923" t="s">
        <v>2632</v>
      </c>
      <c r="S6923">
        <v>36</v>
      </c>
      <c r="T6923" s="43" t="str">
        <f t="shared" si="313"/>
        <v>2020.095B.R.Leviviricetes.zip</v>
      </c>
      <c r="U6923" s="43" t="str">
        <f>HYPERLINK("https://ictv.global/taxonomy/taxondetails?taxnode_id=202210230","ictv.global=202210230")</f>
        <v>ictv.global=202210230</v>
      </c>
    </row>
    <row r="6924" spans="1:21">
      <c r="A6924">
        <v>6923</v>
      </c>
      <c r="B6924" s="29" t="s">
        <v>3223</v>
      </c>
      <c r="C6924" s="29"/>
      <c r="D6924" s="29" t="s">
        <v>4156</v>
      </c>
      <c r="E6924" s="29"/>
      <c r="F6924" s="29" t="s">
        <v>4202</v>
      </c>
      <c r="G6924" s="29"/>
      <c r="H6924" s="29" t="s">
        <v>5205</v>
      </c>
      <c r="I6924" s="29"/>
      <c r="J6924" s="29" t="s">
        <v>5206</v>
      </c>
      <c r="K6924" s="29"/>
      <c r="L6924" s="29" t="s">
        <v>5368</v>
      </c>
      <c r="M6924" s="29"/>
      <c r="N6924" s="29" t="s">
        <v>5382</v>
      </c>
      <c r="O6924" s="29"/>
      <c r="P6924" s="29" t="s">
        <v>5383</v>
      </c>
      <c r="Q6924" t="s">
        <v>2040</v>
      </c>
      <c r="R6924" t="s">
        <v>2632</v>
      </c>
      <c r="S6924">
        <v>36</v>
      </c>
      <c r="T6924" s="43" t="str">
        <f t="shared" si="313"/>
        <v>2020.095B.R.Leviviricetes.zip</v>
      </c>
      <c r="U6924" s="43" t="str">
        <f>HYPERLINK("https://ictv.global/taxonomy/taxondetails?taxnode_id=202210232","ictv.global=202210232")</f>
        <v>ictv.global=202210232</v>
      </c>
    </row>
    <row r="6925" spans="1:21">
      <c r="A6925">
        <v>6924</v>
      </c>
      <c r="B6925" s="29" t="s">
        <v>3223</v>
      </c>
      <c r="C6925" s="29"/>
      <c r="D6925" s="29" t="s">
        <v>4156</v>
      </c>
      <c r="E6925" s="29"/>
      <c r="F6925" s="29" t="s">
        <v>4202</v>
      </c>
      <c r="G6925" s="29"/>
      <c r="H6925" s="29" t="s">
        <v>5205</v>
      </c>
      <c r="I6925" s="29"/>
      <c r="J6925" s="29" t="s">
        <v>5206</v>
      </c>
      <c r="K6925" s="29"/>
      <c r="L6925" s="29" t="s">
        <v>5368</v>
      </c>
      <c r="M6925" s="29"/>
      <c r="N6925" s="29" t="s">
        <v>5384</v>
      </c>
      <c r="O6925" s="29"/>
      <c r="P6925" s="29" t="s">
        <v>5385</v>
      </c>
      <c r="Q6925" t="s">
        <v>2040</v>
      </c>
      <c r="R6925" t="s">
        <v>2632</v>
      </c>
      <c r="S6925">
        <v>36</v>
      </c>
      <c r="T6925" s="43" t="str">
        <f t="shared" si="313"/>
        <v>2020.095B.R.Leviviricetes.zip</v>
      </c>
      <c r="U6925" s="43" t="str">
        <f>HYPERLINK("https://ictv.global/taxonomy/taxondetails?taxnode_id=202210234","ictv.global=202210234")</f>
        <v>ictv.global=202210234</v>
      </c>
    </row>
    <row r="6926" spans="1:21">
      <c r="A6926">
        <v>6925</v>
      </c>
      <c r="B6926" s="29" t="s">
        <v>3223</v>
      </c>
      <c r="C6926" s="29"/>
      <c r="D6926" s="29" t="s">
        <v>4156</v>
      </c>
      <c r="E6926" s="29"/>
      <c r="F6926" s="29" t="s">
        <v>4202</v>
      </c>
      <c r="G6926" s="29"/>
      <c r="H6926" s="29" t="s">
        <v>5205</v>
      </c>
      <c r="I6926" s="29"/>
      <c r="J6926" s="29" t="s">
        <v>5206</v>
      </c>
      <c r="K6926" s="29"/>
      <c r="L6926" s="29" t="s">
        <v>5368</v>
      </c>
      <c r="M6926" s="29"/>
      <c r="N6926" s="29" t="s">
        <v>5386</v>
      </c>
      <c r="O6926" s="29"/>
      <c r="P6926" s="29" t="s">
        <v>5387</v>
      </c>
      <c r="Q6926" t="s">
        <v>2040</v>
      </c>
      <c r="R6926" t="s">
        <v>2632</v>
      </c>
      <c r="S6926">
        <v>36</v>
      </c>
      <c r="T6926" s="43" t="str">
        <f t="shared" si="313"/>
        <v>2020.095B.R.Leviviricetes.zip</v>
      </c>
      <c r="U6926" s="43" t="str">
        <f>HYPERLINK("https://ictv.global/taxonomy/taxondetails?taxnode_id=202210237","ictv.global=202210237")</f>
        <v>ictv.global=202210237</v>
      </c>
    </row>
    <row r="6927" spans="1:21">
      <c r="A6927">
        <v>6926</v>
      </c>
      <c r="B6927" s="29" t="s">
        <v>3223</v>
      </c>
      <c r="C6927" s="29"/>
      <c r="D6927" s="29" t="s">
        <v>4156</v>
      </c>
      <c r="E6927" s="29"/>
      <c r="F6927" s="29" t="s">
        <v>4202</v>
      </c>
      <c r="G6927" s="29"/>
      <c r="H6927" s="29" t="s">
        <v>5205</v>
      </c>
      <c r="I6927" s="29"/>
      <c r="J6927" s="29" t="s">
        <v>5206</v>
      </c>
      <c r="K6927" s="29"/>
      <c r="L6927" s="29" t="s">
        <v>5368</v>
      </c>
      <c r="M6927" s="29"/>
      <c r="N6927" s="29" t="s">
        <v>5386</v>
      </c>
      <c r="O6927" s="29"/>
      <c r="P6927" s="29" t="s">
        <v>5388</v>
      </c>
      <c r="Q6927" t="s">
        <v>2040</v>
      </c>
      <c r="R6927" t="s">
        <v>2632</v>
      </c>
      <c r="S6927">
        <v>36</v>
      </c>
      <c r="T6927" s="43" t="str">
        <f t="shared" si="313"/>
        <v>2020.095B.R.Leviviricetes.zip</v>
      </c>
      <c r="U6927" s="43" t="str">
        <f>HYPERLINK("https://ictv.global/taxonomy/taxondetails?taxnode_id=202210238","ictv.global=202210238")</f>
        <v>ictv.global=202210238</v>
      </c>
    </row>
    <row r="6928" spans="1:21">
      <c r="A6928">
        <v>6927</v>
      </c>
      <c r="B6928" s="29" t="s">
        <v>3223</v>
      </c>
      <c r="C6928" s="29"/>
      <c r="D6928" s="29" t="s">
        <v>4156</v>
      </c>
      <c r="E6928" s="29"/>
      <c r="F6928" s="29" t="s">
        <v>4202</v>
      </c>
      <c r="G6928" s="29"/>
      <c r="H6928" s="29" t="s">
        <v>5205</v>
      </c>
      <c r="I6928" s="29"/>
      <c r="J6928" s="29" t="s">
        <v>5206</v>
      </c>
      <c r="K6928" s="29"/>
      <c r="L6928" s="29" t="s">
        <v>5368</v>
      </c>
      <c r="M6928" s="29"/>
      <c r="N6928" s="29" t="s">
        <v>5386</v>
      </c>
      <c r="O6928" s="29"/>
      <c r="P6928" s="29" t="s">
        <v>5389</v>
      </c>
      <c r="Q6928" t="s">
        <v>2040</v>
      </c>
      <c r="R6928" t="s">
        <v>2632</v>
      </c>
      <c r="S6928">
        <v>36</v>
      </c>
      <c r="T6928" s="43" t="str">
        <f t="shared" si="313"/>
        <v>2020.095B.R.Leviviricetes.zip</v>
      </c>
      <c r="U6928" s="43" t="str">
        <f>HYPERLINK("https://ictv.global/taxonomy/taxondetails?taxnode_id=202210236","ictv.global=202210236")</f>
        <v>ictv.global=202210236</v>
      </c>
    </row>
    <row r="6929" spans="1:21">
      <c r="A6929">
        <v>6928</v>
      </c>
      <c r="B6929" s="29" t="s">
        <v>3223</v>
      </c>
      <c r="C6929" s="29"/>
      <c r="D6929" s="29" t="s">
        <v>4156</v>
      </c>
      <c r="E6929" s="29"/>
      <c r="F6929" s="29" t="s">
        <v>4202</v>
      </c>
      <c r="G6929" s="29"/>
      <c r="H6929" s="29" t="s">
        <v>5205</v>
      </c>
      <c r="I6929" s="29"/>
      <c r="J6929" s="29" t="s">
        <v>5206</v>
      </c>
      <c r="K6929" s="29"/>
      <c r="L6929" s="29" t="s">
        <v>5368</v>
      </c>
      <c r="M6929" s="29"/>
      <c r="N6929" s="29" t="s">
        <v>5390</v>
      </c>
      <c r="O6929" s="29"/>
      <c r="P6929" s="29" t="s">
        <v>5391</v>
      </c>
      <c r="Q6929" t="s">
        <v>2040</v>
      </c>
      <c r="R6929" t="s">
        <v>2632</v>
      </c>
      <c r="S6929">
        <v>36</v>
      </c>
      <c r="T6929" s="43" t="str">
        <f t="shared" si="313"/>
        <v>2020.095B.R.Leviviricetes.zip</v>
      </c>
      <c r="U6929" s="43" t="str">
        <f>HYPERLINK("https://ictv.global/taxonomy/taxondetails?taxnode_id=202210240","ictv.global=202210240")</f>
        <v>ictv.global=202210240</v>
      </c>
    </row>
    <row r="6930" spans="1:21">
      <c r="A6930">
        <v>6929</v>
      </c>
      <c r="B6930" s="29" t="s">
        <v>3223</v>
      </c>
      <c r="C6930" s="29"/>
      <c r="D6930" s="29" t="s">
        <v>4156</v>
      </c>
      <c r="E6930" s="29"/>
      <c r="F6930" s="29" t="s">
        <v>4202</v>
      </c>
      <c r="G6930" s="29"/>
      <c r="H6930" s="29" t="s">
        <v>5205</v>
      </c>
      <c r="I6930" s="29"/>
      <c r="J6930" s="29" t="s">
        <v>5206</v>
      </c>
      <c r="K6930" s="29"/>
      <c r="L6930" s="29" t="s">
        <v>5368</v>
      </c>
      <c r="M6930" s="29"/>
      <c r="N6930" s="29" t="s">
        <v>5392</v>
      </c>
      <c r="O6930" s="29"/>
      <c r="P6930" s="29" t="s">
        <v>5393</v>
      </c>
      <c r="Q6930" t="s">
        <v>2040</v>
      </c>
      <c r="R6930" t="s">
        <v>2632</v>
      </c>
      <c r="S6930">
        <v>36</v>
      </c>
      <c r="T6930" s="43" t="str">
        <f t="shared" si="313"/>
        <v>2020.095B.R.Leviviricetes.zip</v>
      </c>
      <c r="U6930" s="43" t="str">
        <f>HYPERLINK("https://ictv.global/taxonomy/taxondetails?taxnode_id=202210242","ictv.global=202210242")</f>
        <v>ictv.global=202210242</v>
      </c>
    </row>
    <row r="6931" spans="1:21">
      <c r="A6931">
        <v>6930</v>
      </c>
      <c r="B6931" s="29" t="s">
        <v>3223</v>
      </c>
      <c r="C6931" s="29"/>
      <c r="D6931" s="29" t="s">
        <v>4156</v>
      </c>
      <c r="E6931" s="29"/>
      <c r="F6931" s="29" t="s">
        <v>4202</v>
      </c>
      <c r="G6931" s="29"/>
      <c r="H6931" s="29" t="s">
        <v>5205</v>
      </c>
      <c r="I6931" s="29"/>
      <c r="J6931" s="29" t="s">
        <v>5206</v>
      </c>
      <c r="K6931" s="29"/>
      <c r="L6931" s="29" t="s">
        <v>5368</v>
      </c>
      <c r="M6931" s="29"/>
      <c r="N6931" s="29" t="s">
        <v>5394</v>
      </c>
      <c r="O6931" s="29"/>
      <c r="P6931" s="29" t="s">
        <v>5395</v>
      </c>
      <c r="Q6931" t="s">
        <v>2040</v>
      </c>
      <c r="R6931" t="s">
        <v>2632</v>
      </c>
      <c r="S6931">
        <v>36</v>
      </c>
      <c r="T6931" s="43" t="str">
        <f t="shared" si="313"/>
        <v>2020.095B.R.Leviviricetes.zip</v>
      </c>
      <c r="U6931" s="43" t="str">
        <f>HYPERLINK("https://ictv.global/taxonomy/taxondetails?taxnode_id=202210244","ictv.global=202210244")</f>
        <v>ictv.global=202210244</v>
      </c>
    </row>
    <row r="6932" spans="1:21">
      <c r="A6932">
        <v>6931</v>
      </c>
      <c r="B6932" s="29" t="s">
        <v>3223</v>
      </c>
      <c r="C6932" s="29"/>
      <c r="D6932" s="29" t="s">
        <v>4156</v>
      </c>
      <c r="E6932" s="29"/>
      <c r="F6932" s="29" t="s">
        <v>4202</v>
      </c>
      <c r="G6932" s="29"/>
      <c r="H6932" s="29" t="s">
        <v>5205</v>
      </c>
      <c r="I6932" s="29"/>
      <c r="J6932" s="29" t="s">
        <v>5206</v>
      </c>
      <c r="K6932" s="29"/>
      <c r="L6932" s="29" t="s">
        <v>5368</v>
      </c>
      <c r="M6932" s="29"/>
      <c r="N6932" s="29" t="s">
        <v>5396</v>
      </c>
      <c r="O6932" s="29"/>
      <c r="P6932" s="29" t="s">
        <v>5397</v>
      </c>
      <c r="Q6932" t="s">
        <v>2040</v>
      </c>
      <c r="R6932" t="s">
        <v>2632</v>
      </c>
      <c r="S6932">
        <v>36</v>
      </c>
      <c r="T6932" s="43" t="str">
        <f t="shared" si="313"/>
        <v>2020.095B.R.Leviviricetes.zip</v>
      </c>
      <c r="U6932" s="43" t="str">
        <f>HYPERLINK("https://ictv.global/taxonomy/taxondetails?taxnode_id=202210246","ictv.global=202210246")</f>
        <v>ictv.global=202210246</v>
      </c>
    </row>
    <row r="6933" spans="1:21">
      <c r="A6933">
        <v>6932</v>
      </c>
      <c r="B6933" s="29" t="s">
        <v>3223</v>
      </c>
      <c r="C6933" s="29"/>
      <c r="D6933" s="29" t="s">
        <v>4156</v>
      </c>
      <c r="E6933" s="29"/>
      <c r="F6933" s="29" t="s">
        <v>4202</v>
      </c>
      <c r="G6933" s="29"/>
      <c r="H6933" s="29" t="s">
        <v>5205</v>
      </c>
      <c r="I6933" s="29"/>
      <c r="J6933" s="29" t="s">
        <v>5206</v>
      </c>
      <c r="K6933" s="29"/>
      <c r="L6933" s="29" t="s">
        <v>5368</v>
      </c>
      <c r="M6933" s="29"/>
      <c r="N6933" s="29" t="s">
        <v>5398</v>
      </c>
      <c r="O6933" s="29"/>
      <c r="P6933" s="29" t="s">
        <v>5399</v>
      </c>
      <c r="Q6933" t="s">
        <v>2040</v>
      </c>
      <c r="R6933" t="s">
        <v>2632</v>
      </c>
      <c r="S6933">
        <v>36</v>
      </c>
      <c r="T6933" s="43" t="str">
        <f t="shared" si="313"/>
        <v>2020.095B.R.Leviviricetes.zip</v>
      </c>
      <c r="U6933" s="43" t="str">
        <f>HYPERLINK("https://ictv.global/taxonomy/taxondetails?taxnode_id=202210248","ictv.global=202210248")</f>
        <v>ictv.global=202210248</v>
      </c>
    </row>
    <row r="6934" spans="1:21">
      <c r="A6934">
        <v>6933</v>
      </c>
      <c r="B6934" s="29" t="s">
        <v>3223</v>
      </c>
      <c r="C6934" s="29"/>
      <c r="D6934" s="29" t="s">
        <v>4156</v>
      </c>
      <c r="E6934" s="29"/>
      <c r="F6934" s="29" t="s">
        <v>4202</v>
      </c>
      <c r="G6934" s="29"/>
      <c r="H6934" s="29" t="s">
        <v>5205</v>
      </c>
      <c r="I6934" s="29"/>
      <c r="J6934" s="29" t="s">
        <v>5206</v>
      </c>
      <c r="K6934" s="29"/>
      <c r="L6934" s="29" t="s">
        <v>5368</v>
      </c>
      <c r="M6934" s="29"/>
      <c r="N6934" s="29" t="s">
        <v>5400</v>
      </c>
      <c r="O6934" s="29"/>
      <c r="P6934" s="29" t="s">
        <v>5401</v>
      </c>
      <c r="Q6934" t="s">
        <v>2040</v>
      </c>
      <c r="R6934" t="s">
        <v>2632</v>
      </c>
      <c r="S6934">
        <v>36</v>
      </c>
      <c r="T6934" s="43" t="str">
        <f t="shared" si="313"/>
        <v>2020.095B.R.Leviviricetes.zip</v>
      </c>
      <c r="U6934" s="43" t="str">
        <f>HYPERLINK("https://ictv.global/taxonomy/taxondetails?taxnode_id=202210250","ictv.global=202210250")</f>
        <v>ictv.global=202210250</v>
      </c>
    </row>
    <row r="6935" spans="1:21">
      <c r="A6935">
        <v>6934</v>
      </c>
      <c r="B6935" s="29" t="s">
        <v>3223</v>
      </c>
      <c r="C6935" s="29"/>
      <c r="D6935" s="29" t="s">
        <v>4156</v>
      </c>
      <c r="E6935" s="29"/>
      <c r="F6935" s="29" t="s">
        <v>4202</v>
      </c>
      <c r="G6935" s="29"/>
      <c r="H6935" s="29" t="s">
        <v>5205</v>
      </c>
      <c r="I6935" s="29"/>
      <c r="J6935" s="29" t="s">
        <v>5206</v>
      </c>
      <c r="K6935" s="29"/>
      <c r="L6935" s="29" t="s">
        <v>5368</v>
      </c>
      <c r="M6935" s="29"/>
      <c r="N6935" s="29" t="s">
        <v>5402</v>
      </c>
      <c r="O6935" s="29"/>
      <c r="P6935" s="29" t="s">
        <v>5403</v>
      </c>
      <c r="Q6935" t="s">
        <v>2040</v>
      </c>
      <c r="R6935" t="s">
        <v>2632</v>
      </c>
      <c r="S6935">
        <v>36</v>
      </c>
      <c r="T6935" s="43" t="str">
        <f t="shared" si="313"/>
        <v>2020.095B.R.Leviviricetes.zip</v>
      </c>
      <c r="U6935" s="43" t="str">
        <f>HYPERLINK("https://ictv.global/taxonomy/taxondetails?taxnode_id=202210252","ictv.global=202210252")</f>
        <v>ictv.global=202210252</v>
      </c>
    </row>
    <row r="6936" spans="1:21">
      <c r="A6936">
        <v>6935</v>
      </c>
      <c r="B6936" s="29" t="s">
        <v>3223</v>
      </c>
      <c r="C6936" s="29"/>
      <c r="D6936" s="29" t="s">
        <v>4156</v>
      </c>
      <c r="E6936" s="29"/>
      <c r="F6936" s="29" t="s">
        <v>4202</v>
      </c>
      <c r="G6936" s="29"/>
      <c r="H6936" s="29" t="s">
        <v>5205</v>
      </c>
      <c r="I6936" s="29"/>
      <c r="J6936" s="29" t="s">
        <v>5206</v>
      </c>
      <c r="K6936" s="29"/>
      <c r="L6936" s="29" t="s">
        <v>5368</v>
      </c>
      <c r="M6936" s="29"/>
      <c r="N6936" s="29" t="s">
        <v>5404</v>
      </c>
      <c r="O6936" s="29"/>
      <c r="P6936" s="29" t="s">
        <v>5405</v>
      </c>
      <c r="Q6936" t="s">
        <v>2040</v>
      </c>
      <c r="R6936" t="s">
        <v>2632</v>
      </c>
      <c r="S6936">
        <v>36</v>
      </c>
      <c r="T6936" s="43" t="str">
        <f t="shared" si="313"/>
        <v>2020.095B.R.Leviviricetes.zip</v>
      </c>
      <c r="U6936" s="43" t="str">
        <f>HYPERLINK("https://ictv.global/taxonomy/taxondetails?taxnode_id=202210254","ictv.global=202210254")</f>
        <v>ictv.global=202210254</v>
      </c>
    </row>
    <row r="6937" spans="1:21">
      <c r="A6937">
        <v>6936</v>
      </c>
      <c r="B6937" s="29" t="s">
        <v>3223</v>
      </c>
      <c r="C6937" s="29"/>
      <c r="D6937" s="29" t="s">
        <v>4156</v>
      </c>
      <c r="E6937" s="29"/>
      <c r="F6937" s="29" t="s">
        <v>4202</v>
      </c>
      <c r="G6937" s="29"/>
      <c r="H6937" s="29" t="s">
        <v>5205</v>
      </c>
      <c r="I6937" s="29"/>
      <c r="J6937" s="29" t="s">
        <v>5206</v>
      </c>
      <c r="K6937" s="29"/>
      <c r="L6937" s="29" t="s">
        <v>5368</v>
      </c>
      <c r="M6937" s="29"/>
      <c r="N6937" s="29" t="s">
        <v>5406</v>
      </c>
      <c r="O6937" s="29"/>
      <c r="P6937" s="29" t="s">
        <v>5407</v>
      </c>
      <c r="Q6937" t="s">
        <v>2040</v>
      </c>
      <c r="R6937" t="s">
        <v>2632</v>
      </c>
      <c r="S6937">
        <v>36</v>
      </c>
      <c r="T6937" s="43" t="str">
        <f t="shared" si="313"/>
        <v>2020.095B.R.Leviviricetes.zip</v>
      </c>
      <c r="U6937" s="43" t="str">
        <f>HYPERLINK("https://ictv.global/taxonomy/taxondetails?taxnode_id=202210256","ictv.global=202210256")</f>
        <v>ictv.global=202210256</v>
      </c>
    </row>
    <row r="6938" spans="1:21">
      <c r="A6938">
        <v>6937</v>
      </c>
      <c r="B6938" s="29" t="s">
        <v>3223</v>
      </c>
      <c r="C6938" s="29"/>
      <c r="D6938" s="29" t="s">
        <v>4156</v>
      </c>
      <c r="E6938" s="29"/>
      <c r="F6938" s="29" t="s">
        <v>4202</v>
      </c>
      <c r="G6938" s="29"/>
      <c r="H6938" s="29" t="s">
        <v>5205</v>
      </c>
      <c r="I6938" s="29"/>
      <c r="J6938" s="29" t="s">
        <v>5206</v>
      </c>
      <c r="K6938" s="29"/>
      <c r="L6938" s="29" t="s">
        <v>5368</v>
      </c>
      <c r="M6938" s="29"/>
      <c r="N6938" s="29" t="s">
        <v>5408</v>
      </c>
      <c r="O6938" s="29"/>
      <c r="P6938" s="29" t="s">
        <v>5409</v>
      </c>
      <c r="Q6938" t="s">
        <v>2040</v>
      </c>
      <c r="R6938" t="s">
        <v>2632</v>
      </c>
      <c r="S6938">
        <v>36</v>
      </c>
      <c r="T6938" s="43" t="str">
        <f t="shared" si="313"/>
        <v>2020.095B.R.Leviviricetes.zip</v>
      </c>
      <c r="U6938" s="43" t="str">
        <f>HYPERLINK("https://ictv.global/taxonomy/taxondetails?taxnode_id=202210258","ictv.global=202210258")</f>
        <v>ictv.global=202210258</v>
      </c>
    </row>
    <row r="6939" spans="1:21">
      <c r="A6939">
        <v>6938</v>
      </c>
      <c r="B6939" s="29" t="s">
        <v>3223</v>
      </c>
      <c r="C6939" s="29"/>
      <c r="D6939" s="29" t="s">
        <v>4156</v>
      </c>
      <c r="E6939" s="29"/>
      <c r="F6939" s="29" t="s">
        <v>4202</v>
      </c>
      <c r="G6939" s="29"/>
      <c r="H6939" s="29" t="s">
        <v>5205</v>
      </c>
      <c r="I6939" s="29"/>
      <c r="J6939" s="29" t="s">
        <v>5206</v>
      </c>
      <c r="K6939" s="29"/>
      <c r="L6939" s="29" t="s">
        <v>5368</v>
      </c>
      <c r="M6939" s="29"/>
      <c r="N6939" s="29" t="s">
        <v>5410</v>
      </c>
      <c r="O6939" s="29"/>
      <c r="P6939" s="29" t="s">
        <v>5411</v>
      </c>
      <c r="Q6939" t="s">
        <v>2040</v>
      </c>
      <c r="R6939" t="s">
        <v>2632</v>
      </c>
      <c r="S6939">
        <v>36</v>
      </c>
      <c r="T6939" s="43" t="str">
        <f t="shared" si="313"/>
        <v>2020.095B.R.Leviviricetes.zip</v>
      </c>
      <c r="U6939" s="43" t="str">
        <f>HYPERLINK("https://ictv.global/taxonomy/taxondetails?taxnode_id=202210261","ictv.global=202210261")</f>
        <v>ictv.global=202210261</v>
      </c>
    </row>
    <row r="6940" spans="1:21">
      <c r="A6940">
        <v>6939</v>
      </c>
      <c r="B6940" s="29" t="s">
        <v>3223</v>
      </c>
      <c r="C6940" s="29"/>
      <c r="D6940" s="29" t="s">
        <v>4156</v>
      </c>
      <c r="E6940" s="29"/>
      <c r="F6940" s="29" t="s">
        <v>4202</v>
      </c>
      <c r="G6940" s="29"/>
      <c r="H6940" s="29" t="s">
        <v>5205</v>
      </c>
      <c r="I6940" s="29"/>
      <c r="J6940" s="29" t="s">
        <v>5206</v>
      </c>
      <c r="K6940" s="29"/>
      <c r="L6940" s="29" t="s">
        <v>5368</v>
      </c>
      <c r="M6940" s="29"/>
      <c r="N6940" s="29" t="s">
        <v>5410</v>
      </c>
      <c r="O6940" s="29"/>
      <c r="P6940" s="29" t="s">
        <v>5412</v>
      </c>
      <c r="Q6940" t="s">
        <v>2040</v>
      </c>
      <c r="R6940" t="s">
        <v>2632</v>
      </c>
      <c r="S6940">
        <v>36</v>
      </c>
      <c r="T6940" s="43" t="str">
        <f t="shared" si="313"/>
        <v>2020.095B.R.Leviviricetes.zip</v>
      </c>
      <c r="U6940" s="43" t="str">
        <f>HYPERLINK("https://ictv.global/taxonomy/taxondetails?taxnode_id=202210262","ictv.global=202210262")</f>
        <v>ictv.global=202210262</v>
      </c>
    </row>
    <row r="6941" spans="1:21">
      <c r="A6941">
        <v>6940</v>
      </c>
      <c r="B6941" s="29" t="s">
        <v>3223</v>
      </c>
      <c r="C6941" s="29"/>
      <c r="D6941" s="29" t="s">
        <v>4156</v>
      </c>
      <c r="E6941" s="29"/>
      <c r="F6941" s="29" t="s">
        <v>4202</v>
      </c>
      <c r="G6941" s="29"/>
      <c r="H6941" s="29" t="s">
        <v>5205</v>
      </c>
      <c r="I6941" s="29"/>
      <c r="J6941" s="29" t="s">
        <v>5206</v>
      </c>
      <c r="K6941" s="29"/>
      <c r="L6941" s="29" t="s">
        <v>5368</v>
      </c>
      <c r="M6941" s="29"/>
      <c r="N6941" s="29" t="s">
        <v>5410</v>
      </c>
      <c r="O6941" s="29"/>
      <c r="P6941" s="29" t="s">
        <v>5413</v>
      </c>
      <c r="Q6941" t="s">
        <v>2040</v>
      </c>
      <c r="R6941" t="s">
        <v>2632</v>
      </c>
      <c r="S6941">
        <v>36</v>
      </c>
      <c r="T6941" s="43" t="str">
        <f t="shared" si="313"/>
        <v>2020.095B.R.Leviviricetes.zip</v>
      </c>
      <c r="U6941" s="43" t="str">
        <f>HYPERLINK("https://ictv.global/taxonomy/taxondetails?taxnode_id=202210260","ictv.global=202210260")</f>
        <v>ictv.global=202210260</v>
      </c>
    </row>
    <row r="6942" spans="1:21">
      <c r="A6942">
        <v>6941</v>
      </c>
      <c r="B6942" s="29" t="s">
        <v>3223</v>
      </c>
      <c r="C6942" s="29"/>
      <c r="D6942" s="29" t="s">
        <v>4156</v>
      </c>
      <c r="E6942" s="29"/>
      <c r="F6942" s="29" t="s">
        <v>4202</v>
      </c>
      <c r="G6942" s="29"/>
      <c r="H6942" s="29" t="s">
        <v>5205</v>
      </c>
      <c r="I6942" s="29"/>
      <c r="J6942" s="29" t="s">
        <v>5206</v>
      </c>
      <c r="K6942" s="29"/>
      <c r="L6942" s="29" t="s">
        <v>5368</v>
      </c>
      <c r="M6942" s="29"/>
      <c r="N6942" s="29" t="s">
        <v>5410</v>
      </c>
      <c r="O6942" s="29"/>
      <c r="P6942" s="29" t="s">
        <v>5414</v>
      </c>
      <c r="Q6942" t="s">
        <v>2040</v>
      </c>
      <c r="R6942" t="s">
        <v>2632</v>
      </c>
      <c r="S6942">
        <v>36</v>
      </c>
      <c r="T6942" s="43" t="str">
        <f t="shared" si="313"/>
        <v>2020.095B.R.Leviviricetes.zip</v>
      </c>
      <c r="U6942" s="43" t="str">
        <f>HYPERLINK("https://ictv.global/taxonomy/taxondetails?taxnode_id=202210263","ictv.global=202210263")</f>
        <v>ictv.global=202210263</v>
      </c>
    </row>
    <row r="6943" spans="1:21">
      <c r="A6943">
        <v>6942</v>
      </c>
      <c r="B6943" s="29" t="s">
        <v>3223</v>
      </c>
      <c r="C6943" s="29"/>
      <c r="D6943" s="29" t="s">
        <v>4156</v>
      </c>
      <c r="E6943" s="29"/>
      <c r="F6943" s="29" t="s">
        <v>4202</v>
      </c>
      <c r="G6943" s="29"/>
      <c r="H6943" s="29" t="s">
        <v>5205</v>
      </c>
      <c r="I6943" s="29"/>
      <c r="J6943" s="29" t="s">
        <v>5206</v>
      </c>
      <c r="K6943" s="29"/>
      <c r="L6943" s="29" t="s">
        <v>5368</v>
      </c>
      <c r="M6943" s="29"/>
      <c r="N6943" s="29" t="s">
        <v>5415</v>
      </c>
      <c r="O6943" s="29"/>
      <c r="P6943" s="29" t="s">
        <v>5416</v>
      </c>
      <c r="Q6943" t="s">
        <v>2040</v>
      </c>
      <c r="R6943" t="s">
        <v>2632</v>
      </c>
      <c r="S6943">
        <v>36</v>
      </c>
      <c r="T6943" s="43" t="str">
        <f t="shared" si="313"/>
        <v>2020.095B.R.Leviviricetes.zip</v>
      </c>
      <c r="U6943" s="43" t="str">
        <f>HYPERLINK("https://ictv.global/taxonomy/taxondetails?taxnode_id=202210265","ictv.global=202210265")</f>
        <v>ictv.global=202210265</v>
      </c>
    </row>
    <row r="6944" spans="1:21">
      <c r="A6944">
        <v>6943</v>
      </c>
      <c r="B6944" s="29" t="s">
        <v>3223</v>
      </c>
      <c r="C6944" s="29"/>
      <c r="D6944" s="29" t="s">
        <v>4156</v>
      </c>
      <c r="E6944" s="29"/>
      <c r="F6944" s="29" t="s">
        <v>4202</v>
      </c>
      <c r="G6944" s="29"/>
      <c r="H6944" s="29" t="s">
        <v>5205</v>
      </c>
      <c r="I6944" s="29"/>
      <c r="J6944" s="29" t="s">
        <v>5206</v>
      </c>
      <c r="K6944" s="29"/>
      <c r="L6944" s="29" t="s">
        <v>5368</v>
      </c>
      <c r="M6944" s="29"/>
      <c r="N6944" s="29" t="s">
        <v>5417</v>
      </c>
      <c r="O6944" s="29"/>
      <c r="P6944" s="29" t="s">
        <v>5418</v>
      </c>
      <c r="Q6944" t="s">
        <v>2040</v>
      </c>
      <c r="R6944" t="s">
        <v>2632</v>
      </c>
      <c r="S6944">
        <v>36</v>
      </c>
      <c r="T6944" s="43" t="str">
        <f t="shared" si="313"/>
        <v>2020.095B.R.Leviviricetes.zip</v>
      </c>
      <c r="U6944" s="43" t="str">
        <f>HYPERLINK("https://ictv.global/taxonomy/taxondetails?taxnode_id=202210267","ictv.global=202210267")</f>
        <v>ictv.global=202210267</v>
      </c>
    </row>
    <row r="6945" spans="1:21">
      <c r="A6945">
        <v>6944</v>
      </c>
      <c r="B6945" s="29" t="s">
        <v>3223</v>
      </c>
      <c r="C6945" s="29"/>
      <c r="D6945" s="29" t="s">
        <v>4156</v>
      </c>
      <c r="E6945" s="29"/>
      <c r="F6945" s="29" t="s">
        <v>4202</v>
      </c>
      <c r="G6945" s="29"/>
      <c r="H6945" s="29" t="s">
        <v>5205</v>
      </c>
      <c r="I6945" s="29"/>
      <c r="J6945" s="29" t="s">
        <v>5206</v>
      </c>
      <c r="K6945" s="29"/>
      <c r="L6945" s="29" t="s">
        <v>5368</v>
      </c>
      <c r="M6945" s="29"/>
      <c r="N6945" s="29" t="s">
        <v>5419</v>
      </c>
      <c r="O6945" s="29"/>
      <c r="P6945" s="29" t="s">
        <v>5420</v>
      </c>
      <c r="Q6945" t="s">
        <v>2040</v>
      </c>
      <c r="R6945" t="s">
        <v>2632</v>
      </c>
      <c r="S6945">
        <v>36</v>
      </c>
      <c r="T6945" s="43" t="str">
        <f t="shared" si="313"/>
        <v>2020.095B.R.Leviviricetes.zip</v>
      </c>
      <c r="U6945" s="43" t="str">
        <f>HYPERLINK("https://ictv.global/taxonomy/taxondetails?taxnode_id=202210271","ictv.global=202210271")</f>
        <v>ictv.global=202210271</v>
      </c>
    </row>
    <row r="6946" spans="1:21">
      <c r="A6946">
        <v>6945</v>
      </c>
      <c r="B6946" s="29" t="s">
        <v>3223</v>
      </c>
      <c r="C6946" s="29"/>
      <c r="D6946" s="29" t="s">
        <v>4156</v>
      </c>
      <c r="E6946" s="29"/>
      <c r="F6946" s="29" t="s">
        <v>4202</v>
      </c>
      <c r="G6946" s="29"/>
      <c r="H6946" s="29" t="s">
        <v>5205</v>
      </c>
      <c r="I6946" s="29"/>
      <c r="J6946" s="29" t="s">
        <v>5206</v>
      </c>
      <c r="K6946" s="29"/>
      <c r="L6946" s="29" t="s">
        <v>5368</v>
      </c>
      <c r="M6946" s="29"/>
      <c r="N6946" s="29" t="s">
        <v>5419</v>
      </c>
      <c r="O6946" s="29"/>
      <c r="P6946" s="29" t="s">
        <v>5421</v>
      </c>
      <c r="Q6946" t="s">
        <v>2040</v>
      </c>
      <c r="R6946" t="s">
        <v>2632</v>
      </c>
      <c r="S6946">
        <v>36</v>
      </c>
      <c r="T6946" s="43" t="str">
        <f t="shared" si="313"/>
        <v>2020.095B.R.Leviviricetes.zip</v>
      </c>
      <c r="U6946" s="43" t="str">
        <f>HYPERLINK("https://ictv.global/taxonomy/taxondetails?taxnode_id=202210272","ictv.global=202210272")</f>
        <v>ictv.global=202210272</v>
      </c>
    </row>
    <row r="6947" spans="1:21">
      <c r="A6947">
        <v>6946</v>
      </c>
      <c r="B6947" s="29" t="s">
        <v>3223</v>
      </c>
      <c r="C6947" s="29"/>
      <c r="D6947" s="29" t="s">
        <v>4156</v>
      </c>
      <c r="E6947" s="29"/>
      <c r="F6947" s="29" t="s">
        <v>4202</v>
      </c>
      <c r="G6947" s="29"/>
      <c r="H6947" s="29" t="s">
        <v>5205</v>
      </c>
      <c r="I6947" s="29"/>
      <c r="J6947" s="29" t="s">
        <v>5206</v>
      </c>
      <c r="K6947" s="29"/>
      <c r="L6947" s="29" t="s">
        <v>5368</v>
      </c>
      <c r="M6947" s="29"/>
      <c r="N6947" s="29" t="s">
        <v>5419</v>
      </c>
      <c r="O6947" s="29"/>
      <c r="P6947" s="29" t="s">
        <v>5422</v>
      </c>
      <c r="Q6947" t="s">
        <v>2040</v>
      </c>
      <c r="R6947" t="s">
        <v>2632</v>
      </c>
      <c r="S6947">
        <v>36</v>
      </c>
      <c r="T6947" s="43" t="str">
        <f t="shared" ref="T6947:T6978" si="314">HYPERLINK("https://ictv.global/ictv/proposals/2020.095B.R.Leviviricetes.zip","2020.095B.R.Leviviricetes.zip")</f>
        <v>2020.095B.R.Leviviricetes.zip</v>
      </c>
      <c r="U6947" s="43" t="str">
        <f>HYPERLINK("https://ictv.global/taxonomy/taxondetails?taxnode_id=202210273","ictv.global=202210273")</f>
        <v>ictv.global=202210273</v>
      </c>
    </row>
    <row r="6948" spans="1:21">
      <c r="A6948">
        <v>6947</v>
      </c>
      <c r="B6948" s="29" t="s">
        <v>3223</v>
      </c>
      <c r="C6948" s="29"/>
      <c r="D6948" s="29" t="s">
        <v>4156</v>
      </c>
      <c r="E6948" s="29"/>
      <c r="F6948" s="29" t="s">
        <v>4202</v>
      </c>
      <c r="G6948" s="29"/>
      <c r="H6948" s="29" t="s">
        <v>5205</v>
      </c>
      <c r="I6948" s="29"/>
      <c r="J6948" s="29" t="s">
        <v>5206</v>
      </c>
      <c r="K6948" s="29"/>
      <c r="L6948" s="29" t="s">
        <v>5368</v>
      </c>
      <c r="M6948" s="29"/>
      <c r="N6948" s="29" t="s">
        <v>5419</v>
      </c>
      <c r="O6948" s="29"/>
      <c r="P6948" s="29" t="s">
        <v>5423</v>
      </c>
      <c r="Q6948" t="s">
        <v>2040</v>
      </c>
      <c r="R6948" t="s">
        <v>2632</v>
      </c>
      <c r="S6948">
        <v>36</v>
      </c>
      <c r="T6948" s="43" t="str">
        <f t="shared" si="314"/>
        <v>2020.095B.R.Leviviricetes.zip</v>
      </c>
      <c r="U6948" s="43" t="str">
        <f>HYPERLINK("https://ictv.global/taxonomy/taxondetails?taxnode_id=202210274","ictv.global=202210274")</f>
        <v>ictv.global=202210274</v>
      </c>
    </row>
    <row r="6949" spans="1:21">
      <c r="A6949">
        <v>6948</v>
      </c>
      <c r="B6949" s="29" t="s">
        <v>3223</v>
      </c>
      <c r="C6949" s="29"/>
      <c r="D6949" s="29" t="s">
        <v>4156</v>
      </c>
      <c r="E6949" s="29"/>
      <c r="F6949" s="29" t="s">
        <v>4202</v>
      </c>
      <c r="G6949" s="29"/>
      <c r="H6949" s="29" t="s">
        <v>5205</v>
      </c>
      <c r="I6949" s="29"/>
      <c r="J6949" s="29" t="s">
        <v>5206</v>
      </c>
      <c r="K6949" s="29"/>
      <c r="L6949" s="29" t="s">
        <v>5368</v>
      </c>
      <c r="M6949" s="29"/>
      <c r="N6949" s="29" t="s">
        <v>5419</v>
      </c>
      <c r="O6949" s="29"/>
      <c r="P6949" s="29" t="s">
        <v>5424</v>
      </c>
      <c r="Q6949" t="s">
        <v>2040</v>
      </c>
      <c r="R6949" t="s">
        <v>2632</v>
      </c>
      <c r="S6949">
        <v>36</v>
      </c>
      <c r="T6949" s="43" t="str">
        <f t="shared" si="314"/>
        <v>2020.095B.R.Leviviricetes.zip</v>
      </c>
      <c r="U6949" s="43" t="str">
        <f>HYPERLINK("https://ictv.global/taxonomy/taxondetails?taxnode_id=202210275","ictv.global=202210275")</f>
        <v>ictv.global=202210275</v>
      </c>
    </row>
    <row r="6950" spans="1:21">
      <c r="A6950">
        <v>6949</v>
      </c>
      <c r="B6950" s="29" t="s">
        <v>3223</v>
      </c>
      <c r="C6950" s="29"/>
      <c r="D6950" s="29" t="s">
        <v>4156</v>
      </c>
      <c r="E6950" s="29"/>
      <c r="F6950" s="29" t="s">
        <v>4202</v>
      </c>
      <c r="G6950" s="29"/>
      <c r="H6950" s="29" t="s">
        <v>5205</v>
      </c>
      <c r="I6950" s="29"/>
      <c r="J6950" s="29" t="s">
        <v>5206</v>
      </c>
      <c r="K6950" s="29"/>
      <c r="L6950" s="29" t="s">
        <v>5368</v>
      </c>
      <c r="M6950" s="29"/>
      <c r="N6950" s="29" t="s">
        <v>5419</v>
      </c>
      <c r="O6950" s="29"/>
      <c r="P6950" s="29" t="s">
        <v>5425</v>
      </c>
      <c r="Q6950" t="s">
        <v>2040</v>
      </c>
      <c r="R6950" t="s">
        <v>2632</v>
      </c>
      <c r="S6950">
        <v>36</v>
      </c>
      <c r="T6950" s="43" t="str">
        <f t="shared" si="314"/>
        <v>2020.095B.R.Leviviricetes.zip</v>
      </c>
      <c r="U6950" s="43" t="str">
        <f>HYPERLINK("https://ictv.global/taxonomy/taxondetails?taxnode_id=202210269","ictv.global=202210269")</f>
        <v>ictv.global=202210269</v>
      </c>
    </row>
    <row r="6951" spans="1:21">
      <c r="A6951">
        <v>6950</v>
      </c>
      <c r="B6951" s="29" t="s">
        <v>3223</v>
      </c>
      <c r="C6951" s="29"/>
      <c r="D6951" s="29" t="s">
        <v>4156</v>
      </c>
      <c r="E6951" s="29"/>
      <c r="F6951" s="29" t="s">
        <v>4202</v>
      </c>
      <c r="G6951" s="29"/>
      <c r="H6951" s="29" t="s">
        <v>5205</v>
      </c>
      <c r="I6951" s="29"/>
      <c r="J6951" s="29" t="s">
        <v>5206</v>
      </c>
      <c r="K6951" s="29"/>
      <c r="L6951" s="29" t="s">
        <v>5368</v>
      </c>
      <c r="M6951" s="29"/>
      <c r="N6951" s="29" t="s">
        <v>5419</v>
      </c>
      <c r="O6951" s="29"/>
      <c r="P6951" s="29" t="s">
        <v>5426</v>
      </c>
      <c r="Q6951" t="s">
        <v>2040</v>
      </c>
      <c r="R6951" t="s">
        <v>2632</v>
      </c>
      <c r="S6951">
        <v>36</v>
      </c>
      <c r="T6951" s="43" t="str">
        <f t="shared" si="314"/>
        <v>2020.095B.R.Leviviricetes.zip</v>
      </c>
      <c r="U6951" s="43" t="str">
        <f>HYPERLINK("https://ictv.global/taxonomy/taxondetails?taxnode_id=202210276","ictv.global=202210276")</f>
        <v>ictv.global=202210276</v>
      </c>
    </row>
    <row r="6952" spans="1:21">
      <c r="A6952">
        <v>6951</v>
      </c>
      <c r="B6952" s="29" t="s">
        <v>3223</v>
      </c>
      <c r="C6952" s="29"/>
      <c r="D6952" s="29" t="s">
        <v>4156</v>
      </c>
      <c r="E6952" s="29"/>
      <c r="F6952" s="29" t="s">
        <v>4202</v>
      </c>
      <c r="G6952" s="29"/>
      <c r="H6952" s="29" t="s">
        <v>5205</v>
      </c>
      <c r="I6952" s="29"/>
      <c r="J6952" s="29" t="s">
        <v>5206</v>
      </c>
      <c r="K6952" s="29"/>
      <c r="L6952" s="29" t="s">
        <v>5368</v>
      </c>
      <c r="M6952" s="29"/>
      <c r="N6952" s="29" t="s">
        <v>5419</v>
      </c>
      <c r="O6952" s="29"/>
      <c r="P6952" s="29" t="s">
        <v>5427</v>
      </c>
      <c r="Q6952" t="s">
        <v>2040</v>
      </c>
      <c r="R6952" t="s">
        <v>2632</v>
      </c>
      <c r="S6952">
        <v>36</v>
      </c>
      <c r="T6952" s="43" t="str">
        <f t="shared" si="314"/>
        <v>2020.095B.R.Leviviricetes.zip</v>
      </c>
      <c r="U6952" s="43" t="str">
        <f>HYPERLINK("https://ictv.global/taxonomy/taxondetails?taxnode_id=202210270","ictv.global=202210270")</f>
        <v>ictv.global=202210270</v>
      </c>
    </row>
    <row r="6953" spans="1:21">
      <c r="A6953">
        <v>6952</v>
      </c>
      <c r="B6953" s="29" t="s">
        <v>3223</v>
      </c>
      <c r="C6953" s="29"/>
      <c r="D6953" s="29" t="s">
        <v>4156</v>
      </c>
      <c r="E6953" s="29"/>
      <c r="F6953" s="29" t="s">
        <v>4202</v>
      </c>
      <c r="G6953" s="29"/>
      <c r="H6953" s="29" t="s">
        <v>5205</v>
      </c>
      <c r="I6953" s="29"/>
      <c r="J6953" s="29" t="s">
        <v>5206</v>
      </c>
      <c r="K6953" s="29"/>
      <c r="L6953" s="29" t="s">
        <v>5368</v>
      </c>
      <c r="M6953" s="29"/>
      <c r="N6953" s="29" t="s">
        <v>5428</v>
      </c>
      <c r="O6953" s="29"/>
      <c r="P6953" s="29" t="s">
        <v>5429</v>
      </c>
      <c r="Q6953" t="s">
        <v>2040</v>
      </c>
      <c r="R6953" t="s">
        <v>2632</v>
      </c>
      <c r="S6953">
        <v>36</v>
      </c>
      <c r="T6953" s="43" t="str">
        <f t="shared" si="314"/>
        <v>2020.095B.R.Leviviricetes.zip</v>
      </c>
      <c r="U6953" s="43" t="str">
        <f>HYPERLINK("https://ictv.global/taxonomy/taxondetails?taxnode_id=202210278","ictv.global=202210278")</f>
        <v>ictv.global=202210278</v>
      </c>
    </row>
    <row r="6954" spans="1:21">
      <c r="A6954">
        <v>6953</v>
      </c>
      <c r="B6954" s="29" t="s">
        <v>3223</v>
      </c>
      <c r="C6954" s="29"/>
      <c r="D6954" s="29" t="s">
        <v>4156</v>
      </c>
      <c r="E6954" s="29"/>
      <c r="F6954" s="29" t="s">
        <v>4202</v>
      </c>
      <c r="G6954" s="29"/>
      <c r="H6954" s="29" t="s">
        <v>5205</v>
      </c>
      <c r="I6954" s="29"/>
      <c r="J6954" s="29" t="s">
        <v>5206</v>
      </c>
      <c r="K6954" s="29"/>
      <c r="L6954" s="29" t="s">
        <v>5368</v>
      </c>
      <c r="M6954" s="29"/>
      <c r="N6954" s="29" t="s">
        <v>5430</v>
      </c>
      <c r="O6954" s="29"/>
      <c r="P6954" s="29" t="s">
        <v>5431</v>
      </c>
      <c r="Q6954" t="s">
        <v>2040</v>
      </c>
      <c r="R6954" t="s">
        <v>2632</v>
      </c>
      <c r="S6954">
        <v>36</v>
      </c>
      <c r="T6954" s="43" t="str">
        <f t="shared" si="314"/>
        <v>2020.095B.R.Leviviricetes.zip</v>
      </c>
      <c r="U6954" s="43" t="str">
        <f>HYPERLINK("https://ictv.global/taxonomy/taxondetails?taxnode_id=202210280","ictv.global=202210280")</f>
        <v>ictv.global=202210280</v>
      </c>
    </row>
    <row r="6955" spans="1:21">
      <c r="A6955">
        <v>6954</v>
      </c>
      <c r="B6955" s="29" t="s">
        <v>3223</v>
      </c>
      <c r="C6955" s="29"/>
      <c r="D6955" s="29" t="s">
        <v>4156</v>
      </c>
      <c r="E6955" s="29"/>
      <c r="F6955" s="29" t="s">
        <v>4202</v>
      </c>
      <c r="G6955" s="29"/>
      <c r="H6955" s="29" t="s">
        <v>5205</v>
      </c>
      <c r="I6955" s="29"/>
      <c r="J6955" s="29" t="s">
        <v>5206</v>
      </c>
      <c r="K6955" s="29"/>
      <c r="L6955" s="29" t="s">
        <v>5368</v>
      </c>
      <c r="M6955" s="29"/>
      <c r="N6955" s="29" t="s">
        <v>5432</v>
      </c>
      <c r="O6955" s="29"/>
      <c r="P6955" s="29" t="s">
        <v>5433</v>
      </c>
      <c r="Q6955" t="s">
        <v>2040</v>
      </c>
      <c r="R6955" t="s">
        <v>2632</v>
      </c>
      <c r="S6955">
        <v>36</v>
      </c>
      <c r="T6955" s="43" t="str">
        <f t="shared" si="314"/>
        <v>2020.095B.R.Leviviricetes.zip</v>
      </c>
      <c r="U6955" s="43" t="str">
        <f>HYPERLINK("https://ictv.global/taxonomy/taxondetails?taxnode_id=202210282","ictv.global=202210282")</f>
        <v>ictv.global=202210282</v>
      </c>
    </row>
    <row r="6956" spans="1:21">
      <c r="A6956">
        <v>6955</v>
      </c>
      <c r="B6956" s="29" t="s">
        <v>3223</v>
      </c>
      <c r="C6956" s="29"/>
      <c r="D6956" s="29" t="s">
        <v>4156</v>
      </c>
      <c r="E6956" s="29"/>
      <c r="F6956" s="29" t="s">
        <v>4202</v>
      </c>
      <c r="G6956" s="29"/>
      <c r="H6956" s="29" t="s">
        <v>5205</v>
      </c>
      <c r="I6956" s="29"/>
      <c r="J6956" s="29" t="s">
        <v>5206</v>
      </c>
      <c r="K6956" s="29"/>
      <c r="L6956" s="29" t="s">
        <v>5368</v>
      </c>
      <c r="M6956" s="29"/>
      <c r="N6956" s="29" t="s">
        <v>5432</v>
      </c>
      <c r="O6956" s="29"/>
      <c r="P6956" s="29" t="s">
        <v>5434</v>
      </c>
      <c r="Q6956" t="s">
        <v>2040</v>
      </c>
      <c r="R6956" t="s">
        <v>2632</v>
      </c>
      <c r="S6956">
        <v>36</v>
      </c>
      <c r="T6956" s="43" t="str">
        <f t="shared" si="314"/>
        <v>2020.095B.R.Leviviricetes.zip</v>
      </c>
      <c r="U6956" s="43" t="str">
        <f>HYPERLINK("https://ictv.global/taxonomy/taxondetails?taxnode_id=202210283","ictv.global=202210283")</f>
        <v>ictv.global=202210283</v>
      </c>
    </row>
    <row r="6957" spans="1:21">
      <c r="A6957">
        <v>6956</v>
      </c>
      <c r="B6957" s="29" t="s">
        <v>3223</v>
      </c>
      <c r="C6957" s="29"/>
      <c r="D6957" s="29" t="s">
        <v>4156</v>
      </c>
      <c r="E6957" s="29"/>
      <c r="F6957" s="29" t="s">
        <v>4202</v>
      </c>
      <c r="G6957" s="29"/>
      <c r="H6957" s="29" t="s">
        <v>5205</v>
      </c>
      <c r="I6957" s="29"/>
      <c r="J6957" s="29" t="s">
        <v>5206</v>
      </c>
      <c r="K6957" s="29"/>
      <c r="L6957" s="29" t="s">
        <v>5368</v>
      </c>
      <c r="M6957" s="29"/>
      <c r="N6957" s="29" t="s">
        <v>5435</v>
      </c>
      <c r="O6957" s="29"/>
      <c r="P6957" s="29" t="s">
        <v>5436</v>
      </c>
      <c r="Q6957" t="s">
        <v>2040</v>
      </c>
      <c r="R6957" t="s">
        <v>2632</v>
      </c>
      <c r="S6957">
        <v>36</v>
      </c>
      <c r="T6957" s="43" t="str">
        <f t="shared" si="314"/>
        <v>2020.095B.R.Leviviricetes.zip</v>
      </c>
      <c r="U6957" s="43" t="str">
        <f>HYPERLINK("https://ictv.global/taxonomy/taxondetails?taxnode_id=202210286","ictv.global=202210286")</f>
        <v>ictv.global=202210286</v>
      </c>
    </row>
    <row r="6958" spans="1:21">
      <c r="A6958">
        <v>6957</v>
      </c>
      <c r="B6958" s="29" t="s">
        <v>3223</v>
      </c>
      <c r="C6958" s="29"/>
      <c r="D6958" s="29" t="s">
        <v>4156</v>
      </c>
      <c r="E6958" s="29"/>
      <c r="F6958" s="29" t="s">
        <v>4202</v>
      </c>
      <c r="G6958" s="29"/>
      <c r="H6958" s="29" t="s">
        <v>5205</v>
      </c>
      <c r="I6958" s="29"/>
      <c r="J6958" s="29" t="s">
        <v>5206</v>
      </c>
      <c r="K6958" s="29"/>
      <c r="L6958" s="29" t="s">
        <v>5368</v>
      </c>
      <c r="M6958" s="29"/>
      <c r="N6958" s="29" t="s">
        <v>5435</v>
      </c>
      <c r="O6958" s="29"/>
      <c r="P6958" s="29" t="s">
        <v>5437</v>
      </c>
      <c r="Q6958" t="s">
        <v>2040</v>
      </c>
      <c r="R6958" t="s">
        <v>2632</v>
      </c>
      <c r="S6958">
        <v>36</v>
      </c>
      <c r="T6958" s="43" t="str">
        <f t="shared" si="314"/>
        <v>2020.095B.R.Leviviricetes.zip</v>
      </c>
      <c r="U6958" s="43" t="str">
        <f>HYPERLINK("https://ictv.global/taxonomy/taxondetails?taxnode_id=202210285","ictv.global=202210285")</f>
        <v>ictv.global=202210285</v>
      </c>
    </row>
    <row r="6959" spans="1:21">
      <c r="A6959">
        <v>6958</v>
      </c>
      <c r="B6959" s="29" t="s">
        <v>3223</v>
      </c>
      <c r="C6959" s="29"/>
      <c r="D6959" s="29" t="s">
        <v>4156</v>
      </c>
      <c r="E6959" s="29"/>
      <c r="F6959" s="29" t="s">
        <v>4202</v>
      </c>
      <c r="G6959" s="29"/>
      <c r="H6959" s="29" t="s">
        <v>5205</v>
      </c>
      <c r="I6959" s="29"/>
      <c r="J6959" s="29" t="s">
        <v>5206</v>
      </c>
      <c r="K6959" s="29"/>
      <c r="L6959" s="29" t="s">
        <v>5368</v>
      </c>
      <c r="M6959" s="29"/>
      <c r="N6959" s="29" t="s">
        <v>5438</v>
      </c>
      <c r="O6959" s="29"/>
      <c r="P6959" s="29" t="s">
        <v>5439</v>
      </c>
      <c r="Q6959" t="s">
        <v>2040</v>
      </c>
      <c r="R6959" t="s">
        <v>2632</v>
      </c>
      <c r="S6959">
        <v>36</v>
      </c>
      <c r="T6959" s="43" t="str">
        <f t="shared" si="314"/>
        <v>2020.095B.R.Leviviricetes.zip</v>
      </c>
      <c r="U6959" s="43" t="str">
        <f>HYPERLINK("https://ictv.global/taxonomy/taxondetails?taxnode_id=202210289","ictv.global=202210289")</f>
        <v>ictv.global=202210289</v>
      </c>
    </row>
    <row r="6960" spans="1:21">
      <c r="A6960">
        <v>6959</v>
      </c>
      <c r="B6960" s="29" t="s">
        <v>3223</v>
      </c>
      <c r="C6960" s="29"/>
      <c r="D6960" s="29" t="s">
        <v>4156</v>
      </c>
      <c r="E6960" s="29"/>
      <c r="F6960" s="29" t="s">
        <v>4202</v>
      </c>
      <c r="G6960" s="29"/>
      <c r="H6960" s="29" t="s">
        <v>5205</v>
      </c>
      <c r="I6960" s="29"/>
      <c r="J6960" s="29" t="s">
        <v>5206</v>
      </c>
      <c r="K6960" s="29"/>
      <c r="L6960" s="29" t="s">
        <v>5368</v>
      </c>
      <c r="M6960" s="29"/>
      <c r="N6960" s="29" t="s">
        <v>5438</v>
      </c>
      <c r="O6960" s="29"/>
      <c r="P6960" s="29" t="s">
        <v>5440</v>
      </c>
      <c r="Q6960" t="s">
        <v>2040</v>
      </c>
      <c r="R6960" t="s">
        <v>2632</v>
      </c>
      <c r="S6960">
        <v>36</v>
      </c>
      <c r="T6960" s="43" t="str">
        <f t="shared" si="314"/>
        <v>2020.095B.R.Leviviricetes.zip</v>
      </c>
      <c r="U6960" s="43" t="str">
        <f>HYPERLINK("https://ictv.global/taxonomy/taxondetails?taxnode_id=202210288","ictv.global=202210288")</f>
        <v>ictv.global=202210288</v>
      </c>
    </row>
    <row r="6961" spans="1:21">
      <c r="A6961">
        <v>6960</v>
      </c>
      <c r="B6961" s="29" t="s">
        <v>3223</v>
      </c>
      <c r="C6961" s="29"/>
      <c r="D6961" s="29" t="s">
        <v>4156</v>
      </c>
      <c r="E6961" s="29"/>
      <c r="F6961" s="29" t="s">
        <v>4202</v>
      </c>
      <c r="G6961" s="29"/>
      <c r="H6961" s="29" t="s">
        <v>5205</v>
      </c>
      <c r="I6961" s="29"/>
      <c r="J6961" s="29" t="s">
        <v>5206</v>
      </c>
      <c r="K6961" s="29"/>
      <c r="L6961" s="29" t="s">
        <v>5368</v>
      </c>
      <c r="M6961" s="29"/>
      <c r="N6961" s="29" t="s">
        <v>5438</v>
      </c>
      <c r="O6961" s="29"/>
      <c r="P6961" s="29" t="s">
        <v>5441</v>
      </c>
      <c r="Q6961" t="s">
        <v>2040</v>
      </c>
      <c r="R6961" t="s">
        <v>2632</v>
      </c>
      <c r="S6961">
        <v>36</v>
      </c>
      <c r="T6961" s="43" t="str">
        <f t="shared" si="314"/>
        <v>2020.095B.R.Leviviricetes.zip</v>
      </c>
      <c r="U6961" s="43" t="str">
        <f>HYPERLINK("https://ictv.global/taxonomy/taxondetails?taxnode_id=202210290","ictv.global=202210290")</f>
        <v>ictv.global=202210290</v>
      </c>
    </row>
    <row r="6962" spans="1:21">
      <c r="A6962">
        <v>6961</v>
      </c>
      <c r="B6962" s="29" t="s">
        <v>3223</v>
      </c>
      <c r="C6962" s="29"/>
      <c r="D6962" s="29" t="s">
        <v>4156</v>
      </c>
      <c r="E6962" s="29"/>
      <c r="F6962" s="29" t="s">
        <v>4202</v>
      </c>
      <c r="G6962" s="29"/>
      <c r="H6962" s="29" t="s">
        <v>5205</v>
      </c>
      <c r="I6962" s="29"/>
      <c r="J6962" s="29" t="s">
        <v>5206</v>
      </c>
      <c r="K6962" s="29"/>
      <c r="L6962" s="29" t="s">
        <v>5368</v>
      </c>
      <c r="M6962" s="29"/>
      <c r="N6962" s="29" t="s">
        <v>5442</v>
      </c>
      <c r="O6962" s="29"/>
      <c r="P6962" s="29" t="s">
        <v>5443</v>
      </c>
      <c r="Q6962" t="s">
        <v>2040</v>
      </c>
      <c r="R6962" t="s">
        <v>2632</v>
      </c>
      <c r="S6962">
        <v>36</v>
      </c>
      <c r="T6962" s="43" t="str">
        <f t="shared" si="314"/>
        <v>2020.095B.R.Leviviricetes.zip</v>
      </c>
      <c r="U6962" s="43" t="str">
        <f>HYPERLINK("https://ictv.global/taxonomy/taxondetails?taxnode_id=202210292","ictv.global=202210292")</f>
        <v>ictv.global=202210292</v>
      </c>
    </row>
    <row r="6963" spans="1:21">
      <c r="A6963">
        <v>6962</v>
      </c>
      <c r="B6963" s="29" t="s">
        <v>3223</v>
      </c>
      <c r="C6963" s="29"/>
      <c r="D6963" s="29" t="s">
        <v>4156</v>
      </c>
      <c r="E6963" s="29"/>
      <c r="F6963" s="29" t="s">
        <v>4202</v>
      </c>
      <c r="G6963" s="29"/>
      <c r="H6963" s="29" t="s">
        <v>5205</v>
      </c>
      <c r="I6963" s="29"/>
      <c r="J6963" s="29" t="s">
        <v>5206</v>
      </c>
      <c r="K6963" s="29"/>
      <c r="L6963" s="29" t="s">
        <v>5368</v>
      </c>
      <c r="M6963" s="29"/>
      <c r="N6963" s="29" t="s">
        <v>5444</v>
      </c>
      <c r="O6963" s="29"/>
      <c r="P6963" s="29" t="s">
        <v>5445</v>
      </c>
      <c r="Q6963" t="s">
        <v>2040</v>
      </c>
      <c r="R6963" t="s">
        <v>2632</v>
      </c>
      <c r="S6963">
        <v>36</v>
      </c>
      <c r="T6963" s="43" t="str">
        <f t="shared" si="314"/>
        <v>2020.095B.R.Leviviricetes.zip</v>
      </c>
      <c r="U6963" s="43" t="str">
        <f>HYPERLINK("https://ictv.global/taxonomy/taxondetails?taxnode_id=202210294","ictv.global=202210294")</f>
        <v>ictv.global=202210294</v>
      </c>
    </row>
    <row r="6964" spans="1:21">
      <c r="A6964">
        <v>6963</v>
      </c>
      <c r="B6964" s="29" t="s">
        <v>3223</v>
      </c>
      <c r="C6964" s="29"/>
      <c r="D6964" s="29" t="s">
        <v>4156</v>
      </c>
      <c r="E6964" s="29"/>
      <c r="F6964" s="29" t="s">
        <v>4202</v>
      </c>
      <c r="G6964" s="29"/>
      <c r="H6964" s="29" t="s">
        <v>5205</v>
      </c>
      <c r="I6964" s="29"/>
      <c r="J6964" s="29" t="s">
        <v>5206</v>
      </c>
      <c r="K6964" s="29"/>
      <c r="L6964" s="29" t="s">
        <v>5368</v>
      </c>
      <c r="M6964" s="29"/>
      <c r="N6964" s="29" t="s">
        <v>5446</v>
      </c>
      <c r="O6964" s="29"/>
      <c r="P6964" s="29" t="s">
        <v>5447</v>
      </c>
      <c r="Q6964" t="s">
        <v>2040</v>
      </c>
      <c r="R6964" t="s">
        <v>2632</v>
      </c>
      <c r="S6964">
        <v>36</v>
      </c>
      <c r="T6964" s="43" t="str">
        <f t="shared" si="314"/>
        <v>2020.095B.R.Leviviricetes.zip</v>
      </c>
      <c r="U6964" s="43" t="str">
        <f>HYPERLINK("https://ictv.global/taxonomy/taxondetails?taxnode_id=202210296","ictv.global=202210296")</f>
        <v>ictv.global=202210296</v>
      </c>
    </row>
    <row r="6965" spans="1:21">
      <c r="A6965">
        <v>6964</v>
      </c>
      <c r="B6965" s="29" t="s">
        <v>3223</v>
      </c>
      <c r="C6965" s="29"/>
      <c r="D6965" s="29" t="s">
        <v>4156</v>
      </c>
      <c r="E6965" s="29"/>
      <c r="F6965" s="29" t="s">
        <v>4202</v>
      </c>
      <c r="G6965" s="29"/>
      <c r="H6965" s="29" t="s">
        <v>5205</v>
      </c>
      <c r="I6965" s="29"/>
      <c r="J6965" s="29" t="s">
        <v>5206</v>
      </c>
      <c r="K6965" s="29"/>
      <c r="L6965" s="29" t="s">
        <v>5368</v>
      </c>
      <c r="M6965" s="29"/>
      <c r="N6965" s="29" t="s">
        <v>5446</v>
      </c>
      <c r="O6965" s="29"/>
      <c r="P6965" s="29" t="s">
        <v>5448</v>
      </c>
      <c r="Q6965" t="s">
        <v>2040</v>
      </c>
      <c r="R6965" t="s">
        <v>2632</v>
      </c>
      <c r="S6965">
        <v>36</v>
      </c>
      <c r="T6965" s="43" t="str">
        <f t="shared" si="314"/>
        <v>2020.095B.R.Leviviricetes.zip</v>
      </c>
      <c r="U6965" s="43" t="str">
        <f>HYPERLINK("https://ictv.global/taxonomy/taxondetails?taxnode_id=202210297","ictv.global=202210297")</f>
        <v>ictv.global=202210297</v>
      </c>
    </row>
    <row r="6966" spans="1:21">
      <c r="A6966">
        <v>6965</v>
      </c>
      <c r="B6966" s="29" t="s">
        <v>3223</v>
      </c>
      <c r="C6966" s="29"/>
      <c r="D6966" s="29" t="s">
        <v>4156</v>
      </c>
      <c r="E6966" s="29"/>
      <c r="F6966" s="29" t="s">
        <v>4202</v>
      </c>
      <c r="G6966" s="29"/>
      <c r="H6966" s="29" t="s">
        <v>5205</v>
      </c>
      <c r="I6966" s="29"/>
      <c r="J6966" s="29" t="s">
        <v>5206</v>
      </c>
      <c r="K6966" s="29"/>
      <c r="L6966" s="29" t="s">
        <v>5368</v>
      </c>
      <c r="M6966" s="29"/>
      <c r="N6966" s="29" t="s">
        <v>5446</v>
      </c>
      <c r="O6966" s="29"/>
      <c r="P6966" s="29" t="s">
        <v>5449</v>
      </c>
      <c r="Q6966" t="s">
        <v>2040</v>
      </c>
      <c r="R6966" t="s">
        <v>2632</v>
      </c>
      <c r="S6966">
        <v>36</v>
      </c>
      <c r="T6966" s="43" t="str">
        <f t="shared" si="314"/>
        <v>2020.095B.R.Leviviricetes.zip</v>
      </c>
      <c r="U6966" s="43" t="str">
        <f>HYPERLINK("https://ictv.global/taxonomy/taxondetails?taxnode_id=202210298","ictv.global=202210298")</f>
        <v>ictv.global=202210298</v>
      </c>
    </row>
    <row r="6967" spans="1:21">
      <c r="A6967">
        <v>6966</v>
      </c>
      <c r="B6967" s="29" t="s">
        <v>3223</v>
      </c>
      <c r="C6967" s="29"/>
      <c r="D6967" s="29" t="s">
        <v>4156</v>
      </c>
      <c r="E6967" s="29"/>
      <c r="F6967" s="29" t="s">
        <v>4202</v>
      </c>
      <c r="G6967" s="29"/>
      <c r="H6967" s="29" t="s">
        <v>5205</v>
      </c>
      <c r="I6967" s="29"/>
      <c r="J6967" s="29" t="s">
        <v>5206</v>
      </c>
      <c r="K6967" s="29"/>
      <c r="L6967" s="29" t="s">
        <v>5368</v>
      </c>
      <c r="M6967" s="29"/>
      <c r="N6967" s="29" t="s">
        <v>5446</v>
      </c>
      <c r="O6967" s="29"/>
      <c r="P6967" s="29" t="s">
        <v>5450</v>
      </c>
      <c r="Q6967" t="s">
        <v>2040</v>
      </c>
      <c r="R6967" t="s">
        <v>2632</v>
      </c>
      <c r="S6967">
        <v>36</v>
      </c>
      <c r="T6967" s="43" t="str">
        <f t="shared" si="314"/>
        <v>2020.095B.R.Leviviricetes.zip</v>
      </c>
      <c r="U6967" s="43" t="str">
        <f>HYPERLINK("https://ictv.global/taxonomy/taxondetails?taxnode_id=202210299","ictv.global=202210299")</f>
        <v>ictv.global=202210299</v>
      </c>
    </row>
    <row r="6968" spans="1:21">
      <c r="A6968">
        <v>6967</v>
      </c>
      <c r="B6968" s="29" t="s">
        <v>3223</v>
      </c>
      <c r="C6968" s="29"/>
      <c r="D6968" s="29" t="s">
        <v>4156</v>
      </c>
      <c r="E6968" s="29"/>
      <c r="F6968" s="29" t="s">
        <v>4202</v>
      </c>
      <c r="G6968" s="29"/>
      <c r="H6968" s="29" t="s">
        <v>5205</v>
      </c>
      <c r="I6968" s="29"/>
      <c r="J6968" s="29" t="s">
        <v>5206</v>
      </c>
      <c r="K6968" s="29"/>
      <c r="L6968" s="29" t="s">
        <v>5368</v>
      </c>
      <c r="M6968" s="29"/>
      <c r="N6968" s="29" t="s">
        <v>5446</v>
      </c>
      <c r="O6968" s="29"/>
      <c r="P6968" s="29" t="s">
        <v>5451</v>
      </c>
      <c r="Q6968" t="s">
        <v>2040</v>
      </c>
      <c r="R6968" t="s">
        <v>2632</v>
      </c>
      <c r="S6968">
        <v>36</v>
      </c>
      <c r="T6968" s="43" t="str">
        <f t="shared" si="314"/>
        <v>2020.095B.R.Leviviricetes.zip</v>
      </c>
      <c r="U6968" s="43" t="str">
        <f>HYPERLINK("https://ictv.global/taxonomy/taxondetails?taxnode_id=202210300","ictv.global=202210300")</f>
        <v>ictv.global=202210300</v>
      </c>
    </row>
    <row r="6969" spans="1:21">
      <c r="A6969">
        <v>6968</v>
      </c>
      <c r="B6969" s="29" t="s">
        <v>3223</v>
      </c>
      <c r="C6969" s="29"/>
      <c r="D6969" s="29" t="s">
        <v>4156</v>
      </c>
      <c r="E6969" s="29"/>
      <c r="F6969" s="29" t="s">
        <v>4202</v>
      </c>
      <c r="G6969" s="29"/>
      <c r="H6969" s="29" t="s">
        <v>5205</v>
      </c>
      <c r="I6969" s="29"/>
      <c r="J6969" s="29" t="s">
        <v>5206</v>
      </c>
      <c r="K6969" s="29"/>
      <c r="L6969" s="29" t="s">
        <v>5368</v>
      </c>
      <c r="M6969" s="29"/>
      <c r="N6969" s="29" t="s">
        <v>5446</v>
      </c>
      <c r="O6969" s="29"/>
      <c r="P6969" s="29" t="s">
        <v>5452</v>
      </c>
      <c r="Q6969" t="s">
        <v>2040</v>
      </c>
      <c r="R6969" t="s">
        <v>2632</v>
      </c>
      <c r="S6969">
        <v>36</v>
      </c>
      <c r="T6969" s="43" t="str">
        <f t="shared" si="314"/>
        <v>2020.095B.R.Leviviricetes.zip</v>
      </c>
      <c r="U6969" s="43" t="str">
        <f>HYPERLINK("https://ictv.global/taxonomy/taxondetails?taxnode_id=202210301","ictv.global=202210301")</f>
        <v>ictv.global=202210301</v>
      </c>
    </row>
    <row r="6970" spans="1:21">
      <c r="A6970">
        <v>6969</v>
      </c>
      <c r="B6970" s="29" t="s">
        <v>3223</v>
      </c>
      <c r="C6970" s="29"/>
      <c r="D6970" s="29" t="s">
        <v>4156</v>
      </c>
      <c r="E6970" s="29"/>
      <c r="F6970" s="29" t="s">
        <v>4202</v>
      </c>
      <c r="G6970" s="29"/>
      <c r="H6970" s="29" t="s">
        <v>5205</v>
      </c>
      <c r="I6970" s="29"/>
      <c r="J6970" s="29" t="s">
        <v>5206</v>
      </c>
      <c r="K6970" s="29"/>
      <c r="L6970" s="29" t="s">
        <v>5368</v>
      </c>
      <c r="M6970" s="29"/>
      <c r="N6970" s="29" t="s">
        <v>5453</v>
      </c>
      <c r="O6970" s="29"/>
      <c r="P6970" s="29" t="s">
        <v>5454</v>
      </c>
      <c r="Q6970" t="s">
        <v>2040</v>
      </c>
      <c r="R6970" t="s">
        <v>2632</v>
      </c>
      <c r="S6970">
        <v>36</v>
      </c>
      <c r="T6970" s="43" t="str">
        <f t="shared" si="314"/>
        <v>2020.095B.R.Leviviricetes.zip</v>
      </c>
      <c r="U6970" s="43" t="str">
        <f>HYPERLINK("https://ictv.global/taxonomy/taxondetails?taxnode_id=202210303","ictv.global=202210303")</f>
        <v>ictv.global=202210303</v>
      </c>
    </row>
    <row r="6971" spans="1:21">
      <c r="A6971">
        <v>6970</v>
      </c>
      <c r="B6971" s="29" t="s">
        <v>3223</v>
      </c>
      <c r="C6971" s="29"/>
      <c r="D6971" s="29" t="s">
        <v>4156</v>
      </c>
      <c r="E6971" s="29"/>
      <c r="F6971" s="29" t="s">
        <v>4202</v>
      </c>
      <c r="G6971" s="29"/>
      <c r="H6971" s="29" t="s">
        <v>5205</v>
      </c>
      <c r="I6971" s="29"/>
      <c r="J6971" s="29" t="s">
        <v>5206</v>
      </c>
      <c r="K6971" s="29"/>
      <c r="L6971" s="29" t="s">
        <v>5368</v>
      </c>
      <c r="M6971" s="29"/>
      <c r="N6971" s="29" t="s">
        <v>5455</v>
      </c>
      <c r="O6971" s="29"/>
      <c r="P6971" s="29" t="s">
        <v>5456</v>
      </c>
      <c r="Q6971" t="s">
        <v>2040</v>
      </c>
      <c r="R6971" t="s">
        <v>2632</v>
      </c>
      <c r="S6971">
        <v>36</v>
      </c>
      <c r="T6971" s="43" t="str">
        <f t="shared" si="314"/>
        <v>2020.095B.R.Leviviricetes.zip</v>
      </c>
      <c r="U6971" s="43" t="str">
        <f>HYPERLINK("https://ictv.global/taxonomy/taxondetails?taxnode_id=202210305","ictv.global=202210305")</f>
        <v>ictv.global=202210305</v>
      </c>
    </row>
    <row r="6972" spans="1:21">
      <c r="A6972">
        <v>6971</v>
      </c>
      <c r="B6972" s="29" t="s">
        <v>3223</v>
      </c>
      <c r="C6972" s="29"/>
      <c r="D6972" s="29" t="s">
        <v>4156</v>
      </c>
      <c r="E6972" s="29"/>
      <c r="F6972" s="29" t="s">
        <v>4202</v>
      </c>
      <c r="G6972" s="29"/>
      <c r="H6972" s="29" t="s">
        <v>5205</v>
      </c>
      <c r="I6972" s="29"/>
      <c r="J6972" s="29" t="s">
        <v>5206</v>
      </c>
      <c r="K6972" s="29"/>
      <c r="L6972" s="29" t="s">
        <v>5368</v>
      </c>
      <c r="M6972" s="29"/>
      <c r="N6972" s="29" t="s">
        <v>5457</v>
      </c>
      <c r="O6972" s="29"/>
      <c r="P6972" s="29" t="s">
        <v>5458</v>
      </c>
      <c r="Q6972" t="s">
        <v>2040</v>
      </c>
      <c r="R6972" t="s">
        <v>2632</v>
      </c>
      <c r="S6972">
        <v>36</v>
      </c>
      <c r="T6972" s="43" t="str">
        <f t="shared" si="314"/>
        <v>2020.095B.R.Leviviricetes.zip</v>
      </c>
      <c r="U6972" s="43" t="str">
        <f>HYPERLINK("https://ictv.global/taxonomy/taxondetails?taxnode_id=202210307","ictv.global=202210307")</f>
        <v>ictv.global=202210307</v>
      </c>
    </row>
    <row r="6973" spans="1:21">
      <c r="A6973">
        <v>6972</v>
      </c>
      <c r="B6973" s="29" t="s">
        <v>3223</v>
      </c>
      <c r="C6973" s="29"/>
      <c r="D6973" s="29" t="s">
        <v>4156</v>
      </c>
      <c r="E6973" s="29"/>
      <c r="F6973" s="29" t="s">
        <v>4202</v>
      </c>
      <c r="G6973" s="29"/>
      <c r="H6973" s="29" t="s">
        <v>5205</v>
      </c>
      <c r="I6973" s="29"/>
      <c r="J6973" s="29" t="s">
        <v>5206</v>
      </c>
      <c r="K6973" s="29"/>
      <c r="L6973" s="29" t="s">
        <v>5368</v>
      </c>
      <c r="M6973" s="29"/>
      <c r="N6973" s="29" t="s">
        <v>5459</v>
      </c>
      <c r="O6973" s="29"/>
      <c r="P6973" s="29" t="s">
        <v>5460</v>
      </c>
      <c r="Q6973" t="s">
        <v>2040</v>
      </c>
      <c r="R6973" t="s">
        <v>2632</v>
      </c>
      <c r="S6973">
        <v>36</v>
      </c>
      <c r="T6973" s="43" t="str">
        <f t="shared" si="314"/>
        <v>2020.095B.R.Leviviricetes.zip</v>
      </c>
      <c r="U6973" s="43" t="str">
        <f>HYPERLINK("https://ictv.global/taxonomy/taxondetails?taxnode_id=202210309","ictv.global=202210309")</f>
        <v>ictv.global=202210309</v>
      </c>
    </row>
    <row r="6974" spans="1:21">
      <c r="A6974">
        <v>6973</v>
      </c>
      <c r="B6974" s="29" t="s">
        <v>3223</v>
      </c>
      <c r="C6974" s="29"/>
      <c r="D6974" s="29" t="s">
        <v>4156</v>
      </c>
      <c r="E6974" s="29"/>
      <c r="F6974" s="29" t="s">
        <v>4202</v>
      </c>
      <c r="G6974" s="29"/>
      <c r="H6974" s="29" t="s">
        <v>5205</v>
      </c>
      <c r="I6974" s="29"/>
      <c r="J6974" s="29" t="s">
        <v>5206</v>
      </c>
      <c r="K6974" s="29"/>
      <c r="L6974" s="29" t="s">
        <v>5368</v>
      </c>
      <c r="M6974" s="29"/>
      <c r="N6974" s="29" t="s">
        <v>5461</v>
      </c>
      <c r="O6974" s="29"/>
      <c r="P6974" s="29" t="s">
        <v>5462</v>
      </c>
      <c r="Q6974" t="s">
        <v>2040</v>
      </c>
      <c r="R6974" t="s">
        <v>2632</v>
      </c>
      <c r="S6974">
        <v>36</v>
      </c>
      <c r="T6974" s="43" t="str">
        <f t="shared" si="314"/>
        <v>2020.095B.R.Leviviricetes.zip</v>
      </c>
      <c r="U6974" s="43" t="str">
        <f>HYPERLINK("https://ictv.global/taxonomy/taxondetails?taxnode_id=202210313","ictv.global=202210313")</f>
        <v>ictv.global=202210313</v>
      </c>
    </row>
    <row r="6975" spans="1:21">
      <c r="A6975">
        <v>6974</v>
      </c>
      <c r="B6975" s="29" t="s">
        <v>3223</v>
      </c>
      <c r="C6975" s="29"/>
      <c r="D6975" s="29" t="s">
        <v>4156</v>
      </c>
      <c r="E6975" s="29"/>
      <c r="F6975" s="29" t="s">
        <v>4202</v>
      </c>
      <c r="G6975" s="29"/>
      <c r="H6975" s="29" t="s">
        <v>5205</v>
      </c>
      <c r="I6975" s="29"/>
      <c r="J6975" s="29" t="s">
        <v>5206</v>
      </c>
      <c r="K6975" s="29"/>
      <c r="L6975" s="29" t="s">
        <v>5368</v>
      </c>
      <c r="M6975" s="29"/>
      <c r="N6975" s="29" t="s">
        <v>5461</v>
      </c>
      <c r="O6975" s="29"/>
      <c r="P6975" s="29" t="s">
        <v>5463</v>
      </c>
      <c r="Q6975" t="s">
        <v>2040</v>
      </c>
      <c r="R6975" t="s">
        <v>2632</v>
      </c>
      <c r="S6975">
        <v>36</v>
      </c>
      <c r="T6975" s="43" t="str">
        <f t="shared" si="314"/>
        <v>2020.095B.R.Leviviricetes.zip</v>
      </c>
      <c r="U6975" s="43" t="str">
        <f>HYPERLINK("https://ictv.global/taxonomy/taxondetails?taxnode_id=202210312","ictv.global=202210312")</f>
        <v>ictv.global=202210312</v>
      </c>
    </row>
    <row r="6976" spans="1:21">
      <c r="A6976">
        <v>6975</v>
      </c>
      <c r="B6976" s="29" t="s">
        <v>3223</v>
      </c>
      <c r="C6976" s="29"/>
      <c r="D6976" s="29" t="s">
        <v>4156</v>
      </c>
      <c r="E6976" s="29"/>
      <c r="F6976" s="29" t="s">
        <v>4202</v>
      </c>
      <c r="G6976" s="29"/>
      <c r="H6976" s="29" t="s">
        <v>5205</v>
      </c>
      <c r="I6976" s="29"/>
      <c r="J6976" s="29" t="s">
        <v>5206</v>
      </c>
      <c r="K6976" s="29"/>
      <c r="L6976" s="29" t="s">
        <v>5368</v>
      </c>
      <c r="M6976" s="29"/>
      <c r="N6976" s="29" t="s">
        <v>5461</v>
      </c>
      <c r="O6976" s="29"/>
      <c r="P6976" s="29" t="s">
        <v>5464</v>
      </c>
      <c r="Q6976" t="s">
        <v>2040</v>
      </c>
      <c r="R6976" t="s">
        <v>2632</v>
      </c>
      <c r="S6976">
        <v>36</v>
      </c>
      <c r="T6976" s="43" t="str">
        <f t="shared" si="314"/>
        <v>2020.095B.R.Leviviricetes.zip</v>
      </c>
      <c r="U6976" s="43" t="str">
        <f>HYPERLINK("https://ictv.global/taxonomy/taxondetails?taxnode_id=202210314","ictv.global=202210314")</f>
        <v>ictv.global=202210314</v>
      </c>
    </row>
    <row r="6977" spans="1:21">
      <c r="A6977">
        <v>6976</v>
      </c>
      <c r="B6977" s="29" t="s">
        <v>3223</v>
      </c>
      <c r="C6977" s="29"/>
      <c r="D6977" s="29" t="s">
        <v>4156</v>
      </c>
      <c r="E6977" s="29"/>
      <c r="F6977" s="29" t="s">
        <v>4202</v>
      </c>
      <c r="G6977" s="29"/>
      <c r="H6977" s="29" t="s">
        <v>5205</v>
      </c>
      <c r="I6977" s="29"/>
      <c r="J6977" s="29" t="s">
        <v>5206</v>
      </c>
      <c r="K6977" s="29"/>
      <c r="L6977" s="29" t="s">
        <v>5368</v>
      </c>
      <c r="M6977" s="29"/>
      <c r="N6977" s="29" t="s">
        <v>5461</v>
      </c>
      <c r="O6977" s="29"/>
      <c r="P6977" s="29" t="s">
        <v>5465</v>
      </c>
      <c r="Q6977" t="s">
        <v>2040</v>
      </c>
      <c r="R6977" t="s">
        <v>2632</v>
      </c>
      <c r="S6977">
        <v>36</v>
      </c>
      <c r="T6977" s="43" t="str">
        <f t="shared" si="314"/>
        <v>2020.095B.R.Leviviricetes.zip</v>
      </c>
      <c r="U6977" s="43" t="str">
        <f>HYPERLINK("https://ictv.global/taxonomy/taxondetails?taxnode_id=202210315","ictv.global=202210315")</f>
        <v>ictv.global=202210315</v>
      </c>
    </row>
    <row r="6978" spans="1:21">
      <c r="A6978">
        <v>6977</v>
      </c>
      <c r="B6978" s="29" t="s">
        <v>3223</v>
      </c>
      <c r="C6978" s="29"/>
      <c r="D6978" s="29" t="s">
        <v>4156</v>
      </c>
      <c r="E6978" s="29"/>
      <c r="F6978" s="29" t="s">
        <v>4202</v>
      </c>
      <c r="G6978" s="29"/>
      <c r="H6978" s="29" t="s">
        <v>5205</v>
      </c>
      <c r="I6978" s="29"/>
      <c r="J6978" s="29" t="s">
        <v>5206</v>
      </c>
      <c r="K6978" s="29"/>
      <c r="L6978" s="29" t="s">
        <v>5368</v>
      </c>
      <c r="M6978" s="29"/>
      <c r="N6978" s="29" t="s">
        <v>5461</v>
      </c>
      <c r="O6978" s="29"/>
      <c r="P6978" s="29" t="s">
        <v>5466</v>
      </c>
      <c r="Q6978" t="s">
        <v>2040</v>
      </c>
      <c r="R6978" t="s">
        <v>2632</v>
      </c>
      <c r="S6978">
        <v>36</v>
      </c>
      <c r="T6978" s="43" t="str">
        <f t="shared" si="314"/>
        <v>2020.095B.R.Leviviricetes.zip</v>
      </c>
      <c r="U6978" s="43" t="str">
        <f>HYPERLINK("https://ictv.global/taxonomy/taxondetails?taxnode_id=202210316","ictv.global=202210316")</f>
        <v>ictv.global=202210316</v>
      </c>
    </row>
    <row r="6979" spans="1:21">
      <c r="A6979">
        <v>6978</v>
      </c>
      <c r="B6979" s="29" t="s">
        <v>3223</v>
      </c>
      <c r="C6979" s="29"/>
      <c r="D6979" s="29" t="s">
        <v>4156</v>
      </c>
      <c r="E6979" s="29"/>
      <c r="F6979" s="29" t="s">
        <v>4202</v>
      </c>
      <c r="G6979" s="29"/>
      <c r="H6979" s="29" t="s">
        <v>5205</v>
      </c>
      <c r="I6979" s="29"/>
      <c r="J6979" s="29" t="s">
        <v>5206</v>
      </c>
      <c r="K6979" s="29"/>
      <c r="L6979" s="29" t="s">
        <v>5368</v>
      </c>
      <c r="M6979" s="29"/>
      <c r="N6979" s="29" t="s">
        <v>5461</v>
      </c>
      <c r="O6979" s="29"/>
      <c r="P6979" s="29" t="s">
        <v>5467</v>
      </c>
      <c r="Q6979" t="s">
        <v>2040</v>
      </c>
      <c r="R6979" t="s">
        <v>2632</v>
      </c>
      <c r="S6979">
        <v>36</v>
      </c>
      <c r="T6979" s="43" t="str">
        <f t="shared" ref="T6979:T7001" si="315">HYPERLINK("https://ictv.global/ictv/proposals/2020.095B.R.Leviviricetes.zip","2020.095B.R.Leviviricetes.zip")</f>
        <v>2020.095B.R.Leviviricetes.zip</v>
      </c>
      <c r="U6979" s="43" t="str">
        <f>HYPERLINK("https://ictv.global/taxonomy/taxondetails?taxnode_id=202210311","ictv.global=202210311")</f>
        <v>ictv.global=202210311</v>
      </c>
    </row>
    <row r="6980" spans="1:21">
      <c r="A6980">
        <v>6979</v>
      </c>
      <c r="B6980" s="29" t="s">
        <v>3223</v>
      </c>
      <c r="C6980" s="29"/>
      <c r="D6980" s="29" t="s">
        <v>4156</v>
      </c>
      <c r="E6980" s="29"/>
      <c r="F6980" s="29" t="s">
        <v>4202</v>
      </c>
      <c r="G6980" s="29"/>
      <c r="H6980" s="29" t="s">
        <v>5205</v>
      </c>
      <c r="I6980" s="29"/>
      <c r="J6980" s="29" t="s">
        <v>5206</v>
      </c>
      <c r="K6980" s="29"/>
      <c r="L6980" s="29" t="s">
        <v>5368</v>
      </c>
      <c r="M6980" s="29"/>
      <c r="N6980" s="29" t="s">
        <v>5461</v>
      </c>
      <c r="O6980" s="29"/>
      <c r="P6980" s="29" t="s">
        <v>5468</v>
      </c>
      <c r="Q6980" t="s">
        <v>2040</v>
      </c>
      <c r="R6980" t="s">
        <v>2632</v>
      </c>
      <c r="S6980">
        <v>36</v>
      </c>
      <c r="T6980" s="43" t="str">
        <f t="shared" si="315"/>
        <v>2020.095B.R.Leviviricetes.zip</v>
      </c>
      <c r="U6980" s="43" t="str">
        <f>HYPERLINK("https://ictv.global/taxonomy/taxondetails?taxnode_id=202210318","ictv.global=202210318")</f>
        <v>ictv.global=202210318</v>
      </c>
    </row>
    <row r="6981" spans="1:21">
      <c r="A6981">
        <v>6980</v>
      </c>
      <c r="B6981" s="29" t="s">
        <v>3223</v>
      </c>
      <c r="C6981" s="29"/>
      <c r="D6981" s="29" t="s">
        <v>4156</v>
      </c>
      <c r="E6981" s="29"/>
      <c r="F6981" s="29" t="s">
        <v>4202</v>
      </c>
      <c r="G6981" s="29"/>
      <c r="H6981" s="29" t="s">
        <v>5205</v>
      </c>
      <c r="I6981" s="29"/>
      <c r="J6981" s="29" t="s">
        <v>5206</v>
      </c>
      <c r="K6981" s="29"/>
      <c r="L6981" s="29" t="s">
        <v>5368</v>
      </c>
      <c r="M6981" s="29"/>
      <c r="N6981" s="29" t="s">
        <v>5461</v>
      </c>
      <c r="O6981" s="29"/>
      <c r="P6981" s="29" t="s">
        <v>5469</v>
      </c>
      <c r="Q6981" t="s">
        <v>2040</v>
      </c>
      <c r="R6981" t="s">
        <v>2632</v>
      </c>
      <c r="S6981">
        <v>36</v>
      </c>
      <c r="T6981" s="43" t="str">
        <f t="shared" si="315"/>
        <v>2020.095B.R.Leviviricetes.zip</v>
      </c>
      <c r="U6981" s="43" t="str">
        <f>HYPERLINK("https://ictv.global/taxonomy/taxondetails?taxnode_id=202210317","ictv.global=202210317")</f>
        <v>ictv.global=202210317</v>
      </c>
    </row>
    <row r="6982" spans="1:21">
      <c r="A6982">
        <v>6981</v>
      </c>
      <c r="B6982" s="29" t="s">
        <v>3223</v>
      </c>
      <c r="C6982" s="29"/>
      <c r="D6982" s="29" t="s">
        <v>4156</v>
      </c>
      <c r="E6982" s="29"/>
      <c r="F6982" s="29" t="s">
        <v>4202</v>
      </c>
      <c r="G6982" s="29"/>
      <c r="H6982" s="29" t="s">
        <v>5205</v>
      </c>
      <c r="I6982" s="29"/>
      <c r="J6982" s="29" t="s">
        <v>5206</v>
      </c>
      <c r="K6982" s="29"/>
      <c r="L6982" s="29" t="s">
        <v>5368</v>
      </c>
      <c r="M6982" s="29"/>
      <c r="N6982" s="29" t="s">
        <v>5461</v>
      </c>
      <c r="O6982" s="29"/>
      <c r="P6982" s="29" t="s">
        <v>5470</v>
      </c>
      <c r="Q6982" t="s">
        <v>2040</v>
      </c>
      <c r="R6982" t="s">
        <v>2632</v>
      </c>
      <c r="S6982">
        <v>36</v>
      </c>
      <c r="T6982" s="43" t="str">
        <f t="shared" si="315"/>
        <v>2020.095B.R.Leviviricetes.zip</v>
      </c>
      <c r="U6982" s="43" t="str">
        <f>HYPERLINK("https://ictv.global/taxonomy/taxondetails?taxnode_id=202210319","ictv.global=202210319")</f>
        <v>ictv.global=202210319</v>
      </c>
    </row>
    <row r="6983" spans="1:21">
      <c r="A6983">
        <v>6982</v>
      </c>
      <c r="B6983" s="29" t="s">
        <v>3223</v>
      </c>
      <c r="C6983" s="29"/>
      <c r="D6983" s="29" t="s">
        <v>4156</v>
      </c>
      <c r="E6983" s="29"/>
      <c r="F6983" s="29" t="s">
        <v>4202</v>
      </c>
      <c r="G6983" s="29"/>
      <c r="H6983" s="29" t="s">
        <v>5205</v>
      </c>
      <c r="I6983" s="29"/>
      <c r="J6983" s="29" t="s">
        <v>5206</v>
      </c>
      <c r="K6983" s="29"/>
      <c r="L6983" s="29" t="s">
        <v>5368</v>
      </c>
      <c r="M6983" s="29"/>
      <c r="N6983" s="29" t="s">
        <v>5461</v>
      </c>
      <c r="O6983" s="29"/>
      <c r="P6983" s="29" t="s">
        <v>5471</v>
      </c>
      <c r="Q6983" t="s">
        <v>2040</v>
      </c>
      <c r="R6983" t="s">
        <v>2632</v>
      </c>
      <c r="S6983">
        <v>36</v>
      </c>
      <c r="T6983" s="43" t="str">
        <f t="shared" si="315"/>
        <v>2020.095B.R.Leviviricetes.zip</v>
      </c>
      <c r="U6983" s="43" t="str">
        <f>HYPERLINK("https://ictv.global/taxonomy/taxondetails?taxnode_id=202210320","ictv.global=202210320")</f>
        <v>ictv.global=202210320</v>
      </c>
    </row>
    <row r="6984" spans="1:21">
      <c r="A6984">
        <v>6983</v>
      </c>
      <c r="B6984" s="29" t="s">
        <v>3223</v>
      </c>
      <c r="C6984" s="29"/>
      <c r="D6984" s="29" t="s">
        <v>4156</v>
      </c>
      <c r="E6984" s="29"/>
      <c r="F6984" s="29" t="s">
        <v>4202</v>
      </c>
      <c r="G6984" s="29"/>
      <c r="H6984" s="29" t="s">
        <v>5205</v>
      </c>
      <c r="I6984" s="29"/>
      <c r="J6984" s="29" t="s">
        <v>5206</v>
      </c>
      <c r="K6984" s="29"/>
      <c r="L6984" s="29" t="s">
        <v>5368</v>
      </c>
      <c r="M6984" s="29"/>
      <c r="N6984" s="29" t="s">
        <v>5472</v>
      </c>
      <c r="O6984" s="29"/>
      <c r="P6984" s="29" t="s">
        <v>5473</v>
      </c>
      <c r="Q6984" t="s">
        <v>2040</v>
      </c>
      <c r="R6984" t="s">
        <v>2632</v>
      </c>
      <c r="S6984">
        <v>36</v>
      </c>
      <c r="T6984" s="43" t="str">
        <f t="shared" si="315"/>
        <v>2020.095B.R.Leviviricetes.zip</v>
      </c>
      <c r="U6984" s="43" t="str">
        <f>HYPERLINK("https://ictv.global/taxonomy/taxondetails?taxnode_id=202210322","ictv.global=202210322")</f>
        <v>ictv.global=202210322</v>
      </c>
    </row>
    <row r="6985" spans="1:21">
      <c r="A6985">
        <v>6984</v>
      </c>
      <c r="B6985" s="29" t="s">
        <v>3223</v>
      </c>
      <c r="C6985" s="29"/>
      <c r="D6985" s="29" t="s">
        <v>4156</v>
      </c>
      <c r="E6985" s="29"/>
      <c r="F6985" s="29" t="s">
        <v>4202</v>
      </c>
      <c r="G6985" s="29"/>
      <c r="H6985" s="29" t="s">
        <v>5205</v>
      </c>
      <c r="I6985" s="29"/>
      <c r="J6985" s="29" t="s">
        <v>5206</v>
      </c>
      <c r="K6985" s="29"/>
      <c r="L6985" s="29" t="s">
        <v>5368</v>
      </c>
      <c r="M6985" s="29"/>
      <c r="N6985" s="29" t="s">
        <v>5472</v>
      </c>
      <c r="O6985" s="29"/>
      <c r="P6985" s="29" t="s">
        <v>5474</v>
      </c>
      <c r="Q6985" t="s">
        <v>2040</v>
      </c>
      <c r="R6985" t="s">
        <v>2632</v>
      </c>
      <c r="S6985">
        <v>36</v>
      </c>
      <c r="T6985" s="43" t="str">
        <f t="shared" si="315"/>
        <v>2020.095B.R.Leviviricetes.zip</v>
      </c>
      <c r="U6985" s="43" t="str">
        <f>HYPERLINK("https://ictv.global/taxonomy/taxondetails?taxnode_id=202210323","ictv.global=202210323")</f>
        <v>ictv.global=202210323</v>
      </c>
    </row>
    <row r="6986" spans="1:21">
      <c r="A6986">
        <v>6985</v>
      </c>
      <c r="B6986" s="29" t="s">
        <v>3223</v>
      </c>
      <c r="C6986" s="29"/>
      <c r="D6986" s="29" t="s">
        <v>4156</v>
      </c>
      <c r="E6986" s="29"/>
      <c r="F6986" s="29" t="s">
        <v>4202</v>
      </c>
      <c r="G6986" s="29"/>
      <c r="H6986" s="29" t="s">
        <v>5205</v>
      </c>
      <c r="I6986" s="29"/>
      <c r="J6986" s="29" t="s">
        <v>5206</v>
      </c>
      <c r="K6986" s="29"/>
      <c r="L6986" s="29" t="s">
        <v>5368</v>
      </c>
      <c r="M6986" s="29"/>
      <c r="N6986" s="29" t="s">
        <v>5475</v>
      </c>
      <c r="O6986" s="29"/>
      <c r="P6986" s="29" t="s">
        <v>5476</v>
      </c>
      <c r="Q6986" t="s">
        <v>2040</v>
      </c>
      <c r="R6986" t="s">
        <v>2632</v>
      </c>
      <c r="S6986">
        <v>36</v>
      </c>
      <c r="T6986" s="43" t="str">
        <f t="shared" si="315"/>
        <v>2020.095B.R.Leviviricetes.zip</v>
      </c>
      <c r="U6986" s="43" t="str">
        <f>HYPERLINK("https://ictv.global/taxonomy/taxondetails?taxnode_id=202210325","ictv.global=202210325")</f>
        <v>ictv.global=202210325</v>
      </c>
    </row>
    <row r="6987" spans="1:21">
      <c r="A6987">
        <v>6986</v>
      </c>
      <c r="B6987" s="29" t="s">
        <v>3223</v>
      </c>
      <c r="C6987" s="29"/>
      <c r="D6987" s="29" t="s">
        <v>4156</v>
      </c>
      <c r="E6987" s="29"/>
      <c r="F6987" s="29" t="s">
        <v>4202</v>
      </c>
      <c r="G6987" s="29"/>
      <c r="H6987" s="29" t="s">
        <v>5205</v>
      </c>
      <c r="I6987" s="29"/>
      <c r="J6987" s="29" t="s">
        <v>5206</v>
      </c>
      <c r="K6987" s="29"/>
      <c r="L6987" s="29" t="s">
        <v>5368</v>
      </c>
      <c r="M6987" s="29"/>
      <c r="N6987" s="29" t="s">
        <v>5477</v>
      </c>
      <c r="O6987" s="29"/>
      <c r="P6987" s="29" t="s">
        <v>5478</v>
      </c>
      <c r="Q6987" t="s">
        <v>2040</v>
      </c>
      <c r="R6987" t="s">
        <v>2632</v>
      </c>
      <c r="S6987">
        <v>36</v>
      </c>
      <c r="T6987" s="43" t="str">
        <f t="shared" si="315"/>
        <v>2020.095B.R.Leviviricetes.zip</v>
      </c>
      <c r="U6987" s="43" t="str">
        <f>HYPERLINK("https://ictv.global/taxonomy/taxondetails?taxnode_id=202210327","ictv.global=202210327")</f>
        <v>ictv.global=202210327</v>
      </c>
    </row>
    <row r="6988" spans="1:21">
      <c r="A6988">
        <v>6987</v>
      </c>
      <c r="B6988" s="29" t="s">
        <v>3223</v>
      </c>
      <c r="C6988" s="29"/>
      <c r="D6988" s="29" t="s">
        <v>4156</v>
      </c>
      <c r="E6988" s="29"/>
      <c r="F6988" s="29" t="s">
        <v>4202</v>
      </c>
      <c r="G6988" s="29"/>
      <c r="H6988" s="29" t="s">
        <v>5205</v>
      </c>
      <c r="I6988" s="29"/>
      <c r="J6988" s="29" t="s">
        <v>5206</v>
      </c>
      <c r="K6988" s="29"/>
      <c r="L6988" s="29" t="s">
        <v>5368</v>
      </c>
      <c r="M6988" s="29"/>
      <c r="N6988" s="29" t="s">
        <v>5479</v>
      </c>
      <c r="O6988" s="29"/>
      <c r="P6988" s="29" t="s">
        <v>5480</v>
      </c>
      <c r="Q6988" t="s">
        <v>2040</v>
      </c>
      <c r="R6988" t="s">
        <v>2632</v>
      </c>
      <c r="S6988">
        <v>36</v>
      </c>
      <c r="T6988" s="43" t="str">
        <f t="shared" si="315"/>
        <v>2020.095B.R.Leviviricetes.zip</v>
      </c>
      <c r="U6988" s="43" t="str">
        <f>HYPERLINK("https://ictv.global/taxonomy/taxondetails?taxnode_id=202210329","ictv.global=202210329")</f>
        <v>ictv.global=202210329</v>
      </c>
    </row>
    <row r="6989" spans="1:21">
      <c r="A6989">
        <v>6988</v>
      </c>
      <c r="B6989" s="29" t="s">
        <v>3223</v>
      </c>
      <c r="C6989" s="29"/>
      <c r="D6989" s="29" t="s">
        <v>4156</v>
      </c>
      <c r="E6989" s="29"/>
      <c r="F6989" s="29" t="s">
        <v>4202</v>
      </c>
      <c r="G6989" s="29"/>
      <c r="H6989" s="29" t="s">
        <v>5205</v>
      </c>
      <c r="I6989" s="29"/>
      <c r="J6989" s="29" t="s">
        <v>5206</v>
      </c>
      <c r="K6989" s="29"/>
      <c r="L6989" s="29" t="s">
        <v>5368</v>
      </c>
      <c r="M6989" s="29"/>
      <c r="N6989" s="29" t="s">
        <v>5481</v>
      </c>
      <c r="O6989" s="29"/>
      <c r="P6989" s="29" t="s">
        <v>5482</v>
      </c>
      <c r="Q6989" t="s">
        <v>2040</v>
      </c>
      <c r="R6989" t="s">
        <v>2632</v>
      </c>
      <c r="S6989">
        <v>36</v>
      </c>
      <c r="T6989" s="43" t="str">
        <f t="shared" si="315"/>
        <v>2020.095B.R.Leviviricetes.zip</v>
      </c>
      <c r="U6989" s="43" t="str">
        <f>HYPERLINK("https://ictv.global/taxonomy/taxondetails?taxnode_id=202210331","ictv.global=202210331")</f>
        <v>ictv.global=202210331</v>
      </c>
    </row>
    <row r="6990" spans="1:21">
      <c r="A6990">
        <v>6989</v>
      </c>
      <c r="B6990" s="29" t="s">
        <v>3223</v>
      </c>
      <c r="C6990" s="29"/>
      <c r="D6990" s="29" t="s">
        <v>4156</v>
      </c>
      <c r="E6990" s="29"/>
      <c r="F6990" s="29" t="s">
        <v>4202</v>
      </c>
      <c r="G6990" s="29"/>
      <c r="H6990" s="29" t="s">
        <v>5205</v>
      </c>
      <c r="I6990" s="29"/>
      <c r="J6990" s="29" t="s">
        <v>5206</v>
      </c>
      <c r="K6990" s="29"/>
      <c r="L6990" s="29" t="s">
        <v>5368</v>
      </c>
      <c r="M6990" s="29"/>
      <c r="N6990" s="29" t="s">
        <v>5481</v>
      </c>
      <c r="O6990" s="29"/>
      <c r="P6990" s="29" t="s">
        <v>5483</v>
      </c>
      <c r="Q6990" t="s">
        <v>2040</v>
      </c>
      <c r="R6990" t="s">
        <v>2632</v>
      </c>
      <c r="S6990">
        <v>36</v>
      </c>
      <c r="T6990" s="43" t="str">
        <f t="shared" si="315"/>
        <v>2020.095B.R.Leviviricetes.zip</v>
      </c>
      <c r="U6990" s="43" t="str">
        <f>HYPERLINK("https://ictv.global/taxonomy/taxondetails?taxnode_id=202210332","ictv.global=202210332")</f>
        <v>ictv.global=202210332</v>
      </c>
    </row>
    <row r="6991" spans="1:21">
      <c r="A6991">
        <v>6990</v>
      </c>
      <c r="B6991" s="29" t="s">
        <v>3223</v>
      </c>
      <c r="C6991" s="29"/>
      <c r="D6991" s="29" t="s">
        <v>4156</v>
      </c>
      <c r="E6991" s="29"/>
      <c r="F6991" s="29" t="s">
        <v>4202</v>
      </c>
      <c r="G6991" s="29"/>
      <c r="H6991" s="29" t="s">
        <v>5205</v>
      </c>
      <c r="I6991" s="29"/>
      <c r="J6991" s="29" t="s">
        <v>5206</v>
      </c>
      <c r="K6991" s="29"/>
      <c r="L6991" s="29" t="s">
        <v>5368</v>
      </c>
      <c r="M6991" s="29"/>
      <c r="N6991" s="29" t="s">
        <v>5484</v>
      </c>
      <c r="O6991" s="29"/>
      <c r="P6991" s="29" t="s">
        <v>5485</v>
      </c>
      <c r="Q6991" t="s">
        <v>2040</v>
      </c>
      <c r="R6991" t="s">
        <v>2632</v>
      </c>
      <c r="S6991">
        <v>36</v>
      </c>
      <c r="T6991" s="43" t="str">
        <f t="shared" si="315"/>
        <v>2020.095B.R.Leviviricetes.zip</v>
      </c>
      <c r="U6991" s="43" t="str">
        <f>HYPERLINK("https://ictv.global/taxonomy/taxondetails?taxnode_id=202210334","ictv.global=202210334")</f>
        <v>ictv.global=202210334</v>
      </c>
    </row>
    <row r="6992" spans="1:21">
      <c r="A6992">
        <v>6991</v>
      </c>
      <c r="B6992" s="29" t="s">
        <v>3223</v>
      </c>
      <c r="C6992" s="29"/>
      <c r="D6992" s="29" t="s">
        <v>4156</v>
      </c>
      <c r="E6992" s="29"/>
      <c r="F6992" s="29" t="s">
        <v>4202</v>
      </c>
      <c r="G6992" s="29"/>
      <c r="H6992" s="29" t="s">
        <v>5205</v>
      </c>
      <c r="I6992" s="29"/>
      <c r="J6992" s="29" t="s">
        <v>5206</v>
      </c>
      <c r="K6992" s="29"/>
      <c r="L6992" s="29" t="s">
        <v>5368</v>
      </c>
      <c r="M6992" s="29"/>
      <c r="N6992" s="29" t="s">
        <v>5484</v>
      </c>
      <c r="O6992" s="29"/>
      <c r="P6992" s="29" t="s">
        <v>5486</v>
      </c>
      <c r="Q6992" t="s">
        <v>2040</v>
      </c>
      <c r="R6992" t="s">
        <v>2632</v>
      </c>
      <c r="S6992">
        <v>36</v>
      </c>
      <c r="T6992" s="43" t="str">
        <f t="shared" si="315"/>
        <v>2020.095B.R.Leviviricetes.zip</v>
      </c>
      <c r="U6992" s="43" t="str">
        <f>HYPERLINK("https://ictv.global/taxonomy/taxondetails?taxnode_id=202210336","ictv.global=202210336")</f>
        <v>ictv.global=202210336</v>
      </c>
    </row>
    <row r="6993" spans="1:21">
      <c r="A6993">
        <v>6992</v>
      </c>
      <c r="B6993" s="29" t="s">
        <v>3223</v>
      </c>
      <c r="C6993" s="29"/>
      <c r="D6993" s="29" t="s">
        <v>4156</v>
      </c>
      <c r="E6993" s="29"/>
      <c r="F6993" s="29" t="s">
        <v>4202</v>
      </c>
      <c r="G6993" s="29"/>
      <c r="H6993" s="29" t="s">
        <v>5205</v>
      </c>
      <c r="I6993" s="29"/>
      <c r="J6993" s="29" t="s">
        <v>5206</v>
      </c>
      <c r="K6993" s="29"/>
      <c r="L6993" s="29" t="s">
        <v>5368</v>
      </c>
      <c r="M6993" s="29"/>
      <c r="N6993" s="29" t="s">
        <v>5484</v>
      </c>
      <c r="O6993" s="29"/>
      <c r="P6993" s="29" t="s">
        <v>5487</v>
      </c>
      <c r="Q6993" t="s">
        <v>2040</v>
      </c>
      <c r="R6993" t="s">
        <v>2632</v>
      </c>
      <c r="S6993">
        <v>36</v>
      </c>
      <c r="T6993" s="43" t="str">
        <f t="shared" si="315"/>
        <v>2020.095B.R.Leviviricetes.zip</v>
      </c>
      <c r="U6993" s="43" t="str">
        <f>HYPERLINK("https://ictv.global/taxonomy/taxondetails?taxnode_id=202210335","ictv.global=202210335")</f>
        <v>ictv.global=202210335</v>
      </c>
    </row>
    <row r="6994" spans="1:21">
      <c r="A6994">
        <v>6993</v>
      </c>
      <c r="B6994" s="29" t="s">
        <v>3223</v>
      </c>
      <c r="C6994" s="29"/>
      <c r="D6994" s="29" t="s">
        <v>4156</v>
      </c>
      <c r="E6994" s="29"/>
      <c r="F6994" s="29" t="s">
        <v>4202</v>
      </c>
      <c r="G6994" s="29"/>
      <c r="H6994" s="29" t="s">
        <v>5205</v>
      </c>
      <c r="I6994" s="29"/>
      <c r="J6994" s="29" t="s">
        <v>5206</v>
      </c>
      <c r="K6994" s="29"/>
      <c r="L6994" s="29" t="s">
        <v>5368</v>
      </c>
      <c r="M6994" s="29"/>
      <c r="N6994" s="29" t="s">
        <v>5488</v>
      </c>
      <c r="O6994" s="29"/>
      <c r="P6994" s="29" t="s">
        <v>5489</v>
      </c>
      <c r="Q6994" t="s">
        <v>2040</v>
      </c>
      <c r="R6994" t="s">
        <v>2632</v>
      </c>
      <c r="S6994">
        <v>36</v>
      </c>
      <c r="T6994" s="43" t="str">
        <f t="shared" si="315"/>
        <v>2020.095B.R.Leviviricetes.zip</v>
      </c>
      <c r="U6994" s="43" t="str">
        <f>HYPERLINK("https://ictv.global/taxonomy/taxondetails?taxnode_id=202210338","ictv.global=202210338")</f>
        <v>ictv.global=202210338</v>
      </c>
    </row>
    <row r="6995" spans="1:21">
      <c r="A6995">
        <v>6994</v>
      </c>
      <c r="B6995" s="29" t="s">
        <v>3223</v>
      </c>
      <c r="C6995" s="29"/>
      <c r="D6995" s="29" t="s">
        <v>4156</v>
      </c>
      <c r="E6995" s="29"/>
      <c r="F6995" s="29" t="s">
        <v>4202</v>
      </c>
      <c r="G6995" s="29"/>
      <c r="H6995" s="29" t="s">
        <v>5205</v>
      </c>
      <c r="I6995" s="29"/>
      <c r="J6995" s="29" t="s">
        <v>5206</v>
      </c>
      <c r="K6995" s="29"/>
      <c r="L6995" s="29" t="s">
        <v>5368</v>
      </c>
      <c r="M6995" s="29"/>
      <c r="N6995" s="29" t="s">
        <v>5490</v>
      </c>
      <c r="O6995" s="29"/>
      <c r="P6995" s="29" t="s">
        <v>5491</v>
      </c>
      <c r="Q6995" t="s">
        <v>2040</v>
      </c>
      <c r="R6995" t="s">
        <v>2632</v>
      </c>
      <c r="S6995">
        <v>36</v>
      </c>
      <c r="T6995" s="43" t="str">
        <f t="shared" si="315"/>
        <v>2020.095B.R.Leviviricetes.zip</v>
      </c>
      <c r="U6995" s="43" t="str">
        <f>HYPERLINK("https://ictv.global/taxonomy/taxondetails?taxnode_id=202210340","ictv.global=202210340")</f>
        <v>ictv.global=202210340</v>
      </c>
    </row>
    <row r="6996" spans="1:21">
      <c r="A6996">
        <v>6995</v>
      </c>
      <c r="B6996" s="29" t="s">
        <v>3223</v>
      </c>
      <c r="C6996" s="29"/>
      <c r="D6996" s="29" t="s">
        <v>4156</v>
      </c>
      <c r="E6996" s="29"/>
      <c r="F6996" s="29" t="s">
        <v>4202</v>
      </c>
      <c r="G6996" s="29"/>
      <c r="H6996" s="29" t="s">
        <v>5205</v>
      </c>
      <c r="I6996" s="29"/>
      <c r="J6996" s="29" t="s">
        <v>5206</v>
      </c>
      <c r="K6996" s="29"/>
      <c r="L6996" s="29" t="s">
        <v>5368</v>
      </c>
      <c r="M6996" s="29"/>
      <c r="N6996" s="29" t="s">
        <v>5492</v>
      </c>
      <c r="O6996" s="29"/>
      <c r="P6996" s="29" t="s">
        <v>5493</v>
      </c>
      <c r="Q6996" t="s">
        <v>2040</v>
      </c>
      <c r="R6996" t="s">
        <v>2632</v>
      </c>
      <c r="S6996">
        <v>36</v>
      </c>
      <c r="T6996" s="43" t="str">
        <f t="shared" si="315"/>
        <v>2020.095B.R.Leviviricetes.zip</v>
      </c>
      <c r="U6996" s="43" t="str">
        <f>HYPERLINK("https://ictv.global/taxonomy/taxondetails?taxnode_id=202210342","ictv.global=202210342")</f>
        <v>ictv.global=202210342</v>
      </c>
    </row>
    <row r="6997" spans="1:21">
      <c r="A6997">
        <v>6996</v>
      </c>
      <c r="B6997" s="29" t="s">
        <v>3223</v>
      </c>
      <c r="C6997" s="29"/>
      <c r="D6997" s="29" t="s">
        <v>4156</v>
      </c>
      <c r="E6997" s="29"/>
      <c r="F6997" s="29" t="s">
        <v>4202</v>
      </c>
      <c r="G6997" s="29"/>
      <c r="H6997" s="29" t="s">
        <v>5205</v>
      </c>
      <c r="I6997" s="29"/>
      <c r="J6997" s="29" t="s">
        <v>5206</v>
      </c>
      <c r="K6997" s="29"/>
      <c r="L6997" s="29" t="s">
        <v>5368</v>
      </c>
      <c r="M6997" s="29"/>
      <c r="N6997" s="29" t="s">
        <v>5494</v>
      </c>
      <c r="O6997" s="29"/>
      <c r="P6997" s="29" t="s">
        <v>5495</v>
      </c>
      <c r="Q6997" t="s">
        <v>2040</v>
      </c>
      <c r="R6997" t="s">
        <v>2632</v>
      </c>
      <c r="S6997">
        <v>36</v>
      </c>
      <c r="T6997" s="43" t="str">
        <f t="shared" si="315"/>
        <v>2020.095B.R.Leviviricetes.zip</v>
      </c>
      <c r="U6997" s="43" t="str">
        <f>HYPERLINK("https://ictv.global/taxonomy/taxondetails?taxnode_id=202210344","ictv.global=202210344")</f>
        <v>ictv.global=202210344</v>
      </c>
    </row>
    <row r="6998" spans="1:21">
      <c r="A6998">
        <v>6997</v>
      </c>
      <c r="B6998" s="29" t="s">
        <v>3223</v>
      </c>
      <c r="C6998" s="29"/>
      <c r="D6998" s="29" t="s">
        <v>4156</v>
      </c>
      <c r="E6998" s="29"/>
      <c r="F6998" s="29" t="s">
        <v>4202</v>
      </c>
      <c r="G6998" s="29"/>
      <c r="H6998" s="29" t="s">
        <v>5205</v>
      </c>
      <c r="I6998" s="29"/>
      <c r="J6998" s="29" t="s">
        <v>5206</v>
      </c>
      <c r="K6998" s="29"/>
      <c r="L6998" s="29" t="s">
        <v>5368</v>
      </c>
      <c r="M6998" s="29"/>
      <c r="N6998" s="29" t="s">
        <v>5496</v>
      </c>
      <c r="O6998" s="29"/>
      <c r="P6998" s="29" t="s">
        <v>5497</v>
      </c>
      <c r="Q6998" t="s">
        <v>2040</v>
      </c>
      <c r="R6998" t="s">
        <v>2632</v>
      </c>
      <c r="S6998">
        <v>36</v>
      </c>
      <c r="T6998" s="43" t="str">
        <f t="shared" si="315"/>
        <v>2020.095B.R.Leviviricetes.zip</v>
      </c>
      <c r="U6998" s="43" t="str">
        <f>HYPERLINK("https://ictv.global/taxonomy/taxondetails?taxnode_id=202210346","ictv.global=202210346")</f>
        <v>ictv.global=202210346</v>
      </c>
    </row>
    <row r="6999" spans="1:21">
      <c r="A6999">
        <v>6998</v>
      </c>
      <c r="B6999" s="29" t="s">
        <v>3223</v>
      </c>
      <c r="C6999" s="29"/>
      <c r="D6999" s="29" t="s">
        <v>4156</v>
      </c>
      <c r="E6999" s="29"/>
      <c r="F6999" s="29" t="s">
        <v>4202</v>
      </c>
      <c r="G6999" s="29"/>
      <c r="H6999" s="29" t="s">
        <v>5205</v>
      </c>
      <c r="I6999" s="29"/>
      <c r="J6999" s="29" t="s">
        <v>5206</v>
      </c>
      <c r="K6999" s="29"/>
      <c r="L6999" s="29" t="s">
        <v>5368</v>
      </c>
      <c r="M6999" s="29"/>
      <c r="N6999" s="29" t="s">
        <v>5498</v>
      </c>
      <c r="O6999" s="29"/>
      <c r="P6999" s="29" t="s">
        <v>5499</v>
      </c>
      <c r="Q6999" t="s">
        <v>2040</v>
      </c>
      <c r="R6999" t="s">
        <v>2632</v>
      </c>
      <c r="S6999">
        <v>36</v>
      </c>
      <c r="T6999" s="43" t="str">
        <f t="shared" si="315"/>
        <v>2020.095B.R.Leviviricetes.zip</v>
      </c>
      <c r="U6999" s="43" t="str">
        <f>HYPERLINK("https://ictv.global/taxonomy/taxondetails?taxnode_id=202210348","ictv.global=202210348")</f>
        <v>ictv.global=202210348</v>
      </c>
    </row>
    <row r="7000" spans="1:21">
      <c r="A7000">
        <v>6999</v>
      </c>
      <c r="B7000" s="29" t="s">
        <v>3223</v>
      </c>
      <c r="C7000" s="29"/>
      <c r="D7000" s="29" t="s">
        <v>4156</v>
      </c>
      <c r="E7000" s="29"/>
      <c r="F7000" s="29" t="s">
        <v>4202</v>
      </c>
      <c r="G7000" s="29"/>
      <c r="H7000" s="29" t="s">
        <v>5205</v>
      </c>
      <c r="I7000" s="29"/>
      <c r="J7000" s="29" t="s">
        <v>5206</v>
      </c>
      <c r="K7000" s="29"/>
      <c r="L7000" s="29" t="s">
        <v>5368</v>
      </c>
      <c r="M7000" s="29"/>
      <c r="N7000" s="29" t="s">
        <v>5500</v>
      </c>
      <c r="O7000" s="29"/>
      <c r="P7000" s="29" t="s">
        <v>5501</v>
      </c>
      <c r="Q7000" t="s">
        <v>2040</v>
      </c>
      <c r="R7000" t="s">
        <v>2633</v>
      </c>
      <c r="S7000">
        <v>36</v>
      </c>
      <c r="T7000" s="43" t="str">
        <f t="shared" si="315"/>
        <v>2020.095B.R.Leviviricetes.zip</v>
      </c>
      <c r="U7000" s="43" t="str">
        <f>HYPERLINK("https://ictv.global/taxonomy/taxondetails?taxnode_id=202203757","ictv.global=202203757")</f>
        <v>ictv.global=202203757</v>
      </c>
    </row>
    <row r="7001" spans="1:21">
      <c r="A7001">
        <v>7000</v>
      </c>
      <c r="B7001" s="29" t="s">
        <v>3223</v>
      </c>
      <c r="C7001" s="29"/>
      <c r="D7001" s="29" t="s">
        <v>4156</v>
      </c>
      <c r="E7001" s="29"/>
      <c r="F7001" s="29" t="s">
        <v>4202</v>
      </c>
      <c r="G7001" s="29"/>
      <c r="H7001" s="29" t="s">
        <v>5205</v>
      </c>
      <c r="I7001" s="29"/>
      <c r="J7001" s="29" t="s">
        <v>5206</v>
      </c>
      <c r="K7001" s="29"/>
      <c r="L7001" s="29" t="s">
        <v>5368</v>
      </c>
      <c r="M7001" s="29"/>
      <c r="N7001" s="29" t="s">
        <v>5500</v>
      </c>
      <c r="O7001" s="29"/>
      <c r="P7001" s="29" t="s">
        <v>5502</v>
      </c>
      <c r="Q7001" t="s">
        <v>2040</v>
      </c>
      <c r="R7001" t="s">
        <v>2632</v>
      </c>
      <c r="S7001">
        <v>36</v>
      </c>
      <c r="T7001" s="43" t="str">
        <f t="shared" si="315"/>
        <v>2020.095B.R.Leviviricetes.zip</v>
      </c>
      <c r="U7001" s="43" t="str">
        <f>HYPERLINK("https://ictv.global/taxonomy/taxondetails?taxnode_id=202210217","ictv.global=202210217")</f>
        <v>ictv.global=202210217</v>
      </c>
    </row>
    <row r="7002" spans="1:21">
      <c r="A7002">
        <v>7001</v>
      </c>
      <c r="B7002" s="29" t="s">
        <v>3223</v>
      </c>
      <c r="C7002" s="29"/>
      <c r="D7002" s="29" t="s">
        <v>4156</v>
      </c>
      <c r="E7002" s="29"/>
      <c r="F7002" s="29" t="s">
        <v>4202</v>
      </c>
      <c r="G7002" s="29"/>
      <c r="H7002" s="29" t="s">
        <v>5205</v>
      </c>
      <c r="I7002" s="29"/>
      <c r="J7002" s="29" t="s">
        <v>5206</v>
      </c>
      <c r="K7002" s="29"/>
      <c r="L7002" s="29" t="s">
        <v>5368</v>
      </c>
      <c r="M7002" s="29"/>
      <c r="N7002" s="29" t="s">
        <v>5500</v>
      </c>
      <c r="O7002" s="29"/>
      <c r="P7002" s="29" t="s">
        <v>5503</v>
      </c>
      <c r="Q7002" t="s">
        <v>2040</v>
      </c>
      <c r="R7002" t="s">
        <v>6900</v>
      </c>
      <c r="S7002">
        <v>36</v>
      </c>
      <c r="T7002" s="43" t="str">
        <f>HYPERLINK("https://ictv.global/ictv/proposals/2020.095B.R.Leviviricetes.zip","2020.095B.R.Leviviricetes.zip;2020.001G.R.Abolish_type_species.pdf")</f>
        <v>2020.095B.R.Leviviricetes.zip;2020.001G.R.Abolish_type_species.pdf</v>
      </c>
      <c r="U7002" s="43" t="str">
        <f>HYPERLINK("https://ictv.global/taxonomy/taxondetails?taxnode_id=202203758","ictv.global=202203758")</f>
        <v>ictv.global=202203758</v>
      </c>
    </row>
    <row r="7003" spans="1:21">
      <c r="A7003">
        <v>7002</v>
      </c>
      <c r="B7003" s="29" t="s">
        <v>3223</v>
      </c>
      <c r="C7003" s="29"/>
      <c r="D7003" s="29" t="s">
        <v>4156</v>
      </c>
      <c r="E7003" s="29"/>
      <c r="F7003" s="29" t="s">
        <v>4202</v>
      </c>
      <c r="G7003" s="29"/>
      <c r="H7003" s="29" t="s">
        <v>5205</v>
      </c>
      <c r="I7003" s="29"/>
      <c r="J7003" s="29" t="s">
        <v>5206</v>
      </c>
      <c r="K7003" s="29"/>
      <c r="L7003" s="29" t="s">
        <v>5368</v>
      </c>
      <c r="M7003" s="29"/>
      <c r="N7003" s="29" t="s">
        <v>5504</v>
      </c>
      <c r="O7003" s="29"/>
      <c r="P7003" s="29" t="s">
        <v>5505</v>
      </c>
      <c r="Q7003" t="s">
        <v>2040</v>
      </c>
      <c r="R7003" t="s">
        <v>2632</v>
      </c>
      <c r="S7003">
        <v>36</v>
      </c>
      <c r="T7003" s="43" t="str">
        <f t="shared" ref="T7003:T7034" si="316">HYPERLINK("https://ictv.global/ictv/proposals/2020.095B.R.Leviviricetes.zip","2020.095B.R.Leviviricetes.zip")</f>
        <v>2020.095B.R.Leviviricetes.zip</v>
      </c>
      <c r="U7003" s="43" t="str">
        <f>HYPERLINK("https://ictv.global/taxonomy/taxondetails?taxnode_id=202210350","ictv.global=202210350")</f>
        <v>ictv.global=202210350</v>
      </c>
    </row>
    <row r="7004" spans="1:21">
      <c r="A7004">
        <v>7003</v>
      </c>
      <c r="B7004" s="29" t="s">
        <v>3223</v>
      </c>
      <c r="C7004" s="29"/>
      <c r="D7004" s="29" t="s">
        <v>4156</v>
      </c>
      <c r="E7004" s="29"/>
      <c r="F7004" s="29" t="s">
        <v>4202</v>
      </c>
      <c r="G7004" s="29"/>
      <c r="H7004" s="29" t="s">
        <v>5205</v>
      </c>
      <c r="I7004" s="29"/>
      <c r="J7004" s="29" t="s">
        <v>5206</v>
      </c>
      <c r="K7004" s="29"/>
      <c r="L7004" s="29" t="s">
        <v>5368</v>
      </c>
      <c r="M7004" s="29"/>
      <c r="N7004" s="29" t="s">
        <v>5506</v>
      </c>
      <c r="O7004" s="29"/>
      <c r="P7004" s="29" t="s">
        <v>5507</v>
      </c>
      <c r="Q7004" t="s">
        <v>2040</v>
      </c>
      <c r="R7004" t="s">
        <v>2632</v>
      </c>
      <c r="S7004">
        <v>36</v>
      </c>
      <c r="T7004" s="43" t="str">
        <f t="shared" si="316"/>
        <v>2020.095B.R.Leviviricetes.zip</v>
      </c>
      <c r="U7004" s="43" t="str">
        <f>HYPERLINK("https://ictv.global/taxonomy/taxondetails?taxnode_id=202210352","ictv.global=202210352")</f>
        <v>ictv.global=202210352</v>
      </c>
    </row>
    <row r="7005" spans="1:21">
      <c r="A7005">
        <v>7004</v>
      </c>
      <c r="B7005" s="29" t="s">
        <v>3223</v>
      </c>
      <c r="C7005" s="29"/>
      <c r="D7005" s="29" t="s">
        <v>4156</v>
      </c>
      <c r="E7005" s="29"/>
      <c r="F7005" s="29" t="s">
        <v>4202</v>
      </c>
      <c r="G7005" s="29"/>
      <c r="H7005" s="29" t="s">
        <v>5205</v>
      </c>
      <c r="I7005" s="29"/>
      <c r="J7005" s="29" t="s">
        <v>5206</v>
      </c>
      <c r="K7005" s="29"/>
      <c r="L7005" s="29" t="s">
        <v>5368</v>
      </c>
      <c r="M7005" s="29"/>
      <c r="N7005" s="29" t="s">
        <v>5508</v>
      </c>
      <c r="O7005" s="29"/>
      <c r="P7005" s="29" t="s">
        <v>5509</v>
      </c>
      <c r="Q7005" t="s">
        <v>2040</v>
      </c>
      <c r="R7005" t="s">
        <v>2632</v>
      </c>
      <c r="S7005">
        <v>36</v>
      </c>
      <c r="T7005" s="43" t="str">
        <f t="shared" si="316"/>
        <v>2020.095B.R.Leviviricetes.zip</v>
      </c>
      <c r="U7005" s="43" t="str">
        <f>HYPERLINK("https://ictv.global/taxonomy/taxondetails?taxnode_id=202210354","ictv.global=202210354")</f>
        <v>ictv.global=202210354</v>
      </c>
    </row>
    <row r="7006" spans="1:21">
      <c r="A7006">
        <v>7005</v>
      </c>
      <c r="B7006" s="29" t="s">
        <v>3223</v>
      </c>
      <c r="C7006" s="29"/>
      <c r="D7006" s="29" t="s">
        <v>4156</v>
      </c>
      <c r="E7006" s="29"/>
      <c r="F7006" s="29" t="s">
        <v>4202</v>
      </c>
      <c r="G7006" s="29"/>
      <c r="H7006" s="29" t="s">
        <v>5205</v>
      </c>
      <c r="I7006" s="29"/>
      <c r="J7006" s="29" t="s">
        <v>5206</v>
      </c>
      <c r="K7006" s="29"/>
      <c r="L7006" s="29" t="s">
        <v>5368</v>
      </c>
      <c r="M7006" s="29"/>
      <c r="N7006" s="29" t="s">
        <v>5510</v>
      </c>
      <c r="O7006" s="29"/>
      <c r="P7006" s="29" t="s">
        <v>5511</v>
      </c>
      <c r="Q7006" t="s">
        <v>2040</v>
      </c>
      <c r="R7006" t="s">
        <v>2632</v>
      </c>
      <c r="S7006">
        <v>36</v>
      </c>
      <c r="T7006" s="43" t="str">
        <f t="shared" si="316"/>
        <v>2020.095B.R.Leviviricetes.zip</v>
      </c>
      <c r="U7006" s="43" t="str">
        <f>HYPERLINK("https://ictv.global/taxonomy/taxondetails?taxnode_id=202210356","ictv.global=202210356")</f>
        <v>ictv.global=202210356</v>
      </c>
    </row>
    <row r="7007" spans="1:21">
      <c r="A7007">
        <v>7006</v>
      </c>
      <c r="B7007" s="29" t="s">
        <v>3223</v>
      </c>
      <c r="C7007" s="29"/>
      <c r="D7007" s="29" t="s">
        <v>4156</v>
      </c>
      <c r="E7007" s="29"/>
      <c r="F7007" s="29" t="s">
        <v>4202</v>
      </c>
      <c r="G7007" s="29"/>
      <c r="H7007" s="29" t="s">
        <v>5205</v>
      </c>
      <c r="I7007" s="29"/>
      <c r="J7007" s="29" t="s">
        <v>5206</v>
      </c>
      <c r="K7007" s="29"/>
      <c r="L7007" s="29" t="s">
        <v>5368</v>
      </c>
      <c r="M7007" s="29"/>
      <c r="N7007" s="29" t="s">
        <v>5512</v>
      </c>
      <c r="O7007" s="29"/>
      <c r="P7007" s="29" t="s">
        <v>5513</v>
      </c>
      <c r="Q7007" t="s">
        <v>2040</v>
      </c>
      <c r="R7007" t="s">
        <v>2632</v>
      </c>
      <c r="S7007">
        <v>36</v>
      </c>
      <c r="T7007" s="43" t="str">
        <f t="shared" si="316"/>
        <v>2020.095B.R.Leviviricetes.zip</v>
      </c>
      <c r="U7007" s="43" t="str">
        <f>HYPERLINK("https://ictv.global/taxonomy/taxondetails?taxnode_id=202210358","ictv.global=202210358")</f>
        <v>ictv.global=202210358</v>
      </c>
    </row>
    <row r="7008" spans="1:21">
      <c r="A7008">
        <v>7007</v>
      </c>
      <c r="B7008" s="29" t="s">
        <v>3223</v>
      </c>
      <c r="C7008" s="29"/>
      <c r="D7008" s="29" t="s">
        <v>4156</v>
      </c>
      <c r="E7008" s="29"/>
      <c r="F7008" s="29" t="s">
        <v>4202</v>
      </c>
      <c r="G7008" s="29"/>
      <c r="H7008" s="29" t="s">
        <v>5205</v>
      </c>
      <c r="I7008" s="29"/>
      <c r="J7008" s="29" t="s">
        <v>5206</v>
      </c>
      <c r="K7008" s="29"/>
      <c r="L7008" s="29" t="s">
        <v>5368</v>
      </c>
      <c r="M7008" s="29"/>
      <c r="N7008" s="29" t="s">
        <v>5514</v>
      </c>
      <c r="O7008" s="29"/>
      <c r="P7008" s="29" t="s">
        <v>5515</v>
      </c>
      <c r="Q7008" t="s">
        <v>2040</v>
      </c>
      <c r="R7008" t="s">
        <v>2632</v>
      </c>
      <c r="S7008">
        <v>36</v>
      </c>
      <c r="T7008" s="43" t="str">
        <f t="shared" si="316"/>
        <v>2020.095B.R.Leviviricetes.zip</v>
      </c>
      <c r="U7008" s="43" t="str">
        <f>HYPERLINK("https://ictv.global/taxonomy/taxondetails?taxnode_id=202210360","ictv.global=202210360")</f>
        <v>ictv.global=202210360</v>
      </c>
    </row>
    <row r="7009" spans="1:21">
      <c r="A7009">
        <v>7008</v>
      </c>
      <c r="B7009" s="29" t="s">
        <v>3223</v>
      </c>
      <c r="C7009" s="29"/>
      <c r="D7009" s="29" t="s">
        <v>4156</v>
      </c>
      <c r="E7009" s="29"/>
      <c r="F7009" s="29" t="s">
        <v>4202</v>
      </c>
      <c r="G7009" s="29"/>
      <c r="H7009" s="29" t="s">
        <v>5205</v>
      </c>
      <c r="I7009" s="29"/>
      <c r="J7009" s="29" t="s">
        <v>5206</v>
      </c>
      <c r="K7009" s="29"/>
      <c r="L7009" s="29" t="s">
        <v>5368</v>
      </c>
      <c r="M7009" s="29"/>
      <c r="N7009" s="29" t="s">
        <v>5516</v>
      </c>
      <c r="O7009" s="29"/>
      <c r="P7009" s="29" t="s">
        <v>5517</v>
      </c>
      <c r="Q7009" t="s">
        <v>2040</v>
      </c>
      <c r="R7009" t="s">
        <v>2632</v>
      </c>
      <c r="S7009">
        <v>36</v>
      </c>
      <c r="T7009" s="43" t="str">
        <f t="shared" si="316"/>
        <v>2020.095B.R.Leviviricetes.zip</v>
      </c>
      <c r="U7009" s="43" t="str">
        <f>HYPERLINK("https://ictv.global/taxonomy/taxondetails?taxnode_id=202210362","ictv.global=202210362")</f>
        <v>ictv.global=202210362</v>
      </c>
    </row>
    <row r="7010" spans="1:21">
      <c r="A7010">
        <v>7009</v>
      </c>
      <c r="B7010" s="29" t="s">
        <v>3223</v>
      </c>
      <c r="C7010" s="29"/>
      <c r="D7010" s="29" t="s">
        <v>4156</v>
      </c>
      <c r="E7010" s="29"/>
      <c r="F7010" s="29" t="s">
        <v>4202</v>
      </c>
      <c r="G7010" s="29"/>
      <c r="H7010" s="29" t="s">
        <v>5205</v>
      </c>
      <c r="I7010" s="29"/>
      <c r="J7010" s="29" t="s">
        <v>5206</v>
      </c>
      <c r="K7010" s="29"/>
      <c r="L7010" s="29" t="s">
        <v>5368</v>
      </c>
      <c r="M7010" s="29"/>
      <c r="N7010" s="29" t="s">
        <v>5518</v>
      </c>
      <c r="O7010" s="29"/>
      <c r="P7010" s="29" t="s">
        <v>5519</v>
      </c>
      <c r="Q7010" t="s">
        <v>2040</v>
      </c>
      <c r="R7010" t="s">
        <v>2632</v>
      </c>
      <c r="S7010">
        <v>36</v>
      </c>
      <c r="T7010" s="43" t="str">
        <f t="shared" si="316"/>
        <v>2020.095B.R.Leviviricetes.zip</v>
      </c>
      <c r="U7010" s="43" t="str">
        <f>HYPERLINK("https://ictv.global/taxonomy/taxondetails?taxnode_id=202210364","ictv.global=202210364")</f>
        <v>ictv.global=202210364</v>
      </c>
    </row>
    <row r="7011" spans="1:21">
      <c r="A7011">
        <v>7010</v>
      </c>
      <c r="B7011" s="29" t="s">
        <v>3223</v>
      </c>
      <c r="C7011" s="29"/>
      <c r="D7011" s="29" t="s">
        <v>4156</v>
      </c>
      <c r="E7011" s="29"/>
      <c r="F7011" s="29" t="s">
        <v>4202</v>
      </c>
      <c r="G7011" s="29"/>
      <c r="H7011" s="29" t="s">
        <v>5205</v>
      </c>
      <c r="I7011" s="29"/>
      <c r="J7011" s="29" t="s">
        <v>5206</v>
      </c>
      <c r="K7011" s="29"/>
      <c r="L7011" s="29" t="s">
        <v>5368</v>
      </c>
      <c r="M7011" s="29"/>
      <c r="N7011" s="29" t="s">
        <v>5520</v>
      </c>
      <c r="O7011" s="29"/>
      <c r="P7011" s="29" t="s">
        <v>5521</v>
      </c>
      <c r="Q7011" t="s">
        <v>2040</v>
      </c>
      <c r="R7011" t="s">
        <v>2632</v>
      </c>
      <c r="S7011">
        <v>36</v>
      </c>
      <c r="T7011" s="43" t="str">
        <f t="shared" si="316"/>
        <v>2020.095B.R.Leviviricetes.zip</v>
      </c>
      <c r="U7011" s="43" t="str">
        <f>HYPERLINK("https://ictv.global/taxonomy/taxondetails?taxnode_id=202210366","ictv.global=202210366")</f>
        <v>ictv.global=202210366</v>
      </c>
    </row>
    <row r="7012" spans="1:21">
      <c r="A7012">
        <v>7011</v>
      </c>
      <c r="B7012" s="29" t="s">
        <v>3223</v>
      </c>
      <c r="C7012" s="29"/>
      <c r="D7012" s="29" t="s">
        <v>4156</v>
      </c>
      <c r="E7012" s="29"/>
      <c r="F7012" s="29" t="s">
        <v>4202</v>
      </c>
      <c r="G7012" s="29"/>
      <c r="H7012" s="29" t="s">
        <v>5205</v>
      </c>
      <c r="I7012" s="29"/>
      <c r="J7012" s="29" t="s">
        <v>5206</v>
      </c>
      <c r="K7012" s="29"/>
      <c r="L7012" s="29" t="s">
        <v>5368</v>
      </c>
      <c r="M7012" s="29"/>
      <c r="N7012" s="29" t="s">
        <v>5522</v>
      </c>
      <c r="O7012" s="29"/>
      <c r="P7012" s="29" t="s">
        <v>5523</v>
      </c>
      <c r="Q7012" t="s">
        <v>2040</v>
      </c>
      <c r="R7012" t="s">
        <v>2632</v>
      </c>
      <c r="S7012">
        <v>36</v>
      </c>
      <c r="T7012" s="43" t="str">
        <f t="shared" si="316"/>
        <v>2020.095B.R.Leviviricetes.zip</v>
      </c>
      <c r="U7012" s="43" t="str">
        <f>HYPERLINK("https://ictv.global/taxonomy/taxondetails?taxnode_id=202210369","ictv.global=202210369")</f>
        <v>ictv.global=202210369</v>
      </c>
    </row>
    <row r="7013" spans="1:21">
      <c r="A7013">
        <v>7012</v>
      </c>
      <c r="B7013" s="29" t="s">
        <v>3223</v>
      </c>
      <c r="C7013" s="29"/>
      <c r="D7013" s="29" t="s">
        <v>4156</v>
      </c>
      <c r="E7013" s="29"/>
      <c r="F7013" s="29" t="s">
        <v>4202</v>
      </c>
      <c r="G7013" s="29"/>
      <c r="H7013" s="29" t="s">
        <v>5205</v>
      </c>
      <c r="I7013" s="29"/>
      <c r="J7013" s="29" t="s">
        <v>5206</v>
      </c>
      <c r="K7013" s="29"/>
      <c r="L7013" s="29" t="s">
        <v>5368</v>
      </c>
      <c r="M7013" s="29"/>
      <c r="N7013" s="29" t="s">
        <v>5522</v>
      </c>
      <c r="O7013" s="29"/>
      <c r="P7013" s="29" t="s">
        <v>5524</v>
      </c>
      <c r="Q7013" t="s">
        <v>2040</v>
      </c>
      <c r="R7013" t="s">
        <v>2632</v>
      </c>
      <c r="S7013">
        <v>36</v>
      </c>
      <c r="T7013" s="43" t="str">
        <f t="shared" si="316"/>
        <v>2020.095B.R.Leviviricetes.zip</v>
      </c>
      <c r="U7013" s="43" t="str">
        <f>HYPERLINK("https://ictv.global/taxonomy/taxondetails?taxnode_id=202210368","ictv.global=202210368")</f>
        <v>ictv.global=202210368</v>
      </c>
    </row>
    <row r="7014" spans="1:21">
      <c r="A7014">
        <v>7013</v>
      </c>
      <c r="B7014" s="29" t="s">
        <v>3223</v>
      </c>
      <c r="C7014" s="29"/>
      <c r="D7014" s="29" t="s">
        <v>4156</v>
      </c>
      <c r="E7014" s="29"/>
      <c r="F7014" s="29" t="s">
        <v>4202</v>
      </c>
      <c r="G7014" s="29"/>
      <c r="H7014" s="29" t="s">
        <v>5205</v>
      </c>
      <c r="I7014" s="29"/>
      <c r="J7014" s="29" t="s">
        <v>5206</v>
      </c>
      <c r="K7014" s="29"/>
      <c r="L7014" s="29" t="s">
        <v>5368</v>
      </c>
      <c r="M7014" s="29"/>
      <c r="N7014" s="29" t="s">
        <v>5525</v>
      </c>
      <c r="O7014" s="29"/>
      <c r="P7014" s="29" t="s">
        <v>5526</v>
      </c>
      <c r="Q7014" t="s">
        <v>2040</v>
      </c>
      <c r="R7014" t="s">
        <v>2632</v>
      </c>
      <c r="S7014">
        <v>36</v>
      </c>
      <c r="T7014" s="43" t="str">
        <f t="shared" si="316"/>
        <v>2020.095B.R.Leviviricetes.zip</v>
      </c>
      <c r="U7014" s="43" t="str">
        <f>HYPERLINK("https://ictv.global/taxonomy/taxondetails?taxnode_id=202210371","ictv.global=202210371")</f>
        <v>ictv.global=202210371</v>
      </c>
    </row>
    <row r="7015" spans="1:21">
      <c r="A7015">
        <v>7014</v>
      </c>
      <c r="B7015" s="29" t="s">
        <v>3223</v>
      </c>
      <c r="C7015" s="29"/>
      <c r="D7015" s="29" t="s">
        <v>4156</v>
      </c>
      <c r="E7015" s="29"/>
      <c r="F7015" s="29" t="s">
        <v>4202</v>
      </c>
      <c r="G7015" s="29"/>
      <c r="H7015" s="29" t="s">
        <v>5205</v>
      </c>
      <c r="I7015" s="29"/>
      <c r="J7015" s="29" t="s">
        <v>5206</v>
      </c>
      <c r="K7015" s="29"/>
      <c r="L7015" s="29" t="s">
        <v>5368</v>
      </c>
      <c r="M7015" s="29"/>
      <c r="N7015" s="29" t="s">
        <v>5527</v>
      </c>
      <c r="O7015" s="29"/>
      <c r="P7015" s="29" t="s">
        <v>5528</v>
      </c>
      <c r="Q7015" t="s">
        <v>2040</v>
      </c>
      <c r="R7015" t="s">
        <v>2632</v>
      </c>
      <c r="S7015">
        <v>36</v>
      </c>
      <c r="T7015" s="43" t="str">
        <f t="shared" si="316"/>
        <v>2020.095B.R.Leviviricetes.zip</v>
      </c>
      <c r="U7015" s="43" t="str">
        <f>HYPERLINK("https://ictv.global/taxonomy/taxondetails?taxnode_id=202210373","ictv.global=202210373")</f>
        <v>ictv.global=202210373</v>
      </c>
    </row>
    <row r="7016" spans="1:21">
      <c r="A7016">
        <v>7015</v>
      </c>
      <c r="B7016" s="29" t="s">
        <v>3223</v>
      </c>
      <c r="C7016" s="29"/>
      <c r="D7016" s="29" t="s">
        <v>4156</v>
      </c>
      <c r="E7016" s="29"/>
      <c r="F7016" s="29" t="s">
        <v>4202</v>
      </c>
      <c r="G7016" s="29"/>
      <c r="H7016" s="29" t="s">
        <v>5205</v>
      </c>
      <c r="I7016" s="29"/>
      <c r="J7016" s="29" t="s">
        <v>5206</v>
      </c>
      <c r="K7016" s="29"/>
      <c r="L7016" s="29" t="s">
        <v>5368</v>
      </c>
      <c r="M7016" s="29"/>
      <c r="N7016" s="29" t="s">
        <v>5529</v>
      </c>
      <c r="O7016" s="29"/>
      <c r="P7016" s="29" t="s">
        <v>5530</v>
      </c>
      <c r="Q7016" t="s">
        <v>2040</v>
      </c>
      <c r="R7016" t="s">
        <v>2632</v>
      </c>
      <c r="S7016">
        <v>36</v>
      </c>
      <c r="T7016" s="43" t="str">
        <f t="shared" si="316"/>
        <v>2020.095B.R.Leviviricetes.zip</v>
      </c>
      <c r="U7016" s="43" t="str">
        <f>HYPERLINK("https://ictv.global/taxonomy/taxondetails?taxnode_id=202210375","ictv.global=202210375")</f>
        <v>ictv.global=202210375</v>
      </c>
    </row>
    <row r="7017" spans="1:21">
      <c r="A7017">
        <v>7016</v>
      </c>
      <c r="B7017" s="29" t="s">
        <v>3223</v>
      </c>
      <c r="C7017" s="29"/>
      <c r="D7017" s="29" t="s">
        <v>4156</v>
      </c>
      <c r="E7017" s="29"/>
      <c r="F7017" s="29" t="s">
        <v>4202</v>
      </c>
      <c r="G7017" s="29"/>
      <c r="H7017" s="29" t="s">
        <v>5205</v>
      </c>
      <c r="I7017" s="29"/>
      <c r="J7017" s="29" t="s">
        <v>5206</v>
      </c>
      <c r="K7017" s="29"/>
      <c r="L7017" s="29" t="s">
        <v>5368</v>
      </c>
      <c r="M7017" s="29"/>
      <c r="N7017" s="29" t="s">
        <v>5531</v>
      </c>
      <c r="O7017" s="29"/>
      <c r="P7017" s="29" t="s">
        <v>5532</v>
      </c>
      <c r="Q7017" t="s">
        <v>2040</v>
      </c>
      <c r="R7017" t="s">
        <v>2632</v>
      </c>
      <c r="S7017">
        <v>36</v>
      </c>
      <c r="T7017" s="43" t="str">
        <f t="shared" si="316"/>
        <v>2020.095B.R.Leviviricetes.zip</v>
      </c>
      <c r="U7017" s="43" t="str">
        <f>HYPERLINK("https://ictv.global/taxonomy/taxondetails?taxnode_id=202210377","ictv.global=202210377")</f>
        <v>ictv.global=202210377</v>
      </c>
    </row>
    <row r="7018" spans="1:21">
      <c r="A7018">
        <v>7017</v>
      </c>
      <c r="B7018" s="29" t="s">
        <v>3223</v>
      </c>
      <c r="C7018" s="29"/>
      <c r="D7018" s="29" t="s">
        <v>4156</v>
      </c>
      <c r="E7018" s="29"/>
      <c r="F7018" s="29" t="s">
        <v>4202</v>
      </c>
      <c r="G7018" s="29"/>
      <c r="H7018" s="29" t="s">
        <v>5205</v>
      </c>
      <c r="I7018" s="29"/>
      <c r="J7018" s="29" t="s">
        <v>5206</v>
      </c>
      <c r="K7018" s="29"/>
      <c r="L7018" s="29" t="s">
        <v>5368</v>
      </c>
      <c r="M7018" s="29"/>
      <c r="N7018" s="29" t="s">
        <v>5533</v>
      </c>
      <c r="O7018" s="29"/>
      <c r="P7018" s="29" t="s">
        <v>5534</v>
      </c>
      <c r="Q7018" t="s">
        <v>2040</v>
      </c>
      <c r="R7018" t="s">
        <v>2632</v>
      </c>
      <c r="S7018">
        <v>36</v>
      </c>
      <c r="T7018" s="43" t="str">
        <f t="shared" si="316"/>
        <v>2020.095B.R.Leviviricetes.zip</v>
      </c>
      <c r="U7018" s="43" t="str">
        <f>HYPERLINK("https://ictv.global/taxonomy/taxondetails?taxnode_id=202210379","ictv.global=202210379")</f>
        <v>ictv.global=202210379</v>
      </c>
    </row>
    <row r="7019" spans="1:21">
      <c r="A7019">
        <v>7018</v>
      </c>
      <c r="B7019" s="29" t="s">
        <v>3223</v>
      </c>
      <c r="C7019" s="29"/>
      <c r="D7019" s="29" t="s">
        <v>4156</v>
      </c>
      <c r="E7019" s="29"/>
      <c r="F7019" s="29" t="s">
        <v>4202</v>
      </c>
      <c r="G7019" s="29"/>
      <c r="H7019" s="29" t="s">
        <v>5205</v>
      </c>
      <c r="I7019" s="29"/>
      <c r="J7019" s="29" t="s">
        <v>5206</v>
      </c>
      <c r="K7019" s="29"/>
      <c r="L7019" s="29" t="s">
        <v>5368</v>
      </c>
      <c r="M7019" s="29"/>
      <c r="N7019" s="29" t="s">
        <v>5535</v>
      </c>
      <c r="O7019" s="29"/>
      <c r="P7019" s="29" t="s">
        <v>5536</v>
      </c>
      <c r="Q7019" t="s">
        <v>2040</v>
      </c>
      <c r="R7019" t="s">
        <v>2632</v>
      </c>
      <c r="S7019">
        <v>36</v>
      </c>
      <c r="T7019" s="43" t="str">
        <f t="shared" si="316"/>
        <v>2020.095B.R.Leviviricetes.zip</v>
      </c>
      <c r="U7019" s="43" t="str">
        <f>HYPERLINK("https://ictv.global/taxonomy/taxondetails?taxnode_id=202210381","ictv.global=202210381")</f>
        <v>ictv.global=202210381</v>
      </c>
    </row>
    <row r="7020" spans="1:21">
      <c r="A7020">
        <v>7019</v>
      </c>
      <c r="B7020" s="29" t="s">
        <v>3223</v>
      </c>
      <c r="C7020" s="29"/>
      <c r="D7020" s="29" t="s">
        <v>4156</v>
      </c>
      <c r="E7020" s="29"/>
      <c r="F7020" s="29" t="s">
        <v>4202</v>
      </c>
      <c r="G7020" s="29"/>
      <c r="H7020" s="29" t="s">
        <v>5205</v>
      </c>
      <c r="I7020" s="29"/>
      <c r="J7020" s="29" t="s">
        <v>5206</v>
      </c>
      <c r="K7020" s="29"/>
      <c r="L7020" s="29" t="s">
        <v>5368</v>
      </c>
      <c r="M7020" s="29"/>
      <c r="N7020" s="29" t="s">
        <v>5537</v>
      </c>
      <c r="O7020" s="29"/>
      <c r="P7020" s="29" t="s">
        <v>5538</v>
      </c>
      <c r="Q7020" t="s">
        <v>2040</v>
      </c>
      <c r="R7020" t="s">
        <v>2632</v>
      </c>
      <c r="S7020">
        <v>36</v>
      </c>
      <c r="T7020" s="43" t="str">
        <f t="shared" si="316"/>
        <v>2020.095B.R.Leviviricetes.zip</v>
      </c>
      <c r="U7020" s="43" t="str">
        <f>HYPERLINK("https://ictv.global/taxonomy/taxondetails?taxnode_id=202210383","ictv.global=202210383")</f>
        <v>ictv.global=202210383</v>
      </c>
    </row>
    <row r="7021" spans="1:21">
      <c r="A7021">
        <v>7020</v>
      </c>
      <c r="B7021" s="29" t="s">
        <v>3223</v>
      </c>
      <c r="C7021" s="29"/>
      <c r="D7021" s="29" t="s">
        <v>4156</v>
      </c>
      <c r="E7021" s="29"/>
      <c r="F7021" s="29" t="s">
        <v>4202</v>
      </c>
      <c r="G7021" s="29"/>
      <c r="H7021" s="29" t="s">
        <v>5205</v>
      </c>
      <c r="I7021" s="29"/>
      <c r="J7021" s="29" t="s">
        <v>5206</v>
      </c>
      <c r="K7021" s="29"/>
      <c r="L7021" s="29" t="s">
        <v>5368</v>
      </c>
      <c r="M7021" s="29"/>
      <c r="N7021" s="29" t="s">
        <v>5539</v>
      </c>
      <c r="O7021" s="29"/>
      <c r="P7021" s="29" t="s">
        <v>5540</v>
      </c>
      <c r="Q7021" t="s">
        <v>2040</v>
      </c>
      <c r="R7021" t="s">
        <v>2632</v>
      </c>
      <c r="S7021">
        <v>36</v>
      </c>
      <c r="T7021" s="43" t="str">
        <f t="shared" si="316"/>
        <v>2020.095B.R.Leviviricetes.zip</v>
      </c>
      <c r="U7021" s="43" t="str">
        <f>HYPERLINK("https://ictv.global/taxonomy/taxondetails?taxnode_id=202210386","ictv.global=202210386")</f>
        <v>ictv.global=202210386</v>
      </c>
    </row>
    <row r="7022" spans="1:21">
      <c r="A7022">
        <v>7021</v>
      </c>
      <c r="B7022" s="29" t="s">
        <v>3223</v>
      </c>
      <c r="C7022" s="29"/>
      <c r="D7022" s="29" t="s">
        <v>4156</v>
      </c>
      <c r="E7022" s="29"/>
      <c r="F7022" s="29" t="s">
        <v>4202</v>
      </c>
      <c r="G7022" s="29"/>
      <c r="H7022" s="29" t="s">
        <v>5205</v>
      </c>
      <c r="I7022" s="29"/>
      <c r="J7022" s="29" t="s">
        <v>5206</v>
      </c>
      <c r="K7022" s="29"/>
      <c r="L7022" s="29" t="s">
        <v>5368</v>
      </c>
      <c r="M7022" s="29"/>
      <c r="N7022" s="29" t="s">
        <v>5539</v>
      </c>
      <c r="O7022" s="29"/>
      <c r="P7022" s="29" t="s">
        <v>5541</v>
      </c>
      <c r="Q7022" t="s">
        <v>2040</v>
      </c>
      <c r="R7022" t="s">
        <v>2632</v>
      </c>
      <c r="S7022">
        <v>36</v>
      </c>
      <c r="T7022" s="43" t="str">
        <f t="shared" si="316"/>
        <v>2020.095B.R.Leviviricetes.zip</v>
      </c>
      <c r="U7022" s="43" t="str">
        <f>HYPERLINK("https://ictv.global/taxonomy/taxondetails?taxnode_id=202210385","ictv.global=202210385")</f>
        <v>ictv.global=202210385</v>
      </c>
    </row>
    <row r="7023" spans="1:21">
      <c r="A7023">
        <v>7022</v>
      </c>
      <c r="B7023" s="29" t="s">
        <v>3223</v>
      </c>
      <c r="C7023" s="29"/>
      <c r="D7023" s="29" t="s">
        <v>4156</v>
      </c>
      <c r="E7023" s="29"/>
      <c r="F7023" s="29" t="s">
        <v>4202</v>
      </c>
      <c r="G7023" s="29"/>
      <c r="H7023" s="29" t="s">
        <v>5205</v>
      </c>
      <c r="I7023" s="29"/>
      <c r="J7023" s="29" t="s">
        <v>5206</v>
      </c>
      <c r="K7023" s="29"/>
      <c r="L7023" s="29" t="s">
        <v>5368</v>
      </c>
      <c r="M7023" s="29"/>
      <c r="N7023" s="29" t="s">
        <v>5542</v>
      </c>
      <c r="O7023" s="29"/>
      <c r="P7023" s="29" t="s">
        <v>5543</v>
      </c>
      <c r="Q7023" t="s">
        <v>2040</v>
      </c>
      <c r="R7023" t="s">
        <v>2632</v>
      </c>
      <c r="S7023">
        <v>36</v>
      </c>
      <c r="T7023" s="43" t="str">
        <f t="shared" si="316"/>
        <v>2020.095B.R.Leviviricetes.zip</v>
      </c>
      <c r="U7023" s="43" t="str">
        <f>HYPERLINK("https://ictv.global/taxonomy/taxondetails?taxnode_id=202210388","ictv.global=202210388")</f>
        <v>ictv.global=202210388</v>
      </c>
    </row>
    <row r="7024" spans="1:21">
      <c r="A7024">
        <v>7023</v>
      </c>
      <c r="B7024" s="29" t="s">
        <v>3223</v>
      </c>
      <c r="C7024" s="29"/>
      <c r="D7024" s="29" t="s">
        <v>4156</v>
      </c>
      <c r="E7024" s="29"/>
      <c r="F7024" s="29" t="s">
        <v>4202</v>
      </c>
      <c r="G7024" s="29"/>
      <c r="H7024" s="29" t="s">
        <v>5205</v>
      </c>
      <c r="I7024" s="29"/>
      <c r="J7024" s="29" t="s">
        <v>5206</v>
      </c>
      <c r="K7024" s="29"/>
      <c r="L7024" s="29" t="s">
        <v>5368</v>
      </c>
      <c r="M7024" s="29"/>
      <c r="N7024" s="29" t="s">
        <v>5544</v>
      </c>
      <c r="O7024" s="29"/>
      <c r="P7024" s="29" t="s">
        <v>5545</v>
      </c>
      <c r="Q7024" t="s">
        <v>2040</v>
      </c>
      <c r="R7024" t="s">
        <v>2632</v>
      </c>
      <c r="S7024">
        <v>36</v>
      </c>
      <c r="T7024" s="43" t="str">
        <f t="shared" si="316"/>
        <v>2020.095B.R.Leviviricetes.zip</v>
      </c>
      <c r="U7024" s="43" t="str">
        <f>HYPERLINK("https://ictv.global/taxonomy/taxondetails?taxnode_id=202210390","ictv.global=202210390")</f>
        <v>ictv.global=202210390</v>
      </c>
    </row>
    <row r="7025" spans="1:21">
      <c r="A7025">
        <v>7024</v>
      </c>
      <c r="B7025" s="29" t="s">
        <v>3223</v>
      </c>
      <c r="C7025" s="29"/>
      <c r="D7025" s="29" t="s">
        <v>4156</v>
      </c>
      <c r="E7025" s="29"/>
      <c r="F7025" s="29" t="s">
        <v>4202</v>
      </c>
      <c r="G7025" s="29"/>
      <c r="H7025" s="29" t="s">
        <v>5205</v>
      </c>
      <c r="I7025" s="29"/>
      <c r="J7025" s="29" t="s">
        <v>5206</v>
      </c>
      <c r="K7025" s="29"/>
      <c r="L7025" s="29" t="s">
        <v>5368</v>
      </c>
      <c r="M7025" s="29"/>
      <c r="N7025" s="29" t="s">
        <v>5546</v>
      </c>
      <c r="O7025" s="29"/>
      <c r="P7025" s="29" t="s">
        <v>5547</v>
      </c>
      <c r="Q7025" t="s">
        <v>2040</v>
      </c>
      <c r="R7025" t="s">
        <v>2632</v>
      </c>
      <c r="S7025">
        <v>36</v>
      </c>
      <c r="T7025" s="43" t="str">
        <f t="shared" si="316"/>
        <v>2020.095B.R.Leviviricetes.zip</v>
      </c>
      <c r="U7025" s="43" t="str">
        <f>HYPERLINK("https://ictv.global/taxonomy/taxondetails?taxnode_id=202210392","ictv.global=202210392")</f>
        <v>ictv.global=202210392</v>
      </c>
    </row>
    <row r="7026" spans="1:21">
      <c r="A7026">
        <v>7025</v>
      </c>
      <c r="B7026" s="29" t="s">
        <v>3223</v>
      </c>
      <c r="C7026" s="29"/>
      <c r="D7026" s="29" t="s">
        <v>4156</v>
      </c>
      <c r="E7026" s="29"/>
      <c r="F7026" s="29" t="s">
        <v>4202</v>
      </c>
      <c r="G7026" s="29"/>
      <c r="H7026" s="29" t="s">
        <v>5205</v>
      </c>
      <c r="I7026" s="29"/>
      <c r="J7026" s="29" t="s">
        <v>5206</v>
      </c>
      <c r="K7026" s="29"/>
      <c r="L7026" s="29" t="s">
        <v>5368</v>
      </c>
      <c r="M7026" s="29"/>
      <c r="N7026" s="29" t="s">
        <v>5548</v>
      </c>
      <c r="O7026" s="29"/>
      <c r="P7026" s="29" t="s">
        <v>5549</v>
      </c>
      <c r="Q7026" t="s">
        <v>2040</v>
      </c>
      <c r="R7026" t="s">
        <v>2632</v>
      </c>
      <c r="S7026">
        <v>36</v>
      </c>
      <c r="T7026" s="43" t="str">
        <f t="shared" si="316"/>
        <v>2020.095B.R.Leviviricetes.zip</v>
      </c>
      <c r="U7026" s="43" t="str">
        <f>HYPERLINK("https://ictv.global/taxonomy/taxondetails?taxnode_id=202210395","ictv.global=202210395")</f>
        <v>ictv.global=202210395</v>
      </c>
    </row>
    <row r="7027" spans="1:21">
      <c r="A7027">
        <v>7026</v>
      </c>
      <c r="B7027" s="29" t="s">
        <v>3223</v>
      </c>
      <c r="C7027" s="29"/>
      <c r="D7027" s="29" t="s">
        <v>4156</v>
      </c>
      <c r="E7027" s="29"/>
      <c r="F7027" s="29" t="s">
        <v>4202</v>
      </c>
      <c r="G7027" s="29"/>
      <c r="H7027" s="29" t="s">
        <v>5205</v>
      </c>
      <c r="I7027" s="29"/>
      <c r="J7027" s="29" t="s">
        <v>5206</v>
      </c>
      <c r="K7027" s="29"/>
      <c r="L7027" s="29" t="s">
        <v>5368</v>
      </c>
      <c r="M7027" s="29"/>
      <c r="N7027" s="29" t="s">
        <v>5548</v>
      </c>
      <c r="O7027" s="29"/>
      <c r="P7027" s="29" t="s">
        <v>5550</v>
      </c>
      <c r="Q7027" t="s">
        <v>2040</v>
      </c>
      <c r="R7027" t="s">
        <v>2632</v>
      </c>
      <c r="S7027">
        <v>36</v>
      </c>
      <c r="T7027" s="43" t="str">
        <f t="shared" si="316"/>
        <v>2020.095B.R.Leviviricetes.zip</v>
      </c>
      <c r="U7027" s="43" t="str">
        <f>HYPERLINK("https://ictv.global/taxonomy/taxondetails?taxnode_id=202210394","ictv.global=202210394")</f>
        <v>ictv.global=202210394</v>
      </c>
    </row>
    <row r="7028" spans="1:21">
      <c r="A7028">
        <v>7027</v>
      </c>
      <c r="B7028" s="29" t="s">
        <v>3223</v>
      </c>
      <c r="C7028" s="29"/>
      <c r="D7028" s="29" t="s">
        <v>4156</v>
      </c>
      <c r="E7028" s="29"/>
      <c r="F7028" s="29" t="s">
        <v>4202</v>
      </c>
      <c r="G7028" s="29"/>
      <c r="H7028" s="29" t="s">
        <v>5205</v>
      </c>
      <c r="I7028" s="29"/>
      <c r="J7028" s="29" t="s">
        <v>5206</v>
      </c>
      <c r="K7028" s="29"/>
      <c r="L7028" s="29" t="s">
        <v>5368</v>
      </c>
      <c r="M7028" s="29"/>
      <c r="N7028" s="29" t="s">
        <v>5551</v>
      </c>
      <c r="O7028" s="29"/>
      <c r="P7028" s="29" t="s">
        <v>5552</v>
      </c>
      <c r="Q7028" t="s">
        <v>2040</v>
      </c>
      <c r="R7028" t="s">
        <v>2632</v>
      </c>
      <c r="S7028">
        <v>36</v>
      </c>
      <c r="T7028" s="43" t="str">
        <f t="shared" si="316"/>
        <v>2020.095B.R.Leviviricetes.zip</v>
      </c>
      <c r="U7028" s="43" t="str">
        <f>HYPERLINK("https://ictv.global/taxonomy/taxondetails?taxnode_id=202210398","ictv.global=202210398")</f>
        <v>ictv.global=202210398</v>
      </c>
    </row>
    <row r="7029" spans="1:21">
      <c r="A7029">
        <v>7028</v>
      </c>
      <c r="B7029" s="29" t="s">
        <v>3223</v>
      </c>
      <c r="C7029" s="29"/>
      <c r="D7029" s="29" t="s">
        <v>4156</v>
      </c>
      <c r="E7029" s="29"/>
      <c r="F7029" s="29" t="s">
        <v>4202</v>
      </c>
      <c r="G7029" s="29"/>
      <c r="H7029" s="29" t="s">
        <v>5205</v>
      </c>
      <c r="I7029" s="29"/>
      <c r="J7029" s="29" t="s">
        <v>5206</v>
      </c>
      <c r="K7029" s="29"/>
      <c r="L7029" s="29" t="s">
        <v>5368</v>
      </c>
      <c r="M7029" s="29"/>
      <c r="N7029" s="29" t="s">
        <v>5551</v>
      </c>
      <c r="O7029" s="29"/>
      <c r="P7029" s="29" t="s">
        <v>5553</v>
      </c>
      <c r="Q7029" t="s">
        <v>2040</v>
      </c>
      <c r="R7029" t="s">
        <v>2632</v>
      </c>
      <c r="S7029">
        <v>36</v>
      </c>
      <c r="T7029" s="43" t="str">
        <f t="shared" si="316"/>
        <v>2020.095B.R.Leviviricetes.zip</v>
      </c>
      <c r="U7029" s="43" t="str">
        <f>HYPERLINK("https://ictv.global/taxonomy/taxondetails?taxnode_id=202210397","ictv.global=202210397")</f>
        <v>ictv.global=202210397</v>
      </c>
    </row>
    <row r="7030" spans="1:21">
      <c r="A7030">
        <v>7029</v>
      </c>
      <c r="B7030" s="29" t="s">
        <v>3223</v>
      </c>
      <c r="C7030" s="29"/>
      <c r="D7030" s="29" t="s">
        <v>4156</v>
      </c>
      <c r="E7030" s="29"/>
      <c r="F7030" s="29" t="s">
        <v>4202</v>
      </c>
      <c r="G7030" s="29"/>
      <c r="H7030" s="29" t="s">
        <v>5205</v>
      </c>
      <c r="I7030" s="29"/>
      <c r="J7030" s="29" t="s">
        <v>5206</v>
      </c>
      <c r="K7030" s="29"/>
      <c r="L7030" s="29" t="s">
        <v>5368</v>
      </c>
      <c r="M7030" s="29"/>
      <c r="N7030" s="29" t="s">
        <v>5554</v>
      </c>
      <c r="O7030" s="29"/>
      <c r="P7030" s="29" t="s">
        <v>5555</v>
      </c>
      <c r="Q7030" t="s">
        <v>2040</v>
      </c>
      <c r="R7030" t="s">
        <v>2632</v>
      </c>
      <c r="S7030">
        <v>36</v>
      </c>
      <c r="T7030" s="43" t="str">
        <f t="shared" si="316"/>
        <v>2020.095B.R.Leviviricetes.zip</v>
      </c>
      <c r="U7030" s="43" t="str">
        <f>HYPERLINK("https://ictv.global/taxonomy/taxondetails?taxnode_id=202210400","ictv.global=202210400")</f>
        <v>ictv.global=202210400</v>
      </c>
    </row>
    <row r="7031" spans="1:21">
      <c r="A7031">
        <v>7030</v>
      </c>
      <c r="B7031" s="29" t="s">
        <v>3223</v>
      </c>
      <c r="C7031" s="29"/>
      <c r="D7031" s="29" t="s">
        <v>4156</v>
      </c>
      <c r="E7031" s="29"/>
      <c r="F7031" s="29" t="s">
        <v>4202</v>
      </c>
      <c r="G7031" s="29"/>
      <c r="H7031" s="29" t="s">
        <v>5205</v>
      </c>
      <c r="I7031" s="29"/>
      <c r="J7031" s="29" t="s">
        <v>5206</v>
      </c>
      <c r="K7031" s="29"/>
      <c r="L7031" s="29" t="s">
        <v>5368</v>
      </c>
      <c r="M7031" s="29"/>
      <c r="N7031" s="29" t="s">
        <v>5556</v>
      </c>
      <c r="O7031" s="29"/>
      <c r="P7031" s="29" t="s">
        <v>5557</v>
      </c>
      <c r="Q7031" t="s">
        <v>2040</v>
      </c>
      <c r="R7031" t="s">
        <v>2632</v>
      </c>
      <c r="S7031">
        <v>36</v>
      </c>
      <c r="T7031" s="43" t="str">
        <f t="shared" si="316"/>
        <v>2020.095B.R.Leviviricetes.zip</v>
      </c>
      <c r="U7031" s="43" t="str">
        <f>HYPERLINK("https://ictv.global/taxonomy/taxondetails?taxnode_id=202210402","ictv.global=202210402")</f>
        <v>ictv.global=202210402</v>
      </c>
    </row>
    <row r="7032" spans="1:21">
      <c r="A7032">
        <v>7031</v>
      </c>
      <c r="B7032" s="29" t="s">
        <v>3223</v>
      </c>
      <c r="C7032" s="29"/>
      <c r="D7032" s="29" t="s">
        <v>4156</v>
      </c>
      <c r="E7032" s="29"/>
      <c r="F7032" s="29" t="s">
        <v>4202</v>
      </c>
      <c r="G7032" s="29"/>
      <c r="H7032" s="29" t="s">
        <v>5205</v>
      </c>
      <c r="I7032" s="29"/>
      <c r="J7032" s="29" t="s">
        <v>5206</v>
      </c>
      <c r="K7032" s="29"/>
      <c r="L7032" s="29" t="s">
        <v>5368</v>
      </c>
      <c r="M7032" s="29"/>
      <c r="N7032" s="29" t="s">
        <v>5558</v>
      </c>
      <c r="O7032" s="29"/>
      <c r="P7032" s="29" t="s">
        <v>5559</v>
      </c>
      <c r="Q7032" t="s">
        <v>2040</v>
      </c>
      <c r="R7032" t="s">
        <v>2632</v>
      </c>
      <c r="S7032">
        <v>36</v>
      </c>
      <c r="T7032" s="43" t="str">
        <f t="shared" si="316"/>
        <v>2020.095B.R.Leviviricetes.zip</v>
      </c>
      <c r="U7032" s="43" t="str">
        <f>HYPERLINK("https://ictv.global/taxonomy/taxondetails?taxnode_id=202210404","ictv.global=202210404")</f>
        <v>ictv.global=202210404</v>
      </c>
    </row>
    <row r="7033" spans="1:21">
      <c r="A7033">
        <v>7032</v>
      </c>
      <c r="B7033" s="29" t="s">
        <v>3223</v>
      </c>
      <c r="C7033" s="29"/>
      <c r="D7033" s="29" t="s">
        <v>4156</v>
      </c>
      <c r="E7033" s="29"/>
      <c r="F7033" s="29" t="s">
        <v>4202</v>
      </c>
      <c r="G7033" s="29"/>
      <c r="H7033" s="29" t="s">
        <v>5205</v>
      </c>
      <c r="I7033" s="29"/>
      <c r="J7033" s="29" t="s">
        <v>5206</v>
      </c>
      <c r="K7033" s="29"/>
      <c r="L7033" s="29" t="s">
        <v>5368</v>
      </c>
      <c r="M7033" s="29"/>
      <c r="N7033" s="29" t="s">
        <v>5560</v>
      </c>
      <c r="O7033" s="29"/>
      <c r="P7033" s="29" t="s">
        <v>5561</v>
      </c>
      <c r="Q7033" t="s">
        <v>2040</v>
      </c>
      <c r="R7033" t="s">
        <v>2632</v>
      </c>
      <c r="S7033">
        <v>36</v>
      </c>
      <c r="T7033" s="43" t="str">
        <f t="shared" si="316"/>
        <v>2020.095B.R.Leviviricetes.zip</v>
      </c>
      <c r="U7033" s="43" t="str">
        <f>HYPERLINK("https://ictv.global/taxonomy/taxondetails?taxnode_id=202210406","ictv.global=202210406")</f>
        <v>ictv.global=202210406</v>
      </c>
    </row>
    <row r="7034" spans="1:21">
      <c r="A7034">
        <v>7033</v>
      </c>
      <c r="B7034" s="29" t="s">
        <v>3223</v>
      </c>
      <c r="C7034" s="29"/>
      <c r="D7034" s="29" t="s">
        <v>4156</v>
      </c>
      <c r="E7034" s="29"/>
      <c r="F7034" s="29" t="s">
        <v>4202</v>
      </c>
      <c r="G7034" s="29"/>
      <c r="H7034" s="29" t="s">
        <v>5205</v>
      </c>
      <c r="I7034" s="29"/>
      <c r="J7034" s="29" t="s">
        <v>5206</v>
      </c>
      <c r="K7034" s="29"/>
      <c r="L7034" s="29" t="s">
        <v>5368</v>
      </c>
      <c r="M7034" s="29"/>
      <c r="N7034" s="29" t="s">
        <v>5562</v>
      </c>
      <c r="O7034" s="29"/>
      <c r="P7034" s="29" t="s">
        <v>5563</v>
      </c>
      <c r="Q7034" t="s">
        <v>2040</v>
      </c>
      <c r="R7034" t="s">
        <v>2632</v>
      </c>
      <c r="S7034">
        <v>36</v>
      </c>
      <c r="T7034" s="43" t="str">
        <f t="shared" si="316"/>
        <v>2020.095B.R.Leviviricetes.zip</v>
      </c>
      <c r="U7034" s="43" t="str">
        <f>HYPERLINK("https://ictv.global/taxonomy/taxondetails?taxnode_id=202210408","ictv.global=202210408")</f>
        <v>ictv.global=202210408</v>
      </c>
    </row>
    <row r="7035" spans="1:21">
      <c r="A7035">
        <v>7034</v>
      </c>
      <c r="B7035" s="29" t="s">
        <v>3223</v>
      </c>
      <c r="C7035" s="29"/>
      <c r="D7035" s="29" t="s">
        <v>4156</v>
      </c>
      <c r="E7035" s="29"/>
      <c r="F7035" s="29" t="s">
        <v>4202</v>
      </c>
      <c r="G7035" s="29"/>
      <c r="H7035" s="29" t="s">
        <v>5205</v>
      </c>
      <c r="I7035" s="29"/>
      <c r="J7035" s="29" t="s">
        <v>5206</v>
      </c>
      <c r="K7035" s="29"/>
      <c r="L7035" s="29" t="s">
        <v>5368</v>
      </c>
      <c r="M7035" s="29"/>
      <c r="N7035" s="29" t="s">
        <v>5562</v>
      </c>
      <c r="O7035" s="29"/>
      <c r="P7035" s="29" t="s">
        <v>5564</v>
      </c>
      <c r="Q7035" t="s">
        <v>2040</v>
      </c>
      <c r="R7035" t="s">
        <v>2632</v>
      </c>
      <c r="S7035">
        <v>36</v>
      </c>
      <c r="T7035" s="43" t="str">
        <f t="shared" ref="T7035:T7066" si="317">HYPERLINK("https://ictv.global/ictv/proposals/2020.095B.R.Leviviricetes.zip","2020.095B.R.Leviviricetes.zip")</f>
        <v>2020.095B.R.Leviviricetes.zip</v>
      </c>
      <c r="U7035" s="43" t="str">
        <f>HYPERLINK("https://ictv.global/taxonomy/taxondetails?taxnode_id=202210409","ictv.global=202210409")</f>
        <v>ictv.global=202210409</v>
      </c>
    </row>
    <row r="7036" spans="1:21">
      <c r="A7036">
        <v>7035</v>
      </c>
      <c r="B7036" s="29" t="s">
        <v>3223</v>
      </c>
      <c r="C7036" s="29"/>
      <c r="D7036" s="29" t="s">
        <v>4156</v>
      </c>
      <c r="E7036" s="29"/>
      <c r="F7036" s="29" t="s">
        <v>4202</v>
      </c>
      <c r="G7036" s="29"/>
      <c r="H7036" s="29" t="s">
        <v>5205</v>
      </c>
      <c r="I7036" s="29"/>
      <c r="J7036" s="29" t="s">
        <v>5206</v>
      </c>
      <c r="K7036" s="29"/>
      <c r="L7036" s="29" t="s">
        <v>5368</v>
      </c>
      <c r="M7036" s="29"/>
      <c r="N7036" s="29" t="s">
        <v>5565</v>
      </c>
      <c r="O7036" s="29"/>
      <c r="P7036" s="29" t="s">
        <v>5566</v>
      </c>
      <c r="Q7036" t="s">
        <v>2040</v>
      </c>
      <c r="R7036" t="s">
        <v>2632</v>
      </c>
      <c r="S7036">
        <v>36</v>
      </c>
      <c r="T7036" s="43" t="str">
        <f t="shared" si="317"/>
        <v>2020.095B.R.Leviviricetes.zip</v>
      </c>
      <c r="U7036" s="43" t="str">
        <f>HYPERLINK("https://ictv.global/taxonomy/taxondetails?taxnode_id=202210411","ictv.global=202210411")</f>
        <v>ictv.global=202210411</v>
      </c>
    </row>
    <row r="7037" spans="1:21">
      <c r="A7037">
        <v>7036</v>
      </c>
      <c r="B7037" s="29" t="s">
        <v>3223</v>
      </c>
      <c r="C7037" s="29"/>
      <c r="D7037" s="29" t="s">
        <v>4156</v>
      </c>
      <c r="E7037" s="29"/>
      <c r="F7037" s="29" t="s">
        <v>4202</v>
      </c>
      <c r="G7037" s="29"/>
      <c r="H7037" s="29" t="s">
        <v>5205</v>
      </c>
      <c r="I7037" s="29"/>
      <c r="J7037" s="29" t="s">
        <v>5206</v>
      </c>
      <c r="K7037" s="29"/>
      <c r="L7037" s="29" t="s">
        <v>5368</v>
      </c>
      <c r="M7037" s="29"/>
      <c r="N7037" s="29" t="s">
        <v>5567</v>
      </c>
      <c r="O7037" s="29"/>
      <c r="P7037" s="29" t="s">
        <v>5568</v>
      </c>
      <c r="Q7037" t="s">
        <v>2040</v>
      </c>
      <c r="R7037" t="s">
        <v>2632</v>
      </c>
      <c r="S7037">
        <v>36</v>
      </c>
      <c r="T7037" s="43" t="str">
        <f t="shared" si="317"/>
        <v>2020.095B.R.Leviviricetes.zip</v>
      </c>
      <c r="U7037" s="43" t="str">
        <f>HYPERLINK("https://ictv.global/taxonomy/taxondetails?taxnode_id=202210413","ictv.global=202210413")</f>
        <v>ictv.global=202210413</v>
      </c>
    </row>
    <row r="7038" spans="1:21">
      <c r="A7038">
        <v>7037</v>
      </c>
      <c r="B7038" s="29" t="s">
        <v>3223</v>
      </c>
      <c r="C7038" s="29"/>
      <c r="D7038" s="29" t="s">
        <v>4156</v>
      </c>
      <c r="E7038" s="29"/>
      <c r="F7038" s="29" t="s">
        <v>4202</v>
      </c>
      <c r="G7038" s="29"/>
      <c r="H7038" s="29" t="s">
        <v>5205</v>
      </c>
      <c r="I7038" s="29"/>
      <c r="J7038" s="29" t="s">
        <v>5206</v>
      </c>
      <c r="K7038" s="29"/>
      <c r="L7038" s="29" t="s">
        <v>5368</v>
      </c>
      <c r="M7038" s="29"/>
      <c r="N7038" s="29" t="s">
        <v>5567</v>
      </c>
      <c r="O7038" s="29"/>
      <c r="P7038" s="29" t="s">
        <v>5569</v>
      </c>
      <c r="Q7038" t="s">
        <v>2040</v>
      </c>
      <c r="R7038" t="s">
        <v>2632</v>
      </c>
      <c r="S7038">
        <v>36</v>
      </c>
      <c r="T7038" s="43" t="str">
        <f t="shared" si="317"/>
        <v>2020.095B.R.Leviviricetes.zip</v>
      </c>
      <c r="U7038" s="43" t="str">
        <f>HYPERLINK("https://ictv.global/taxonomy/taxondetails?taxnode_id=202210414","ictv.global=202210414")</f>
        <v>ictv.global=202210414</v>
      </c>
    </row>
    <row r="7039" spans="1:21">
      <c r="A7039">
        <v>7038</v>
      </c>
      <c r="B7039" s="29" t="s">
        <v>3223</v>
      </c>
      <c r="C7039" s="29"/>
      <c r="D7039" s="29" t="s">
        <v>4156</v>
      </c>
      <c r="E7039" s="29"/>
      <c r="F7039" s="29" t="s">
        <v>4202</v>
      </c>
      <c r="G7039" s="29"/>
      <c r="H7039" s="29" t="s">
        <v>5205</v>
      </c>
      <c r="I7039" s="29"/>
      <c r="J7039" s="29" t="s">
        <v>5206</v>
      </c>
      <c r="K7039" s="29"/>
      <c r="L7039" s="29" t="s">
        <v>5368</v>
      </c>
      <c r="M7039" s="29"/>
      <c r="N7039" s="29" t="s">
        <v>5570</v>
      </c>
      <c r="O7039" s="29"/>
      <c r="P7039" s="29" t="s">
        <v>5571</v>
      </c>
      <c r="Q7039" t="s">
        <v>2040</v>
      </c>
      <c r="R7039" t="s">
        <v>2632</v>
      </c>
      <c r="S7039">
        <v>36</v>
      </c>
      <c r="T7039" s="43" t="str">
        <f t="shared" si="317"/>
        <v>2020.095B.R.Leviviricetes.zip</v>
      </c>
      <c r="U7039" s="43" t="str">
        <f>HYPERLINK("https://ictv.global/taxonomy/taxondetails?taxnode_id=202210416","ictv.global=202210416")</f>
        <v>ictv.global=202210416</v>
      </c>
    </row>
    <row r="7040" spans="1:21">
      <c r="A7040">
        <v>7039</v>
      </c>
      <c r="B7040" s="29" t="s">
        <v>3223</v>
      </c>
      <c r="C7040" s="29"/>
      <c r="D7040" s="29" t="s">
        <v>4156</v>
      </c>
      <c r="E7040" s="29"/>
      <c r="F7040" s="29" t="s">
        <v>4202</v>
      </c>
      <c r="G7040" s="29"/>
      <c r="H7040" s="29" t="s">
        <v>5205</v>
      </c>
      <c r="I7040" s="29"/>
      <c r="J7040" s="29" t="s">
        <v>5206</v>
      </c>
      <c r="K7040" s="29"/>
      <c r="L7040" s="29" t="s">
        <v>5368</v>
      </c>
      <c r="M7040" s="29"/>
      <c r="N7040" s="29" t="s">
        <v>5572</v>
      </c>
      <c r="O7040" s="29"/>
      <c r="P7040" s="29" t="s">
        <v>5573</v>
      </c>
      <c r="Q7040" t="s">
        <v>2040</v>
      </c>
      <c r="R7040" t="s">
        <v>2632</v>
      </c>
      <c r="S7040">
        <v>36</v>
      </c>
      <c r="T7040" s="43" t="str">
        <f t="shared" si="317"/>
        <v>2020.095B.R.Leviviricetes.zip</v>
      </c>
      <c r="U7040" s="43" t="str">
        <f>HYPERLINK("https://ictv.global/taxonomy/taxondetails?taxnode_id=202210419","ictv.global=202210419")</f>
        <v>ictv.global=202210419</v>
      </c>
    </row>
    <row r="7041" spans="1:21">
      <c r="A7041">
        <v>7040</v>
      </c>
      <c r="B7041" s="29" t="s">
        <v>3223</v>
      </c>
      <c r="C7041" s="29"/>
      <c r="D7041" s="29" t="s">
        <v>4156</v>
      </c>
      <c r="E7041" s="29"/>
      <c r="F7041" s="29" t="s">
        <v>4202</v>
      </c>
      <c r="G7041" s="29"/>
      <c r="H7041" s="29" t="s">
        <v>5205</v>
      </c>
      <c r="I7041" s="29"/>
      <c r="J7041" s="29" t="s">
        <v>5206</v>
      </c>
      <c r="K7041" s="29"/>
      <c r="L7041" s="29" t="s">
        <v>5368</v>
      </c>
      <c r="M7041" s="29"/>
      <c r="N7041" s="29" t="s">
        <v>5572</v>
      </c>
      <c r="O7041" s="29"/>
      <c r="P7041" s="29" t="s">
        <v>5574</v>
      </c>
      <c r="Q7041" t="s">
        <v>2040</v>
      </c>
      <c r="R7041" t="s">
        <v>2632</v>
      </c>
      <c r="S7041">
        <v>36</v>
      </c>
      <c r="T7041" s="43" t="str">
        <f t="shared" si="317"/>
        <v>2020.095B.R.Leviviricetes.zip</v>
      </c>
      <c r="U7041" s="43" t="str">
        <f>HYPERLINK("https://ictv.global/taxonomy/taxondetails?taxnode_id=202210418","ictv.global=202210418")</f>
        <v>ictv.global=202210418</v>
      </c>
    </row>
    <row r="7042" spans="1:21">
      <c r="A7042">
        <v>7041</v>
      </c>
      <c r="B7042" s="29" t="s">
        <v>3223</v>
      </c>
      <c r="C7042" s="29"/>
      <c r="D7042" s="29" t="s">
        <v>4156</v>
      </c>
      <c r="E7042" s="29"/>
      <c r="F7042" s="29" t="s">
        <v>4202</v>
      </c>
      <c r="G7042" s="29"/>
      <c r="H7042" s="29" t="s">
        <v>5205</v>
      </c>
      <c r="I7042" s="29"/>
      <c r="J7042" s="29" t="s">
        <v>5206</v>
      </c>
      <c r="K7042" s="29"/>
      <c r="L7042" s="29" t="s">
        <v>5368</v>
      </c>
      <c r="M7042" s="29"/>
      <c r="N7042" s="29" t="s">
        <v>5575</v>
      </c>
      <c r="O7042" s="29"/>
      <c r="P7042" s="29" t="s">
        <v>5576</v>
      </c>
      <c r="Q7042" t="s">
        <v>2040</v>
      </c>
      <c r="R7042" t="s">
        <v>2632</v>
      </c>
      <c r="S7042">
        <v>36</v>
      </c>
      <c r="T7042" s="43" t="str">
        <f t="shared" si="317"/>
        <v>2020.095B.R.Leviviricetes.zip</v>
      </c>
      <c r="U7042" s="43" t="str">
        <f>HYPERLINK("https://ictv.global/taxonomy/taxondetails?taxnode_id=202210421","ictv.global=202210421")</f>
        <v>ictv.global=202210421</v>
      </c>
    </row>
    <row r="7043" spans="1:21">
      <c r="A7043">
        <v>7042</v>
      </c>
      <c r="B7043" s="29" t="s">
        <v>3223</v>
      </c>
      <c r="C7043" s="29"/>
      <c r="D7043" s="29" t="s">
        <v>4156</v>
      </c>
      <c r="E7043" s="29"/>
      <c r="F7043" s="29" t="s">
        <v>4202</v>
      </c>
      <c r="G7043" s="29"/>
      <c r="H7043" s="29" t="s">
        <v>5205</v>
      </c>
      <c r="I7043" s="29"/>
      <c r="J7043" s="29" t="s">
        <v>5206</v>
      </c>
      <c r="K7043" s="29"/>
      <c r="L7043" s="29" t="s">
        <v>5368</v>
      </c>
      <c r="M7043" s="29"/>
      <c r="N7043" s="29" t="s">
        <v>5577</v>
      </c>
      <c r="O7043" s="29"/>
      <c r="P7043" s="29" t="s">
        <v>5578</v>
      </c>
      <c r="Q7043" t="s">
        <v>2040</v>
      </c>
      <c r="R7043" t="s">
        <v>2632</v>
      </c>
      <c r="S7043">
        <v>36</v>
      </c>
      <c r="T7043" s="43" t="str">
        <f t="shared" si="317"/>
        <v>2020.095B.R.Leviviricetes.zip</v>
      </c>
      <c r="U7043" s="43" t="str">
        <f>HYPERLINK("https://ictv.global/taxonomy/taxondetails?taxnode_id=202210423","ictv.global=202210423")</f>
        <v>ictv.global=202210423</v>
      </c>
    </row>
    <row r="7044" spans="1:21">
      <c r="A7044">
        <v>7043</v>
      </c>
      <c r="B7044" s="29" t="s">
        <v>3223</v>
      </c>
      <c r="C7044" s="29"/>
      <c r="D7044" s="29" t="s">
        <v>4156</v>
      </c>
      <c r="E7044" s="29"/>
      <c r="F7044" s="29" t="s">
        <v>4202</v>
      </c>
      <c r="G7044" s="29"/>
      <c r="H7044" s="29" t="s">
        <v>5205</v>
      </c>
      <c r="I7044" s="29"/>
      <c r="J7044" s="29" t="s">
        <v>5206</v>
      </c>
      <c r="K7044" s="29"/>
      <c r="L7044" s="29" t="s">
        <v>5368</v>
      </c>
      <c r="M7044" s="29"/>
      <c r="N7044" s="29" t="s">
        <v>5579</v>
      </c>
      <c r="O7044" s="29"/>
      <c r="P7044" s="29" t="s">
        <v>5580</v>
      </c>
      <c r="Q7044" t="s">
        <v>2040</v>
      </c>
      <c r="R7044" t="s">
        <v>2632</v>
      </c>
      <c r="S7044">
        <v>36</v>
      </c>
      <c r="T7044" s="43" t="str">
        <f t="shared" si="317"/>
        <v>2020.095B.R.Leviviricetes.zip</v>
      </c>
      <c r="U7044" s="43" t="str">
        <f>HYPERLINK("https://ictv.global/taxonomy/taxondetails?taxnode_id=202210425","ictv.global=202210425")</f>
        <v>ictv.global=202210425</v>
      </c>
    </row>
    <row r="7045" spans="1:21">
      <c r="A7045">
        <v>7044</v>
      </c>
      <c r="B7045" s="29" t="s">
        <v>3223</v>
      </c>
      <c r="C7045" s="29"/>
      <c r="D7045" s="29" t="s">
        <v>4156</v>
      </c>
      <c r="E7045" s="29"/>
      <c r="F7045" s="29" t="s">
        <v>4202</v>
      </c>
      <c r="G7045" s="29"/>
      <c r="H7045" s="29" t="s">
        <v>5205</v>
      </c>
      <c r="I7045" s="29"/>
      <c r="J7045" s="29" t="s">
        <v>5206</v>
      </c>
      <c r="K7045" s="29"/>
      <c r="L7045" s="29" t="s">
        <v>5368</v>
      </c>
      <c r="M7045" s="29"/>
      <c r="N7045" s="29" t="s">
        <v>5581</v>
      </c>
      <c r="O7045" s="29"/>
      <c r="P7045" s="29" t="s">
        <v>5582</v>
      </c>
      <c r="Q7045" t="s">
        <v>2040</v>
      </c>
      <c r="R7045" t="s">
        <v>2632</v>
      </c>
      <c r="S7045">
        <v>36</v>
      </c>
      <c r="T7045" s="43" t="str">
        <f t="shared" si="317"/>
        <v>2020.095B.R.Leviviricetes.zip</v>
      </c>
      <c r="U7045" s="43" t="str">
        <f>HYPERLINK("https://ictv.global/taxonomy/taxondetails?taxnode_id=202210427","ictv.global=202210427")</f>
        <v>ictv.global=202210427</v>
      </c>
    </row>
    <row r="7046" spans="1:21">
      <c r="A7046">
        <v>7045</v>
      </c>
      <c r="B7046" s="29" t="s">
        <v>3223</v>
      </c>
      <c r="C7046" s="29"/>
      <c r="D7046" s="29" t="s">
        <v>4156</v>
      </c>
      <c r="E7046" s="29"/>
      <c r="F7046" s="29" t="s">
        <v>4202</v>
      </c>
      <c r="G7046" s="29"/>
      <c r="H7046" s="29" t="s">
        <v>5205</v>
      </c>
      <c r="I7046" s="29"/>
      <c r="J7046" s="29" t="s">
        <v>5206</v>
      </c>
      <c r="K7046" s="29"/>
      <c r="L7046" s="29" t="s">
        <v>5368</v>
      </c>
      <c r="M7046" s="29"/>
      <c r="N7046" s="29" t="s">
        <v>5583</v>
      </c>
      <c r="O7046" s="29"/>
      <c r="P7046" s="29" t="s">
        <v>5584</v>
      </c>
      <c r="Q7046" t="s">
        <v>2040</v>
      </c>
      <c r="R7046" t="s">
        <v>2632</v>
      </c>
      <c r="S7046">
        <v>36</v>
      </c>
      <c r="T7046" s="43" t="str">
        <f t="shared" si="317"/>
        <v>2020.095B.R.Leviviricetes.zip</v>
      </c>
      <c r="U7046" s="43" t="str">
        <f>HYPERLINK("https://ictv.global/taxonomy/taxondetails?taxnode_id=202210429","ictv.global=202210429")</f>
        <v>ictv.global=202210429</v>
      </c>
    </row>
    <row r="7047" spans="1:21">
      <c r="A7047">
        <v>7046</v>
      </c>
      <c r="B7047" s="29" t="s">
        <v>3223</v>
      </c>
      <c r="C7047" s="29"/>
      <c r="D7047" s="29" t="s">
        <v>4156</v>
      </c>
      <c r="E7047" s="29"/>
      <c r="F7047" s="29" t="s">
        <v>4202</v>
      </c>
      <c r="G7047" s="29"/>
      <c r="H7047" s="29" t="s">
        <v>5205</v>
      </c>
      <c r="I7047" s="29"/>
      <c r="J7047" s="29" t="s">
        <v>5206</v>
      </c>
      <c r="K7047" s="29"/>
      <c r="L7047" s="29" t="s">
        <v>5368</v>
      </c>
      <c r="M7047" s="29"/>
      <c r="N7047" s="29" t="s">
        <v>5585</v>
      </c>
      <c r="O7047" s="29"/>
      <c r="P7047" s="29" t="s">
        <v>5586</v>
      </c>
      <c r="Q7047" t="s">
        <v>2040</v>
      </c>
      <c r="R7047" t="s">
        <v>2632</v>
      </c>
      <c r="S7047">
        <v>36</v>
      </c>
      <c r="T7047" s="43" t="str">
        <f t="shared" si="317"/>
        <v>2020.095B.R.Leviviricetes.zip</v>
      </c>
      <c r="U7047" s="43" t="str">
        <f>HYPERLINK("https://ictv.global/taxonomy/taxondetails?taxnode_id=202210431","ictv.global=202210431")</f>
        <v>ictv.global=202210431</v>
      </c>
    </row>
    <row r="7048" spans="1:21">
      <c r="A7048">
        <v>7047</v>
      </c>
      <c r="B7048" s="29" t="s">
        <v>3223</v>
      </c>
      <c r="C7048" s="29"/>
      <c r="D7048" s="29" t="s">
        <v>4156</v>
      </c>
      <c r="E7048" s="29"/>
      <c r="F7048" s="29" t="s">
        <v>4202</v>
      </c>
      <c r="G7048" s="29"/>
      <c r="H7048" s="29" t="s">
        <v>5205</v>
      </c>
      <c r="I7048" s="29"/>
      <c r="J7048" s="29" t="s">
        <v>5206</v>
      </c>
      <c r="K7048" s="29"/>
      <c r="L7048" s="29" t="s">
        <v>5368</v>
      </c>
      <c r="M7048" s="29"/>
      <c r="N7048" s="29" t="s">
        <v>5587</v>
      </c>
      <c r="O7048" s="29"/>
      <c r="P7048" s="29" t="s">
        <v>5588</v>
      </c>
      <c r="Q7048" t="s">
        <v>2040</v>
      </c>
      <c r="R7048" t="s">
        <v>2632</v>
      </c>
      <c r="S7048">
        <v>36</v>
      </c>
      <c r="T7048" s="43" t="str">
        <f t="shared" si="317"/>
        <v>2020.095B.R.Leviviricetes.zip</v>
      </c>
      <c r="U7048" s="43" t="str">
        <f>HYPERLINK("https://ictv.global/taxonomy/taxondetails?taxnode_id=202210433","ictv.global=202210433")</f>
        <v>ictv.global=202210433</v>
      </c>
    </row>
    <row r="7049" spans="1:21">
      <c r="A7049">
        <v>7048</v>
      </c>
      <c r="B7049" s="29" t="s">
        <v>3223</v>
      </c>
      <c r="C7049" s="29"/>
      <c r="D7049" s="29" t="s">
        <v>4156</v>
      </c>
      <c r="E7049" s="29"/>
      <c r="F7049" s="29" t="s">
        <v>4202</v>
      </c>
      <c r="G7049" s="29"/>
      <c r="H7049" s="29" t="s">
        <v>5205</v>
      </c>
      <c r="I7049" s="29"/>
      <c r="J7049" s="29" t="s">
        <v>5206</v>
      </c>
      <c r="K7049" s="29"/>
      <c r="L7049" s="29" t="s">
        <v>5368</v>
      </c>
      <c r="M7049" s="29"/>
      <c r="N7049" s="29" t="s">
        <v>5589</v>
      </c>
      <c r="O7049" s="29"/>
      <c r="P7049" s="29" t="s">
        <v>5590</v>
      </c>
      <c r="Q7049" t="s">
        <v>2040</v>
      </c>
      <c r="R7049" t="s">
        <v>2632</v>
      </c>
      <c r="S7049">
        <v>36</v>
      </c>
      <c r="T7049" s="43" t="str">
        <f t="shared" si="317"/>
        <v>2020.095B.R.Leviviricetes.zip</v>
      </c>
      <c r="U7049" s="43" t="str">
        <f>HYPERLINK("https://ictv.global/taxonomy/taxondetails?taxnode_id=202210435","ictv.global=202210435")</f>
        <v>ictv.global=202210435</v>
      </c>
    </row>
    <row r="7050" spans="1:21">
      <c r="A7050">
        <v>7049</v>
      </c>
      <c r="B7050" s="29" t="s">
        <v>3223</v>
      </c>
      <c r="C7050" s="29"/>
      <c r="D7050" s="29" t="s">
        <v>4156</v>
      </c>
      <c r="E7050" s="29"/>
      <c r="F7050" s="29" t="s">
        <v>4202</v>
      </c>
      <c r="G7050" s="29"/>
      <c r="H7050" s="29" t="s">
        <v>5205</v>
      </c>
      <c r="I7050" s="29"/>
      <c r="J7050" s="29" t="s">
        <v>5206</v>
      </c>
      <c r="K7050" s="29"/>
      <c r="L7050" s="29" t="s">
        <v>5368</v>
      </c>
      <c r="M7050" s="29"/>
      <c r="N7050" s="29" t="s">
        <v>5591</v>
      </c>
      <c r="O7050" s="29"/>
      <c r="P7050" s="29" t="s">
        <v>5592</v>
      </c>
      <c r="Q7050" t="s">
        <v>2040</v>
      </c>
      <c r="R7050" t="s">
        <v>2632</v>
      </c>
      <c r="S7050">
        <v>36</v>
      </c>
      <c r="T7050" s="43" t="str">
        <f t="shared" si="317"/>
        <v>2020.095B.R.Leviviricetes.zip</v>
      </c>
      <c r="U7050" s="43" t="str">
        <f>HYPERLINK("https://ictv.global/taxonomy/taxondetails?taxnode_id=202210437","ictv.global=202210437")</f>
        <v>ictv.global=202210437</v>
      </c>
    </row>
    <row r="7051" spans="1:21">
      <c r="A7051">
        <v>7050</v>
      </c>
      <c r="B7051" s="29" t="s">
        <v>3223</v>
      </c>
      <c r="C7051" s="29"/>
      <c r="D7051" s="29" t="s">
        <v>4156</v>
      </c>
      <c r="E7051" s="29"/>
      <c r="F7051" s="29" t="s">
        <v>4202</v>
      </c>
      <c r="G7051" s="29"/>
      <c r="H7051" s="29" t="s">
        <v>5205</v>
      </c>
      <c r="I7051" s="29"/>
      <c r="J7051" s="29" t="s">
        <v>5206</v>
      </c>
      <c r="K7051" s="29"/>
      <c r="L7051" s="29" t="s">
        <v>5368</v>
      </c>
      <c r="M7051" s="29"/>
      <c r="N7051" s="29" t="s">
        <v>5593</v>
      </c>
      <c r="O7051" s="29"/>
      <c r="P7051" s="29" t="s">
        <v>5594</v>
      </c>
      <c r="Q7051" t="s">
        <v>2040</v>
      </c>
      <c r="R7051" t="s">
        <v>2632</v>
      </c>
      <c r="S7051">
        <v>36</v>
      </c>
      <c r="T7051" s="43" t="str">
        <f t="shared" si="317"/>
        <v>2020.095B.R.Leviviricetes.zip</v>
      </c>
      <c r="U7051" s="43" t="str">
        <f>HYPERLINK("https://ictv.global/taxonomy/taxondetails?taxnode_id=202210439","ictv.global=202210439")</f>
        <v>ictv.global=202210439</v>
      </c>
    </row>
    <row r="7052" spans="1:21">
      <c r="A7052">
        <v>7051</v>
      </c>
      <c r="B7052" s="29" t="s">
        <v>3223</v>
      </c>
      <c r="C7052" s="29"/>
      <c r="D7052" s="29" t="s">
        <v>4156</v>
      </c>
      <c r="E7052" s="29"/>
      <c r="F7052" s="29" t="s">
        <v>4202</v>
      </c>
      <c r="G7052" s="29"/>
      <c r="H7052" s="29" t="s">
        <v>5205</v>
      </c>
      <c r="I7052" s="29"/>
      <c r="J7052" s="29" t="s">
        <v>5206</v>
      </c>
      <c r="K7052" s="29"/>
      <c r="L7052" s="29" t="s">
        <v>5368</v>
      </c>
      <c r="M7052" s="29"/>
      <c r="N7052" s="29" t="s">
        <v>5595</v>
      </c>
      <c r="O7052" s="29"/>
      <c r="P7052" s="29" t="s">
        <v>5596</v>
      </c>
      <c r="Q7052" t="s">
        <v>2040</v>
      </c>
      <c r="R7052" t="s">
        <v>2632</v>
      </c>
      <c r="S7052">
        <v>36</v>
      </c>
      <c r="T7052" s="43" t="str">
        <f t="shared" si="317"/>
        <v>2020.095B.R.Leviviricetes.zip</v>
      </c>
      <c r="U7052" s="43" t="str">
        <f>HYPERLINK("https://ictv.global/taxonomy/taxondetails?taxnode_id=202210441","ictv.global=202210441")</f>
        <v>ictv.global=202210441</v>
      </c>
    </row>
    <row r="7053" spans="1:21">
      <c r="A7053">
        <v>7052</v>
      </c>
      <c r="B7053" s="29" t="s">
        <v>3223</v>
      </c>
      <c r="C7053" s="29"/>
      <c r="D7053" s="29" t="s">
        <v>4156</v>
      </c>
      <c r="E7053" s="29"/>
      <c r="F7053" s="29" t="s">
        <v>4202</v>
      </c>
      <c r="G7053" s="29"/>
      <c r="H7053" s="29" t="s">
        <v>5205</v>
      </c>
      <c r="I7053" s="29"/>
      <c r="J7053" s="29" t="s">
        <v>5206</v>
      </c>
      <c r="K7053" s="29"/>
      <c r="L7053" s="29" t="s">
        <v>5368</v>
      </c>
      <c r="M7053" s="29"/>
      <c r="N7053" s="29" t="s">
        <v>5595</v>
      </c>
      <c r="O7053" s="29"/>
      <c r="P7053" s="29" t="s">
        <v>5597</v>
      </c>
      <c r="Q7053" t="s">
        <v>2040</v>
      </c>
      <c r="R7053" t="s">
        <v>2632</v>
      </c>
      <c r="S7053">
        <v>36</v>
      </c>
      <c r="T7053" s="43" t="str">
        <f t="shared" si="317"/>
        <v>2020.095B.R.Leviviricetes.zip</v>
      </c>
      <c r="U7053" s="43" t="str">
        <f>HYPERLINK("https://ictv.global/taxonomy/taxondetails?taxnode_id=202210442","ictv.global=202210442")</f>
        <v>ictv.global=202210442</v>
      </c>
    </row>
    <row r="7054" spans="1:21">
      <c r="A7054">
        <v>7053</v>
      </c>
      <c r="B7054" s="29" t="s">
        <v>3223</v>
      </c>
      <c r="C7054" s="29"/>
      <c r="D7054" s="29" t="s">
        <v>4156</v>
      </c>
      <c r="E7054" s="29"/>
      <c r="F7054" s="29" t="s">
        <v>4202</v>
      </c>
      <c r="G7054" s="29"/>
      <c r="H7054" s="29" t="s">
        <v>5205</v>
      </c>
      <c r="I7054" s="29"/>
      <c r="J7054" s="29" t="s">
        <v>5206</v>
      </c>
      <c r="K7054" s="29"/>
      <c r="L7054" s="29" t="s">
        <v>5368</v>
      </c>
      <c r="M7054" s="29"/>
      <c r="N7054" s="29" t="s">
        <v>5595</v>
      </c>
      <c r="O7054" s="29"/>
      <c r="P7054" s="29" t="s">
        <v>5598</v>
      </c>
      <c r="Q7054" t="s">
        <v>2040</v>
      </c>
      <c r="R7054" t="s">
        <v>2632</v>
      </c>
      <c r="S7054">
        <v>36</v>
      </c>
      <c r="T7054" s="43" t="str">
        <f t="shared" si="317"/>
        <v>2020.095B.R.Leviviricetes.zip</v>
      </c>
      <c r="U7054" s="43" t="str">
        <f>HYPERLINK("https://ictv.global/taxonomy/taxondetails?taxnode_id=202210443","ictv.global=202210443")</f>
        <v>ictv.global=202210443</v>
      </c>
    </row>
    <row r="7055" spans="1:21">
      <c r="A7055">
        <v>7054</v>
      </c>
      <c r="B7055" s="29" t="s">
        <v>3223</v>
      </c>
      <c r="C7055" s="29"/>
      <c r="D7055" s="29" t="s">
        <v>4156</v>
      </c>
      <c r="E7055" s="29"/>
      <c r="F7055" s="29" t="s">
        <v>4202</v>
      </c>
      <c r="G7055" s="29"/>
      <c r="H7055" s="29" t="s">
        <v>5205</v>
      </c>
      <c r="I7055" s="29"/>
      <c r="J7055" s="29" t="s">
        <v>5206</v>
      </c>
      <c r="K7055" s="29"/>
      <c r="L7055" s="29" t="s">
        <v>5368</v>
      </c>
      <c r="M7055" s="29"/>
      <c r="N7055" s="29" t="s">
        <v>5599</v>
      </c>
      <c r="O7055" s="29"/>
      <c r="P7055" s="29" t="s">
        <v>5600</v>
      </c>
      <c r="Q7055" t="s">
        <v>2040</v>
      </c>
      <c r="R7055" t="s">
        <v>2632</v>
      </c>
      <c r="S7055">
        <v>36</v>
      </c>
      <c r="T7055" s="43" t="str">
        <f t="shared" si="317"/>
        <v>2020.095B.R.Leviviricetes.zip</v>
      </c>
      <c r="U7055" s="43" t="str">
        <f>HYPERLINK("https://ictv.global/taxonomy/taxondetails?taxnode_id=202210445","ictv.global=202210445")</f>
        <v>ictv.global=202210445</v>
      </c>
    </row>
    <row r="7056" spans="1:21">
      <c r="A7056">
        <v>7055</v>
      </c>
      <c r="B7056" s="29" t="s">
        <v>3223</v>
      </c>
      <c r="C7056" s="29"/>
      <c r="D7056" s="29" t="s">
        <v>4156</v>
      </c>
      <c r="E7056" s="29"/>
      <c r="F7056" s="29" t="s">
        <v>4202</v>
      </c>
      <c r="G7056" s="29"/>
      <c r="H7056" s="29" t="s">
        <v>5205</v>
      </c>
      <c r="I7056" s="29"/>
      <c r="J7056" s="29" t="s">
        <v>5206</v>
      </c>
      <c r="K7056" s="29"/>
      <c r="L7056" s="29" t="s">
        <v>5368</v>
      </c>
      <c r="M7056" s="29"/>
      <c r="N7056" s="29" t="s">
        <v>5599</v>
      </c>
      <c r="O7056" s="29"/>
      <c r="P7056" s="29" t="s">
        <v>5601</v>
      </c>
      <c r="Q7056" t="s">
        <v>2040</v>
      </c>
      <c r="R7056" t="s">
        <v>2632</v>
      </c>
      <c r="S7056">
        <v>36</v>
      </c>
      <c r="T7056" s="43" t="str">
        <f t="shared" si="317"/>
        <v>2020.095B.R.Leviviricetes.zip</v>
      </c>
      <c r="U7056" s="43" t="str">
        <f>HYPERLINK("https://ictv.global/taxonomy/taxondetails?taxnode_id=202210446","ictv.global=202210446")</f>
        <v>ictv.global=202210446</v>
      </c>
    </row>
    <row r="7057" spans="1:21">
      <c r="A7057">
        <v>7056</v>
      </c>
      <c r="B7057" s="29" t="s">
        <v>3223</v>
      </c>
      <c r="C7057" s="29"/>
      <c r="D7057" s="29" t="s">
        <v>4156</v>
      </c>
      <c r="E7057" s="29"/>
      <c r="F7057" s="29" t="s">
        <v>4202</v>
      </c>
      <c r="G7057" s="29"/>
      <c r="H7057" s="29" t="s">
        <v>5205</v>
      </c>
      <c r="I7057" s="29"/>
      <c r="J7057" s="29" t="s">
        <v>5206</v>
      </c>
      <c r="K7057" s="29"/>
      <c r="L7057" s="29" t="s">
        <v>5368</v>
      </c>
      <c r="M7057" s="29"/>
      <c r="N7057" s="29" t="s">
        <v>5602</v>
      </c>
      <c r="O7057" s="29"/>
      <c r="P7057" s="29" t="s">
        <v>5603</v>
      </c>
      <c r="Q7057" t="s">
        <v>2040</v>
      </c>
      <c r="R7057" t="s">
        <v>2632</v>
      </c>
      <c r="S7057">
        <v>36</v>
      </c>
      <c r="T7057" s="43" t="str">
        <f t="shared" si="317"/>
        <v>2020.095B.R.Leviviricetes.zip</v>
      </c>
      <c r="U7057" s="43" t="str">
        <f>HYPERLINK("https://ictv.global/taxonomy/taxondetails?taxnode_id=202210448","ictv.global=202210448")</f>
        <v>ictv.global=202210448</v>
      </c>
    </row>
    <row r="7058" spans="1:21">
      <c r="A7058">
        <v>7057</v>
      </c>
      <c r="B7058" s="29" t="s">
        <v>3223</v>
      </c>
      <c r="C7058" s="29"/>
      <c r="D7058" s="29" t="s">
        <v>4156</v>
      </c>
      <c r="E7058" s="29"/>
      <c r="F7058" s="29" t="s">
        <v>4202</v>
      </c>
      <c r="G7058" s="29"/>
      <c r="H7058" s="29" t="s">
        <v>5205</v>
      </c>
      <c r="I7058" s="29"/>
      <c r="J7058" s="29" t="s">
        <v>5206</v>
      </c>
      <c r="K7058" s="29"/>
      <c r="L7058" s="29" t="s">
        <v>5368</v>
      </c>
      <c r="M7058" s="29"/>
      <c r="N7058" s="29" t="s">
        <v>5604</v>
      </c>
      <c r="O7058" s="29"/>
      <c r="P7058" s="29" t="s">
        <v>5605</v>
      </c>
      <c r="Q7058" t="s">
        <v>2040</v>
      </c>
      <c r="R7058" t="s">
        <v>2632</v>
      </c>
      <c r="S7058">
        <v>36</v>
      </c>
      <c r="T7058" s="43" t="str">
        <f t="shared" si="317"/>
        <v>2020.095B.R.Leviviricetes.zip</v>
      </c>
      <c r="U7058" s="43" t="str">
        <f>HYPERLINK("https://ictv.global/taxonomy/taxondetails?taxnode_id=202210450","ictv.global=202210450")</f>
        <v>ictv.global=202210450</v>
      </c>
    </row>
    <row r="7059" spans="1:21">
      <c r="A7059">
        <v>7058</v>
      </c>
      <c r="B7059" s="29" t="s">
        <v>3223</v>
      </c>
      <c r="C7059" s="29"/>
      <c r="D7059" s="29" t="s">
        <v>4156</v>
      </c>
      <c r="E7059" s="29"/>
      <c r="F7059" s="29" t="s">
        <v>4202</v>
      </c>
      <c r="G7059" s="29"/>
      <c r="H7059" s="29" t="s">
        <v>5205</v>
      </c>
      <c r="I7059" s="29"/>
      <c r="J7059" s="29" t="s">
        <v>5206</v>
      </c>
      <c r="K7059" s="29"/>
      <c r="L7059" s="29" t="s">
        <v>5368</v>
      </c>
      <c r="M7059" s="29"/>
      <c r="N7059" s="29" t="s">
        <v>5606</v>
      </c>
      <c r="O7059" s="29"/>
      <c r="P7059" s="29" t="s">
        <v>5607</v>
      </c>
      <c r="Q7059" t="s">
        <v>2040</v>
      </c>
      <c r="R7059" t="s">
        <v>2632</v>
      </c>
      <c r="S7059">
        <v>36</v>
      </c>
      <c r="T7059" s="43" t="str">
        <f t="shared" si="317"/>
        <v>2020.095B.R.Leviviricetes.zip</v>
      </c>
      <c r="U7059" s="43" t="str">
        <f>HYPERLINK("https://ictv.global/taxonomy/taxondetails?taxnode_id=202210452","ictv.global=202210452")</f>
        <v>ictv.global=202210452</v>
      </c>
    </row>
    <row r="7060" spans="1:21">
      <c r="A7060">
        <v>7059</v>
      </c>
      <c r="B7060" s="29" t="s">
        <v>3223</v>
      </c>
      <c r="C7060" s="29"/>
      <c r="D7060" s="29" t="s">
        <v>4156</v>
      </c>
      <c r="E7060" s="29"/>
      <c r="F7060" s="29" t="s">
        <v>4202</v>
      </c>
      <c r="G7060" s="29"/>
      <c r="H7060" s="29" t="s">
        <v>5205</v>
      </c>
      <c r="I7060" s="29"/>
      <c r="J7060" s="29" t="s">
        <v>5206</v>
      </c>
      <c r="K7060" s="29"/>
      <c r="L7060" s="29" t="s">
        <v>5368</v>
      </c>
      <c r="M7060" s="29"/>
      <c r="N7060" s="29" t="s">
        <v>5608</v>
      </c>
      <c r="O7060" s="29"/>
      <c r="P7060" s="29" t="s">
        <v>5609</v>
      </c>
      <c r="Q7060" t="s">
        <v>2040</v>
      </c>
      <c r="R7060" t="s">
        <v>2632</v>
      </c>
      <c r="S7060">
        <v>36</v>
      </c>
      <c r="T7060" s="43" t="str">
        <f t="shared" si="317"/>
        <v>2020.095B.R.Leviviricetes.zip</v>
      </c>
      <c r="U7060" s="43" t="str">
        <f>HYPERLINK("https://ictv.global/taxonomy/taxondetails?taxnode_id=202210454","ictv.global=202210454")</f>
        <v>ictv.global=202210454</v>
      </c>
    </row>
    <row r="7061" spans="1:21">
      <c r="A7061">
        <v>7060</v>
      </c>
      <c r="B7061" s="29" t="s">
        <v>3223</v>
      </c>
      <c r="C7061" s="29"/>
      <c r="D7061" s="29" t="s">
        <v>4156</v>
      </c>
      <c r="E7061" s="29"/>
      <c r="F7061" s="29" t="s">
        <v>4202</v>
      </c>
      <c r="G7061" s="29"/>
      <c r="H7061" s="29" t="s">
        <v>5205</v>
      </c>
      <c r="I7061" s="29"/>
      <c r="J7061" s="29" t="s">
        <v>5206</v>
      </c>
      <c r="K7061" s="29"/>
      <c r="L7061" s="29" t="s">
        <v>5368</v>
      </c>
      <c r="M7061" s="29"/>
      <c r="N7061" s="29" t="s">
        <v>5610</v>
      </c>
      <c r="O7061" s="29"/>
      <c r="P7061" s="29" t="s">
        <v>5611</v>
      </c>
      <c r="Q7061" t="s">
        <v>2040</v>
      </c>
      <c r="R7061" t="s">
        <v>2632</v>
      </c>
      <c r="S7061">
        <v>36</v>
      </c>
      <c r="T7061" s="43" t="str">
        <f t="shared" si="317"/>
        <v>2020.095B.R.Leviviricetes.zip</v>
      </c>
      <c r="U7061" s="43" t="str">
        <f>HYPERLINK("https://ictv.global/taxonomy/taxondetails?taxnode_id=202210456","ictv.global=202210456")</f>
        <v>ictv.global=202210456</v>
      </c>
    </row>
    <row r="7062" spans="1:21">
      <c r="A7062">
        <v>7061</v>
      </c>
      <c r="B7062" s="29" t="s">
        <v>3223</v>
      </c>
      <c r="C7062" s="29"/>
      <c r="D7062" s="29" t="s">
        <v>4156</v>
      </c>
      <c r="E7062" s="29"/>
      <c r="F7062" s="29" t="s">
        <v>4202</v>
      </c>
      <c r="G7062" s="29"/>
      <c r="H7062" s="29" t="s">
        <v>5205</v>
      </c>
      <c r="I7062" s="29"/>
      <c r="J7062" s="29" t="s">
        <v>5206</v>
      </c>
      <c r="K7062" s="29"/>
      <c r="L7062" s="29" t="s">
        <v>5368</v>
      </c>
      <c r="M7062" s="29"/>
      <c r="N7062" s="29" t="s">
        <v>5612</v>
      </c>
      <c r="O7062" s="29"/>
      <c r="P7062" s="29" t="s">
        <v>5613</v>
      </c>
      <c r="Q7062" t="s">
        <v>2040</v>
      </c>
      <c r="R7062" t="s">
        <v>2632</v>
      </c>
      <c r="S7062">
        <v>36</v>
      </c>
      <c r="T7062" s="43" t="str">
        <f t="shared" si="317"/>
        <v>2020.095B.R.Leviviricetes.zip</v>
      </c>
      <c r="U7062" s="43" t="str">
        <f>HYPERLINK("https://ictv.global/taxonomy/taxondetails?taxnode_id=202210458","ictv.global=202210458")</f>
        <v>ictv.global=202210458</v>
      </c>
    </row>
    <row r="7063" spans="1:21">
      <c r="A7063">
        <v>7062</v>
      </c>
      <c r="B7063" s="29" t="s">
        <v>3223</v>
      </c>
      <c r="C7063" s="29"/>
      <c r="D7063" s="29" t="s">
        <v>4156</v>
      </c>
      <c r="E7063" s="29"/>
      <c r="F7063" s="29" t="s">
        <v>4202</v>
      </c>
      <c r="G7063" s="29"/>
      <c r="H7063" s="29" t="s">
        <v>5205</v>
      </c>
      <c r="I7063" s="29"/>
      <c r="J7063" s="29" t="s">
        <v>5206</v>
      </c>
      <c r="K7063" s="29"/>
      <c r="L7063" s="29" t="s">
        <v>5368</v>
      </c>
      <c r="M7063" s="29"/>
      <c r="N7063" s="29" t="s">
        <v>5614</v>
      </c>
      <c r="O7063" s="29"/>
      <c r="P7063" s="29" t="s">
        <v>5615</v>
      </c>
      <c r="Q7063" t="s">
        <v>2040</v>
      </c>
      <c r="R7063" t="s">
        <v>2632</v>
      </c>
      <c r="S7063">
        <v>36</v>
      </c>
      <c r="T7063" s="43" t="str">
        <f t="shared" si="317"/>
        <v>2020.095B.R.Leviviricetes.zip</v>
      </c>
      <c r="U7063" s="43" t="str">
        <f>HYPERLINK("https://ictv.global/taxonomy/taxondetails?taxnode_id=202210460","ictv.global=202210460")</f>
        <v>ictv.global=202210460</v>
      </c>
    </row>
    <row r="7064" spans="1:21">
      <c r="A7064">
        <v>7063</v>
      </c>
      <c r="B7064" s="29" t="s">
        <v>3223</v>
      </c>
      <c r="C7064" s="29"/>
      <c r="D7064" s="29" t="s">
        <v>4156</v>
      </c>
      <c r="E7064" s="29"/>
      <c r="F7064" s="29" t="s">
        <v>4202</v>
      </c>
      <c r="G7064" s="29"/>
      <c r="H7064" s="29" t="s">
        <v>5205</v>
      </c>
      <c r="I7064" s="29"/>
      <c r="J7064" s="29" t="s">
        <v>5206</v>
      </c>
      <c r="K7064" s="29"/>
      <c r="L7064" s="29" t="s">
        <v>5368</v>
      </c>
      <c r="M7064" s="29"/>
      <c r="N7064" s="29" t="s">
        <v>5616</v>
      </c>
      <c r="O7064" s="29"/>
      <c r="P7064" s="29" t="s">
        <v>5617</v>
      </c>
      <c r="Q7064" t="s">
        <v>2040</v>
      </c>
      <c r="R7064" t="s">
        <v>2632</v>
      </c>
      <c r="S7064">
        <v>36</v>
      </c>
      <c r="T7064" s="43" t="str">
        <f t="shared" si="317"/>
        <v>2020.095B.R.Leviviricetes.zip</v>
      </c>
      <c r="U7064" s="43" t="str">
        <f>HYPERLINK("https://ictv.global/taxonomy/taxondetails?taxnode_id=202210462","ictv.global=202210462")</f>
        <v>ictv.global=202210462</v>
      </c>
    </row>
    <row r="7065" spans="1:21">
      <c r="A7065">
        <v>7064</v>
      </c>
      <c r="B7065" s="29" t="s">
        <v>3223</v>
      </c>
      <c r="C7065" s="29"/>
      <c r="D7065" s="29" t="s">
        <v>4156</v>
      </c>
      <c r="E7065" s="29"/>
      <c r="F7065" s="29" t="s">
        <v>4202</v>
      </c>
      <c r="G7065" s="29"/>
      <c r="H7065" s="29" t="s">
        <v>5205</v>
      </c>
      <c r="I7065" s="29"/>
      <c r="J7065" s="29" t="s">
        <v>5206</v>
      </c>
      <c r="K7065" s="29"/>
      <c r="L7065" s="29" t="s">
        <v>5368</v>
      </c>
      <c r="M7065" s="29"/>
      <c r="N7065" s="29" t="s">
        <v>5618</v>
      </c>
      <c r="O7065" s="29"/>
      <c r="P7065" s="29" t="s">
        <v>5619</v>
      </c>
      <c r="Q7065" t="s">
        <v>2040</v>
      </c>
      <c r="R7065" t="s">
        <v>2632</v>
      </c>
      <c r="S7065">
        <v>36</v>
      </c>
      <c r="T7065" s="43" t="str">
        <f t="shared" si="317"/>
        <v>2020.095B.R.Leviviricetes.zip</v>
      </c>
      <c r="U7065" s="43" t="str">
        <f>HYPERLINK("https://ictv.global/taxonomy/taxondetails?taxnode_id=202210465","ictv.global=202210465")</f>
        <v>ictv.global=202210465</v>
      </c>
    </row>
    <row r="7066" spans="1:21">
      <c r="A7066">
        <v>7065</v>
      </c>
      <c r="B7066" s="29" t="s">
        <v>3223</v>
      </c>
      <c r="C7066" s="29"/>
      <c r="D7066" s="29" t="s">
        <v>4156</v>
      </c>
      <c r="E7066" s="29"/>
      <c r="F7066" s="29" t="s">
        <v>4202</v>
      </c>
      <c r="G7066" s="29"/>
      <c r="H7066" s="29" t="s">
        <v>5205</v>
      </c>
      <c r="I7066" s="29"/>
      <c r="J7066" s="29" t="s">
        <v>5206</v>
      </c>
      <c r="K7066" s="29"/>
      <c r="L7066" s="29" t="s">
        <v>5368</v>
      </c>
      <c r="M7066" s="29"/>
      <c r="N7066" s="29" t="s">
        <v>5618</v>
      </c>
      <c r="O7066" s="29"/>
      <c r="P7066" s="29" t="s">
        <v>5620</v>
      </c>
      <c r="Q7066" t="s">
        <v>2040</v>
      </c>
      <c r="R7066" t="s">
        <v>2632</v>
      </c>
      <c r="S7066">
        <v>36</v>
      </c>
      <c r="T7066" s="43" t="str">
        <f t="shared" si="317"/>
        <v>2020.095B.R.Leviviricetes.zip</v>
      </c>
      <c r="U7066" s="43" t="str">
        <f>HYPERLINK("https://ictv.global/taxonomy/taxondetails?taxnode_id=202210466","ictv.global=202210466")</f>
        <v>ictv.global=202210466</v>
      </c>
    </row>
    <row r="7067" spans="1:21">
      <c r="A7067">
        <v>7066</v>
      </c>
      <c r="B7067" s="29" t="s">
        <v>3223</v>
      </c>
      <c r="C7067" s="29"/>
      <c r="D7067" s="29" t="s">
        <v>4156</v>
      </c>
      <c r="E7067" s="29"/>
      <c r="F7067" s="29" t="s">
        <v>4202</v>
      </c>
      <c r="G7067" s="29"/>
      <c r="H7067" s="29" t="s">
        <v>5205</v>
      </c>
      <c r="I7067" s="29"/>
      <c r="J7067" s="29" t="s">
        <v>5206</v>
      </c>
      <c r="K7067" s="29"/>
      <c r="L7067" s="29" t="s">
        <v>5368</v>
      </c>
      <c r="M7067" s="29"/>
      <c r="N7067" s="29" t="s">
        <v>5618</v>
      </c>
      <c r="O7067" s="29"/>
      <c r="P7067" s="29" t="s">
        <v>5621</v>
      </c>
      <c r="Q7067" t="s">
        <v>2040</v>
      </c>
      <c r="R7067" t="s">
        <v>2632</v>
      </c>
      <c r="S7067">
        <v>36</v>
      </c>
      <c r="T7067" s="43" t="str">
        <f t="shared" ref="T7067:T7098" si="318">HYPERLINK("https://ictv.global/ictv/proposals/2020.095B.R.Leviviricetes.zip","2020.095B.R.Leviviricetes.zip")</f>
        <v>2020.095B.R.Leviviricetes.zip</v>
      </c>
      <c r="U7067" s="43" t="str">
        <f>HYPERLINK("https://ictv.global/taxonomy/taxondetails?taxnode_id=202210468","ictv.global=202210468")</f>
        <v>ictv.global=202210468</v>
      </c>
    </row>
    <row r="7068" spans="1:21">
      <c r="A7068">
        <v>7067</v>
      </c>
      <c r="B7068" s="29" t="s">
        <v>3223</v>
      </c>
      <c r="C7068" s="29"/>
      <c r="D7068" s="29" t="s">
        <v>4156</v>
      </c>
      <c r="E7068" s="29"/>
      <c r="F7068" s="29" t="s">
        <v>4202</v>
      </c>
      <c r="G7068" s="29"/>
      <c r="H7068" s="29" t="s">
        <v>5205</v>
      </c>
      <c r="I7068" s="29"/>
      <c r="J7068" s="29" t="s">
        <v>5206</v>
      </c>
      <c r="K7068" s="29"/>
      <c r="L7068" s="29" t="s">
        <v>5368</v>
      </c>
      <c r="M7068" s="29"/>
      <c r="N7068" s="29" t="s">
        <v>5618</v>
      </c>
      <c r="O7068" s="29"/>
      <c r="P7068" s="29" t="s">
        <v>5622</v>
      </c>
      <c r="Q7068" t="s">
        <v>2040</v>
      </c>
      <c r="R7068" t="s">
        <v>2632</v>
      </c>
      <c r="S7068">
        <v>36</v>
      </c>
      <c r="T7068" s="43" t="str">
        <f t="shared" si="318"/>
        <v>2020.095B.R.Leviviricetes.zip</v>
      </c>
      <c r="U7068" s="43" t="str">
        <f>HYPERLINK("https://ictv.global/taxonomy/taxondetails?taxnode_id=202210469","ictv.global=202210469")</f>
        <v>ictv.global=202210469</v>
      </c>
    </row>
    <row r="7069" spans="1:21">
      <c r="A7069">
        <v>7068</v>
      </c>
      <c r="B7069" s="29" t="s">
        <v>3223</v>
      </c>
      <c r="C7069" s="29"/>
      <c r="D7069" s="29" t="s">
        <v>4156</v>
      </c>
      <c r="E7069" s="29"/>
      <c r="F7069" s="29" t="s">
        <v>4202</v>
      </c>
      <c r="G7069" s="29"/>
      <c r="H7069" s="29" t="s">
        <v>5205</v>
      </c>
      <c r="I7069" s="29"/>
      <c r="J7069" s="29" t="s">
        <v>5206</v>
      </c>
      <c r="K7069" s="29"/>
      <c r="L7069" s="29" t="s">
        <v>5368</v>
      </c>
      <c r="M7069" s="29"/>
      <c r="N7069" s="29" t="s">
        <v>5618</v>
      </c>
      <c r="O7069" s="29"/>
      <c r="P7069" s="29" t="s">
        <v>5623</v>
      </c>
      <c r="Q7069" t="s">
        <v>2040</v>
      </c>
      <c r="R7069" t="s">
        <v>2632</v>
      </c>
      <c r="S7069">
        <v>36</v>
      </c>
      <c r="T7069" s="43" t="str">
        <f t="shared" si="318"/>
        <v>2020.095B.R.Leviviricetes.zip</v>
      </c>
      <c r="U7069" s="43" t="str">
        <f>HYPERLINK("https://ictv.global/taxonomy/taxondetails?taxnode_id=202210470","ictv.global=202210470")</f>
        <v>ictv.global=202210470</v>
      </c>
    </row>
    <row r="7070" spans="1:21">
      <c r="A7070">
        <v>7069</v>
      </c>
      <c r="B7070" s="29" t="s">
        <v>3223</v>
      </c>
      <c r="C7070" s="29"/>
      <c r="D7070" s="29" t="s">
        <v>4156</v>
      </c>
      <c r="E7070" s="29"/>
      <c r="F7070" s="29" t="s">
        <v>4202</v>
      </c>
      <c r="G7070" s="29"/>
      <c r="H7070" s="29" t="s">
        <v>5205</v>
      </c>
      <c r="I7070" s="29"/>
      <c r="J7070" s="29" t="s">
        <v>5206</v>
      </c>
      <c r="K7070" s="29"/>
      <c r="L7070" s="29" t="s">
        <v>5368</v>
      </c>
      <c r="M7070" s="29"/>
      <c r="N7070" s="29" t="s">
        <v>5618</v>
      </c>
      <c r="O7070" s="29"/>
      <c r="P7070" s="29" t="s">
        <v>5624</v>
      </c>
      <c r="Q7070" t="s">
        <v>2040</v>
      </c>
      <c r="R7070" t="s">
        <v>2632</v>
      </c>
      <c r="S7070">
        <v>36</v>
      </c>
      <c r="T7070" s="43" t="str">
        <f t="shared" si="318"/>
        <v>2020.095B.R.Leviviricetes.zip</v>
      </c>
      <c r="U7070" s="43" t="str">
        <f>HYPERLINK("https://ictv.global/taxonomy/taxondetails?taxnode_id=202210464","ictv.global=202210464")</f>
        <v>ictv.global=202210464</v>
      </c>
    </row>
    <row r="7071" spans="1:21">
      <c r="A7071">
        <v>7070</v>
      </c>
      <c r="B7071" s="29" t="s">
        <v>3223</v>
      </c>
      <c r="C7071" s="29"/>
      <c r="D7071" s="29" t="s">
        <v>4156</v>
      </c>
      <c r="E7071" s="29"/>
      <c r="F7071" s="29" t="s">
        <v>4202</v>
      </c>
      <c r="G7071" s="29"/>
      <c r="H7071" s="29" t="s">
        <v>5205</v>
      </c>
      <c r="I7071" s="29"/>
      <c r="J7071" s="29" t="s">
        <v>5206</v>
      </c>
      <c r="K7071" s="29"/>
      <c r="L7071" s="29" t="s">
        <v>5368</v>
      </c>
      <c r="M7071" s="29"/>
      <c r="N7071" s="29" t="s">
        <v>5618</v>
      </c>
      <c r="O7071" s="29"/>
      <c r="P7071" s="29" t="s">
        <v>5625</v>
      </c>
      <c r="Q7071" t="s">
        <v>2040</v>
      </c>
      <c r="R7071" t="s">
        <v>2632</v>
      </c>
      <c r="S7071">
        <v>36</v>
      </c>
      <c r="T7071" s="43" t="str">
        <f t="shared" si="318"/>
        <v>2020.095B.R.Leviviricetes.zip</v>
      </c>
      <c r="U7071" s="43" t="str">
        <f>HYPERLINK("https://ictv.global/taxonomy/taxondetails?taxnode_id=202210471","ictv.global=202210471")</f>
        <v>ictv.global=202210471</v>
      </c>
    </row>
    <row r="7072" spans="1:21">
      <c r="A7072">
        <v>7071</v>
      </c>
      <c r="B7072" s="29" t="s">
        <v>3223</v>
      </c>
      <c r="C7072" s="29"/>
      <c r="D7072" s="29" t="s">
        <v>4156</v>
      </c>
      <c r="E7072" s="29"/>
      <c r="F7072" s="29" t="s">
        <v>4202</v>
      </c>
      <c r="G7072" s="29"/>
      <c r="H7072" s="29" t="s">
        <v>5205</v>
      </c>
      <c r="I7072" s="29"/>
      <c r="J7072" s="29" t="s">
        <v>5206</v>
      </c>
      <c r="K7072" s="29"/>
      <c r="L7072" s="29" t="s">
        <v>5368</v>
      </c>
      <c r="M7072" s="29"/>
      <c r="N7072" s="29" t="s">
        <v>5618</v>
      </c>
      <c r="O7072" s="29"/>
      <c r="P7072" s="29" t="s">
        <v>5626</v>
      </c>
      <c r="Q7072" t="s">
        <v>2040</v>
      </c>
      <c r="R7072" t="s">
        <v>2632</v>
      </c>
      <c r="S7072">
        <v>36</v>
      </c>
      <c r="T7072" s="43" t="str">
        <f t="shared" si="318"/>
        <v>2020.095B.R.Leviviricetes.zip</v>
      </c>
      <c r="U7072" s="43" t="str">
        <f>HYPERLINK("https://ictv.global/taxonomy/taxondetails?taxnode_id=202210467","ictv.global=202210467")</f>
        <v>ictv.global=202210467</v>
      </c>
    </row>
    <row r="7073" spans="1:21">
      <c r="A7073">
        <v>7072</v>
      </c>
      <c r="B7073" s="29" t="s">
        <v>3223</v>
      </c>
      <c r="C7073" s="29"/>
      <c r="D7073" s="29" t="s">
        <v>4156</v>
      </c>
      <c r="E7073" s="29"/>
      <c r="F7073" s="29" t="s">
        <v>4202</v>
      </c>
      <c r="G7073" s="29"/>
      <c r="H7073" s="29" t="s">
        <v>5205</v>
      </c>
      <c r="I7073" s="29"/>
      <c r="J7073" s="29" t="s">
        <v>5206</v>
      </c>
      <c r="K7073" s="29"/>
      <c r="L7073" s="29" t="s">
        <v>5368</v>
      </c>
      <c r="M7073" s="29"/>
      <c r="N7073" s="29" t="s">
        <v>5627</v>
      </c>
      <c r="O7073" s="29"/>
      <c r="P7073" s="29" t="s">
        <v>5628</v>
      </c>
      <c r="Q7073" t="s">
        <v>2040</v>
      </c>
      <c r="R7073" t="s">
        <v>2632</v>
      </c>
      <c r="S7073">
        <v>36</v>
      </c>
      <c r="T7073" s="43" t="str">
        <f t="shared" si="318"/>
        <v>2020.095B.R.Leviviricetes.zip</v>
      </c>
      <c r="U7073" s="43" t="str">
        <f>HYPERLINK("https://ictv.global/taxonomy/taxondetails?taxnode_id=202210473","ictv.global=202210473")</f>
        <v>ictv.global=202210473</v>
      </c>
    </row>
    <row r="7074" spans="1:21">
      <c r="A7074">
        <v>7073</v>
      </c>
      <c r="B7074" s="29" t="s">
        <v>3223</v>
      </c>
      <c r="C7074" s="29"/>
      <c r="D7074" s="29" t="s">
        <v>4156</v>
      </c>
      <c r="E7074" s="29"/>
      <c r="F7074" s="29" t="s">
        <v>4202</v>
      </c>
      <c r="G7074" s="29"/>
      <c r="H7074" s="29" t="s">
        <v>5205</v>
      </c>
      <c r="I7074" s="29"/>
      <c r="J7074" s="29" t="s">
        <v>5206</v>
      </c>
      <c r="K7074" s="29"/>
      <c r="L7074" s="29" t="s">
        <v>5368</v>
      </c>
      <c r="M7074" s="29"/>
      <c r="N7074" s="29" t="s">
        <v>5627</v>
      </c>
      <c r="O7074" s="29"/>
      <c r="P7074" s="29" t="s">
        <v>5629</v>
      </c>
      <c r="Q7074" t="s">
        <v>2040</v>
      </c>
      <c r="R7074" t="s">
        <v>2632</v>
      </c>
      <c r="S7074">
        <v>36</v>
      </c>
      <c r="T7074" s="43" t="str">
        <f t="shared" si="318"/>
        <v>2020.095B.R.Leviviricetes.zip</v>
      </c>
      <c r="U7074" s="43" t="str">
        <f>HYPERLINK("https://ictv.global/taxonomy/taxondetails?taxnode_id=202210475","ictv.global=202210475")</f>
        <v>ictv.global=202210475</v>
      </c>
    </row>
    <row r="7075" spans="1:21">
      <c r="A7075">
        <v>7074</v>
      </c>
      <c r="B7075" s="29" t="s">
        <v>3223</v>
      </c>
      <c r="C7075" s="29"/>
      <c r="D7075" s="29" t="s">
        <v>4156</v>
      </c>
      <c r="E7075" s="29"/>
      <c r="F7075" s="29" t="s">
        <v>4202</v>
      </c>
      <c r="G7075" s="29"/>
      <c r="H7075" s="29" t="s">
        <v>5205</v>
      </c>
      <c r="I7075" s="29"/>
      <c r="J7075" s="29" t="s">
        <v>5206</v>
      </c>
      <c r="K7075" s="29"/>
      <c r="L7075" s="29" t="s">
        <v>5368</v>
      </c>
      <c r="M7075" s="29"/>
      <c r="N7075" s="29" t="s">
        <v>5627</v>
      </c>
      <c r="O7075" s="29"/>
      <c r="P7075" s="29" t="s">
        <v>5630</v>
      </c>
      <c r="Q7075" t="s">
        <v>2040</v>
      </c>
      <c r="R7075" t="s">
        <v>2632</v>
      </c>
      <c r="S7075">
        <v>36</v>
      </c>
      <c r="T7075" s="43" t="str">
        <f t="shared" si="318"/>
        <v>2020.095B.R.Leviviricetes.zip</v>
      </c>
      <c r="U7075" s="43" t="str">
        <f>HYPERLINK("https://ictv.global/taxonomy/taxondetails?taxnode_id=202210474","ictv.global=202210474")</f>
        <v>ictv.global=202210474</v>
      </c>
    </row>
    <row r="7076" spans="1:21">
      <c r="A7076">
        <v>7075</v>
      </c>
      <c r="B7076" s="29" t="s">
        <v>3223</v>
      </c>
      <c r="C7076" s="29"/>
      <c r="D7076" s="29" t="s">
        <v>4156</v>
      </c>
      <c r="E7076" s="29"/>
      <c r="F7076" s="29" t="s">
        <v>4202</v>
      </c>
      <c r="G7076" s="29"/>
      <c r="H7076" s="29" t="s">
        <v>5205</v>
      </c>
      <c r="I7076" s="29"/>
      <c r="J7076" s="29" t="s">
        <v>5206</v>
      </c>
      <c r="K7076" s="29"/>
      <c r="L7076" s="29" t="s">
        <v>5368</v>
      </c>
      <c r="M7076" s="29"/>
      <c r="N7076" s="29" t="s">
        <v>5631</v>
      </c>
      <c r="O7076" s="29"/>
      <c r="P7076" s="29" t="s">
        <v>5632</v>
      </c>
      <c r="Q7076" t="s">
        <v>2040</v>
      </c>
      <c r="R7076" t="s">
        <v>2632</v>
      </c>
      <c r="S7076">
        <v>36</v>
      </c>
      <c r="T7076" s="43" t="str">
        <f t="shared" si="318"/>
        <v>2020.095B.R.Leviviricetes.zip</v>
      </c>
      <c r="U7076" s="43" t="str">
        <f>HYPERLINK("https://ictv.global/taxonomy/taxondetails?taxnode_id=202210477","ictv.global=202210477")</f>
        <v>ictv.global=202210477</v>
      </c>
    </row>
    <row r="7077" spans="1:21">
      <c r="A7077">
        <v>7076</v>
      </c>
      <c r="B7077" s="29" t="s">
        <v>3223</v>
      </c>
      <c r="C7077" s="29"/>
      <c r="D7077" s="29" t="s">
        <v>4156</v>
      </c>
      <c r="E7077" s="29"/>
      <c r="F7077" s="29" t="s">
        <v>4202</v>
      </c>
      <c r="G7077" s="29"/>
      <c r="H7077" s="29" t="s">
        <v>5205</v>
      </c>
      <c r="I7077" s="29"/>
      <c r="J7077" s="29" t="s">
        <v>5206</v>
      </c>
      <c r="K7077" s="29"/>
      <c r="L7077" s="29" t="s">
        <v>5368</v>
      </c>
      <c r="M7077" s="29"/>
      <c r="N7077" s="29" t="s">
        <v>5631</v>
      </c>
      <c r="O7077" s="29"/>
      <c r="P7077" s="29" t="s">
        <v>5633</v>
      </c>
      <c r="Q7077" t="s">
        <v>2040</v>
      </c>
      <c r="R7077" t="s">
        <v>2632</v>
      </c>
      <c r="S7077">
        <v>36</v>
      </c>
      <c r="T7077" s="43" t="str">
        <f t="shared" si="318"/>
        <v>2020.095B.R.Leviviricetes.zip</v>
      </c>
      <c r="U7077" s="43" t="str">
        <f>HYPERLINK("https://ictv.global/taxonomy/taxondetails?taxnode_id=202210478","ictv.global=202210478")</f>
        <v>ictv.global=202210478</v>
      </c>
    </row>
    <row r="7078" spans="1:21">
      <c r="A7078">
        <v>7077</v>
      </c>
      <c r="B7078" s="29" t="s">
        <v>3223</v>
      </c>
      <c r="C7078" s="29"/>
      <c r="D7078" s="29" t="s">
        <v>4156</v>
      </c>
      <c r="E7078" s="29"/>
      <c r="F7078" s="29" t="s">
        <v>4202</v>
      </c>
      <c r="G7078" s="29"/>
      <c r="H7078" s="29" t="s">
        <v>5205</v>
      </c>
      <c r="I7078" s="29"/>
      <c r="J7078" s="29" t="s">
        <v>5206</v>
      </c>
      <c r="K7078" s="29"/>
      <c r="L7078" s="29" t="s">
        <v>5368</v>
      </c>
      <c r="M7078" s="29"/>
      <c r="N7078" s="29" t="s">
        <v>5634</v>
      </c>
      <c r="O7078" s="29"/>
      <c r="P7078" s="29" t="s">
        <v>5635</v>
      </c>
      <c r="Q7078" t="s">
        <v>2040</v>
      </c>
      <c r="R7078" t="s">
        <v>2632</v>
      </c>
      <c r="S7078">
        <v>36</v>
      </c>
      <c r="T7078" s="43" t="str">
        <f t="shared" si="318"/>
        <v>2020.095B.R.Leviviricetes.zip</v>
      </c>
      <c r="U7078" s="43" t="str">
        <f>HYPERLINK("https://ictv.global/taxonomy/taxondetails?taxnode_id=202210483","ictv.global=202210483")</f>
        <v>ictv.global=202210483</v>
      </c>
    </row>
    <row r="7079" spans="1:21">
      <c r="A7079">
        <v>7078</v>
      </c>
      <c r="B7079" s="29" t="s">
        <v>3223</v>
      </c>
      <c r="C7079" s="29"/>
      <c r="D7079" s="29" t="s">
        <v>4156</v>
      </c>
      <c r="E7079" s="29"/>
      <c r="F7079" s="29" t="s">
        <v>4202</v>
      </c>
      <c r="G7079" s="29"/>
      <c r="H7079" s="29" t="s">
        <v>5205</v>
      </c>
      <c r="I7079" s="29"/>
      <c r="J7079" s="29" t="s">
        <v>5206</v>
      </c>
      <c r="K7079" s="29"/>
      <c r="L7079" s="29" t="s">
        <v>5368</v>
      </c>
      <c r="M7079" s="29"/>
      <c r="N7079" s="29" t="s">
        <v>5634</v>
      </c>
      <c r="O7079" s="29"/>
      <c r="P7079" s="29" t="s">
        <v>5636</v>
      </c>
      <c r="Q7079" t="s">
        <v>2040</v>
      </c>
      <c r="R7079" t="s">
        <v>2632</v>
      </c>
      <c r="S7079">
        <v>36</v>
      </c>
      <c r="T7079" s="43" t="str">
        <f t="shared" si="318"/>
        <v>2020.095B.R.Leviviricetes.zip</v>
      </c>
      <c r="U7079" s="43" t="str">
        <f>HYPERLINK("https://ictv.global/taxonomy/taxondetails?taxnode_id=202210481","ictv.global=202210481")</f>
        <v>ictv.global=202210481</v>
      </c>
    </row>
    <row r="7080" spans="1:21">
      <c r="A7080">
        <v>7079</v>
      </c>
      <c r="B7080" s="29" t="s">
        <v>3223</v>
      </c>
      <c r="C7080" s="29"/>
      <c r="D7080" s="29" t="s">
        <v>4156</v>
      </c>
      <c r="E7080" s="29"/>
      <c r="F7080" s="29" t="s">
        <v>4202</v>
      </c>
      <c r="G7080" s="29"/>
      <c r="H7080" s="29" t="s">
        <v>5205</v>
      </c>
      <c r="I7080" s="29"/>
      <c r="J7080" s="29" t="s">
        <v>5206</v>
      </c>
      <c r="K7080" s="29"/>
      <c r="L7080" s="29" t="s">
        <v>5368</v>
      </c>
      <c r="M7080" s="29"/>
      <c r="N7080" s="29" t="s">
        <v>5634</v>
      </c>
      <c r="O7080" s="29"/>
      <c r="P7080" s="29" t="s">
        <v>5637</v>
      </c>
      <c r="Q7080" t="s">
        <v>2040</v>
      </c>
      <c r="R7080" t="s">
        <v>2632</v>
      </c>
      <c r="S7080">
        <v>36</v>
      </c>
      <c r="T7080" s="43" t="str">
        <f t="shared" si="318"/>
        <v>2020.095B.R.Leviviricetes.zip</v>
      </c>
      <c r="U7080" s="43" t="str">
        <f>HYPERLINK("https://ictv.global/taxonomy/taxondetails?taxnode_id=202210482","ictv.global=202210482")</f>
        <v>ictv.global=202210482</v>
      </c>
    </row>
    <row r="7081" spans="1:21">
      <c r="A7081">
        <v>7080</v>
      </c>
      <c r="B7081" s="29" t="s">
        <v>3223</v>
      </c>
      <c r="C7081" s="29"/>
      <c r="D7081" s="29" t="s">
        <v>4156</v>
      </c>
      <c r="E7081" s="29"/>
      <c r="F7081" s="29" t="s">
        <v>4202</v>
      </c>
      <c r="G7081" s="29"/>
      <c r="H7081" s="29" t="s">
        <v>5205</v>
      </c>
      <c r="I7081" s="29"/>
      <c r="J7081" s="29" t="s">
        <v>5206</v>
      </c>
      <c r="K7081" s="29"/>
      <c r="L7081" s="29" t="s">
        <v>5368</v>
      </c>
      <c r="M7081" s="29"/>
      <c r="N7081" s="29" t="s">
        <v>5634</v>
      </c>
      <c r="O7081" s="29"/>
      <c r="P7081" s="29" t="s">
        <v>5638</v>
      </c>
      <c r="Q7081" t="s">
        <v>2040</v>
      </c>
      <c r="R7081" t="s">
        <v>2632</v>
      </c>
      <c r="S7081">
        <v>36</v>
      </c>
      <c r="T7081" s="43" t="str">
        <f t="shared" si="318"/>
        <v>2020.095B.R.Leviviricetes.zip</v>
      </c>
      <c r="U7081" s="43" t="str">
        <f>HYPERLINK("https://ictv.global/taxonomy/taxondetails?taxnode_id=202210480","ictv.global=202210480")</f>
        <v>ictv.global=202210480</v>
      </c>
    </row>
    <row r="7082" spans="1:21">
      <c r="A7082">
        <v>7081</v>
      </c>
      <c r="B7082" s="29" t="s">
        <v>3223</v>
      </c>
      <c r="C7082" s="29"/>
      <c r="D7082" s="29" t="s">
        <v>4156</v>
      </c>
      <c r="E7082" s="29"/>
      <c r="F7082" s="29" t="s">
        <v>4202</v>
      </c>
      <c r="G7082" s="29"/>
      <c r="H7082" s="29" t="s">
        <v>5205</v>
      </c>
      <c r="I7082" s="29"/>
      <c r="J7082" s="29" t="s">
        <v>5206</v>
      </c>
      <c r="K7082" s="29"/>
      <c r="L7082" s="29" t="s">
        <v>5368</v>
      </c>
      <c r="M7082" s="29"/>
      <c r="N7082" s="29" t="s">
        <v>5634</v>
      </c>
      <c r="O7082" s="29"/>
      <c r="P7082" s="29" t="s">
        <v>5639</v>
      </c>
      <c r="Q7082" t="s">
        <v>2040</v>
      </c>
      <c r="R7082" t="s">
        <v>2632</v>
      </c>
      <c r="S7082">
        <v>36</v>
      </c>
      <c r="T7082" s="43" t="str">
        <f t="shared" si="318"/>
        <v>2020.095B.R.Leviviricetes.zip</v>
      </c>
      <c r="U7082" s="43" t="str">
        <f>HYPERLINK("https://ictv.global/taxonomy/taxondetails?taxnode_id=202210484","ictv.global=202210484")</f>
        <v>ictv.global=202210484</v>
      </c>
    </row>
    <row r="7083" spans="1:21">
      <c r="A7083">
        <v>7082</v>
      </c>
      <c r="B7083" s="29" t="s">
        <v>3223</v>
      </c>
      <c r="C7083" s="29"/>
      <c r="D7083" s="29" t="s">
        <v>4156</v>
      </c>
      <c r="E7083" s="29"/>
      <c r="F7083" s="29" t="s">
        <v>4202</v>
      </c>
      <c r="G7083" s="29"/>
      <c r="H7083" s="29" t="s">
        <v>5205</v>
      </c>
      <c r="I7083" s="29"/>
      <c r="J7083" s="29" t="s">
        <v>5206</v>
      </c>
      <c r="K7083" s="29"/>
      <c r="L7083" s="29" t="s">
        <v>5368</v>
      </c>
      <c r="M7083" s="29"/>
      <c r="N7083" s="29" t="s">
        <v>5634</v>
      </c>
      <c r="O7083" s="29"/>
      <c r="P7083" s="29" t="s">
        <v>5640</v>
      </c>
      <c r="Q7083" t="s">
        <v>2040</v>
      </c>
      <c r="R7083" t="s">
        <v>2632</v>
      </c>
      <c r="S7083">
        <v>36</v>
      </c>
      <c r="T7083" s="43" t="str">
        <f t="shared" si="318"/>
        <v>2020.095B.R.Leviviricetes.zip</v>
      </c>
      <c r="U7083" s="43" t="str">
        <f>HYPERLINK("https://ictv.global/taxonomy/taxondetails?taxnode_id=202210485","ictv.global=202210485")</f>
        <v>ictv.global=202210485</v>
      </c>
    </row>
    <row r="7084" spans="1:21">
      <c r="A7084">
        <v>7083</v>
      </c>
      <c r="B7084" s="29" t="s">
        <v>3223</v>
      </c>
      <c r="C7084" s="29"/>
      <c r="D7084" s="29" t="s">
        <v>4156</v>
      </c>
      <c r="E7084" s="29"/>
      <c r="F7084" s="29" t="s">
        <v>4202</v>
      </c>
      <c r="G7084" s="29"/>
      <c r="H7084" s="29" t="s">
        <v>5205</v>
      </c>
      <c r="I7084" s="29"/>
      <c r="J7084" s="29" t="s">
        <v>5206</v>
      </c>
      <c r="K7084" s="29"/>
      <c r="L7084" s="29" t="s">
        <v>5368</v>
      </c>
      <c r="M7084" s="29"/>
      <c r="N7084" s="29" t="s">
        <v>5641</v>
      </c>
      <c r="O7084" s="29"/>
      <c r="P7084" s="29" t="s">
        <v>5642</v>
      </c>
      <c r="Q7084" t="s">
        <v>2040</v>
      </c>
      <c r="R7084" t="s">
        <v>2632</v>
      </c>
      <c r="S7084">
        <v>36</v>
      </c>
      <c r="T7084" s="43" t="str">
        <f t="shared" si="318"/>
        <v>2020.095B.R.Leviviricetes.zip</v>
      </c>
      <c r="U7084" s="43" t="str">
        <f>HYPERLINK("https://ictv.global/taxonomy/taxondetails?taxnode_id=202210487","ictv.global=202210487")</f>
        <v>ictv.global=202210487</v>
      </c>
    </row>
    <row r="7085" spans="1:21">
      <c r="A7085">
        <v>7084</v>
      </c>
      <c r="B7085" s="29" t="s">
        <v>3223</v>
      </c>
      <c r="C7085" s="29"/>
      <c r="D7085" s="29" t="s">
        <v>4156</v>
      </c>
      <c r="E7085" s="29"/>
      <c r="F7085" s="29" t="s">
        <v>4202</v>
      </c>
      <c r="G7085" s="29"/>
      <c r="H7085" s="29" t="s">
        <v>5205</v>
      </c>
      <c r="I7085" s="29"/>
      <c r="J7085" s="29" t="s">
        <v>5206</v>
      </c>
      <c r="K7085" s="29"/>
      <c r="L7085" s="29" t="s">
        <v>5368</v>
      </c>
      <c r="M7085" s="29"/>
      <c r="N7085" s="29" t="s">
        <v>5643</v>
      </c>
      <c r="O7085" s="29"/>
      <c r="P7085" s="29" t="s">
        <v>5644</v>
      </c>
      <c r="Q7085" t="s">
        <v>2040</v>
      </c>
      <c r="R7085" t="s">
        <v>2632</v>
      </c>
      <c r="S7085">
        <v>36</v>
      </c>
      <c r="T7085" s="43" t="str">
        <f t="shared" si="318"/>
        <v>2020.095B.R.Leviviricetes.zip</v>
      </c>
      <c r="U7085" s="43" t="str">
        <f>HYPERLINK("https://ictv.global/taxonomy/taxondetails?taxnode_id=202210489","ictv.global=202210489")</f>
        <v>ictv.global=202210489</v>
      </c>
    </row>
    <row r="7086" spans="1:21">
      <c r="A7086">
        <v>7085</v>
      </c>
      <c r="B7086" s="29" t="s">
        <v>3223</v>
      </c>
      <c r="C7086" s="29"/>
      <c r="D7086" s="29" t="s">
        <v>4156</v>
      </c>
      <c r="E7086" s="29"/>
      <c r="F7086" s="29" t="s">
        <v>4202</v>
      </c>
      <c r="G7086" s="29"/>
      <c r="H7086" s="29" t="s">
        <v>5205</v>
      </c>
      <c r="I7086" s="29"/>
      <c r="J7086" s="29" t="s">
        <v>5206</v>
      </c>
      <c r="K7086" s="29"/>
      <c r="L7086" s="29" t="s">
        <v>5368</v>
      </c>
      <c r="M7086" s="29"/>
      <c r="N7086" s="29" t="s">
        <v>5645</v>
      </c>
      <c r="O7086" s="29"/>
      <c r="P7086" s="29" t="s">
        <v>5646</v>
      </c>
      <c r="Q7086" t="s">
        <v>2040</v>
      </c>
      <c r="R7086" t="s">
        <v>2632</v>
      </c>
      <c r="S7086">
        <v>36</v>
      </c>
      <c r="T7086" s="43" t="str">
        <f t="shared" si="318"/>
        <v>2020.095B.R.Leviviricetes.zip</v>
      </c>
      <c r="U7086" s="43" t="str">
        <f>HYPERLINK("https://ictv.global/taxonomy/taxondetails?taxnode_id=202210492","ictv.global=202210492")</f>
        <v>ictv.global=202210492</v>
      </c>
    </row>
    <row r="7087" spans="1:21">
      <c r="A7087">
        <v>7086</v>
      </c>
      <c r="B7087" s="29" t="s">
        <v>3223</v>
      </c>
      <c r="C7087" s="29"/>
      <c r="D7087" s="29" t="s">
        <v>4156</v>
      </c>
      <c r="E7087" s="29"/>
      <c r="F7087" s="29" t="s">
        <v>4202</v>
      </c>
      <c r="G7087" s="29"/>
      <c r="H7087" s="29" t="s">
        <v>5205</v>
      </c>
      <c r="I7087" s="29"/>
      <c r="J7087" s="29" t="s">
        <v>5206</v>
      </c>
      <c r="K7087" s="29"/>
      <c r="L7087" s="29" t="s">
        <v>5368</v>
      </c>
      <c r="M7087" s="29"/>
      <c r="N7087" s="29" t="s">
        <v>5645</v>
      </c>
      <c r="O7087" s="29"/>
      <c r="P7087" s="29" t="s">
        <v>5647</v>
      </c>
      <c r="Q7087" t="s">
        <v>2040</v>
      </c>
      <c r="R7087" t="s">
        <v>2632</v>
      </c>
      <c r="S7087">
        <v>36</v>
      </c>
      <c r="T7087" s="43" t="str">
        <f t="shared" si="318"/>
        <v>2020.095B.R.Leviviricetes.zip</v>
      </c>
      <c r="U7087" s="43" t="str">
        <f>HYPERLINK("https://ictv.global/taxonomy/taxondetails?taxnode_id=202210491","ictv.global=202210491")</f>
        <v>ictv.global=202210491</v>
      </c>
    </row>
    <row r="7088" spans="1:21">
      <c r="A7088">
        <v>7087</v>
      </c>
      <c r="B7088" s="29" t="s">
        <v>3223</v>
      </c>
      <c r="C7088" s="29"/>
      <c r="D7088" s="29" t="s">
        <v>4156</v>
      </c>
      <c r="E7088" s="29"/>
      <c r="F7088" s="29" t="s">
        <v>4202</v>
      </c>
      <c r="G7088" s="29"/>
      <c r="H7088" s="29" t="s">
        <v>5205</v>
      </c>
      <c r="I7088" s="29"/>
      <c r="J7088" s="29" t="s">
        <v>5206</v>
      </c>
      <c r="K7088" s="29"/>
      <c r="L7088" s="29" t="s">
        <v>5368</v>
      </c>
      <c r="M7088" s="29"/>
      <c r="N7088" s="29" t="s">
        <v>5648</v>
      </c>
      <c r="O7088" s="29"/>
      <c r="P7088" s="29" t="s">
        <v>5649</v>
      </c>
      <c r="Q7088" t="s">
        <v>2040</v>
      </c>
      <c r="R7088" t="s">
        <v>2632</v>
      </c>
      <c r="S7088">
        <v>36</v>
      </c>
      <c r="T7088" s="43" t="str">
        <f t="shared" si="318"/>
        <v>2020.095B.R.Leviviricetes.zip</v>
      </c>
      <c r="U7088" s="43" t="str">
        <f>HYPERLINK("https://ictv.global/taxonomy/taxondetails?taxnode_id=202210494","ictv.global=202210494")</f>
        <v>ictv.global=202210494</v>
      </c>
    </row>
    <row r="7089" spans="1:21">
      <c r="A7089">
        <v>7088</v>
      </c>
      <c r="B7089" s="29" t="s">
        <v>3223</v>
      </c>
      <c r="C7089" s="29"/>
      <c r="D7089" s="29" t="s">
        <v>4156</v>
      </c>
      <c r="E7089" s="29"/>
      <c r="F7089" s="29" t="s">
        <v>4202</v>
      </c>
      <c r="G7089" s="29"/>
      <c r="H7089" s="29" t="s">
        <v>5205</v>
      </c>
      <c r="I7089" s="29"/>
      <c r="J7089" s="29" t="s">
        <v>5206</v>
      </c>
      <c r="K7089" s="29"/>
      <c r="L7089" s="29" t="s">
        <v>5368</v>
      </c>
      <c r="M7089" s="29"/>
      <c r="N7089" s="29" t="s">
        <v>5650</v>
      </c>
      <c r="O7089" s="29"/>
      <c r="P7089" s="29" t="s">
        <v>5651</v>
      </c>
      <c r="Q7089" t="s">
        <v>2040</v>
      </c>
      <c r="R7089" t="s">
        <v>2632</v>
      </c>
      <c r="S7089">
        <v>36</v>
      </c>
      <c r="T7089" s="43" t="str">
        <f t="shared" si="318"/>
        <v>2020.095B.R.Leviviricetes.zip</v>
      </c>
      <c r="U7089" s="43" t="str">
        <f>HYPERLINK("https://ictv.global/taxonomy/taxondetails?taxnode_id=202210496","ictv.global=202210496")</f>
        <v>ictv.global=202210496</v>
      </c>
    </row>
    <row r="7090" spans="1:21">
      <c r="A7090">
        <v>7089</v>
      </c>
      <c r="B7090" s="29" t="s">
        <v>3223</v>
      </c>
      <c r="C7090" s="29"/>
      <c r="D7090" s="29" t="s">
        <v>4156</v>
      </c>
      <c r="E7090" s="29"/>
      <c r="F7090" s="29" t="s">
        <v>4202</v>
      </c>
      <c r="G7090" s="29"/>
      <c r="H7090" s="29" t="s">
        <v>5205</v>
      </c>
      <c r="I7090" s="29"/>
      <c r="J7090" s="29" t="s">
        <v>5206</v>
      </c>
      <c r="K7090" s="29"/>
      <c r="L7090" s="29" t="s">
        <v>5368</v>
      </c>
      <c r="M7090" s="29"/>
      <c r="N7090" s="29" t="s">
        <v>5650</v>
      </c>
      <c r="O7090" s="29"/>
      <c r="P7090" s="29" t="s">
        <v>5652</v>
      </c>
      <c r="Q7090" t="s">
        <v>2040</v>
      </c>
      <c r="R7090" t="s">
        <v>2632</v>
      </c>
      <c r="S7090">
        <v>36</v>
      </c>
      <c r="T7090" s="43" t="str">
        <f t="shared" si="318"/>
        <v>2020.095B.R.Leviviricetes.zip</v>
      </c>
      <c r="U7090" s="43" t="str">
        <f>HYPERLINK("https://ictv.global/taxonomy/taxondetails?taxnode_id=202210497","ictv.global=202210497")</f>
        <v>ictv.global=202210497</v>
      </c>
    </row>
    <row r="7091" spans="1:21">
      <c r="A7091">
        <v>7090</v>
      </c>
      <c r="B7091" s="29" t="s">
        <v>3223</v>
      </c>
      <c r="C7091" s="29"/>
      <c r="D7091" s="29" t="s">
        <v>4156</v>
      </c>
      <c r="E7091" s="29"/>
      <c r="F7091" s="29" t="s">
        <v>4202</v>
      </c>
      <c r="G7091" s="29"/>
      <c r="H7091" s="29" t="s">
        <v>5205</v>
      </c>
      <c r="I7091" s="29"/>
      <c r="J7091" s="29" t="s">
        <v>5206</v>
      </c>
      <c r="K7091" s="29"/>
      <c r="L7091" s="29" t="s">
        <v>5368</v>
      </c>
      <c r="M7091" s="29"/>
      <c r="N7091" s="29" t="s">
        <v>5650</v>
      </c>
      <c r="O7091" s="29"/>
      <c r="P7091" s="29" t="s">
        <v>5653</v>
      </c>
      <c r="Q7091" t="s">
        <v>2040</v>
      </c>
      <c r="R7091" t="s">
        <v>2632</v>
      </c>
      <c r="S7091">
        <v>36</v>
      </c>
      <c r="T7091" s="43" t="str">
        <f t="shared" si="318"/>
        <v>2020.095B.R.Leviviricetes.zip</v>
      </c>
      <c r="U7091" s="43" t="str">
        <f>HYPERLINK("https://ictv.global/taxonomy/taxondetails?taxnode_id=202210498","ictv.global=202210498")</f>
        <v>ictv.global=202210498</v>
      </c>
    </row>
    <row r="7092" spans="1:21">
      <c r="A7092">
        <v>7091</v>
      </c>
      <c r="B7092" s="29" t="s">
        <v>3223</v>
      </c>
      <c r="C7092" s="29"/>
      <c r="D7092" s="29" t="s">
        <v>4156</v>
      </c>
      <c r="E7092" s="29"/>
      <c r="F7092" s="29" t="s">
        <v>4202</v>
      </c>
      <c r="G7092" s="29"/>
      <c r="H7092" s="29" t="s">
        <v>5205</v>
      </c>
      <c r="I7092" s="29"/>
      <c r="J7092" s="29" t="s">
        <v>5206</v>
      </c>
      <c r="K7092" s="29"/>
      <c r="L7092" s="29" t="s">
        <v>5368</v>
      </c>
      <c r="M7092" s="29"/>
      <c r="N7092" s="29" t="s">
        <v>5654</v>
      </c>
      <c r="O7092" s="29"/>
      <c r="P7092" s="29" t="s">
        <v>5655</v>
      </c>
      <c r="Q7092" t="s">
        <v>2040</v>
      </c>
      <c r="R7092" t="s">
        <v>2632</v>
      </c>
      <c r="S7092">
        <v>36</v>
      </c>
      <c r="T7092" s="43" t="str">
        <f t="shared" si="318"/>
        <v>2020.095B.R.Leviviricetes.zip</v>
      </c>
      <c r="U7092" s="43" t="str">
        <f>HYPERLINK("https://ictv.global/taxonomy/taxondetails?taxnode_id=202210500","ictv.global=202210500")</f>
        <v>ictv.global=202210500</v>
      </c>
    </row>
    <row r="7093" spans="1:21">
      <c r="A7093">
        <v>7092</v>
      </c>
      <c r="B7093" s="29" t="s">
        <v>3223</v>
      </c>
      <c r="C7093" s="29"/>
      <c r="D7093" s="29" t="s">
        <v>4156</v>
      </c>
      <c r="E7093" s="29"/>
      <c r="F7093" s="29" t="s">
        <v>4202</v>
      </c>
      <c r="G7093" s="29"/>
      <c r="H7093" s="29" t="s">
        <v>5205</v>
      </c>
      <c r="I7093" s="29"/>
      <c r="J7093" s="29" t="s">
        <v>5206</v>
      </c>
      <c r="K7093" s="29"/>
      <c r="L7093" s="29" t="s">
        <v>5368</v>
      </c>
      <c r="M7093" s="29"/>
      <c r="N7093" s="29" t="s">
        <v>5656</v>
      </c>
      <c r="O7093" s="29"/>
      <c r="P7093" s="29" t="s">
        <v>5657</v>
      </c>
      <c r="Q7093" t="s">
        <v>2040</v>
      </c>
      <c r="R7093" t="s">
        <v>2632</v>
      </c>
      <c r="S7093">
        <v>36</v>
      </c>
      <c r="T7093" s="43" t="str">
        <f t="shared" si="318"/>
        <v>2020.095B.R.Leviviricetes.zip</v>
      </c>
      <c r="U7093" s="43" t="str">
        <f>HYPERLINK("https://ictv.global/taxonomy/taxondetails?taxnode_id=202210502","ictv.global=202210502")</f>
        <v>ictv.global=202210502</v>
      </c>
    </row>
    <row r="7094" spans="1:21">
      <c r="A7094">
        <v>7093</v>
      </c>
      <c r="B7094" s="29" t="s">
        <v>3223</v>
      </c>
      <c r="C7094" s="29"/>
      <c r="D7094" s="29" t="s">
        <v>4156</v>
      </c>
      <c r="E7094" s="29"/>
      <c r="F7094" s="29" t="s">
        <v>4202</v>
      </c>
      <c r="G7094" s="29"/>
      <c r="H7094" s="29" t="s">
        <v>5205</v>
      </c>
      <c r="I7094" s="29"/>
      <c r="J7094" s="29" t="s">
        <v>5206</v>
      </c>
      <c r="K7094" s="29"/>
      <c r="L7094" s="29" t="s">
        <v>5368</v>
      </c>
      <c r="M7094" s="29"/>
      <c r="N7094" s="29" t="s">
        <v>5658</v>
      </c>
      <c r="O7094" s="29"/>
      <c r="P7094" s="29" t="s">
        <v>5659</v>
      </c>
      <c r="Q7094" t="s">
        <v>2040</v>
      </c>
      <c r="R7094" t="s">
        <v>2632</v>
      </c>
      <c r="S7094">
        <v>36</v>
      </c>
      <c r="T7094" s="43" t="str">
        <f t="shared" si="318"/>
        <v>2020.095B.R.Leviviricetes.zip</v>
      </c>
      <c r="U7094" s="43" t="str">
        <f>HYPERLINK("https://ictv.global/taxonomy/taxondetails?taxnode_id=202210504","ictv.global=202210504")</f>
        <v>ictv.global=202210504</v>
      </c>
    </row>
    <row r="7095" spans="1:21">
      <c r="A7095">
        <v>7094</v>
      </c>
      <c r="B7095" s="29" t="s">
        <v>3223</v>
      </c>
      <c r="C7095" s="29"/>
      <c r="D7095" s="29" t="s">
        <v>4156</v>
      </c>
      <c r="E7095" s="29"/>
      <c r="F7095" s="29" t="s">
        <v>4202</v>
      </c>
      <c r="G7095" s="29"/>
      <c r="H7095" s="29" t="s">
        <v>5205</v>
      </c>
      <c r="I7095" s="29"/>
      <c r="J7095" s="29" t="s">
        <v>5206</v>
      </c>
      <c r="K7095" s="29"/>
      <c r="L7095" s="29" t="s">
        <v>5368</v>
      </c>
      <c r="M7095" s="29"/>
      <c r="N7095" s="29" t="s">
        <v>5658</v>
      </c>
      <c r="O7095" s="29"/>
      <c r="P7095" s="29" t="s">
        <v>5660</v>
      </c>
      <c r="Q7095" t="s">
        <v>2040</v>
      </c>
      <c r="R7095" t="s">
        <v>2632</v>
      </c>
      <c r="S7095">
        <v>36</v>
      </c>
      <c r="T7095" s="43" t="str">
        <f t="shared" si="318"/>
        <v>2020.095B.R.Leviviricetes.zip</v>
      </c>
      <c r="U7095" s="43" t="str">
        <f>HYPERLINK("https://ictv.global/taxonomy/taxondetails?taxnode_id=202210505","ictv.global=202210505")</f>
        <v>ictv.global=202210505</v>
      </c>
    </row>
    <row r="7096" spans="1:21">
      <c r="A7096">
        <v>7095</v>
      </c>
      <c r="B7096" s="29" t="s">
        <v>3223</v>
      </c>
      <c r="C7096" s="29"/>
      <c r="D7096" s="29" t="s">
        <v>4156</v>
      </c>
      <c r="E7096" s="29"/>
      <c r="F7096" s="29" t="s">
        <v>4202</v>
      </c>
      <c r="G7096" s="29"/>
      <c r="H7096" s="29" t="s">
        <v>5205</v>
      </c>
      <c r="I7096" s="29"/>
      <c r="J7096" s="29" t="s">
        <v>5206</v>
      </c>
      <c r="K7096" s="29"/>
      <c r="L7096" s="29" t="s">
        <v>5368</v>
      </c>
      <c r="M7096" s="29"/>
      <c r="N7096" s="29" t="s">
        <v>5661</v>
      </c>
      <c r="O7096" s="29"/>
      <c r="P7096" s="29" t="s">
        <v>5662</v>
      </c>
      <c r="Q7096" t="s">
        <v>2040</v>
      </c>
      <c r="R7096" t="s">
        <v>2632</v>
      </c>
      <c r="S7096">
        <v>36</v>
      </c>
      <c r="T7096" s="43" t="str">
        <f t="shared" si="318"/>
        <v>2020.095B.R.Leviviricetes.zip</v>
      </c>
      <c r="U7096" s="43" t="str">
        <f>HYPERLINK("https://ictv.global/taxonomy/taxondetails?taxnode_id=202210508","ictv.global=202210508")</f>
        <v>ictv.global=202210508</v>
      </c>
    </row>
    <row r="7097" spans="1:21">
      <c r="A7097">
        <v>7096</v>
      </c>
      <c r="B7097" s="29" t="s">
        <v>3223</v>
      </c>
      <c r="C7097" s="29"/>
      <c r="D7097" s="29" t="s">
        <v>4156</v>
      </c>
      <c r="E7097" s="29"/>
      <c r="F7097" s="29" t="s">
        <v>4202</v>
      </c>
      <c r="G7097" s="29"/>
      <c r="H7097" s="29" t="s">
        <v>5205</v>
      </c>
      <c r="I7097" s="29"/>
      <c r="J7097" s="29" t="s">
        <v>5206</v>
      </c>
      <c r="K7097" s="29"/>
      <c r="L7097" s="29" t="s">
        <v>5368</v>
      </c>
      <c r="M7097" s="29"/>
      <c r="N7097" s="29" t="s">
        <v>5661</v>
      </c>
      <c r="O7097" s="29"/>
      <c r="P7097" s="29" t="s">
        <v>5663</v>
      </c>
      <c r="Q7097" t="s">
        <v>2040</v>
      </c>
      <c r="R7097" t="s">
        <v>2632</v>
      </c>
      <c r="S7097">
        <v>36</v>
      </c>
      <c r="T7097" s="43" t="str">
        <f t="shared" si="318"/>
        <v>2020.095B.R.Leviviricetes.zip</v>
      </c>
      <c r="U7097" s="43" t="str">
        <f>HYPERLINK("https://ictv.global/taxonomy/taxondetails?taxnode_id=202210507","ictv.global=202210507")</f>
        <v>ictv.global=202210507</v>
      </c>
    </row>
    <row r="7098" spans="1:21">
      <c r="A7098">
        <v>7097</v>
      </c>
      <c r="B7098" s="29" t="s">
        <v>3223</v>
      </c>
      <c r="C7098" s="29"/>
      <c r="D7098" s="29" t="s">
        <v>4156</v>
      </c>
      <c r="E7098" s="29"/>
      <c r="F7098" s="29" t="s">
        <v>4202</v>
      </c>
      <c r="G7098" s="29"/>
      <c r="H7098" s="29" t="s">
        <v>5205</v>
      </c>
      <c r="I7098" s="29"/>
      <c r="J7098" s="29" t="s">
        <v>5206</v>
      </c>
      <c r="K7098" s="29"/>
      <c r="L7098" s="29" t="s">
        <v>5368</v>
      </c>
      <c r="M7098" s="29"/>
      <c r="N7098" s="29" t="s">
        <v>5664</v>
      </c>
      <c r="O7098" s="29"/>
      <c r="P7098" s="29" t="s">
        <v>5665</v>
      </c>
      <c r="Q7098" t="s">
        <v>2040</v>
      </c>
      <c r="R7098" t="s">
        <v>2632</v>
      </c>
      <c r="S7098">
        <v>36</v>
      </c>
      <c r="T7098" s="43" t="str">
        <f t="shared" si="318"/>
        <v>2020.095B.R.Leviviricetes.zip</v>
      </c>
      <c r="U7098" s="43" t="str">
        <f>HYPERLINK("https://ictv.global/taxonomy/taxondetails?taxnode_id=202210510","ictv.global=202210510")</f>
        <v>ictv.global=202210510</v>
      </c>
    </row>
    <row r="7099" spans="1:21">
      <c r="A7099">
        <v>7098</v>
      </c>
      <c r="B7099" s="29" t="s">
        <v>3223</v>
      </c>
      <c r="C7099" s="29"/>
      <c r="D7099" s="29" t="s">
        <v>4156</v>
      </c>
      <c r="E7099" s="29"/>
      <c r="F7099" s="29" t="s">
        <v>4202</v>
      </c>
      <c r="G7099" s="29"/>
      <c r="H7099" s="29" t="s">
        <v>5205</v>
      </c>
      <c r="I7099" s="29"/>
      <c r="J7099" s="29" t="s">
        <v>5206</v>
      </c>
      <c r="K7099" s="29"/>
      <c r="L7099" s="29" t="s">
        <v>5368</v>
      </c>
      <c r="M7099" s="29"/>
      <c r="N7099" s="29" t="s">
        <v>5666</v>
      </c>
      <c r="O7099" s="29"/>
      <c r="P7099" s="29" t="s">
        <v>5667</v>
      </c>
      <c r="Q7099" t="s">
        <v>2040</v>
      </c>
      <c r="R7099" t="s">
        <v>2632</v>
      </c>
      <c r="S7099">
        <v>36</v>
      </c>
      <c r="T7099" s="43" t="str">
        <f t="shared" ref="T7099:T7130" si="319">HYPERLINK("https://ictv.global/ictv/proposals/2020.095B.R.Leviviricetes.zip","2020.095B.R.Leviviricetes.zip")</f>
        <v>2020.095B.R.Leviviricetes.zip</v>
      </c>
      <c r="U7099" s="43" t="str">
        <f>HYPERLINK("https://ictv.global/taxonomy/taxondetails?taxnode_id=202210512","ictv.global=202210512")</f>
        <v>ictv.global=202210512</v>
      </c>
    </row>
    <row r="7100" spans="1:21">
      <c r="A7100">
        <v>7099</v>
      </c>
      <c r="B7100" s="29" t="s">
        <v>3223</v>
      </c>
      <c r="C7100" s="29"/>
      <c r="D7100" s="29" t="s">
        <v>4156</v>
      </c>
      <c r="E7100" s="29"/>
      <c r="F7100" s="29" t="s">
        <v>4202</v>
      </c>
      <c r="G7100" s="29"/>
      <c r="H7100" s="29" t="s">
        <v>5205</v>
      </c>
      <c r="I7100" s="29"/>
      <c r="J7100" s="29" t="s">
        <v>5206</v>
      </c>
      <c r="K7100" s="29"/>
      <c r="L7100" s="29" t="s">
        <v>5368</v>
      </c>
      <c r="M7100" s="29"/>
      <c r="N7100" s="29" t="s">
        <v>5668</v>
      </c>
      <c r="O7100" s="29"/>
      <c r="P7100" s="29" t="s">
        <v>5669</v>
      </c>
      <c r="Q7100" t="s">
        <v>2040</v>
      </c>
      <c r="R7100" t="s">
        <v>2632</v>
      </c>
      <c r="S7100">
        <v>36</v>
      </c>
      <c r="T7100" s="43" t="str">
        <f t="shared" si="319"/>
        <v>2020.095B.R.Leviviricetes.zip</v>
      </c>
      <c r="U7100" s="43" t="str">
        <f>HYPERLINK("https://ictv.global/taxonomy/taxondetails?taxnode_id=202210514","ictv.global=202210514")</f>
        <v>ictv.global=202210514</v>
      </c>
    </row>
    <row r="7101" spans="1:21">
      <c r="A7101">
        <v>7100</v>
      </c>
      <c r="B7101" s="29" t="s">
        <v>3223</v>
      </c>
      <c r="C7101" s="29"/>
      <c r="D7101" s="29" t="s">
        <v>4156</v>
      </c>
      <c r="E7101" s="29"/>
      <c r="F7101" s="29" t="s">
        <v>4202</v>
      </c>
      <c r="G7101" s="29"/>
      <c r="H7101" s="29" t="s">
        <v>5205</v>
      </c>
      <c r="I7101" s="29"/>
      <c r="J7101" s="29" t="s">
        <v>5206</v>
      </c>
      <c r="K7101" s="29"/>
      <c r="L7101" s="29" t="s">
        <v>5368</v>
      </c>
      <c r="M7101" s="29"/>
      <c r="N7101" s="29" t="s">
        <v>5670</v>
      </c>
      <c r="O7101" s="29"/>
      <c r="P7101" s="29" t="s">
        <v>5671</v>
      </c>
      <c r="Q7101" t="s">
        <v>2040</v>
      </c>
      <c r="R7101" t="s">
        <v>2632</v>
      </c>
      <c r="S7101">
        <v>36</v>
      </c>
      <c r="T7101" s="43" t="str">
        <f t="shared" si="319"/>
        <v>2020.095B.R.Leviviricetes.zip</v>
      </c>
      <c r="U7101" s="43" t="str">
        <f>HYPERLINK("https://ictv.global/taxonomy/taxondetails?taxnode_id=202210516","ictv.global=202210516")</f>
        <v>ictv.global=202210516</v>
      </c>
    </row>
    <row r="7102" spans="1:21">
      <c r="A7102">
        <v>7101</v>
      </c>
      <c r="B7102" s="29" t="s">
        <v>3223</v>
      </c>
      <c r="C7102" s="29"/>
      <c r="D7102" s="29" t="s">
        <v>4156</v>
      </c>
      <c r="E7102" s="29"/>
      <c r="F7102" s="29" t="s">
        <v>4202</v>
      </c>
      <c r="G7102" s="29"/>
      <c r="H7102" s="29" t="s">
        <v>5205</v>
      </c>
      <c r="I7102" s="29"/>
      <c r="J7102" s="29" t="s">
        <v>5206</v>
      </c>
      <c r="K7102" s="29"/>
      <c r="L7102" s="29" t="s">
        <v>5368</v>
      </c>
      <c r="M7102" s="29"/>
      <c r="N7102" s="29" t="s">
        <v>5672</v>
      </c>
      <c r="O7102" s="29"/>
      <c r="P7102" s="29" t="s">
        <v>5673</v>
      </c>
      <c r="Q7102" t="s">
        <v>2040</v>
      </c>
      <c r="R7102" t="s">
        <v>2632</v>
      </c>
      <c r="S7102">
        <v>36</v>
      </c>
      <c r="T7102" s="43" t="str">
        <f t="shared" si="319"/>
        <v>2020.095B.R.Leviviricetes.zip</v>
      </c>
      <c r="U7102" s="43" t="str">
        <f>HYPERLINK("https://ictv.global/taxonomy/taxondetails?taxnode_id=202210518","ictv.global=202210518")</f>
        <v>ictv.global=202210518</v>
      </c>
    </row>
    <row r="7103" spans="1:21">
      <c r="A7103">
        <v>7102</v>
      </c>
      <c r="B7103" s="29" t="s">
        <v>3223</v>
      </c>
      <c r="C7103" s="29"/>
      <c r="D7103" s="29" t="s">
        <v>4156</v>
      </c>
      <c r="E7103" s="29"/>
      <c r="F7103" s="29" t="s">
        <v>4202</v>
      </c>
      <c r="G7103" s="29"/>
      <c r="H7103" s="29" t="s">
        <v>5205</v>
      </c>
      <c r="I7103" s="29"/>
      <c r="J7103" s="29" t="s">
        <v>5206</v>
      </c>
      <c r="K7103" s="29"/>
      <c r="L7103" s="29" t="s">
        <v>5368</v>
      </c>
      <c r="M7103" s="29"/>
      <c r="N7103" s="29" t="s">
        <v>5674</v>
      </c>
      <c r="O7103" s="29"/>
      <c r="P7103" s="29" t="s">
        <v>5675</v>
      </c>
      <c r="Q7103" t="s">
        <v>2040</v>
      </c>
      <c r="R7103" t="s">
        <v>2632</v>
      </c>
      <c r="S7103">
        <v>36</v>
      </c>
      <c r="T7103" s="43" t="str">
        <f t="shared" si="319"/>
        <v>2020.095B.R.Leviviricetes.zip</v>
      </c>
      <c r="U7103" s="43" t="str">
        <f>HYPERLINK("https://ictv.global/taxonomy/taxondetails?taxnode_id=202210520","ictv.global=202210520")</f>
        <v>ictv.global=202210520</v>
      </c>
    </row>
    <row r="7104" spans="1:21">
      <c r="A7104">
        <v>7103</v>
      </c>
      <c r="B7104" s="29" t="s">
        <v>3223</v>
      </c>
      <c r="C7104" s="29"/>
      <c r="D7104" s="29" t="s">
        <v>4156</v>
      </c>
      <c r="E7104" s="29"/>
      <c r="F7104" s="29" t="s">
        <v>4202</v>
      </c>
      <c r="G7104" s="29"/>
      <c r="H7104" s="29" t="s">
        <v>5205</v>
      </c>
      <c r="I7104" s="29"/>
      <c r="J7104" s="29" t="s">
        <v>5206</v>
      </c>
      <c r="K7104" s="29"/>
      <c r="L7104" s="29" t="s">
        <v>5368</v>
      </c>
      <c r="M7104" s="29"/>
      <c r="N7104" s="29" t="s">
        <v>5676</v>
      </c>
      <c r="O7104" s="29"/>
      <c r="P7104" s="29" t="s">
        <v>5677</v>
      </c>
      <c r="Q7104" t="s">
        <v>2040</v>
      </c>
      <c r="R7104" t="s">
        <v>2632</v>
      </c>
      <c r="S7104">
        <v>36</v>
      </c>
      <c r="T7104" s="43" t="str">
        <f t="shared" si="319"/>
        <v>2020.095B.R.Leviviricetes.zip</v>
      </c>
      <c r="U7104" s="43" t="str">
        <f>HYPERLINK("https://ictv.global/taxonomy/taxondetails?taxnode_id=202210522","ictv.global=202210522")</f>
        <v>ictv.global=202210522</v>
      </c>
    </row>
    <row r="7105" spans="1:21">
      <c r="A7105">
        <v>7104</v>
      </c>
      <c r="B7105" s="29" t="s">
        <v>3223</v>
      </c>
      <c r="C7105" s="29"/>
      <c r="D7105" s="29" t="s">
        <v>4156</v>
      </c>
      <c r="E7105" s="29"/>
      <c r="F7105" s="29" t="s">
        <v>4202</v>
      </c>
      <c r="G7105" s="29"/>
      <c r="H7105" s="29" t="s">
        <v>5205</v>
      </c>
      <c r="I7105" s="29"/>
      <c r="J7105" s="29" t="s">
        <v>5206</v>
      </c>
      <c r="K7105" s="29"/>
      <c r="L7105" s="29" t="s">
        <v>5368</v>
      </c>
      <c r="M7105" s="29"/>
      <c r="N7105" s="29" t="s">
        <v>5678</v>
      </c>
      <c r="O7105" s="29"/>
      <c r="P7105" s="29" t="s">
        <v>5679</v>
      </c>
      <c r="Q7105" t="s">
        <v>2040</v>
      </c>
      <c r="R7105" t="s">
        <v>2632</v>
      </c>
      <c r="S7105">
        <v>36</v>
      </c>
      <c r="T7105" s="43" t="str">
        <f t="shared" si="319"/>
        <v>2020.095B.R.Leviviricetes.zip</v>
      </c>
      <c r="U7105" s="43" t="str">
        <f>HYPERLINK("https://ictv.global/taxonomy/taxondetails?taxnode_id=202210524","ictv.global=202210524")</f>
        <v>ictv.global=202210524</v>
      </c>
    </row>
    <row r="7106" spans="1:21">
      <c r="A7106">
        <v>7105</v>
      </c>
      <c r="B7106" s="29" t="s">
        <v>3223</v>
      </c>
      <c r="C7106" s="29"/>
      <c r="D7106" s="29" t="s">
        <v>4156</v>
      </c>
      <c r="E7106" s="29"/>
      <c r="F7106" s="29" t="s">
        <v>4202</v>
      </c>
      <c r="G7106" s="29"/>
      <c r="H7106" s="29" t="s">
        <v>5205</v>
      </c>
      <c r="I7106" s="29"/>
      <c r="J7106" s="29" t="s">
        <v>5206</v>
      </c>
      <c r="K7106" s="29"/>
      <c r="L7106" s="29" t="s">
        <v>5368</v>
      </c>
      <c r="M7106" s="29"/>
      <c r="N7106" s="29" t="s">
        <v>5680</v>
      </c>
      <c r="O7106" s="29"/>
      <c r="P7106" s="29" t="s">
        <v>5681</v>
      </c>
      <c r="Q7106" t="s">
        <v>2040</v>
      </c>
      <c r="R7106" t="s">
        <v>2632</v>
      </c>
      <c r="S7106">
        <v>36</v>
      </c>
      <c r="T7106" s="43" t="str">
        <f t="shared" si="319"/>
        <v>2020.095B.R.Leviviricetes.zip</v>
      </c>
      <c r="U7106" s="43" t="str">
        <f>HYPERLINK("https://ictv.global/taxonomy/taxondetails?taxnode_id=202210531","ictv.global=202210531")</f>
        <v>ictv.global=202210531</v>
      </c>
    </row>
    <row r="7107" spans="1:21">
      <c r="A7107">
        <v>7106</v>
      </c>
      <c r="B7107" s="29" t="s">
        <v>3223</v>
      </c>
      <c r="C7107" s="29"/>
      <c r="D7107" s="29" t="s">
        <v>4156</v>
      </c>
      <c r="E7107" s="29"/>
      <c r="F7107" s="29" t="s">
        <v>4202</v>
      </c>
      <c r="G7107" s="29"/>
      <c r="H7107" s="29" t="s">
        <v>5205</v>
      </c>
      <c r="I7107" s="29"/>
      <c r="J7107" s="29" t="s">
        <v>5206</v>
      </c>
      <c r="K7107" s="29"/>
      <c r="L7107" s="29" t="s">
        <v>5368</v>
      </c>
      <c r="M7107" s="29"/>
      <c r="N7107" s="29" t="s">
        <v>5680</v>
      </c>
      <c r="O7107" s="29"/>
      <c r="P7107" s="29" t="s">
        <v>5682</v>
      </c>
      <c r="Q7107" t="s">
        <v>2040</v>
      </c>
      <c r="R7107" t="s">
        <v>2632</v>
      </c>
      <c r="S7107">
        <v>36</v>
      </c>
      <c r="T7107" s="43" t="str">
        <f t="shared" si="319"/>
        <v>2020.095B.R.Leviviricetes.zip</v>
      </c>
      <c r="U7107" s="43" t="str">
        <f>HYPERLINK("https://ictv.global/taxonomy/taxondetails?taxnode_id=202210528","ictv.global=202210528")</f>
        <v>ictv.global=202210528</v>
      </c>
    </row>
    <row r="7108" spans="1:21">
      <c r="A7108">
        <v>7107</v>
      </c>
      <c r="B7108" s="29" t="s">
        <v>3223</v>
      </c>
      <c r="C7108" s="29"/>
      <c r="D7108" s="29" t="s">
        <v>4156</v>
      </c>
      <c r="E7108" s="29"/>
      <c r="F7108" s="29" t="s">
        <v>4202</v>
      </c>
      <c r="G7108" s="29"/>
      <c r="H7108" s="29" t="s">
        <v>5205</v>
      </c>
      <c r="I7108" s="29"/>
      <c r="J7108" s="29" t="s">
        <v>5206</v>
      </c>
      <c r="K7108" s="29"/>
      <c r="L7108" s="29" t="s">
        <v>5368</v>
      </c>
      <c r="M7108" s="29"/>
      <c r="N7108" s="29" t="s">
        <v>5680</v>
      </c>
      <c r="O7108" s="29"/>
      <c r="P7108" s="29" t="s">
        <v>5683</v>
      </c>
      <c r="Q7108" t="s">
        <v>2040</v>
      </c>
      <c r="R7108" t="s">
        <v>2632</v>
      </c>
      <c r="S7108">
        <v>36</v>
      </c>
      <c r="T7108" s="43" t="str">
        <f t="shared" si="319"/>
        <v>2020.095B.R.Leviviricetes.zip</v>
      </c>
      <c r="U7108" s="43" t="str">
        <f>HYPERLINK("https://ictv.global/taxonomy/taxondetails?taxnode_id=202210527","ictv.global=202210527")</f>
        <v>ictv.global=202210527</v>
      </c>
    </row>
    <row r="7109" spans="1:21">
      <c r="A7109">
        <v>7108</v>
      </c>
      <c r="B7109" s="29" t="s">
        <v>3223</v>
      </c>
      <c r="C7109" s="29"/>
      <c r="D7109" s="29" t="s">
        <v>4156</v>
      </c>
      <c r="E7109" s="29"/>
      <c r="F7109" s="29" t="s">
        <v>4202</v>
      </c>
      <c r="G7109" s="29"/>
      <c r="H7109" s="29" t="s">
        <v>5205</v>
      </c>
      <c r="I7109" s="29"/>
      <c r="J7109" s="29" t="s">
        <v>5206</v>
      </c>
      <c r="K7109" s="29"/>
      <c r="L7109" s="29" t="s">
        <v>5368</v>
      </c>
      <c r="M7109" s="29"/>
      <c r="N7109" s="29" t="s">
        <v>5680</v>
      </c>
      <c r="O7109" s="29"/>
      <c r="P7109" s="29" t="s">
        <v>5684</v>
      </c>
      <c r="Q7109" t="s">
        <v>2040</v>
      </c>
      <c r="R7109" t="s">
        <v>2632</v>
      </c>
      <c r="S7109">
        <v>36</v>
      </c>
      <c r="T7109" s="43" t="str">
        <f t="shared" si="319"/>
        <v>2020.095B.R.Leviviricetes.zip</v>
      </c>
      <c r="U7109" s="43" t="str">
        <f>HYPERLINK("https://ictv.global/taxonomy/taxondetails?taxnode_id=202210529","ictv.global=202210529")</f>
        <v>ictv.global=202210529</v>
      </c>
    </row>
    <row r="7110" spans="1:21">
      <c r="A7110">
        <v>7109</v>
      </c>
      <c r="B7110" s="29" t="s">
        <v>3223</v>
      </c>
      <c r="C7110" s="29"/>
      <c r="D7110" s="29" t="s">
        <v>4156</v>
      </c>
      <c r="E7110" s="29"/>
      <c r="F7110" s="29" t="s">
        <v>4202</v>
      </c>
      <c r="G7110" s="29"/>
      <c r="H7110" s="29" t="s">
        <v>5205</v>
      </c>
      <c r="I7110" s="29"/>
      <c r="J7110" s="29" t="s">
        <v>5206</v>
      </c>
      <c r="K7110" s="29"/>
      <c r="L7110" s="29" t="s">
        <v>5368</v>
      </c>
      <c r="M7110" s="29"/>
      <c r="N7110" s="29" t="s">
        <v>5680</v>
      </c>
      <c r="O7110" s="29"/>
      <c r="P7110" s="29" t="s">
        <v>5685</v>
      </c>
      <c r="Q7110" t="s">
        <v>2040</v>
      </c>
      <c r="R7110" t="s">
        <v>2632</v>
      </c>
      <c r="S7110">
        <v>36</v>
      </c>
      <c r="T7110" s="43" t="str">
        <f t="shared" si="319"/>
        <v>2020.095B.R.Leviviricetes.zip</v>
      </c>
      <c r="U7110" s="43" t="str">
        <f>HYPERLINK("https://ictv.global/taxonomy/taxondetails?taxnode_id=202210530","ictv.global=202210530")</f>
        <v>ictv.global=202210530</v>
      </c>
    </row>
    <row r="7111" spans="1:21">
      <c r="A7111">
        <v>7110</v>
      </c>
      <c r="B7111" s="29" t="s">
        <v>3223</v>
      </c>
      <c r="C7111" s="29"/>
      <c r="D7111" s="29" t="s">
        <v>4156</v>
      </c>
      <c r="E7111" s="29"/>
      <c r="F7111" s="29" t="s">
        <v>4202</v>
      </c>
      <c r="G7111" s="29"/>
      <c r="H7111" s="29" t="s">
        <v>5205</v>
      </c>
      <c r="I7111" s="29"/>
      <c r="J7111" s="29" t="s">
        <v>5206</v>
      </c>
      <c r="K7111" s="29"/>
      <c r="L7111" s="29" t="s">
        <v>5368</v>
      </c>
      <c r="M7111" s="29"/>
      <c r="N7111" s="29" t="s">
        <v>5680</v>
      </c>
      <c r="O7111" s="29"/>
      <c r="P7111" s="29" t="s">
        <v>5686</v>
      </c>
      <c r="Q7111" t="s">
        <v>2040</v>
      </c>
      <c r="R7111" t="s">
        <v>2632</v>
      </c>
      <c r="S7111">
        <v>36</v>
      </c>
      <c r="T7111" s="43" t="str">
        <f t="shared" si="319"/>
        <v>2020.095B.R.Leviviricetes.zip</v>
      </c>
      <c r="U7111" s="43" t="str">
        <f>HYPERLINK("https://ictv.global/taxonomy/taxondetails?taxnode_id=202210526","ictv.global=202210526")</f>
        <v>ictv.global=202210526</v>
      </c>
    </row>
    <row r="7112" spans="1:21">
      <c r="A7112">
        <v>7111</v>
      </c>
      <c r="B7112" s="29" t="s">
        <v>3223</v>
      </c>
      <c r="C7112" s="29"/>
      <c r="D7112" s="29" t="s">
        <v>4156</v>
      </c>
      <c r="E7112" s="29"/>
      <c r="F7112" s="29" t="s">
        <v>4202</v>
      </c>
      <c r="G7112" s="29"/>
      <c r="H7112" s="29" t="s">
        <v>5205</v>
      </c>
      <c r="I7112" s="29"/>
      <c r="J7112" s="29" t="s">
        <v>5206</v>
      </c>
      <c r="K7112" s="29"/>
      <c r="L7112" s="29" t="s">
        <v>5368</v>
      </c>
      <c r="M7112" s="29"/>
      <c r="N7112" s="29" t="s">
        <v>5687</v>
      </c>
      <c r="O7112" s="29"/>
      <c r="P7112" s="29" t="s">
        <v>5688</v>
      </c>
      <c r="Q7112" t="s">
        <v>2040</v>
      </c>
      <c r="R7112" t="s">
        <v>2632</v>
      </c>
      <c r="S7112">
        <v>36</v>
      </c>
      <c r="T7112" s="43" t="str">
        <f t="shared" si="319"/>
        <v>2020.095B.R.Leviviricetes.zip</v>
      </c>
      <c r="U7112" s="43" t="str">
        <f>HYPERLINK("https://ictv.global/taxonomy/taxondetails?taxnode_id=202210533","ictv.global=202210533")</f>
        <v>ictv.global=202210533</v>
      </c>
    </row>
    <row r="7113" spans="1:21">
      <c r="A7113">
        <v>7112</v>
      </c>
      <c r="B7113" s="29" t="s">
        <v>3223</v>
      </c>
      <c r="C7113" s="29"/>
      <c r="D7113" s="29" t="s">
        <v>4156</v>
      </c>
      <c r="E7113" s="29"/>
      <c r="F7113" s="29" t="s">
        <v>4202</v>
      </c>
      <c r="G7113" s="29"/>
      <c r="H7113" s="29" t="s">
        <v>5205</v>
      </c>
      <c r="I7113" s="29"/>
      <c r="J7113" s="29" t="s">
        <v>5206</v>
      </c>
      <c r="K7113" s="29"/>
      <c r="L7113" s="29" t="s">
        <v>5368</v>
      </c>
      <c r="M7113" s="29"/>
      <c r="N7113" s="29" t="s">
        <v>5689</v>
      </c>
      <c r="O7113" s="29"/>
      <c r="P7113" s="29" t="s">
        <v>5690</v>
      </c>
      <c r="Q7113" t="s">
        <v>2040</v>
      </c>
      <c r="R7113" t="s">
        <v>2632</v>
      </c>
      <c r="S7113">
        <v>36</v>
      </c>
      <c r="T7113" s="43" t="str">
        <f t="shared" si="319"/>
        <v>2020.095B.R.Leviviricetes.zip</v>
      </c>
      <c r="U7113" s="43" t="str">
        <f>HYPERLINK("https://ictv.global/taxonomy/taxondetails?taxnode_id=202210535","ictv.global=202210535")</f>
        <v>ictv.global=202210535</v>
      </c>
    </row>
    <row r="7114" spans="1:21">
      <c r="A7114">
        <v>7113</v>
      </c>
      <c r="B7114" s="29" t="s">
        <v>3223</v>
      </c>
      <c r="C7114" s="29"/>
      <c r="D7114" s="29" t="s">
        <v>4156</v>
      </c>
      <c r="E7114" s="29"/>
      <c r="F7114" s="29" t="s">
        <v>4202</v>
      </c>
      <c r="G7114" s="29"/>
      <c r="H7114" s="29" t="s">
        <v>5205</v>
      </c>
      <c r="I7114" s="29"/>
      <c r="J7114" s="29" t="s">
        <v>5206</v>
      </c>
      <c r="K7114" s="29"/>
      <c r="L7114" s="29" t="s">
        <v>5368</v>
      </c>
      <c r="M7114" s="29"/>
      <c r="N7114" s="29" t="s">
        <v>5691</v>
      </c>
      <c r="O7114" s="29"/>
      <c r="P7114" s="29" t="s">
        <v>5692</v>
      </c>
      <c r="Q7114" t="s">
        <v>2040</v>
      </c>
      <c r="R7114" t="s">
        <v>2632</v>
      </c>
      <c r="S7114">
        <v>36</v>
      </c>
      <c r="T7114" s="43" t="str">
        <f t="shared" si="319"/>
        <v>2020.095B.R.Leviviricetes.zip</v>
      </c>
      <c r="U7114" s="43" t="str">
        <f>HYPERLINK("https://ictv.global/taxonomy/taxondetails?taxnode_id=202210538","ictv.global=202210538")</f>
        <v>ictv.global=202210538</v>
      </c>
    </row>
    <row r="7115" spans="1:21">
      <c r="A7115">
        <v>7114</v>
      </c>
      <c r="B7115" s="29" t="s">
        <v>3223</v>
      </c>
      <c r="C7115" s="29"/>
      <c r="D7115" s="29" t="s">
        <v>4156</v>
      </c>
      <c r="E7115" s="29"/>
      <c r="F7115" s="29" t="s">
        <v>4202</v>
      </c>
      <c r="G7115" s="29"/>
      <c r="H7115" s="29" t="s">
        <v>5205</v>
      </c>
      <c r="I7115" s="29"/>
      <c r="J7115" s="29" t="s">
        <v>5206</v>
      </c>
      <c r="K7115" s="29"/>
      <c r="L7115" s="29" t="s">
        <v>5368</v>
      </c>
      <c r="M7115" s="29"/>
      <c r="N7115" s="29" t="s">
        <v>5691</v>
      </c>
      <c r="O7115" s="29"/>
      <c r="P7115" s="29" t="s">
        <v>5693</v>
      </c>
      <c r="Q7115" t="s">
        <v>2040</v>
      </c>
      <c r="R7115" t="s">
        <v>2632</v>
      </c>
      <c r="S7115">
        <v>36</v>
      </c>
      <c r="T7115" s="43" t="str">
        <f t="shared" si="319"/>
        <v>2020.095B.R.Leviviricetes.zip</v>
      </c>
      <c r="U7115" s="43" t="str">
        <f>HYPERLINK("https://ictv.global/taxonomy/taxondetails?taxnode_id=202210537","ictv.global=202210537")</f>
        <v>ictv.global=202210537</v>
      </c>
    </row>
    <row r="7116" spans="1:21">
      <c r="A7116">
        <v>7115</v>
      </c>
      <c r="B7116" s="29" t="s">
        <v>3223</v>
      </c>
      <c r="C7116" s="29"/>
      <c r="D7116" s="29" t="s">
        <v>4156</v>
      </c>
      <c r="E7116" s="29"/>
      <c r="F7116" s="29" t="s">
        <v>4202</v>
      </c>
      <c r="G7116" s="29"/>
      <c r="H7116" s="29" t="s">
        <v>5205</v>
      </c>
      <c r="I7116" s="29"/>
      <c r="J7116" s="29" t="s">
        <v>5206</v>
      </c>
      <c r="K7116" s="29"/>
      <c r="L7116" s="29" t="s">
        <v>5368</v>
      </c>
      <c r="M7116" s="29"/>
      <c r="N7116" s="29" t="s">
        <v>5694</v>
      </c>
      <c r="O7116" s="29"/>
      <c r="P7116" s="29" t="s">
        <v>5695</v>
      </c>
      <c r="Q7116" t="s">
        <v>2040</v>
      </c>
      <c r="R7116" t="s">
        <v>2632</v>
      </c>
      <c r="S7116">
        <v>36</v>
      </c>
      <c r="T7116" s="43" t="str">
        <f t="shared" si="319"/>
        <v>2020.095B.R.Leviviricetes.zip</v>
      </c>
      <c r="U7116" s="43" t="str">
        <f>HYPERLINK("https://ictv.global/taxonomy/taxondetails?taxnode_id=202210540","ictv.global=202210540")</f>
        <v>ictv.global=202210540</v>
      </c>
    </row>
    <row r="7117" spans="1:21">
      <c r="A7117">
        <v>7116</v>
      </c>
      <c r="B7117" s="29" t="s">
        <v>3223</v>
      </c>
      <c r="C7117" s="29"/>
      <c r="D7117" s="29" t="s">
        <v>4156</v>
      </c>
      <c r="E7117" s="29"/>
      <c r="F7117" s="29" t="s">
        <v>4202</v>
      </c>
      <c r="G7117" s="29"/>
      <c r="H7117" s="29" t="s">
        <v>5205</v>
      </c>
      <c r="I7117" s="29"/>
      <c r="J7117" s="29" t="s">
        <v>5206</v>
      </c>
      <c r="K7117" s="29"/>
      <c r="L7117" s="29" t="s">
        <v>5368</v>
      </c>
      <c r="M7117" s="29"/>
      <c r="N7117" s="29" t="s">
        <v>5696</v>
      </c>
      <c r="O7117" s="29"/>
      <c r="P7117" s="29" t="s">
        <v>5697</v>
      </c>
      <c r="Q7117" t="s">
        <v>2040</v>
      </c>
      <c r="R7117" t="s">
        <v>2632</v>
      </c>
      <c r="S7117">
        <v>36</v>
      </c>
      <c r="T7117" s="43" t="str">
        <f t="shared" si="319"/>
        <v>2020.095B.R.Leviviricetes.zip</v>
      </c>
      <c r="U7117" s="43" t="str">
        <f>HYPERLINK("https://ictv.global/taxonomy/taxondetails?taxnode_id=202210542","ictv.global=202210542")</f>
        <v>ictv.global=202210542</v>
      </c>
    </row>
    <row r="7118" spans="1:21">
      <c r="A7118">
        <v>7117</v>
      </c>
      <c r="B7118" s="29" t="s">
        <v>3223</v>
      </c>
      <c r="C7118" s="29"/>
      <c r="D7118" s="29" t="s">
        <v>4156</v>
      </c>
      <c r="E7118" s="29"/>
      <c r="F7118" s="29" t="s">
        <v>4202</v>
      </c>
      <c r="G7118" s="29"/>
      <c r="H7118" s="29" t="s">
        <v>5205</v>
      </c>
      <c r="I7118" s="29"/>
      <c r="J7118" s="29" t="s">
        <v>5206</v>
      </c>
      <c r="K7118" s="29"/>
      <c r="L7118" s="29" t="s">
        <v>5368</v>
      </c>
      <c r="M7118" s="29"/>
      <c r="N7118" s="29" t="s">
        <v>5696</v>
      </c>
      <c r="O7118" s="29"/>
      <c r="P7118" s="29" t="s">
        <v>5698</v>
      </c>
      <c r="Q7118" t="s">
        <v>2040</v>
      </c>
      <c r="R7118" t="s">
        <v>2632</v>
      </c>
      <c r="S7118">
        <v>36</v>
      </c>
      <c r="T7118" s="43" t="str">
        <f t="shared" si="319"/>
        <v>2020.095B.R.Leviviricetes.zip</v>
      </c>
      <c r="U7118" s="43" t="str">
        <f>HYPERLINK("https://ictv.global/taxonomy/taxondetails?taxnode_id=202210543","ictv.global=202210543")</f>
        <v>ictv.global=202210543</v>
      </c>
    </row>
    <row r="7119" spans="1:21">
      <c r="A7119">
        <v>7118</v>
      </c>
      <c r="B7119" s="29" t="s">
        <v>3223</v>
      </c>
      <c r="C7119" s="29"/>
      <c r="D7119" s="29" t="s">
        <v>4156</v>
      </c>
      <c r="E7119" s="29"/>
      <c r="F7119" s="29" t="s">
        <v>4202</v>
      </c>
      <c r="G7119" s="29"/>
      <c r="H7119" s="29" t="s">
        <v>5205</v>
      </c>
      <c r="I7119" s="29"/>
      <c r="J7119" s="29" t="s">
        <v>5206</v>
      </c>
      <c r="K7119" s="29"/>
      <c r="L7119" s="29" t="s">
        <v>5368</v>
      </c>
      <c r="M7119" s="29"/>
      <c r="N7119" s="29" t="s">
        <v>5699</v>
      </c>
      <c r="O7119" s="29"/>
      <c r="P7119" s="29" t="s">
        <v>5700</v>
      </c>
      <c r="Q7119" t="s">
        <v>2040</v>
      </c>
      <c r="R7119" t="s">
        <v>2632</v>
      </c>
      <c r="S7119">
        <v>36</v>
      </c>
      <c r="T7119" s="43" t="str">
        <f t="shared" si="319"/>
        <v>2020.095B.R.Leviviricetes.zip</v>
      </c>
      <c r="U7119" s="43" t="str">
        <f>HYPERLINK("https://ictv.global/taxonomy/taxondetails?taxnode_id=202210545","ictv.global=202210545")</f>
        <v>ictv.global=202210545</v>
      </c>
    </row>
    <row r="7120" spans="1:21">
      <c r="A7120">
        <v>7119</v>
      </c>
      <c r="B7120" s="29" t="s">
        <v>3223</v>
      </c>
      <c r="C7120" s="29"/>
      <c r="D7120" s="29" t="s">
        <v>4156</v>
      </c>
      <c r="E7120" s="29"/>
      <c r="F7120" s="29" t="s">
        <v>4202</v>
      </c>
      <c r="G7120" s="29"/>
      <c r="H7120" s="29" t="s">
        <v>5205</v>
      </c>
      <c r="I7120" s="29"/>
      <c r="J7120" s="29" t="s">
        <v>5206</v>
      </c>
      <c r="K7120" s="29"/>
      <c r="L7120" s="29" t="s">
        <v>5368</v>
      </c>
      <c r="M7120" s="29"/>
      <c r="N7120" s="29" t="s">
        <v>5701</v>
      </c>
      <c r="O7120" s="29"/>
      <c r="P7120" s="29" t="s">
        <v>5702</v>
      </c>
      <c r="Q7120" t="s">
        <v>2040</v>
      </c>
      <c r="R7120" t="s">
        <v>2632</v>
      </c>
      <c r="S7120">
        <v>36</v>
      </c>
      <c r="T7120" s="43" t="str">
        <f t="shared" si="319"/>
        <v>2020.095B.R.Leviviricetes.zip</v>
      </c>
      <c r="U7120" s="43" t="str">
        <f>HYPERLINK("https://ictv.global/taxonomy/taxondetails?taxnode_id=202210547","ictv.global=202210547")</f>
        <v>ictv.global=202210547</v>
      </c>
    </row>
    <row r="7121" spans="1:21">
      <c r="A7121">
        <v>7120</v>
      </c>
      <c r="B7121" s="29" t="s">
        <v>3223</v>
      </c>
      <c r="C7121" s="29"/>
      <c r="D7121" s="29" t="s">
        <v>4156</v>
      </c>
      <c r="E7121" s="29"/>
      <c r="F7121" s="29" t="s">
        <v>4202</v>
      </c>
      <c r="G7121" s="29"/>
      <c r="H7121" s="29" t="s">
        <v>5205</v>
      </c>
      <c r="I7121" s="29"/>
      <c r="J7121" s="29" t="s">
        <v>5206</v>
      </c>
      <c r="K7121" s="29"/>
      <c r="L7121" s="29" t="s">
        <v>5368</v>
      </c>
      <c r="M7121" s="29"/>
      <c r="N7121" s="29" t="s">
        <v>5703</v>
      </c>
      <c r="O7121" s="29"/>
      <c r="P7121" s="29" t="s">
        <v>5704</v>
      </c>
      <c r="Q7121" t="s">
        <v>2040</v>
      </c>
      <c r="R7121" t="s">
        <v>2632</v>
      </c>
      <c r="S7121">
        <v>36</v>
      </c>
      <c r="T7121" s="43" t="str">
        <f t="shared" si="319"/>
        <v>2020.095B.R.Leviviricetes.zip</v>
      </c>
      <c r="U7121" s="43" t="str">
        <f>HYPERLINK("https://ictv.global/taxonomy/taxondetails?taxnode_id=202210550","ictv.global=202210550")</f>
        <v>ictv.global=202210550</v>
      </c>
    </row>
    <row r="7122" spans="1:21">
      <c r="A7122">
        <v>7121</v>
      </c>
      <c r="B7122" s="29" t="s">
        <v>3223</v>
      </c>
      <c r="C7122" s="29"/>
      <c r="D7122" s="29" t="s">
        <v>4156</v>
      </c>
      <c r="E7122" s="29"/>
      <c r="F7122" s="29" t="s">
        <v>4202</v>
      </c>
      <c r="G7122" s="29"/>
      <c r="H7122" s="29" t="s">
        <v>5205</v>
      </c>
      <c r="I7122" s="29"/>
      <c r="J7122" s="29" t="s">
        <v>5206</v>
      </c>
      <c r="K7122" s="29"/>
      <c r="L7122" s="29" t="s">
        <v>5368</v>
      </c>
      <c r="M7122" s="29"/>
      <c r="N7122" s="29" t="s">
        <v>5703</v>
      </c>
      <c r="O7122" s="29"/>
      <c r="P7122" s="29" t="s">
        <v>5705</v>
      </c>
      <c r="Q7122" t="s">
        <v>2040</v>
      </c>
      <c r="R7122" t="s">
        <v>2632</v>
      </c>
      <c r="S7122">
        <v>36</v>
      </c>
      <c r="T7122" s="43" t="str">
        <f t="shared" si="319"/>
        <v>2020.095B.R.Leviviricetes.zip</v>
      </c>
      <c r="U7122" s="43" t="str">
        <f>HYPERLINK("https://ictv.global/taxonomy/taxondetails?taxnode_id=202210549","ictv.global=202210549")</f>
        <v>ictv.global=202210549</v>
      </c>
    </row>
    <row r="7123" spans="1:21">
      <c r="A7123">
        <v>7122</v>
      </c>
      <c r="B7123" s="29" t="s">
        <v>3223</v>
      </c>
      <c r="C7123" s="29"/>
      <c r="D7123" s="29" t="s">
        <v>4156</v>
      </c>
      <c r="E7123" s="29"/>
      <c r="F7123" s="29" t="s">
        <v>4202</v>
      </c>
      <c r="G7123" s="29"/>
      <c r="H7123" s="29" t="s">
        <v>5205</v>
      </c>
      <c r="I7123" s="29"/>
      <c r="J7123" s="29" t="s">
        <v>5206</v>
      </c>
      <c r="K7123" s="29"/>
      <c r="L7123" s="29" t="s">
        <v>5368</v>
      </c>
      <c r="M7123" s="29"/>
      <c r="N7123" s="29" t="s">
        <v>5706</v>
      </c>
      <c r="O7123" s="29"/>
      <c r="P7123" s="29" t="s">
        <v>5707</v>
      </c>
      <c r="Q7123" t="s">
        <v>2040</v>
      </c>
      <c r="R7123" t="s">
        <v>2632</v>
      </c>
      <c r="S7123">
        <v>36</v>
      </c>
      <c r="T7123" s="43" t="str">
        <f t="shared" si="319"/>
        <v>2020.095B.R.Leviviricetes.zip</v>
      </c>
      <c r="U7123" s="43" t="str">
        <f>HYPERLINK("https://ictv.global/taxonomy/taxondetails?taxnode_id=202210553","ictv.global=202210553")</f>
        <v>ictv.global=202210553</v>
      </c>
    </row>
    <row r="7124" spans="1:21">
      <c r="A7124">
        <v>7123</v>
      </c>
      <c r="B7124" s="29" t="s">
        <v>3223</v>
      </c>
      <c r="C7124" s="29"/>
      <c r="D7124" s="29" t="s">
        <v>4156</v>
      </c>
      <c r="E7124" s="29"/>
      <c r="F7124" s="29" t="s">
        <v>4202</v>
      </c>
      <c r="G7124" s="29"/>
      <c r="H7124" s="29" t="s">
        <v>5205</v>
      </c>
      <c r="I7124" s="29"/>
      <c r="J7124" s="29" t="s">
        <v>5206</v>
      </c>
      <c r="K7124" s="29"/>
      <c r="L7124" s="29" t="s">
        <v>5368</v>
      </c>
      <c r="M7124" s="29"/>
      <c r="N7124" s="29" t="s">
        <v>5706</v>
      </c>
      <c r="O7124" s="29"/>
      <c r="P7124" s="29" t="s">
        <v>5708</v>
      </c>
      <c r="Q7124" t="s">
        <v>2040</v>
      </c>
      <c r="R7124" t="s">
        <v>2632</v>
      </c>
      <c r="S7124">
        <v>36</v>
      </c>
      <c r="T7124" s="43" t="str">
        <f t="shared" si="319"/>
        <v>2020.095B.R.Leviviricetes.zip</v>
      </c>
      <c r="U7124" s="43" t="str">
        <f>HYPERLINK("https://ictv.global/taxonomy/taxondetails?taxnode_id=202210554","ictv.global=202210554")</f>
        <v>ictv.global=202210554</v>
      </c>
    </row>
    <row r="7125" spans="1:21">
      <c r="A7125">
        <v>7124</v>
      </c>
      <c r="B7125" s="29" t="s">
        <v>3223</v>
      </c>
      <c r="C7125" s="29"/>
      <c r="D7125" s="29" t="s">
        <v>4156</v>
      </c>
      <c r="E7125" s="29"/>
      <c r="F7125" s="29" t="s">
        <v>4202</v>
      </c>
      <c r="G7125" s="29"/>
      <c r="H7125" s="29" t="s">
        <v>5205</v>
      </c>
      <c r="I7125" s="29"/>
      <c r="J7125" s="29" t="s">
        <v>5206</v>
      </c>
      <c r="K7125" s="29"/>
      <c r="L7125" s="29" t="s">
        <v>5368</v>
      </c>
      <c r="M7125" s="29"/>
      <c r="N7125" s="29" t="s">
        <v>5706</v>
      </c>
      <c r="O7125" s="29"/>
      <c r="P7125" s="29" t="s">
        <v>5709</v>
      </c>
      <c r="Q7125" t="s">
        <v>2040</v>
      </c>
      <c r="R7125" t="s">
        <v>2632</v>
      </c>
      <c r="S7125">
        <v>36</v>
      </c>
      <c r="T7125" s="43" t="str">
        <f t="shared" si="319"/>
        <v>2020.095B.R.Leviviricetes.zip</v>
      </c>
      <c r="U7125" s="43" t="str">
        <f>HYPERLINK("https://ictv.global/taxonomy/taxondetails?taxnode_id=202210552","ictv.global=202210552")</f>
        <v>ictv.global=202210552</v>
      </c>
    </row>
    <row r="7126" spans="1:21">
      <c r="A7126">
        <v>7125</v>
      </c>
      <c r="B7126" s="29" t="s">
        <v>3223</v>
      </c>
      <c r="C7126" s="29"/>
      <c r="D7126" s="29" t="s">
        <v>4156</v>
      </c>
      <c r="E7126" s="29"/>
      <c r="F7126" s="29" t="s">
        <v>4202</v>
      </c>
      <c r="G7126" s="29"/>
      <c r="H7126" s="29" t="s">
        <v>5205</v>
      </c>
      <c r="I7126" s="29"/>
      <c r="J7126" s="29" t="s">
        <v>5206</v>
      </c>
      <c r="K7126" s="29"/>
      <c r="L7126" s="29" t="s">
        <v>5368</v>
      </c>
      <c r="M7126" s="29"/>
      <c r="N7126" s="29" t="s">
        <v>5710</v>
      </c>
      <c r="O7126" s="29"/>
      <c r="P7126" s="29" t="s">
        <v>5711</v>
      </c>
      <c r="Q7126" t="s">
        <v>2040</v>
      </c>
      <c r="R7126" t="s">
        <v>2632</v>
      </c>
      <c r="S7126">
        <v>36</v>
      </c>
      <c r="T7126" s="43" t="str">
        <f t="shared" si="319"/>
        <v>2020.095B.R.Leviviricetes.zip</v>
      </c>
      <c r="U7126" s="43" t="str">
        <f>HYPERLINK("https://ictv.global/taxonomy/taxondetails?taxnode_id=202210556","ictv.global=202210556")</f>
        <v>ictv.global=202210556</v>
      </c>
    </row>
    <row r="7127" spans="1:21">
      <c r="A7127">
        <v>7126</v>
      </c>
      <c r="B7127" s="29" t="s">
        <v>3223</v>
      </c>
      <c r="C7127" s="29"/>
      <c r="D7127" s="29" t="s">
        <v>4156</v>
      </c>
      <c r="E7127" s="29"/>
      <c r="F7127" s="29" t="s">
        <v>4202</v>
      </c>
      <c r="G7127" s="29"/>
      <c r="H7127" s="29" t="s">
        <v>5205</v>
      </c>
      <c r="I7127" s="29"/>
      <c r="J7127" s="29" t="s">
        <v>5206</v>
      </c>
      <c r="K7127" s="29"/>
      <c r="L7127" s="29" t="s">
        <v>5368</v>
      </c>
      <c r="M7127" s="29"/>
      <c r="N7127" s="29" t="s">
        <v>5710</v>
      </c>
      <c r="O7127" s="29"/>
      <c r="P7127" s="29" t="s">
        <v>5712</v>
      </c>
      <c r="Q7127" t="s">
        <v>2040</v>
      </c>
      <c r="R7127" t="s">
        <v>2632</v>
      </c>
      <c r="S7127">
        <v>36</v>
      </c>
      <c r="T7127" s="43" t="str">
        <f t="shared" si="319"/>
        <v>2020.095B.R.Leviviricetes.zip</v>
      </c>
      <c r="U7127" s="43" t="str">
        <f>HYPERLINK("https://ictv.global/taxonomy/taxondetails?taxnode_id=202210557","ictv.global=202210557")</f>
        <v>ictv.global=202210557</v>
      </c>
    </row>
    <row r="7128" spans="1:21">
      <c r="A7128">
        <v>7127</v>
      </c>
      <c r="B7128" s="29" t="s">
        <v>3223</v>
      </c>
      <c r="C7128" s="29"/>
      <c r="D7128" s="29" t="s">
        <v>4156</v>
      </c>
      <c r="E7128" s="29"/>
      <c r="F7128" s="29" t="s">
        <v>4202</v>
      </c>
      <c r="G7128" s="29"/>
      <c r="H7128" s="29" t="s">
        <v>5205</v>
      </c>
      <c r="I7128" s="29"/>
      <c r="J7128" s="29" t="s">
        <v>5206</v>
      </c>
      <c r="K7128" s="29"/>
      <c r="L7128" s="29" t="s">
        <v>5368</v>
      </c>
      <c r="M7128" s="29"/>
      <c r="N7128" s="29" t="s">
        <v>5713</v>
      </c>
      <c r="O7128" s="29"/>
      <c r="P7128" s="29" t="s">
        <v>5714</v>
      </c>
      <c r="Q7128" t="s">
        <v>2040</v>
      </c>
      <c r="R7128" t="s">
        <v>2632</v>
      </c>
      <c r="S7128">
        <v>36</v>
      </c>
      <c r="T7128" s="43" t="str">
        <f t="shared" si="319"/>
        <v>2020.095B.R.Leviviricetes.zip</v>
      </c>
      <c r="U7128" s="43" t="str">
        <f>HYPERLINK("https://ictv.global/taxonomy/taxondetails?taxnode_id=202210559","ictv.global=202210559")</f>
        <v>ictv.global=202210559</v>
      </c>
    </row>
    <row r="7129" spans="1:21">
      <c r="A7129">
        <v>7128</v>
      </c>
      <c r="B7129" s="29" t="s">
        <v>3223</v>
      </c>
      <c r="C7129" s="29"/>
      <c r="D7129" s="29" t="s">
        <v>4156</v>
      </c>
      <c r="E7129" s="29"/>
      <c r="F7129" s="29" t="s">
        <v>4202</v>
      </c>
      <c r="G7129" s="29"/>
      <c r="H7129" s="29" t="s">
        <v>5205</v>
      </c>
      <c r="I7129" s="29"/>
      <c r="J7129" s="29" t="s">
        <v>5206</v>
      </c>
      <c r="K7129" s="29"/>
      <c r="L7129" s="29" t="s">
        <v>5368</v>
      </c>
      <c r="M7129" s="29"/>
      <c r="N7129" s="29" t="s">
        <v>5713</v>
      </c>
      <c r="O7129" s="29"/>
      <c r="P7129" s="29" t="s">
        <v>5715</v>
      </c>
      <c r="Q7129" t="s">
        <v>2040</v>
      </c>
      <c r="R7129" t="s">
        <v>2632</v>
      </c>
      <c r="S7129">
        <v>36</v>
      </c>
      <c r="T7129" s="43" t="str">
        <f t="shared" si="319"/>
        <v>2020.095B.R.Leviviricetes.zip</v>
      </c>
      <c r="U7129" s="43" t="str">
        <f>HYPERLINK("https://ictv.global/taxonomy/taxondetails?taxnode_id=202210560","ictv.global=202210560")</f>
        <v>ictv.global=202210560</v>
      </c>
    </row>
    <row r="7130" spans="1:21">
      <c r="A7130">
        <v>7129</v>
      </c>
      <c r="B7130" s="29" t="s">
        <v>3223</v>
      </c>
      <c r="C7130" s="29"/>
      <c r="D7130" s="29" t="s">
        <v>4156</v>
      </c>
      <c r="E7130" s="29"/>
      <c r="F7130" s="29" t="s">
        <v>4202</v>
      </c>
      <c r="G7130" s="29"/>
      <c r="H7130" s="29" t="s">
        <v>5205</v>
      </c>
      <c r="I7130" s="29"/>
      <c r="J7130" s="29" t="s">
        <v>5206</v>
      </c>
      <c r="K7130" s="29"/>
      <c r="L7130" s="29" t="s">
        <v>5368</v>
      </c>
      <c r="M7130" s="29"/>
      <c r="N7130" s="29" t="s">
        <v>5713</v>
      </c>
      <c r="O7130" s="29"/>
      <c r="P7130" s="29" t="s">
        <v>5716</v>
      </c>
      <c r="Q7130" t="s">
        <v>2040</v>
      </c>
      <c r="R7130" t="s">
        <v>2632</v>
      </c>
      <c r="S7130">
        <v>36</v>
      </c>
      <c r="T7130" s="43" t="str">
        <f t="shared" si="319"/>
        <v>2020.095B.R.Leviviricetes.zip</v>
      </c>
      <c r="U7130" s="43" t="str">
        <f>HYPERLINK("https://ictv.global/taxonomy/taxondetails?taxnode_id=202210561","ictv.global=202210561")</f>
        <v>ictv.global=202210561</v>
      </c>
    </row>
    <row r="7131" spans="1:21">
      <c r="A7131">
        <v>7130</v>
      </c>
      <c r="B7131" s="29" t="s">
        <v>3223</v>
      </c>
      <c r="C7131" s="29"/>
      <c r="D7131" s="29" t="s">
        <v>4156</v>
      </c>
      <c r="E7131" s="29"/>
      <c r="F7131" s="29" t="s">
        <v>4202</v>
      </c>
      <c r="G7131" s="29"/>
      <c r="H7131" s="29" t="s">
        <v>5205</v>
      </c>
      <c r="I7131" s="29"/>
      <c r="J7131" s="29" t="s">
        <v>5206</v>
      </c>
      <c r="K7131" s="29"/>
      <c r="L7131" s="29" t="s">
        <v>5368</v>
      </c>
      <c r="M7131" s="29"/>
      <c r="N7131" s="29" t="s">
        <v>5713</v>
      </c>
      <c r="O7131" s="29"/>
      <c r="P7131" s="29" t="s">
        <v>5717</v>
      </c>
      <c r="Q7131" t="s">
        <v>2040</v>
      </c>
      <c r="R7131" t="s">
        <v>2632</v>
      </c>
      <c r="S7131">
        <v>36</v>
      </c>
      <c r="T7131" s="43" t="str">
        <f t="shared" ref="T7131:T7147" si="320">HYPERLINK("https://ictv.global/ictv/proposals/2020.095B.R.Leviviricetes.zip","2020.095B.R.Leviviricetes.zip")</f>
        <v>2020.095B.R.Leviviricetes.zip</v>
      </c>
      <c r="U7131" s="43" t="str">
        <f>HYPERLINK("https://ictv.global/taxonomy/taxondetails?taxnode_id=202210562","ictv.global=202210562")</f>
        <v>ictv.global=202210562</v>
      </c>
    </row>
    <row r="7132" spans="1:21">
      <c r="A7132">
        <v>7131</v>
      </c>
      <c r="B7132" s="29" t="s">
        <v>3223</v>
      </c>
      <c r="C7132" s="29"/>
      <c r="D7132" s="29" t="s">
        <v>4156</v>
      </c>
      <c r="E7132" s="29"/>
      <c r="F7132" s="29" t="s">
        <v>4202</v>
      </c>
      <c r="G7132" s="29"/>
      <c r="H7132" s="29" t="s">
        <v>5205</v>
      </c>
      <c r="I7132" s="29"/>
      <c r="J7132" s="29" t="s">
        <v>5206</v>
      </c>
      <c r="K7132" s="29"/>
      <c r="L7132" s="29" t="s">
        <v>5368</v>
      </c>
      <c r="M7132" s="29"/>
      <c r="N7132" s="29" t="s">
        <v>5718</v>
      </c>
      <c r="O7132" s="29"/>
      <c r="P7132" s="29" t="s">
        <v>5719</v>
      </c>
      <c r="Q7132" t="s">
        <v>2040</v>
      </c>
      <c r="R7132" t="s">
        <v>2632</v>
      </c>
      <c r="S7132">
        <v>36</v>
      </c>
      <c r="T7132" s="43" t="str">
        <f t="shared" si="320"/>
        <v>2020.095B.R.Leviviricetes.zip</v>
      </c>
      <c r="U7132" s="43" t="str">
        <f>HYPERLINK("https://ictv.global/taxonomy/taxondetails?taxnode_id=202210566","ictv.global=202210566")</f>
        <v>ictv.global=202210566</v>
      </c>
    </row>
    <row r="7133" spans="1:21">
      <c r="A7133">
        <v>7132</v>
      </c>
      <c r="B7133" s="29" t="s">
        <v>3223</v>
      </c>
      <c r="C7133" s="29"/>
      <c r="D7133" s="29" t="s">
        <v>4156</v>
      </c>
      <c r="E7133" s="29"/>
      <c r="F7133" s="29" t="s">
        <v>4202</v>
      </c>
      <c r="G7133" s="29"/>
      <c r="H7133" s="29" t="s">
        <v>5205</v>
      </c>
      <c r="I7133" s="29"/>
      <c r="J7133" s="29" t="s">
        <v>5206</v>
      </c>
      <c r="K7133" s="29"/>
      <c r="L7133" s="29" t="s">
        <v>5368</v>
      </c>
      <c r="M7133" s="29"/>
      <c r="N7133" s="29" t="s">
        <v>5718</v>
      </c>
      <c r="O7133" s="29"/>
      <c r="P7133" s="29" t="s">
        <v>5720</v>
      </c>
      <c r="Q7133" t="s">
        <v>2040</v>
      </c>
      <c r="R7133" t="s">
        <v>2632</v>
      </c>
      <c r="S7133">
        <v>36</v>
      </c>
      <c r="T7133" s="43" t="str">
        <f t="shared" si="320"/>
        <v>2020.095B.R.Leviviricetes.zip</v>
      </c>
      <c r="U7133" s="43" t="str">
        <f>HYPERLINK("https://ictv.global/taxonomy/taxondetails?taxnode_id=202210568","ictv.global=202210568")</f>
        <v>ictv.global=202210568</v>
      </c>
    </row>
    <row r="7134" spans="1:21">
      <c r="A7134">
        <v>7133</v>
      </c>
      <c r="B7134" s="29" t="s">
        <v>3223</v>
      </c>
      <c r="C7134" s="29"/>
      <c r="D7134" s="29" t="s">
        <v>4156</v>
      </c>
      <c r="E7134" s="29"/>
      <c r="F7134" s="29" t="s">
        <v>4202</v>
      </c>
      <c r="G7134" s="29"/>
      <c r="H7134" s="29" t="s">
        <v>5205</v>
      </c>
      <c r="I7134" s="29"/>
      <c r="J7134" s="29" t="s">
        <v>5206</v>
      </c>
      <c r="K7134" s="29"/>
      <c r="L7134" s="29" t="s">
        <v>5368</v>
      </c>
      <c r="M7134" s="29"/>
      <c r="N7134" s="29" t="s">
        <v>5718</v>
      </c>
      <c r="O7134" s="29"/>
      <c r="P7134" s="29" t="s">
        <v>5721</v>
      </c>
      <c r="Q7134" t="s">
        <v>2040</v>
      </c>
      <c r="R7134" t="s">
        <v>2632</v>
      </c>
      <c r="S7134">
        <v>36</v>
      </c>
      <c r="T7134" s="43" t="str">
        <f t="shared" si="320"/>
        <v>2020.095B.R.Leviviricetes.zip</v>
      </c>
      <c r="U7134" s="43" t="str">
        <f>HYPERLINK("https://ictv.global/taxonomy/taxondetails?taxnode_id=202210564","ictv.global=202210564")</f>
        <v>ictv.global=202210564</v>
      </c>
    </row>
    <row r="7135" spans="1:21">
      <c r="A7135">
        <v>7134</v>
      </c>
      <c r="B7135" s="29" t="s">
        <v>3223</v>
      </c>
      <c r="C7135" s="29"/>
      <c r="D7135" s="29" t="s">
        <v>4156</v>
      </c>
      <c r="E7135" s="29"/>
      <c r="F7135" s="29" t="s">
        <v>4202</v>
      </c>
      <c r="G7135" s="29"/>
      <c r="H7135" s="29" t="s">
        <v>5205</v>
      </c>
      <c r="I7135" s="29"/>
      <c r="J7135" s="29" t="s">
        <v>5206</v>
      </c>
      <c r="K7135" s="29"/>
      <c r="L7135" s="29" t="s">
        <v>5368</v>
      </c>
      <c r="M7135" s="29"/>
      <c r="N7135" s="29" t="s">
        <v>5718</v>
      </c>
      <c r="O7135" s="29"/>
      <c r="P7135" s="29" t="s">
        <v>5722</v>
      </c>
      <c r="Q7135" t="s">
        <v>2040</v>
      </c>
      <c r="R7135" t="s">
        <v>2632</v>
      </c>
      <c r="S7135">
        <v>36</v>
      </c>
      <c r="T7135" s="43" t="str">
        <f t="shared" si="320"/>
        <v>2020.095B.R.Leviviricetes.zip</v>
      </c>
      <c r="U7135" s="43" t="str">
        <f>HYPERLINK("https://ictv.global/taxonomy/taxondetails?taxnode_id=202210567","ictv.global=202210567")</f>
        <v>ictv.global=202210567</v>
      </c>
    </row>
    <row r="7136" spans="1:21">
      <c r="A7136">
        <v>7135</v>
      </c>
      <c r="B7136" s="29" t="s">
        <v>3223</v>
      </c>
      <c r="C7136" s="29"/>
      <c r="D7136" s="29" t="s">
        <v>4156</v>
      </c>
      <c r="E7136" s="29"/>
      <c r="F7136" s="29" t="s">
        <v>4202</v>
      </c>
      <c r="G7136" s="29"/>
      <c r="H7136" s="29" t="s">
        <v>5205</v>
      </c>
      <c r="I7136" s="29"/>
      <c r="J7136" s="29" t="s">
        <v>5206</v>
      </c>
      <c r="K7136" s="29"/>
      <c r="L7136" s="29" t="s">
        <v>5368</v>
      </c>
      <c r="M7136" s="29"/>
      <c r="N7136" s="29" t="s">
        <v>5718</v>
      </c>
      <c r="O7136" s="29"/>
      <c r="P7136" s="29" t="s">
        <v>5723</v>
      </c>
      <c r="Q7136" t="s">
        <v>2040</v>
      </c>
      <c r="R7136" t="s">
        <v>2632</v>
      </c>
      <c r="S7136">
        <v>36</v>
      </c>
      <c r="T7136" s="43" t="str">
        <f t="shared" si="320"/>
        <v>2020.095B.R.Leviviricetes.zip</v>
      </c>
      <c r="U7136" s="43" t="str">
        <f>HYPERLINK("https://ictv.global/taxonomy/taxondetails?taxnode_id=202210565","ictv.global=202210565")</f>
        <v>ictv.global=202210565</v>
      </c>
    </row>
    <row r="7137" spans="1:21">
      <c r="A7137">
        <v>7136</v>
      </c>
      <c r="B7137" s="29" t="s">
        <v>3223</v>
      </c>
      <c r="C7137" s="29"/>
      <c r="D7137" s="29" t="s">
        <v>4156</v>
      </c>
      <c r="E7137" s="29"/>
      <c r="F7137" s="29" t="s">
        <v>4202</v>
      </c>
      <c r="G7137" s="29"/>
      <c r="H7137" s="29" t="s">
        <v>5205</v>
      </c>
      <c r="I7137" s="29"/>
      <c r="J7137" s="29" t="s">
        <v>5206</v>
      </c>
      <c r="K7137" s="29"/>
      <c r="L7137" s="29" t="s">
        <v>5368</v>
      </c>
      <c r="M7137" s="29"/>
      <c r="N7137" s="29" t="s">
        <v>5724</v>
      </c>
      <c r="O7137" s="29"/>
      <c r="P7137" s="29" t="s">
        <v>5725</v>
      </c>
      <c r="Q7137" t="s">
        <v>2040</v>
      </c>
      <c r="R7137" t="s">
        <v>2632</v>
      </c>
      <c r="S7137">
        <v>36</v>
      </c>
      <c r="T7137" s="43" t="str">
        <f t="shared" si="320"/>
        <v>2020.095B.R.Leviviricetes.zip</v>
      </c>
      <c r="U7137" s="43" t="str">
        <f>HYPERLINK("https://ictv.global/taxonomy/taxondetails?taxnode_id=202210570","ictv.global=202210570")</f>
        <v>ictv.global=202210570</v>
      </c>
    </row>
    <row r="7138" spans="1:21">
      <c r="A7138">
        <v>7137</v>
      </c>
      <c r="B7138" s="29" t="s">
        <v>3223</v>
      </c>
      <c r="C7138" s="29"/>
      <c r="D7138" s="29" t="s">
        <v>4156</v>
      </c>
      <c r="E7138" s="29"/>
      <c r="F7138" s="29" t="s">
        <v>4202</v>
      </c>
      <c r="G7138" s="29"/>
      <c r="H7138" s="29" t="s">
        <v>5205</v>
      </c>
      <c r="I7138" s="29"/>
      <c r="J7138" s="29" t="s">
        <v>5206</v>
      </c>
      <c r="K7138" s="29"/>
      <c r="L7138" s="29" t="s">
        <v>5368</v>
      </c>
      <c r="M7138" s="29"/>
      <c r="N7138" s="29" t="s">
        <v>5726</v>
      </c>
      <c r="O7138" s="29"/>
      <c r="P7138" s="29" t="s">
        <v>5727</v>
      </c>
      <c r="Q7138" t="s">
        <v>2040</v>
      </c>
      <c r="R7138" t="s">
        <v>2632</v>
      </c>
      <c r="S7138">
        <v>36</v>
      </c>
      <c r="T7138" s="43" t="str">
        <f t="shared" si="320"/>
        <v>2020.095B.R.Leviviricetes.zip</v>
      </c>
      <c r="U7138" s="43" t="str">
        <f>HYPERLINK("https://ictv.global/taxonomy/taxondetails?taxnode_id=202210572","ictv.global=202210572")</f>
        <v>ictv.global=202210572</v>
      </c>
    </row>
    <row r="7139" spans="1:21">
      <c r="A7139">
        <v>7138</v>
      </c>
      <c r="B7139" s="29" t="s">
        <v>3223</v>
      </c>
      <c r="C7139" s="29"/>
      <c r="D7139" s="29" t="s">
        <v>4156</v>
      </c>
      <c r="E7139" s="29"/>
      <c r="F7139" s="29" t="s">
        <v>4202</v>
      </c>
      <c r="G7139" s="29"/>
      <c r="H7139" s="29" t="s">
        <v>5205</v>
      </c>
      <c r="I7139" s="29"/>
      <c r="J7139" s="29" t="s">
        <v>5206</v>
      </c>
      <c r="K7139" s="29"/>
      <c r="L7139" s="29" t="s">
        <v>5368</v>
      </c>
      <c r="M7139" s="29"/>
      <c r="N7139" s="29" t="s">
        <v>5728</v>
      </c>
      <c r="O7139" s="29"/>
      <c r="P7139" s="29" t="s">
        <v>5729</v>
      </c>
      <c r="Q7139" t="s">
        <v>2040</v>
      </c>
      <c r="R7139" t="s">
        <v>2632</v>
      </c>
      <c r="S7139">
        <v>36</v>
      </c>
      <c r="T7139" s="43" t="str">
        <f t="shared" si="320"/>
        <v>2020.095B.R.Leviviricetes.zip</v>
      </c>
      <c r="U7139" s="43" t="str">
        <f>HYPERLINK("https://ictv.global/taxonomy/taxondetails?taxnode_id=202210575","ictv.global=202210575")</f>
        <v>ictv.global=202210575</v>
      </c>
    </row>
    <row r="7140" spans="1:21">
      <c r="A7140">
        <v>7139</v>
      </c>
      <c r="B7140" s="29" t="s">
        <v>3223</v>
      </c>
      <c r="C7140" s="29"/>
      <c r="D7140" s="29" t="s">
        <v>4156</v>
      </c>
      <c r="E7140" s="29"/>
      <c r="F7140" s="29" t="s">
        <v>4202</v>
      </c>
      <c r="G7140" s="29"/>
      <c r="H7140" s="29" t="s">
        <v>5205</v>
      </c>
      <c r="I7140" s="29"/>
      <c r="J7140" s="29" t="s">
        <v>5206</v>
      </c>
      <c r="K7140" s="29"/>
      <c r="L7140" s="29" t="s">
        <v>5368</v>
      </c>
      <c r="M7140" s="29"/>
      <c r="N7140" s="29" t="s">
        <v>5728</v>
      </c>
      <c r="O7140" s="29"/>
      <c r="P7140" s="29" t="s">
        <v>5730</v>
      </c>
      <c r="Q7140" t="s">
        <v>2040</v>
      </c>
      <c r="R7140" t="s">
        <v>2632</v>
      </c>
      <c r="S7140">
        <v>36</v>
      </c>
      <c r="T7140" s="43" t="str">
        <f t="shared" si="320"/>
        <v>2020.095B.R.Leviviricetes.zip</v>
      </c>
      <c r="U7140" s="43" t="str">
        <f>HYPERLINK("https://ictv.global/taxonomy/taxondetails?taxnode_id=202210577","ictv.global=202210577")</f>
        <v>ictv.global=202210577</v>
      </c>
    </row>
    <row r="7141" spans="1:21">
      <c r="A7141">
        <v>7140</v>
      </c>
      <c r="B7141" s="29" t="s">
        <v>3223</v>
      </c>
      <c r="C7141" s="29"/>
      <c r="D7141" s="29" t="s">
        <v>4156</v>
      </c>
      <c r="E7141" s="29"/>
      <c r="F7141" s="29" t="s">
        <v>4202</v>
      </c>
      <c r="G7141" s="29"/>
      <c r="H7141" s="29" t="s">
        <v>5205</v>
      </c>
      <c r="I7141" s="29"/>
      <c r="J7141" s="29" t="s">
        <v>5206</v>
      </c>
      <c r="K7141" s="29"/>
      <c r="L7141" s="29" t="s">
        <v>5368</v>
      </c>
      <c r="M7141" s="29"/>
      <c r="N7141" s="29" t="s">
        <v>5728</v>
      </c>
      <c r="O7141" s="29"/>
      <c r="P7141" s="29" t="s">
        <v>5731</v>
      </c>
      <c r="Q7141" t="s">
        <v>2040</v>
      </c>
      <c r="R7141" t="s">
        <v>2632</v>
      </c>
      <c r="S7141">
        <v>36</v>
      </c>
      <c r="T7141" s="43" t="str">
        <f t="shared" si="320"/>
        <v>2020.095B.R.Leviviricetes.zip</v>
      </c>
      <c r="U7141" s="43" t="str">
        <f>HYPERLINK("https://ictv.global/taxonomy/taxondetails?taxnode_id=202210576","ictv.global=202210576")</f>
        <v>ictv.global=202210576</v>
      </c>
    </row>
    <row r="7142" spans="1:21">
      <c r="A7142">
        <v>7141</v>
      </c>
      <c r="B7142" s="29" t="s">
        <v>3223</v>
      </c>
      <c r="C7142" s="29"/>
      <c r="D7142" s="29" t="s">
        <v>4156</v>
      </c>
      <c r="E7142" s="29"/>
      <c r="F7142" s="29" t="s">
        <v>4202</v>
      </c>
      <c r="G7142" s="29"/>
      <c r="H7142" s="29" t="s">
        <v>5205</v>
      </c>
      <c r="I7142" s="29"/>
      <c r="J7142" s="29" t="s">
        <v>5206</v>
      </c>
      <c r="K7142" s="29"/>
      <c r="L7142" s="29" t="s">
        <v>5368</v>
      </c>
      <c r="M7142" s="29"/>
      <c r="N7142" s="29" t="s">
        <v>5728</v>
      </c>
      <c r="O7142" s="29"/>
      <c r="P7142" s="29" t="s">
        <v>5732</v>
      </c>
      <c r="Q7142" t="s">
        <v>2040</v>
      </c>
      <c r="R7142" t="s">
        <v>2632</v>
      </c>
      <c r="S7142">
        <v>36</v>
      </c>
      <c r="T7142" s="43" t="str">
        <f t="shared" si="320"/>
        <v>2020.095B.R.Leviviricetes.zip</v>
      </c>
      <c r="U7142" s="43" t="str">
        <f>HYPERLINK("https://ictv.global/taxonomy/taxondetails?taxnode_id=202210574","ictv.global=202210574")</f>
        <v>ictv.global=202210574</v>
      </c>
    </row>
    <row r="7143" spans="1:21">
      <c r="A7143">
        <v>7142</v>
      </c>
      <c r="B7143" s="29" t="s">
        <v>3223</v>
      </c>
      <c r="C7143" s="29"/>
      <c r="D7143" s="29" t="s">
        <v>4156</v>
      </c>
      <c r="E7143" s="29"/>
      <c r="F7143" s="29" t="s">
        <v>4202</v>
      </c>
      <c r="G7143" s="29"/>
      <c r="H7143" s="29" t="s">
        <v>5205</v>
      </c>
      <c r="I7143" s="29"/>
      <c r="J7143" s="29" t="s">
        <v>5206</v>
      </c>
      <c r="K7143" s="29"/>
      <c r="L7143" s="29" t="s">
        <v>5368</v>
      </c>
      <c r="M7143" s="29"/>
      <c r="N7143" s="29" t="s">
        <v>5728</v>
      </c>
      <c r="O7143" s="29"/>
      <c r="P7143" s="29" t="s">
        <v>5733</v>
      </c>
      <c r="Q7143" t="s">
        <v>2040</v>
      </c>
      <c r="R7143" t="s">
        <v>2632</v>
      </c>
      <c r="S7143">
        <v>36</v>
      </c>
      <c r="T7143" s="43" t="str">
        <f t="shared" si="320"/>
        <v>2020.095B.R.Leviviricetes.zip</v>
      </c>
      <c r="U7143" s="43" t="str">
        <f>HYPERLINK("https://ictv.global/taxonomy/taxondetails?taxnode_id=202210578","ictv.global=202210578")</f>
        <v>ictv.global=202210578</v>
      </c>
    </row>
    <row r="7144" spans="1:21">
      <c r="A7144">
        <v>7143</v>
      </c>
      <c r="B7144" s="29" t="s">
        <v>3223</v>
      </c>
      <c r="C7144" s="29"/>
      <c r="D7144" s="29" t="s">
        <v>4156</v>
      </c>
      <c r="E7144" s="29"/>
      <c r="F7144" s="29" t="s">
        <v>4202</v>
      </c>
      <c r="G7144" s="29"/>
      <c r="H7144" s="29" t="s">
        <v>5205</v>
      </c>
      <c r="I7144" s="29"/>
      <c r="J7144" s="29" t="s">
        <v>5206</v>
      </c>
      <c r="K7144" s="29"/>
      <c r="L7144" s="29" t="s">
        <v>5368</v>
      </c>
      <c r="M7144" s="29"/>
      <c r="N7144" s="29" t="s">
        <v>5728</v>
      </c>
      <c r="O7144" s="29"/>
      <c r="P7144" s="29" t="s">
        <v>5734</v>
      </c>
      <c r="Q7144" t="s">
        <v>2040</v>
      </c>
      <c r="R7144" t="s">
        <v>2632</v>
      </c>
      <c r="S7144">
        <v>36</v>
      </c>
      <c r="T7144" s="43" t="str">
        <f t="shared" si="320"/>
        <v>2020.095B.R.Leviviricetes.zip</v>
      </c>
      <c r="U7144" s="43" t="str">
        <f>HYPERLINK("https://ictv.global/taxonomy/taxondetails?taxnode_id=202210579","ictv.global=202210579")</f>
        <v>ictv.global=202210579</v>
      </c>
    </row>
    <row r="7145" spans="1:21">
      <c r="A7145">
        <v>7144</v>
      </c>
      <c r="B7145" s="29" t="s">
        <v>3223</v>
      </c>
      <c r="C7145" s="29"/>
      <c r="D7145" s="29" t="s">
        <v>4156</v>
      </c>
      <c r="E7145" s="29"/>
      <c r="F7145" s="29" t="s">
        <v>4202</v>
      </c>
      <c r="G7145" s="29"/>
      <c r="H7145" s="29" t="s">
        <v>5205</v>
      </c>
      <c r="I7145" s="29"/>
      <c r="J7145" s="29" t="s">
        <v>5206</v>
      </c>
      <c r="K7145" s="29"/>
      <c r="L7145" s="29" t="s">
        <v>5368</v>
      </c>
      <c r="M7145" s="29"/>
      <c r="N7145" s="29" t="s">
        <v>5735</v>
      </c>
      <c r="O7145" s="29"/>
      <c r="P7145" s="29" t="s">
        <v>5736</v>
      </c>
      <c r="Q7145" t="s">
        <v>2040</v>
      </c>
      <c r="R7145" t="s">
        <v>2632</v>
      </c>
      <c r="S7145">
        <v>36</v>
      </c>
      <c r="T7145" s="43" t="str">
        <f t="shared" si="320"/>
        <v>2020.095B.R.Leviviricetes.zip</v>
      </c>
      <c r="U7145" s="43" t="str">
        <f>HYPERLINK("https://ictv.global/taxonomy/taxondetails?taxnode_id=202210582","ictv.global=202210582")</f>
        <v>ictv.global=202210582</v>
      </c>
    </row>
    <row r="7146" spans="1:21">
      <c r="A7146">
        <v>7145</v>
      </c>
      <c r="B7146" s="29" t="s">
        <v>3223</v>
      </c>
      <c r="C7146" s="29"/>
      <c r="D7146" s="29" t="s">
        <v>4156</v>
      </c>
      <c r="E7146" s="29"/>
      <c r="F7146" s="29" t="s">
        <v>4202</v>
      </c>
      <c r="G7146" s="29"/>
      <c r="H7146" s="29" t="s">
        <v>5205</v>
      </c>
      <c r="I7146" s="29"/>
      <c r="J7146" s="29" t="s">
        <v>5206</v>
      </c>
      <c r="K7146" s="29"/>
      <c r="L7146" s="29" t="s">
        <v>5368</v>
      </c>
      <c r="M7146" s="29"/>
      <c r="N7146" s="29" t="s">
        <v>5735</v>
      </c>
      <c r="O7146" s="29"/>
      <c r="P7146" s="29" t="s">
        <v>5737</v>
      </c>
      <c r="Q7146" t="s">
        <v>2040</v>
      </c>
      <c r="R7146" t="s">
        <v>2632</v>
      </c>
      <c r="S7146">
        <v>36</v>
      </c>
      <c r="T7146" s="43" t="str">
        <f t="shared" si="320"/>
        <v>2020.095B.R.Leviviricetes.zip</v>
      </c>
      <c r="U7146" s="43" t="str">
        <f>HYPERLINK("https://ictv.global/taxonomy/taxondetails?taxnode_id=202210581","ictv.global=202210581")</f>
        <v>ictv.global=202210581</v>
      </c>
    </row>
    <row r="7147" spans="1:21">
      <c r="A7147">
        <v>7146</v>
      </c>
      <c r="B7147" s="29" t="s">
        <v>3223</v>
      </c>
      <c r="C7147" s="29"/>
      <c r="D7147" s="29" t="s">
        <v>4156</v>
      </c>
      <c r="E7147" s="29"/>
      <c r="F7147" s="29" t="s">
        <v>4202</v>
      </c>
      <c r="G7147" s="29"/>
      <c r="H7147" s="29" t="s">
        <v>5205</v>
      </c>
      <c r="I7147" s="29"/>
      <c r="J7147" s="29" t="s">
        <v>5206</v>
      </c>
      <c r="K7147" s="29"/>
      <c r="L7147" s="29" t="s">
        <v>5368</v>
      </c>
      <c r="M7147" s="29"/>
      <c r="N7147" s="29" t="s">
        <v>5738</v>
      </c>
      <c r="O7147" s="29"/>
      <c r="P7147" s="29" t="s">
        <v>5739</v>
      </c>
      <c r="Q7147" t="s">
        <v>2040</v>
      </c>
      <c r="R7147" t="s">
        <v>2632</v>
      </c>
      <c r="S7147">
        <v>36</v>
      </c>
      <c r="T7147" s="43" t="str">
        <f t="shared" si="320"/>
        <v>2020.095B.R.Leviviricetes.zip</v>
      </c>
      <c r="U7147" s="43" t="str">
        <f>HYPERLINK("https://ictv.global/taxonomy/taxondetails?taxnode_id=202210584","ictv.global=202210584")</f>
        <v>ictv.global=202210584</v>
      </c>
    </row>
    <row r="7148" spans="1:21">
      <c r="A7148">
        <v>7147</v>
      </c>
      <c r="B7148" s="29" t="s">
        <v>3223</v>
      </c>
      <c r="C7148" s="29"/>
      <c r="D7148" s="29" t="s">
        <v>4156</v>
      </c>
      <c r="E7148" s="29"/>
      <c r="F7148" s="29" t="s">
        <v>4202</v>
      </c>
      <c r="G7148" s="29"/>
      <c r="H7148" s="29" t="s">
        <v>5205</v>
      </c>
      <c r="I7148" s="29"/>
      <c r="J7148" s="29" t="s">
        <v>5206</v>
      </c>
      <c r="K7148" s="29"/>
      <c r="L7148" s="29" t="s">
        <v>5368</v>
      </c>
      <c r="M7148" s="29"/>
      <c r="N7148" s="29" t="s">
        <v>5740</v>
      </c>
      <c r="O7148" s="29"/>
      <c r="P7148" s="29" t="s">
        <v>5741</v>
      </c>
      <c r="Q7148" t="s">
        <v>2040</v>
      </c>
      <c r="R7148" t="s">
        <v>6900</v>
      </c>
      <c r="S7148">
        <v>36</v>
      </c>
      <c r="T7148" s="43" t="str">
        <f>HYPERLINK("https://ictv.global/ictv/proposals/2020.095B.R.Leviviricetes.zip","2020.095B.R.Leviviricetes.zip;2020.001G.R.Abolish_type_species.pdf")</f>
        <v>2020.095B.R.Leviviricetes.zip;2020.001G.R.Abolish_type_species.pdf</v>
      </c>
      <c r="U7148" s="43" t="str">
        <f>HYPERLINK("https://ictv.global/taxonomy/taxondetails?taxnode_id=202203755","ictv.global=202203755")</f>
        <v>ictv.global=202203755</v>
      </c>
    </row>
    <row r="7149" spans="1:21">
      <c r="A7149">
        <v>7148</v>
      </c>
      <c r="B7149" s="29" t="s">
        <v>3223</v>
      </c>
      <c r="C7149" s="29"/>
      <c r="D7149" s="29" t="s">
        <v>4156</v>
      </c>
      <c r="E7149" s="29"/>
      <c r="F7149" s="29" t="s">
        <v>4202</v>
      </c>
      <c r="G7149" s="29"/>
      <c r="H7149" s="29" t="s">
        <v>5205</v>
      </c>
      <c r="I7149" s="29"/>
      <c r="J7149" s="29" t="s">
        <v>5206</v>
      </c>
      <c r="K7149" s="29"/>
      <c r="L7149" s="29" t="s">
        <v>5368</v>
      </c>
      <c r="M7149" s="29"/>
      <c r="N7149" s="29" t="s">
        <v>5740</v>
      </c>
      <c r="O7149" s="29"/>
      <c r="P7149" s="29" t="s">
        <v>5742</v>
      </c>
      <c r="Q7149" t="s">
        <v>2040</v>
      </c>
      <c r="R7149" t="s">
        <v>2633</v>
      </c>
      <c r="S7149">
        <v>36</v>
      </c>
      <c r="T7149" s="43" t="str">
        <f t="shared" ref="T7149:T7212" si="321">HYPERLINK("https://ictv.global/ictv/proposals/2020.095B.R.Leviviricetes.zip","2020.095B.R.Leviviricetes.zip")</f>
        <v>2020.095B.R.Leviviricetes.zip</v>
      </c>
      <c r="U7149" s="43" t="str">
        <f>HYPERLINK("https://ictv.global/taxonomy/taxondetails?taxnode_id=202203754","ictv.global=202203754")</f>
        <v>ictv.global=202203754</v>
      </c>
    </row>
    <row r="7150" spans="1:21">
      <c r="A7150">
        <v>7149</v>
      </c>
      <c r="B7150" s="29" t="s">
        <v>3223</v>
      </c>
      <c r="C7150" s="29"/>
      <c r="D7150" s="29" t="s">
        <v>4156</v>
      </c>
      <c r="E7150" s="29"/>
      <c r="F7150" s="29" t="s">
        <v>4202</v>
      </c>
      <c r="G7150" s="29"/>
      <c r="H7150" s="29" t="s">
        <v>5205</v>
      </c>
      <c r="I7150" s="29"/>
      <c r="J7150" s="29" t="s">
        <v>5206</v>
      </c>
      <c r="K7150" s="29"/>
      <c r="L7150" s="29" t="s">
        <v>5368</v>
      </c>
      <c r="M7150" s="29"/>
      <c r="N7150" s="29" t="s">
        <v>5743</v>
      </c>
      <c r="O7150" s="29"/>
      <c r="P7150" s="29" t="s">
        <v>5744</v>
      </c>
      <c r="Q7150" t="s">
        <v>2040</v>
      </c>
      <c r="R7150" t="s">
        <v>2632</v>
      </c>
      <c r="S7150">
        <v>36</v>
      </c>
      <c r="T7150" s="43" t="str">
        <f t="shared" si="321"/>
        <v>2020.095B.R.Leviviricetes.zip</v>
      </c>
      <c r="U7150" s="43" t="str">
        <f>HYPERLINK("https://ictv.global/taxonomy/taxondetails?taxnode_id=202210586","ictv.global=202210586")</f>
        <v>ictv.global=202210586</v>
      </c>
    </row>
    <row r="7151" spans="1:21">
      <c r="A7151">
        <v>7150</v>
      </c>
      <c r="B7151" s="29" t="s">
        <v>3223</v>
      </c>
      <c r="C7151" s="29"/>
      <c r="D7151" s="29" t="s">
        <v>4156</v>
      </c>
      <c r="E7151" s="29"/>
      <c r="F7151" s="29" t="s">
        <v>4202</v>
      </c>
      <c r="G7151" s="29"/>
      <c r="H7151" s="29" t="s">
        <v>5205</v>
      </c>
      <c r="I7151" s="29"/>
      <c r="J7151" s="29" t="s">
        <v>5206</v>
      </c>
      <c r="K7151" s="29"/>
      <c r="L7151" s="29" t="s">
        <v>5368</v>
      </c>
      <c r="M7151" s="29"/>
      <c r="N7151" s="29" t="s">
        <v>5743</v>
      </c>
      <c r="O7151" s="29"/>
      <c r="P7151" s="29" t="s">
        <v>5745</v>
      </c>
      <c r="Q7151" t="s">
        <v>2040</v>
      </c>
      <c r="R7151" t="s">
        <v>2632</v>
      </c>
      <c r="S7151">
        <v>36</v>
      </c>
      <c r="T7151" s="43" t="str">
        <f t="shared" si="321"/>
        <v>2020.095B.R.Leviviricetes.zip</v>
      </c>
      <c r="U7151" s="43" t="str">
        <f>HYPERLINK("https://ictv.global/taxonomy/taxondetails?taxnode_id=202210587","ictv.global=202210587")</f>
        <v>ictv.global=202210587</v>
      </c>
    </row>
    <row r="7152" spans="1:21">
      <c r="A7152">
        <v>7151</v>
      </c>
      <c r="B7152" s="29" t="s">
        <v>3223</v>
      </c>
      <c r="C7152" s="29"/>
      <c r="D7152" s="29" t="s">
        <v>4156</v>
      </c>
      <c r="E7152" s="29"/>
      <c r="F7152" s="29" t="s">
        <v>4202</v>
      </c>
      <c r="G7152" s="29"/>
      <c r="H7152" s="29" t="s">
        <v>5205</v>
      </c>
      <c r="I7152" s="29"/>
      <c r="J7152" s="29" t="s">
        <v>5206</v>
      </c>
      <c r="K7152" s="29"/>
      <c r="L7152" s="29" t="s">
        <v>5368</v>
      </c>
      <c r="M7152" s="29"/>
      <c r="N7152" s="29" t="s">
        <v>5743</v>
      </c>
      <c r="O7152" s="29"/>
      <c r="P7152" s="29" t="s">
        <v>5746</v>
      </c>
      <c r="Q7152" t="s">
        <v>2040</v>
      </c>
      <c r="R7152" t="s">
        <v>2632</v>
      </c>
      <c r="S7152">
        <v>36</v>
      </c>
      <c r="T7152" s="43" t="str">
        <f t="shared" si="321"/>
        <v>2020.095B.R.Leviviricetes.zip</v>
      </c>
      <c r="U7152" s="43" t="str">
        <f>HYPERLINK("https://ictv.global/taxonomy/taxondetails?taxnode_id=202210588","ictv.global=202210588")</f>
        <v>ictv.global=202210588</v>
      </c>
    </row>
    <row r="7153" spans="1:21">
      <c r="A7153">
        <v>7152</v>
      </c>
      <c r="B7153" s="29" t="s">
        <v>3223</v>
      </c>
      <c r="C7153" s="29"/>
      <c r="D7153" s="29" t="s">
        <v>4156</v>
      </c>
      <c r="E7153" s="29"/>
      <c r="F7153" s="29" t="s">
        <v>4202</v>
      </c>
      <c r="G7153" s="29"/>
      <c r="H7153" s="29" t="s">
        <v>5205</v>
      </c>
      <c r="I7153" s="29"/>
      <c r="J7153" s="29" t="s">
        <v>5206</v>
      </c>
      <c r="K7153" s="29"/>
      <c r="L7153" s="29" t="s">
        <v>5368</v>
      </c>
      <c r="M7153" s="29"/>
      <c r="N7153" s="29" t="s">
        <v>5747</v>
      </c>
      <c r="O7153" s="29"/>
      <c r="P7153" s="29" t="s">
        <v>5748</v>
      </c>
      <c r="Q7153" t="s">
        <v>2040</v>
      </c>
      <c r="R7153" t="s">
        <v>2632</v>
      </c>
      <c r="S7153">
        <v>36</v>
      </c>
      <c r="T7153" s="43" t="str">
        <f t="shared" si="321"/>
        <v>2020.095B.R.Leviviricetes.zip</v>
      </c>
      <c r="U7153" s="43" t="str">
        <f>HYPERLINK("https://ictv.global/taxonomy/taxondetails?taxnode_id=202210590","ictv.global=202210590")</f>
        <v>ictv.global=202210590</v>
      </c>
    </row>
    <row r="7154" spans="1:21">
      <c r="A7154">
        <v>7153</v>
      </c>
      <c r="B7154" s="29" t="s">
        <v>3223</v>
      </c>
      <c r="C7154" s="29"/>
      <c r="D7154" s="29" t="s">
        <v>4156</v>
      </c>
      <c r="E7154" s="29"/>
      <c r="F7154" s="29" t="s">
        <v>4202</v>
      </c>
      <c r="G7154" s="29"/>
      <c r="H7154" s="29" t="s">
        <v>5205</v>
      </c>
      <c r="I7154" s="29"/>
      <c r="J7154" s="29" t="s">
        <v>5206</v>
      </c>
      <c r="K7154" s="29"/>
      <c r="L7154" s="29" t="s">
        <v>5368</v>
      </c>
      <c r="M7154" s="29"/>
      <c r="N7154" s="29" t="s">
        <v>5749</v>
      </c>
      <c r="O7154" s="29"/>
      <c r="P7154" s="29" t="s">
        <v>5750</v>
      </c>
      <c r="Q7154" t="s">
        <v>2040</v>
      </c>
      <c r="R7154" t="s">
        <v>2632</v>
      </c>
      <c r="S7154">
        <v>36</v>
      </c>
      <c r="T7154" s="43" t="str">
        <f t="shared" si="321"/>
        <v>2020.095B.R.Leviviricetes.zip</v>
      </c>
      <c r="U7154" s="43" t="str">
        <f>HYPERLINK("https://ictv.global/taxonomy/taxondetails?taxnode_id=202210592","ictv.global=202210592")</f>
        <v>ictv.global=202210592</v>
      </c>
    </row>
    <row r="7155" spans="1:21">
      <c r="A7155">
        <v>7154</v>
      </c>
      <c r="B7155" s="29" t="s">
        <v>3223</v>
      </c>
      <c r="C7155" s="29"/>
      <c r="D7155" s="29" t="s">
        <v>4156</v>
      </c>
      <c r="E7155" s="29"/>
      <c r="F7155" s="29" t="s">
        <v>4202</v>
      </c>
      <c r="G7155" s="29"/>
      <c r="H7155" s="29" t="s">
        <v>5205</v>
      </c>
      <c r="I7155" s="29"/>
      <c r="J7155" s="29" t="s">
        <v>5206</v>
      </c>
      <c r="K7155" s="29"/>
      <c r="L7155" s="29" t="s">
        <v>5368</v>
      </c>
      <c r="M7155" s="29"/>
      <c r="N7155" s="29" t="s">
        <v>5751</v>
      </c>
      <c r="O7155" s="29"/>
      <c r="P7155" s="29" t="s">
        <v>5752</v>
      </c>
      <c r="Q7155" t="s">
        <v>2040</v>
      </c>
      <c r="R7155" t="s">
        <v>2632</v>
      </c>
      <c r="S7155">
        <v>36</v>
      </c>
      <c r="T7155" s="43" t="str">
        <f t="shared" si="321"/>
        <v>2020.095B.R.Leviviricetes.zip</v>
      </c>
      <c r="U7155" s="43" t="str">
        <f>HYPERLINK("https://ictv.global/taxonomy/taxondetails?taxnode_id=202210594","ictv.global=202210594")</f>
        <v>ictv.global=202210594</v>
      </c>
    </row>
    <row r="7156" spans="1:21">
      <c r="A7156">
        <v>7155</v>
      </c>
      <c r="B7156" s="29" t="s">
        <v>3223</v>
      </c>
      <c r="C7156" s="29"/>
      <c r="D7156" s="29" t="s">
        <v>4156</v>
      </c>
      <c r="E7156" s="29"/>
      <c r="F7156" s="29" t="s">
        <v>4202</v>
      </c>
      <c r="G7156" s="29"/>
      <c r="H7156" s="29" t="s">
        <v>5205</v>
      </c>
      <c r="I7156" s="29"/>
      <c r="J7156" s="29" t="s">
        <v>5206</v>
      </c>
      <c r="K7156" s="29"/>
      <c r="L7156" s="29" t="s">
        <v>5368</v>
      </c>
      <c r="M7156" s="29"/>
      <c r="N7156" s="29" t="s">
        <v>5751</v>
      </c>
      <c r="O7156" s="29"/>
      <c r="P7156" s="29" t="s">
        <v>5753</v>
      </c>
      <c r="Q7156" t="s">
        <v>2040</v>
      </c>
      <c r="R7156" t="s">
        <v>2632</v>
      </c>
      <c r="S7156">
        <v>36</v>
      </c>
      <c r="T7156" s="43" t="str">
        <f t="shared" si="321"/>
        <v>2020.095B.R.Leviviricetes.zip</v>
      </c>
      <c r="U7156" s="43" t="str">
        <f>HYPERLINK("https://ictv.global/taxonomy/taxondetails?taxnode_id=202210595","ictv.global=202210595")</f>
        <v>ictv.global=202210595</v>
      </c>
    </row>
    <row r="7157" spans="1:21">
      <c r="A7157">
        <v>7156</v>
      </c>
      <c r="B7157" s="29" t="s">
        <v>3223</v>
      </c>
      <c r="C7157" s="29"/>
      <c r="D7157" s="29" t="s">
        <v>4156</v>
      </c>
      <c r="E7157" s="29"/>
      <c r="F7157" s="29" t="s">
        <v>4202</v>
      </c>
      <c r="G7157" s="29"/>
      <c r="H7157" s="29" t="s">
        <v>5205</v>
      </c>
      <c r="I7157" s="29"/>
      <c r="J7157" s="29" t="s">
        <v>5206</v>
      </c>
      <c r="K7157" s="29"/>
      <c r="L7157" s="29" t="s">
        <v>5368</v>
      </c>
      <c r="M7157" s="29"/>
      <c r="N7157" s="29" t="s">
        <v>5754</v>
      </c>
      <c r="O7157" s="29"/>
      <c r="P7157" s="29" t="s">
        <v>5755</v>
      </c>
      <c r="Q7157" t="s">
        <v>2040</v>
      </c>
      <c r="R7157" t="s">
        <v>2632</v>
      </c>
      <c r="S7157">
        <v>36</v>
      </c>
      <c r="T7157" s="43" t="str">
        <f t="shared" si="321"/>
        <v>2020.095B.R.Leviviricetes.zip</v>
      </c>
      <c r="U7157" s="43" t="str">
        <f>HYPERLINK("https://ictv.global/taxonomy/taxondetails?taxnode_id=202210597","ictv.global=202210597")</f>
        <v>ictv.global=202210597</v>
      </c>
    </row>
    <row r="7158" spans="1:21">
      <c r="A7158">
        <v>7157</v>
      </c>
      <c r="B7158" s="29" t="s">
        <v>3223</v>
      </c>
      <c r="C7158" s="29"/>
      <c r="D7158" s="29" t="s">
        <v>4156</v>
      </c>
      <c r="E7158" s="29"/>
      <c r="F7158" s="29" t="s">
        <v>4202</v>
      </c>
      <c r="G7158" s="29"/>
      <c r="H7158" s="29" t="s">
        <v>5205</v>
      </c>
      <c r="I7158" s="29"/>
      <c r="J7158" s="29" t="s">
        <v>5206</v>
      </c>
      <c r="K7158" s="29"/>
      <c r="L7158" s="29" t="s">
        <v>5368</v>
      </c>
      <c r="M7158" s="29"/>
      <c r="N7158" s="29" t="s">
        <v>5756</v>
      </c>
      <c r="O7158" s="29"/>
      <c r="P7158" s="29" t="s">
        <v>5757</v>
      </c>
      <c r="Q7158" t="s">
        <v>2040</v>
      </c>
      <c r="R7158" t="s">
        <v>2632</v>
      </c>
      <c r="S7158">
        <v>36</v>
      </c>
      <c r="T7158" s="43" t="str">
        <f t="shared" si="321"/>
        <v>2020.095B.R.Leviviricetes.zip</v>
      </c>
      <c r="U7158" s="43" t="str">
        <f>HYPERLINK("https://ictv.global/taxonomy/taxondetails?taxnode_id=202210599","ictv.global=202210599")</f>
        <v>ictv.global=202210599</v>
      </c>
    </row>
    <row r="7159" spans="1:21">
      <c r="A7159">
        <v>7158</v>
      </c>
      <c r="B7159" s="29" t="s">
        <v>3223</v>
      </c>
      <c r="C7159" s="29"/>
      <c r="D7159" s="29" t="s">
        <v>4156</v>
      </c>
      <c r="E7159" s="29"/>
      <c r="F7159" s="29" t="s">
        <v>4202</v>
      </c>
      <c r="G7159" s="29"/>
      <c r="H7159" s="29" t="s">
        <v>5205</v>
      </c>
      <c r="I7159" s="29"/>
      <c r="J7159" s="29" t="s">
        <v>5206</v>
      </c>
      <c r="K7159" s="29"/>
      <c r="L7159" s="29" t="s">
        <v>5368</v>
      </c>
      <c r="M7159" s="29"/>
      <c r="N7159" s="29" t="s">
        <v>5756</v>
      </c>
      <c r="O7159" s="29"/>
      <c r="P7159" s="29" t="s">
        <v>5758</v>
      </c>
      <c r="Q7159" t="s">
        <v>2040</v>
      </c>
      <c r="R7159" t="s">
        <v>2632</v>
      </c>
      <c r="S7159">
        <v>36</v>
      </c>
      <c r="T7159" s="43" t="str">
        <f t="shared" si="321"/>
        <v>2020.095B.R.Leviviricetes.zip</v>
      </c>
      <c r="U7159" s="43" t="str">
        <f>HYPERLINK("https://ictv.global/taxonomy/taxondetails?taxnode_id=202210600","ictv.global=202210600")</f>
        <v>ictv.global=202210600</v>
      </c>
    </row>
    <row r="7160" spans="1:21">
      <c r="A7160">
        <v>7159</v>
      </c>
      <c r="B7160" s="29" t="s">
        <v>3223</v>
      </c>
      <c r="C7160" s="29"/>
      <c r="D7160" s="29" t="s">
        <v>4156</v>
      </c>
      <c r="E7160" s="29"/>
      <c r="F7160" s="29" t="s">
        <v>4202</v>
      </c>
      <c r="G7160" s="29"/>
      <c r="H7160" s="29" t="s">
        <v>5205</v>
      </c>
      <c r="I7160" s="29"/>
      <c r="J7160" s="29" t="s">
        <v>5206</v>
      </c>
      <c r="K7160" s="29"/>
      <c r="L7160" s="29" t="s">
        <v>5368</v>
      </c>
      <c r="M7160" s="29"/>
      <c r="N7160" s="29" t="s">
        <v>5759</v>
      </c>
      <c r="O7160" s="29"/>
      <c r="P7160" s="29" t="s">
        <v>5760</v>
      </c>
      <c r="Q7160" t="s">
        <v>2040</v>
      </c>
      <c r="R7160" t="s">
        <v>2632</v>
      </c>
      <c r="S7160">
        <v>36</v>
      </c>
      <c r="T7160" s="43" t="str">
        <f t="shared" si="321"/>
        <v>2020.095B.R.Leviviricetes.zip</v>
      </c>
      <c r="U7160" s="43" t="str">
        <f>HYPERLINK("https://ictv.global/taxonomy/taxondetails?taxnode_id=202210602","ictv.global=202210602")</f>
        <v>ictv.global=202210602</v>
      </c>
    </row>
    <row r="7161" spans="1:21">
      <c r="A7161">
        <v>7160</v>
      </c>
      <c r="B7161" s="29" t="s">
        <v>3223</v>
      </c>
      <c r="C7161" s="29"/>
      <c r="D7161" s="29" t="s">
        <v>4156</v>
      </c>
      <c r="E7161" s="29"/>
      <c r="F7161" s="29" t="s">
        <v>4202</v>
      </c>
      <c r="G7161" s="29"/>
      <c r="H7161" s="29" t="s">
        <v>5205</v>
      </c>
      <c r="I7161" s="29"/>
      <c r="J7161" s="29" t="s">
        <v>5206</v>
      </c>
      <c r="K7161" s="29"/>
      <c r="L7161" s="29" t="s">
        <v>5368</v>
      </c>
      <c r="M7161" s="29"/>
      <c r="N7161" s="29" t="s">
        <v>5761</v>
      </c>
      <c r="O7161" s="29"/>
      <c r="P7161" s="29" t="s">
        <v>5762</v>
      </c>
      <c r="Q7161" t="s">
        <v>2040</v>
      </c>
      <c r="R7161" t="s">
        <v>2632</v>
      </c>
      <c r="S7161">
        <v>36</v>
      </c>
      <c r="T7161" s="43" t="str">
        <f t="shared" si="321"/>
        <v>2020.095B.R.Leviviricetes.zip</v>
      </c>
      <c r="U7161" s="43" t="str">
        <f>HYPERLINK("https://ictv.global/taxonomy/taxondetails?taxnode_id=202210604","ictv.global=202210604")</f>
        <v>ictv.global=202210604</v>
      </c>
    </row>
    <row r="7162" spans="1:21">
      <c r="A7162">
        <v>7161</v>
      </c>
      <c r="B7162" s="29" t="s">
        <v>3223</v>
      </c>
      <c r="C7162" s="29"/>
      <c r="D7162" s="29" t="s">
        <v>4156</v>
      </c>
      <c r="E7162" s="29"/>
      <c r="F7162" s="29" t="s">
        <v>4202</v>
      </c>
      <c r="G7162" s="29"/>
      <c r="H7162" s="29" t="s">
        <v>5205</v>
      </c>
      <c r="I7162" s="29"/>
      <c r="J7162" s="29" t="s">
        <v>5206</v>
      </c>
      <c r="K7162" s="29"/>
      <c r="L7162" s="29" t="s">
        <v>5368</v>
      </c>
      <c r="M7162" s="29"/>
      <c r="N7162" s="29" t="s">
        <v>5763</v>
      </c>
      <c r="O7162" s="29"/>
      <c r="P7162" s="29" t="s">
        <v>5764</v>
      </c>
      <c r="Q7162" t="s">
        <v>2040</v>
      </c>
      <c r="R7162" t="s">
        <v>2632</v>
      </c>
      <c r="S7162">
        <v>36</v>
      </c>
      <c r="T7162" s="43" t="str">
        <f t="shared" si="321"/>
        <v>2020.095B.R.Leviviricetes.zip</v>
      </c>
      <c r="U7162" s="43" t="str">
        <f>HYPERLINK("https://ictv.global/taxonomy/taxondetails?taxnode_id=202210606","ictv.global=202210606")</f>
        <v>ictv.global=202210606</v>
      </c>
    </row>
    <row r="7163" spans="1:21">
      <c r="A7163">
        <v>7162</v>
      </c>
      <c r="B7163" s="29" t="s">
        <v>3223</v>
      </c>
      <c r="C7163" s="29"/>
      <c r="D7163" s="29" t="s">
        <v>4156</v>
      </c>
      <c r="E7163" s="29"/>
      <c r="F7163" s="29" t="s">
        <v>4202</v>
      </c>
      <c r="G7163" s="29"/>
      <c r="H7163" s="29" t="s">
        <v>5205</v>
      </c>
      <c r="I7163" s="29"/>
      <c r="J7163" s="29" t="s">
        <v>5206</v>
      </c>
      <c r="K7163" s="29"/>
      <c r="L7163" s="29" t="s">
        <v>5368</v>
      </c>
      <c r="M7163" s="29"/>
      <c r="N7163" s="29" t="s">
        <v>5765</v>
      </c>
      <c r="O7163" s="29"/>
      <c r="P7163" s="29" t="s">
        <v>5766</v>
      </c>
      <c r="Q7163" t="s">
        <v>2040</v>
      </c>
      <c r="R7163" t="s">
        <v>2632</v>
      </c>
      <c r="S7163">
        <v>36</v>
      </c>
      <c r="T7163" s="43" t="str">
        <f t="shared" si="321"/>
        <v>2020.095B.R.Leviviricetes.zip</v>
      </c>
      <c r="U7163" s="43" t="str">
        <f>HYPERLINK("https://ictv.global/taxonomy/taxondetails?taxnode_id=202210608","ictv.global=202210608")</f>
        <v>ictv.global=202210608</v>
      </c>
    </row>
    <row r="7164" spans="1:21">
      <c r="A7164">
        <v>7163</v>
      </c>
      <c r="B7164" s="29" t="s">
        <v>3223</v>
      </c>
      <c r="C7164" s="29"/>
      <c r="D7164" s="29" t="s">
        <v>4156</v>
      </c>
      <c r="E7164" s="29"/>
      <c r="F7164" s="29" t="s">
        <v>4202</v>
      </c>
      <c r="G7164" s="29"/>
      <c r="H7164" s="29" t="s">
        <v>5205</v>
      </c>
      <c r="I7164" s="29"/>
      <c r="J7164" s="29" t="s">
        <v>5206</v>
      </c>
      <c r="K7164" s="29"/>
      <c r="L7164" s="29" t="s">
        <v>5368</v>
      </c>
      <c r="M7164" s="29"/>
      <c r="N7164" s="29" t="s">
        <v>5767</v>
      </c>
      <c r="O7164" s="29"/>
      <c r="P7164" s="29" t="s">
        <v>5768</v>
      </c>
      <c r="Q7164" t="s">
        <v>2040</v>
      </c>
      <c r="R7164" t="s">
        <v>2632</v>
      </c>
      <c r="S7164">
        <v>36</v>
      </c>
      <c r="T7164" s="43" t="str">
        <f t="shared" si="321"/>
        <v>2020.095B.R.Leviviricetes.zip</v>
      </c>
      <c r="U7164" s="43" t="str">
        <f>HYPERLINK("https://ictv.global/taxonomy/taxondetails?taxnode_id=202210611","ictv.global=202210611")</f>
        <v>ictv.global=202210611</v>
      </c>
    </row>
    <row r="7165" spans="1:21">
      <c r="A7165">
        <v>7164</v>
      </c>
      <c r="B7165" s="29" t="s">
        <v>3223</v>
      </c>
      <c r="C7165" s="29"/>
      <c r="D7165" s="29" t="s">
        <v>4156</v>
      </c>
      <c r="E7165" s="29"/>
      <c r="F7165" s="29" t="s">
        <v>4202</v>
      </c>
      <c r="G7165" s="29"/>
      <c r="H7165" s="29" t="s">
        <v>5205</v>
      </c>
      <c r="I7165" s="29"/>
      <c r="J7165" s="29" t="s">
        <v>5206</v>
      </c>
      <c r="K7165" s="29"/>
      <c r="L7165" s="29" t="s">
        <v>5368</v>
      </c>
      <c r="M7165" s="29"/>
      <c r="N7165" s="29" t="s">
        <v>5767</v>
      </c>
      <c r="O7165" s="29"/>
      <c r="P7165" s="29" t="s">
        <v>5769</v>
      </c>
      <c r="Q7165" t="s">
        <v>2040</v>
      </c>
      <c r="R7165" t="s">
        <v>2632</v>
      </c>
      <c r="S7165">
        <v>36</v>
      </c>
      <c r="T7165" s="43" t="str">
        <f t="shared" si="321"/>
        <v>2020.095B.R.Leviviricetes.zip</v>
      </c>
      <c r="U7165" s="43" t="str">
        <f>HYPERLINK("https://ictv.global/taxonomy/taxondetails?taxnode_id=202210610","ictv.global=202210610")</f>
        <v>ictv.global=202210610</v>
      </c>
    </row>
    <row r="7166" spans="1:21">
      <c r="A7166">
        <v>7165</v>
      </c>
      <c r="B7166" s="29" t="s">
        <v>3223</v>
      </c>
      <c r="C7166" s="29"/>
      <c r="D7166" s="29" t="s">
        <v>4156</v>
      </c>
      <c r="E7166" s="29"/>
      <c r="F7166" s="29" t="s">
        <v>4202</v>
      </c>
      <c r="G7166" s="29"/>
      <c r="H7166" s="29" t="s">
        <v>5205</v>
      </c>
      <c r="I7166" s="29"/>
      <c r="J7166" s="29" t="s">
        <v>5206</v>
      </c>
      <c r="K7166" s="29"/>
      <c r="L7166" s="29" t="s">
        <v>5368</v>
      </c>
      <c r="M7166" s="29"/>
      <c r="N7166" s="29" t="s">
        <v>5767</v>
      </c>
      <c r="O7166" s="29"/>
      <c r="P7166" s="29" t="s">
        <v>5770</v>
      </c>
      <c r="Q7166" t="s">
        <v>2040</v>
      </c>
      <c r="R7166" t="s">
        <v>2632</v>
      </c>
      <c r="S7166">
        <v>36</v>
      </c>
      <c r="T7166" s="43" t="str">
        <f t="shared" si="321"/>
        <v>2020.095B.R.Leviviricetes.zip</v>
      </c>
      <c r="U7166" s="43" t="str">
        <f>HYPERLINK("https://ictv.global/taxonomy/taxondetails?taxnode_id=202210612","ictv.global=202210612")</f>
        <v>ictv.global=202210612</v>
      </c>
    </row>
    <row r="7167" spans="1:21">
      <c r="A7167">
        <v>7166</v>
      </c>
      <c r="B7167" s="29" t="s">
        <v>3223</v>
      </c>
      <c r="C7167" s="29"/>
      <c r="D7167" s="29" t="s">
        <v>4156</v>
      </c>
      <c r="E7167" s="29"/>
      <c r="F7167" s="29" t="s">
        <v>4202</v>
      </c>
      <c r="G7167" s="29"/>
      <c r="H7167" s="29" t="s">
        <v>5205</v>
      </c>
      <c r="I7167" s="29"/>
      <c r="J7167" s="29" t="s">
        <v>5206</v>
      </c>
      <c r="K7167" s="29"/>
      <c r="L7167" s="29" t="s">
        <v>5368</v>
      </c>
      <c r="M7167" s="29"/>
      <c r="N7167" s="29" t="s">
        <v>5767</v>
      </c>
      <c r="O7167" s="29"/>
      <c r="P7167" s="29" t="s">
        <v>5771</v>
      </c>
      <c r="Q7167" t="s">
        <v>2040</v>
      </c>
      <c r="R7167" t="s">
        <v>2632</v>
      </c>
      <c r="S7167">
        <v>36</v>
      </c>
      <c r="T7167" s="43" t="str">
        <f t="shared" si="321"/>
        <v>2020.095B.R.Leviviricetes.zip</v>
      </c>
      <c r="U7167" s="43" t="str">
        <f>HYPERLINK("https://ictv.global/taxonomy/taxondetails?taxnode_id=202210613","ictv.global=202210613")</f>
        <v>ictv.global=202210613</v>
      </c>
    </row>
    <row r="7168" spans="1:21">
      <c r="A7168">
        <v>7167</v>
      </c>
      <c r="B7168" s="29" t="s">
        <v>3223</v>
      </c>
      <c r="C7168" s="29"/>
      <c r="D7168" s="29" t="s">
        <v>4156</v>
      </c>
      <c r="E7168" s="29"/>
      <c r="F7168" s="29" t="s">
        <v>4202</v>
      </c>
      <c r="G7168" s="29"/>
      <c r="H7168" s="29" t="s">
        <v>5205</v>
      </c>
      <c r="I7168" s="29"/>
      <c r="J7168" s="29" t="s">
        <v>5206</v>
      </c>
      <c r="K7168" s="29"/>
      <c r="L7168" s="29" t="s">
        <v>5368</v>
      </c>
      <c r="M7168" s="29"/>
      <c r="N7168" s="29" t="s">
        <v>5772</v>
      </c>
      <c r="O7168" s="29"/>
      <c r="P7168" s="29" t="s">
        <v>5773</v>
      </c>
      <c r="Q7168" t="s">
        <v>2040</v>
      </c>
      <c r="R7168" t="s">
        <v>2632</v>
      </c>
      <c r="S7168">
        <v>36</v>
      </c>
      <c r="T7168" s="43" t="str">
        <f t="shared" si="321"/>
        <v>2020.095B.R.Leviviricetes.zip</v>
      </c>
      <c r="U7168" s="43" t="str">
        <f>HYPERLINK("https://ictv.global/taxonomy/taxondetails?taxnode_id=202210615","ictv.global=202210615")</f>
        <v>ictv.global=202210615</v>
      </c>
    </row>
    <row r="7169" spans="1:21">
      <c r="A7169">
        <v>7168</v>
      </c>
      <c r="B7169" s="29" t="s">
        <v>3223</v>
      </c>
      <c r="C7169" s="29"/>
      <c r="D7169" s="29" t="s">
        <v>4156</v>
      </c>
      <c r="E7169" s="29"/>
      <c r="F7169" s="29" t="s">
        <v>4202</v>
      </c>
      <c r="G7169" s="29"/>
      <c r="H7169" s="29" t="s">
        <v>5205</v>
      </c>
      <c r="I7169" s="29"/>
      <c r="J7169" s="29" t="s">
        <v>5206</v>
      </c>
      <c r="K7169" s="29"/>
      <c r="L7169" s="29" t="s">
        <v>5368</v>
      </c>
      <c r="M7169" s="29"/>
      <c r="N7169" s="29" t="s">
        <v>5774</v>
      </c>
      <c r="O7169" s="29"/>
      <c r="P7169" s="29" t="s">
        <v>5775</v>
      </c>
      <c r="Q7169" t="s">
        <v>2040</v>
      </c>
      <c r="R7169" t="s">
        <v>2632</v>
      </c>
      <c r="S7169">
        <v>36</v>
      </c>
      <c r="T7169" s="43" t="str">
        <f t="shared" si="321"/>
        <v>2020.095B.R.Leviviricetes.zip</v>
      </c>
      <c r="U7169" s="43" t="str">
        <f>HYPERLINK("https://ictv.global/taxonomy/taxondetails?taxnode_id=202210617","ictv.global=202210617")</f>
        <v>ictv.global=202210617</v>
      </c>
    </row>
    <row r="7170" spans="1:21">
      <c r="A7170">
        <v>7169</v>
      </c>
      <c r="B7170" s="29" t="s">
        <v>3223</v>
      </c>
      <c r="C7170" s="29"/>
      <c r="D7170" s="29" t="s">
        <v>4156</v>
      </c>
      <c r="E7170" s="29"/>
      <c r="F7170" s="29" t="s">
        <v>4202</v>
      </c>
      <c r="G7170" s="29"/>
      <c r="H7170" s="29" t="s">
        <v>5205</v>
      </c>
      <c r="I7170" s="29"/>
      <c r="J7170" s="29" t="s">
        <v>5206</v>
      </c>
      <c r="K7170" s="29"/>
      <c r="L7170" s="29" t="s">
        <v>5368</v>
      </c>
      <c r="M7170" s="29"/>
      <c r="N7170" s="29" t="s">
        <v>5774</v>
      </c>
      <c r="O7170" s="29"/>
      <c r="P7170" s="29" t="s">
        <v>5776</v>
      </c>
      <c r="Q7170" t="s">
        <v>2040</v>
      </c>
      <c r="R7170" t="s">
        <v>2632</v>
      </c>
      <c r="S7170">
        <v>36</v>
      </c>
      <c r="T7170" s="43" t="str">
        <f t="shared" si="321"/>
        <v>2020.095B.R.Leviviricetes.zip</v>
      </c>
      <c r="U7170" s="43" t="str">
        <f>HYPERLINK("https://ictv.global/taxonomy/taxondetails?taxnode_id=202210618","ictv.global=202210618")</f>
        <v>ictv.global=202210618</v>
      </c>
    </row>
    <row r="7171" spans="1:21">
      <c r="A7171">
        <v>7170</v>
      </c>
      <c r="B7171" s="29" t="s">
        <v>3223</v>
      </c>
      <c r="C7171" s="29"/>
      <c r="D7171" s="29" t="s">
        <v>4156</v>
      </c>
      <c r="E7171" s="29"/>
      <c r="F7171" s="29" t="s">
        <v>4202</v>
      </c>
      <c r="G7171" s="29"/>
      <c r="H7171" s="29" t="s">
        <v>5205</v>
      </c>
      <c r="I7171" s="29"/>
      <c r="J7171" s="29" t="s">
        <v>5206</v>
      </c>
      <c r="K7171" s="29"/>
      <c r="L7171" s="29" t="s">
        <v>5368</v>
      </c>
      <c r="M7171" s="29"/>
      <c r="N7171" s="29" t="s">
        <v>5777</v>
      </c>
      <c r="O7171" s="29"/>
      <c r="P7171" s="29" t="s">
        <v>5778</v>
      </c>
      <c r="Q7171" t="s">
        <v>2040</v>
      </c>
      <c r="R7171" t="s">
        <v>2632</v>
      </c>
      <c r="S7171">
        <v>36</v>
      </c>
      <c r="T7171" s="43" t="str">
        <f t="shared" si="321"/>
        <v>2020.095B.R.Leviviricetes.zip</v>
      </c>
      <c r="U7171" s="43" t="str">
        <f>HYPERLINK("https://ictv.global/taxonomy/taxondetails?taxnode_id=202210620","ictv.global=202210620")</f>
        <v>ictv.global=202210620</v>
      </c>
    </row>
    <row r="7172" spans="1:21">
      <c r="A7172">
        <v>7171</v>
      </c>
      <c r="B7172" s="29" t="s">
        <v>3223</v>
      </c>
      <c r="C7172" s="29"/>
      <c r="D7172" s="29" t="s">
        <v>4156</v>
      </c>
      <c r="E7172" s="29"/>
      <c r="F7172" s="29" t="s">
        <v>4202</v>
      </c>
      <c r="G7172" s="29"/>
      <c r="H7172" s="29" t="s">
        <v>5205</v>
      </c>
      <c r="I7172" s="29"/>
      <c r="J7172" s="29" t="s">
        <v>5206</v>
      </c>
      <c r="K7172" s="29"/>
      <c r="L7172" s="29" t="s">
        <v>5368</v>
      </c>
      <c r="M7172" s="29"/>
      <c r="N7172" s="29" t="s">
        <v>5779</v>
      </c>
      <c r="O7172" s="29"/>
      <c r="P7172" s="29" t="s">
        <v>5780</v>
      </c>
      <c r="Q7172" t="s">
        <v>2040</v>
      </c>
      <c r="R7172" t="s">
        <v>2632</v>
      </c>
      <c r="S7172">
        <v>36</v>
      </c>
      <c r="T7172" s="43" t="str">
        <f t="shared" si="321"/>
        <v>2020.095B.R.Leviviricetes.zip</v>
      </c>
      <c r="U7172" s="43" t="str">
        <f>HYPERLINK("https://ictv.global/taxonomy/taxondetails?taxnode_id=202210622","ictv.global=202210622")</f>
        <v>ictv.global=202210622</v>
      </c>
    </row>
    <row r="7173" spans="1:21">
      <c r="A7173">
        <v>7172</v>
      </c>
      <c r="B7173" s="29" t="s">
        <v>3223</v>
      </c>
      <c r="C7173" s="29"/>
      <c r="D7173" s="29" t="s">
        <v>4156</v>
      </c>
      <c r="E7173" s="29"/>
      <c r="F7173" s="29" t="s">
        <v>4202</v>
      </c>
      <c r="G7173" s="29"/>
      <c r="H7173" s="29" t="s">
        <v>5205</v>
      </c>
      <c r="I7173" s="29"/>
      <c r="J7173" s="29" t="s">
        <v>5206</v>
      </c>
      <c r="K7173" s="29"/>
      <c r="L7173" s="29" t="s">
        <v>5368</v>
      </c>
      <c r="M7173" s="29"/>
      <c r="N7173" s="29" t="s">
        <v>5781</v>
      </c>
      <c r="O7173" s="29"/>
      <c r="P7173" s="29" t="s">
        <v>5782</v>
      </c>
      <c r="Q7173" t="s">
        <v>2040</v>
      </c>
      <c r="R7173" t="s">
        <v>2632</v>
      </c>
      <c r="S7173">
        <v>36</v>
      </c>
      <c r="T7173" s="43" t="str">
        <f t="shared" si="321"/>
        <v>2020.095B.R.Leviviricetes.zip</v>
      </c>
      <c r="U7173" s="43" t="str">
        <f>HYPERLINK("https://ictv.global/taxonomy/taxondetails?taxnode_id=202210624","ictv.global=202210624")</f>
        <v>ictv.global=202210624</v>
      </c>
    </row>
    <row r="7174" spans="1:21">
      <c r="A7174">
        <v>7173</v>
      </c>
      <c r="B7174" s="29" t="s">
        <v>3223</v>
      </c>
      <c r="C7174" s="29"/>
      <c r="D7174" s="29" t="s">
        <v>4156</v>
      </c>
      <c r="E7174" s="29"/>
      <c r="F7174" s="29" t="s">
        <v>4202</v>
      </c>
      <c r="G7174" s="29"/>
      <c r="H7174" s="29" t="s">
        <v>5205</v>
      </c>
      <c r="I7174" s="29"/>
      <c r="J7174" s="29" t="s">
        <v>5206</v>
      </c>
      <c r="K7174" s="29"/>
      <c r="L7174" s="29" t="s">
        <v>5368</v>
      </c>
      <c r="M7174" s="29"/>
      <c r="N7174" s="29" t="s">
        <v>5783</v>
      </c>
      <c r="O7174" s="29"/>
      <c r="P7174" s="29" t="s">
        <v>5784</v>
      </c>
      <c r="Q7174" t="s">
        <v>2040</v>
      </c>
      <c r="R7174" t="s">
        <v>2632</v>
      </c>
      <c r="S7174">
        <v>36</v>
      </c>
      <c r="T7174" s="43" t="str">
        <f t="shared" si="321"/>
        <v>2020.095B.R.Leviviricetes.zip</v>
      </c>
      <c r="U7174" s="43" t="str">
        <f>HYPERLINK("https://ictv.global/taxonomy/taxondetails?taxnode_id=202210626","ictv.global=202210626")</f>
        <v>ictv.global=202210626</v>
      </c>
    </row>
    <row r="7175" spans="1:21">
      <c r="A7175">
        <v>7174</v>
      </c>
      <c r="B7175" s="29" t="s">
        <v>3223</v>
      </c>
      <c r="C7175" s="29"/>
      <c r="D7175" s="29" t="s">
        <v>4156</v>
      </c>
      <c r="E7175" s="29"/>
      <c r="F7175" s="29" t="s">
        <v>4202</v>
      </c>
      <c r="G7175" s="29"/>
      <c r="H7175" s="29" t="s">
        <v>5205</v>
      </c>
      <c r="I7175" s="29"/>
      <c r="J7175" s="29" t="s">
        <v>5206</v>
      </c>
      <c r="K7175" s="29"/>
      <c r="L7175" s="29" t="s">
        <v>5368</v>
      </c>
      <c r="M7175" s="29"/>
      <c r="N7175" s="29" t="s">
        <v>5785</v>
      </c>
      <c r="O7175" s="29"/>
      <c r="P7175" s="29" t="s">
        <v>5786</v>
      </c>
      <c r="Q7175" t="s">
        <v>2040</v>
      </c>
      <c r="R7175" t="s">
        <v>2632</v>
      </c>
      <c r="S7175">
        <v>36</v>
      </c>
      <c r="T7175" s="43" t="str">
        <f t="shared" si="321"/>
        <v>2020.095B.R.Leviviricetes.zip</v>
      </c>
      <c r="U7175" s="43" t="str">
        <f>HYPERLINK("https://ictv.global/taxonomy/taxondetails?taxnode_id=202210629","ictv.global=202210629")</f>
        <v>ictv.global=202210629</v>
      </c>
    </row>
    <row r="7176" spans="1:21">
      <c r="A7176">
        <v>7175</v>
      </c>
      <c r="B7176" s="29" t="s">
        <v>3223</v>
      </c>
      <c r="C7176" s="29"/>
      <c r="D7176" s="29" t="s">
        <v>4156</v>
      </c>
      <c r="E7176" s="29"/>
      <c r="F7176" s="29" t="s">
        <v>4202</v>
      </c>
      <c r="G7176" s="29"/>
      <c r="H7176" s="29" t="s">
        <v>5205</v>
      </c>
      <c r="I7176" s="29"/>
      <c r="J7176" s="29" t="s">
        <v>5206</v>
      </c>
      <c r="K7176" s="29"/>
      <c r="L7176" s="29" t="s">
        <v>5368</v>
      </c>
      <c r="M7176" s="29"/>
      <c r="N7176" s="29" t="s">
        <v>5785</v>
      </c>
      <c r="O7176" s="29"/>
      <c r="P7176" s="29" t="s">
        <v>5787</v>
      </c>
      <c r="Q7176" t="s">
        <v>2040</v>
      </c>
      <c r="R7176" t="s">
        <v>2632</v>
      </c>
      <c r="S7176">
        <v>36</v>
      </c>
      <c r="T7176" s="43" t="str">
        <f t="shared" si="321"/>
        <v>2020.095B.R.Leviviricetes.zip</v>
      </c>
      <c r="U7176" s="43" t="str">
        <f>HYPERLINK("https://ictv.global/taxonomy/taxondetails?taxnode_id=202210630","ictv.global=202210630")</f>
        <v>ictv.global=202210630</v>
      </c>
    </row>
    <row r="7177" spans="1:21">
      <c r="A7177">
        <v>7176</v>
      </c>
      <c r="B7177" s="29" t="s">
        <v>3223</v>
      </c>
      <c r="C7177" s="29"/>
      <c r="D7177" s="29" t="s">
        <v>4156</v>
      </c>
      <c r="E7177" s="29"/>
      <c r="F7177" s="29" t="s">
        <v>4202</v>
      </c>
      <c r="G7177" s="29"/>
      <c r="H7177" s="29" t="s">
        <v>5205</v>
      </c>
      <c r="I7177" s="29"/>
      <c r="J7177" s="29" t="s">
        <v>5206</v>
      </c>
      <c r="K7177" s="29"/>
      <c r="L7177" s="29" t="s">
        <v>5368</v>
      </c>
      <c r="M7177" s="29"/>
      <c r="N7177" s="29" t="s">
        <v>5785</v>
      </c>
      <c r="O7177" s="29"/>
      <c r="P7177" s="29" t="s">
        <v>5788</v>
      </c>
      <c r="Q7177" t="s">
        <v>2040</v>
      </c>
      <c r="R7177" t="s">
        <v>2632</v>
      </c>
      <c r="S7177">
        <v>36</v>
      </c>
      <c r="T7177" s="43" t="str">
        <f t="shared" si="321"/>
        <v>2020.095B.R.Leviviricetes.zip</v>
      </c>
      <c r="U7177" s="43" t="str">
        <f>HYPERLINK("https://ictv.global/taxonomy/taxondetails?taxnode_id=202210628","ictv.global=202210628")</f>
        <v>ictv.global=202210628</v>
      </c>
    </row>
    <row r="7178" spans="1:21">
      <c r="A7178">
        <v>7177</v>
      </c>
      <c r="B7178" s="29" t="s">
        <v>3223</v>
      </c>
      <c r="C7178" s="29"/>
      <c r="D7178" s="29" t="s">
        <v>4156</v>
      </c>
      <c r="E7178" s="29"/>
      <c r="F7178" s="29" t="s">
        <v>4202</v>
      </c>
      <c r="G7178" s="29"/>
      <c r="H7178" s="29" t="s">
        <v>5205</v>
      </c>
      <c r="I7178" s="29"/>
      <c r="J7178" s="29" t="s">
        <v>5206</v>
      </c>
      <c r="K7178" s="29"/>
      <c r="L7178" s="29" t="s">
        <v>5368</v>
      </c>
      <c r="M7178" s="29"/>
      <c r="N7178" s="29" t="s">
        <v>5789</v>
      </c>
      <c r="O7178" s="29"/>
      <c r="P7178" s="29" t="s">
        <v>5790</v>
      </c>
      <c r="Q7178" t="s">
        <v>2040</v>
      </c>
      <c r="R7178" t="s">
        <v>2632</v>
      </c>
      <c r="S7178">
        <v>36</v>
      </c>
      <c r="T7178" s="43" t="str">
        <f t="shared" si="321"/>
        <v>2020.095B.R.Leviviricetes.zip</v>
      </c>
      <c r="U7178" s="43" t="str">
        <f>HYPERLINK("https://ictv.global/taxonomy/taxondetails?taxnode_id=202210632","ictv.global=202210632")</f>
        <v>ictv.global=202210632</v>
      </c>
    </row>
    <row r="7179" spans="1:21">
      <c r="A7179">
        <v>7178</v>
      </c>
      <c r="B7179" s="29" t="s">
        <v>3223</v>
      </c>
      <c r="C7179" s="29"/>
      <c r="D7179" s="29" t="s">
        <v>4156</v>
      </c>
      <c r="E7179" s="29"/>
      <c r="F7179" s="29" t="s">
        <v>4202</v>
      </c>
      <c r="G7179" s="29"/>
      <c r="H7179" s="29" t="s">
        <v>5205</v>
      </c>
      <c r="I7179" s="29"/>
      <c r="J7179" s="29" t="s">
        <v>5206</v>
      </c>
      <c r="K7179" s="29"/>
      <c r="L7179" s="29" t="s">
        <v>5368</v>
      </c>
      <c r="M7179" s="29"/>
      <c r="N7179" s="29" t="s">
        <v>5791</v>
      </c>
      <c r="O7179" s="29"/>
      <c r="P7179" s="29" t="s">
        <v>5792</v>
      </c>
      <c r="Q7179" t="s">
        <v>2040</v>
      </c>
      <c r="R7179" t="s">
        <v>2632</v>
      </c>
      <c r="S7179">
        <v>36</v>
      </c>
      <c r="T7179" s="43" t="str">
        <f t="shared" si="321"/>
        <v>2020.095B.R.Leviviricetes.zip</v>
      </c>
      <c r="U7179" s="43" t="str">
        <f>HYPERLINK("https://ictv.global/taxonomy/taxondetails?taxnode_id=202210634","ictv.global=202210634")</f>
        <v>ictv.global=202210634</v>
      </c>
    </row>
    <row r="7180" spans="1:21">
      <c r="A7180">
        <v>7179</v>
      </c>
      <c r="B7180" s="29" t="s">
        <v>3223</v>
      </c>
      <c r="C7180" s="29"/>
      <c r="D7180" s="29" t="s">
        <v>4156</v>
      </c>
      <c r="E7180" s="29"/>
      <c r="F7180" s="29" t="s">
        <v>4202</v>
      </c>
      <c r="G7180" s="29"/>
      <c r="H7180" s="29" t="s">
        <v>5205</v>
      </c>
      <c r="I7180" s="29"/>
      <c r="J7180" s="29" t="s">
        <v>5206</v>
      </c>
      <c r="K7180" s="29"/>
      <c r="L7180" s="29" t="s">
        <v>5368</v>
      </c>
      <c r="M7180" s="29"/>
      <c r="N7180" s="29" t="s">
        <v>5793</v>
      </c>
      <c r="O7180" s="29"/>
      <c r="P7180" s="29" t="s">
        <v>5794</v>
      </c>
      <c r="Q7180" t="s">
        <v>2040</v>
      </c>
      <c r="R7180" t="s">
        <v>2632</v>
      </c>
      <c r="S7180">
        <v>36</v>
      </c>
      <c r="T7180" s="43" t="str">
        <f t="shared" si="321"/>
        <v>2020.095B.R.Leviviricetes.zip</v>
      </c>
      <c r="U7180" s="43" t="str">
        <f>HYPERLINK("https://ictv.global/taxonomy/taxondetails?taxnode_id=202210636","ictv.global=202210636")</f>
        <v>ictv.global=202210636</v>
      </c>
    </row>
    <row r="7181" spans="1:21">
      <c r="A7181">
        <v>7180</v>
      </c>
      <c r="B7181" s="29" t="s">
        <v>3223</v>
      </c>
      <c r="C7181" s="29"/>
      <c r="D7181" s="29" t="s">
        <v>4156</v>
      </c>
      <c r="E7181" s="29"/>
      <c r="F7181" s="29" t="s">
        <v>4202</v>
      </c>
      <c r="G7181" s="29"/>
      <c r="H7181" s="29" t="s">
        <v>5205</v>
      </c>
      <c r="I7181" s="29"/>
      <c r="J7181" s="29" t="s">
        <v>5206</v>
      </c>
      <c r="K7181" s="29"/>
      <c r="L7181" s="29" t="s">
        <v>5368</v>
      </c>
      <c r="M7181" s="29"/>
      <c r="N7181" s="29" t="s">
        <v>5795</v>
      </c>
      <c r="O7181" s="29"/>
      <c r="P7181" s="29" t="s">
        <v>5796</v>
      </c>
      <c r="Q7181" t="s">
        <v>2040</v>
      </c>
      <c r="R7181" t="s">
        <v>2632</v>
      </c>
      <c r="S7181">
        <v>36</v>
      </c>
      <c r="T7181" s="43" t="str">
        <f t="shared" si="321"/>
        <v>2020.095B.R.Leviviricetes.zip</v>
      </c>
      <c r="U7181" s="43" t="str">
        <f>HYPERLINK("https://ictv.global/taxonomy/taxondetails?taxnode_id=202210638","ictv.global=202210638")</f>
        <v>ictv.global=202210638</v>
      </c>
    </row>
    <row r="7182" spans="1:21">
      <c r="A7182">
        <v>7181</v>
      </c>
      <c r="B7182" s="29" t="s">
        <v>3223</v>
      </c>
      <c r="C7182" s="29"/>
      <c r="D7182" s="29" t="s">
        <v>4156</v>
      </c>
      <c r="E7182" s="29"/>
      <c r="F7182" s="29" t="s">
        <v>4202</v>
      </c>
      <c r="G7182" s="29"/>
      <c r="H7182" s="29" t="s">
        <v>5205</v>
      </c>
      <c r="I7182" s="29"/>
      <c r="J7182" s="29" t="s">
        <v>5206</v>
      </c>
      <c r="K7182" s="29"/>
      <c r="L7182" s="29" t="s">
        <v>5368</v>
      </c>
      <c r="M7182" s="29"/>
      <c r="N7182" s="29" t="s">
        <v>5797</v>
      </c>
      <c r="O7182" s="29"/>
      <c r="P7182" s="29" t="s">
        <v>5798</v>
      </c>
      <c r="Q7182" t="s">
        <v>2040</v>
      </c>
      <c r="R7182" t="s">
        <v>2632</v>
      </c>
      <c r="S7182">
        <v>36</v>
      </c>
      <c r="T7182" s="43" t="str">
        <f t="shared" si="321"/>
        <v>2020.095B.R.Leviviricetes.zip</v>
      </c>
      <c r="U7182" s="43" t="str">
        <f>HYPERLINK("https://ictv.global/taxonomy/taxondetails?taxnode_id=202210640","ictv.global=202210640")</f>
        <v>ictv.global=202210640</v>
      </c>
    </row>
    <row r="7183" spans="1:21">
      <c r="A7183">
        <v>7182</v>
      </c>
      <c r="B7183" s="29" t="s">
        <v>3223</v>
      </c>
      <c r="C7183" s="29"/>
      <c r="D7183" s="29" t="s">
        <v>4156</v>
      </c>
      <c r="E7183" s="29"/>
      <c r="F7183" s="29" t="s">
        <v>4202</v>
      </c>
      <c r="G7183" s="29"/>
      <c r="H7183" s="29" t="s">
        <v>5205</v>
      </c>
      <c r="I7183" s="29"/>
      <c r="J7183" s="29" t="s">
        <v>5206</v>
      </c>
      <c r="K7183" s="29"/>
      <c r="L7183" s="29" t="s">
        <v>5368</v>
      </c>
      <c r="M7183" s="29"/>
      <c r="N7183" s="29" t="s">
        <v>5799</v>
      </c>
      <c r="O7183" s="29"/>
      <c r="P7183" s="29" t="s">
        <v>5800</v>
      </c>
      <c r="Q7183" t="s">
        <v>2040</v>
      </c>
      <c r="R7183" t="s">
        <v>2632</v>
      </c>
      <c r="S7183">
        <v>36</v>
      </c>
      <c r="T7183" s="43" t="str">
        <f t="shared" si="321"/>
        <v>2020.095B.R.Leviviricetes.zip</v>
      </c>
      <c r="U7183" s="43" t="str">
        <f>HYPERLINK("https://ictv.global/taxonomy/taxondetails?taxnode_id=202210642","ictv.global=202210642")</f>
        <v>ictv.global=202210642</v>
      </c>
    </row>
    <row r="7184" spans="1:21">
      <c r="A7184">
        <v>7183</v>
      </c>
      <c r="B7184" s="29" t="s">
        <v>3223</v>
      </c>
      <c r="C7184" s="29"/>
      <c r="D7184" s="29" t="s">
        <v>4156</v>
      </c>
      <c r="E7184" s="29"/>
      <c r="F7184" s="29" t="s">
        <v>4202</v>
      </c>
      <c r="G7184" s="29"/>
      <c r="H7184" s="29" t="s">
        <v>5205</v>
      </c>
      <c r="I7184" s="29"/>
      <c r="J7184" s="29" t="s">
        <v>5206</v>
      </c>
      <c r="K7184" s="29"/>
      <c r="L7184" s="29" t="s">
        <v>5368</v>
      </c>
      <c r="M7184" s="29"/>
      <c r="N7184" s="29" t="s">
        <v>5801</v>
      </c>
      <c r="O7184" s="29"/>
      <c r="P7184" s="29" t="s">
        <v>5802</v>
      </c>
      <c r="Q7184" t="s">
        <v>2040</v>
      </c>
      <c r="R7184" t="s">
        <v>2632</v>
      </c>
      <c r="S7184">
        <v>36</v>
      </c>
      <c r="T7184" s="43" t="str">
        <f t="shared" si="321"/>
        <v>2020.095B.R.Leviviricetes.zip</v>
      </c>
      <c r="U7184" s="43" t="str">
        <f>HYPERLINK("https://ictv.global/taxonomy/taxondetails?taxnode_id=202210644","ictv.global=202210644")</f>
        <v>ictv.global=202210644</v>
      </c>
    </row>
    <row r="7185" spans="1:21">
      <c r="A7185">
        <v>7184</v>
      </c>
      <c r="B7185" s="29" t="s">
        <v>3223</v>
      </c>
      <c r="C7185" s="29"/>
      <c r="D7185" s="29" t="s">
        <v>4156</v>
      </c>
      <c r="E7185" s="29"/>
      <c r="F7185" s="29" t="s">
        <v>4202</v>
      </c>
      <c r="G7185" s="29"/>
      <c r="H7185" s="29" t="s">
        <v>5205</v>
      </c>
      <c r="I7185" s="29"/>
      <c r="J7185" s="29" t="s">
        <v>5206</v>
      </c>
      <c r="K7185" s="29"/>
      <c r="L7185" s="29" t="s">
        <v>5368</v>
      </c>
      <c r="M7185" s="29"/>
      <c r="N7185" s="29" t="s">
        <v>5803</v>
      </c>
      <c r="O7185" s="29"/>
      <c r="P7185" s="29" t="s">
        <v>5804</v>
      </c>
      <c r="Q7185" t="s">
        <v>2040</v>
      </c>
      <c r="R7185" t="s">
        <v>2632</v>
      </c>
      <c r="S7185">
        <v>36</v>
      </c>
      <c r="T7185" s="43" t="str">
        <f t="shared" si="321"/>
        <v>2020.095B.R.Leviviricetes.zip</v>
      </c>
      <c r="U7185" s="43" t="str">
        <f>HYPERLINK("https://ictv.global/taxonomy/taxondetails?taxnode_id=202210646","ictv.global=202210646")</f>
        <v>ictv.global=202210646</v>
      </c>
    </row>
    <row r="7186" spans="1:21">
      <c r="A7186">
        <v>7185</v>
      </c>
      <c r="B7186" s="29" t="s">
        <v>3223</v>
      </c>
      <c r="C7186" s="29"/>
      <c r="D7186" s="29" t="s">
        <v>4156</v>
      </c>
      <c r="E7186" s="29"/>
      <c r="F7186" s="29" t="s">
        <v>4202</v>
      </c>
      <c r="G7186" s="29"/>
      <c r="H7186" s="29" t="s">
        <v>5205</v>
      </c>
      <c r="I7186" s="29"/>
      <c r="J7186" s="29" t="s">
        <v>5206</v>
      </c>
      <c r="K7186" s="29"/>
      <c r="L7186" s="29" t="s">
        <v>5368</v>
      </c>
      <c r="M7186" s="29"/>
      <c r="N7186" s="29" t="s">
        <v>5805</v>
      </c>
      <c r="O7186" s="29"/>
      <c r="P7186" s="29" t="s">
        <v>5806</v>
      </c>
      <c r="Q7186" t="s">
        <v>2040</v>
      </c>
      <c r="R7186" t="s">
        <v>2632</v>
      </c>
      <c r="S7186">
        <v>36</v>
      </c>
      <c r="T7186" s="43" t="str">
        <f t="shared" si="321"/>
        <v>2020.095B.R.Leviviricetes.zip</v>
      </c>
      <c r="U7186" s="43" t="str">
        <f>HYPERLINK("https://ictv.global/taxonomy/taxondetails?taxnode_id=202210648","ictv.global=202210648")</f>
        <v>ictv.global=202210648</v>
      </c>
    </row>
    <row r="7187" spans="1:21">
      <c r="A7187">
        <v>7186</v>
      </c>
      <c r="B7187" s="29" t="s">
        <v>3223</v>
      </c>
      <c r="C7187" s="29"/>
      <c r="D7187" s="29" t="s">
        <v>4156</v>
      </c>
      <c r="E7187" s="29"/>
      <c r="F7187" s="29" t="s">
        <v>4202</v>
      </c>
      <c r="G7187" s="29"/>
      <c r="H7187" s="29" t="s">
        <v>5205</v>
      </c>
      <c r="I7187" s="29"/>
      <c r="J7187" s="29" t="s">
        <v>5206</v>
      </c>
      <c r="K7187" s="29"/>
      <c r="L7187" s="29" t="s">
        <v>5368</v>
      </c>
      <c r="M7187" s="29"/>
      <c r="N7187" s="29" t="s">
        <v>5807</v>
      </c>
      <c r="O7187" s="29"/>
      <c r="P7187" s="29" t="s">
        <v>5808</v>
      </c>
      <c r="Q7187" t="s">
        <v>2040</v>
      </c>
      <c r="R7187" t="s">
        <v>2632</v>
      </c>
      <c r="S7187">
        <v>36</v>
      </c>
      <c r="T7187" s="43" t="str">
        <f t="shared" si="321"/>
        <v>2020.095B.R.Leviviricetes.zip</v>
      </c>
      <c r="U7187" s="43" t="str">
        <f>HYPERLINK("https://ictv.global/taxonomy/taxondetails?taxnode_id=202210650","ictv.global=202210650")</f>
        <v>ictv.global=202210650</v>
      </c>
    </row>
    <row r="7188" spans="1:21">
      <c r="A7188">
        <v>7187</v>
      </c>
      <c r="B7188" s="29" t="s">
        <v>3223</v>
      </c>
      <c r="C7188" s="29"/>
      <c r="D7188" s="29" t="s">
        <v>4156</v>
      </c>
      <c r="E7188" s="29"/>
      <c r="F7188" s="29" t="s">
        <v>4202</v>
      </c>
      <c r="G7188" s="29"/>
      <c r="H7188" s="29" t="s">
        <v>5205</v>
      </c>
      <c r="I7188" s="29"/>
      <c r="J7188" s="29" t="s">
        <v>5206</v>
      </c>
      <c r="K7188" s="29"/>
      <c r="L7188" s="29" t="s">
        <v>5368</v>
      </c>
      <c r="M7188" s="29"/>
      <c r="N7188" s="29" t="s">
        <v>5809</v>
      </c>
      <c r="O7188" s="29"/>
      <c r="P7188" s="29" t="s">
        <v>5810</v>
      </c>
      <c r="Q7188" t="s">
        <v>2040</v>
      </c>
      <c r="R7188" t="s">
        <v>2632</v>
      </c>
      <c r="S7188">
        <v>36</v>
      </c>
      <c r="T7188" s="43" t="str">
        <f t="shared" si="321"/>
        <v>2020.095B.R.Leviviricetes.zip</v>
      </c>
      <c r="U7188" s="43" t="str">
        <f>HYPERLINK("https://ictv.global/taxonomy/taxondetails?taxnode_id=202210652","ictv.global=202210652")</f>
        <v>ictv.global=202210652</v>
      </c>
    </row>
    <row r="7189" spans="1:21">
      <c r="A7189">
        <v>7188</v>
      </c>
      <c r="B7189" s="29" t="s">
        <v>3223</v>
      </c>
      <c r="C7189" s="29"/>
      <c r="D7189" s="29" t="s">
        <v>4156</v>
      </c>
      <c r="E7189" s="29"/>
      <c r="F7189" s="29" t="s">
        <v>4202</v>
      </c>
      <c r="G7189" s="29"/>
      <c r="H7189" s="29" t="s">
        <v>5205</v>
      </c>
      <c r="I7189" s="29"/>
      <c r="J7189" s="29" t="s">
        <v>5206</v>
      </c>
      <c r="K7189" s="29"/>
      <c r="L7189" s="29" t="s">
        <v>5368</v>
      </c>
      <c r="M7189" s="29"/>
      <c r="N7189" s="29" t="s">
        <v>5811</v>
      </c>
      <c r="O7189" s="29"/>
      <c r="P7189" s="29" t="s">
        <v>5812</v>
      </c>
      <c r="Q7189" t="s">
        <v>2040</v>
      </c>
      <c r="R7189" t="s">
        <v>2632</v>
      </c>
      <c r="S7189">
        <v>36</v>
      </c>
      <c r="T7189" s="43" t="str">
        <f t="shared" si="321"/>
        <v>2020.095B.R.Leviviricetes.zip</v>
      </c>
      <c r="U7189" s="43" t="str">
        <f>HYPERLINK("https://ictv.global/taxonomy/taxondetails?taxnode_id=202210654","ictv.global=202210654")</f>
        <v>ictv.global=202210654</v>
      </c>
    </row>
    <row r="7190" spans="1:21">
      <c r="A7190">
        <v>7189</v>
      </c>
      <c r="B7190" s="29" t="s">
        <v>3223</v>
      </c>
      <c r="C7190" s="29"/>
      <c r="D7190" s="29" t="s">
        <v>4156</v>
      </c>
      <c r="E7190" s="29"/>
      <c r="F7190" s="29" t="s">
        <v>4202</v>
      </c>
      <c r="G7190" s="29"/>
      <c r="H7190" s="29" t="s">
        <v>5205</v>
      </c>
      <c r="I7190" s="29"/>
      <c r="J7190" s="29" t="s">
        <v>5206</v>
      </c>
      <c r="K7190" s="29"/>
      <c r="L7190" s="29" t="s">
        <v>5368</v>
      </c>
      <c r="M7190" s="29"/>
      <c r="N7190" s="29" t="s">
        <v>5813</v>
      </c>
      <c r="O7190" s="29"/>
      <c r="P7190" s="29" t="s">
        <v>5814</v>
      </c>
      <c r="Q7190" t="s">
        <v>2040</v>
      </c>
      <c r="R7190" t="s">
        <v>2632</v>
      </c>
      <c r="S7190">
        <v>36</v>
      </c>
      <c r="T7190" s="43" t="str">
        <f t="shared" si="321"/>
        <v>2020.095B.R.Leviviricetes.zip</v>
      </c>
      <c r="U7190" s="43" t="str">
        <f>HYPERLINK("https://ictv.global/taxonomy/taxondetails?taxnode_id=202210656","ictv.global=202210656")</f>
        <v>ictv.global=202210656</v>
      </c>
    </row>
    <row r="7191" spans="1:21">
      <c r="A7191">
        <v>7190</v>
      </c>
      <c r="B7191" s="29" t="s">
        <v>3223</v>
      </c>
      <c r="C7191" s="29"/>
      <c r="D7191" s="29" t="s">
        <v>4156</v>
      </c>
      <c r="E7191" s="29"/>
      <c r="F7191" s="29" t="s">
        <v>4202</v>
      </c>
      <c r="G7191" s="29"/>
      <c r="H7191" s="29" t="s">
        <v>5205</v>
      </c>
      <c r="I7191" s="29"/>
      <c r="J7191" s="29" t="s">
        <v>5206</v>
      </c>
      <c r="K7191" s="29"/>
      <c r="L7191" s="29" t="s">
        <v>5368</v>
      </c>
      <c r="M7191" s="29"/>
      <c r="N7191" s="29" t="s">
        <v>5815</v>
      </c>
      <c r="O7191" s="29"/>
      <c r="P7191" s="29" t="s">
        <v>5816</v>
      </c>
      <c r="Q7191" t="s">
        <v>2040</v>
      </c>
      <c r="R7191" t="s">
        <v>2632</v>
      </c>
      <c r="S7191">
        <v>36</v>
      </c>
      <c r="T7191" s="43" t="str">
        <f t="shared" si="321"/>
        <v>2020.095B.R.Leviviricetes.zip</v>
      </c>
      <c r="U7191" s="43" t="str">
        <f>HYPERLINK("https://ictv.global/taxonomy/taxondetails?taxnode_id=202210658","ictv.global=202210658")</f>
        <v>ictv.global=202210658</v>
      </c>
    </row>
    <row r="7192" spans="1:21">
      <c r="A7192">
        <v>7191</v>
      </c>
      <c r="B7192" s="29" t="s">
        <v>3223</v>
      </c>
      <c r="C7192" s="29"/>
      <c r="D7192" s="29" t="s">
        <v>4156</v>
      </c>
      <c r="E7192" s="29"/>
      <c r="F7192" s="29" t="s">
        <v>4202</v>
      </c>
      <c r="G7192" s="29"/>
      <c r="H7192" s="29" t="s">
        <v>5205</v>
      </c>
      <c r="I7192" s="29"/>
      <c r="J7192" s="29" t="s">
        <v>5206</v>
      </c>
      <c r="K7192" s="29"/>
      <c r="L7192" s="29" t="s">
        <v>5368</v>
      </c>
      <c r="M7192" s="29"/>
      <c r="N7192" s="29" t="s">
        <v>5817</v>
      </c>
      <c r="O7192" s="29"/>
      <c r="P7192" s="29" t="s">
        <v>5818</v>
      </c>
      <c r="Q7192" t="s">
        <v>2040</v>
      </c>
      <c r="R7192" t="s">
        <v>2632</v>
      </c>
      <c r="S7192">
        <v>36</v>
      </c>
      <c r="T7192" s="43" t="str">
        <f t="shared" si="321"/>
        <v>2020.095B.R.Leviviricetes.zip</v>
      </c>
      <c r="U7192" s="43" t="str">
        <f>HYPERLINK("https://ictv.global/taxonomy/taxondetails?taxnode_id=202210660","ictv.global=202210660")</f>
        <v>ictv.global=202210660</v>
      </c>
    </row>
    <row r="7193" spans="1:21">
      <c r="A7193">
        <v>7192</v>
      </c>
      <c r="B7193" s="29" t="s">
        <v>3223</v>
      </c>
      <c r="C7193" s="29"/>
      <c r="D7193" s="29" t="s">
        <v>4156</v>
      </c>
      <c r="E7193" s="29"/>
      <c r="F7193" s="29" t="s">
        <v>4202</v>
      </c>
      <c r="G7193" s="29"/>
      <c r="H7193" s="29" t="s">
        <v>5205</v>
      </c>
      <c r="I7193" s="29"/>
      <c r="J7193" s="29" t="s">
        <v>5206</v>
      </c>
      <c r="K7193" s="29"/>
      <c r="L7193" s="29" t="s">
        <v>5368</v>
      </c>
      <c r="M7193" s="29"/>
      <c r="N7193" s="29" t="s">
        <v>5819</v>
      </c>
      <c r="O7193" s="29"/>
      <c r="P7193" s="29" t="s">
        <v>5820</v>
      </c>
      <c r="Q7193" t="s">
        <v>2040</v>
      </c>
      <c r="R7193" t="s">
        <v>2632</v>
      </c>
      <c r="S7193">
        <v>36</v>
      </c>
      <c r="T7193" s="43" t="str">
        <f t="shared" si="321"/>
        <v>2020.095B.R.Leviviricetes.zip</v>
      </c>
      <c r="U7193" s="43" t="str">
        <f>HYPERLINK("https://ictv.global/taxonomy/taxondetails?taxnode_id=202210662","ictv.global=202210662")</f>
        <v>ictv.global=202210662</v>
      </c>
    </row>
    <row r="7194" spans="1:21">
      <c r="A7194">
        <v>7193</v>
      </c>
      <c r="B7194" s="29" t="s">
        <v>3223</v>
      </c>
      <c r="C7194" s="29"/>
      <c r="D7194" s="29" t="s">
        <v>4156</v>
      </c>
      <c r="E7194" s="29"/>
      <c r="F7194" s="29" t="s">
        <v>4202</v>
      </c>
      <c r="G7194" s="29"/>
      <c r="H7194" s="29" t="s">
        <v>5205</v>
      </c>
      <c r="I7194" s="29"/>
      <c r="J7194" s="29" t="s">
        <v>5206</v>
      </c>
      <c r="K7194" s="29"/>
      <c r="L7194" s="29" t="s">
        <v>5368</v>
      </c>
      <c r="M7194" s="29"/>
      <c r="N7194" s="29" t="s">
        <v>5821</v>
      </c>
      <c r="O7194" s="29"/>
      <c r="P7194" s="29" t="s">
        <v>5822</v>
      </c>
      <c r="Q7194" t="s">
        <v>2040</v>
      </c>
      <c r="R7194" t="s">
        <v>2632</v>
      </c>
      <c r="S7194">
        <v>36</v>
      </c>
      <c r="T7194" s="43" t="str">
        <f t="shared" si="321"/>
        <v>2020.095B.R.Leviviricetes.zip</v>
      </c>
      <c r="U7194" s="43" t="str">
        <f>HYPERLINK("https://ictv.global/taxonomy/taxondetails?taxnode_id=202210664","ictv.global=202210664")</f>
        <v>ictv.global=202210664</v>
      </c>
    </row>
    <row r="7195" spans="1:21">
      <c r="A7195">
        <v>7194</v>
      </c>
      <c r="B7195" s="29" t="s">
        <v>3223</v>
      </c>
      <c r="C7195" s="29"/>
      <c r="D7195" s="29" t="s">
        <v>4156</v>
      </c>
      <c r="E7195" s="29"/>
      <c r="F7195" s="29" t="s">
        <v>4202</v>
      </c>
      <c r="G7195" s="29"/>
      <c r="H7195" s="29" t="s">
        <v>5205</v>
      </c>
      <c r="I7195" s="29"/>
      <c r="J7195" s="29" t="s">
        <v>5206</v>
      </c>
      <c r="K7195" s="29"/>
      <c r="L7195" s="29" t="s">
        <v>5368</v>
      </c>
      <c r="M7195" s="29"/>
      <c r="N7195" s="29" t="s">
        <v>5821</v>
      </c>
      <c r="O7195" s="29"/>
      <c r="P7195" s="29" t="s">
        <v>5823</v>
      </c>
      <c r="Q7195" t="s">
        <v>2040</v>
      </c>
      <c r="R7195" t="s">
        <v>2632</v>
      </c>
      <c r="S7195">
        <v>36</v>
      </c>
      <c r="T7195" s="43" t="str">
        <f t="shared" si="321"/>
        <v>2020.095B.R.Leviviricetes.zip</v>
      </c>
      <c r="U7195" s="43" t="str">
        <f>HYPERLINK("https://ictv.global/taxonomy/taxondetails?taxnode_id=202210665","ictv.global=202210665")</f>
        <v>ictv.global=202210665</v>
      </c>
    </row>
    <row r="7196" spans="1:21">
      <c r="A7196">
        <v>7195</v>
      </c>
      <c r="B7196" s="29" t="s">
        <v>3223</v>
      </c>
      <c r="C7196" s="29"/>
      <c r="D7196" s="29" t="s">
        <v>4156</v>
      </c>
      <c r="E7196" s="29"/>
      <c r="F7196" s="29" t="s">
        <v>4202</v>
      </c>
      <c r="G7196" s="29"/>
      <c r="H7196" s="29" t="s">
        <v>5205</v>
      </c>
      <c r="I7196" s="29"/>
      <c r="J7196" s="29" t="s">
        <v>5206</v>
      </c>
      <c r="K7196" s="29"/>
      <c r="L7196" s="29" t="s">
        <v>5368</v>
      </c>
      <c r="M7196" s="29"/>
      <c r="N7196" s="29" t="s">
        <v>5824</v>
      </c>
      <c r="O7196" s="29"/>
      <c r="P7196" s="29" t="s">
        <v>5825</v>
      </c>
      <c r="Q7196" t="s">
        <v>2040</v>
      </c>
      <c r="R7196" t="s">
        <v>2632</v>
      </c>
      <c r="S7196">
        <v>36</v>
      </c>
      <c r="T7196" s="43" t="str">
        <f t="shared" si="321"/>
        <v>2020.095B.R.Leviviricetes.zip</v>
      </c>
      <c r="U7196" s="43" t="str">
        <f>HYPERLINK("https://ictv.global/taxonomy/taxondetails?taxnode_id=202210671","ictv.global=202210671")</f>
        <v>ictv.global=202210671</v>
      </c>
    </row>
    <row r="7197" spans="1:21">
      <c r="A7197">
        <v>7196</v>
      </c>
      <c r="B7197" s="29" t="s">
        <v>3223</v>
      </c>
      <c r="C7197" s="29"/>
      <c r="D7197" s="29" t="s">
        <v>4156</v>
      </c>
      <c r="E7197" s="29"/>
      <c r="F7197" s="29" t="s">
        <v>4202</v>
      </c>
      <c r="G7197" s="29"/>
      <c r="H7197" s="29" t="s">
        <v>5205</v>
      </c>
      <c r="I7197" s="29"/>
      <c r="J7197" s="29" t="s">
        <v>5206</v>
      </c>
      <c r="K7197" s="29"/>
      <c r="L7197" s="29" t="s">
        <v>5368</v>
      </c>
      <c r="M7197" s="29"/>
      <c r="N7197" s="29" t="s">
        <v>5824</v>
      </c>
      <c r="O7197" s="29"/>
      <c r="P7197" s="29" t="s">
        <v>5826</v>
      </c>
      <c r="Q7197" t="s">
        <v>2040</v>
      </c>
      <c r="R7197" t="s">
        <v>2632</v>
      </c>
      <c r="S7197">
        <v>36</v>
      </c>
      <c r="T7197" s="43" t="str">
        <f t="shared" si="321"/>
        <v>2020.095B.R.Leviviricetes.zip</v>
      </c>
      <c r="U7197" s="43" t="str">
        <f>HYPERLINK("https://ictv.global/taxonomy/taxondetails?taxnode_id=202210672","ictv.global=202210672")</f>
        <v>ictv.global=202210672</v>
      </c>
    </row>
    <row r="7198" spans="1:21">
      <c r="A7198">
        <v>7197</v>
      </c>
      <c r="B7198" s="29" t="s">
        <v>3223</v>
      </c>
      <c r="C7198" s="29"/>
      <c r="D7198" s="29" t="s">
        <v>4156</v>
      </c>
      <c r="E7198" s="29"/>
      <c r="F7198" s="29" t="s">
        <v>4202</v>
      </c>
      <c r="G7198" s="29"/>
      <c r="H7198" s="29" t="s">
        <v>5205</v>
      </c>
      <c r="I7198" s="29"/>
      <c r="J7198" s="29" t="s">
        <v>5206</v>
      </c>
      <c r="K7198" s="29"/>
      <c r="L7198" s="29" t="s">
        <v>5368</v>
      </c>
      <c r="M7198" s="29"/>
      <c r="N7198" s="29" t="s">
        <v>5824</v>
      </c>
      <c r="O7198" s="29"/>
      <c r="P7198" s="29" t="s">
        <v>5827</v>
      </c>
      <c r="Q7198" t="s">
        <v>2040</v>
      </c>
      <c r="R7198" t="s">
        <v>2632</v>
      </c>
      <c r="S7198">
        <v>36</v>
      </c>
      <c r="T7198" s="43" t="str">
        <f t="shared" si="321"/>
        <v>2020.095B.R.Leviviricetes.zip</v>
      </c>
      <c r="U7198" s="43" t="str">
        <f>HYPERLINK("https://ictv.global/taxonomy/taxondetails?taxnode_id=202210668","ictv.global=202210668")</f>
        <v>ictv.global=202210668</v>
      </c>
    </row>
    <row r="7199" spans="1:21">
      <c r="A7199">
        <v>7198</v>
      </c>
      <c r="B7199" s="29" t="s">
        <v>3223</v>
      </c>
      <c r="C7199" s="29"/>
      <c r="D7199" s="29" t="s">
        <v>4156</v>
      </c>
      <c r="E7199" s="29"/>
      <c r="F7199" s="29" t="s">
        <v>4202</v>
      </c>
      <c r="G7199" s="29"/>
      <c r="H7199" s="29" t="s">
        <v>5205</v>
      </c>
      <c r="I7199" s="29"/>
      <c r="J7199" s="29" t="s">
        <v>5206</v>
      </c>
      <c r="K7199" s="29"/>
      <c r="L7199" s="29" t="s">
        <v>5368</v>
      </c>
      <c r="M7199" s="29"/>
      <c r="N7199" s="29" t="s">
        <v>5824</v>
      </c>
      <c r="O7199" s="29"/>
      <c r="P7199" s="29" t="s">
        <v>5828</v>
      </c>
      <c r="Q7199" t="s">
        <v>2040</v>
      </c>
      <c r="R7199" t="s">
        <v>2632</v>
      </c>
      <c r="S7199">
        <v>36</v>
      </c>
      <c r="T7199" s="43" t="str">
        <f t="shared" si="321"/>
        <v>2020.095B.R.Leviviricetes.zip</v>
      </c>
      <c r="U7199" s="43" t="str">
        <f>HYPERLINK("https://ictv.global/taxonomy/taxondetails?taxnode_id=202210669","ictv.global=202210669")</f>
        <v>ictv.global=202210669</v>
      </c>
    </row>
    <row r="7200" spans="1:21">
      <c r="A7200">
        <v>7199</v>
      </c>
      <c r="B7200" s="29" t="s">
        <v>3223</v>
      </c>
      <c r="C7200" s="29"/>
      <c r="D7200" s="29" t="s">
        <v>4156</v>
      </c>
      <c r="E7200" s="29"/>
      <c r="F7200" s="29" t="s">
        <v>4202</v>
      </c>
      <c r="G7200" s="29"/>
      <c r="H7200" s="29" t="s">
        <v>5205</v>
      </c>
      <c r="I7200" s="29"/>
      <c r="J7200" s="29" t="s">
        <v>5206</v>
      </c>
      <c r="K7200" s="29"/>
      <c r="L7200" s="29" t="s">
        <v>5368</v>
      </c>
      <c r="M7200" s="29"/>
      <c r="N7200" s="29" t="s">
        <v>5824</v>
      </c>
      <c r="O7200" s="29"/>
      <c r="P7200" s="29" t="s">
        <v>5829</v>
      </c>
      <c r="Q7200" t="s">
        <v>2040</v>
      </c>
      <c r="R7200" t="s">
        <v>2632</v>
      </c>
      <c r="S7200">
        <v>36</v>
      </c>
      <c r="T7200" s="43" t="str">
        <f t="shared" si="321"/>
        <v>2020.095B.R.Leviviricetes.zip</v>
      </c>
      <c r="U7200" s="43" t="str">
        <f>HYPERLINK("https://ictv.global/taxonomy/taxondetails?taxnode_id=202210670","ictv.global=202210670")</f>
        <v>ictv.global=202210670</v>
      </c>
    </row>
    <row r="7201" spans="1:21">
      <c r="A7201">
        <v>7200</v>
      </c>
      <c r="B7201" s="29" t="s">
        <v>3223</v>
      </c>
      <c r="C7201" s="29"/>
      <c r="D7201" s="29" t="s">
        <v>4156</v>
      </c>
      <c r="E7201" s="29"/>
      <c r="F7201" s="29" t="s">
        <v>4202</v>
      </c>
      <c r="G7201" s="29"/>
      <c r="H7201" s="29" t="s">
        <v>5205</v>
      </c>
      <c r="I7201" s="29"/>
      <c r="J7201" s="29" t="s">
        <v>5206</v>
      </c>
      <c r="K7201" s="29"/>
      <c r="L7201" s="29" t="s">
        <v>5368</v>
      </c>
      <c r="M7201" s="29"/>
      <c r="N7201" s="29" t="s">
        <v>5824</v>
      </c>
      <c r="O7201" s="29"/>
      <c r="P7201" s="29" t="s">
        <v>5830</v>
      </c>
      <c r="Q7201" t="s">
        <v>2040</v>
      </c>
      <c r="R7201" t="s">
        <v>2632</v>
      </c>
      <c r="S7201">
        <v>36</v>
      </c>
      <c r="T7201" s="43" t="str">
        <f t="shared" si="321"/>
        <v>2020.095B.R.Leviviricetes.zip</v>
      </c>
      <c r="U7201" s="43" t="str">
        <f>HYPERLINK("https://ictv.global/taxonomy/taxondetails?taxnode_id=202210667","ictv.global=202210667")</f>
        <v>ictv.global=202210667</v>
      </c>
    </row>
    <row r="7202" spans="1:21">
      <c r="A7202">
        <v>7201</v>
      </c>
      <c r="B7202" s="29" t="s">
        <v>3223</v>
      </c>
      <c r="C7202" s="29"/>
      <c r="D7202" s="29" t="s">
        <v>4156</v>
      </c>
      <c r="E7202" s="29"/>
      <c r="F7202" s="29" t="s">
        <v>4202</v>
      </c>
      <c r="G7202" s="29"/>
      <c r="H7202" s="29" t="s">
        <v>5205</v>
      </c>
      <c r="I7202" s="29"/>
      <c r="J7202" s="29" t="s">
        <v>5206</v>
      </c>
      <c r="K7202" s="29"/>
      <c r="L7202" s="29" t="s">
        <v>5368</v>
      </c>
      <c r="M7202" s="29"/>
      <c r="N7202" s="29" t="s">
        <v>5831</v>
      </c>
      <c r="O7202" s="29"/>
      <c r="P7202" s="29" t="s">
        <v>5832</v>
      </c>
      <c r="Q7202" t="s">
        <v>2040</v>
      </c>
      <c r="R7202" t="s">
        <v>2632</v>
      </c>
      <c r="S7202">
        <v>36</v>
      </c>
      <c r="T7202" s="43" t="str">
        <f t="shared" si="321"/>
        <v>2020.095B.R.Leviviricetes.zip</v>
      </c>
      <c r="U7202" s="43" t="str">
        <f>HYPERLINK("https://ictv.global/taxonomy/taxondetails?taxnode_id=202210674","ictv.global=202210674")</f>
        <v>ictv.global=202210674</v>
      </c>
    </row>
    <row r="7203" spans="1:21">
      <c r="A7203">
        <v>7202</v>
      </c>
      <c r="B7203" s="29" t="s">
        <v>3223</v>
      </c>
      <c r="C7203" s="29"/>
      <c r="D7203" s="29" t="s">
        <v>4156</v>
      </c>
      <c r="E7203" s="29"/>
      <c r="F7203" s="29" t="s">
        <v>4202</v>
      </c>
      <c r="G7203" s="29"/>
      <c r="H7203" s="29" t="s">
        <v>5205</v>
      </c>
      <c r="I7203" s="29"/>
      <c r="J7203" s="29" t="s">
        <v>5206</v>
      </c>
      <c r="K7203" s="29"/>
      <c r="L7203" s="29" t="s">
        <v>5368</v>
      </c>
      <c r="M7203" s="29"/>
      <c r="N7203" s="29" t="s">
        <v>5833</v>
      </c>
      <c r="O7203" s="29"/>
      <c r="P7203" s="29" t="s">
        <v>5834</v>
      </c>
      <c r="Q7203" t="s">
        <v>2040</v>
      </c>
      <c r="R7203" t="s">
        <v>2632</v>
      </c>
      <c r="S7203">
        <v>36</v>
      </c>
      <c r="T7203" s="43" t="str">
        <f t="shared" si="321"/>
        <v>2020.095B.R.Leviviricetes.zip</v>
      </c>
      <c r="U7203" s="43" t="str">
        <f>HYPERLINK("https://ictv.global/taxonomy/taxondetails?taxnode_id=202210676","ictv.global=202210676")</f>
        <v>ictv.global=202210676</v>
      </c>
    </row>
    <row r="7204" spans="1:21">
      <c r="A7204">
        <v>7203</v>
      </c>
      <c r="B7204" s="29" t="s">
        <v>3223</v>
      </c>
      <c r="C7204" s="29"/>
      <c r="D7204" s="29" t="s">
        <v>4156</v>
      </c>
      <c r="E7204" s="29"/>
      <c r="F7204" s="29" t="s">
        <v>4202</v>
      </c>
      <c r="G7204" s="29"/>
      <c r="H7204" s="29" t="s">
        <v>5205</v>
      </c>
      <c r="I7204" s="29"/>
      <c r="J7204" s="29" t="s">
        <v>5206</v>
      </c>
      <c r="K7204" s="29"/>
      <c r="L7204" s="29" t="s">
        <v>5368</v>
      </c>
      <c r="M7204" s="29"/>
      <c r="N7204" s="29" t="s">
        <v>5835</v>
      </c>
      <c r="O7204" s="29"/>
      <c r="P7204" s="29" t="s">
        <v>5836</v>
      </c>
      <c r="Q7204" t="s">
        <v>2040</v>
      </c>
      <c r="R7204" t="s">
        <v>2632</v>
      </c>
      <c r="S7204">
        <v>36</v>
      </c>
      <c r="T7204" s="43" t="str">
        <f t="shared" si="321"/>
        <v>2020.095B.R.Leviviricetes.zip</v>
      </c>
      <c r="U7204" s="43" t="str">
        <f>HYPERLINK("https://ictv.global/taxonomy/taxondetails?taxnode_id=202210678","ictv.global=202210678")</f>
        <v>ictv.global=202210678</v>
      </c>
    </row>
    <row r="7205" spans="1:21">
      <c r="A7205">
        <v>7204</v>
      </c>
      <c r="B7205" s="29" t="s">
        <v>3223</v>
      </c>
      <c r="C7205" s="29"/>
      <c r="D7205" s="29" t="s">
        <v>4156</v>
      </c>
      <c r="E7205" s="29"/>
      <c r="F7205" s="29" t="s">
        <v>4202</v>
      </c>
      <c r="G7205" s="29"/>
      <c r="H7205" s="29" t="s">
        <v>5205</v>
      </c>
      <c r="I7205" s="29"/>
      <c r="J7205" s="29" t="s">
        <v>5206</v>
      </c>
      <c r="K7205" s="29"/>
      <c r="L7205" s="29" t="s">
        <v>5368</v>
      </c>
      <c r="M7205" s="29"/>
      <c r="N7205" s="29" t="s">
        <v>5837</v>
      </c>
      <c r="O7205" s="29"/>
      <c r="P7205" s="29" t="s">
        <v>5838</v>
      </c>
      <c r="Q7205" t="s">
        <v>2040</v>
      </c>
      <c r="R7205" t="s">
        <v>2632</v>
      </c>
      <c r="S7205">
        <v>36</v>
      </c>
      <c r="T7205" s="43" t="str">
        <f t="shared" si="321"/>
        <v>2020.095B.R.Leviviricetes.zip</v>
      </c>
      <c r="U7205" s="43" t="str">
        <f>HYPERLINK("https://ictv.global/taxonomy/taxondetails?taxnode_id=202210680","ictv.global=202210680")</f>
        <v>ictv.global=202210680</v>
      </c>
    </row>
    <row r="7206" spans="1:21">
      <c r="A7206">
        <v>7205</v>
      </c>
      <c r="B7206" s="29" t="s">
        <v>3223</v>
      </c>
      <c r="C7206" s="29"/>
      <c r="D7206" s="29" t="s">
        <v>4156</v>
      </c>
      <c r="E7206" s="29"/>
      <c r="F7206" s="29" t="s">
        <v>4202</v>
      </c>
      <c r="G7206" s="29"/>
      <c r="H7206" s="29" t="s">
        <v>5205</v>
      </c>
      <c r="I7206" s="29"/>
      <c r="J7206" s="29" t="s">
        <v>5206</v>
      </c>
      <c r="K7206" s="29"/>
      <c r="L7206" s="29" t="s">
        <v>5368</v>
      </c>
      <c r="M7206" s="29"/>
      <c r="N7206" s="29" t="s">
        <v>5839</v>
      </c>
      <c r="O7206" s="29"/>
      <c r="P7206" s="29" t="s">
        <v>5840</v>
      </c>
      <c r="Q7206" t="s">
        <v>2040</v>
      </c>
      <c r="R7206" t="s">
        <v>2632</v>
      </c>
      <c r="S7206">
        <v>36</v>
      </c>
      <c r="T7206" s="43" t="str">
        <f t="shared" si="321"/>
        <v>2020.095B.R.Leviviricetes.zip</v>
      </c>
      <c r="U7206" s="43" t="str">
        <f>HYPERLINK("https://ictv.global/taxonomy/taxondetails?taxnode_id=202210682","ictv.global=202210682")</f>
        <v>ictv.global=202210682</v>
      </c>
    </row>
    <row r="7207" spans="1:21">
      <c r="A7207">
        <v>7206</v>
      </c>
      <c r="B7207" s="29" t="s">
        <v>3223</v>
      </c>
      <c r="C7207" s="29"/>
      <c r="D7207" s="29" t="s">
        <v>4156</v>
      </c>
      <c r="E7207" s="29"/>
      <c r="F7207" s="29" t="s">
        <v>4202</v>
      </c>
      <c r="G7207" s="29"/>
      <c r="H7207" s="29" t="s">
        <v>5205</v>
      </c>
      <c r="I7207" s="29"/>
      <c r="J7207" s="29" t="s">
        <v>5206</v>
      </c>
      <c r="K7207" s="29"/>
      <c r="L7207" s="29" t="s">
        <v>5368</v>
      </c>
      <c r="M7207" s="29"/>
      <c r="N7207" s="29" t="s">
        <v>5841</v>
      </c>
      <c r="O7207" s="29"/>
      <c r="P7207" s="29" t="s">
        <v>5842</v>
      </c>
      <c r="Q7207" t="s">
        <v>2040</v>
      </c>
      <c r="R7207" t="s">
        <v>2632</v>
      </c>
      <c r="S7207">
        <v>36</v>
      </c>
      <c r="T7207" s="43" t="str">
        <f t="shared" si="321"/>
        <v>2020.095B.R.Leviviricetes.zip</v>
      </c>
      <c r="U7207" s="43" t="str">
        <f>HYPERLINK("https://ictv.global/taxonomy/taxondetails?taxnode_id=202210684","ictv.global=202210684")</f>
        <v>ictv.global=202210684</v>
      </c>
    </row>
    <row r="7208" spans="1:21">
      <c r="A7208">
        <v>7207</v>
      </c>
      <c r="B7208" s="29" t="s">
        <v>3223</v>
      </c>
      <c r="C7208" s="29"/>
      <c r="D7208" s="29" t="s">
        <v>4156</v>
      </c>
      <c r="E7208" s="29"/>
      <c r="F7208" s="29" t="s">
        <v>4202</v>
      </c>
      <c r="G7208" s="29"/>
      <c r="H7208" s="29" t="s">
        <v>5205</v>
      </c>
      <c r="I7208" s="29"/>
      <c r="J7208" s="29" t="s">
        <v>5206</v>
      </c>
      <c r="K7208" s="29"/>
      <c r="L7208" s="29" t="s">
        <v>5368</v>
      </c>
      <c r="M7208" s="29"/>
      <c r="N7208" s="29" t="s">
        <v>5843</v>
      </c>
      <c r="O7208" s="29"/>
      <c r="P7208" s="29" t="s">
        <v>5844</v>
      </c>
      <c r="Q7208" t="s">
        <v>2040</v>
      </c>
      <c r="R7208" t="s">
        <v>2632</v>
      </c>
      <c r="S7208">
        <v>36</v>
      </c>
      <c r="T7208" s="43" t="str">
        <f t="shared" si="321"/>
        <v>2020.095B.R.Leviviricetes.zip</v>
      </c>
      <c r="U7208" s="43" t="str">
        <f>HYPERLINK("https://ictv.global/taxonomy/taxondetails?taxnode_id=202210686","ictv.global=202210686")</f>
        <v>ictv.global=202210686</v>
      </c>
    </row>
    <row r="7209" spans="1:21">
      <c r="A7209">
        <v>7208</v>
      </c>
      <c r="B7209" s="29" t="s">
        <v>3223</v>
      </c>
      <c r="C7209" s="29"/>
      <c r="D7209" s="29" t="s">
        <v>4156</v>
      </c>
      <c r="E7209" s="29"/>
      <c r="F7209" s="29" t="s">
        <v>4202</v>
      </c>
      <c r="G7209" s="29"/>
      <c r="H7209" s="29" t="s">
        <v>5205</v>
      </c>
      <c r="I7209" s="29"/>
      <c r="J7209" s="29" t="s">
        <v>5206</v>
      </c>
      <c r="K7209" s="29"/>
      <c r="L7209" s="29" t="s">
        <v>5368</v>
      </c>
      <c r="M7209" s="29"/>
      <c r="N7209" s="29" t="s">
        <v>5845</v>
      </c>
      <c r="O7209" s="29"/>
      <c r="P7209" s="29" t="s">
        <v>5846</v>
      </c>
      <c r="Q7209" t="s">
        <v>2040</v>
      </c>
      <c r="R7209" t="s">
        <v>2632</v>
      </c>
      <c r="S7209">
        <v>36</v>
      </c>
      <c r="T7209" s="43" t="str">
        <f t="shared" si="321"/>
        <v>2020.095B.R.Leviviricetes.zip</v>
      </c>
      <c r="U7209" s="43" t="str">
        <f>HYPERLINK("https://ictv.global/taxonomy/taxondetails?taxnode_id=202210688","ictv.global=202210688")</f>
        <v>ictv.global=202210688</v>
      </c>
    </row>
    <row r="7210" spans="1:21">
      <c r="A7210">
        <v>7209</v>
      </c>
      <c r="B7210" s="29" t="s">
        <v>3223</v>
      </c>
      <c r="C7210" s="29"/>
      <c r="D7210" s="29" t="s">
        <v>4156</v>
      </c>
      <c r="E7210" s="29"/>
      <c r="F7210" s="29" t="s">
        <v>4202</v>
      </c>
      <c r="G7210" s="29"/>
      <c r="H7210" s="29" t="s">
        <v>5205</v>
      </c>
      <c r="I7210" s="29"/>
      <c r="J7210" s="29" t="s">
        <v>5206</v>
      </c>
      <c r="K7210" s="29"/>
      <c r="L7210" s="29" t="s">
        <v>5368</v>
      </c>
      <c r="M7210" s="29"/>
      <c r="N7210" s="29" t="s">
        <v>5847</v>
      </c>
      <c r="O7210" s="29"/>
      <c r="P7210" s="29" t="s">
        <v>5848</v>
      </c>
      <c r="Q7210" t="s">
        <v>2040</v>
      </c>
      <c r="R7210" t="s">
        <v>2632</v>
      </c>
      <c r="S7210">
        <v>36</v>
      </c>
      <c r="T7210" s="43" t="str">
        <f t="shared" si="321"/>
        <v>2020.095B.R.Leviviricetes.zip</v>
      </c>
      <c r="U7210" s="43" t="str">
        <f>HYPERLINK("https://ictv.global/taxonomy/taxondetails?taxnode_id=202210692","ictv.global=202210692")</f>
        <v>ictv.global=202210692</v>
      </c>
    </row>
    <row r="7211" spans="1:21">
      <c r="A7211">
        <v>7210</v>
      </c>
      <c r="B7211" s="29" t="s">
        <v>3223</v>
      </c>
      <c r="C7211" s="29"/>
      <c r="D7211" s="29" t="s">
        <v>4156</v>
      </c>
      <c r="E7211" s="29"/>
      <c r="F7211" s="29" t="s">
        <v>4202</v>
      </c>
      <c r="G7211" s="29"/>
      <c r="H7211" s="29" t="s">
        <v>5205</v>
      </c>
      <c r="I7211" s="29"/>
      <c r="J7211" s="29" t="s">
        <v>5206</v>
      </c>
      <c r="K7211" s="29"/>
      <c r="L7211" s="29" t="s">
        <v>5368</v>
      </c>
      <c r="M7211" s="29"/>
      <c r="N7211" s="29" t="s">
        <v>5847</v>
      </c>
      <c r="O7211" s="29"/>
      <c r="P7211" s="29" t="s">
        <v>5849</v>
      </c>
      <c r="Q7211" t="s">
        <v>2040</v>
      </c>
      <c r="R7211" t="s">
        <v>2632</v>
      </c>
      <c r="S7211">
        <v>36</v>
      </c>
      <c r="T7211" s="43" t="str">
        <f t="shared" si="321"/>
        <v>2020.095B.R.Leviviricetes.zip</v>
      </c>
      <c r="U7211" s="43" t="str">
        <f>HYPERLINK("https://ictv.global/taxonomy/taxondetails?taxnode_id=202210693","ictv.global=202210693")</f>
        <v>ictv.global=202210693</v>
      </c>
    </row>
    <row r="7212" spans="1:21">
      <c r="A7212">
        <v>7211</v>
      </c>
      <c r="B7212" s="29" t="s">
        <v>3223</v>
      </c>
      <c r="C7212" s="29"/>
      <c r="D7212" s="29" t="s">
        <v>4156</v>
      </c>
      <c r="E7212" s="29"/>
      <c r="F7212" s="29" t="s">
        <v>4202</v>
      </c>
      <c r="G7212" s="29"/>
      <c r="H7212" s="29" t="s">
        <v>5205</v>
      </c>
      <c r="I7212" s="29"/>
      <c r="J7212" s="29" t="s">
        <v>5206</v>
      </c>
      <c r="K7212" s="29"/>
      <c r="L7212" s="29" t="s">
        <v>5368</v>
      </c>
      <c r="M7212" s="29"/>
      <c r="N7212" s="29" t="s">
        <v>5847</v>
      </c>
      <c r="O7212" s="29"/>
      <c r="P7212" s="29" t="s">
        <v>5850</v>
      </c>
      <c r="Q7212" t="s">
        <v>2040</v>
      </c>
      <c r="R7212" t="s">
        <v>2632</v>
      </c>
      <c r="S7212">
        <v>36</v>
      </c>
      <c r="T7212" s="43" t="str">
        <f t="shared" si="321"/>
        <v>2020.095B.R.Leviviricetes.zip</v>
      </c>
      <c r="U7212" s="43" t="str">
        <f>HYPERLINK("https://ictv.global/taxonomy/taxondetails?taxnode_id=202210690","ictv.global=202210690")</f>
        <v>ictv.global=202210690</v>
      </c>
    </row>
    <row r="7213" spans="1:21">
      <c r="A7213">
        <v>7212</v>
      </c>
      <c r="B7213" s="29" t="s">
        <v>3223</v>
      </c>
      <c r="C7213" s="29"/>
      <c r="D7213" s="29" t="s">
        <v>4156</v>
      </c>
      <c r="E7213" s="29"/>
      <c r="F7213" s="29" t="s">
        <v>4202</v>
      </c>
      <c r="G7213" s="29"/>
      <c r="H7213" s="29" t="s">
        <v>5205</v>
      </c>
      <c r="I7213" s="29"/>
      <c r="J7213" s="29" t="s">
        <v>5206</v>
      </c>
      <c r="K7213" s="29"/>
      <c r="L7213" s="29" t="s">
        <v>5368</v>
      </c>
      <c r="M7213" s="29"/>
      <c r="N7213" s="29" t="s">
        <v>5847</v>
      </c>
      <c r="O7213" s="29"/>
      <c r="P7213" s="29" t="s">
        <v>5851</v>
      </c>
      <c r="Q7213" t="s">
        <v>2040</v>
      </c>
      <c r="R7213" t="s">
        <v>2632</v>
      </c>
      <c r="S7213">
        <v>36</v>
      </c>
      <c r="T7213" s="43" t="str">
        <f t="shared" ref="T7213:T7276" si="322">HYPERLINK("https://ictv.global/ictv/proposals/2020.095B.R.Leviviricetes.zip","2020.095B.R.Leviviricetes.zip")</f>
        <v>2020.095B.R.Leviviricetes.zip</v>
      </c>
      <c r="U7213" s="43" t="str">
        <f>HYPERLINK("https://ictv.global/taxonomy/taxondetails?taxnode_id=202210691","ictv.global=202210691")</f>
        <v>ictv.global=202210691</v>
      </c>
    </row>
    <row r="7214" spans="1:21">
      <c r="A7214">
        <v>7213</v>
      </c>
      <c r="B7214" s="29" t="s">
        <v>3223</v>
      </c>
      <c r="C7214" s="29"/>
      <c r="D7214" s="29" t="s">
        <v>4156</v>
      </c>
      <c r="E7214" s="29"/>
      <c r="F7214" s="29" t="s">
        <v>4202</v>
      </c>
      <c r="G7214" s="29"/>
      <c r="H7214" s="29" t="s">
        <v>5205</v>
      </c>
      <c r="I7214" s="29"/>
      <c r="J7214" s="29" t="s">
        <v>5206</v>
      </c>
      <c r="K7214" s="29"/>
      <c r="L7214" s="29" t="s">
        <v>5852</v>
      </c>
      <c r="M7214" s="29"/>
      <c r="N7214" s="29" t="s">
        <v>5853</v>
      </c>
      <c r="O7214" s="29"/>
      <c r="P7214" s="29" t="s">
        <v>5854</v>
      </c>
      <c r="Q7214" t="s">
        <v>2040</v>
      </c>
      <c r="R7214" t="s">
        <v>2632</v>
      </c>
      <c r="S7214">
        <v>36</v>
      </c>
      <c r="T7214" s="43" t="str">
        <f t="shared" si="322"/>
        <v>2020.095B.R.Leviviricetes.zip</v>
      </c>
      <c r="U7214" s="43" t="str">
        <f>HYPERLINK("https://ictv.global/taxonomy/taxondetails?taxnode_id=202210857","ictv.global=202210857")</f>
        <v>ictv.global=202210857</v>
      </c>
    </row>
    <row r="7215" spans="1:21">
      <c r="A7215">
        <v>7214</v>
      </c>
      <c r="B7215" s="29" t="s">
        <v>3223</v>
      </c>
      <c r="C7215" s="29"/>
      <c r="D7215" s="29" t="s">
        <v>4156</v>
      </c>
      <c r="E7215" s="29"/>
      <c r="F7215" s="29" t="s">
        <v>4202</v>
      </c>
      <c r="G7215" s="29"/>
      <c r="H7215" s="29" t="s">
        <v>5205</v>
      </c>
      <c r="I7215" s="29"/>
      <c r="J7215" s="29" t="s">
        <v>5206</v>
      </c>
      <c r="K7215" s="29"/>
      <c r="L7215" s="29" t="s">
        <v>5852</v>
      </c>
      <c r="M7215" s="29"/>
      <c r="N7215" s="29" t="s">
        <v>5855</v>
      </c>
      <c r="O7215" s="29"/>
      <c r="P7215" s="29" t="s">
        <v>5856</v>
      </c>
      <c r="Q7215" t="s">
        <v>2040</v>
      </c>
      <c r="R7215" t="s">
        <v>2632</v>
      </c>
      <c r="S7215">
        <v>36</v>
      </c>
      <c r="T7215" s="43" t="str">
        <f t="shared" si="322"/>
        <v>2020.095B.R.Leviviricetes.zip</v>
      </c>
      <c r="U7215" s="43" t="str">
        <f>HYPERLINK("https://ictv.global/taxonomy/taxondetails?taxnode_id=202210859","ictv.global=202210859")</f>
        <v>ictv.global=202210859</v>
      </c>
    </row>
    <row r="7216" spans="1:21">
      <c r="A7216">
        <v>7215</v>
      </c>
      <c r="B7216" s="29" t="s">
        <v>3223</v>
      </c>
      <c r="C7216" s="29"/>
      <c r="D7216" s="29" t="s">
        <v>4156</v>
      </c>
      <c r="E7216" s="29"/>
      <c r="F7216" s="29" t="s">
        <v>4202</v>
      </c>
      <c r="G7216" s="29"/>
      <c r="H7216" s="29" t="s">
        <v>5205</v>
      </c>
      <c r="I7216" s="29"/>
      <c r="J7216" s="29" t="s">
        <v>5206</v>
      </c>
      <c r="K7216" s="29"/>
      <c r="L7216" s="29" t="s">
        <v>5852</v>
      </c>
      <c r="M7216" s="29"/>
      <c r="N7216" s="29" t="s">
        <v>5857</v>
      </c>
      <c r="O7216" s="29"/>
      <c r="P7216" s="29" t="s">
        <v>5858</v>
      </c>
      <c r="Q7216" t="s">
        <v>2040</v>
      </c>
      <c r="R7216" t="s">
        <v>2632</v>
      </c>
      <c r="S7216">
        <v>36</v>
      </c>
      <c r="T7216" s="43" t="str">
        <f t="shared" si="322"/>
        <v>2020.095B.R.Leviviricetes.zip</v>
      </c>
      <c r="U7216" s="43" t="str">
        <f>HYPERLINK("https://ictv.global/taxonomy/taxondetails?taxnode_id=202210861","ictv.global=202210861")</f>
        <v>ictv.global=202210861</v>
      </c>
    </row>
    <row r="7217" spans="1:21">
      <c r="A7217">
        <v>7216</v>
      </c>
      <c r="B7217" s="29" t="s">
        <v>3223</v>
      </c>
      <c r="C7217" s="29"/>
      <c r="D7217" s="29" t="s">
        <v>4156</v>
      </c>
      <c r="E7217" s="29"/>
      <c r="F7217" s="29" t="s">
        <v>4202</v>
      </c>
      <c r="G7217" s="29"/>
      <c r="H7217" s="29" t="s">
        <v>5205</v>
      </c>
      <c r="I7217" s="29"/>
      <c r="J7217" s="29" t="s">
        <v>5206</v>
      </c>
      <c r="K7217" s="29"/>
      <c r="L7217" s="29" t="s">
        <v>5852</v>
      </c>
      <c r="M7217" s="29"/>
      <c r="N7217" s="29" t="s">
        <v>5859</v>
      </c>
      <c r="O7217" s="29"/>
      <c r="P7217" s="29" t="s">
        <v>5860</v>
      </c>
      <c r="Q7217" t="s">
        <v>2040</v>
      </c>
      <c r="R7217" t="s">
        <v>2632</v>
      </c>
      <c r="S7217">
        <v>36</v>
      </c>
      <c r="T7217" s="43" t="str">
        <f t="shared" si="322"/>
        <v>2020.095B.R.Leviviricetes.zip</v>
      </c>
      <c r="U7217" s="43" t="str">
        <f>HYPERLINK("https://ictv.global/taxonomy/taxondetails?taxnode_id=202210863","ictv.global=202210863")</f>
        <v>ictv.global=202210863</v>
      </c>
    </row>
    <row r="7218" spans="1:21">
      <c r="A7218">
        <v>7217</v>
      </c>
      <c r="B7218" s="29" t="s">
        <v>3223</v>
      </c>
      <c r="C7218" s="29"/>
      <c r="D7218" s="29" t="s">
        <v>4156</v>
      </c>
      <c r="E7218" s="29"/>
      <c r="F7218" s="29" t="s">
        <v>4202</v>
      </c>
      <c r="G7218" s="29"/>
      <c r="H7218" s="29" t="s">
        <v>5205</v>
      </c>
      <c r="I7218" s="29"/>
      <c r="J7218" s="29" t="s">
        <v>5206</v>
      </c>
      <c r="K7218" s="29"/>
      <c r="L7218" s="29" t="s">
        <v>5852</v>
      </c>
      <c r="M7218" s="29"/>
      <c r="N7218" s="29" t="s">
        <v>5861</v>
      </c>
      <c r="O7218" s="29"/>
      <c r="P7218" s="29" t="s">
        <v>5862</v>
      </c>
      <c r="Q7218" t="s">
        <v>2040</v>
      </c>
      <c r="R7218" t="s">
        <v>2632</v>
      </c>
      <c r="S7218">
        <v>36</v>
      </c>
      <c r="T7218" s="43" t="str">
        <f t="shared" si="322"/>
        <v>2020.095B.R.Leviviricetes.zip</v>
      </c>
      <c r="U7218" s="43" t="str">
        <f>HYPERLINK("https://ictv.global/taxonomy/taxondetails?taxnode_id=202210865","ictv.global=202210865")</f>
        <v>ictv.global=202210865</v>
      </c>
    </row>
    <row r="7219" spans="1:21">
      <c r="A7219">
        <v>7218</v>
      </c>
      <c r="B7219" s="29" t="s">
        <v>3223</v>
      </c>
      <c r="C7219" s="29"/>
      <c r="D7219" s="29" t="s">
        <v>4156</v>
      </c>
      <c r="E7219" s="29"/>
      <c r="F7219" s="29" t="s">
        <v>4202</v>
      </c>
      <c r="G7219" s="29"/>
      <c r="H7219" s="29" t="s">
        <v>5205</v>
      </c>
      <c r="I7219" s="29"/>
      <c r="J7219" s="29" t="s">
        <v>5206</v>
      </c>
      <c r="K7219" s="29"/>
      <c r="L7219" s="29" t="s">
        <v>5852</v>
      </c>
      <c r="M7219" s="29"/>
      <c r="N7219" s="29" t="s">
        <v>5863</v>
      </c>
      <c r="O7219" s="29"/>
      <c r="P7219" s="29" t="s">
        <v>5864</v>
      </c>
      <c r="Q7219" t="s">
        <v>2040</v>
      </c>
      <c r="R7219" t="s">
        <v>2632</v>
      </c>
      <c r="S7219">
        <v>36</v>
      </c>
      <c r="T7219" s="43" t="str">
        <f t="shared" si="322"/>
        <v>2020.095B.R.Leviviricetes.zip</v>
      </c>
      <c r="U7219" s="43" t="str">
        <f>HYPERLINK("https://ictv.global/taxonomy/taxondetails?taxnode_id=202210867","ictv.global=202210867")</f>
        <v>ictv.global=202210867</v>
      </c>
    </row>
    <row r="7220" spans="1:21">
      <c r="A7220">
        <v>7219</v>
      </c>
      <c r="B7220" s="29" t="s">
        <v>3223</v>
      </c>
      <c r="C7220" s="29"/>
      <c r="D7220" s="29" t="s">
        <v>4156</v>
      </c>
      <c r="E7220" s="29"/>
      <c r="F7220" s="29" t="s">
        <v>4202</v>
      </c>
      <c r="G7220" s="29"/>
      <c r="H7220" s="29" t="s">
        <v>5205</v>
      </c>
      <c r="I7220" s="29"/>
      <c r="J7220" s="29" t="s">
        <v>5206</v>
      </c>
      <c r="K7220" s="29"/>
      <c r="L7220" s="29" t="s">
        <v>5852</v>
      </c>
      <c r="M7220" s="29"/>
      <c r="N7220" s="29" t="s">
        <v>5865</v>
      </c>
      <c r="O7220" s="29"/>
      <c r="P7220" s="29" t="s">
        <v>5866</v>
      </c>
      <c r="Q7220" t="s">
        <v>2040</v>
      </c>
      <c r="R7220" t="s">
        <v>2632</v>
      </c>
      <c r="S7220">
        <v>36</v>
      </c>
      <c r="T7220" s="43" t="str">
        <f t="shared" si="322"/>
        <v>2020.095B.R.Leviviricetes.zip</v>
      </c>
      <c r="U7220" s="43" t="str">
        <f>HYPERLINK("https://ictv.global/taxonomy/taxondetails?taxnode_id=202210869","ictv.global=202210869")</f>
        <v>ictv.global=202210869</v>
      </c>
    </row>
    <row r="7221" spans="1:21">
      <c r="A7221">
        <v>7220</v>
      </c>
      <c r="B7221" s="29" t="s">
        <v>3223</v>
      </c>
      <c r="C7221" s="29"/>
      <c r="D7221" s="29" t="s">
        <v>4156</v>
      </c>
      <c r="E7221" s="29"/>
      <c r="F7221" s="29" t="s">
        <v>4202</v>
      </c>
      <c r="G7221" s="29"/>
      <c r="H7221" s="29" t="s">
        <v>5205</v>
      </c>
      <c r="I7221" s="29"/>
      <c r="J7221" s="29" t="s">
        <v>5206</v>
      </c>
      <c r="K7221" s="29"/>
      <c r="L7221" s="29" t="s">
        <v>5852</v>
      </c>
      <c r="M7221" s="29"/>
      <c r="N7221" s="29" t="s">
        <v>5865</v>
      </c>
      <c r="O7221" s="29"/>
      <c r="P7221" s="29" t="s">
        <v>5867</v>
      </c>
      <c r="Q7221" t="s">
        <v>2040</v>
      </c>
      <c r="R7221" t="s">
        <v>2632</v>
      </c>
      <c r="S7221">
        <v>36</v>
      </c>
      <c r="T7221" s="43" t="str">
        <f t="shared" si="322"/>
        <v>2020.095B.R.Leviviricetes.zip</v>
      </c>
      <c r="U7221" s="43" t="str">
        <f>HYPERLINK("https://ictv.global/taxonomy/taxondetails?taxnode_id=202210870","ictv.global=202210870")</f>
        <v>ictv.global=202210870</v>
      </c>
    </row>
    <row r="7222" spans="1:21">
      <c r="A7222">
        <v>7221</v>
      </c>
      <c r="B7222" s="29" t="s">
        <v>3223</v>
      </c>
      <c r="C7222" s="29"/>
      <c r="D7222" s="29" t="s">
        <v>4156</v>
      </c>
      <c r="E7222" s="29"/>
      <c r="F7222" s="29" t="s">
        <v>4202</v>
      </c>
      <c r="G7222" s="29"/>
      <c r="H7222" s="29" t="s">
        <v>5205</v>
      </c>
      <c r="I7222" s="29"/>
      <c r="J7222" s="29" t="s">
        <v>5206</v>
      </c>
      <c r="K7222" s="29"/>
      <c r="L7222" s="29" t="s">
        <v>5852</v>
      </c>
      <c r="M7222" s="29"/>
      <c r="N7222" s="29" t="s">
        <v>5868</v>
      </c>
      <c r="O7222" s="29"/>
      <c r="P7222" s="29" t="s">
        <v>5869</v>
      </c>
      <c r="Q7222" t="s">
        <v>2040</v>
      </c>
      <c r="R7222" t="s">
        <v>2632</v>
      </c>
      <c r="S7222">
        <v>36</v>
      </c>
      <c r="T7222" s="43" t="str">
        <f t="shared" si="322"/>
        <v>2020.095B.R.Leviviricetes.zip</v>
      </c>
      <c r="U7222" s="43" t="str">
        <f>HYPERLINK("https://ictv.global/taxonomy/taxondetails?taxnode_id=202210872","ictv.global=202210872")</f>
        <v>ictv.global=202210872</v>
      </c>
    </row>
    <row r="7223" spans="1:21">
      <c r="A7223">
        <v>7222</v>
      </c>
      <c r="B7223" s="29" t="s">
        <v>3223</v>
      </c>
      <c r="C7223" s="29"/>
      <c r="D7223" s="29" t="s">
        <v>4156</v>
      </c>
      <c r="E7223" s="29"/>
      <c r="F7223" s="29" t="s">
        <v>4202</v>
      </c>
      <c r="G7223" s="29"/>
      <c r="H7223" s="29" t="s">
        <v>5205</v>
      </c>
      <c r="I7223" s="29"/>
      <c r="J7223" s="29" t="s">
        <v>5206</v>
      </c>
      <c r="K7223" s="29"/>
      <c r="L7223" s="29" t="s">
        <v>5852</v>
      </c>
      <c r="M7223" s="29"/>
      <c r="N7223" s="29" t="s">
        <v>5870</v>
      </c>
      <c r="O7223" s="29"/>
      <c r="P7223" s="29" t="s">
        <v>5871</v>
      </c>
      <c r="Q7223" t="s">
        <v>2040</v>
      </c>
      <c r="R7223" t="s">
        <v>2632</v>
      </c>
      <c r="S7223">
        <v>36</v>
      </c>
      <c r="T7223" s="43" t="str">
        <f t="shared" si="322"/>
        <v>2020.095B.R.Leviviricetes.zip</v>
      </c>
      <c r="U7223" s="43" t="str">
        <f>HYPERLINK("https://ictv.global/taxonomy/taxondetails?taxnode_id=202210874","ictv.global=202210874")</f>
        <v>ictv.global=202210874</v>
      </c>
    </row>
    <row r="7224" spans="1:21">
      <c r="A7224">
        <v>7223</v>
      </c>
      <c r="B7224" s="29" t="s">
        <v>3223</v>
      </c>
      <c r="C7224" s="29"/>
      <c r="D7224" s="29" t="s">
        <v>4156</v>
      </c>
      <c r="E7224" s="29"/>
      <c r="F7224" s="29" t="s">
        <v>4202</v>
      </c>
      <c r="G7224" s="29"/>
      <c r="H7224" s="29" t="s">
        <v>5205</v>
      </c>
      <c r="I7224" s="29"/>
      <c r="J7224" s="29" t="s">
        <v>5206</v>
      </c>
      <c r="K7224" s="29"/>
      <c r="L7224" s="29" t="s">
        <v>5852</v>
      </c>
      <c r="M7224" s="29"/>
      <c r="N7224" s="29" t="s">
        <v>5872</v>
      </c>
      <c r="O7224" s="29"/>
      <c r="P7224" s="29" t="s">
        <v>5873</v>
      </c>
      <c r="Q7224" t="s">
        <v>2040</v>
      </c>
      <c r="R7224" t="s">
        <v>2632</v>
      </c>
      <c r="S7224">
        <v>36</v>
      </c>
      <c r="T7224" s="43" t="str">
        <f t="shared" si="322"/>
        <v>2020.095B.R.Leviviricetes.zip</v>
      </c>
      <c r="U7224" s="43" t="str">
        <f>HYPERLINK("https://ictv.global/taxonomy/taxondetails?taxnode_id=202210880","ictv.global=202210880")</f>
        <v>ictv.global=202210880</v>
      </c>
    </row>
    <row r="7225" spans="1:21">
      <c r="A7225">
        <v>7224</v>
      </c>
      <c r="B7225" s="29" t="s">
        <v>3223</v>
      </c>
      <c r="C7225" s="29"/>
      <c r="D7225" s="29" t="s">
        <v>4156</v>
      </c>
      <c r="E7225" s="29"/>
      <c r="F7225" s="29" t="s">
        <v>4202</v>
      </c>
      <c r="G7225" s="29"/>
      <c r="H7225" s="29" t="s">
        <v>5205</v>
      </c>
      <c r="I7225" s="29"/>
      <c r="J7225" s="29" t="s">
        <v>5206</v>
      </c>
      <c r="K7225" s="29"/>
      <c r="L7225" s="29" t="s">
        <v>5852</v>
      </c>
      <c r="M7225" s="29"/>
      <c r="N7225" s="29" t="s">
        <v>5872</v>
      </c>
      <c r="O7225" s="29"/>
      <c r="P7225" s="29" t="s">
        <v>5874</v>
      </c>
      <c r="Q7225" t="s">
        <v>2040</v>
      </c>
      <c r="R7225" t="s">
        <v>2632</v>
      </c>
      <c r="S7225">
        <v>36</v>
      </c>
      <c r="T7225" s="43" t="str">
        <f t="shared" si="322"/>
        <v>2020.095B.R.Leviviricetes.zip</v>
      </c>
      <c r="U7225" s="43" t="str">
        <f>HYPERLINK("https://ictv.global/taxonomy/taxondetails?taxnode_id=202210877","ictv.global=202210877")</f>
        <v>ictv.global=202210877</v>
      </c>
    </row>
    <row r="7226" spans="1:21">
      <c r="A7226">
        <v>7225</v>
      </c>
      <c r="B7226" s="29" t="s">
        <v>3223</v>
      </c>
      <c r="C7226" s="29"/>
      <c r="D7226" s="29" t="s">
        <v>4156</v>
      </c>
      <c r="E7226" s="29"/>
      <c r="F7226" s="29" t="s">
        <v>4202</v>
      </c>
      <c r="G7226" s="29"/>
      <c r="H7226" s="29" t="s">
        <v>5205</v>
      </c>
      <c r="I7226" s="29"/>
      <c r="J7226" s="29" t="s">
        <v>5206</v>
      </c>
      <c r="K7226" s="29"/>
      <c r="L7226" s="29" t="s">
        <v>5852</v>
      </c>
      <c r="M7226" s="29"/>
      <c r="N7226" s="29" t="s">
        <v>5872</v>
      </c>
      <c r="O7226" s="29"/>
      <c r="P7226" s="29" t="s">
        <v>5875</v>
      </c>
      <c r="Q7226" t="s">
        <v>2040</v>
      </c>
      <c r="R7226" t="s">
        <v>2632</v>
      </c>
      <c r="S7226">
        <v>36</v>
      </c>
      <c r="T7226" s="43" t="str">
        <f t="shared" si="322"/>
        <v>2020.095B.R.Leviviricetes.zip</v>
      </c>
      <c r="U7226" s="43" t="str">
        <f>HYPERLINK("https://ictv.global/taxonomy/taxondetails?taxnode_id=202210878","ictv.global=202210878")</f>
        <v>ictv.global=202210878</v>
      </c>
    </row>
    <row r="7227" spans="1:21">
      <c r="A7227">
        <v>7226</v>
      </c>
      <c r="B7227" s="29" t="s">
        <v>3223</v>
      </c>
      <c r="C7227" s="29"/>
      <c r="D7227" s="29" t="s">
        <v>4156</v>
      </c>
      <c r="E7227" s="29"/>
      <c r="F7227" s="29" t="s">
        <v>4202</v>
      </c>
      <c r="G7227" s="29"/>
      <c r="H7227" s="29" t="s">
        <v>5205</v>
      </c>
      <c r="I7227" s="29"/>
      <c r="J7227" s="29" t="s">
        <v>5206</v>
      </c>
      <c r="K7227" s="29"/>
      <c r="L7227" s="29" t="s">
        <v>5852</v>
      </c>
      <c r="M7227" s="29"/>
      <c r="N7227" s="29" t="s">
        <v>5872</v>
      </c>
      <c r="O7227" s="29"/>
      <c r="P7227" s="29" t="s">
        <v>5876</v>
      </c>
      <c r="Q7227" t="s">
        <v>2040</v>
      </c>
      <c r="R7227" t="s">
        <v>2632</v>
      </c>
      <c r="S7227">
        <v>36</v>
      </c>
      <c r="T7227" s="43" t="str">
        <f t="shared" si="322"/>
        <v>2020.095B.R.Leviviricetes.zip</v>
      </c>
      <c r="U7227" s="43" t="str">
        <f>HYPERLINK("https://ictv.global/taxonomy/taxondetails?taxnode_id=202210876","ictv.global=202210876")</f>
        <v>ictv.global=202210876</v>
      </c>
    </row>
    <row r="7228" spans="1:21">
      <c r="A7228">
        <v>7227</v>
      </c>
      <c r="B7228" s="29" t="s">
        <v>3223</v>
      </c>
      <c r="C7228" s="29"/>
      <c r="D7228" s="29" t="s">
        <v>4156</v>
      </c>
      <c r="E7228" s="29"/>
      <c r="F7228" s="29" t="s">
        <v>4202</v>
      </c>
      <c r="G7228" s="29"/>
      <c r="H7228" s="29" t="s">
        <v>5205</v>
      </c>
      <c r="I7228" s="29"/>
      <c r="J7228" s="29" t="s">
        <v>5206</v>
      </c>
      <c r="K7228" s="29"/>
      <c r="L7228" s="29" t="s">
        <v>5852</v>
      </c>
      <c r="M7228" s="29"/>
      <c r="N7228" s="29" t="s">
        <v>5872</v>
      </c>
      <c r="O7228" s="29"/>
      <c r="P7228" s="29" t="s">
        <v>5877</v>
      </c>
      <c r="Q7228" t="s">
        <v>2040</v>
      </c>
      <c r="R7228" t="s">
        <v>2632</v>
      </c>
      <c r="S7228">
        <v>36</v>
      </c>
      <c r="T7228" s="43" t="str">
        <f t="shared" si="322"/>
        <v>2020.095B.R.Leviviricetes.zip</v>
      </c>
      <c r="U7228" s="43" t="str">
        <f>HYPERLINK("https://ictv.global/taxonomy/taxondetails?taxnode_id=202210879","ictv.global=202210879")</f>
        <v>ictv.global=202210879</v>
      </c>
    </row>
    <row r="7229" spans="1:21">
      <c r="A7229">
        <v>7228</v>
      </c>
      <c r="B7229" s="29" t="s">
        <v>3223</v>
      </c>
      <c r="C7229" s="29"/>
      <c r="D7229" s="29" t="s">
        <v>4156</v>
      </c>
      <c r="E7229" s="29"/>
      <c r="F7229" s="29" t="s">
        <v>4202</v>
      </c>
      <c r="G7229" s="29"/>
      <c r="H7229" s="29" t="s">
        <v>5205</v>
      </c>
      <c r="I7229" s="29"/>
      <c r="J7229" s="29" t="s">
        <v>5206</v>
      </c>
      <c r="K7229" s="29"/>
      <c r="L7229" s="29" t="s">
        <v>5852</v>
      </c>
      <c r="M7229" s="29"/>
      <c r="N7229" s="29" t="s">
        <v>5878</v>
      </c>
      <c r="O7229" s="29"/>
      <c r="P7229" s="29" t="s">
        <v>5879</v>
      </c>
      <c r="Q7229" t="s">
        <v>2040</v>
      </c>
      <c r="R7229" t="s">
        <v>2632</v>
      </c>
      <c r="S7229">
        <v>36</v>
      </c>
      <c r="T7229" s="43" t="str">
        <f t="shared" si="322"/>
        <v>2020.095B.R.Leviviricetes.zip</v>
      </c>
      <c r="U7229" s="43" t="str">
        <f>HYPERLINK("https://ictv.global/taxonomy/taxondetails?taxnode_id=202210882","ictv.global=202210882")</f>
        <v>ictv.global=202210882</v>
      </c>
    </row>
    <row r="7230" spans="1:21">
      <c r="A7230">
        <v>7229</v>
      </c>
      <c r="B7230" s="29" t="s">
        <v>3223</v>
      </c>
      <c r="C7230" s="29"/>
      <c r="D7230" s="29" t="s">
        <v>4156</v>
      </c>
      <c r="E7230" s="29"/>
      <c r="F7230" s="29" t="s">
        <v>4202</v>
      </c>
      <c r="G7230" s="29"/>
      <c r="H7230" s="29" t="s">
        <v>5205</v>
      </c>
      <c r="I7230" s="29"/>
      <c r="J7230" s="29" t="s">
        <v>5206</v>
      </c>
      <c r="K7230" s="29"/>
      <c r="L7230" s="29" t="s">
        <v>5852</v>
      </c>
      <c r="M7230" s="29"/>
      <c r="N7230" s="29" t="s">
        <v>5880</v>
      </c>
      <c r="O7230" s="29"/>
      <c r="P7230" s="29" t="s">
        <v>5881</v>
      </c>
      <c r="Q7230" t="s">
        <v>2040</v>
      </c>
      <c r="R7230" t="s">
        <v>2632</v>
      </c>
      <c r="S7230">
        <v>36</v>
      </c>
      <c r="T7230" s="43" t="str">
        <f t="shared" si="322"/>
        <v>2020.095B.R.Leviviricetes.zip</v>
      </c>
      <c r="U7230" s="43" t="str">
        <f>HYPERLINK("https://ictv.global/taxonomy/taxondetails?taxnode_id=202210884","ictv.global=202210884")</f>
        <v>ictv.global=202210884</v>
      </c>
    </row>
    <row r="7231" spans="1:21">
      <c r="A7231">
        <v>7230</v>
      </c>
      <c r="B7231" s="29" t="s">
        <v>3223</v>
      </c>
      <c r="C7231" s="29"/>
      <c r="D7231" s="29" t="s">
        <v>4156</v>
      </c>
      <c r="E7231" s="29"/>
      <c r="F7231" s="29" t="s">
        <v>4202</v>
      </c>
      <c r="G7231" s="29"/>
      <c r="H7231" s="29" t="s">
        <v>5205</v>
      </c>
      <c r="I7231" s="29"/>
      <c r="J7231" s="29" t="s">
        <v>5206</v>
      </c>
      <c r="K7231" s="29"/>
      <c r="L7231" s="29" t="s">
        <v>5852</v>
      </c>
      <c r="M7231" s="29"/>
      <c r="N7231" s="29" t="s">
        <v>5882</v>
      </c>
      <c r="O7231" s="29"/>
      <c r="P7231" s="29" t="s">
        <v>5883</v>
      </c>
      <c r="Q7231" t="s">
        <v>2040</v>
      </c>
      <c r="R7231" t="s">
        <v>2632</v>
      </c>
      <c r="S7231">
        <v>36</v>
      </c>
      <c r="T7231" s="43" t="str">
        <f t="shared" si="322"/>
        <v>2020.095B.R.Leviviricetes.zip</v>
      </c>
      <c r="U7231" s="43" t="str">
        <f>HYPERLINK("https://ictv.global/taxonomy/taxondetails?taxnode_id=202210886","ictv.global=202210886")</f>
        <v>ictv.global=202210886</v>
      </c>
    </row>
    <row r="7232" spans="1:21">
      <c r="A7232">
        <v>7231</v>
      </c>
      <c r="B7232" s="29" t="s">
        <v>3223</v>
      </c>
      <c r="C7232" s="29"/>
      <c r="D7232" s="29" t="s">
        <v>4156</v>
      </c>
      <c r="E7232" s="29"/>
      <c r="F7232" s="29" t="s">
        <v>4202</v>
      </c>
      <c r="G7232" s="29"/>
      <c r="H7232" s="29" t="s">
        <v>5205</v>
      </c>
      <c r="I7232" s="29"/>
      <c r="J7232" s="29" t="s">
        <v>5206</v>
      </c>
      <c r="K7232" s="29"/>
      <c r="L7232" s="29" t="s">
        <v>5852</v>
      </c>
      <c r="M7232" s="29"/>
      <c r="N7232" s="29" t="s">
        <v>5882</v>
      </c>
      <c r="O7232" s="29"/>
      <c r="P7232" s="29" t="s">
        <v>5884</v>
      </c>
      <c r="Q7232" t="s">
        <v>2040</v>
      </c>
      <c r="R7232" t="s">
        <v>2632</v>
      </c>
      <c r="S7232">
        <v>36</v>
      </c>
      <c r="T7232" s="43" t="str">
        <f t="shared" si="322"/>
        <v>2020.095B.R.Leviviricetes.zip</v>
      </c>
      <c r="U7232" s="43" t="str">
        <f>HYPERLINK("https://ictv.global/taxonomy/taxondetails?taxnode_id=202210887","ictv.global=202210887")</f>
        <v>ictv.global=202210887</v>
      </c>
    </row>
    <row r="7233" spans="1:21">
      <c r="A7233">
        <v>7232</v>
      </c>
      <c r="B7233" s="29" t="s">
        <v>3223</v>
      </c>
      <c r="C7233" s="29"/>
      <c r="D7233" s="29" t="s">
        <v>4156</v>
      </c>
      <c r="E7233" s="29"/>
      <c r="F7233" s="29" t="s">
        <v>4202</v>
      </c>
      <c r="G7233" s="29"/>
      <c r="H7233" s="29" t="s">
        <v>5205</v>
      </c>
      <c r="I7233" s="29"/>
      <c r="J7233" s="29" t="s">
        <v>5206</v>
      </c>
      <c r="K7233" s="29"/>
      <c r="L7233" s="29" t="s">
        <v>5852</v>
      </c>
      <c r="M7233" s="29"/>
      <c r="N7233" s="29" t="s">
        <v>5885</v>
      </c>
      <c r="O7233" s="29"/>
      <c r="P7233" s="29" t="s">
        <v>5886</v>
      </c>
      <c r="Q7233" t="s">
        <v>2040</v>
      </c>
      <c r="R7233" t="s">
        <v>2632</v>
      </c>
      <c r="S7233">
        <v>36</v>
      </c>
      <c r="T7233" s="43" t="str">
        <f t="shared" si="322"/>
        <v>2020.095B.R.Leviviricetes.zip</v>
      </c>
      <c r="U7233" s="43" t="str">
        <f>HYPERLINK("https://ictv.global/taxonomy/taxondetails?taxnode_id=202210889","ictv.global=202210889")</f>
        <v>ictv.global=202210889</v>
      </c>
    </row>
    <row r="7234" spans="1:21">
      <c r="A7234">
        <v>7233</v>
      </c>
      <c r="B7234" s="29" t="s">
        <v>3223</v>
      </c>
      <c r="C7234" s="29"/>
      <c r="D7234" s="29" t="s">
        <v>4156</v>
      </c>
      <c r="E7234" s="29"/>
      <c r="F7234" s="29" t="s">
        <v>4202</v>
      </c>
      <c r="G7234" s="29"/>
      <c r="H7234" s="29" t="s">
        <v>5205</v>
      </c>
      <c r="I7234" s="29"/>
      <c r="J7234" s="29" t="s">
        <v>5206</v>
      </c>
      <c r="K7234" s="29"/>
      <c r="L7234" s="29" t="s">
        <v>5852</v>
      </c>
      <c r="M7234" s="29"/>
      <c r="N7234" s="29" t="s">
        <v>5887</v>
      </c>
      <c r="O7234" s="29"/>
      <c r="P7234" s="29" t="s">
        <v>5888</v>
      </c>
      <c r="Q7234" t="s">
        <v>2040</v>
      </c>
      <c r="R7234" t="s">
        <v>2632</v>
      </c>
      <c r="S7234">
        <v>36</v>
      </c>
      <c r="T7234" s="43" t="str">
        <f t="shared" si="322"/>
        <v>2020.095B.R.Leviviricetes.zip</v>
      </c>
      <c r="U7234" s="43" t="str">
        <f>HYPERLINK("https://ictv.global/taxonomy/taxondetails?taxnode_id=202210891","ictv.global=202210891")</f>
        <v>ictv.global=202210891</v>
      </c>
    </row>
    <row r="7235" spans="1:21">
      <c r="A7235">
        <v>7234</v>
      </c>
      <c r="B7235" s="29" t="s">
        <v>3223</v>
      </c>
      <c r="C7235" s="29"/>
      <c r="D7235" s="29" t="s">
        <v>4156</v>
      </c>
      <c r="E7235" s="29"/>
      <c r="F7235" s="29" t="s">
        <v>4202</v>
      </c>
      <c r="G7235" s="29"/>
      <c r="H7235" s="29" t="s">
        <v>5205</v>
      </c>
      <c r="I7235" s="29"/>
      <c r="J7235" s="29" t="s">
        <v>5206</v>
      </c>
      <c r="K7235" s="29"/>
      <c r="L7235" s="29" t="s">
        <v>5852</v>
      </c>
      <c r="M7235" s="29"/>
      <c r="N7235" s="29" t="s">
        <v>5889</v>
      </c>
      <c r="O7235" s="29"/>
      <c r="P7235" s="29" t="s">
        <v>5890</v>
      </c>
      <c r="Q7235" t="s">
        <v>2040</v>
      </c>
      <c r="R7235" t="s">
        <v>2632</v>
      </c>
      <c r="S7235">
        <v>36</v>
      </c>
      <c r="T7235" s="43" t="str">
        <f t="shared" si="322"/>
        <v>2020.095B.R.Leviviricetes.zip</v>
      </c>
      <c r="U7235" s="43" t="str">
        <f>HYPERLINK("https://ictv.global/taxonomy/taxondetails?taxnode_id=202210893","ictv.global=202210893")</f>
        <v>ictv.global=202210893</v>
      </c>
    </row>
    <row r="7236" spans="1:21">
      <c r="A7236">
        <v>7235</v>
      </c>
      <c r="B7236" s="29" t="s">
        <v>3223</v>
      </c>
      <c r="C7236" s="29"/>
      <c r="D7236" s="29" t="s">
        <v>4156</v>
      </c>
      <c r="E7236" s="29"/>
      <c r="F7236" s="29" t="s">
        <v>4202</v>
      </c>
      <c r="G7236" s="29"/>
      <c r="H7236" s="29" t="s">
        <v>5205</v>
      </c>
      <c r="I7236" s="29"/>
      <c r="J7236" s="29" t="s">
        <v>5206</v>
      </c>
      <c r="K7236" s="29"/>
      <c r="L7236" s="29" t="s">
        <v>5852</v>
      </c>
      <c r="M7236" s="29"/>
      <c r="N7236" s="29" t="s">
        <v>5891</v>
      </c>
      <c r="O7236" s="29"/>
      <c r="P7236" s="29" t="s">
        <v>5892</v>
      </c>
      <c r="Q7236" t="s">
        <v>2040</v>
      </c>
      <c r="R7236" t="s">
        <v>2632</v>
      </c>
      <c r="S7236">
        <v>36</v>
      </c>
      <c r="T7236" s="43" t="str">
        <f t="shared" si="322"/>
        <v>2020.095B.R.Leviviricetes.zip</v>
      </c>
      <c r="U7236" s="43" t="str">
        <f>HYPERLINK("https://ictv.global/taxonomy/taxondetails?taxnode_id=202210895","ictv.global=202210895")</f>
        <v>ictv.global=202210895</v>
      </c>
    </row>
    <row r="7237" spans="1:21">
      <c r="A7237">
        <v>7236</v>
      </c>
      <c r="B7237" s="29" t="s">
        <v>3223</v>
      </c>
      <c r="C7237" s="29"/>
      <c r="D7237" s="29" t="s">
        <v>4156</v>
      </c>
      <c r="E7237" s="29"/>
      <c r="F7237" s="29" t="s">
        <v>4202</v>
      </c>
      <c r="G7237" s="29"/>
      <c r="H7237" s="29" t="s">
        <v>5205</v>
      </c>
      <c r="I7237" s="29"/>
      <c r="J7237" s="29" t="s">
        <v>5206</v>
      </c>
      <c r="K7237" s="29"/>
      <c r="L7237" s="29" t="s">
        <v>5852</v>
      </c>
      <c r="M7237" s="29"/>
      <c r="N7237" s="29" t="s">
        <v>5891</v>
      </c>
      <c r="O7237" s="29"/>
      <c r="P7237" s="29" t="s">
        <v>5893</v>
      </c>
      <c r="Q7237" t="s">
        <v>2040</v>
      </c>
      <c r="R7237" t="s">
        <v>2632</v>
      </c>
      <c r="S7237">
        <v>36</v>
      </c>
      <c r="T7237" s="43" t="str">
        <f t="shared" si="322"/>
        <v>2020.095B.R.Leviviricetes.zip</v>
      </c>
      <c r="U7237" s="43" t="str">
        <f>HYPERLINK("https://ictv.global/taxonomy/taxondetails?taxnode_id=202210896","ictv.global=202210896")</f>
        <v>ictv.global=202210896</v>
      </c>
    </row>
    <row r="7238" spans="1:21">
      <c r="A7238">
        <v>7237</v>
      </c>
      <c r="B7238" s="29" t="s">
        <v>3223</v>
      </c>
      <c r="C7238" s="29"/>
      <c r="D7238" s="29" t="s">
        <v>4156</v>
      </c>
      <c r="E7238" s="29"/>
      <c r="F7238" s="29" t="s">
        <v>4202</v>
      </c>
      <c r="G7238" s="29"/>
      <c r="H7238" s="29" t="s">
        <v>5205</v>
      </c>
      <c r="I7238" s="29"/>
      <c r="J7238" s="29" t="s">
        <v>5206</v>
      </c>
      <c r="K7238" s="29"/>
      <c r="L7238" s="29" t="s">
        <v>5852</v>
      </c>
      <c r="M7238" s="29"/>
      <c r="N7238" s="29" t="s">
        <v>5894</v>
      </c>
      <c r="O7238" s="29"/>
      <c r="P7238" s="29" t="s">
        <v>5895</v>
      </c>
      <c r="Q7238" t="s">
        <v>2040</v>
      </c>
      <c r="R7238" t="s">
        <v>2632</v>
      </c>
      <c r="S7238">
        <v>36</v>
      </c>
      <c r="T7238" s="43" t="str">
        <f t="shared" si="322"/>
        <v>2020.095B.R.Leviviricetes.zip</v>
      </c>
      <c r="U7238" s="43" t="str">
        <f>HYPERLINK("https://ictv.global/taxonomy/taxondetails?taxnode_id=202210898","ictv.global=202210898")</f>
        <v>ictv.global=202210898</v>
      </c>
    </row>
    <row r="7239" spans="1:21">
      <c r="A7239">
        <v>7238</v>
      </c>
      <c r="B7239" s="29" t="s">
        <v>3223</v>
      </c>
      <c r="C7239" s="29"/>
      <c r="D7239" s="29" t="s">
        <v>4156</v>
      </c>
      <c r="E7239" s="29"/>
      <c r="F7239" s="29" t="s">
        <v>4202</v>
      </c>
      <c r="G7239" s="29"/>
      <c r="H7239" s="29" t="s">
        <v>5205</v>
      </c>
      <c r="I7239" s="29"/>
      <c r="J7239" s="29" t="s">
        <v>5206</v>
      </c>
      <c r="K7239" s="29"/>
      <c r="L7239" s="29" t="s">
        <v>5852</v>
      </c>
      <c r="M7239" s="29"/>
      <c r="N7239" s="29" t="s">
        <v>5896</v>
      </c>
      <c r="O7239" s="29"/>
      <c r="P7239" s="29" t="s">
        <v>5897</v>
      </c>
      <c r="Q7239" t="s">
        <v>2040</v>
      </c>
      <c r="R7239" t="s">
        <v>2632</v>
      </c>
      <c r="S7239">
        <v>36</v>
      </c>
      <c r="T7239" s="43" t="str">
        <f t="shared" si="322"/>
        <v>2020.095B.R.Leviviricetes.zip</v>
      </c>
      <c r="U7239" s="43" t="str">
        <f>HYPERLINK("https://ictv.global/taxonomy/taxondetails?taxnode_id=202210900","ictv.global=202210900")</f>
        <v>ictv.global=202210900</v>
      </c>
    </row>
    <row r="7240" spans="1:21">
      <c r="A7240">
        <v>7239</v>
      </c>
      <c r="B7240" s="29" t="s">
        <v>3223</v>
      </c>
      <c r="C7240" s="29"/>
      <c r="D7240" s="29" t="s">
        <v>4156</v>
      </c>
      <c r="E7240" s="29"/>
      <c r="F7240" s="29" t="s">
        <v>4202</v>
      </c>
      <c r="G7240" s="29"/>
      <c r="H7240" s="29" t="s">
        <v>5205</v>
      </c>
      <c r="I7240" s="29"/>
      <c r="J7240" s="29" t="s">
        <v>5206</v>
      </c>
      <c r="K7240" s="29"/>
      <c r="L7240" s="29" t="s">
        <v>5852</v>
      </c>
      <c r="M7240" s="29"/>
      <c r="N7240" s="29" t="s">
        <v>5898</v>
      </c>
      <c r="O7240" s="29"/>
      <c r="P7240" s="29" t="s">
        <v>5899</v>
      </c>
      <c r="Q7240" t="s">
        <v>2040</v>
      </c>
      <c r="R7240" t="s">
        <v>2632</v>
      </c>
      <c r="S7240">
        <v>36</v>
      </c>
      <c r="T7240" s="43" t="str">
        <f t="shared" si="322"/>
        <v>2020.095B.R.Leviviricetes.zip</v>
      </c>
      <c r="U7240" s="43" t="str">
        <f>HYPERLINK("https://ictv.global/taxonomy/taxondetails?taxnode_id=202210902","ictv.global=202210902")</f>
        <v>ictv.global=202210902</v>
      </c>
    </row>
    <row r="7241" spans="1:21">
      <c r="A7241">
        <v>7240</v>
      </c>
      <c r="B7241" s="29" t="s">
        <v>3223</v>
      </c>
      <c r="C7241" s="29"/>
      <c r="D7241" s="29" t="s">
        <v>4156</v>
      </c>
      <c r="E7241" s="29"/>
      <c r="F7241" s="29" t="s">
        <v>4202</v>
      </c>
      <c r="G7241" s="29"/>
      <c r="H7241" s="29" t="s">
        <v>5205</v>
      </c>
      <c r="I7241" s="29"/>
      <c r="J7241" s="29" t="s">
        <v>5206</v>
      </c>
      <c r="K7241" s="29"/>
      <c r="L7241" s="29" t="s">
        <v>5852</v>
      </c>
      <c r="M7241" s="29"/>
      <c r="N7241" s="29" t="s">
        <v>5900</v>
      </c>
      <c r="O7241" s="29"/>
      <c r="P7241" s="29" t="s">
        <v>5901</v>
      </c>
      <c r="Q7241" t="s">
        <v>2040</v>
      </c>
      <c r="R7241" t="s">
        <v>2632</v>
      </c>
      <c r="S7241">
        <v>36</v>
      </c>
      <c r="T7241" s="43" t="str">
        <f t="shared" si="322"/>
        <v>2020.095B.R.Leviviricetes.zip</v>
      </c>
      <c r="U7241" s="43" t="str">
        <f>HYPERLINK("https://ictv.global/taxonomy/taxondetails?taxnode_id=202210904","ictv.global=202210904")</f>
        <v>ictv.global=202210904</v>
      </c>
    </row>
    <row r="7242" spans="1:21">
      <c r="A7242">
        <v>7241</v>
      </c>
      <c r="B7242" s="29" t="s">
        <v>3223</v>
      </c>
      <c r="C7242" s="29"/>
      <c r="D7242" s="29" t="s">
        <v>4156</v>
      </c>
      <c r="E7242" s="29"/>
      <c r="F7242" s="29" t="s">
        <v>4202</v>
      </c>
      <c r="G7242" s="29"/>
      <c r="H7242" s="29" t="s">
        <v>5205</v>
      </c>
      <c r="I7242" s="29"/>
      <c r="J7242" s="29" t="s">
        <v>5206</v>
      </c>
      <c r="K7242" s="29"/>
      <c r="L7242" s="29" t="s">
        <v>5852</v>
      </c>
      <c r="M7242" s="29"/>
      <c r="N7242" s="29" t="s">
        <v>5902</v>
      </c>
      <c r="O7242" s="29"/>
      <c r="P7242" s="29" t="s">
        <v>5903</v>
      </c>
      <c r="Q7242" t="s">
        <v>2040</v>
      </c>
      <c r="R7242" t="s">
        <v>2632</v>
      </c>
      <c r="S7242">
        <v>36</v>
      </c>
      <c r="T7242" s="43" t="str">
        <f t="shared" si="322"/>
        <v>2020.095B.R.Leviviricetes.zip</v>
      </c>
      <c r="U7242" s="43" t="str">
        <f>HYPERLINK("https://ictv.global/taxonomy/taxondetails?taxnode_id=202210906","ictv.global=202210906")</f>
        <v>ictv.global=202210906</v>
      </c>
    </row>
    <row r="7243" spans="1:21">
      <c r="A7243">
        <v>7242</v>
      </c>
      <c r="B7243" s="29" t="s">
        <v>3223</v>
      </c>
      <c r="C7243" s="29"/>
      <c r="D7243" s="29" t="s">
        <v>4156</v>
      </c>
      <c r="E7243" s="29"/>
      <c r="F7243" s="29" t="s">
        <v>4202</v>
      </c>
      <c r="G7243" s="29"/>
      <c r="H7243" s="29" t="s">
        <v>5205</v>
      </c>
      <c r="I7243" s="29"/>
      <c r="J7243" s="29" t="s">
        <v>5206</v>
      </c>
      <c r="K7243" s="29"/>
      <c r="L7243" s="29" t="s">
        <v>5852</v>
      </c>
      <c r="M7243" s="29"/>
      <c r="N7243" s="29" t="s">
        <v>5904</v>
      </c>
      <c r="O7243" s="29"/>
      <c r="P7243" s="29" t="s">
        <v>5905</v>
      </c>
      <c r="Q7243" t="s">
        <v>2040</v>
      </c>
      <c r="R7243" t="s">
        <v>2632</v>
      </c>
      <c r="S7243">
        <v>36</v>
      </c>
      <c r="T7243" s="43" t="str">
        <f t="shared" si="322"/>
        <v>2020.095B.R.Leviviricetes.zip</v>
      </c>
      <c r="U7243" s="43" t="str">
        <f>HYPERLINK("https://ictv.global/taxonomy/taxondetails?taxnode_id=202210908","ictv.global=202210908")</f>
        <v>ictv.global=202210908</v>
      </c>
    </row>
    <row r="7244" spans="1:21">
      <c r="A7244">
        <v>7243</v>
      </c>
      <c r="B7244" s="29" t="s">
        <v>3223</v>
      </c>
      <c r="C7244" s="29"/>
      <c r="D7244" s="29" t="s">
        <v>4156</v>
      </c>
      <c r="E7244" s="29"/>
      <c r="F7244" s="29" t="s">
        <v>4202</v>
      </c>
      <c r="G7244" s="29"/>
      <c r="H7244" s="29" t="s">
        <v>5205</v>
      </c>
      <c r="I7244" s="29"/>
      <c r="J7244" s="29" t="s">
        <v>5206</v>
      </c>
      <c r="K7244" s="29"/>
      <c r="L7244" s="29" t="s">
        <v>5852</v>
      </c>
      <c r="M7244" s="29"/>
      <c r="N7244" s="29" t="s">
        <v>5906</v>
      </c>
      <c r="O7244" s="29"/>
      <c r="P7244" s="29" t="s">
        <v>5907</v>
      </c>
      <c r="Q7244" t="s">
        <v>2040</v>
      </c>
      <c r="R7244" t="s">
        <v>2632</v>
      </c>
      <c r="S7244">
        <v>36</v>
      </c>
      <c r="T7244" s="43" t="str">
        <f t="shared" si="322"/>
        <v>2020.095B.R.Leviviricetes.zip</v>
      </c>
      <c r="U7244" s="43" t="str">
        <f>HYPERLINK("https://ictv.global/taxonomy/taxondetails?taxnode_id=202210910","ictv.global=202210910")</f>
        <v>ictv.global=202210910</v>
      </c>
    </row>
    <row r="7245" spans="1:21">
      <c r="A7245">
        <v>7244</v>
      </c>
      <c r="B7245" s="29" t="s">
        <v>3223</v>
      </c>
      <c r="C7245" s="29"/>
      <c r="D7245" s="29" t="s">
        <v>4156</v>
      </c>
      <c r="E7245" s="29"/>
      <c r="F7245" s="29" t="s">
        <v>4202</v>
      </c>
      <c r="G7245" s="29"/>
      <c r="H7245" s="29" t="s">
        <v>5205</v>
      </c>
      <c r="I7245" s="29"/>
      <c r="J7245" s="29" t="s">
        <v>5908</v>
      </c>
      <c r="K7245" s="29"/>
      <c r="L7245" s="29" t="s">
        <v>5909</v>
      </c>
      <c r="M7245" s="29"/>
      <c r="N7245" s="29" t="s">
        <v>5910</v>
      </c>
      <c r="O7245" s="29"/>
      <c r="P7245" s="29" t="s">
        <v>5911</v>
      </c>
      <c r="Q7245" t="s">
        <v>2040</v>
      </c>
      <c r="R7245" t="s">
        <v>2632</v>
      </c>
      <c r="S7245">
        <v>36</v>
      </c>
      <c r="T7245" s="43" t="str">
        <f t="shared" si="322"/>
        <v>2020.095B.R.Leviviricetes.zip</v>
      </c>
      <c r="U7245" s="43" t="str">
        <f>HYPERLINK("https://ictv.global/taxonomy/taxondetails?taxnode_id=202210914","ictv.global=202210914")</f>
        <v>ictv.global=202210914</v>
      </c>
    </row>
    <row r="7246" spans="1:21">
      <c r="A7246">
        <v>7245</v>
      </c>
      <c r="B7246" s="29" t="s">
        <v>3223</v>
      </c>
      <c r="C7246" s="29"/>
      <c r="D7246" s="29" t="s">
        <v>4156</v>
      </c>
      <c r="E7246" s="29"/>
      <c r="F7246" s="29" t="s">
        <v>4202</v>
      </c>
      <c r="G7246" s="29"/>
      <c r="H7246" s="29" t="s">
        <v>5205</v>
      </c>
      <c r="I7246" s="29"/>
      <c r="J7246" s="29" t="s">
        <v>5908</v>
      </c>
      <c r="K7246" s="29"/>
      <c r="L7246" s="29" t="s">
        <v>5909</v>
      </c>
      <c r="M7246" s="29"/>
      <c r="N7246" s="29" t="s">
        <v>5912</v>
      </c>
      <c r="O7246" s="29"/>
      <c r="P7246" s="29" t="s">
        <v>5913</v>
      </c>
      <c r="Q7246" t="s">
        <v>2040</v>
      </c>
      <c r="R7246" t="s">
        <v>2632</v>
      </c>
      <c r="S7246">
        <v>36</v>
      </c>
      <c r="T7246" s="43" t="str">
        <f t="shared" si="322"/>
        <v>2020.095B.R.Leviviricetes.zip</v>
      </c>
      <c r="U7246" s="43" t="str">
        <f>HYPERLINK("https://ictv.global/taxonomy/taxondetails?taxnode_id=202210916","ictv.global=202210916")</f>
        <v>ictv.global=202210916</v>
      </c>
    </row>
    <row r="7247" spans="1:21">
      <c r="A7247">
        <v>7246</v>
      </c>
      <c r="B7247" s="29" t="s">
        <v>3223</v>
      </c>
      <c r="C7247" s="29"/>
      <c r="D7247" s="29" t="s">
        <v>4156</v>
      </c>
      <c r="E7247" s="29"/>
      <c r="F7247" s="29" t="s">
        <v>4202</v>
      </c>
      <c r="G7247" s="29"/>
      <c r="H7247" s="29" t="s">
        <v>5205</v>
      </c>
      <c r="I7247" s="29"/>
      <c r="J7247" s="29" t="s">
        <v>5908</v>
      </c>
      <c r="K7247" s="29"/>
      <c r="L7247" s="29" t="s">
        <v>5909</v>
      </c>
      <c r="M7247" s="29"/>
      <c r="N7247" s="29" t="s">
        <v>5914</v>
      </c>
      <c r="O7247" s="29"/>
      <c r="P7247" s="29" t="s">
        <v>5915</v>
      </c>
      <c r="Q7247" t="s">
        <v>2040</v>
      </c>
      <c r="R7247" t="s">
        <v>2632</v>
      </c>
      <c r="S7247">
        <v>36</v>
      </c>
      <c r="T7247" s="43" t="str">
        <f t="shared" si="322"/>
        <v>2020.095B.R.Leviviricetes.zip</v>
      </c>
      <c r="U7247" s="43" t="str">
        <f>HYPERLINK("https://ictv.global/taxonomy/taxondetails?taxnode_id=202210918","ictv.global=202210918")</f>
        <v>ictv.global=202210918</v>
      </c>
    </row>
    <row r="7248" spans="1:21">
      <c r="A7248">
        <v>7247</v>
      </c>
      <c r="B7248" s="29" t="s">
        <v>3223</v>
      </c>
      <c r="C7248" s="29"/>
      <c r="D7248" s="29" t="s">
        <v>4156</v>
      </c>
      <c r="E7248" s="29"/>
      <c r="F7248" s="29" t="s">
        <v>4202</v>
      </c>
      <c r="G7248" s="29"/>
      <c r="H7248" s="29" t="s">
        <v>5205</v>
      </c>
      <c r="I7248" s="29"/>
      <c r="J7248" s="29" t="s">
        <v>5908</v>
      </c>
      <c r="K7248" s="29"/>
      <c r="L7248" s="29" t="s">
        <v>5909</v>
      </c>
      <c r="M7248" s="29"/>
      <c r="N7248" s="29" t="s">
        <v>5916</v>
      </c>
      <c r="O7248" s="29"/>
      <c r="P7248" s="29" t="s">
        <v>5917</v>
      </c>
      <c r="Q7248" t="s">
        <v>2040</v>
      </c>
      <c r="R7248" t="s">
        <v>2632</v>
      </c>
      <c r="S7248">
        <v>36</v>
      </c>
      <c r="T7248" s="43" t="str">
        <f t="shared" si="322"/>
        <v>2020.095B.R.Leviviricetes.zip</v>
      </c>
      <c r="U7248" s="43" t="str">
        <f>HYPERLINK("https://ictv.global/taxonomy/taxondetails?taxnode_id=202210920","ictv.global=202210920")</f>
        <v>ictv.global=202210920</v>
      </c>
    </row>
    <row r="7249" spans="1:21">
      <c r="A7249">
        <v>7248</v>
      </c>
      <c r="B7249" s="29" t="s">
        <v>3223</v>
      </c>
      <c r="C7249" s="29"/>
      <c r="D7249" s="29" t="s">
        <v>4156</v>
      </c>
      <c r="E7249" s="29"/>
      <c r="F7249" s="29" t="s">
        <v>4202</v>
      </c>
      <c r="G7249" s="29"/>
      <c r="H7249" s="29" t="s">
        <v>5205</v>
      </c>
      <c r="I7249" s="29"/>
      <c r="J7249" s="29" t="s">
        <v>5908</v>
      </c>
      <c r="K7249" s="29"/>
      <c r="L7249" s="29" t="s">
        <v>5909</v>
      </c>
      <c r="M7249" s="29"/>
      <c r="N7249" s="29" t="s">
        <v>5918</v>
      </c>
      <c r="O7249" s="29"/>
      <c r="P7249" s="29" t="s">
        <v>5919</v>
      </c>
      <c r="Q7249" t="s">
        <v>2040</v>
      </c>
      <c r="R7249" t="s">
        <v>2632</v>
      </c>
      <c r="S7249">
        <v>36</v>
      </c>
      <c r="T7249" s="43" t="str">
        <f t="shared" si="322"/>
        <v>2020.095B.R.Leviviricetes.zip</v>
      </c>
      <c r="U7249" s="43" t="str">
        <f>HYPERLINK("https://ictv.global/taxonomy/taxondetails?taxnode_id=202210922","ictv.global=202210922")</f>
        <v>ictv.global=202210922</v>
      </c>
    </row>
    <row r="7250" spans="1:21">
      <c r="A7250">
        <v>7249</v>
      </c>
      <c r="B7250" s="29" t="s">
        <v>3223</v>
      </c>
      <c r="C7250" s="29"/>
      <c r="D7250" s="29" t="s">
        <v>4156</v>
      </c>
      <c r="E7250" s="29"/>
      <c r="F7250" s="29" t="s">
        <v>4202</v>
      </c>
      <c r="G7250" s="29"/>
      <c r="H7250" s="29" t="s">
        <v>5205</v>
      </c>
      <c r="I7250" s="29"/>
      <c r="J7250" s="29" t="s">
        <v>5908</v>
      </c>
      <c r="K7250" s="29"/>
      <c r="L7250" s="29" t="s">
        <v>5909</v>
      </c>
      <c r="M7250" s="29"/>
      <c r="N7250" s="29" t="s">
        <v>5920</v>
      </c>
      <c r="O7250" s="29"/>
      <c r="P7250" s="29" t="s">
        <v>5921</v>
      </c>
      <c r="Q7250" t="s">
        <v>2040</v>
      </c>
      <c r="R7250" t="s">
        <v>2632</v>
      </c>
      <c r="S7250">
        <v>36</v>
      </c>
      <c r="T7250" s="43" t="str">
        <f t="shared" si="322"/>
        <v>2020.095B.R.Leviviricetes.zip</v>
      </c>
      <c r="U7250" s="43" t="str">
        <f>HYPERLINK("https://ictv.global/taxonomy/taxondetails?taxnode_id=202210924","ictv.global=202210924")</f>
        <v>ictv.global=202210924</v>
      </c>
    </row>
    <row r="7251" spans="1:21">
      <c r="A7251">
        <v>7250</v>
      </c>
      <c r="B7251" s="29" t="s">
        <v>3223</v>
      </c>
      <c r="C7251" s="29"/>
      <c r="D7251" s="29" t="s">
        <v>4156</v>
      </c>
      <c r="E7251" s="29"/>
      <c r="F7251" s="29" t="s">
        <v>4202</v>
      </c>
      <c r="G7251" s="29"/>
      <c r="H7251" s="29" t="s">
        <v>5205</v>
      </c>
      <c r="I7251" s="29"/>
      <c r="J7251" s="29" t="s">
        <v>5908</v>
      </c>
      <c r="K7251" s="29"/>
      <c r="L7251" s="29" t="s">
        <v>5909</v>
      </c>
      <c r="M7251" s="29"/>
      <c r="N7251" s="29" t="s">
        <v>5922</v>
      </c>
      <c r="O7251" s="29"/>
      <c r="P7251" s="29" t="s">
        <v>5923</v>
      </c>
      <c r="Q7251" t="s">
        <v>2040</v>
      </c>
      <c r="R7251" t="s">
        <v>2632</v>
      </c>
      <c r="S7251">
        <v>36</v>
      </c>
      <c r="T7251" s="43" t="str">
        <f t="shared" si="322"/>
        <v>2020.095B.R.Leviviricetes.zip</v>
      </c>
      <c r="U7251" s="43" t="str">
        <f>HYPERLINK("https://ictv.global/taxonomy/taxondetails?taxnode_id=202210926","ictv.global=202210926")</f>
        <v>ictv.global=202210926</v>
      </c>
    </row>
    <row r="7252" spans="1:21">
      <c r="A7252">
        <v>7251</v>
      </c>
      <c r="B7252" s="29" t="s">
        <v>3223</v>
      </c>
      <c r="C7252" s="29"/>
      <c r="D7252" s="29" t="s">
        <v>4156</v>
      </c>
      <c r="E7252" s="29"/>
      <c r="F7252" s="29" t="s">
        <v>4202</v>
      </c>
      <c r="G7252" s="29"/>
      <c r="H7252" s="29" t="s">
        <v>5205</v>
      </c>
      <c r="I7252" s="29"/>
      <c r="J7252" s="29" t="s">
        <v>5908</v>
      </c>
      <c r="K7252" s="29"/>
      <c r="L7252" s="29" t="s">
        <v>5909</v>
      </c>
      <c r="M7252" s="29"/>
      <c r="N7252" s="29" t="s">
        <v>5924</v>
      </c>
      <c r="O7252" s="29"/>
      <c r="P7252" s="29" t="s">
        <v>5925</v>
      </c>
      <c r="Q7252" t="s">
        <v>2040</v>
      </c>
      <c r="R7252" t="s">
        <v>2632</v>
      </c>
      <c r="S7252">
        <v>36</v>
      </c>
      <c r="T7252" s="43" t="str">
        <f t="shared" si="322"/>
        <v>2020.095B.R.Leviviricetes.zip</v>
      </c>
      <c r="U7252" s="43" t="str">
        <f>HYPERLINK("https://ictv.global/taxonomy/taxondetails?taxnode_id=202210928","ictv.global=202210928")</f>
        <v>ictv.global=202210928</v>
      </c>
    </row>
    <row r="7253" spans="1:21">
      <c r="A7253">
        <v>7252</v>
      </c>
      <c r="B7253" s="29" t="s">
        <v>3223</v>
      </c>
      <c r="C7253" s="29"/>
      <c r="D7253" s="29" t="s">
        <v>4156</v>
      </c>
      <c r="E7253" s="29"/>
      <c r="F7253" s="29" t="s">
        <v>4202</v>
      </c>
      <c r="G7253" s="29"/>
      <c r="H7253" s="29" t="s">
        <v>5205</v>
      </c>
      <c r="I7253" s="29"/>
      <c r="J7253" s="29" t="s">
        <v>5908</v>
      </c>
      <c r="K7253" s="29"/>
      <c r="L7253" s="29" t="s">
        <v>5909</v>
      </c>
      <c r="M7253" s="29"/>
      <c r="N7253" s="29" t="s">
        <v>5926</v>
      </c>
      <c r="O7253" s="29"/>
      <c r="P7253" s="29" t="s">
        <v>5927</v>
      </c>
      <c r="Q7253" t="s">
        <v>2040</v>
      </c>
      <c r="R7253" t="s">
        <v>2632</v>
      </c>
      <c r="S7253">
        <v>36</v>
      </c>
      <c r="T7253" s="43" t="str">
        <f t="shared" si="322"/>
        <v>2020.095B.R.Leviviricetes.zip</v>
      </c>
      <c r="U7253" s="43" t="str">
        <f>HYPERLINK("https://ictv.global/taxonomy/taxondetails?taxnode_id=202210930","ictv.global=202210930")</f>
        <v>ictv.global=202210930</v>
      </c>
    </row>
    <row r="7254" spans="1:21">
      <c r="A7254">
        <v>7253</v>
      </c>
      <c r="B7254" s="29" t="s">
        <v>3223</v>
      </c>
      <c r="C7254" s="29"/>
      <c r="D7254" s="29" t="s">
        <v>4156</v>
      </c>
      <c r="E7254" s="29"/>
      <c r="F7254" s="29" t="s">
        <v>4202</v>
      </c>
      <c r="G7254" s="29"/>
      <c r="H7254" s="29" t="s">
        <v>5205</v>
      </c>
      <c r="I7254" s="29"/>
      <c r="J7254" s="29" t="s">
        <v>5908</v>
      </c>
      <c r="K7254" s="29"/>
      <c r="L7254" s="29" t="s">
        <v>5909</v>
      </c>
      <c r="M7254" s="29"/>
      <c r="N7254" s="29" t="s">
        <v>5928</v>
      </c>
      <c r="O7254" s="29"/>
      <c r="P7254" s="29" t="s">
        <v>5929</v>
      </c>
      <c r="Q7254" t="s">
        <v>2040</v>
      </c>
      <c r="R7254" t="s">
        <v>2632</v>
      </c>
      <c r="S7254">
        <v>36</v>
      </c>
      <c r="T7254" s="43" t="str">
        <f t="shared" si="322"/>
        <v>2020.095B.R.Leviviricetes.zip</v>
      </c>
      <c r="U7254" s="43" t="str">
        <f>HYPERLINK("https://ictv.global/taxonomy/taxondetails?taxnode_id=202210932","ictv.global=202210932")</f>
        <v>ictv.global=202210932</v>
      </c>
    </row>
    <row r="7255" spans="1:21">
      <c r="A7255">
        <v>7254</v>
      </c>
      <c r="B7255" s="29" t="s">
        <v>3223</v>
      </c>
      <c r="C7255" s="29"/>
      <c r="D7255" s="29" t="s">
        <v>4156</v>
      </c>
      <c r="E7255" s="29"/>
      <c r="F7255" s="29" t="s">
        <v>4202</v>
      </c>
      <c r="G7255" s="29"/>
      <c r="H7255" s="29" t="s">
        <v>5205</v>
      </c>
      <c r="I7255" s="29"/>
      <c r="J7255" s="29" t="s">
        <v>5908</v>
      </c>
      <c r="K7255" s="29"/>
      <c r="L7255" s="29" t="s">
        <v>5909</v>
      </c>
      <c r="M7255" s="29"/>
      <c r="N7255" s="29" t="s">
        <v>5930</v>
      </c>
      <c r="O7255" s="29"/>
      <c r="P7255" s="29" t="s">
        <v>5931</v>
      </c>
      <c r="Q7255" t="s">
        <v>2040</v>
      </c>
      <c r="R7255" t="s">
        <v>2632</v>
      </c>
      <c r="S7255">
        <v>36</v>
      </c>
      <c r="T7255" s="43" t="str">
        <f t="shared" si="322"/>
        <v>2020.095B.R.Leviviricetes.zip</v>
      </c>
      <c r="U7255" s="43" t="str">
        <f>HYPERLINK("https://ictv.global/taxonomy/taxondetails?taxnode_id=202210934","ictv.global=202210934")</f>
        <v>ictv.global=202210934</v>
      </c>
    </row>
    <row r="7256" spans="1:21">
      <c r="A7256">
        <v>7255</v>
      </c>
      <c r="B7256" s="29" t="s">
        <v>3223</v>
      </c>
      <c r="C7256" s="29"/>
      <c r="D7256" s="29" t="s">
        <v>4156</v>
      </c>
      <c r="E7256" s="29"/>
      <c r="F7256" s="29" t="s">
        <v>4202</v>
      </c>
      <c r="G7256" s="29"/>
      <c r="H7256" s="29" t="s">
        <v>5205</v>
      </c>
      <c r="I7256" s="29"/>
      <c r="J7256" s="29" t="s">
        <v>5908</v>
      </c>
      <c r="K7256" s="29"/>
      <c r="L7256" s="29" t="s">
        <v>5909</v>
      </c>
      <c r="M7256" s="29"/>
      <c r="N7256" s="29" t="s">
        <v>5932</v>
      </c>
      <c r="O7256" s="29"/>
      <c r="P7256" s="29" t="s">
        <v>5933</v>
      </c>
      <c r="Q7256" t="s">
        <v>2040</v>
      </c>
      <c r="R7256" t="s">
        <v>2632</v>
      </c>
      <c r="S7256">
        <v>36</v>
      </c>
      <c r="T7256" s="43" t="str">
        <f t="shared" si="322"/>
        <v>2020.095B.R.Leviviricetes.zip</v>
      </c>
      <c r="U7256" s="43" t="str">
        <f>HYPERLINK("https://ictv.global/taxonomy/taxondetails?taxnode_id=202210936","ictv.global=202210936")</f>
        <v>ictv.global=202210936</v>
      </c>
    </row>
    <row r="7257" spans="1:21">
      <c r="A7257">
        <v>7256</v>
      </c>
      <c r="B7257" s="29" t="s">
        <v>3223</v>
      </c>
      <c r="C7257" s="29"/>
      <c r="D7257" s="29" t="s">
        <v>4156</v>
      </c>
      <c r="E7257" s="29"/>
      <c r="F7257" s="29" t="s">
        <v>4202</v>
      </c>
      <c r="G7257" s="29"/>
      <c r="H7257" s="29" t="s">
        <v>5205</v>
      </c>
      <c r="I7257" s="29"/>
      <c r="J7257" s="29" t="s">
        <v>5908</v>
      </c>
      <c r="K7257" s="29"/>
      <c r="L7257" s="29" t="s">
        <v>5909</v>
      </c>
      <c r="M7257" s="29"/>
      <c r="N7257" s="29" t="s">
        <v>5934</v>
      </c>
      <c r="O7257" s="29"/>
      <c r="P7257" s="29" t="s">
        <v>5935</v>
      </c>
      <c r="Q7257" t="s">
        <v>2040</v>
      </c>
      <c r="R7257" t="s">
        <v>2632</v>
      </c>
      <c r="S7257">
        <v>36</v>
      </c>
      <c r="T7257" s="43" t="str">
        <f t="shared" si="322"/>
        <v>2020.095B.R.Leviviricetes.zip</v>
      </c>
      <c r="U7257" s="43" t="str">
        <f>HYPERLINK("https://ictv.global/taxonomy/taxondetails?taxnode_id=202210938","ictv.global=202210938")</f>
        <v>ictv.global=202210938</v>
      </c>
    </row>
    <row r="7258" spans="1:21">
      <c r="A7258">
        <v>7257</v>
      </c>
      <c r="B7258" s="29" t="s">
        <v>3223</v>
      </c>
      <c r="C7258" s="29"/>
      <c r="D7258" s="29" t="s">
        <v>4156</v>
      </c>
      <c r="E7258" s="29"/>
      <c r="F7258" s="29" t="s">
        <v>4202</v>
      </c>
      <c r="G7258" s="29"/>
      <c r="H7258" s="29" t="s">
        <v>5205</v>
      </c>
      <c r="I7258" s="29"/>
      <c r="J7258" s="29" t="s">
        <v>5908</v>
      </c>
      <c r="K7258" s="29"/>
      <c r="L7258" s="29" t="s">
        <v>5909</v>
      </c>
      <c r="M7258" s="29"/>
      <c r="N7258" s="29" t="s">
        <v>5936</v>
      </c>
      <c r="O7258" s="29"/>
      <c r="P7258" s="29" t="s">
        <v>5937</v>
      </c>
      <c r="Q7258" t="s">
        <v>2040</v>
      </c>
      <c r="R7258" t="s">
        <v>2632</v>
      </c>
      <c r="S7258">
        <v>36</v>
      </c>
      <c r="T7258" s="43" t="str">
        <f t="shared" si="322"/>
        <v>2020.095B.R.Leviviricetes.zip</v>
      </c>
      <c r="U7258" s="43" t="str">
        <f>HYPERLINK("https://ictv.global/taxonomy/taxondetails?taxnode_id=202210940","ictv.global=202210940")</f>
        <v>ictv.global=202210940</v>
      </c>
    </row>
    <row r="7259" spans="1:21">
      <c r="A7259">
        <v>7258</v>
      </c>
      <c r="B7259" s="29" t="s">
        <v>3223</v>
      </c>
      <c r="C7259" s="29"/>
      <c r="D7259" s="29" t="s">
        <v>4156</v>
      </c>
      <c r="E7259" s="29"/>
      <c r="F7259" s="29" t="s">
        <v>4202</v>
      </c>
      <c r="G7259" s="29"/>
      <c r="H7259" s="29" t="s">
        <v>5205</v>
      </c>
      <c r="I7259" s="29"/>
      <c r="J7259" s="29" t="s">
        <v>5908</v>
      </c>
      <c r="K7259" s="29"/>
      <c r="L7259" s="29" t="s">
        <v>5909</v>
      </c>
      <c r="M7259" s="29"/>
      <c r="N7259" s="29" t="s">
        <v>5938</v>
      </c>
      <c r="O7259" s="29"/>
      <c r="P7259" s="29" t="s">
        <v>5939</v>
      </c>
      <c r="Q7259" t="s">
        <v>2040</v>
      </c>
      <c r="R7259" t="s">
        <v>2632</v>
      </c>
      <c r="S7259">
        <v>36</v>
      </c>
      <c r="T7259" s="43" t="str">
        <f t="shared" si="322"/>
        <v>2020.095B.R.Leviviricetes.zip</v>
      </c>
      <c r="U7259" s="43" t="str">
        <f>HYPERLINK("https://ictv.global/taxonomy/taxondetails?taxnode_id=202210942","ictv.global=202210942")</f>
        <v>ictv.global=202210942</v>
      </c>
    </row>
    <row r="7260" spans="1:21">
      <c r="A7260">
        <v>7259</v>
      </c>
      <c r="B7260" s="29" t="s">
        <v>3223</v>
      </c>
      <c r="C7260" s="29"/>
      <c r="D7260" s="29" t="s">
        <v>4156</v>
      </c>
      <c r="E7260" s="29"/>
      <c r="F7260" s="29" t="s">
        <v>4202</v>
      </c>
      <c r="G7260" s="29"/>
      <c r="H7260" s="29" t="s">
        <v>5205</v>
      </c>
      <c r="I7260" s="29"/>
      <c r="J7260" s="29" t="s">
        <v>5908</v>
      </c>
      <c r="K7260" s="29"/>
      <c r="L7260" s="29" t="s">
        <v>5909</v>
      </c>
      <c r="M7260" s="29"/>
      <c r="N7260" s="29" t="s">
        <v>5938</v>
      </c>
      <c r="O7260" s="29"/>
      <c r="P7260" s="29" t="s">
        <v>5940</v>
      </c>
      <c r="Q7260" t="s">
        <v>2040</v>
      </c>
      <c r="R7260" t="s">
        <v>2632</v>
      </c>
      <c r="S7260">
        <v>36</v>
      </c>
      <c r="T7260" s="43" t="str">
        <f t="shared" si="322"/>
        <v>2020.095B.R.Leviviricetes.zip</v>
      </c>
      <c r="U7260" s="43" t="str">
        <f>HYPERLINK("https://ictv.global/taxonomy/taxondetails?taxnode_id=202210943","ictv.global=202210943")</f>
        <v>ictv.global=202210943</v>
      </c>
    </row>
    <row r="7261" spans="1:21">
      <c r="A7261">
        <v>7260</v>
      </c>
      <c r="B7261" s="29" t="s">
        <v>3223</v>
      </c>
      <c r="C7261" s="29"/>
      <c r="D7261" s="29" t="s">
        <v>4156</v>
      </c>
      <c r="E7261" s="29"/>
      <c r="F7261" s="29" t="s">
        <v>4202</v>
      </c>
      <c r="G7261" s="29"/>
      <c r="H7261" s="29" t="s">
        <v>5205</v>
      </c>
      <c r="I7261" s="29"/>
      <c r="J7261" s="29" t="s">
        <v>5908</v>
      </c>
      <c r="K7261" s="29"/>
      <c r="L7261" s="29" t="s">
        <v>5909</v>
      </c>
      <c r="M7261" s="29"/>
      <c r="N7261" s="29" t="s">
        <v>5938</v>
      </c>
      <c r="O7261" s="29"/>
      <c r="P7261" s="29" t="s">
        <v>5941</v>
      </c>
      <c r="Q7261" t="s">
        <v>2040</v>
      </c>
      <c r="R7261" t="s">
        <v>2632</v>
      </c>
      <c r="S7261">
        <v>36</v>
      </c>
      <c r="T7261" s="43" t="str">
        <f t="shared" si="322"/>
        <v>2020.095B.R.Leviviricetes.zip</v>
      </c>
      <c r="U7261" s="43" t="str">
        <f>HYPERLINK("https://ictv.global/taxonomy/taxondetails?taxnode_id=202210944","ictv.global=202210944")</f>
        <v>ictv.global=202210944</v>
      </c>
    </row>
    <row r="7262" spans="1:21">
      <c r="A7262">
        <v>7261</v>
      </c>
      <c r="B7262" s="29" t="s">
        <v>3223</v>
      </c>
      <c r="C7262" s="29"/>
      <c r="D7262" s="29" t="s">
        <v>4156</v>
      </c>
      <c r="E7262" s="29"/>
      <c r="F7262" s="29" t="s">
        <v>4202</v>
      </c>
      <c r="G7262" s="29"/>
      <c r="H7262" s="29" t="s">
        <v>5205</v>
      </c>
      <c r="I7262" s="29"/>
      <c r="J7262" s="29" t="s">
        <v>5908</v>
      </c>
      <c r="K7262" s="29"/>
      <c r="L7262" s="29" t="s">
        <v>5909</v>
      </c>
      <c r="M7262" s="29"/>
      <c r="N7262" s="29" t="s">
        <v>5942</v>
      </c>
      <c r="O7262" s="29"/>
      <c r="P7262" s="29" t="s">
        <v>5943</v>
      </c>
      <c r="Q7262" t="s">
        <v>2040</v>
      </c>
      <c r="R7262" t="s">
        <v>2632</v>
      </c>
      <c r="S7262">
        <v>36</v>
      </c>
      <c r="T7262" s="43" t="str">
        <f t="shared" si="322"/>
        <v>2020.095B.R.Leviviricetes.zip</v>
      </c>
      <c r="U7262" s="43" t="str">
        <f>HYPERLINK("https://ictv.global/taxonomy/taxondetails?taxnode_id=202210946","ictv.global=202210946")</f>
        <v>ictv.global=202210946</v>
      </c>
    </row>
    <row r="7263" spans="1:21">
      <c r="A7263">
        <v>7262</v>
      </c>
      <c r="B7263" s="29" t="s">
        <v>3223</v>
      </c>
      <c r="C7263" s="29"/>
      <c r="D7263" s="29" t="s">
        <v>4156</v>
      </c>
      <c r="E7263" s="29"/>
      <c r="F7263" s="29" t="s">
        <v>4202</v>
      </c>
      <c r="G7263" s="29"/>
      <c r="H7263" s="29" t="s">
        <v>5205</v>
      </c>
      <c r="I7263" s="29"/>
      <c r="J7263" s="29" t="s">
        <v>5908</v>
      </c>
      <c r="K7263" s="29"/>
      <c r="L7263" s="29" t="s">
        <v>5909</v>
      </c>
      <c r="M7263" s="29"/>
      <c r="N7263" s="29" t="s">
        <v>5944</v>
      </c>
      <c r="O7263" s="29"/>
      <c r="P7263" s="29" t="s">
        <v>5945</v>
      </c>
      <c r="Q7263" t="s">
        <v>2040</v>
      </c>
      <c r="R7263" t="s">
        <v>2632</v>
      </c>
      <c r="S7263">
        <v>36</v>
      </c>
      <c r="T7263" s="43" t="str">
        <f t="shared" si="322"/>
        <v>2020.095B.R.Leviviricetes.zip</v>
      </c>
      <c r="U7263" s="43" t="str">
        <f>HYPERLINK("https://ictv.global/taxonomy/taxondetails?taxnode_id=202210948","ictv.global=202210948")</f>
        <v>ictv.global=202210948</v>
      </c>
    </row>
    <row r="7264" spans="1:21">
      <c r="A7264">
        <v>7263</v>
      </c>
      <c r="B7264" s="29" t="s">
        <v>3223</v>
      </c>
      <c r="C7264" s="29"/>
      <c r="D7264" s="29" t="s">
        <v>4156</v>
      </c>
      <c r="E7264" s="29"/>
      <c r="F7264" s="29" t="s">
        <v>4202</v>
      </c>
      <c r="G7264" s="29"/>
      <c r="H7264" s="29" t="s">
        <v>5205</v>
      </c>
      <c r="I7264" s="29"/>
      <c r="J7264" s="29" t="s">
        <v>5908</v>
      </c>
      <c r="K7264" s="29"/>
      <c r="L7264" s="29" t="s">
        <v>5909</v>
      </c>
      <c r="M7264" s="29"/>
      <c r="N7264" s="29" t="s">
        <v>5946</v>
      </c>
      <c r="O7264" s="29"/>
      <c r="P7264" s="29" t="s">
        <v>5947</v>
      </c>
      <c r="Q7264" t="s">
        <v>2040</v>
      </c>
      <c r="R7264" t="s">
        <v>2632</v>
      </c>
      <c r="S7264">
        <v>36</v>
      </c>
      <c r="T7264" s="43" t="str">
        <f t="shared" si="322"/>
        <v>2020.095B.R.Leviviricetes.zip</v>
      </c>
      <c r="U7264" s="43" t="str">
        <f>HYPERLINK("https://ictv.global/taxonomy/taxondetails?taxnode_id=202210950","ictv.global=202210950")</f>
        <v>ictv.global=202210950</v>
      </c>
    </row>
    <row r="7265" spans="1:21">
      <c r="A7265">
        <v>7264</v>
      </c>
      <c r="B7265" s="29" t="s">
        <v>3223</v>
      </c>
      <c r="C7265" s="29"/>
      <c r="D7265" s="29" t="s">
        <v>4156</v>
      </c>
      <c r="E7265" s="29"/>
      <c r="F7265" s="29" t="s">
        <v>4202</v>
      </c>
      <c r="G7265" s="29"/>
      <c r="H7265" s="29" t="s">
        <v>5205</v>
      </c>
      <c r="I7265" s="29"/>
      <c r="J7265" s="29" t="s">
        <v>5908</v>
      </c>
      <c r="K7265" s="29"/>
      <c r="L7265" s="29" t="s">
        <v>5909</v>
      </c>
      <c r="M7265" s="29"/>
      <c r="N7265" s="29" t="s">
        <v>5948</v>
      </c>
      <c r="O7265" s="29"/>
      <c r="P7265" s="29" t="s">
        <v>5949</v>
      </c>
      <c r="Q7265" t="s">
        <v>2040</v>
      </c>
      <c r="R7265" t="s">
        <v>2632</v>
      </c>
      <c r="S7265">
        <v>36</v>
      </c>
      <c r="T7265" s="43" t="str">
        <f t="shared" si="322"/>
        <v>2020.095B.R.Leviviricetes.zip</v>
      </c>
      <c r="U7265" s="43" t="str">
        <f>HYPERLINK("https://ictv.global/taxonomy/taxondetails?taxnode_id=202210952","ictv.global=202210952")</f>
        <v>ictv.global=202210952</v>
      </c>
    </row>
    <row r="7266" spans="1:21">
      <c r="A7266">
        <v>7265</v>
      </c>
      <c r="B7266" s="29" t="s">
        <v>3223</v>
      </c>
      <c r="C7266" s="29"/>
      <c r="D7266" s="29" t="s">
        <v>4156</v>
      </c>
      <c r="E7266" s="29"/>
      <c r="F7266" s="29" t="s">
        <v>4202</v>
      </c>
      <c r="G7266" s="29"/>
      <c r="H7266" s="29" t="s">
        <v>5205</v>
      </c>
      <c r="I7266" s="29"/>
      <c r="J7266" s="29" t="s">
        <v>5908</v>
      </c>
      <c r="K7266" s="29"/>
      <c r="L7266" s="29" t="s">
        <v>5909</v>
      </c>
      <c r="M7266" s="29"/>
      <c r="N7266" s="29" t="s">
        <v>5950</v>
      </c>
      <c r="O7266" s="29"/>
      <c r="P7266" s="29" t="s">
        <v>5951</v>
      </c>
      <c r="Q7266" t="s">
        <v>2040</v>
      </c>
      <c r="R7266" t="s">
        <v>2632</v>
      </c>
      <c r="S7266">
        <v>36</v>
      </c>
      <c r="T7266" s="43" t="str">
        <f t="shared" si="322"/>
        <v>2020.095B.R.Leviviricetes.zip</v>
      </c>
      <c r="U7266" s="43" t="str">
        <f>HYPERLINK("https://ictv.global/taxonomy/taxondetails?taxnode_id=202210954","ictv.global=202210954")</f>
        <v>ictv.global=202210954</v>
      </c>
    </row>
    <row r="7267" spans="1:21">
      <c r="A7267">
        <v>7266</v>
      </c>
      <c r="B7267" s="29" t="s">
        <v>3223</v>
      </c>
      <c r="C7267" s="29"/>
      <c r="D7267" s="29" t="s">
        <v>4156</v>
      </c>
      <c r="E7267" s="29"/>
      <c r="F7267" s="29" t="s">
        <v>4202</v>
      </c>
      <c r="G7267" s="29"/>
      <c r="H7267" s="29" t="s">
        <v>5205</v>
      </c>
      <c r="I7267" s="29"/>
      <c r="J7267" s="29" t="s">
        <v>5908</v>
      </c>
      <c r="K7267" s="29"/>
      <c r="L7267" s="29" t="s">
        <v>5909</v>
      </c>
      <c r="M7267" s="29"/>
      <c r="N7267" s="29" t="s">
        <v>5952</v>
      </c>
      <c r="O7267" s="29"/>
      <c r="P7267" s="29" t="s">
        <v>5953</v>
      </c>
      <c r="Q7267" t="s">
        <v>2040</v>
      </c>
      <c r="R7267" t="s">
        <v>2632</v>
      </c>
      <c r="S7267">
        <v>36</v>
      </c>
      <c r="T7267" s="43" t="str">
        <f t="shared" si="322"/>
        <v>2020.095B.R.Leviviricetes.zip</v>
      </c>
      <c r="U7267" s="43" t="str">
        <f>HYPERLINK("https://ictv.global/taxonomy/taxondetails?taxnode_id=202210956","ictv.global=202210956")</f>
        <v>ictv.global=202210956</v>
      </c>
    </row>
    <row r="7268" spans="1:21">
      <c r="A7268">
        <v>7267</v>
      </c>
      <c r="B7268" s="29" t="s">
        <v>3223</v>
      </c>
      <c r="C7268" s="29"/>
      <c r="D7268" s="29" t="s">
        <v>4156</v>
      </c>
      <c r="E7268" s="29"/>
      <c r="F7268" s="29" t="s">
        <v>4202</v>
      </c>
      <c r="G7268" s="29"/>
      <c r="H7268" s="29" t="s">
        <v>5205</v>
      </c>
      <c r="I7268" s="29"/>
      <c r="J7268" s="29" t="s">
        <v>5908</v>
      </c>
      <c r="K7268" s="29"/>
      <c r="L7268" s="29" t="s">
        <v>5909</v>
      </c>
      <c r="M7268" s="29"/>
      <c r="N7268" s="29" t="s">
        <v>5954</v>
      </c>
      <c r="O7268" s="29"/>
      <c r="P7268" s="29" t="s">
        <v>5955</v>
      </c>
      <c r="Q7268" t="s">
        <v>2040</v>
      </c>
      <c r="R7268" t="s">
        <v>2632</v>
      </c>
      <c r="S7268">
        <v>36</v>
      </c>
      <c r="T7268" s="43" t="str">
        <f t="shared" si="322"/>
        <v>2020.095B.R.Leviviricetes.zip</v>
      </c>
      <c r="U7268" s="43" t="str">
        <f>HYPERLINK("https://ictv.global/taxonomy/taxondetails?taxnode_id=202210959","ictv.global=202210959")</f>
        <v>ictv.global=202210959</v>
      </c>
    </row>
    <row r="7269" spans="1:21">
      <c r="A7269">
        <v>7268</v>
      </c>
      <c r="B7269" s="29" t="s">
        <v>3223</v>
      </c>
      <c r="C7269" s="29"/>
      <c r="D7269" s="29" t="s">
        <v>4156</v>
      </c>
      <c r="E7269" s="29"/>
      <c r="F7269" s="29" t="s">
        <v>4202</v>
      </c>
      <c r="G7269" s="29"/>
      <c r="H7269" s="29" t="s">
        <v>5205</v>
      </c>
      <c r="I7269" s="29"/>
      <c r="J7269" s="29" t="s">
        <v>5908</v>
      </c>
      <c r="K7269" s="29"/>
      <c r="L7269" s="29" t="s">
        <v>5909</v>
      </c>
      <c r="M7269" s="29"/>
      <c r="N7269" s="29" t="s">
        <v>5954</v>
      </c>
      <c r="O7269" s="29"/>
      <c r="P7269" s="29" t="s">
        <v>5956</v>
      </c>
      <c r="Q7269" t="s">
        <v>2040</v>
      </c>
      <c r="R7269" t="s">
        <v>2632</v>
      </c>
      <c r="S7269">
        <v>36</v>
      </c>
      <c r="T7269" s="43" t="str">
        <f t="shared" si="322"/>
        <v>2020.095B.R.Leviviricetes.zip</v>
      </c>
      <c r="U7269" s="43" t="str">
        <f>HYPERLINK("https://ictv.global/taxonomy/taxondetails?taxnode_id=202210960","ictv.global=202210960")</f>
        <v>ictv.global=202210960</v>
      </c>
    </row>
    <row r="7270" spans="1:21">
      <c r="A7270">
        <v>7269</v>
      </c>
      <c r="B7270" s="29" t="s">
        <v>3223</v>
      </c>
      <c r="C7270" s="29"/>
      <c r="D7270" s="29" t="s">
        <v>4156</v>
      </c>
      <c r="E7270" s="29"/>
      <c r="F7270" s="29" t="s">
        <v>4202</v>
      </c>
      <c r="G7270" s="29"/>
      <c r="H7270" s="29" t="s">
        <v>5205</v>
      </c>
      <c r="I7270" s="29"/>
      <c r="J7270" s="29" t="s">
        <v>5908</v>
      </c>
      <c r="K7270" s="29"/>
      <c r="L7270" s="29" t="s">
        <v>5909</v>
      </c>
      <c r="M7270" s="29"/>
      <c r="N7270" s="29" t="s">
        <v>5954</v>
      </c>
      <c r="O7270" s="29"/>
      <c r="P7270" s="29" t="s">
        <v>5957</v>
      </c>
      <c r="Q7270" t="s">
        <v>2040</v>
      </c>
      <c r="R7270" t="s">
        <v>2632</v>
      </c>
      <c r="S7270">
        <v>36</v>
      </c>
      <c r="T7270" s="43" t="str">
        <f t="shared" si="322"/>
        <v>2020.095B.R.Leviviricetes.zip</v>
      </c>
      <c r="U7270" s="43" t="str">
        <f>HYPERLINK("https://ictv.global/taxonomy/taxondetails?taxnode_id=202210958","ictv.global=202210958")</f>
        <v>ictv.global=202210958</v>
      </c>
    </row>
    <row r="7271" spans="1:21">
      <c r="A7271">
        <v>7270</v>
      </c>
      <c r="B7271" s="29" t="s">
        <v>3223</v>
      </c>
      <c r="C7271" s="29"/>
      <c r="D7271" s="29" t="s">
        <v>4156</v>
      </c>
      <c r="E7271" s="29"/>
      <c r="F7271" s="29" t="s">
        <v>4202</v>
      </c>
      <c r="G7271" s="29"/>
      <c r="H7271" s="29" t="s">
        <v>5205</v>
      </c>
      <c r="I7271" s="29"/>
      <c r="J7271" s="29" t="s">
        <v>5908</v>
      </c>
      <c r="K7271" s="29"/>
      <c r="L7271" s="29" t="s">
        <v>5909</v>
      </c>
      <c r="M7271" s="29"/>
      <c r="N7271" s="29" t="s">
        <v>5958</v>
      </c>
      <c r="O7271" s="29"/>
      <c r="P7271" s="29" t="s">
        <v>5959</v>
      </c>
      <c r="Q7271" t="s">
        <v>2040</v>
      </c>
      <c r="R7271" t="s">
        <v>2632</v>
      </c>
      <c r="S7271">
        <v>36</v>
      </c>
      <c r="T7271" s="43" t="str">
        <f t="shared" si="322"/>
        <v>2020.095B.R.Leviviricetes.zip</v>
      </c>
      <c r="U7271" s="43" t="str">
        <f>HYPERLINK("https://ictv.global/taxonomy/taxondetails?taxnode_id=202210962","ictv.global=202210962")</f>
        <v>ictv.global=202210962</v>
      </c>
    </row>
    <row r="7272" spans="1:21">
      <c r="A7272">
        <v>7271</v>
      </c>
      <c r="B7272" s="29" t="s">
        <v>3223</v>
      </c>
      <c r="C7272" s="29"/>
      <c r="D7272" s="29" t="s">
        <v>4156</v>
      </c>
      <c r="E7272" s="29"/>
      <c r="F7272" s="29" t="s">
        <v>4202</v>
      </c>
      <c r="G7272" s="29"/>
      <c r="H7272" s="29" t="s">
        <v>5205</v>
      </c>
      <c r="I7272" s="29"/>
      <c r="J7272" s="29" t="s">
        <v>5908</v>
      </c>
      <c r="K7272" s="29"/>
      <c r="L7272" s="29" t="s">
        <v>5909</v>
      </c>
      <c r="M7272" s="29"/>
      <c r="N7272" s="29" t="s">
        <v>5960</v>
      </c>
      <c r="O7272" s="29"/>
      <c r="P7272" s="29" t="s">
        <v>5961</v>
      </c>
      <c r="Q7272" t="s">
        <v>2040</v>
      </c>
      <c r="R7272" t="s">
        <v>2632</v>
      </c>
      <c r="S7272">
        <v>36</v>
      </c>
      <c r="T7272" s="43" t="str">
        <f t="shared" si="322"/>
        <v>2020.095B.R.Leviviricetes.zip</v>
      </c>
      <c r="U7272" s="43" t="str">
        <f>HYPERLINK("https://ictv.global/taxonomy/taxondetails?taxnode_id=202210964","ictv.global=202210964")</f>
        <v>ictv.global=202210964</v>
      </c>
    </row>
    <row r="7273" spans="1:21">
      <c r="A7273">
        <v>7272</v>
      </c>
      <c r="B7273" s="29" t="s">
        <v>3223</v>
      </c>
      <c r="C7273" s="29"/>
      <c r="D7273" s="29" t="s">
        <v>4156</v>
      </c>
      <c r="E7273" s="29"/>
      <c r="F7273" s="29" t="s">
        <v>4202</v>
      </c>
      <c r="G7273" s="29"/>
      <c r="H7273" s="29" t="s">
        <v>5205</v>
      </c>
      <c r="I7273" s="29"/>
      <c r="J7273" s="29" t="s">
        <v>5908</v>
      </c>
      <c r="K7273" s="29"/>
      <c r="L7273" s="29" t="s">
        <v>5909</v>
      </c>
      <c r="M7273" s="29"/>
      <c r="N7273" s="29" t="s">
        <v>5962</v>
      </c>
      <c r="O7273" s="29"/>
      <c r="P7273" s="29" t="s">
        <v>5963</v>
      </c>
      <c r="Q7273" t="s">
        <v>2040</v>
      </c>
      <c r="R7273" t="s">
        <v>2632</v>
      </c>
      <c r="S7273">
        <v>36</v>
      </c>
      <c r="T7273" s="43" t="str">
        <f t="shared" si="322"/>
        <v>2020.095B.R.Leviviricetes.zip</v>
      </c>
      <c r="U7273" s="43" t="str">
        <f>HYPERLINK("https://ictv.global/taxonomy/taxondetails?taxnode_id=202210966","ictv.global=202210966")</f>
        <v>ictv.global=202210966</v>
      </c>
    </row>
    <row r="7274" spans="1:21">
      <c r="A7274">
        <v>7273</v>
      </c>
      <c r="B7274" s="29" t="s">
        <v>3223</v>
      </c>
      <c r="C7274" s="29"/>
      <c r="D7274" s="29" t="s">
        <v>4156</v>
      </c>
      <c r="E7274" s="29"/>
      <c r="F7274" s="29" t="s">
        <v>4202</v>
      </c>
      <c r="G7274" s="29"/>
      <c r="H7274" s="29" t="s">
        <v>5205</v>
      </c>
      <c r="I7274" s="29"/>
      <c r="J7274" s="29" t="s">
        <v>5908</v>
      </c>
      <c r="K7274" s="29"/>
      <c r="L7274" s="29" t="s">
        <v>5909</v>
      </c>
      <c r="M7274" s="29"/>
      <c r="N7274" s="29" t="s">
        <v>5964</v>
      </c>
      <c r="O7274" s="29"/>
      <c r="P7274" s="29" t="s">
        <v>5965</v>
      </c>
      <c r="Q7274" t="s">
        <v>2040</v>
      </c>
      <c r="R7274" t="s">
        <v>2632</v>
      </c>
      <c r="S7274">
        <v>36</v>
      </c>
      <c r="T7274" s="43" t="str">
        <f t="shared" si="322"/>
        <v>2020.095B.R.Leviviricetes.zip</v>
      </c>
      <c r="U7274" s="43" t="str">
        <f>HYPERLINK("https://ictv.global/taxonomy/taxondetails?taxnode_id=202210968","ictv.global=202210968")</f>
        <v>ictv.global=202210968</v>
      </c>
    </row>
    <row r="7275" spans="1:21">
      <c r="A7275">
        <v>7274</v>
      </c>
      <c r="B7275" s="29" t="s">
        <v>3223</v>
      </c>
      <c r="C7275" s="29"/>
      <c r="D7275" s="29" t="s">
        <v>4156</v>
      </c>
      <c r="E7275" s="29"/>
      <c r="F7275" s="29" t="s">
        <v>4202</v>
      </c>
      <c r="G7275" s="29"/>
      <c r="H7275" s="29" t="s">
        <v>5205</v>
      </c>
      <c r="I7275" s="29"/>
      <c r="J7275" s="29" t="s">
        <v>5908</v>
      </c>
      <c r="K7275" s="29"/>
      <c r="L7275" s="29" t="s">
        <v>5909</v>
      </c>
      <c r="M7275" s="29"/>
      <c r="N7275" s="29" t="s">
        <v>5966</v>
      </c>
      <c r="O7275" s="29"/>
      <c r="P7275" s="29" t="s">
        <v>5967</v>
      </c>
      <c r="Q7275" t="s">
        <v>2040</v>
      </c>
      <c r="R7275" t="s">
        <v>2632</v>
      </c>
      <c r="S7275">
        <v>36</v>
      </c>
      <c r="T7275" s="43" t="str">
        <f t="shared" si="322"/>
        <v>2020.095B.R.Leviviricetes.zip</v>
      </c>
      <c r="U7275" s="43" t="str">
        <f>HYPERLINK("https://ictv.global/taxonomy/taxondetails?taxnode_id=202210970","ictv.global=202210970")</f>
        <v>ictv.global=202210970</v>
      </c>
    </row>
    <row r="7276" spans="1:21">
      <c r="A7276">
        <v>7275</v>
      </c>
      <c r="B7276" s="29" t="s">
        <v>3223</v>
      </c>
      <c r="C7276" s="29"/>
      <c r="D7276" s="29" t="s">
        <v>4156</v>
      </c>
      <c r="E7276" s="29"/>
      <c r="F7276" s="29" t="s">
        <v>4202</v>
      </c>
      <c r="G7276" s="29"/>
      <c r="H7276" s="29" t="s">
        <v>5205</v>
      </c>
      <c r="I7276" s="29"/>
      <c r="J7276" s="29" t="s">
        <v>5908</v>
      </c>
      <c r="K7276" s="29"/>
      <c r="L7276" s="29" t="s">
        <v>5909</v>
      </c>
      <c r="M7276" s="29"/>
      <c r="N7276" s="29" t="s">
        <v>5968</v>
      </c>
      <c r="O7276" s="29"/>
      <c r="P7276" s="29" t="s">
        <v>5969</v>
      </c>
      <c r="Q7276" t="s">
        <v>2040</v>
      </c>
      <c r="R7276" t="s">
        <v>2632</v>
      </c>
      <c r="S7276">
        <v>36</v>
      </c>
      <c r="T7276" s="43" t="str">
        <f t="shared" si="322"/>
        <v>2020.095B.R.Leviviricetes.zip</v>
      </c>
      <c r="U7276" s="43" t="str">
        <f>HYPERLINK("https://ictv.global/taxonomy/taxondetails?taxnode_id=202210972","ictv.global=202210972")</f>
        <v>ictv.global=202210972</v>
      </c>
    </row>
    <row r="7277" spans="1:21">
      <c r="A7277">
        <v>7276</v>
      </c>
      <c r="B7277" s="29" t="s">
        <v>3223</v>
      </c>
      <c r="C7277" s="29"/>
      <c r="D7277" s="29" t="s">
        <v>4156</v>
      </c>
      <c r="E7277" s="29"/>
      <c r="F7277" s="29" t="s">
        <v>4202</v>
      </c>
      <c r="G7277" s="29"/>
      <c r="H7277" s="29" t="s">
        <v>5205</v>
      </c>
      <c r="I7277" s="29"/>
      <c r="J7277" s="29" t="s">
        <v>5908</v>
      </c>
      <c r="K7277" s="29"/>
      <c r="L7277" s="29" t="s">
        <v>5909</v>
      </c>
      <c r="M7277" s="29"/>
      <c r="N7277" s="29" t="s">
        <v>5970</v>
      </c>
      <c r="O7277" s="29"/>
      <c r="P7277" s="29" t="s">
        <v>5971</v>
      </c>
      <c r="Q7277" t="s">
        <v>2040</v>
      </c>
      <c r="R7277" t="s">
        <v>2632</v>
      </c>
      <c r="S7277">
        <v>36</v>
      </c>
      <c r="T7277" s="43" t="str">
        <f t="shared" ref="T7277:T7340" si="323">HYPERLINK("https://ictv.global/ictv/proposals/2020.095B.R.Leviviricetes.zip","2020.095B.R.Leviviricetes.zip")</f>
        <v>2020.095B.R.Leviviricetes.zip</v>
      </c>
      <c r="U7277" s="43" t="str">
        <f>HYPERLINK("https://ictv.global/taxonomy/taxondetails?taxnode_id=202210974","ictv.global=202210974")</f>
        <v>ictv.global=202210974</v>
      </c>
    </row>
    <row r="7278" spans="1:21">
      <c r="A7278">
        <v>7277</v>
      </c>
      <c r="B7278" s="29" t="s">
        <v>3223</v>
      </c>
      <c r="C7278" s="29"/>
      <c r="D7278" s="29" t="s">
        <v>4156</v>
      </c>
      <c r="E7278" s="29"/>
      <c r="F7278" s="29" t="s">
        <v>4202</v>
      </c>
      <c r="G7278" s="29"/>
      <c r="H7278" s="29" t="s">
        <v>5205</v>
      </c>
      <c r="I7278" s="29"/>
      <c r="J7278" s="29" t="s">
        <v>5908</v>
      </c>
      <c r="K7278" s="29"/>
      <c r="L7278" s="29" t="s">
        <v>5909</v>
      </c>
      <c r="M7278" s="29"/>
      <c r="N7278" s="29" t="s">
        <v>5972</v>
      </c>
      <c r="O7278" s="29"/>
      <c r="P7278" s="29" t="s">
        <v>5973</v>
      </c>
      <c r="Q7278" t="s">
        <v>2040</v>
      </c>
      <c r="R7278" t="s">
        <v>2632</v>
      </c>
      <c r="S7278">
        <v>36</v>
      </c>
      <c r="T7278" s="43" t="str">
        <f t="shared" si="323"/>
        <v>2020.095B.R.Leviviricetes.zip</v>
      </c>
      <c r="U7278" s="43" t="str">
        <f>HYPERLINK("https://ictv.global/taxonomy/taxondetails?taxnode_id=202210976","ictv.global=202210976")</f>
        <v>ictv.global=202210976</v>
      </c>
    </row>
    <row r="7279" spans="1:21">
      <c r="A7279">
        <v>7278</v>
      </c>
      <c r="B7279" s="29" t="s">
        <v>3223</v>
      </c>
      <c r="C7279" s="29"/>
      <c r="D7279" s="29" t="s">
        <v>4156</v>
      </c>
      <c r="E7279" s="29"/>
      <c r="F7279" s="29" t="s">
        <v>4202</v>
      </c>
      <c r="G7279" s="29"/>
      <c r="H7279" s="29" t="s">
        <v>5205</v>
      </c>
      <c r="I7279" s="29"/>
      <c r="J7279" s="29" t="s">
        <v>5908</v>
      </c>
      <c r="K7279" s="29"/>
      <c r="L7279" s="29" t="s">
        <v>5909</v>
      </c>
      <c r="M7279" s="29"/>
      <c r="N7279" s="29" t="s">
        <v>5974</v>
      </c>
      <c r="O7279" s="29"/>
      <c r="P7279" s="29" t="s">
        <v>5975</v>
      </c>
      <c r="Q7279" t="s">
        <v>2040</v>
      </c>
      <c r="R7279" t="s">
        <v>2632</v>
      </c>
      <c r="S7279">
        <v>36</v>
      </c>
      <c r="T7279" s="43" t="str">
        <f t="shared" si="323"/>
        <v>2020.095B.R.Leviviricetes.zip</v>
      </c>
      <c r="U7279" s="43" t="str">
        <f>HYPERLINK("https://ictv.global/taxonomy/taxondetails?taxnode_id=202210978","ictv.global=202210978")</f>
        <v>ictv.global=202210978</v>
      </c>
    </row>
    <row r="7280" spans="1:21">
      <c r="A7280">
        <v>7279</v>
      </c>
      <c r="B7280" s="29" t="s">
        <v>3223</v>
      </c>
      <c r="C7280" s="29"/>
      <c r="D7280" s="29" t="s">
        <v>4156</v>
      </c>
      <c r="E7280" s="29"/>
      <c r="F7280" s="29" t="s">
        <v>4202</v>
      </c>
      <c r="G7280" s="29"/>
      <c r="H7280" s="29" t="s">
        <v>5205</v>
      </c>
      <c r="I7280" s="29"/>
      <c r="J7280" s="29" t="s">
        <v>5908</v>
      </c>
      <c r="K7280" s="29"/>
      <c r="L7280" s="29" t="s">
        <v>5976</v>
      </c>
      <c r="M7280" s="29"/>
      <c r="N7280" s="29" t="s">
        <v>5977</v>
      </c>
      <c r="O7280" s="29"/>
      <c r="P7280" s="29" t="s">
        <v>5978</v>
      </c>
      <c r="Q7280" t="s">
        <v>2040</v>
      </c>
      <c r="R7280" t="s">
        <v>2632</v>
      </c>
      <c r="S7280">
        <v>36</v>
      </c>
      <c r="T7280" s="43" t="str">
        <f t="shared" si="323"/>
        <v>2020.095B.R.Leviviricetes.zip</v>
      </c>
      <c r="U7280" s="43" t="str">
        <f>HYPERLINK("https://ictv.global/taxonomy/taxondetails?taxnode_id=202210983","ictv.global=202210983")</f>
        <v>ictv.global=202210983</v>
      </c>
    </row>
    <row r="7281" spans="1:21">
      <c r="A7281">
        <v>7280</v>
      </c>
      <c r="B7281" s="29" t="s">
        <v>3223</v>
      </c>
      <c r="C7281" s="29"/>
      <c r="D7281" s="29" t="s">
        <v>4156</v>
      </c>
      <c r="E7281" s="29"/>
      <c r="F7281" s="29" t="s">
        <v>4202</v>
      </c>
      <c r="G7281" s="29"/>
      <c r="H7281" s="29" t="s">
        <v>5205</v>
      </c>
      <c r="I7281" s="29"/>
      <c r="J7281" s="29" t="s">
        <v>5908</v>
      </c>
      <c r="K7281" s="29"/>
      <c r="L7281" s="29" t="s">
        <v>5976</v>
      </c>
      <c r="M7281" s="29"/>
      <c r="N7281" s="29" t="s">
        <v>5977</v>
      </c>
      <c r="O7281" s="29"/>
      <c r="P7281" s="29" t="s">
        <v>5979</v>
      </c>
      <c r="Q7281" t="s">
        <v>2040</v>
      </c>
      <c r="R7281" t="s">
        <v>2632</v>
      </c>
      <c r="S7281">
        <v>36</v>
      </c>
      <c r="T7281" s="43" t="str">
        <f t="shared" si="323"/>
        <v>2020.095B.R.Leviviricetes.zip</v>
      </c>
      <c r="U7281" s="43" t="str">
        <f>HYPERLINK("https://ictv.global/taxonomy/taxondetails?taxnode_id=202210982","ictv.global=202210982")</f>
        <v>ictv.global=202210982</v>
      </c>
    </row>
    <row r="7282" spans="1:21">
      <c r="A7282">
        <v>7281</v>
      </c>
      <c r="B7282" s="29" t="s">
        <v>3223</v>
      </c>
      <c r="C7282" s="29"/>
      <c r="D7282" s="29" t="s">
        <v>4156</v>
      </c>
      <c r="E7282" s="29"/>
      <c r="F7282" s="29" t="s">
        <v>4202</v>
      </c>
      <c r="G7282" s="29"/>
      <c r="H7282" s="29" t="s">
        <v>5205</v>
      </c>
      <c r="I7282" s="29"/>
      <c r="J7282" s="29" t="s">
        <v>5908</v>
      </c>
      <c r="K7282" s="29"/>
      <c r="L7282" s="29" t="s">
        <v>5976</v>
      </c>
      <c r="M7282" s="29"/>
      <c r="N7282" s="29" t="s">
        <v>5977</v>
      </c>
      <c r="O7282" s="29"/>
      <c r="P7282" s="29" t="s">
        <v>5980</v>
      </c>
      <c r="Q7282" t="s">
        <v>2040</v>
      </c>
      <c r="R7282" t="s">
        <v>2632</v>
      </c>
      <c r="S7282">
        <v>36</v>
      </c>
      <c r="T7282" s="43" t="str">
        <f t="shared" si="323"/>
        <v>2020.095B.R.Leviviricetes.zip</v>
      </c>
      <c r="U7282" s="43" t="str">
        <f>HYPERLINK("https://ictv.global/taxonomy/taxondetails?taxnode_id=202210981","ictv.global=202210981")</f>
        <v>ictv.global=202210981</v>
      </c>
    </row>
    <row r="7283" spans="1:21">
      <c r="A7283">
        <v>7282</v>
      </c>
      <c r="B7283" s="29" t="s">
        <v>3223</v>
      </c>
      <c r="C7283" s="29"/>
      <c r="D7283" s="29" t="s">
        <v>4156</v>
      </c>
      <c r="E7283" s="29"/>
      <c r="F7283" s="29" t="s">
        <v>4202</v>
      </c>
      <c r="G7283" s="29"/>
      <c r="H7283" s="29" t="s">
        <v>5205</v>
      </c>
      <c r="I7283" s="29"/>
      <c r="J7283" s="29" t="s">
        <v>5908</v>
      </c>
      <c r="K7283" s="29"/>
      <c r="L7283" s="29" t="s">
        <v>5976</v>
      </c>
      <c r="M7283" s="29"/>
      <c r="N7283" s="29" t="s">
        <v>5977</v>
      </c>
      <c r="O7283" s="29"/>
      <c r="P7283" s="29" t="s">
        <v>5981</v>
      </c>
      <c r="Q7283" t="s">
        <v>2040</v>
      </c>
      <c r="R7283" t="s">
        <v>2632</v>
      </c>
      <c r="S7283">
        <v>36</v>
      </c>
      <c r="T7283" s="43" t="str">
        <f t="shared" si="323"/>
        <v>2020.095B.R.Leviviricetes.zip</v>
      </c>
      <c r="U7283" s="43" t="str">
        <f>HYPERLINK("https://ictv.global/taxonomy/taxondetails?taxnode_id=202210984","ictv.global=202210984")</f>
        <v>ictv.global=202210984</v>
      </c>
    </row>
    <row r="7284" spans="1:21">
      <c r="A7284">
        <v>7283</v>
      </c>
      <c r="B7284" s="29" t="s">
        <v>3223</v>
      </c>
      <c r="C7284" s="29"/>
      <c r="D7284" s="29" t="s">
        <v>4156</v>
      </c>
      <c r="E7284" s="29"/>
      <c r="F7284" s="29" t="s">
        <v>4202</v>
      </c>
      <c r="G7284" s="29"/>
      <c r="H7284" s="29" t="s">
        <v>5205</v>
      </c>
      <c r="I7284" s="29"/>
      <c r="J7284" s="29" t="s">
        <v>5908</v>
      </c>
      <c r="K7284" s="29"/>
      <c r="L7284" s="29" t="s">
        <v>5976</v>
      </c>
      <c r="M7284" s="29"/>
      <c r="N7284" s="29" t="s">
        <v>5982</v>
      </c>
      <c r="O7284" s="29"/>
      <c r="P7284" s="29" t="s">
        <v>5983</v>
      </c>
      <c r="Q7284" t="s">
        <v>2040</v>
      </c>
      <c r="R7284" t="s">
        <v>2632</v>
      </c>
      <c r="S7284">
        <v>36</v>
      </c>
      <c r="T7284" s="43" t="str">
        <f t="shared" si="323"/>
        <v>2020.095B.R.Leviviricetes.zip</v>
      </c>
      <c r="U7284" s="43" t="str">
        <f>HYPERLINK("https://ictv.global/taxonomy/taxondetails?taxnode_id=202210986","ictv.global=202210986")</f>
        <v>ictv.global=202210986</v>
      </c>
    </row>
    <row r="7285" spans="1:21">
      <c r="A7285">
        <v>7284</v>
      </c>
      <c r="B7285" s="29" t="s">
        <v>3223</v>
      </c>
      <c r="C7285" s="29"/>
      <c r="D7285" s="29" t="s">
        <v>4156</v>
      </c>
      <c r="E7285" s="29"/>
      <c r="F7285" s="29" t="s">
        <v>4202</v>
      </c>
      <c r="G7285" s="29"/>
      <c r="H7285" s="29" t="s">
        <v>5205</v>
      </c>
      <c r="I7285" s="29"/>
      <c r="J7285" s="29" t="s">
        <v>5908</v>
      </c>
      <c r="K7285" s="29"/>
      <c r="L7285" s="29" t="s">
        <v>5976</v>
      </c>
      <c r="M7285" s="29"/>
      <c r="N7285" s="29" t="s">
        <v>5984</v>
      </c>
      <c r="O7285" s="29"/>
      <c r="P7285" s="29" t="s">
        <v>5985</v>
      </c>
      <c r="Q7285" t="s">
        <v>2040</v>
      </c>
      <c r="R7285" t="s">
        <v>2632</v>
      </c>
      <c r="S7285">
        <v>36</v>
      </c>
      <c r="T7285" s="43" t="str">
        <f t="shared" si="323"/>
        <v>2020.095B.R.Leviviricetes.zip</v>
      </c>
      <c r="U7285" s="43" t="str">
        <f>HYPERLINK("https://ictv.global/taxonomy/taxondetails?taxnode_id=202210988","ictv.global=202210988")</f>
        <v>ictv.global=202210988</v>
      </c>
    </row>
    <row r="7286" spans="1:21">
      <c r="A7286">
        <v>7285</v>
      </c>
      <c r="B7286" s="29" t="s">
        <v>3223</v>
      </c>
      <c r="C7286" s="29"/>
      <c r="D7286" s="29" t="s">
        <v>4156</v>
      </c>
      <c r="E7286" s="29"/>
      <c r="F7286" s="29" t="s">
        <v>4202</v>
      </c>
      <c r="G7286" s="29"/>
      <c r="H7286" s="29" t="s">
        <v>5205</v>
      </c>
      <c r="I7286" s="29"/>
      <c r="J7286" s="29" t="s">
        <v>5908</v>
      </c>
      <c r="K7286" s="29"/>
      <c r="L7286" s="29" t="s">
        <v>5976</v>
      </c>
      <c r="M7286" s="29"/>
      <c r="N7286" s="29" t="s">
        <v>5986</v>
      </c>
      <c r="O7286" s="29"/>
      <c r="P7286" s="29" t="s">
        <v>5987</v>
      </c>
      <c r="Q7286" t="s">
        <v>2040</v>
      </c>
      <c r="R7286" t="s">
        <v>2632</v>
      </c>
      <c r="S7286">
        <v>36</v>
      </c>
      <c r="T7286" s="43" t="str">
        <f t="shared" si="323"/>
        <v>2020.095B.R.Leviviricetes.zip</v>
      </c>
      <c r="U7286" s="43" t="str">
        <f>HYPERLINK("https://ictv.global/taxonomy/taxondetails?taxnode_id=202210993","ictv.global=202210993")</f>
        <v>ictv.global=202210993</v>
      </c>
    </row>
    <row r="7287" spans="1:21">
      <c r="A7287">
        <v>7286</v>
      </c>
      <c r="B7287" s="29" t="s">
        <v>3223</v>
      </c>
      <c r="C7287" s="29"/>
      <c r="D7287" s="29" t="s">
        <v>4156</v>
      </c>
      <c r="E7287" s="29"/>
      <c r="F7287" s="29" t="s">
        <v>4202</v>
      </c>
      <c r="G7287" s="29"/>
      <c r="H7287" s="29" t="s">
        <v>5205</v>
      </c>
      <c r="I7287" s="29"/>
      <c r="J7287" s="29" t="s">
        <v>5908</v>
      </c>
      <c r="K7287" s="29"/>
      <c r="L7287" s="29" t="s">
        <v>5976</v>
      </c>
      <c r="M7287" s="29"/>
      <c r="N7287" s="29" t="s">
        <v>5986</v>
      </c>
      <c r="O7287" s="29"/>
      <c r="P7287" s="29" t="s">
        <v>5988</v>
      </c>
      <c r="Q7287" t="s">
        <v>2040</v>
      </c>
      <c r="R7287" t="s">
        <v>2632</v>
      </c>
      <c r="S7287">
        <v>36</v>
      </c>
      <c r="T7287" s="43" t="str">
        <f t="shared" si="323"/>
        <v>2020.095B.R.Leviviricetes.zip</v>
      </c>
      <c r="U7287" s="43" t="str">
        <f>HYPERLINK("https://ictv.global/taxonomy/taxondetails?taxnode_id=202210998","ictv.global=202210998")</f>
        <v>ictv.global=202210998</v>
      </c>
    </row>
    <row r="7288" spans="1:21">
      <c r="A7288">
        <v>7287</v>
      </c>
      <c r="B7288" s="29" t="s">
        <v>3223</v>
      </c>
      <c r="C7288" s="29"/>
      <c r="D7288" s="29" t="s">
        <v>4156</v>
      </c>
      <c r="E7288" s="29"/>
      <c r="F7288" s="29" t="s">
        <v>4202</v>
      </c>
      <c r="G7288" s="29"/>
      <c r="H7288" s="29" t="s">
        <v>5205</v>
      </c>
      <c r="I7288" s="29"/>
      <c r="J7288" s="29" t="s">
        <v>5908</v>
      </c>
      <c r="K7288" s="29"/>
      <c r="L7288" s="29" t="s">
        <v>5976</v>
      </c>
      <c r="M7288" s="29"/>
      <c r="N7288" s="29" t="s">
        <v>5986</v>
      </c>
      <c r="O7288" s="29"/>
      <c r="P7288" s="29" t="s">
        <v>5989</v>
      </c>
      <c r="Q7288" t="s">
        <v>2040</v>
      </c>
      <c r="R7288" t="s">
        <v>2632</v>
      </c>
      <c r="S7288">
        <v>36</v>
      </c>
      <c r="T7288" s="43" t="str">
        <f t="shared" si="323"/>
        <v>2020.095B.R.Leviviricetes.zip</v>
      </c>
      <c r="U7288" s="43" t="str">
        <f>HYPERLINK("https://ictv.global/taxonomy/taxondetails?taxnode_id=202210997","ictv.global=202210997")</f>
        <v>ictv.global=202210997</v>
      </c>
    </row>
    <row r="7289" spans="1:21">
      <c r="A7289">
        <v>7288</v>
      </c>
      <c r="B7289" s="29" t="s">
        <v>3223</v>
      </c>
      <c r="C7289" s="29"/>
      <c r="D7289" s="29" t="s">
        <v>4156</v>
      </c>
      <c r="E7289" s="29"/>
      <c r="F7289" s="29" t="s">
        <v>4202</v>
      </c>
      <c r="G7289" s="29"/>
      <c r="H7289" s="29" t="s">
        <v>5205</v>
      </c>
      <c r="I7289" s="29"/>
      <c r="J7289" s="29" t="s">
        <v>5908</v>
      </c>
      <c r="K7289" s="29"/>
      <c r="L7289" s="29" t="s">
        <v>5976</v>
      </c>
      <c r="M7289" s="29"/>
      <c r="N7289" s="29" t="s">
        <v>5986</v>
      </c>
      <c r="O7289" s="29"/>
      <c r="P7289" s="29" t="s">
        <v>5990</v>
      </c>
      <c r="Q7289" t="s">
        <v>2040</v>
      </c>
      <c r="R7289" t="s">
        <v>2632</v>
      </c>
      <c r="S7289">
        <v>36</v>
      </c>
      <c r="T7289" s="43" t="str">
        <f t="shared" si="323"/>
        <v>2020.095B.R.Leviviricetes.zip</v>
      </c>
      <c r="U7289" s="43" t="str">
        <f>HYPERLINK("https://ictv.global/taxonomy/taxondetails?taxnode_id=202210999","ictv.global=202210999")</f>
        <v>ictv.global=202210999</v>
      </c>
    </row>
    <row r="7290" spans="1:21">
      <c r="A7290">
        <v>7289</v>
      </c>
      <c r="B7290" s="29" t="s">
        <v>3223</v>
      </c>
      <c r="C7290" s="29"/>
      <c r="D7290" s="29" t="s">
        <v>4156</v>
      </c>
      <c r="E7290" s="29"/>
      <c r="F7290" s="29" t="s">
        <v>4202</v>
      </c>
      <c r="G7290" s="29"/>
      <c r="H7290" s="29" t="s">
        <v>5205</v>
      </c>
      <c r="I7290" s="29"/>
      <c r="J7290" s="29" t="s">
        <v>5908</v>
      </c>
      <c r="K7290" s="29"/>
      <c r="L7290" s="29" t="s">
        <v>5976</v>
      </c>
      <c r="M7290" s="29"/>
      <c r="N7290" s="29" t="s">
        <v>5986</v>
      </c>
      <c r="O7290" s="29"/>
      <c r="P7290" s="29" t="s">
        <v>5991</v>
      </c>
      <c r="Q7290" t="s">
        <v>2040</v>
      </c>
      <c r="R7290" t="s">
        <v>2632</v>
      </c>
      <c r="S7290">
        <v>36</v>
      </c>
      <c r="T7290" s="43" t="str">
        <f t="shared" si="323"/>
        <v>2020.095B.R.Leviviricetes.zip</v>
      </c>
      <c r="U7290" s="43" t="str">
        <f>HYPERLINK("https://ictv.global/taxonomy/taxondetails?taxnode_id=202210994","ictv.global=202210994")</f>
        <v>ictv.global=202210994</v>
      </c>
    </row>
    <row r="7291" spans="1:21">
      <c r="A7291">
        <v>7290</v>
      </c>
      <c r="B7291" s="29" t="s">
        <v>3223</v>
      </c>
      <c r="C7291" s="29"/>
      <c r="D7291" s="29" t="s">
        <v>4156</v>
      </c>
      <c r="E7291" s="29"/>
      <c r="F7291" s="29" t="s">
        <v>4202</v>
      </c>
      <c r="G7291" s="29"/>
      <c r="H7291" s="29" t="s">
        <v>5205</v>
      </c>
      <c r="I7291" s="29"/>
      <c r="J7291" s="29" t="s">
        <v>5908</v>
      </c>
      <c r="K7291" s="29"/>
      <c r="L7291" s="29" t="s">
        <v>5976</v>
      </c>
      <c r="M7291" s="29"/>
      <c r="N7291" s="29" t="s">
        <v>5986</v>
      </c>
      <c r="O7291" s="29"/>
      <c r="P7291" s="29" t="s">
        <v>5992</v>
      </c>
      <c r="Q7291" t="s">
        <v>2040</v>
      </c>
      <c r="R7291" t="s">
        <v>2632</v>
      </c>
      <c r="S7291">
        <v>36</v>
      </c>
      <c r="T7291" s="43" t="str">
        <f t="shared" si="323"/>
        <v>2020.095B.R.Leviviricetes.zip</v>
      </c>
      <c r="U7291" s="43" t="str">
        <f>HYPERLINK("https://ictv.global/taxonomy/taxondetails?taxnode_id=202210995","ictv.global=202210995")</f>
        <v>ictv.global=202210995</v>
      </c>
    </row>
    <row r="7292" spans="1:21">
      <c r="A7292">
        <v>7291</v>
      </c>
      <c r="B7292" s="29" t="s">
        <v>3223</v>
      </c>
      <c r="C7292" s="29"/>
      <c r="D7292" s="29" t="s">
        <v>4156</v>
      </c>
      <c r="E7292" s="29"/>
      <c r="F7292" s="29" t="s">
        <v>4202</v>
      </c>
      <c r="G7292" s="29"/>
      <c r="H7292" s="29" t="s">
        <v>5205</v>
      </c>
      <c r="I7292" s="29"/>
      <c r="J7292" s="29" t="s">
        <v>5908</v>
      </c>
      <c r="K7292" s="29"/>
      <c r="L7292" s="29" t="s">
        <v>5976</v>
      </c>
      <c r="M7292" s="29"/>
      <c r="N7292" s="29" t="s">
        <v>5986</v>
      </c>
      <c r="O7292" s="29"/>
      <c r="P7292" s="29" t="s">
        <v>5993</v>
      </c>
      <c r="Q7292" t="s">
        <v>2040</v>
      </c>
      <c r="R7292" t="s">
        <v>2632</v>
      </c>
      <c r="S7292">
        <v>36</v>
      </c>
      <c r="T7292" s="43" t="str">
        <f t="shared" si="323"/>
        <v>2020.095B.R.Leviviricetes.zip</v>
      </c>
      <c r="U7292" s="43" t="str">
        <f>HYPERLINK("https://ictv.global/taxonomy/taxondetails?taxnode_id=202210990","ictv.global=202210990")</f>
        <v>ictv.global=202210990</v>
      </c>
    </row>
    <row r="7293" spans="1:21">
      <c r="A7293">
        <v>7292</v>
      </c>
      <c r="B7293" s="29" t="s">
        <v>3223</v>
      </c>
      <c r="C7293" s="29"/>
      <c r="D7293" s="29" t="s">
        <v>4156</v>
      </c>
      <c r="E7293" s="29"/>
      <c r="F7293" s="29" t="s">
        <v>4202</v>
      </c>
      <c r="G7293" s="29"/>
      <c r="H7293" s="29" t="s">
        <v>5205</v>
      </c>
      <c r="I7293" s="29"/>
      <c r="J7293" s="29" t="s">
        <v>5908</v>
      </c>
      <c r="K7293" s="29"/>
      <c r="L7293" s="29" t="s">
        <v>5976</v>
      </c>
      <c r="M7293" s="29"/>
      <c r="N7293" s="29" t="s">
        <v>5986</v>
      </c>
      <c r="O7293" s="29"/>
      <c r="P7293" s="29" t="s">
        <v>5994</v>
      </c>
      <c r="Q7293" t="s">
        <v>2040</v>
      </c>
      <c r="R7293" t="s">
        <v>2632</v>
      </c>
      <c r="S7293">
        <v>36</v>
      </c>
      <c r="T7293" s="43" t="str">
        <f t="shared" si="323"/>
        <v>2020.095B.R.Leviviricetes.zip</v>
      </c>
      <c r="U7293" s="43" t="str">
        <f>HYPERLINK("https://ictv.global/taxonomy/taxondetails?taxnode_id=202210996","ictv.global=202210996")</f>
        <v>ictv.global=202210996</v>
      </c>
    </row>
    <row r="7294" spans="1:21">
      <c r="A7294">
        <v>7293</v>
      </c>
      <c r="B7294" s="29" t="s">
        <v>3223</v>
      </c>
      <c r="C7294" s="29"/>
      <c r="D7294" s="29" t="s">
        <v>4156</v>
      </c>
      <c r="E7294" s="29"/>
      <c r="F7294" s="29" t="s">
        <v>4202</v>
      </c>
      <c r="G7294" s="29"/>
      <c r="H7294" s="29" t="s">
        <v>5205</v>
      </c>
      <c r="I7294" s="29"/>
      <c r="J7294" s="29" t="s">
        <v>5908</v>
      </c>
      <c r="K7294" s="29"/>
      <c r="L7294" s="29" t="s">
        <v>5976</v>
      </c>
      <c r="M7294" s="29"/>
      <c r="N7294" s="29" t="s">
        <v>5986</v>
      </c>
      <c r="O7294" s="29"/>
      <c r="P7294" s="29" t="s">
        <v>5995</v>
      </c>
      <c r="Q7294" t="s">
        <v>2040</v>
      </c>
      <c r="R7294" t="s">
        <v>2632</v>
      </c>
      <c r="S7294">
        <v>36</v>
      </c>
      <c r="T7294" s="43" t="str">
        <f t="shared" si="323"/>
        <v>2020.095B.R.Leviviricetes.zip</v>
      </c>
      <c r="U7294" s="43" t="str">
        <f>HYPERLINK("https://ictv.global/taxonomy/taxondetails?taxnode_id=202210991","ictv.global=202210991")</f>
        <v>ictv.global=202210991</v>
      </c>
    </row>
    <row r="7295" spans="1:21">
      <c r="A7295">
        <v>7294</v>
      </c>
      <c r="B7295" s="29" t="s">
        <v>3223</v>
      </c>
      <c r="C7295" s="29"/>
      <c r="D7295" s="29" t="s">
        <v>4156</v>
      </c>
      <c r="E7295" s="29"/>
      <c r="F7295" s="29" t="s">
        <v>4202</v>
      </c>
      <c r="G7295" s="29"/>
      <c r="H7295" s="29" t="s">
        <v>5205</v>
      </c>
      <c r="I7295" s="29"/>
      <c r="J7295" s="29" t="s">
        <v>5908</v>
      </c>
      <c r="K7295" s="29"/>
      <c r="L7295" s="29" t="s">
        <v>5976</v>
      </c>
      <c r="M7295" s="29"/>
      <c r="N7295" s="29" t="s">
        <v>5986</v>
      </c>
      <c r="O7295" s="29"/>
      <c r="P7295" s="29" t="s">
        <v>5996</v>
      </c>
      <c r="Q7295" t="s">
        <v>2040</v>
      </c>
      <c r="R7295" t="s">
        <v>2632</v>
      </c>
      <c r="S7295">
        <v>36</v>
      </c>
      <c r="T7295" s="43" t="str">
        <f t="shared" si="323"/>
        <v>2020.095B.R.Leviviricetes.zip</v>
      </c>
      <c r="U7295" s="43" t="str">
        <f>HYPERLINK("https://ictv.global/taxonomy/taxondetails?taxnode_id=202210992","ictv.global=202210992")</f>
        <v>ictv.global=202210992</v>
      </c>
    </row>
    <row r="7296" spans="1:21">
      <c r="A7296">
        <v>7295</v>
      </c>
      <c r="B7296" s="29" t="s">
        <v>3223</v>
      </c>
      <c r="C7296" s="29"/>
      <c r="D7296" s="29" t="s">
        <v>4156</v>
      </c>
      <c r="E7296" s="29"/>
      <c r="F7296" s="29" t="s">
        <v>4202</v>
      </c>
      <c r="G7296" s="29"/>
      <c r="H7296" s="29" t="s">
        <v>5205</v>
      </c>
      <c r="I7296" s="29"/>
      <c r="J7296" s="29" t="s">
        <v>5908</v>
      </c>
      <c r="K7296" s="29"/>
      <c r="L7296" s="29" t="s">
        <v>5976</v>
      </c>
      <c r="M7296" s="29"/>
      <c r="N7296" s="29" t="s">
        <v>5997</v>
      </c>
      <c r="O7296" s="29"/>
      <c r="P7296" s="29" t="s">
        <v>5998</v>
      </c>
      <c r="Q7296" t="s">
        <v>2040</v>
      </c>
      <c r="R7296" t="s">
        <v>2632</v>
      </c>
      <c r="S7296">
        <v>36</v>
      </c>
      <c r="T7296" s="43" t="str">
        <f t="shared" si="323"/>
        <v>2020.095B.R.Leviviricetes.zip</v>
      </c>
      <c r="U7296" s="43" t="str">
        <f>HYPERLINK("https://ictv.global/taxonomy/taxondetails?taxnode_id=202211001","ictv.global=202211001")</f>
        <v>ictv.global=202211001</v>
      </c>
    </row>
    <row r="7297" spans="1:21">
      <c r="A7297">
        <v>7296</v>
      </c>
      <c r="B7297" s="29" t="s">
        <v>3223</v>
      </c>
      <c r="C7297" s="29"/>
      <c r="D7297" s="29" t="s">
        <v>4156</v>
      </c>
      <c r="E7297" s="29"/>
      <c r="F7297" s="29" t="s">
        <v>4202</v>
      </c>
      <c r="G7297" s="29"/>
      <c r="H7297" s="29" t="s">
        <v>5205</v>
      </c>
      <c r="I7297" s="29"/>
      <c r="J7297" s="29" t="s">
        <v>5908</v>
      </c>
      <c r="K7297" s="29"/>
      <c r="L7297" s="29" t="s">
        <v>5976</v>
      </c>
      <c r="M7297" s="29"/>
      <c r="N7297" s="29" t="s">
        <v>5997</v>
      </c>
      <c r="O7297" s="29"/>
      <c r="P7297" s="29" t="s">
        <v>5999</v>
      </c>
      <c r="Q7297" t="s">
        <v>2040</v>
      </c>
      <c r="R7297" t="s">
        <v>2632</v>
      </c>
      <c r="S7297">
        <v>36</v>
      </c>
      <c r="T7297" s="43" t="str">
        <f t="shared" si="323"/>
        <v>2020.095B.R.Leviviricetes.zip</v>
      </c>
      <c r="U7297" s="43" t="str">
        <f>HYPERLINK("https://ictv.global/taxonomy/taxondetails?taxnode_id=202211003","ictv.global=202211003")</f>
        <v>ictv.global=202211003</v>
      </c>
    </row>
    <row r="7298" spans="1:21">
      <c r="A7298">
        <v>7297</v>
      </c>
      <c r="B7298" s="29" t="s">
        <v>3223</v>
      </c>
      <c r="C7298" s="29"/>
      <c r="D7298" s="29" t="s">
        <v>4156</v>
      </c>
      <c r="E7298" s="29"/>
      <c r="F7298" s="29" t="s">
        <v>4202</v>
      </c>
      <c r="G7298" s="29"/>
      <c r="H7298" s="29" t="s">
        <v>5205</v>
      </c>
      <c r="I7298" s="29"/>
      <c r="J7298" s="29" t="s">
        <v>5908</v>
      </c>
      <c r="K7298" s="29"/>
      <c r="L7298" s="29" t="s">
        <v>5976</v>
      </c>
      <c r="M7298" s="29"/>
      <c r="N7298" s="29" t="s">
        <v>5997</v>
      </c>
      <c r="O7298" s="29"/>
      <c r="P7298" s="29" t="s">
        <v>6000</v>
      </c>
      <c r="Q7298" t="s">
        <v>2040</v>
      </c>
      <c r="R7298" t="s">
        <v>2632</v>
      </c>
      <c r="S7298">
        <v>36</v>
      </c>
      <c r="T7298" s="43" t="str">
        <f t="shared" si="323"/>
        <v>2020.095B.R.Leviviricetes.zip</v>
      </c>
      <c r="U7298" s="43" t="str">
        <f>HYPERLINK("https://ictv.global/taxonomy/taxondetails?taxnode_id=202211002","ictv.global=202211002")</f>
        <v>ictv.global=202211002</v>
      </c>
    </row>
    <row r="7299" spans="1:21">
      <c r="A7299">
        <v>7298</v>
      </c>
      <c r="B7299" s="29" t="s">
        <v>3223</v>
      </c>
      <c r="C7299" s="29"/>
      <c r="D7299" s="29" t="s">
        <v>4156</v>
      </c>
      <c r="E7299" s="29"/>
      <c r="F7299" s="29" t="s">
        <v>4202</v>
      </c>
      <c r="G7299" s="29"/>
      <c r="H7299" s="29" t="s">
        <v>5205</v>
      </c>
      <c r="I7299" s="29"/>
      <c r="J7299" s="29" t="s">
        <v>5908</v>
      </c>
      <c r="K7299" s="29"/>
      <c r="L7299" s="29" t="s">
        <v>5976</v>
      </c>
      <c r="M7299" s="29"/>
      <c r="N7299" s="29" t="s">
        <v>6001</v>
      </c>
      <c r="O7299" s="29"/>
      <c r="P7299" s="29" t="s">
        <v>6002</v>
      </c>
      <c r="Q7299" t="s">
        <v>2040</v>
      </c>
      <c r="R7299" t="s">
        <v>2632</v>
      </c>
      <c r="S7299">
        <v>36</v>
      </c>
      <c r="T7299" s="43" t="str">
        <f t="shared" si="323"/>
        <v>2020.095B.R.Leviviricetes.zip</v>
      </c>
      <c r="U7299" s="43" t="str">
        <f>HYPERLINK("https://ictv.global/taxonomy/taxondetails?taxnode_id=202211005","ictv.global=202211005")</f>
        <v>ictv.global=202211005</v>
      </c>
    </row>
    <row r="7300" spans="1:21">
      <c r="A7300">
        <v>7299</v>
      </c>
      <c r="B7300" s="29" t="s">
        <v>3223</v>
      </c>
      <c r="C7300" s="29"/>
      <c r="D7300" s="29" t="s">
        <v>4156</v>
      </c>
      <c r="E7300" s="29"/>
      <c r="F7300" s="29" t="s">
        <v>4202</v>
      </c>
      <c r="G7300" s="29"/>
      <c r="H7300" s="29" t="s">
        <v>5205</v>
      </c>
      <c r="I7300" s="29"/>
      <c r="J7300" s="29" t="s">
        <v>5908</v>
      </c>
      <c r="K7300" s="29"/>
      <c r="L7300" s="29" t="s">
        <v>5976</v>
      </c>
      <c r="M7300" s="29"/>
      <c r="N7300" s="29" t="s">
        <v>6003</v>
      </c>
      <c r="O7300" s="29"/>
      <c r="P7300" s="29" t="s">
        <v>6004</v>
      </c>
      <c r="Q7300" t="s">
        <v>2040</v>
      </c>
      <c r="R7300" t="s">
        <v>2632</v>
      </c>
      <c r="S7300">
        <v>36</v>
      </c>
      <c r="T7300" s="43" t="str">
        <f t="shared" si="323"/>
        <v>2020.095B.R.Leviviricetes.zip</v>
      </c>
      <c r="U7300" s="43" t="str">
        <f>HYPERLINK("https://ictv.global/taxonomy/taxondetails?taxnode_id=202211008","ictv.global=202211008")</f>
        <v>ictv.global=202211008</v>
      </c>
    </row>
    <row r="7301" spans="1:21">
      <c r="A7301">
        <v>7300</v>
      </c>
      <c r="B7301" s="29" t="s">
        <v>3223</v>
      </c>
      <c r="C7301" s="29"/>
      <c r="D7301" s="29" t="s">
        <v>4156</v>
      </c>
      <c r="E7301" s="29"/>
      <c r="F7301" s="29" t="s">
        <v>4202</v>
      </c>
      <c r="G7301" s="29"/>
      <c r="H7301" s="29" t="s">
        <v>5205</v>
      </c>
      <c r="I7301" s="29"/>
      <c r="J7301" s="29" t="s">
        <v>5908</v>
      </c>
      <c r="K7301" s="29"/>
      <c r="L7301" s="29" t="s">
        <v>5976</v>
      </c>
      <c r="M7301" s="29"/>
      <c r="N7301" s="29" t="s">
        <v>6003</v>
      </c>
      <c r="O7301" s="29"/>
      <c r="P7301" s="29" t="s">
        <v>6005</v>
      </c>
      <c r="Q7301" t="s">
        <v>2040</v>
      </c>
      <c r="R7301" t="s">
        <v>2632</v>
      </c>
      <c r="S7301">
        <v>36</v>
      </c>
      <c r="T7301" s="43" t="str">
        <f t="shared" si="323"/>
        <v>2020.095B.R.Leviviricetes.zip</v>
      </c>
      <c r="U7301" s="43" t="str">
        <f>HYPERLINK("https://ictv.global/taxonomy/taxondetails?taxnode_id=202211009","ictv.global=202211009")</f>
        <v>ictv.global=202211009</v>
      </c>
    </row>
    <row r="7302" spans="1:21">
      <c r="A7302">
        <v>7301</v>
      </c>
      <c r="B7302" s="29" t="s">
        <v>3223</v>
      </c>
      <c r="C7302" s="29"/>
      <c r="D7302" s="29" t="s">
        <v>4156</v>
      </c>
      <c r="E7302" s="29"/>
      <c r="F7302" s="29" t="s">
        <v>4202</v>
      </c>
      <c r="G7302" s="29"/>
      <c r="H7302" s="29" t="s">
        <v>5205</v>
      </c>
      <c r="I7302" s="29"/>
      <c r="J7302" s="29" t="s">
        <v>5908</v>
      </c>
      <c r="K7302" s="29"/>
      <c r="L7302" s="29" t="s">
        <v>5976</v>
      </c>
      <c r="M7302" s="29"/>
      <c r="N7302" s="29" t="s">
        <v>6003</v>
      </c>
      <c r="O7302" s="29"/>
      <c r="P7302" s="29" t="s">
        <v>6006</v>
      </c>
      <c r="Q7302" t="s">
        <v>2040</v>
      </c>
      <c r="R7302" t="s">
        <v>2632</v>
      </c>
      <c r="S7302">
        <v>36</v>
      </c>
      <c r="T7302" s="43" t="str">
        <f t="shared" si="323"/>
        <v>2020.095B.R.Leviviricetes.zip</v>
      </c>
      <c r="U7302" s="43" t="str">
        <f>HYPERLINK("https://ictv.global/taxonomy/taxondetails?taxnode_id=202211010","ictv.global=202211010")</f>
        <v>ictv.global=202211010</v>
      </c>
    </row>
    <row r="7303" spans="1:21">
      <c r="A7303">
        <v>7302</v>
      </c>
      <c r="B7303" s="29" t="s">
        <v>3223</v>
      </c>
      <c r="C7303" s="29"/>
      <c r="D7303" s="29" t="s">
        <v>4156</v>
      </c>
      <c r="E7303" s="29"/>
      <c r="F7303" s="29" t="s">
        <v>4202</v>
      </c>
      <c r="G7303" s="29"/>
      <c r="H7303" s="29" t="s">
        <v>5205</v>
      </c>
      <c r="I7303" s="29"/>
      <c r="J7303" s="29" t="s">
        <v>5908</v>
      </c>
      <c r="K7303" s="29"/>
      <c r="L7303" s="29" t="s">
        <v>5976</v>
      </c>
      <c r="M7303" s="29"/>
      <c r="N7303" s="29" t="s">
        <v>6003</v>
      </c>
      <c r="O7303" s="29"/>
      <c r="P7303" s="29" t="s">
        <v>6007</v>
      </c>
      <c r="Q7303" t="s">
        <v>2040</v>
      </c>
      <c r="R7303" t="s">
        <v>2632</v>
      </c>
      <c r="S7303">
        <v>36</v>
      </c>
      <c r="T7303" s="43" t="str">
        <f t="shared" si="323"/>
        <v>2020.095B.R.Leviviricetes.zip</v>
      </c>
      <c r="U7303" s="43" t="str">
        <f>HYPERLINK("https://ictv.global/taxonomy/taxondetails?taxnode_id=202211011","ictv.global=202211011")</f>
        <v>ictv.global=202211011</v>
      </c>
    </row>
    <row r="7304" spans="1:21">
      <c r="A7304">
        <v>7303</v>
      </c>
      <c r="B7304" s="29" t="s">
        <v>3223</v>
      </c>
      <c r="C7304" s="29"/>
      <c r="D7304" s="29" t="s">
        <v>4156</v>
      </c>
      <c r="E7304" s="29"/>
      <c r="F7304" s="29" t="s">
        <v>4202</v>
      </c>
      <c r="G7304" s="29"/>
      <c r="H7304" s="29" t="s">
        <v>5205</v>
      </c>
      <c r="I7304" s="29"/>
      <c r="J7304" s="29" t="s">
        <v>5908</v>
      </c>
      <c r="K7304" s="29"/>
      <c r="L7304" s="29" t="s">
        <v>5976</v>
      </c>
      <c r="M7304" s="29"/>
      <c r="N7304" s="29" t="s">
        <v>6003</v>
      </c>
      <c r="O7304" s="29"/>
      <c r="P7304" s="29" t="s">
        <v>6008</v>
      </c>
      <c r="Q7304" t="s">
        <v>2040</v>
      </c>
      <c r="R7304" t="s">
        <v>2632</v>
      </c>
      <c r="S7304">
        <v>36</v>
      </c>
      <c r="T7304" s="43" t="str">
        <f t="shared" si="323"/>
        <v>2020.095B.R.Leviviricetes.zip</v>
      </c>
      <c r="U7304" s="43" t="str">
        <f>HYPERLINK("https://ictv.global/taxonomy/taxondetails?taxnode_id=202211007","ictv.global=202211007")</f>
        <v>ictv.global=202211007</v>
      </c>
    </row>
    <row r="7305" spans="1:21">
      <c r="A7305">
        <v>7304</v>
      </c>
      <c r="B7305" s="29" t="s">
        <v>3223</v>
      </c>
      <c r="C7305" s="29"/>
      <c r="D7305" s="29" t="s">
        <v>4156</v>
      </c>
      <c r="E7305" s="29"/>
      <c r="F7305" s="29" t="s">
        <v>4202</v>
      </c>
      <c r="G7305" s="29"/>
      <c r="H7305" s="29" t="s">
        <v>5205</v>
      </c>
      <c r="I7305" s="29"/>
      <c r="J7305" s="29" t="s">
        <v>5908</v>
      </c>
      <c r="K7305" s="29"/>
      <c r="L7305" s="29" t="s">
        <v>5976</v>
      </c>
      <c r="M7305" s="29"/>
      <c r="N7305" s="29" t="s">
        <v>6003</v>
      </c>
      <c r="O7305" s="29"/>
      <c r="P7305" s="29" t="s">
        <v>6009</v>
      </c>
      <c r="Q7305" t="s">
        <v>2040</v>
      </c>
      <c r="R7305" t="s">
        <v>2632</v>
      </c>
      <c r="S7305">
        <v>36</v>
      </c>
      <c r="T7305" s="43" t="str">
        <f t="shared" si="323"/>
        <v>2020.095B.R.Leviviricetes.zip</v>
      </c>
      <c r="U7305" s="43" t="str">
        <f>HYPERLINK("https://ictv.global/taxonomy/taxondetails?taxnode_id=202211012","ictv.global=202211012")</f>
        <v>ictv.global=202211012</v>
      </c>
    </row>
    <row r="7306" spans="1:21">
      <c r="A7306">
        <v>7305</v>
      </c>
      <c r="B7306" s="29" t="s">
        <v>3223</v>
      </c>
      <c r="C7306" s="29"/>
      <c r="D7306" s="29" t="s">
        <v>4156</v>
      </c>
      <c r="E7306" s="29"/>
      <c r="F7306" s="29" t="s">
        <v>4202</v>
      </c>
      <c r="G7306" s="29"/>
      <c r="H7306" s="29" t="s">
        <v>5205</v>
      </c>
      <c r="I7306" s="29"/>
      <c r="J7306" s="29" t="s">
        <v>5908</v>
      </c>
      <c r="K7306" s="29"/>
      <c r="L7306" s="29" t="s">
        <v>5976</v>
      </c>
      <c r="M7306" s="29"/>
      <c r="N7306" s="29" t="s">
        <v>6003</v>
      </c>
      <c r="O7306" s="29"/>
      <c r="P7306" s="29" t="s">
        <v>6010</v>
      </c>
      <c r="Q7306" t="s">
        <v>2040</v>
      </c>
      <c r="R7306" t="s">
        <v>2632</v>
      </c>
      <c r="S7306">
        <v>36</v>
      </c>
      <c r="T7306" s="43" t="str">
        <f t="shared" si="323"/>
        <v>2020.095B.R.Leviviricetes.zip</v>
      </c>
      <c r="U7306" s="43" t="str">
        <f>HYPERLINK("https://ictv.global/taxonomy/taxondetails?taxnode_id=202211013","ictv.global=202211013")</f>
        <v>ictv.global=202211013</v>
      </c>
    </row>
    <row r="7307" spans="1:21">
      <c r="A7307">
        <v>7306</v>
      </c>
      <c r="B7307" s="29" t="s">
        <v>3223</v>
      </c>
      <c r="C7307" s="29"/>
      <c r="D7307" s="29" t="s">
        <v>4156</v>
      </c>
      <c r="E7307" s="29"/>
      <c r="F7307" s="29" t="s">
        <v>4202</v>
      </c>
      <c r="G7307" s="29"/>
      <c r="H7307" s="29" t="s">
        <v>5205</v>
      </c>
      <c r="I7307" s="29"/>
      <c r="J7307" s="29" t="s">
        <v>5908</v>
      </c>
      <c r="K7307" s="29"/>
      <c r="L7307" s="29" t="s">
        <v>5976</v>
      </c>
      <c r="M7307" s="29"/>
      <c r="N7307" s="29" t="s">
        <v>6003</v>
      </c>
      <c r="O7307" s="29"/>
      <c r="P7307" s="29" t="s">
        <v>6011</v>
      </c>
      <c r="Q7307" t="s">
        <v>2040</v>
      </c>
      <c r="R7307" t="s">
        <v>2632</v>
      </c>
      <c r="S7307">
        <v>36</v>
      </c>
      <c r="T7307" s="43" t="str">
        <f t="shared" si="323"/>
        <v>2020.095B.R.Leviviricetes.zip</v>
      </c>
      <c r="U7307" s="43" t="str">
        <f>HYPERLINK("https://ictv.global/taxonomy/taxondetails?taxnode_id=202211014","ictv.global=202211014")</f>
        <v>ictv.global=202211014</v>
      </c>
    </row>
    <row r="7308" spans="1:21">
      <c r="A7308">
        <v>7307</v>
      </c>
      <c r="B7308" s="29" t="s">
        <v>3223</v>
      </c>
      <c r="C7308" s="29"/>
      <c r="D7308" s="29" t="s">
        <v>4156</v>
      </c>
      <c r="E7308" s="29"/>
      <c r="F7308" s="29" t="s">
        <v>4202</v>
      </c>
      <c r="G7308" s="29"/>
      <c r="H7308" s="29" t="s">
        <v>5205</v>
      </c>
      <c r="I7308" s="29"/>
      <c r="J7308" s="29" t="s">
        <v>5908</v>
      </c>
      <c r="K7308" s="29"/>
      <c r="L7308" s="29" t="s">
        <v>5976</v>
      </c>
      <c r="M7308" s="29"/>
      <c r="N7308" s="29" t="s">
        <v>6003</v>
      </c>
      <c r="O7308" s="29"/>
      <c r="P7308" s="29" t="s">
        <v>6012</v>
      </c>
      <c r="Q7308" t="s">
        <v>2040</v>
      </c>
      <c r="R7308" t="s">
        <v>2632</v>
      </c>
      <c r="S7308">
        <v>36</v>
      </c>
      <c r="T7308" s="43" t="str">
        <f t="shared" si="323"/>
        <v>2020.095B.R.Leviviricetes.zip</v>
      </c>
      <c r="U7308" s="43" t="str">
        <f>HYPERLINK("https://ictv.global/taxonomy/taxondetails?taxnode_id=202211015","ictv.global=202211015")</f>
        <v>ictv.global=202211015</v>
      </c>
    </row>
    <row r="7309" spans="1:21">
      <c r="A7309">
        <v>7308</v>
      </c>
      <c r="B7309" s="29" t="s">
        <v>3223</v>
      </c>
      <c r="C7309" s="29"/>
      <c r="D7309" s="29" t="s">
        <v>4156</v>
      </c>
      <c r="E7309" s="29"/>
      <c r="F7309" s="29" t="s">
        <v>4202</v>
      </c>
      <c r="G7309" s="29"/>
      <c r="H7309" s="29" t="s">
        <v>5205</v>
      </c>
      <c r="I7309" s="29"/>
      <c r="J7309" s="29" t="s">
        <v>5908</v>
      </c>
      <c r="K7309" s="29"/>
      <c r="L7309" s="29" t="s">
        <v>5976</v>
      </c>
      <c r="M7309" s="29"/>
      <c r="N7309" s="29" t="s">
        <v>6003</v>
      </c>
      <c r="O7309" s="29"/>
      <c r="P7309" s="29" t="s">
        <v>6013</v>
      </c>
      <c r="Q7309" t="s">
        <v>2040</v>
      </c>
      <c r="R7309" t="s">
        <v>2632</v>
      </c>
      <c r="S7309">
        <v>36</v>
      </c>
      <c r="T7309" s="43" t="str">
        <f t="shared" si="323"/>
        <v>2020.095B.R.Leviviricetes.zip</v>
      </c>
      <c r="U7309" s="43" t="str">
        <f>HYPERLINK("https://ictv.global/taxonomy/taxondetails?taxnode_id=202211016","ictv.global=202211016")</f>
        <v>ictv.global=202211016</v>
      </c>
    </row>
    <row r="7310" spans="1:21">
      <c r="A7310">
        <v>7309</v>
      </c>
      <c r="B7310" s="29" t="s">
        <v>3223</v>
      </c>
      <c r="C7310" s="29"/>
      <c r="D7310" s="29" t="s">
        <v>4156</v>
      </c>
      <c r="E7310" s="29"/>
      <c r="F7310" s="29" t="s">
        <v>4202</v>
      </c>
      <c r="G7310" s="29"/>
      <c r="H7310" s="29" t="s">
        <v>5205</v>
      </c>
      <c r="I7310" s="29"/>
      <c r="J7310" s="29" t="s">
        <v>5908</v>
      </c>
      <c r="K7310" s="29"/>
      <c r="L7310" s="29" t="s">
        <v>5976</v>
      </c>
      <c r="M7310" s="29"/>
      <c r="N7310" s="29" t="s">
        <v>6014</v>
      </c>
      <c r="O7310" s="29"/>
      <c r="P7310" s="29" t="s">
        <v>6015</v>
      </c>
      <c r="Q7310" t="s">
        <v>2040</v>
      </c>
      <c r="R7310" t="s">
        <v>2632</v>
      </c>
      <c r="S7310">
        <v>36</v>
      </c>
      <c r="T7310" s="43" t="str">
        <f t="shared" si="323"/>
        <v>2020.095B.R.Leviviricetes.zip</v>
      </c>
      <c r="U7310" s="43" t="str">
        <f>HYPERLINK("https://ictv.global/taxonomy/taxondetails?taxnode_id=202211018","ictv.global=202211018")</f>
        <v>ictv.global=202211018</v>
      </c>
    </row>
    <row r="7311" spans="1:21">
      <c r="A7311">
        <v>7310</v>
      </c>
      <c r="B7311" s="29" t="s">
        <v>3223</v>
      </c>
      <c r="C7311" s="29"/>
      <c r="D7311" s="29" t="s">
        <v>4156</v>
      </c>
      <c r="E7311" s="29"/>
      <c r="F7311" s="29" t="s">
        <v>4202</v>
      </c>
      <c r="G7311" s="29"/>
      <c r="H7311" s="29" t="s">
        <v>5205</v>
      </c>
      <c r="I7311" s="29"/>
      <c r="J7311" s="29" t="s">
        <v>5908</v>
      </c>
      <c r="K7311" s="29"/>
      <c r="L7311" s="29" t="s">
        <v>5976</v>
      </c>
      <c r="M7311" s="29"/>
      <c r="N7311" s="29" t="s">
        <v>6014</v>
      </c>
      <c r="O7311" s="29"/>
      <c r="P7311" s="29" t="s">
        <v>6016</v>
      </c>
      <c r="Q7311" t="s">
        <v>2040</v>
      </c>
      <c r="R7311" t="s">
        <v>2632</v>
      </c>
      <c r="S7311">
        <v>36</v>
      </c>
      <c r="T7311" s="43" t="str">
        <f t="shared" si="323"/>
        <v>2020.095B.R.Leviviricetes.zip</v>
      </c>
      <c r="U7311" s="43" t="str">
        <f>HYPERLINK("https://ictv.global/taxonomy/taxondetails?taxnode_id=202211019","ictv.global=202211019")</f>
        <v>ictv.global=202211019</v>
      </c>
    </row>
    <row r="7312" spans="1:21">
      <c r="A7312">
        <v>7311</v>
      </c>
      <c r="B7312" s="29" t="s">
        <v>3223</v>
      </c>
      <c r="C7312" s="29"/>
      <c r="D7312" s="29" t="s">
        <v>4156</v>
      </c>
      <c r="E7312" s="29"/>
      <c r="F7312" s="29" t="s">
        <v>4202</v>
      </c>
      <c r="G7312" s="29"/>
      <c r="H7312" s="29" t="s">
        <v>5205</v>
      </c>
      <c r="I7312" s="29"/>
      <c r="J7312" s="29" t="s">
        <v>5908</v>
      </c>
      <c r="K7312" s="29"/>
      <c r="L7312" s="29" t="s">
        <v>5976</v>
      </c>
      <c r="M7312" s="29"/>
      <c r="N7312" s="29" t="s">
        <v>6017</v>
      </c>
      <c r="O7312" s="29"/>
      <c r="P7312" s="29" t="s">
        <v>6018</v>
      </c>
      <c r="Q7312" t="s">
        <v>2040</v>
      </c>
      <c r="R7312" t="s">
        <v>2632</v>
      </c>
      <c r="S7312">
        <v>36</v>
      </c>
      <c r="T7312" s="43" t="str">
        <f t="shared" si="323"/>
        <v>2020.095B.R.Leviviricetes.zip</v>
      </c>
      <c r="U7312" s="43" t="str">
        <f>HYPERLINK("https://ictv.global/taxonomy/taxondetails?taxnode_id=202211021","ictv.global=202211021")</f>
        <v>ictv.global=202211021</v>
      </c>
    </row>
    <row r="7313" spans="1:21">
      <c r="A7313">
        <v>7312</v>
      </c>
      <c r="B7313" s="29" t="s">
        <v>3223</v>
      </c>
      <c r="C7313" s="29"/>
      <c r="D7313" s="29" t="s">
        <v>4156</v>
      </c>
      <c r="E7313" s="29"/>
      <c r="F7313" s="29" t="s">
        <v>4202</v>
      </c>
      <c r="G7313" s="29"/>
      <c r="H7313" s="29" t="s">
        <v>5205</v>
      </c>
      <c r="I7313" s="29"/>
      <c r="J7313" s="29" t="s">
        <v>5908</v>
      </c>
      <c r="K7313" s="29"/>
      <c r="L7313" s="29" t="s">
        <v>5976</v>
      </c>
      <c r="M7313" s="29"/>
      <c r="N7313" s="29" t="s">
        <v>6019</v>
      </c>
      <c r="O7313" s="29"/>
      <c r="P7313" s="29" t="s">
        <v>6020</v>
      </c>
      <c r="Q7313" t="s">
        <v>2040</v>
      </c>
      <c r="R7313" t="s">
        <v>2632</v>
      </c>
      <c r="S7313">
        <v>36</v>
      </c>
      <c r="T7313" s="43" t="str">
        <f t="shared" si="323"/>
        <v>2020.095B.R.Leviviricetes.zip</v>
      </c>
      <c r="U7313" s="43" t="str">
        <f>HYPERLINK("https://ictv.global/taxonomy/taxondetails?taxnode_id=202211032","ictv.global=202211032")</f>
        <v>ictv.global=202211032</v>
      </c>
    </row>
    <row r="7314" spans="1:21">
      <c r="A7314">
        <v>7313</v>
      </c>
      <c r="B7314" s="29" t="s">
        <v>3223</v>
      </c>
      <c r="C7314" s="29"/>
      <c r="D7314" s="29" t="s">
        <v>4156</v>
      </c>
      <c r="E7314" s="29"/>
      <c r="F7314" s="29" t="s">
        <v>4202</v>
      </c>
      <c r="G7314" s="29"/>
      <c r="H7314" s="29" t="s">
        <v>5205</v>
      </c>
      <c r="I7314" s="29"/>
      <c r="J7314" s="29" t="s">
        <v>5908</v>
      </c>
      <c r="K7314" s="29"/>
      <c r="L7314" s="29" t="s">
        <v>5976</v>
      </c>
      <c r="M7314" s="29"/>
      <c r="N7314" s="29" t="s">
        <v>6019</v>
      </c>
      <c r="O7314" s="29"/>
      <c r="P7314" s="29" t="s">
        <v>6021</v>
      </c>
      <c r="Q7314" t="s">
        <v>2040</v>
      </c>
      <c r="R7314" t="s">
        <v>2632</v>
      </c>
      <c r="S7314">
        <v>36</v>
      </c>
      <c r="T7314" s="43" t="str">
        <f t="shared" si="323"/>
        <v>2020.095B.R.Leviviricetes.zip</v>
      </c>
      <c r="U7314" s="43" t="str">
        <f>HYPERLINK("https://ictv.global/taxonomy/taxondetails?taxnode_id=202211034","ictv.global=202211034")</f>
        <v>ictv.global=202211034</v>
      </c>
    </row>
    <row r="7315" spans="1:21">
      <c r="A7315">
        <v>7314</v>
      </c>
      <c r="B7315" s="29" t="s">
        <v>3223</v>
      </c>
      <c r="C7315" s="29"/>
      <c r="D7315" s="29" t="s">
        <v>4156</v>
      </c>
      <c r="E7315" s="29"/>
      <c r="F7315" s="29" t="s">
        <v>4202</v>
      </c>
      <c r="G7315" s="29"/>
      <c r="H7315" s="29" t="s">
        <v>5205</v>
      </c>
      <c r="I7315" s="29"/>
      <c r="J7315" s="29" t="s">
        <v>5908</v>
      </c>
      <c r="K7315" s="29"/>
      <c r="L7315" s="29" t="s">
        <v>5976</v>
      </c>
      <c r="M7315" s="29"/>
      <c r="N7315" s="29" t="s">
        <v>6019</v>
      </c>
      <c r="O7315" s="29"/>
      <c r="P7315" s="29" t="s">
        <v>6022</v>
      </c>
      <c r="Q7315" t="s">
        <v>2040</v>
      </c>
      <c r="R7315" t="s">
        <v>2632</v>
      </c>
      <c r="S7315">
        <v>36</v>
      </c>
      <c r="T7315" s="43" t="str">
        <f t="shared" si="323"/>
        <v>2020.095B.R.Leviviricetes.zip</v>
      </c>
      <c r="U7315" s="43" t="str">
        <f>HYPERLINK("https://ictv.global/taxonomy/taxondetails?taxnode_id=202211033","ictv.global=202211033")</f>
        <v>ictv.global=202211033</v>
      </c>
    </row>
    <row r="7316" spans="1:21">
      <c r="A7316">
        <v>7315</v>
      </c>
      <c r="B7316" s="29" t="s">
        <v>3223</v>
      </c>
      <c r="C7316" s="29"/>
      <c r="D7316" s="29" t="s">
        <v>4156</v>
      </c>
      <c r="E7316" s="29"/>
      <c r="F7316" s="29" t="s">
        <v>4202</v>
      </c>
      <c r="G7316" s="29"/>
      <c r="H7316" s="29" t="s">
        <v>5205</v>
      </c>
      <c r="I7316" s="29"/>
      <c r="J7316" s="29" t="s">
        <v>5908</v>
      </c>
      <c r="K7316" s="29"/>
      <c r="L7316" s="29" t="s">
        <v>5976</v>
      </c>
      <c r="M7316" s="29"/>
      <c r="N7316" s="29" t="s">
        <v>6019</v>
      </c>
      <c r="O7316" s="29"/>
      <c r="P7316" s="29" t="s">
        <v>6023</v>
      </c>
      <c r="Q7316" t="s">
        <v>2040</v>
      </c>
      <c r="R7316" t="s">
        <v>2632</v>
      </c>
      <c r="S7316">
        <v>36</v>
      </c>
      <c r="T7316" s="43" t="str">
        <f t="shared" si="323"/>
        <v>2020.095B.R.Leviviricetes.zip</v>
      </c>
      <c r="U7316" s="43" t="str">
        <f>HYPERLINK("https://ictv.global/taxonomy/taxondetails?taxnode_id=202211035","ictv.global=202211035")</f>
        <v>ictv.global=202211035</v>
      </c>
    </row>
    <row r="7317" spans="1:21">
      <c r="A7317">
        <v>7316</v>
      </c>
      <c r="B7317" s="29" t="s">
        <v>3223</v>
      </c>
      <c r="C7317" s="29"/>
      <c r="D7317" s="29" t="s">
        <v>4156</v>
      </c>
      <c r="E7317" s="29"/>
      <c r="F7317" s="29" t="s">
        <v>4202</v>
      </c>
      <c r="G7317" s="29"/>
      <c r="H7317" s="29" t="s">
        <v>5205</v>
      </c>
      <c r="I7317" s="29"/>
      <c r="J7317" s="29" t="s">
        <v>5908</v>
      </c>
      <c r="K7317" s="29"/>
      <c r="L7317" s="29" t="s">
        <v>5976</v>
      </c>
      <c r="M7317" s="29"/>
      <c r="N7317" s="29" t="s">
        <v>6019</v>
      </c>
      <c r="O7317" s="29"/>
      <c r="P7317" s="29" t="s">
        <v>6024</v>
      </c>
      <c r="Q7317" t="s">
        <v>2040</v>
      </c>
      <c r="R7317" t="s">
        <v>2632</v>
      </c>
      <c r="S7317">
        <v>36</v>
      </c>
      <c r="T7317" s="43" t="str">
        <f t="shared" si="323"/>
        <v>2020.095B.R.Leviviricetes.zip</v>
      </c>
      <c r="U7317" s="43" t="str">
        <f>HYPERLINK("https://ictv.global/taxonomy/taxondetails?taxnode_id=202211036","ictv.global=202211036")</f>
        <v>ictv.global=202211036</v>
      </c>
    </row>
    <row r="7318" spans="1:21">
      <c r="A7318">
        <v>7317</v>
      </c>
      <c r="B7318" s="29" t="s">
        <v>3223</v>
      </c>
      <c r="C7318" s="29"/>
      <c r="D7318" s="29" t="s">
        <v>4156</v>
      </c>
      <c r="E7318" s="29"/>
      <c r="F7318" s="29" t="s">
        <v>4202</v>
      </c>
      <c r="G7318" s="29"/>
      <c r="H7318" s="29" t="s">
        <v>5205</v>
      </c>
      <c r="I7318" s="29"/>
      <c r="J7318" s="29" t="s">
        <v>5908</v>
      </c>
      <c r="K7318" s="29"/>
      <c r="L7318" s="29" t="s">
        <v>5976</v>
      </c>
      <c r="M7318" s="29"/>
      <c r="N7318" s="29" t="s">
        <v>6019</v>
      </c>
      <c r="O7318" s="29"/>
      <c r="P7318" s="29" t="s">
        <v>6025</v>
      </c>
      <c r="Q7318" t="s">
        <v>2040</v>
      </c>
      <c r="R7318" t="s">
        <v>2632</v>
      </c>
      <c r="S7318">
        <v>36</v>
      </c>
      <c r="T7318" s="43" t="str">
        <f t="shared" si="323"/>
        <v>2020.095B.R.Leviviricetes.zip</v>
      </c>
      <c r="U7318" s="43" t="str">
        <f>HYPERLINK("https://ictv.global/taxonomy/taxondetails?taxnode_id=202211037","ictv.global=202211037")</f>
        <v>ictv.global=202211037</v>
      </c>
    </row>
    <row r="7319" spans="1:21">
      <c r="A7319">
        <v>7318</v>
      </c>
      <c r="B7319" s="29" t="s">
        <v>3223</v>
      </c>
      <c r="C7319" s="29"/>
      <c r="D7319" s="29" t="s">
        <v>4156</v>
      </c>
      <c r="E7319" s="29"/>
      <c r="F7319" s="29" t="s">
        <v>4202</v>
      </c>
      <c r="G7319" s="29"/>
      <c r="H7319" s="29" t="s">
        <v>5205</v>
      </c>
      <c r="I7319" s="29"/>
      <c r="J7319" s="29" t="s">
        <v>5908</v>
      </c>
      <c r="K7319" s="29"/>
      <c r="L7319" s="29" t="s">
        <v>5976</v>
      </c>
      <c r="M7319" s="29"/>
      <c r="N7319" s="29" t="s">
        <v>6019</v>
      </c>
      <c r="O7319" s="29"/>
      <c r="P7319" s="29" t="s">
        <v>6026</v>
      </c>
      <c r="Q7319" t="s">
        <v>2040</v>
      </c>
      <c r="R7319" t="s">
        <v>2632</v>
      </c>
      <c r="S7319">
        <v>36</v>
      </c>
      <c r="T7319" s="43" t="str">
        <f t="shared" si="323"/>
        <v>2020.095B.R.Leviviricetes.zip</v>
      </c>
      <c r="U7319" s="43" t="str">
        <f>HYPERLINK("https://ictv.global/taxonomy/taxondetails?taxnode_id=202211023","ictv.global=202211023")</f>
        <v>ictv.global=202211023</v>
      </c>
    </row>
    <row r="7320" spans="1:21">
      <c r="A7320">
        <v>7319</v>
      </c>
      <c r="B7320" s="29" t="s">
        <v>3223</v>
      </c>
      <c r="C7320" s="29"/>
      <c r="D7320" s="29" t="s">
        <v>4156</v>
      </c>
      <c r="E7320" s="29"/>
      <c r="F7320" s="29" t="s">
        <v>4202</v>
      </c>
      <c r="G7320" s="29"/>
      <c r="H7320" s="29" t="s">
        <v>5205</v>
      </c>
      <c r="I7320" s="29"/>
      <c r="J7320" s="29" t="s">
        <v>5908</v>
      </c>
      <c r="K7320" s="29"/>
      <c r="L7320" s="29" t="s">
        <v>5976</v>
      </c>
      <c r="M7320" s="29"/>
      <c r="N7320" s="29" t="s">
        <v>6019</v>
      </c>
      <c r="O7320" s="29"/>
      <c r="P7320" s="29" t="s">
        <v>6027</v>
      </c>
      <c r="Q7320" t="s">
        <v>2040</v>
      </c>
      <c r="R7320" t="s">
        <v>2632</v>
      </c>
      <c r="S7320">
        <v>36</v>
      </c>
      <c r="T7320" s="43" t="str">
        <f t="shared" si="323"/>
        <v>2020.095B.R.Leviviricetes.zip</v>
      </c>
      <c r="U7320" s="43" t="str">
        <f>HYPERLINK("https://ictv.global/taxonomy/taxondetails?taxnode_id=202211038","ictv.global=202211038")</f>
        <v>ictv.global=202211038</v>
      </c>
    </row>
    <row r="7321" spans="1:21">
      <c r="A7321">
        <v>7320</v>
      </c>
      <c r="B7321" s="29" t="s">
        <v>3223</v>
      </c>
      <c r="C7321" s="29"/>
      <c r="D7321" s="29" t="s">
        <v>4156</v>
      </c>
      <c r="E7321" s="29"/>
      <c r="F7321" s="29" t="s">
        <v>4202</v>
      </c>
      <c r="G7321" s="29"/>
      <c r="H7321" s="29" t="s">
        <v>5205</v>
      </c>
      <c r="I7321" s="29"/>
      <c r="J7321" s="29" t="s">
        <v>5908</v>
      </c>
      <c r="K7321" s="29"/>
      <c r="L7321" s="29" t="s">
        <v>5976</v>
      </c>
      <c r="M7321" s="29"/>
      <c r="N7321" s="29" t="s">
        <v>6019</v>
      </c>
      <c r="O7321" s="29"/>
      <c r="P7321" s="29" t="s">
        <v>6028</v>
      </c>
      <c r="Q7321" t="s">
        <v>2040</v>
      </c>
      <c r="R7321" t="s">
        <v>2632</v>
      </c>
      <c r="S7321">
        <v>36</v>
      </c>
      <c r="T7321" s="43" t="str">
        <f t="shared" si="323"/>
        <v>2020.095B.R.Leviviricetes.zip</v>
      </c>
      <c r="U7321" s="43" t="str">
        <f>HYPERLINK("https://ictv.global/taxonomy/taxondetails?taxnode_id=202211039","ictv.global=202211039")</f>
        <v>ictv.global=202211039</v>
      </c>
    </row>
    <row r="7322" spans="1:21">
      <c r="A7322">
        <v>7321</v>
      </c>
      <c r="B7322" s="29" t="s">
        <v>3223</v>
      </c>
      <c r="C7322" s="29"/>
      <c r="D7322" s="29" t="s">
        <v>4156</v>
      </c>
      <c r="E7322" s="29"/>
      <c r="F7322" s="29" t="s">
        <v>4202</v>
      </c>
      <c r="G7322" s="29"/>
      <c r="H7322" s="29" t="s">
        <v>5205</v>
      </c>
      <c r="I7322" s="29"/>
      <c r="J7322" s="29" t="s">
        <v>5908</v>
      </c>
      <c r="K7322" s="29"/>
      <c r="L7322" s="29" t="s">
        <v>5976</v>
      </c>
      <c r="M7322" s="29"/>
      <c r="N7322" s="29" t="s">
        <v>6019</v>
      </c>
      <c r="O7322" s="29"/>
      <c r="P7322" s="29" t="s">
        <v>6029</v>
      </c>
      <c r="Q7322" t="s">
        <v>2040</v>
      </c>
      <c r="R7322" t="s">
        <v>2632</v>
      </c>
      <c r="S7322">
        <v>36</v>
      </c>
      <c r="T7322" s="43" t="str">
        <f t="shared" si="323"/>
        <v>2020.095B.R.Leviviricetes.zip</v>
      </c>
      <c r="U7322" s="43" t="str">
        <f>HYPERLINK("https://ictv.global/taxonomy/taxondetails?taxnode_id=202211040","ictv.global=202211040")</f>
        <v>ictv.global=202211040</v>
      </c>
    </row>
    <row r="7323" spans="1:21">
      <c r="A7323">
        <v>7322</v>
      </c>
      <c r="B7323" s="29" t="s">
        <v>3223</v>
      </c>
      <c r="C7323" s="29"/>
      <c r="D7323" s="29" t="s">
        <v>4156</v>
      </c>
      <c r="E7323" s="29"/>
      <c r="F7323" s="29" t="s">
        <v>4202</v>
      </c>
      <c r="G7323" s="29"/>
      <c r="H7323" s="29" t="s">
        <v>5205</v>
      </c>
      <c r="I7323" s="29"/>
      <c r="J7323" s="29" t="s">
        <v>5908</v>
      </c>
      <c r="K7323" s="29"/>
      <c r="L7323" s="29" t="s">
        <v>5976</v>
      </c>
      <c r="M7323" s="29"/>
      <c r="N7323" s="29" t="s">
        <v>6019</v>
      </c>
      <c r="O7323" s="29"/>
      <c r="P7323" s="29" t="s">
        <v>6030</v>
      </c>
      <c r="Q7323" t="s">
        <v>2040</v>
      </c>
      <c r="R7323" t="s">
        <v>2632</v>
      </c>
      <c r="S7323">
        <v>36</v>
      </c>
      <c r="T7323" s="43" t="str">
        <f t="shared" si="323"/>
        <v>2020.095B.R.Leviviricetes.zip</v>
      </c>
      <c r="U7323" s="43" t="str">
        <f>HYPERLINK("https://ictv.global/taxonomy/taxondetails?taxnode_id=202211041","ictv.global=202211041")</f>
        <v>ictv.global=202211041</v>
      </c>
    </row>
    <row r="7324" spans="1:21">
      <c r="A7324">
        <v>7323</v>
      </c>
      <c r="B7324" s="29" t="s">
        <v>3223</v>
      </c>
      <c r="C7324" s="29"/>
      <c r="D7324" s="29" t="s">
        <v>4156</v>
      </c>
      <c r="E7324" s="29"/>
      <c r="F7324" s="29" t="s">
        <v>4202</v>
      </c>
      <c r="G7324" s="29"/>
      <c r="H7324" s="29" t="s">
        <v>5205</v>
      </c>
      <c r="I7324" s="29"/>
      <c r="J7324" s="29" t="s">
        <v>5908</v>
      </c>
      <c r="K7324" s="29"/>
      <c r="L7324" s="29" t="s">
        <v>5976</v>
      </c>
      <c r="M7324" s="29"/>
      <c r="N7324" s="29" t="s">
        <v>6019</v>
      </c>
      <c r="O7324" s="29"/>
      <c r="P7324" s="29" t="s">
        <v>6031</v>
      </c>
      <c r="Q7324" t="s">
        <v>2040</v>
      </c>
      <c r="R7324" t="s">
        <v>2632</v>
      </c>
      <c r="S7324">
        <v>36</v>
      </c>
      <c r="T7324" s="43" t="str">
        <f t="shared" si="323"/>
        <v>2020.095B.R.Leviviricetes.zip</v>
      </c>
      <c r="U7324" s="43" t="str">
        <f>HYPERLINK("https://ictv.global/taxonomy/taxondetails?taxnode_id=202211042","ictv.global=202211042")</f>
        <v>ictv.global=202211042</v>
      </c>
    </row>
    <row r="7325" spans="1:21">
      <c r="A7325">
        <v>7324</v>
      </c>
      <c r="B7325" s="29" t="s">
        <v>3223</v>
      </c>
      <c r="C7325" s="29"/>
      <c r="D7325" s="29" t="s">
        <v>4156</v>
      </c>
      <c r="E7325" s="29"/>
      <c r="F7325" s="29" t="s">
        <v>4202</v>
      </c>
      <c r="G7325" s="29"/>
      <c r="H7325" s="29" t="s">
        <v>5205</v>
      </c>
      <c r="I7325" s="29"/>
      <c r="J7325" s="29" t="s">
        <v>5908</v>
      </c>
      <c r="K7325" s="29"/>
      <c r="L7325" s="29" t="s">
        <v>5976</v>
      </c>
      <c r="M7325" s="29"/>
      <c r="N7325" s="29" t="s">
        <v>6019</v>
      </c>
      <c r="O7325" s="29"/>
      <c r="P7325" s="29" t="s">
        <v>6032</v>
      </c>
      <c r="Q7325" t="s">
        <v>2040</v>
      </c>
      <c r="R7325" t="s">
        <v>2632</v>
      </c>
      <c r="S7325">
        <v>36</v>
      </c>
      <c r="T7325" s="43" t="str">
        <f t="shared" si="323"/>
        <v>2020.095B.R.Leviviricetes.zip</v>
      </c>
      <c r="U7325" s="43" t="str">
        <f>HYPERLINK("https://ictv.global/taxonomy/taxondetails?taxnode_id=202211043","ictv.global=202211043")</f>
        <v>ictv.global=202211043</v>
      </c>
    </row>
    <row r="7326" spans="1:21">
      <c r="A7326">
        <v>7325</v>
      </c>
      <c r="B7326" s="29" t="s">
        <v>3223</v>
      </c>
      <c r="C7326" s="29"/>
      <c r="D7326" s="29" t="s">
        <v>4156</v>
      </c>
      <c r="E7326" s="29"/>
      <c r="F7326" s="29" t="s">
        <v>4202</v>
      </c>
      <c r="G7326" s="29"/>
      <c r="H7326" s="29" t="s">
        <v>5205</v>
      </c>
      <c r="I7326" s="29"/>
      <c r="J7326" s="29" t="s">
        <v>5908</v>
      </c>
      <c r="K7326" s="29"/>
      <c r="L7326" s="29" t="s">
        <v>5976</v>
      </c>
      <c r="M7326" s="29"/>
      <c r="N7326" s="29" t="s">
        <v>6019</v>
      </c>
      <c r="O7326" s="29"/>
      <c r="P7326" s="29" t="s">
        <v>6033</v>
      </c>
      <c r="Q7326" t="s">
        <v>2040</v>
      </c>
      <c r="R7326" t="s">
        <v>2632</v>
      </c>
      <c r="S7326">
        <v>36</v>
      </c>
      <c r="T7326" s="43" t="str">
        <f t="shared" si="323"/>
        <v>2020.095B.R.Leviviricetes.zip</v>
      </c>
      <c r="U7326" s="43" t="str">
        <f>HYPERLINK("https://ictv.global/taxonomy/taxondetails?taxnode_id=202211048","ictv.global=202211048")</f>
        <v>ictv.global=202211048</v>
      </c>
    </row>
    <row r="7327" spans="1:21">
      <c r="A7327">
        <v>7326</v>
      </c>
      <c r="B7327" s="29" t="s">
        <v>3223</v>
      </c>
      <c r="C7327" s="29"/>
      <c r="D7327" s="29" t="s">
        <v>4156</v>
      </c>
      <c r="E7327" s="29"/>
      <c r="F7327" s="29" t="s">
        <v>4202</v>
      </c>
      <c r="G7327" s="29"/>
      <c r="H7327" s="29" t="s">
        <v>5205</v>
      </c>
      <c r="I7327" s="29"/>
      <c r="J7327" s="29" t="s">
        <v>5908</v>
      </c>
      <c r="K7327" s="29"/>
      <c r="L7327" s="29" t="s">
        <v>5976</v>
      </c>
      <c r="M7327" s="29"/>
      <c r="N7327" s="29" t="s">
        <v>6019</v>
      </c>
      <c r="O7327" s="29"/>
      <c r="P7327" s="29" t="s">
        <v>6034</v>
      </c>
      <c r="Q7327" t="s">
        <v>2040</v>
      </c>
      <c r="R7327" t="s">
        <v>2632</v>
      </c>
      <c r="S7327">
        <v>36</v>
      </c>
      <c r="T7327" s="43" t="str">
        <f t="shared" si="323"/>
        <v>2020.095B.R.Leviviricetes.zip</v>
      </c>
      <c r="U7327" s="43" t="str">
        <f>HYPERLINK("https://ictv.global/taxonomy/taxondetails?taxnode_id=202211049","ictv.global=202211049")</f>
        <v>ictv.global=202211049</v>
      </c>
    </row>
    <row r="7328" spans="1:21">
      <c r="A7328">
        <v>7327</v>
      </c>
      <c r="B7328" s="29" t="s">
        <v>3223</v>
      </c>
      <c r="C7328" s="29"/>
      <c r="D7328" s="29" t="s">
        <v>4156</v>
      </c>
      <c r="E7328" s="29"/>
      <c r="F7328" s="29" t="s">
        <v>4202</v>
      </c>
      <c r="G7328" s="29"/>
      <c r="H7328" s="29" t="s">
        <v>5205</v>
      </c>
      <c r="I7328" s="29"/>
      <c r="J7328" s="29" t="s">
        <v>5908</v>
      </c>
      <c r="K7328" s="29"/>
      <c r="L7328" s="29" t="s">
        <v>5976</v>
      </c>
      <c r="M7328" s="29"/>
      <c r="N7328" s="29" t="s">
        <v>6019</v>
      </c>
      <c r="O7328" s="29"/>
      <c r="P7328" s="29" t="s">
        <v>6035</v>
      </c>
      <c r="Q7328" t="s">
        <v>2040</v>
      </c>
      <c r="R7328" t="s">
        <v>2632</v>
      </c>
      <c r="S7328">
        <v>36</v>
      </c>
      <c r="T7328" s="43" t="str">
        <f t="shared" si="323"/>
        <v>2020.095B.R.Leviviricetes.zip</v>
      </c>
      <c r="U7328" s="43" t="str">
        <f>HYPERLINK("https://ictv.global/taxonomy/taxondetails?taxnode_id=202211050","ictv.global=202211050")</f>
        <v>ictv.global=202211050</v>
      </c>
    </row>
    <row r="7329" spans="1:21">
      <c r="A7329">
        <v>7328</v>
      </c>
      <c r="B7329" s="29" t="s">
        <v>3223</v>
      </c>
      <c r="C7329" s="29"/>
      <c r="D7329" s="29" t="s">
        <v>4156</v>
      </c>
      <c r="E7329" s="29"/>
      <c r="F7329" s="29" t="s">
        <v>4202</v>
      </c>
      <c r="G7329" s="29"/>
      <c r="H7329" s="29" t="s">
        <v>5205</v>
      </c>
      <c r="I7329" s="29"/>
      <c r="J7329" s="29" t="s">
        <v>5908</v>
      </c>
      <c r="K7329" s="29"/>
      <c r="L7329" s="29" t="s">
        <v>5976</v>
      </c>
      <c r="M7329" s="29"/>
      <c r="N7329" s="29" t="s">
        <v>6019</v>
      </c>
      <c r="O7329" s="29"/>
      <c r="P7329" s="29" t="s">
        <v>6036</v>
      </c>
      <c r="Q7329" t="s">
        <v>2040</v>
      </c>
      <c r="R7329" t="s">
        <v>2632</v>
      </c>
      <c r="S7329">
        <v>36</v>
      </c>
      <c r="T7329" s="43" t="str">
        <f t="shared" si="323"/>
        <v>2020.095B.R.Leviviricetes.zip</v>
      </c>
      <c r="U7329" s="43" t="str">
        <f>HYPERLINK("https://ictv.global/taxonomy/taxondetails?taxnode_id=202211024","ictv.global=202211024")</f>
        <v>ictv.global=202211024</v>
      </c>
    </row>
    <row r="7330" spans="1:21">
      <c r="A7330">
        <v>7329</v>
      </c>
      <c r="B7330" s="29" t="s">
        <v>3223</v>
      </c>
      <c r="C7330" s="29"/>
      <c r="D7330" s="29" t="s">
        <v>4156</v>
      </c>
      <c r="E7330" s="29"/>
      <c r="F7330" s="29" t="s">
        <v>4202</v>
      </c>
      <c r="G7330" s="29"/>
      <c r="H7330" s="29" t="s">
        <v>5205</v>
      </c>
      <c r="I7330" s="29"/>
      <c r="J7330" s="29" t="s">
        <v>5908</v>
      </c>
      <c r="K7330" s="29"/>
      <c r="L7330" s="29" t="s">
        <v>5976</v>
      </c>
      <c r="M7330" s="29"/>
      <c r="N7330" s="29" t="s">
        <v>6019</v>
      </c>
      <c r="O7330" s="29"/>
      <c r="P7330" s="29" t="s">
        <v>6037</v>
      </c>
      <c r="Q7330" t="s">
        <v>2040</v>
      </c>
      <c r="R7330" t="s">
        <v>2632</v>
      </c>
      <c r="S7330">
        <v>36</v>
      </c>
      <c r="T7330" s="43" t="str">
        <f t="shared" si="323"/>
        <v>2020.095B.R.Leviviricetes.zip</v>
      </c>
      <c r="U7330" s="43" t="str">
        <f>HYPERLINK("https://ictv.global/taxonomy/taxondetails?taxnode_id=202211025","ictv.global=202211025")</f>
        <v>ictv.global=202211025</v>
      </c>
    </row>
    <row r="7331" spans="1:21">
      <c r="A7331">
        <v>7330</v>
      </c>
      <c r="B7331" s="29" t="s">
        <v>3223</v>
      </c>
      <c r="C7331" s="29"/>
      <c r="D7331" s="29" t="s">
        <v>4156</v>
      </c>
      <c r="E7331" s="29"/>
      <c r="F7331" s="29" t="s">
        <v>4202</v>
      </c>
      <c r="G7331" s="29"/>
      <c r="H7331" s="29" t="s">
        <v>5205</v>
      </c>
      <c r="I7331" s="29"/>
      <c r="J7331" s="29" t="s">
        <v>5908</v>
      </c>
      <c r="K7331" s="29"/>
      <c r="L7331" s="29" t="s">
        <v>5976</v>
      </c>
      <c r="M7331" s="29"/>
      <c r="N7331" s="29" t="s">
        <v>6019</v>
      </c>
      <c r="O7331" s="29"/>
      <c r="P7331" s="29" t="s">
        <v>6038</v>
      </c>
      <c r="Q7331" t="s">
        <v>2040</v>
      </c>
      <c r="R7331" t="s">
        <v>2632</v>
      </c>
      <c r="S7331">
        <v>36</v>
      </c>
      <c r="T7331" s="43" t="str">
        <f t="shared" si="323"/>
        <v>2020.095B.R.Leviviricetes.zip</v>
      </c>
      <c r="U7331" s="43" t="str">
        <f>HYPERLINK("https://ictv.global/taxonomy/taxondetails?taxnode_id=202211026","ictv.global=202211026")</f>
        <v>ictv.global=202211026</v>
      </c>
    </row>
    <row r="7332" spans="1:21">
      <c r="A7332">
        <v>7331</v>
      </c>
      <c r="B7332" s="29" t="s">
        <v>3223</v>
      </c>
      <c r="C7332" s="29"/>
      <c r="D7332" s="29" t="s">
        <v>4156</v>
      </c>
      <c r="E7332" s="29"/>
      <c r="F7332" s="29" t="s">
        <v>4202</v>
      </c>
      <c r="G7332" s="29"/>
      <c r="H7332" s="29" t="s">
        <v>5205</v>
      </c>
      <c r="I7332" s="29"/>
      <c r="J7332" s="29" t="s">
        <v>5908</v>
      </c>
      <c r="K7332" s="29"/>
      <c r="L7332" s="29" t="s">
        <v>5976</v>
      </c>
      <c r="M7332" s="29"/>
      <c r="N7332" s="29" t="s">
        <v>6019</v>
      </c>
      <c r="O7332" s="29"/>
      <c r="P7332" s="29" t="s">
        <v>6039</v>
      </c>
      <c r="Q7332" t="s">
        <v>2040</v>
      </c>
      <c r="R7332" t="s">
        <v>2632</v>
      </c>
      <c r="S7332">
        <v>36</v>
      </c>
      <c r="T7332" s="43" t="str">
        <f t="shared" si="323"/>
        <v>2020.095B.R.Leviviricetes.zip</v>
      </c>
      <c r="U7332" s="43" t="str">
        <f>HYPERLINK("https://ictv.global/taxonomy/taxondetails?taxnode_id=202211028","ictv.global=202211028")</f>
        <v>ictv.global=202211028</v>
      </c>
    </row>
    <row r="7333" spans="1:21">
      <c r="A7333">
        <v>7332</v>
      </c>
      <c r="B7333" s="29" t="s">
        <v>3223</v>
      </c>
      <c r="C7333" s="29"/>
      <c r="D7333" s="29" t="s">
        <v>4156</v>
      </c>
      <c r="E7333" s="29"/>
      <c r="F7333" s="29" t="s">
        <v>4202</v>
      </c>
      <c r="G7333" s="29"/>
      <c r="H7333" s="29" t="s">
        <v>5205</v>
      </c>
      <c r="I7333" s="29"/>
      <c r="J7333" s="29" t="s">
        <v>5908</v>
      </c>
      <c r="K7333" s="29"/>
      <c r="L7333" s="29" t="s">
        <v>5976</v>
      </c>
      <c r="M7333" s="29"/>
      <c r="N7333" s="29" t="s">
        <v>6019</v>
      </c>
      <c r="O7333" s="29"/>
      <c r="P7333" s="29" t="s">
        <v>6040</v>
      </c>
      <c r="Q7333" t="s">
        <v>2040</v>
      </c>
      <c r="R7333" t="s">
        <v>2632</v>
      </c>
      <c r="S7333">
        <v>36</v>
      </c>
      <c r="T7333" s="43" t="str">
        <f t="shared" si="323"/>
        <v>2020.095B.R.Leviviricetes.zip</v>
      </c>
      <c r="U7333" s="43" t="str">
        <f>HYPERLINK("https://ictv.global/taxonomy/taxondetails?taxnode_id=202211027","ictv.global=202211027")</f>
        <v>ictv.global=202211027</v>
      </c>
    </row>
    <row r="7334" spans="1:21">
      <c r="A7334">
        <v>7333</v>
      </c>
      <c r="B7334" s="29" t="s">
        <v>3223</v>
      </c>
      <c r="C7334" s="29"/>
      <c r="D7334" s="29" t="s">
        <v>4156</v>
      </c>
      <c r="E7334" s="29"/>
      <c r="F7334" s="29" t="s">
        <v>4202</v>
      </c>
      <c r="G7334" s="29"/>
      <c r="H7334" s="29" t="s">
        <v>5205</v>
      </c>
      <c r="I7334" s="29"/>
      <c r="J7334" s="29" t="s">
        <v>5908</v>
      </c>
      <c r="K7334" s="29"/>
      <c r="L7334" s="29" t="s">
        <v>5976</v>
      </c>
      <c r="M7334" s="29"/>
      <c r="N7334" s="29" t="s">
        <v>6019</v>
      </c>
      <c r="O7334" s="29"/>
      <c r="P7334" s="29" t="s">
        <v>6041</v>
      </c>
      <c r="Q7334" t="s">
        <v>2040</v>
      </c>
      <c r="R7334" t="s">
        <v>2632</v>
      </c>
      <c r="S7334">
        <v>36</v>
      </c>
      <c r="T7334" s="43" t="str">
        <f t="shared" si="323"/>
        <v>2020.095B.R.Leviviricetes.zip</v>
      </c>
      <c r="U7334" s="43" t="str">
        <f>HYPERLINK("https://ictv.global/taxonomy/taxondetails?taxnode_id=202211029","ictv.global=202211029")</f>
        <v>ictv.global=202211029</v>
      </c>
    </row>
    <row r="7335" spans="1:21">
      <c r="A7335">
        <v>7334</v>
      </c>
      <c r="B7335" s="29" t="s">
        <v>3223</v>
      </c>
      <c r="C7335" s="29"/>
      <c r="D7335" s="29" t="s">
        <v>4156</v>
      </c>
      <c r="E7335" s="29"/>
      <c r="F7335" s="29" t="s">
        <v>4202</v>
      </c>
      <c r="G7335" s="29"/>
      <c r="H7335" s="29" t="s">
        <v>5205</v>
      </c>
      <c r="I7335" s="29"/>
      <c r="J7335" s="29" t="s">
        <v>5908</v>
      </c>
      <c r="K7335" s="29"/>
      <c r="L7335" s="29" t="s">
        <v>5976</v>
      </c>
      <c r="M7335" s="29"/>
      <c r="N7335" s="29" t="s">
        <v>6019</v>
      </c>
      <c r="O7335" s="29"/>
      <c r="P7335" s="29" t="s">
        <v>6042</v>
      </c>
      <c r="Q7335" t="s">
        <v>2040</v>
      </c>
      <c r="R7335" t="s">
        <v>2632</v>
      </c>
      <c r="S7335">
        <v>36</v>
      </c>
      <c r="T7335" s="43" t="str">
        <f t="shared" si="323"/>
        <v>2020.095B.R.Leviviricetes.zip</v>
      </c>
      <c r="U7335" s="43" t="str">
        <f>HYPERLINK("https://ictv.global/taxonomy/taxondetails?taxnode_id=202211030","ictv.global=202211030")</f>
        <v>ictv.global=202211030</v>
      </c>
    </row>
    <row r="7336" spans="1:21">
      <c r="A7336">
        <v>7335</v>
      </c>
      <c r="B7336" s="29" t="s">
        <v>3223</v>
      </c>
      <c r="C7336" s="29"/>
      <c r="D7336" s="29" t="s">
        <v>4156</v>
      </c>
      <c r="E7336" s="29"/>
      <c r="F7336" s="29" t="s">
        <v>4202</v>
      </c>
      <c r="G7336" s="29"/>
      <c r="H7336" s="29" t="s">
        <v>5205</v>
      </c>
      <c r="I7336" s="29"/>
      <c r="J7336" s="29" t="s">
        <v>5908</v>
      </c>
      <c r="K7336" s="29"/>
      <c r="L7336" s="29" t="s">
        <v>5976</v>
      </c>
      <c r="M7336" s="29"/>
      <c r="N7336" s="29" t="s">
        <v>6019</v>
      </c>
      <c r="O7336" s="29"/>
      <c r="P7336" s="29" t="s">
        <v>6043</v>
      </c>
      <c r="Q7336" t="s">
        <v>2040</v>
      </c>
      <c r="R7336" t="s">
        <v>2632</v>
      </c>
      <c r="S7336">
        <v>36</v>
      </c>
      <c r="T7336" s="43" t="str">
        <f t="shared" si="323"/>
        <v>2020.095B.R.Leviviricetes.zip</v>
      </c>
      <c r="U7336" s="43" t="str">
        <f>HYPERLINK("https://ictv.global/taxonomy/taxondetails?taxnode_id=202211031","ictv.global=202211031")</f>
        <v>ictv.global=202211031</v>
      </c>
    </row>
    <row r="7337" spans="1:21">
      <c r="A7337">
        <v>7336</v>
      </c>
      <c r="B7337" s="29" t="s">
        <v>3223</v>
      </c>
      <c r="C7337" s="29"/>
      <c r="D7337" s="29" t="s">
        <v>4156</v>
      </c>
      <c r="E7337" s="29"/>
      <c r="F7337" s="29" t="s">
        <v>4202</v>
      </c>
      <c r="G7337" s="29"/>
      <c r="H7337" s="29" t="s">
        <v>5205</v>
      </c>
      <c r="I7337" s="29"/>
      <c r="J7337" s="29" t="s">
        <v>5908</v>
      </c>
      <c r="K7337" s="29"/>
      <c r="L7337" s="29" t="s">
        <v>5976</v>
      </c>
      <c r="M7337" s="29"/>
      <c r="N7337" s="29" t="s">
        <v>6019</v>
      </c>
      <c r="O7337" s="29"/>
      <c r="P7337" s="29" t="s">
        <v>6044</v>
      </c>
      <c r="Q7337" t="s">
        <v>2040</v>
      </c>
      <c r="R7337" t="s">
        <v>2632</v>
      </c>
      <c r="S7337">
        <v>36</v>
      </c>
      <c r="T7337" s="43" t="str">
        <f t="shared" si="323"/>
        <v>2020.095B.R.Leviviricetes.zip</v>
      </c>
      <c r="U7337" s="43" t="str">
        <f>HYPERLINK("https://ictv.global/taxonomy/taxondetails?taxnode_id=202211044","ictv.global=202211044")</f>
        <v>ictv.global=202211044</v>
      </c>
    </row>
    <row r="7338" spans="1:21">
      <c r="A7338">
        <v>7337</v>
      </c>
      <c r="B7338" s="29" t="s">
        <v>3223</v>
      </c>
      <c r="C7338" s="29"/>
      <c r="D7338" s="29" t="s">
        <v>4156</v>
      </c>
      <c r="E7338" s="29"/>
      <c r="F7338" s="29" t="s">
        <v>4202</v>
      </c>
      <c r="G7338" s="29"/>
      <c r="H7338" s="29" t="s">
        <v>5205</v>
      </c>
      <c r="I7338" s="29"/>
      <c r="J7338" s="29" t="s">
        <v>5908</v>
      </c>
      <c r="K7338" s="29"/>
      <c r="L7338" s="29" t="s">
        <v>5976</v>
      </c>
      <c r="M7338" s="29"/>
      <c r="N7338" s="29" t="s">
        <v>6019</v>
      </c>
      <c r="O7338" s="29"/>
      <c r="P7338" s="29" t="s">
        <v>6045</v>
      </c>
      <c r="Q7338" t="s">
        <v>2040</v>
      </c>
      <c r="R7338" t="s">
        <v>2632</v>
      </c>
      <c r="S7338">
        <v>36</v>
      </c>
      <c r="T7338" s="43" t="str">
        <f t="shared" si="323"/>
        <v>2020.095B.R.Leviviricetes.zip</v>
      </c>
      <c r="U7338" s="43" t="str">
        <f>HYPERLINK("https://ictv.global/taxonomy/taxondetails?taxnode_id=202211046","ictv.global=202211046")</f>
        <v>ictv.global=202211046</v>
      </c>
    </row>
    <row r="7339" spans="1:21">
      <c r="A7339">
        <v>7338</v>
      </c>
      <c r="B7339" s="29" t="s">
        <v>3223</v>
      </c>
      <c r="C7339" s="29"/>
      <c r="D7339" s="29" t="s">
        <v>4156</v>
      </c>
      <c r="E7339" s="29"/>
      <c r="F7339" s="29" t="s">
        <v>4202</v>
      </c>
      <c r="G7339" s="29"/>
      <c r="H7339" s="29" t="s">
        <v>5205</v>
      </c>
      <c r="I7339" s="29"/>
      <c r="J7339" s="29" t="s">
        <v>5908</v>
      </c>
      <c r="K7339" s="29"/>
      <c r="L7339" s="29" t="s">
        <v>5976</v>
      </c>
      <c r="M7339" s="29"/>
      <c r="N7339" s="29" t="s">
        <v>6019</v>
      </c>
      <c r="O7339" s="29"/>
      <c r="P7339" s="29" t="s">
        <v>6046</v>
      </c>
      <c r="Q7339" t="s">
        <v>2040</v>
      </c>
      <c r="R7339" t="s">
        <v>2632</v>
      </c>
      <c r="S7339">
        <v>36</v>
      </c>
      <c r="T7339" s="43" t="str">
        <f t="shared" si="323"/>
        <v>2020.095B.R.Leviviricetes.zip</v>
      </c>
      <c r="U7339" s="43" t="str">
        <f>HYPERLINK("https://ictv.global/taxonomy/taxondetails?taxnode_id=202211045","ictv.global=202211045")</f>
        <v>ictv.global=202211045</v>
      </c>
    </row>
    <row r="7340" spans="1:21">
      <c r="A7340">
        <v>7339</v>
      </c>
      <c r="B7340" s="29" t="s">
        <v>3223</v>
      </c>
      <c r="C7340" s="29"/>
      <c r="D7340" s="29" t="s">
        <v>4156</v>
      </c>
      <c r="E7340" s="29"/>
      <c r="F7340" s="29" t="s">
        <v>4202</v>
      </c>
      <c r="G7340" s="29"/>
      <c r="H7340" s="29" t="s">
        <v>5205</v>
      </c>
      <c r="I7340" s="29"/>
      <c r="J7340" s="29" t="s">
        <v>5908</v>
      </c>
      <c r="K7340" s="29"/>
      <c r="L7340" s="29" t="s">
        <v>5976</v>
      </c>
      <c r="M7340" s="29"/>
      <c r="N7340" s="29" t="s">
        <v>6019</v>
      </c>
      <c r="O7340" s="29"/>
      <c r="P7340" s="29" t="s">
        <v>6047</v>
      </c>
      <c r="Q7340" t="s">
        <v>2040</v>
      </c>
      <c r="R7340" t="s">
        <v>2632</v>
      </c>
      <c r="S7340">
        <v>36</v>
      </c>
      <c r="T7340" s="43" t="str">
        <f t="shared" si="323"/>
        <v>2020.095B.R.Leviviricetes.zip</v>
      </c>
      <c r="U7340" s="43" t="str">
        <f>HYPERLINK("https://ictv.global/taxonomy/taxondetails?taxnode_id=202211047","ictv.global=202211047")</f>
        <v>ictv.global=202211047</v>
      </c>
    </row>
    <row r="7341" spans="1:21">
      <c r="A7341">
        <v>7340</v>
      </c>
      <c r="B7341" s="29" t="s">
        <v>3223</v>
      </c>
      <c r="C7341" s="29"/>
      <c r="D7341" s="29" t="s">
        <v>4156</v>
      </c>
      <c r="E7341" s="29"/>
      <c r="F7341" s="29" t="s">
        <v>4202</v>
      </c>
      <c r="G7341" s="29"/>
      <c r="H7341" s="29" t="s">
        <v>5205</v>
      </c>
      <c r="I7341" s="29"/>
      <c r="J7341" s="29" t="s">
        <v>5908</v>
      </c>
      <c r="K7341" s="29"/>
      <c r="L7341" s="29" t="s">
        <v>5976</v>
      </c>
      <c r="M7341" s="29"/>
      <c r="N7341" s="29" t="s">
        <v>6019</v>
      </c>
      <c r="O7341" s="29"/>
      <c r="P7341" s="29" t="s">
        <v>6048</v>
      </c>
      <c r="Q7341" t="s">
        <v>2040</v>
      </c>
      <c r="R7341" t="s">
        <v>2632</v>
      </c>
      <c r="S7341">
        <v>36</v>
      </c>
      <c r="T7341" s="43" t="str">
        <f t="shared" ref="T7341:T7404" si="324">HYPERLINK("https://ictv.global/ictv/proposals/2020.095B.R.Leviviricetes.zip","2020.095B.R.Leviviricetes.zip")</f>
        <v>2020.095B.R.Leviviricetes.zip</v>
      </c>
      <c r="U7341" s="43" t="str">
        <f>HYPERLINK("https://ictv.global/taxonomy/taxondetails?taxnode_id=202211051","ictv.global=202211051")</f>
        <v>ictv.global=202211051</v>
      </c>
    </row>
    <row r="7342" spans="1:21">
      <c r="A7342">
        <v>7341</v>
      </c>
      <c r="B7342" s="29" t="s">
        <v>3223</v>
      </c>
      <c r="C7342" s="29"/>
      <c r="D7342" s="29" t="s">
        <v>4156</v>
      </c>
      <c r="E7342" s="29"/>
      <c r="F7342" s="29" t="s">
        <v>4202</v>
      </c>
      <c r="G7342" s="29"/>
      <c r="H7342" s="29" t="s">
        <v>5205</v>
      </c>
      <c r="I7342" s="29"/>
      <c r="J7342" s="29" t="s">
        <v>5908</v>
      </c>
      <c r="K7342" s="29"/>
      <c r="L7342" s="29" t="s">
        <v>5976</v>
      </c>
      <c r="M7342" s="29"/>
      <c r="N7342" s="29" t="s">
        <v>6019</v>
      </c>
      <c r="O7342" s="29"/>
      <c r="P7342" s="29" t="s">
        <v>6049</v>
      </c>
      <c r="Q7342" t="s">
        <v>2040</v>
      </c>
      <c r="R7342" t="s">
        <v>2632</v>
      </c>
      <c r="S7342">
        <v>36</v>
      </c>
      <c r="T7342" s="43" t="str">
        <f t="shared" si="324"/>
        <v>2020.095B.R.Leviviricetes.zip</v>
      </c>
      <c r="U7342" s="43" t="str">
        <f>HYPERLINK("https://ictv.global/taxonomy/taxondetails?taxnode_id=202211052","ictv.global=202211052")</f>
        <v>ictv.global=202211052</v>
      </c>
    </row>
    <row r="7343" spans="1:21">
      <c r="A7343">
        <v>7342</v>
      </c>
      <c r="B7343" s="29" t="s">
        <v>3223</v>
      </c>
      <c r="C7343" s="29"/>
      <c r="D7343" s="29" t="s">
        <v>4156</v>
      </c>
      <c r="E7343" s="29"/>
      <c r="F7343" s="29" t="s">
        <v>4202</v>
      </c>
      <c r="G7343" s="29"/>
      <c r="H7343" s="29" t="s">
        <v>5205</v>
      </c>
      <c r="I7343" s="29"/>
      <c r="J7343" s="29" t="s">
        <v>5908</v>
      </c>
      <c r="K7343" s="29"/>
      <c r="L7343" s="29" t="s">
        <v>5976</v>
      </c>
      <c r="M7343" s="29"/>
      <c r="N7343" s="29" t="s">
        <v>6019</v>
      </c>
      <c r="O7343" s="29"/>
      <c r="P7343" s="29" t="s">
        <v>6050</v>
      </c>
      <c r="Q7343" t="s">
        <v>2040</v>
      </c>
      <c r="R7343" t="s">
        <v>2632</v>
      </c>
      <c r="S7343">
        <v>36</v>
      </c>
      <c r="T7343" s="43" t="str">
        <f t="shared" si="324"/>
        <v>2020.095B.R.Leviviricetes.zip</v>
      </c>
      <c r="U7343" s="43" t="str">
        <f>HYPERLINK("https://ictv.global/taxonomy/taxondetails?taxnode_id=202211053","ictv.global=202211053")</f>
        <v>ictv.global=202211053</v>
      </c>
    </row>
    <row r="7344" spans="1:21">
      <c r="A7344">
        <v>7343</v>
      </c>
      <c r="B7344" s="29" t="s">
        <v>3223</v>
      </c>
      <c r="C7344" s="29"/>
      <c r="D7344" s="29" t="s">
        <v>4156</v>
      </c>
      <c r="E7344" s="29"/>
      <c r="F7344" s="29" t="s">
        <v>4202</v>
      </c>
      <c r="G7344" s="29"/>
      <c r="H7344" s="29" t="s">
        <v>5205</v>
      </c>
      <c r="I7344" s="29"/>
      <c r="J7344" s="29" t="s">
        <v>5908</v>
      </c>
      <c r="K7344" s="29"/>
      <c r="L7344" s="29" t="s">
        <v>5976</v>
      </c>
      <c r="M7344" s="29"/>
      <c r="N7344" s="29" t="s">
        <v>6019</v>
      </c>
      <c r="O7344" s="29"/>
      <c r="P7344" s="29" t="s">
        <v>6051</v>
      </c>
      <c r="Q7344" t="s">
        <v>2040</v>
      </c>
      <c r="R7344" t="s">
        <v>2632</v>
      </c>
      <c r="S7344">
        <v>36</v>
      </c>
      <c r="T7344" s="43" t="str">
        <f t="shared" si="324"/>
        <v>2020.095B.R.Leviviricetes.zip</v>
      </c>
      <c r="U7344" s="43" t="str">
        <f>HYPERLINK("https://ictv.global/taxonomy/taxondetails?taxnode_id=202211054","ictv.global=202211054")</f>
        <v>ictv.global=202211054</v>
      </c>
    </row>
    <row r="7345" spans="1:21">
      <c r="A7345">
        <v>7344</v>
      </c>
      <c r="B7345" s="29" t="s">
        <v>3223</v>
      </c>
      <c r="C7345" s="29"/>
      <c r="D7345" s="29" t="s">
        <v>4156</v>
      </c>
      <c r="E7345" s="29"/>
      <c r="F7345" s="29" t="s">
        <v>4202</v>
      </c>
      <c r="G7345" s="29"/>
      <c r="H7345" s="29" t="s">
        <v>5205</v>
      </c>
      <c r="I7345" s="29"/>
      <c r="J7345" s="29" t="s">
        <v>5908</v>
      </c>
      <c r="K7345" s="29"/>
      <c r="L7345" s="29" t="s">
        <v>5976</v>
      </c>
      <c r="M7345" s="29"/>
      <c r="N7345" s="29" t="s">
        <v>6052</v>
      </c>
      <c r="O7345" s="29"/>
      <c r="P7345" s="29" t="s">
        <v>6053</v>
      </c>
      <c r="Q7345" t="s">
        <v>2040</v>
      </c>
      <c r="R7345" t="s">
        <v>2632</v>
      </c>
      <c r="S7345">
        <v>36</v>
      </c>
      <c r="T7345" s="43" t="str">
        <f t="shared" si="324"/>
        <v>2020.095B.R.Leviviricetes.zip</v>
      </c>
      <c r="U7345" s="43" t="str">
        <f>HYPERLINK("https://ictv.global/taxonomy/taxondetails?taxnode_id=202211056","ictv.global=202211056")</f>
        <v>ictv.global=202211056</v>
      </c>
    </row>
    <row r="7346" spans="1:21">
      <c r="A7346">
        <v>7345</v>
      </c>
      <c r="B7346" s="29" t="s">
        <v>3223</v>
      </c>
      <c r="C7346" s="29"/>
      <c r="D7346" s="29" t="s">
        <v>4156</v>
      </c>
      <c r="E7346" s="29"/>
      <c r="F7346" s="29" t="s">
        <v>4202</v>
      </c>
      <c r="G7346" s="29"/>
      <c r="H7346" s="29" t="s">
        <v>5205</v>
      </c>
      <c r="I7346" s="29"/>
      <c r="J7346" s="29" t="s">
        <v>5908</v>
      </c>
      <c r="K7346" s="29"/>
      <c r="L7346" s="29" t="s">
        <v>5976</v>
      </c>
      <c r="M7346" s="29"/>
      <c r="N7346" s="29" t="s">
        <v>6054</v>
      </c>
      <c r="O7346" s="29"/>
      <c r="P7346" s="29" t="s">
        <v>6055</v>
      </c>
      <c r="Q7346" t="s">
        <v>2040</v>
      </c>
      <c r="R7346" t="s">
        <v>2632</v>
      </c>
      <c r="S7346">
        <v>36</v>
      </c>
      <c r="T7346" s="43" t="str">
        <f t="shared" si="324"/>
        <v>2020.095B.R.Leviviricetes.zip</v>
      </c>
      <c r="U7346" s="43" t="str">
        <f>HYPERLINK("https://ictv.global/taxonomy/taxondetails?taxnode_id=202211058","ictv.global=202211058")</f>
        <v>ictv.global=202211058</v>
      </c>
    </row>
    <row r="7347" spans="1:21">
      <c r="A7347">
        <v>7346</v>
      </c>
      <c r="B7347" s="29" t="s">
        <v>3223</v>
      </c>
      <c r="C7347" s="29"/>
      <c r="D7347" s="29" t="s">
        <v>4156</v>
      </c>
      <c r="E7347" s="29"/>
      <c r="F7347" s="29" t="s">
        <v>4202</v>
      </c>
      <c r="G7347" s="29"/>
      <c r="H7347" s="29" t="s">
        <v>5205</v>
      </c>
      <c r="I7347" s="29"/>
      <c r="J7347" s="29" t="s">
        <v>5908</v>
      </c>
      <c r="K7347" s="29"/>
      <c r="L7347" s="29" t="s">
        <v>5976</v>
      </c>
      <c r="M7347" s="29"/>
      <c r="N7347" s="29" t="s">
        <v>6056</v>
      </c>
      <c r="O7347" s="29"/>
      <c r="P7347" s="29" t="s">
        <v>6057</v>
      </c>
      <c r="Q7347" t="s">
        <v>2040</v>
      </c>
      <c r="R7347" t="s">
        <v>2632</v>
      </c>
      <c r="S7347">
        <v>36</v>
      </c>
      <c r="T7347" s="43" t="str">
        <f t="shared" si="324"/>
        <v>2020.095B.R.Leviviricetes.zip</v>
      </c>
      <c r="U7347" s="43" t="str">
        <f>HYPERLINK("https://ictv.global/taxonomy/taxondetails?taxnode_id=202211061","ictv.global=202211061")</f>
        <v>ictv.global=202211061</v>
      </c>
    </row>
    <row r="7348" spans="1:21">
      <c r="A7348">
        <v>7347</v>
      </c>
      <c r="B7348" s="29" t="s">
        <v>3223</v>
      </c>
      <c r="C7348" s="29"/>
      <c r="D7348" s="29" t="s">
        <v>4156</v>
      </c>
      <c r="E7348" s="29"/>
      <c r="F7348" s="29" t="s">
        <v>4202</v>
      </c>
      <c r="G7348" s="29"/>
      <c r="H7348" s="29" t="s">
        <v>5205</v>
      </c>
      <c r="I7348" s="29"/>
      <c r="J7348" s="29" t="s">
        <v>5908</v>
      </c>
      <c r="K7348" s="29"/>
      <c r="L7348" s="29" t="s">
        <v>5976</v>
      </c>
      <c r="M7348" s="29"/>
      <c r="N7348" s="29" t="s">
        <v>6056</v>
      </c>
      <c r="O7348" s="29"/>
      <c r="P7348" s="29" t="s">
        <v>6058</v>
      </c>
      <c r="Q7348" t="s">
        <v>2040</v>
      </c>
      <c r="R7348" t="s">
        <v>2632</v>
      </c>
      <c r="S7348">
        <v>36</v>
      </c>
      <c r="T7348" s="43" t="str">
        <f t="shared" si="324"/>
        <v>2020.095B.R.Leviviricetes.zip</v>
      </c>
      <c r="U7348" s="43" t="str">
        <f>HYPERLINK("https://ictv.global/taxonomy/taxondetails?taxnode_id=202211060","ictv.global=202211060")</f>
        <v>ictv.global=202211060</v>
      </c>
    </row>
    <row r="7349" spans="1:21">
      <c r="A7349">
        <v>7348</v>
      </c>
      <c r="B7349" s="29" t="s">
        <v>3223</v>
      </c>
      <c r="C7349" s="29"/>
      <c r="D7349" s="29" t="s">
        <v>4156</v>
      </c>
      <c r="E7349" s="29"/>
      <c r="F7349" s="29" t="s">
        <v>4202</v>
      </c>
      <c r="G7349" s="29"/>
      <c r="H7349" s="29" t="s">
        <v>5205</v>
      </c>
      <c r="I7349" s="29"/>
      <c r="J7349" s="29" t="s">
        <v>5908</v>
      </c>
      <c r="K7349" s="29"/>
      <c r="L7349" s="29" t="s">
        <v>5976</v>
      </c>
      <c r="M7349" s="29"/>
      <c r="N7349" s="29" t="s">
        <v>6056</v>
      </c>
      <c r="O7349" s="29"/>
      <c r="P7349" s="29" t="s">
        <v>6059</v>
      </c>
      <c r="Q7349" t="s">
        <v>2040</v>
      </c>
      <c r="R7349" t="s">
        <v>2632</v>
      </c>
      <c r="S7349">
        <v>36</v>
      </c>
      <c r="T7349" s="43" t="str">
        <f t="shared" si="324"/>
        <v>2020.095B.R.Leviviricetes.zip</v>
      </c>
      <c r="U7349" s="43" t="str">
        <f>HYPERLINK("https://ictv.global/taxonomy/taxondetails?taxnode_id=202211062","ictv.global=202211062")</f>
        <v>ictv.global=202211062</v>
      </c>
    </row>
    <row r="7350" spans="1:21">
      <c r="A7350">
        <v>7349</v>
      </c>
      <c r="B7350" s="29" t="s">
        <v>3223</v>
      </c>
      <c r="C7350" s="29"/>
      <c r="D7350" s="29" t="s">
        <v>4156</v>
      </c>
      <c r="E7350" s="29"/>
      <c r="F7350" s="29" t="s">
        <v>4202</v>
      </c>
      <c r="G7350" s="29"/>
      <c r="H7350" s="29" t="s">
        <v>5205</v>
      </c>
      <c r="I7350" s="29"/>
      <c r="J7350" s="29" t="s">
        <v>5908</v>
      </c>
      <c r="K7350" s="29"/>
      <c r="L7350" s="29" t="s">
        <v>5976</v>
      </c>
      <c r="M7350" s="29"/>
      <c r="N7350" s="29" t="s">
        <v>6060</v>
      </c>
      <c r="O7350" s="29"/>
      <c r="P7350" s="29" t="s">
        <v>6061</v>
      </c>
      <c r="Q7350" t="s">
        <v>2040</v>
      </c>
      <c r="R7350" t="s">
        <v>2632</v>
      </c>
      <c r="S7350">
        <v>36</v>
      </c>
      <c r="T7350" s="43" t="str">
        <f t="shared" si="324"/>
        <v>2020.095B.R.Leviviricetes.zip</v>
      </c>
      <c r="U7350" s="43" t="str">
        <f>HYPERLINK("https://ictv.global/taxonomy/taxondetails?taxnode_id=202211064","ictv.global=202211064")</f>
        <v>ictv.global=202211064</v>
      </c>
    </row>
    <row r="7351" spans="1:21">
      <c r="A7351">
        <v>7350</v>
      </c>
      <c r="B7351" s="29" t="s">
        <v>3223</v>
      </c>
      <c r="C7351" s="29"/>
      <c r="D7351" s="29" t="s">
        <v>4156</v>
      </c>
      <c r="E7351" s="29"/>
      <c r="F7351" s="29" t="s">
        <v>4202</v>
      </c>
      <c r="G7351" s="29"/>
      <c r="H7351" s="29" t="s">
        <v>5205</v>
      </c>
      <c r="I7351" s="29"/>
      <c r="J7351" s="29" t="s">
        <v>5908</v>
      </c>
      <c r="K7351" s="29"/>
      <c r="L7351" s="29" t="s">
        <v>5976</v>
      </c>
      <c r="M7351" s="29"/>
      <c r="N7351" s="29" t="s">
        <v>6062</v>
      </c>
      <c r="O7351" s="29"/>
      <c r="P7351" s="29" t="s">
        <v>6063</v>
      </c>
      <c r="Q7351" t="s">
        <v>2040</v>
      </c>
      <c r="R7351" t="s">
        <v>2632</v>
      </c>
      <c r="S7351">
        <v>36</v>
      </c>
      <c r="T7351" s="43" t="str">
        <f t="shared" si="324"/>
        <v>2020.095B.R.Leviviricetes.zip</v>
      </c>
      <c r="U7351" s="43" t="str">
        <f>HYPERLINK("https://ictv.global/taxonomy/taxondetails?taxnode_id=202211066","ictv.global=202211066")</f>
        <v>ictv.global=202211066</v>
      </c>
    </row>
    <row r="7352" spans="1:21">
      <c r="A7352">
        <v>7351</v>
      </c>
      <c r="B7352" s="29" t="s">
        <v>3223</v>
      </c>
      <c r="C7352" s="29"/>
      <c r="D7352" s="29" t="s">
        <v>4156</v>
      </c>
      <c r="E7352" s="29"/>
      <c r="F7352" s="29" t="s">
        <v>4202</v>
      </c>
      <c r="G7352" s="29"/>
      <c r="H7352" s="29" t="s">
        <v>5205</v>
      </c>
      <c r="I7352" s="29"/>
      <c r="J7352" s="29" t="s">
        <v>5908</v>
      </c>
      <c r="K7352" s="29"/>
      <c r="L7352" s="29" t="s">
        <v>5976</v>
      </c>
      <c r="M7352" s="29"/>
      <c r="N7352" s="29" t="s">
        <v>6064</v>
      </c>
      <c r="O7352" s="29"/>
      <c r="P7352" s="29" t="s">
        <v>6065</v>
      </c>
      <c r="Q7352" t="s">
        <v>2040</v>
      </c>
      <c r="R7352" t="s">
        <v>2632</v>
      </c>
      <c r="S7352">
        <v>36</v>
      </c>
      <c r="T7352" s="43" t="str">
        <f t="shared" si="324"/>
        <v>2020.095B.R.Leviviricetes.zip</v>
      </c>
      <c r="U7352" s="43" t="str">
        <f>HYPERLINK("https://ictv.global/taxonomy/taxondetails?taxnode_id=202211068","ictv.global=202211068")</f>
        <v>ictv.global=202211068</v>
      </c>
    </row>
    <row r="7353" spans="1:21">
      <c r="A7353">
        <v>7352</v>
      </c>
      <c r="B7353" s="29" t="s">
        <v>3223</v>
      </c>
      <c r="C7353" s="29"/>
      <c r="D7353" s="29" t="s">
        <v>4156</v>
      </c>
      <c r="E7353" s="29"/>
      <c r="F7353" s="29" t="s">
        <v>4202</v>
      </c>
      <c r="G7353" s="29"/>
      <c r="H7353" s="29" t="s">
        <v>5205</v>
      </c>
      <c r="I7353" s="29"/>
      <c r="J7353" s="29" t="s">
        <v>5908</v>
      </c>
      <c r="K7353" s="29"/>
      <c r="L7353" s="29" t="s">
        <v>5976</v>
      </c>
      <c r="M7353" s="29"/>
      <c r="N7353" s="29" t="s">
        <v>6066</v>
      </c>
      <c r="O7353" s="29"/>
      <c r="P7353" s="29" t="s">
        <v>6067</v>
      </c>
      <c r="Q7353" t="s">
        <v>2040</v>
      </c>
      <c r="R7353" t="s">
        <v>2632</v>
      </c>
      <c r="S7353">
        <v>36</v>
      </c>
      <c r="T7353" s="43" t="str">
        <f t="shared" si="324"/>
        <v>2020.095B.R.Leviviricetes.zip</v>
      </c>
      <c r="U7353" s="43" t="str">
        <f>HYPERLINK("https://ictv.global/taxonomy/taxondetails?taxnode_id=202211070","ictv.global=202211070")</f>
        <v>ictv.global=202211070</v>
      </c>
    </row>
    <row r="7354" spans="1:21">
      <c r="A7354">
        <v>7353</v>
      </c>
      <c r="B7354" s="29" t="s">
        <v>3223</v>
      </c>
      <c r="C7354" s="29"/>
      <c r="D7354" s="29" t="s">
        <v>4156</v>
      </c>
      <c r="E7354" s="29"/>
      <c r="F7354" s="29" t="s">
        <v>4202</v>
      </c>
      <c r="G7354" s="29"/>
      <c r="H7354" s="29" t="s">
        <v>5205</v>
      </c>
      <c r="I7354" s="29"/>
      <c r="J7354" s="29" t="s">
        <v>5908</v>
      </c>
      <c r="K7354" s="29"/>
      <c r="L7354" s="29" t="s">
        <v>5976</v>
      </c>
      <c r="M7354" s="29"/>
      <c r="N7354" s="29" t="s">
        <v>6068</v>
      </c>
      <c r="O7354" s="29"/>
      <c r="P7354" s="29" t="s">
        <v>6069</v>
      </c>
      <c r="Q7354" t="s">
        <v>2040</v>
      </c>
      <c r="R7354" t="s">
        <v>2632</v>
      </c>
      <c r="S7354">
        <v>36</v>
      </c>
      <c r="T7354" s="43" t="str">
        <f t="shared" si="324"/>
        <v>2020.095B.R.Leviviricetes.zip</v>
      </c>
      <c r="U7354" s="43" t="str">
        <f>HYPERLINK("https://ictv.global/taxonomy/taxondetails?taxnode_id=202211072","ictv.global=202211072")</f>
        <v>ictv.global=202211072</v>
      </c>
    </row>
    <row r="7355" spans="1:21">
      <c r="A7355">
        <v>7354</v>
      </c>
      <c r="B7355" s="29" t="s">
        <v>3223</v>
      </c>
      <c r="C7355" s="29"/>
      <c r="D7355" s="29" t="s">
        <v>4156</v>
      </c>
      <c r="E7355" s="29"/>
      <c r="F7355" s="29" t="s">
        <v>4202</v>
      </c>
      <c r="G7355" s="29"/>
      <c r="H7355" s="29" t="s">
        <v>5205</v>
      </c>
      <c r="I7355" s="29"/>
      <c r="J7355" s="29" t="s">
        <v>5908</v>
      </c>
      <c r="K7355" s="29"/>
      <c r="L7355" s="29" t="s">
        <v>5976</v>
      </c>
      <c r="M7355" s="29"/>
      <c r="N7355" s="29" t="s">
        <v>6070</v>
      </c>
      <c r="O7355" s="29"/>
      <c r="P7355" s="29" t="s">
        <v>6071</v>
      </c>
      <c r="Q7355" t="s">
        <v>2040</v>
      </c>
      <c r="R7355" t="s">
        <v>2632</v>
      </c>
      <c r="S7355">
        <v>36</v>
      </c>
      <c r="T7355" s="43" t="str">
        <f t="shared" si="324"/>
        <v>2020.095B.R.Leviviricetes.zip</v>
      </c>
      <c r="U7355" s="43" t="str">
        <f>HYPERLINK("https://ictv.global/taxonomy/taxondetails?taxnode_id=202211075","ictv.global=202211075")</f>
        <v>ictv.global=202211075</v>
      </c>
    </row>
    <row r="7356" spans="1:21">
      <c r="A7356">
        <v>7355</v>
      </c>
      <c r="B7356" s="29" t="s">
        <v>3223</v>
      </c>
      <c r="C7356" s="29"/>
      <c r="D7356" s="29" t="s">
        <v>4156</v>
      </c>
      <c r="E7356" s="29"/>
      <c r="F7356" s="29" t="s">
        <v>4202</v>
      </c>
      <c r="G7356" s="29"/>
      <c r="H7356" s="29" t="s">
        <v>5205</v>
      </c>
      <c r="I7356" s="29"/>
      <c r="J7356" s="29" t="s">
        <v>5908</v>
      </c>
      <c r="K7356" s="29"/>
      <c r="L7356" s="29" t="s">
        <v>5976</v>
      </c>
      <c r="M7356" s="29"/>
      <c r="N7356" s="29" t="s">
        <v>6070</v>
      </c>
      <c r="O7356" s="29"/>
      <c r="P7356" s="29" t="s">
        <v>6072</v>
      </c>
      <c r="Q7356" t="s">
        <v>2040</v>
      </c>
      <c r="R7356" t="s">
        <v>2632</v>
      </c>
      <c r="S7356">
        <v>36</v>
      </c>
      <c r="T7356" s="43" t="str">
        <f t="shared" si="324"/>
        <v>2020.095B.R.Leviviricetes.zip</v>
      </c>
      <c r="U7356" s="43" t="str">
        <f>HYPERLINK("https://ictv.global/taxonomy/taxondetails?taxnode_id=202211074","ictv.global=202211074")</f>
        <v>ictv.global=202211074</v>
      </c>
    </row>
    <row r="7357" spans="1:21">
      <c r="A7357">
        <v>7356</v>
      </c>
      <c r="B7357" s="29" t="s">
        <v>3223</v>
      </c>
      <c r="C7357" s="29"/>
      <c r="D7357" s="29" t="s">
        <v>4156</v>
      </c>
      <c r="E7357" s="29"/>
      <c r="F7357" s="29" t="s">
        <v>4202</v>
      </c>
      <c r="G7357" s="29"/>
      <c r="H7357" s="29" t="s">
        <v>5205</v>
      </c>
      <c r="I7357" s="29"/>
      <c r="J7357" s="29" t="s">
        <v>5908</v>
      </c>
      <c r="K7357" s="29"/>
      <c r="L7357" s="29" t="s">
        <v>5976</v>
      </c>
      <c r="M7357" s="29"/>
      <c r="N7357" s="29" t="s">
        <v>6073</v>
      </c>
      <c r="O7357" s="29"/>
      <c r="P7357" s="29" t="s">
        <v>6074</v>
      </c>
      <c r="Q7357" t="s">
        <v>2040</v>
      </c>
      <c r="R7357" t="s">
        <v>2632</v>
      </c>
      <c r="S7357">
        <v>36</v>
      </c>
      <c r="T7357" s="43" t="str">
        <f t="shared" si="324"/>
        <v>2020.095B.R.Leviviricetes.zip</v>
      </c>
      <c r="U7357" s="43" t="str">
        <f>HYPERLINK("https://ictv.global/taxonomy/taxondetails?taxnode_id=202211077","ictv.global=202211077")</f>
        <v>ictv.global=202211077</v>
      </c>
    </row>
    <row r="7358" spans="1:21">
      <c r="A7358">
        <v>7357</v>
      </c>
      <c r="B7358" s="29" t="s">
        <v>3223</v>
      </c>
      <c r="C7358" s="29"/>
      <c r="D7358" s="29" t="s">
        <v>4156</v>
      </c>
      <c r="E7358" s="29"/>
      <c r="F7358" s="29" t="s">
        <v>4202</v>
      </c>
      <c r="G7358" s="29"/>
      <c r="H7358" s="29" t="s">
        <v>5205</v>
      </c>
      <c r="I7358" s="29"/>
      <c r="J7358" s="29" t="s">
        <v>5908</v>
      </c>
      <c r="K7358" s="29"/>
      <c r="L7358" s="29" t="s">
        <v>5976</v>
      </c>
      <c r="M7358" s="29"/>
      <c r="N7358" s="29" t="s">
        <v>6075</v>
      </c>
      <c r="O7358" s="29"/>
      <c r="P7358" s="29" t="s">
        <v>6076</v>
      </c>
      <c r="Q7358" t="s">
        <v>2040</v>
      </c>
      <c r="R7358" t="s">
        <v>2632</v>
      </c>
      <c r="S7358">
        <v>36</v>
      </c>
      <c r="T7358" s="43" t="str">
        <f t="shared" si="324"/>
        <v>2020.095B.R.Leviviricetes.zip</v>
      </c>
      <c r="U7358" s="43" t="str">
        <f>HYPERLINK("https://ictv.global/taxonomy/taxondetails?taxnode_id=202211079","ictv.global=202211079")</f>
        <v>ictv.global=202211079</v>
      </c>
    </row>
    <row r="7359" spans="1:21">
      <c r="A7359">
        <v>7358</v>
      </c>
      <c r="B7359" s="29" t="s">
        <v>3223</v>
      </c>
      <c r="C7359" s="29"/>
      <c r="D7359" s="29" t="s">
        <v>4156</v>
      </c>
      <c r="E7359" s="29"/>
      <c r="F7359" s="29" t="s">
        <v>4202</v>
      </c>
      <c r="G7359" s="29"/>
      <c r="H7359" s="29" t="s">
        <v>5205</v>
      </c>
      <c r="I7359" s="29"/>
      <c r="J7359" s="29" t="s">
        <v>5908</v>
      </c>
      <c r="K7359" s="29"/>
      <c r="L7359" s="29" t="s">
        <v>5976</v>
      </c>
      <c r="M7359" s="29"/>
      <c r="N7359" s="29" t="s">
        <v>6077</v>
      </c>
      <c r="O7359" s="29"/>
      <c r="P7359" s="29" t="s">
        <v>6078</v>
      </c>
      <c r="Q7359" t="s">
        <v>2040</v>
      </c>
      <c r="R7359" t="s">
        <v>2632</v>
      </c>
      <c r="S7359">
        <v>36</v>
      </c>
      <c r="T7359" s="43" t="str">
        <f t="shared" si="324"/>
        <v>2020.095B.R.Leviviricetes.zip</v>
      </c>
      <c r="U7359" s="43" t="str">
        <f>HYPERLINK("https://ictv.global/taxonomy/taxondetails?taxnode_id=202211081","ictv.global=202211081")</f>
        <v>ictv.global=202211081</v>
      </c>
    </row>
    <row r="7360" spans="1:21">
      <c r="A7360">
        <v>7359</v>
      </c>
      <c r="B7360" s="29" t="s">
        <v>3223</v>
      </c>
      <c r="C7360" s="29"/>
      <c r="D7360" s="29" t="s">
        <v>4156</v>
      </c>
      <c r="E7360" s="29"/>
      <c r="F7360" s="29" t="s">
        <v>4202</v>
      </c>
      <c r="G7360" s="29"/>
      <c r="H7360" s="29" t="s">
        <v>5205</v>
      </c>
      <c r="I7360" s="29"/>
      <c r="J7360" s="29" t="s">
        <v>5908</v>
      </c>
      <c r="K7360" s="29"/>
      <c r="L7360" s="29" t="s">
        <v>5976</v>
      </c>
      <c r="M7360" s="29"/>
      <c r="N7360" s="29" t="s">
        <v>6079</v>
      </c>
      <c r="O7360" s="29"/>
      <c r="P7360" s="29" t="s">
        <v>6080</v>
      </c>
      <c r="Q7360" t="s">
        <v>2040</v>
      </c>
      <c r="R7360" t="s">
        <v>2632</v>
      </c>
      <c r="S7360">
        <v>36</v>
      </c>
      <c r="T7360" s="43" t="str">
        <f t="shared" si="324"/>
        <v>2020.095B.R.Leviviricetes.zip</v>
      </c>
      <c r="U7360" s="43" t="str">
        <f>HYPERLINK("https://ictv.global/taxonomy/taxondetails?taxnode_id=202211085","ictv.global=202211085")</f>
        <v>ictv.global=202211085</v>
      </c>
    </row>
    <row r="7361" spans="1:21">
      <c r="A7361">
        <v>7360</v>
      </c>
      <c r="B7361" s="29" t="s">
        <v>3223</v>
      </c>
      <c r="C7361" s="29"/>
      <c r="D7361" s="29" t="s">
        <v>4156</v>
      </c>
      <c r="E7361" s="29"/>
      <c r="F7361" s="29" t="s">
        <v>4202</v>
      </c>
      <c r="G7361" s="29"/>
      <c r="H7361" s="29" t="s">
        <v>5205</v>
      </c>
      <c r="I7361" s="29"/>
      <c r="J7361" s="29" t="s">
        <v>5908</v>
      </c>
      <c r="K7361" s="29"/>
      <c r="L7361" s="29" t="s">
        <v>5976</v>
      </c>
      <c r="M7361" s="29"/>
      <c r="N7361" s="29" t="s">
        <v>6079</v>
      </c>
      <c r="O7361" s="29"/>
      <c r="P7361" s="29" t="s">
        <v>6081</v>
      </c>
      <c r="Q7361" t="s">
        <v>2040</v>
      </c>
      <c r="R7361" t="s">
        <v>2632</v>
      </c>
      <c r="S7361">
        <v>36</v>
      </c>
      <c r="T7361" s="43" t="str">
        <f t="shared" si="324"/>
        <v>2020.095B.R.Leviviricetes.zip</v>
      </c>
      <c r="U7361" s="43" t="str">
        <f>HYPERLINK("https://ictv.global/taxonomy/taxondetails?taxnode_id=202211083","ictv.global=202211083")</f>
        <v>ictv.global=202211083</v>
      </c>
    </row>
    <row r="7362" spans="1:21">
      <c r="A7362">
        <v>7361</v>
      </c>
      <c r="B7362" s="29" t="s">
        <v>3223</v>
      </c>
      <c r="C7362" s="29"/>
      <c r="D7362" s="29" t="s">
        <v>4156</v>
      </c>
      <c r="E7362" s="29"/>
      <c r="F7362" s="29" t="s">
        <v>4202</v>
      </c>
      <c r="G7362" s="29"/>
      <c r="H7362" s="29" t="s">
        <v>5205</v>
      </c>
      <c r="I7362" s="29"/>
      <c r="J7362" s="29" t="s">
        <v>5908</v>
      </c>
      <c r="K7362" s="29"/>
      <c r="L7362" s="29" t="s">
        <v>5976</v>
      </c>
      <c r="M7362" s="29"/>
      <c r="N7362" s="29" t="s">
        <v>6079</v>
      </c>
      <c r="O7362" s="29"/>
      <c r="P7362" s="29" t="s">
        <v>6082</v>
      </c>
      <c r="Q7362" t="s">
        <v>2040</v>
      </c>
      <c r="R7362" t="s">
        <v>2632</v>
      </c>
      <c r="S7362">
        <v>36</v>
      </c>
      <c r="T7362" s="43" t="str">
        <f t="shared" si="324"/>
        <v>2020.095B.R.Leviviricetes.zip</v>
      </c>
      <c r="U7362" s="43" t="str">
        <f>HYPERLINK("https://ictv.global/taxonomy/taxondetails?taxnode_id=202211084","ictv.global=202211084")</f>
        <v>ictv.global=202211084</v>
      </c>
    </row>
    <row r="7363" spans="1:21">
      <c r="A7363">
        <v>7362</v>
      </c>
      <c r="B7363" s="29" t="s">
        <v>3223</v>
      </c>
      <c r="C7363" s="29"/>
      <c r="D7363" s="29" t="s">
        <v>4156</v>
      </c>
      <c r="E7363" s="29"/>
      <c r="F7363" s="29" t="s">
        <v>4202</v>
      </c>
      <c r="G7363" s="29"/>
      <c r="H7363" s="29" t="s">
        <v>5205</v>
      </c>
      <c r="I7363" s="29"/>
      <c r="J7363" s="29" t="s">
        <v>5908</v>
      </c>
      <c r="K7363" s="29"/>
      <c r="L7363" s="29" t="s">
        <v>5976</v>
      </c>
      <c r="M7363" s="29"/>
      <c r="N7363" s="29" t="s">
        <v>6083</v>
      </c>
      <c r="O7363" s="29"/>
      <c r="P7363" s="29" t="s">
        <v>6084</v>
      </c>
      <c r="Q7363" t="s">
        <v>2040</v>
      </c>
      <c r="R7363" t="s">
        <v>2632</v>
      </c>
      <c r="S7363">
        <v>36</v>
      </c>
      <c r="T7363" s="43" t="str">
        <f t="shared" si="324"/>
        <v>2020.095B.R.Leviviricetes.zip</v>
      </c>
      <c r="U7363" s="43" t="str">
        <f>HYPERLINK("https://ictv.global/taxonomy/taxondetails?taxnode_id=202211087","ictv.global=202211087")</f>
        <v>ictv.global=202211087</v>
      </c>
    </row>
    <row r="7364" spans="1:21">
      <c r="A7364">
        <v>7363</v>
      </c>
      <c r="B7364" s="29" t="s">
        <v>3223</v>
      </c>
      <c r="C7364" s="29"/>
      <c r="D7364" s="29" t="s">
        <v>4156</v>
      </c>
      <c r="E7364" s="29"/>
      <c r="F7364" s="29" t="s">
        <v>4202</v>
      </c>
      <c r="G7364" s="29"/>
      <c r="H7364" s="29" t="s">
        <v>5205</v>
      </c>
      <c r="I7364" s="29"/>
      <c r="J7364" s="29" t="s">
        <v>5908</v>
      </c>
      <c r="K7364" s="29"/>
      <c r="L7364" s="29" t="s">
        <v>5976</v>
      </c>
      <c r="M7364" s="29"/>
      <c r="N7364" s="29" t="s">
        <v>6085</v>
      </c>
      <c r="O7364" s="29"/>
      <c r="P7364" s="29" t="s">
        <v>6086</v>
      </c>
      <c r="Q7364" t="s">
        <v>2040</v>
      </c>
      <c r="R7364" t="s">
        <v>2632</v>
      </c>
      <c r="S7364">
        <v>36</v>
      </c>
      <c r="T7364" s="43" t="str">
        <f t="shared" si="324"/>
        <v>2020.095B.R.Leviviricetes.zip</v>
      </c>
      <c r="U7364" s="43" t="str">
        <f>HYPERLINK("https://ictv.global/taxonomy/taxondetails?taxnode_id=202211089","ictv.global=202211089")</f>
        <v>ictv.global=202211089</v>
      </c>
    </row>
    <row r="7365" spans="1:21">
      <c r="A7365">
        <v>7364</v>
      </c>
      <c r="B7365" s="29" t="s">
        <v>3223</v>
      </c>
      <c r="C7365" s="29"/>
      <c r="D7365" s="29" t="s">
        <v>4156</v>
      </c>
      <c r="E7365" s="29"/>
      <c r="F7365" s="29" t="s">
        <v>4202</v>
      </c>
      <c r="G7365" s="29"/>
      <c r="H7365" s="29" t="s">
        <v>5205</v>
      </c>
      <c r="I7365" s="29"/>
      <c r="J7365" s="29" t="s">
        <v>5908</v>
      </c>
      <c r="K7365" s="29"/>
      <c r="L7365" s="29" t="s">
        <v>5976</v>
      </c>
      <c r="M7365" s="29"/>
      <c r="N7365" s="29" t="s">
        <v>6085</v>
      </c>
      <c r="O7365" s="29"/>
      <c r="P7365" s="29" t="s">
        <v>6087</v>
      </c>
      <c r="Q7365" t="s">
        <v>2040</v>
      </c>
      <c r="R7365" t="s">
        <v>2632</v>
      </c>
      <c r="S7365">
        <v>36</v>
      </c>
      <c r="T7365" s="43" t="str">
        <f t="shared" si="324"/>
        <v>2020.095B.R.Leviviricetes.zip</v>
      </c>
      <c r="U7365" s="43" t="str">
        <f>HYPERLINK("https://ictv.global/taxonomy/taxondetails?taxnode_id=202211090","ictv.global=202211090")</f>
        <v>ictv.global=202211090</v>
      </c>
    </row>
    <row r="7366" spans="1:21">
      <c r="A7366">
        <v>7365</v>
      </c>
      <c r="B7366" s="29" t="s">
        <v>3223</v>
      </c>
      <c r="C7366" s="29"/>
      <c r="D7366" s="29" t="s">
        <v>4156</v>
      </c>
      <c r="E7366" s="29"/>
      <c r="F7366" s="29" t="s">
        <v>4202</v>
      </c>
      <c r="G7366" s="29"/>
      <c r="H7366" s="29" t="s">
        <v>5205</v>
      </c>
      <c r="I7366" s="29"/>
      <c r="J7366" s="29" t="s">
        <v>5908</v>
      </c>
      <c r="K7366" s="29"/>
      <c r="L7366" s="29" t="s">
        <v>5976</v>
      </c>
      <c r="M7366" s="29"/>
      <c r="N7366" s="29" t="s">
        <v>6085</v>
      </c>
      <c r="O7366" s="29"/>
      <c r="P7366" s="29" t="s">
        <v>6088</v>
      </c>
      <c r="Q7366" t="s">
        <v>2040</v>
      </c>
      <c r="R7366" t="s">
        <v>2632</v>
      </c>
      <c r="S7366">
        <v>36</v>
      </c>
      <c r="T7366" s="43" t="str">
        <f t="shared" si="324"/>
        <v>2020.095B.R.Leviviricetes.zip</v>
      </c>
      <c r="U7366" s="43" t="str">
        <f>HYPERLINK("https://ictv.global/taxonomy/taxondetails?taxnode_id=202211092","ictv.global=202211092")</f>
        <v>ictv.global=202211092</v>
      </c>
    </row>
    <row r="7367" spans="1:21">
      <c r="A7367">
        <v>7366</v>
      </c>
      <c r="B7367" s="29" t="s">
        <v>3223</v>
      </c>
      <c r="C7367" s="29"/>
      <c r="D7367" s="29" t="s">
        <v>4156</v>
      </c>
      <c r="E7367" s="29"/>
      <c r="F7367" s="29" t="s">
        <v>4202</v>
      </c>
      <c r="G7367" s="29"/>
      <c r="H7367" s="29" t="s">
        <v>5205</v>
      </c>
      <c r="I7367" s="29"/>
      <c r="J7367" s="29" t="s">
        <v>5908</v>
      </c>
      <c r="K7367" s="29"/>
      <c r="L7367" s="29" t="s">
        <v>5976</v>
      </c>
      <c r="M7367" s="29"/>
      <c r="N7367" s="29" t="s">
        <v>6085</v>
      </c>
      <c r="O7367" s="29"/>
      <c r="P7367" s="29" t="s">
        <v>6089</v>
      </c>
      <c r="Q7367" t="s">
        <v>2040</v>
      </c>
      <c r="R7367" t="s">
        <v>2632</v>
      </c>
      <c r="S7367">
        <v>36</v>
      </c>
      <c r="T7367" s="43" t="str">
        <f t="shared" si="324"/>
        <v>2020.095B.R.Leviviricetes.zip</v>
      </c>
      <c r="U7367" s="43" t="str">
        <f>HYPERLINK("https://ictv.global/taxonomy/taxondetails?taxnode_id=202211091","ictv.global=202211091")</f>
        <v>ictv.global=202211091</v>
      </c>
    </row>
    <row r="7368" spans="1:21">
      <c r="A7368">
        <v>7367</v>
      </c>
      <c r="B7368" s="29" t="s">
        <v>3223</v>
      </c>
      <c r="C7368" s="29"/>
      <c r="D7368" s="29" t="s">
        <v>4156</v>
      </c>
      <c r="E7368" s="29"/>
      <c r="F7368" s="29" t="s">
        <v>4202</v>
      </c>
      <c r="G7368" s="29"/>
      <c r="H7368" s="29" t="s">
        <v>5205</v>
      </c>
      <c r="I7368" s="29"/>
      <c r="J7368" s="29" t="s">
        <v>5908</v>
      </c>
      <c r="K7368" s="29"/>
      <c r="L7368" s="29" t="s">
        <v>5976</v>
      </c>
      <c r="M7368" s="29"/>
      <c r="N7368" s="29" t="s">
        <v>6085</v>
      </c>
      <c r="O7368" s="29"/>
      <c r="P7368" s="29" t="s">
        <v>6090</v>
      </c>
      <c r="Q7368" t="s">
        <v>2040</v>
      </c>
      <c r="R7368" t="s">
        <v>2632</v>
      </c>
      <c r="S7368">
        <v>36</v>
      </c>
      <c r="T7368" s="43" t="str">
        <f t="shared" si="324"/>
        <v>2020.095B.R.Leviviricetes.zip</v>
      </c>
      <c r="U7368" s="43" t="str">
        <f>HYPERLINK("https://ictv.global/taxonomy/taxondetails?taxnode_id=202211095","ictv.global=202211095")</f>
        <v>ictv.global=202211095</v>
      </c>
    </row>
    <row r="7369" spans="1:21">
      <c r="A7369">
        <v>7368</v>
      </c>
      <c r="B7369" s="29" t="s">
        <v>3223</v>
      </c>
      <c r="C7369" s="29"/>
      <c r="D7369" s="29" t="s">
        <v>4156</v>
      </c>
      <c r="E7369" s="29"/>
      <c r="F7369" s="29" t="s">
        <v>4202</v>
      </c>
      <c r="G7369" s="29"/>
      <c r="H7369" s="29" t="s">
        <v>5205</v>
      </c>
      <c r="I7369" s="29"/>
      <c r="J7369" s="29" t="s">
        <v>5908</v>
      </c>
      <c r="K7369" s="29"/>
      <c r="L7369" s="29" t="s">
        <v>5976</v>
      </c>
      <c r="M7369" s="29"/>
      <c r="N7369" s="29" t="s">
        <v>6085</v>
      </c>
      <c r="O7369" s="29"/>
      <c r="P7369" s="29" t="s">
        <v>6091</v>
      </c>
      <c r="Q7369" t="s">
        <v>2040</v>
      </c>
      <c r="R7369" t="s">
        <v>2632</v>
      </c>
      <c r="S7369">
        <v>36</v>
      </c>
      <c r="T7369" s="43" t="str">
        <f t="shared" si="324"/>
        <v>2020.095B.R.Leviviricetes.zip</v>
      </c>
      <c r="U7369" s="43" t="str">
        <f>HYPERLINK("https://ictv.global/taxonomy/taxondetails?taxnode_id=202211096","ictv.global=202211096")</f>
        <v>ictv.global=202211096</v>
      </c>
    </row>
    <row r="7370" spans="1:21">
      <c r="A7370">
        <v>7369</v>
      </c>
      <c r="B7370" s="29" t="s">
        <v>3223</v>
      </c>
      <c r="C7370" s="29"/>
      <c r="D7370" s="29" t="s">
        <v>4156</v>
      </c>
      <c r="E7370" s="29"/>
      <c r="F7370" s="29" t="s">
        <v>4202</v>
      </c>
      <c r="G7370" s="29"/>
      <c r="H7370" s="29" t="s">
        <v>5205</v>
      </c>
      <c r="I7370" s="29"/>
      <c r="J7370" s="29" t="s">
        <v>5908</v>
      </c>
      <c r="K7370" s="29"/>
      <c r="L7370" s="29" t="s">
        <v>5976</v>
      </c>
      <c r="M7370" s="29"/>
      <c r="N7370" s="29" t="s">
        <v>6085</v>
      </c>
      <c r="O7370" s="29"/>
      <c r="P7370" s="29" t="s">
        <v>6092</v>
      </c>
      <c r="Q7370" t="s">
        <v>2040</v>
      </c>
      <c r="R7370" t="s">
        <v>2632</v>
      </c>
      <c r="S7370">
        <v>36</v>
      </c>
      <c r="T7370" s="43" t="str">
        <f t="shared" si="324"/>
        <v>2020.095B.R.Leviviricetes.zip</v>
      </c>
      <c r="U7370" s="43" t="str">
        <f>HYPERLINK("https://ictv.global/taxonomy/taxondetails?taxnode_id=202211094","ictv.global=202211094")</f>
        <v>ictv.global=202211094</v>
      </c>
    </row>
    <row r="7371" spans="1:21">
      <c r="A7371">
        <v>7370</v>
      </c>
      <c r="B7371" s="29" t="s">
        <v>3223</v>
      </c>
      <c r="C7371" s="29"/>
      <c r="D7371" s="29" t="s">
        <v>4156</v>
      </c>
      <c r="E7371" s="29"/>
      <c r="F7371" s="29" t="s">
        <v>4202</v>
      </c>
      <c r="G7371" s="29"/>
      <c r="H7371" s="29" t="s">
        <v>5205</v>
      </c>
      <c r="I7371" s="29"/>
      <c r="J7371" s="29" t="s">
        <v>5908</v>
      </c>
      <c r="K7371" s="29"/>
      <c r="L7371" s="29" t="s">
        <v>5976</v>
      </c>
      <c r="M7371" s="29"/>
      <c r="N7371" s="29" t="s">
        <v>6085</v>
      </c>
      <c r="O7371" s="29"/>
      <c r="P7371" s="29" t="s">
        <v>6093</v>
      </c>
      <c r="Q7371" t="s">
        <v>2040</v>
      </c>
      <c r="R7371" t="s">
        <v>2632</v>
      </c>
      <c r="S7371">
        <v>36</v>
      </c>
      <c r="T7371" s="43" t="str">
        <f t="shared" si="324"/>
        <v>2020.095B.R.Leviviricetes.zip</v>
      </c>
      <c r="U7371" s="43" t="str">
        <f>HYPERLINK("https://ictv.global/taxonomy/taxondetails?taxnode_id=202211093","ictv.global=202211093")</f>
        <v>ictv.global=202211093</v>
      </c>
    </row>
    <row r="7372" spans="1:21">
      <c r="A7372">
        <v>7371</v>
      </c>
      <c r="B7372" s="29" t="s">
        <v>3223</v>
      </c>
      <c r="C7372" s="29"/>
      <c r="D7372" s="29" t="s">
        <v>4156</v>
      </c>
      <c r="E7372" s="29"/>
      <c r="F7372" s="29" t="s">
        <v>4202</v>
      </c>
      <c r="G7372" s="29"/>
      <c r="H7372" s="29" t="s">
        <v>5205</v>
      </c>
      <c r="I7372" s="29"/>
      <c r="J7372" s="29" t="s">
        <v>5908</v>
      </c>
      <c r="K7372" s="29"/>
      <c r="L7372" s="29" t="s">
        <v>5976</v>
      </c>
      <c r="M7372" s="29"/>
      <c r="N7372" s="29" t="s">
        <v>6094</v>
      </c>
      <c r="O7372" s="29"/>
      <c r="P7372" s="29" t="s">
        <v>6095</v>
      </c>
      <c r="Q7372" t="s">
        <v>2040</v>
      </c>
      <c r="R7372" t="s">
        <v>2632</v>
      </c>
      <c r="S7372">
        <v>36</v>
      </c>
      <c r="T7372" s="43" t="str">
        <f t="shared" si="324"/>
        <v>2020.095B.R.Leviviricetes.zip</v>
      </c>
      <c r="U7372" s="43" t="str">
        <f>HYPERLINK("https://ictv.global/taxonomy/taxondetails?taxnode_id=202211098","ictv.global=202211098")</f>
        <v>ictv.global=202211098</v>
      </c>
    </row>
    <row r="7373" spans="1:21">
      <c r="A7373">
        <v>7372</v>
      </c>
      <c r="B7373" s="29" t="s">
        <v>3223</v>
      </c>
      <c r="C7373" s="29"/>
      <c r="D7373" s="29" t="s">
        <v>4156</v>
      </c>
      <c r="E7373" s="29"/>
      <c r="F7373" s="29" t="s">
        <v>4202</v>
      </c>
      <c r="G7373" s="29"/>
      <c r="H7373" s="29" t="s">
        <v>5205</v>
      </c>
      <c r="I7373" s="29"/>
      <c r="J7373" s="29" t="s">
        <v>5908</v>
      </c>
      <c r="K7373" s="29"/>
      <c r="L7373" s="29" t="s">
        <v>5976</v>
      </c>
      <c r="M7373" s="29"/>
      <c r="N7373" s="29" t="s">
        <v>6096</v>
      </c>
      <c r="O7373" s="29"/>
      <c r="P7373" s="29" t="s">
        <v>6097</v>
      </c>
      <c r="Q7373" t="s">
        <v>2040</v>
      </c>
      <c r="R7373" t="s">
        <v>2632</v>
      </c>
      <c r="S7373">
        <v>36</v>
      </c>
      <c r="T7373" s="43" t="str">
        <f t="shared" si="324"/>
        <v>2020.095B.R.Leviviricetes.zip</v>
      </c>
      <c r="U7373" s="43" t="str">
        <f>HYPERLINK("https://ictv.global/taxonomy/taxondetails?taxnode_id=202211101","ictv.global=202211101")</f>
        <v>ictv.global=202211101</v>
      </c>
    </row>
    <row r="7374" spans="1:21">
      <c r="A7374">
        <v>7373</v>
      </c>
      <c r="B7374" s="29" t="s">
        <v>3223</v>
      </c>
      <c r="C7374" s="29"/>
      <c r="D7374" s="29" t="s">
        <v>4156</v>
      </c>
      <c r="E7374" s="29"/>
      <c r="F7374" s="29" t="s">
        <v>4202</v>
      </c>
      <c r="G7374" s="29"/>
      <c r="H7374" s="29" t="s">
        <v>5205</v>
      </c>
      <c r="I7374" s="29"/>
      <c r="J7374" s="29" t="s">
        <v>5908</v>
      </c>
      <c r="K7374" s="29"/>
      <c r="L7374" s="29" t="s">
        <v>5976</v>
      </c>
      <c r="M7374" s="29"/>
      <c r="N7374" s="29" t="s">
        <v>6096</v>
      </c>
      <c r="O7374" s="29"/>
      <c r="P7374" s="29" t="s">
        <v>6098</v>
      </c>
      <c r="Q7374" t="s">
        <v>2040</v>
      </c>
      <c r="R7374" t="s">
        <v>2632</v>
      </c>
      <c r="S7374">
        <v>36</v>
      </c>
      <c r="T7374" s="43" t="str">
        <f t="shared" si="324"/>
        <v>2020.095B.R.Leviviricetes.zip</v>
      </c>
      <c r="U7374" s="43" t="str">
        <f>HYPERLINK("https://ictv.global/taxonomy/taxondetails?taxnode_id=202211100","ictv.global=202211100")</f>
        <v>ictv.global=202211100</v>
      </c>
    </row>
    <row r="7375" spans="1:21">
      <c r="A7375">
        <v>7374</v>
      </c>
      <c r="B7375" s="29" t="s">
        <v>3223</v>
      </c>
      <c r="C7375" s="29"/>
      <c r="D7375" s="29" t="s">
        <v>4156</v>
      </c>
      <c r="E7375" s="29"/>
      <c r="F7375" s="29" t="s">
        <v>4202</v>
      </c>
      <c r="G7375" s="29"/>
      <c r="H7375" s="29" t="s">
        <v>5205</v>
      </c>
      <c r="I7375" s="29"/>
      <c r="J7375" s="29" t="s">
        <v>5908</v>
      </c>
      <c r="K7375" s="29"/>
      <c r="L7375" s="29" t="s">
        <v>5976</v>
      </c>
      <c r="M7375" s="29"/>
      <c r="N7375" s="29" t="s">
        <v>6099</v>
      </c>
      <c r="O7375" s="29"/>
      <c r="P7375" s="29" t="s">
        <v>6100</v>
      </c>
      <c r="Q7375" t="s">
        <v>2040</v>
      </c>
      <c r="R7375" t="s">
        <v>2632</v>
      </c>
      <c r="S7375">
        <v>36</v>
      </c>
      <c r="T7375" s="43" t="str">
        <f t="shared" si="324"/>
        <v>2020.095B.R.Leviviricetes.zip</v>
      </c>
      <c r="U7375" s="43" t="str">
        <f>HYPERLINK("https://ictv.global/taxonomy/taxondetails?taxnode_id=202211103","ictv.global=202211103")</f>
        <v>ictv.global=202211103</v>
      </c>
    </row>
    <row r="7376" spans="1:21">
      <c r="A7376">
        <v>7375</v>
      </c>
      <c r="B7376" s="29" t="s">
        <v>3223</v>
      </c>
      <c r="C7376" s="29"/>
      <c r="D7376" s="29" t="s">
        <v>4156</v>
      </c>
      <c r="E7376" s="29"/>
      <c r="F7376" s="29" t="s">
        <v>4202</v>
      </c>
      <c r="G7376" s="29"/>
      <c r="H7376" s="29" t="s">
        <v>5205</v>
      </c>
      <c r="I7376" s="29"/>
      <c r="J7376" s="29" t="s">
        <v>5908</v>
      </c>
      <c r="K7376" s="29"/>
      <c r="L7376" s="29" t="s">
        <v>5976</v>
      </c>
      <c r="M7376" s="29"/>
      <c r="N7376" s="29" t="s">
        <v>6101</v>
      </c>
      <c r="O7376" s="29"/>
      <c r="P7376" s="29" t="s">
        <v>6102</v>
      </c>
      <c r="Q7376" t="s">
        <v>2040</v>
      </c>
      <c r="R7376" t="s">
        <v>2632</v>
      </c>
      <c r="S7376">
        <v>36</v>
      </c>
      <c r="T7376" s="43" t="str">
        <f t="shared" si="324"/>
        <v>2020.095B.R.Leviviricetes.zip</v>
      </c>
      <c r="U7376" s="43" t="str">
        <f>HYPERLINK("https://ictv.global/taxonomy/taxondetails?taxnode_id=202211105","ictv.global=202211105")</f>
        <v>ictv.global=202211105</v>
      </c>
    </row>
    <row r="7377" spans="1:21">
      <c r="A7377">
        <v>7376</v>
      </c>
      <c r="B7377" s="29" t="s">
        <v>3223</v>
      </c>
      <c r="C7377" s="29"/>
      <c r="D7377" s="29" t="s">
        <v>4156</v>
      </c>
      <c r="E7377" s="29"/>
      <c r="F7377" s="29" t="s">
        <v>4202</v>
      </c>
      <c r="G7377" s="29"/>
      <c r="H7377" s="29" t="s">
        <v>5205</v>
      </c>
      <c r="I7377" s="29"/>
      <c r="J7377" s="29" t="s">
        <v>5908</v>
      </c>
      <c r="K7377" s="29"/>
      <c r="L7377" s="29" t="s">
        <v>5976</v>
      </c>
      <c r="M7377" s="29"/>
      <c r="N7377" s="29" t="s">
        <v>6103</v>
      </c>
      <c r="O7377" s="29"/>
      <c r="P7377" s="29" t="s">
        <v>6104</v>
      </c>
      <c r="Q7377" t="s">
        <v>2040</v>
      </c>
      <c r="R7377" t="s">
        <v>2632</v>
      </c>
      <c r="S7377">
        <v>36</v>
      </c>
      <c r="T7377" s="43" t="str">
        <f t="shared" si="324"/>
        <v>2020.095B.R.Leviviricetes.zip</v>
      </c>
      <c r="U7377" s="43" t="str">
        <f>HYPERLINK("https://ictv.global/taxonomy/taxondetails?taxnode_id=202211107","ictv.global=202211107")</f>
        <v>ictv.global=202211107</v>
      </c>
    </row>
    <row r="7378" spans="1:21">
      <c r="A7378">
        <v>7377</v>
      </c>
      <c r="B7378" s="29" t="s">
        <v>3223</v>
      </c>
      <c r="C7378" s="29"/>
      <c r="D7378" s="29" t="s">
        <v>4156</v>
      </c>
      <c r="E7378" s="29"/>
      <c r="F7378" s="29" t="s">
        <v>4202</v>
      </c>
      <c r="G7378" s="29"/>
      <c r="H7378" s="29" t="s">
        <v>5205</v>
      </c>
      <c r="I7378" s="29"/>
      <c r="J7378" s="29" t="s">
        <v>5908</v>
      </c>
      <c r="K7378" s="29"/>
      <c r="L7378" s="29" t="s">
        <v>5976</v>
      </c>
      <c r="M7378" s="29"/>
      <c r="N7378" s="29" t="s">
        <v>6103</v>
      </c>
      <c r="O7378" s="29"/>
      <c r="P7378" s="29" t="s">
        <v>6105</v>
      </c>
      <c r="Q7378" t="s">
        <v>2040</v>
      </c>
      <c r="R7378" t="s">
        <v>2632</v>
      </c>
      <c r="S7378">
        <v>36</v>
      </c>
      <c r="T7378" s="43" t="str">
        <f t="shared" si="324"/>
        <v>2020.095B.R.Leviviricetes.zip</v>
      </c>
      <c r="U7378" s="43" t="str">
        <f>HYPERLINK("https://ictv.global/taxonomy/taxondetails?taxnode_id=202211108","ictv.global=202211108")</f>
        <v>ictv.global=202211108</v>
      </c>
    </row>
    <row r="7379" spans="1:21">
      <c r="A7379">
        <v>7378</v>
      </c>
      <c r="B7379" s="29" t="s">
        <v>3223</v>
      </c>
      <c r="C7379" s="29"/>
      <c r="D7379" s="29" t="s">
        <v>4156</v>
      </c>
      <c r="E7379" s="29"/>
      <c r="F7379" s="29" t="s">
        <v>4202</v>
      </c>
      <c r="G7379" s="29"/>
      <c r="H7379" s="29" t="s">
        <v>5205</v>
      </c>
      <c r="I7379" s="29"/>
      <c r="J7379" s="29" t="s">
        <v>5908</v>
      </c>
      <c r="K7379" s="29"/>
      <c r="L7379" s="29" t="s">
        <v>5976</v>
      </c>
      <c r="M7379" s="29"/>
      <c r="N7379" s="29" t="s">
        <v>6106</v>
      </c>
      <c r="O7379" s="29"/>
      <c r="P7379" s="29" t="s">
        <v>6107</v>
      </c>
      <c r="Q7379" t="s">
        <v>2040</v>
      </c>
      <c r="R7379" t="s">
        <v>2632</v>
      </c>
      <c r="S7379">
        <v>36</v>
      </c>
      <c r="T7379" s="43" t="str">
        <f t="shared" si="324"/>
        <v>2020.095B.R.Leviviricetes.zip</v>
      </c>
      <c r="U7379" s="43" t="str">
        <f>HYPERLINK("https://ictv.global/taxonomy/taxondetails?taxnode_id=202211110","ictv.global=202211110")</f>
        <v>ictv.global=202211110</v>
      </c>
    </row>
    <row r="7380" spans="1:21">
      <c r="A7380">
        <v>7379</v>
      </c>
      <c r="B7380" s="29" t="s">
        <v>3223</v>
      </c>
      <c r="C7380" s="29"/>
      <c r="D7380" s="29" t="s">
        <v>4156</v>
      </c>
      <c r="E7380" s="29"/>
      <c r="F7380" s="29" t="s">
        <v>4202</v>
      </c>
      <c r="G7380" s="29"/>
      <c r="H7380" s="29" t="s">
        <v>5205</v>
      </c>
      <c r="I7380" s="29"/>
      <c r="J7380" s="29" t="s">
        <v>5908</v>
      </c>
      <c r="K7380" s="29"/>
      <c r="L7380" s="29" t="s">
        <v>5976</v>
      </c>
      <c r="M7380" s="29"/>
      <c r="N7380" s="29" t="s">
        <v>6108</v>
      </c>
      <c r="O7380" s="29"/>
      <c r="P7380" s="29" t="s">
        <v>6109</v>
      </c>
      <c r="Q7380" t="s">
        <v>2040</v>
      </c>
      <c r="R7380" t="s">
        <v>2632</v>
      </c>
      <c r="S7380">
        <v>36</v>
      </c>
      <c r="T7380" s="43" t="str">
        <f t="shared" si="324"/>
        <v>2020.095B.R.Leviviricetes.zip</v>
      </c>
      <c r="U7380" s="43" t="str">
        <f>HYPERLINK("https://ictv.global/taxonomy/taxondetails?taxnode_id=202211112","ictv.global=202211112")</f>
        <v>ictv.global=202211112</v>
      </c>
    </row>
    <row r="7381" spans="1:21">
      <c r="A7381">
        <v>7380</v>
      </c>
      <c r="B7381" s="29" t="s">
        <v>3223</v>
      </c>
      <c r="C7381" s="29"/>
      <c r="D7381" s="29" t="s">
        <v>4156</v>
      </c>
      <c r="E7381" s="29"/>
      <c r="F7381" s="29" t="s">
        <v>4202</v>
      </c>
      <c r="G7381" s="29"/>
      <c r="H7381" s="29" t="s">
        <v>5205</v>
      </c>
      <c r="I7381" s="29"/>
      <c r="J7381" s="29" t="s">
        <v>5908</v>
      </c>
      <c r="K7381" s="29"/>
      <c r="L7381" s="29" t="s">
        <v>5976</v>
      </c>
      <c r="M7381" s="29"/>
      <c r="N7381" s="29" t="s">
        <v>6110</v>
      </c>
      <c r="O7381" s="29"/>
      <c r="P7381" s="29" t="s">
        <v>6111</v>
      </c>
      <c r="Q7381" t="s">
        <v>2040</v>
      </c>
      <c r="R7381" t="s">
        <v>2632</v>
      </c>
      <c r="S7381">
        <v>36</v>
      </c>
      <c r="T7381" s="43" t="str">
        <f t="shared" si="324"/>
        <v>2020.095B.R.Leviviricetes.zip</v>
      </c>
      <c r="U7381" s="43" t="str">
        <f>HYPERLINK("https://ictv.global/taxonomy/taxondetails?taxnode_id=202211114","ictv.global=202211114")</f>
        <v>ictv.global=202211114</v>
      </c>
    </row>
    <row r="7382" spans="1:21">
      <c r="A7382">
        <v>7381</v>
      </c>
      <c r="B7382" s="29" t="s">
        <v>3223</v>
      </c>
      <c r="C7382" s="29"/>
      <c r="D7382" s="29" t="s">
        <v>4156</v>
      </c>
      <c r="E7382" s="29"/>
      <c r="F7382" s="29" t="s">
        <v>4202</v>
      </c>
      <c r="G7382" s="29"/>
      <c r="H7382" s="29" t="s">
        <v>5205</v>
      </c>
      <c r="I7382" s="29"/>
      <c r="J7382" s="29" t="s">
        <v>5908</v>
      </c>
      <c r="K7382" s="29"/>
      <c r="L7382" s="29" t="s">
        <v>5976</v>
      </c>
      <c r="M7382" s="29"/>
      <c r="N7382" s="29" t="s">
        <v>6112</v>
      </c>
      <c r="O7382" s="29"/>
      <c r="P7382" s="29" t="s">
        <v>6113</v>
      </c>
      <c r="Q7382" t="s">
        <v>2040</v>
      </c>
      <c r="R7382" t="s">
        <v>2632</v>
      </c>
      <c r="S7382">
        <v>36</v>
      </c>
      <c r="T7382" s="43" t="str">
        <f t="shared" si="324"/>
        <v>2020.095B.R.Leviviricetes.zip</v>
      </c>
      <c r="U7382" s="43" t="str">
        <f>HYPERLINK("https://ictv.global/taxonomy/taxondetails?taxnode_id=202211116","ictv.global=202211116")</f>
        <v>ictv.global=202211116</v>
      </c>
    </row>
    <row r="7383" spans="1:21">
      <c r="A7383">
        <v>7382</v>
      </c>
      <c r="B7383" s="29" t="s">
        <v>3223</v>
      </c>
      <c r="C7383" s="29"/>
      <c r="D7383" s="29" t="s">
        <v>4156</v>
      </c>
      <c r="E7383" s="29"/>
      <c r="F7383" s="29" t="s">
        <v>4202</v>
      </c>
      <c r="G7383" s="29"/>
      <c r="H7383" s="29" t="s">
        <v>5205</v>
      </c>
      <c r="I7383" s="29"/>
      <c r="J7383" s="29" t="s">
        <v>5908</v>
      </c>
      <c r="K7383" s="29"/>
      <c r="L7383" s="29" t="s">
        <v>5976</v>
      </c>
      <c r="M7383" s="29"/>
      <c r="N7383" s="29" t="s">
        <v>6114</v>
      </c>
      <c r="O7383" s="29"/>
      <c r="P7383" s="29" t="s">
        <v>6115</v>
      </c>
      <c r="Q7383" t="s">
        <v>2040</v>
      </c>
      <c r="R7383" t="s">
        <v>2632</v>
      </c>
      <c r="S7383">
        <v>36</v>
      </c>
      <c r="T7383" s="43" t="str">
        <f t="shared" si="324"/>
        <v>2020.095B.R.Leviviricetes.zip</v>
      </c>
      <c r="U7383" s="43" t="str">
        <f>HYPERLINK("https://ictv.global/taxonomy/taxondetails?taxnode_id=202211118","ictv.global=202211118")</f>
        <v>ictv.global=202211118</v>
      </c>
    </row>
    <row r="7384" spans="1:21">
      <c r="A7384">
        <v>7383</v>
      </c>
      <c r="B7384" s="29" t="s">
        <v>3223</v>
      </c>
      <c r="C7384" s="29"/>
      <c r="D7384" s="29" t="s">
        <v>4156</v>
      </c>
      <c r="E7384" s="29"/>
      <c r="F7384" s="29" t="s">
        <v>4202</v>
      </c>
      <c r="G7384" s="29"/>
      <c r="H7384" s="29" t="s">
        <v>5205</v>
      </c>
      <c r="I7384" s="29"/>
      <c r="J7384" s="29" t="s">
        <v>5908</v>
      </c>
      <c r="K7384" s="29"/>
      <c r="L7384" s="29" t="s">
        <v>5976</v>
      </c>
      <c r="M7384" s="29"/>
      <c r="N7384" s="29" t="s">
        <v>6114</v>
      </c>
      <c r="O7384" s="29"/>
      <c r="P7384" s="29" t="s">
        <v>6116</v>
      </c>
      <c r="Q7384" t="s">
        <v>2040</v>
      </c>
      <c r="R7384" t="s">
        <v>2632</v>
      </c>
      <c r="S7384">
        <v>36</v>
      </c>
      <c r="T7384" s="43" t="str">
        <f t="shared" si="324"/>
        <v>2020.095B.R.Leviviricetes.zip</v>
      </c>
      <c r="U7384" s="43" t="str">
        <f>HYPERLINK("https://ictv.global/taxonomy/taxondetails?taxnode_id=202211119","ictv.global=202211119")</f>
        <v>ictv.global=202211119</v>
      </c>
    </row>
    <row r="7385" spans="1:21">
      <c r="A7385">
        <v>7384</v>
      </c>
      <c r="B7385" s="29" t="s">
        <v>3223</v>
      </c>
      <c r="C7385" s="29"/>
      <c r="D7385" s="29" t="s">
        <v>4156</v>
      </c>
      <c r="E7385" s="29"/>
      <c r="F7385" s="29" t="s">
        <v>4202</v>
      </c>
      <c r="G7385" s="29"/>
      <c r="H7385" s="29" t="s">
        <v>5205</v>
      </c>
      <c r="I7385" s="29"/>
      <c r="J7385" s="29" t="s">
        <v>5908</v>
      </c>
      <c r="K7385" s="29"/>
      <c r="L7385" s="29" t="s">
        <v>5976</v>
      </c>
      <c r="M7385" s="29"/>
      <c r="N7385" s="29" t="s">
        <v>6117</v>
      </c>
      <c r="O7385" s="29"/>
      <c r="P7385" s="29" t="s">
        <v>6118</v>
      </c>
      <c r="Q7385" t="s">
        <v>2040</v>
      </c>
      <c r="R7385" t="s">
        <v>2632</v>
      </c>
      <c r="S7385">
        <v>36</v>
      </c>
      <c r="T7385" s="43" t="str">
        <f t="shared" si="324"/>
        <v>2020.095B.R.Leviviricetes.zip</v>
      </c>
      <c r="U7385" s="43" t="str">
        <f>HYPERLINK("https://ictv.global/taxonomy/taxondetails?taxnode_id=202211121","ictv.global=202211121")</f>
        <v>ictv.global=202211121</v>
      </c>
    </row>
    <row r="7386" spans="1:21">
      <c r="A7386">
        <v>7385</v>
      </c>
      <c r="B7386" s="29" t="s">
        <v>3223</v>
      </c>
      <c r="C7386" s="29"/>
      <c r="D7386" s="29" t="s">
        <v>4156</v>
      </c>
      <c r="E7386" s="29"/>
      <c r="F7386" s="29" t="s">
        <v>4202</v>
      </c>
      <c r="G7386" s="29"/>
      <c r="H7386" s="29" t="s">
        <v>5205</v>
      </c>
      <c r="I7386" s="29"/>
      <c r="J7386" s="29" t="s">
        <v>5908</v>
      </c>
      <c r="K7386" s="29"/>
      <c r="L7386" s="29" t="s">
        <v>5976</v>
      </c>
      <c r="M7386" s="29"/>
      <c r="N7386" s="29" t="s">
        <v>6119</v>
      </c>
      <c r="O7386" s="29"/>
      <c r="P7386" s="29" t="s">
        <v>6120</v>
      </c>
      <c r="Q7386" t="s">
        <v>2040</v>
      </c>
      <c r="R7386" t="s">
        <v>2632</v>
      </c>
      <c r="S7386">
        <v>36</v>
      </c>
      <c r="T7386" s="43" t="str">
        <f t="shared" si="324"/>
        <v>2020.095B.R.Leviviricetes.zip</v>
      </c>
      <c r="U7386" s="43" t="str">
        <f>HYPERLINK("https://ictv.global/taxonomy/taxondetails?taxnode_id=202211123","ictv.global=202211123")</f>
        <v>ictv.global=202211123</v>
      </c>
    </row>
    <row r="7387" spans="1:21">
      <c r="A7387">
        <v>7386</v>
      </c>
      <c r="B7387" s="29" t="s">
        <v>3223</v>
      </c>
      <c r="C7387" s="29"/>
      <c r="D7387" s="29" t="s">
        <v>4156</v>
      </c>
      <c r="E7387" s="29"/>
      <c r="F7387" s="29" t="s">
        <v>4202</v>
      </c>
      <c r="G7387" s="29"/>
      <c r="H7387" s="29" t="s">
        <v>5205</v>
      </c>
      <c r="I7387" s="29"/>
      <c r="J7387" s="29" t="s">
        <v>5908</v>
      </c>
      <c r="K7387" s="29"/>
      <c r="L7387" s="29" t="s">
        <v>5976</v>
      </c>
      <c r="M7387" s="29"/>
      <c r="N7387" s="29" t="s">
        <v>6121</v>
      </c>
      <c r="O7387" s="29"/>
      <c r="P7387" s="29" t="s">
        <v>6122</v>
      </c>
      <c r="Q7387" t="s">
        <v>2040</v>
      </c>
      <c r="R7387" t="s">
        <v>2632</v>
      </c>
      <c r="S7387">
        <v>36</v>
      </c>
      <c r="T7387" s="43" t="str">
        <f t="shared" si="324"/>
        <v>2020.095B.R.Leviviricetes.zip</v>
      </c>
      <c r="U7387" s="43" t="str">
        <f>HYPERLINK("https://ictv.global/taxonomy/taxondetails?taxnode_id=202211125","ictv.global=202211125")</f>
        <v>ictv.global=202211125</v>
      </c>
    </row>
    <row r="7388" spans="1:21">
      <c r="A7388">
        <v>7387</v>
      </c>
      <c r="B7388" s="29" t="s">
        <v>3223</v>
      </c>
      <c r="C7388" s="29"/>
      <c r="D7388" s="29" t="s">
        <v>4156</v>
      </c>
      <c r="E7388" s="29"/>
      <c r="F7388" s="29" t="s">
        <v>4202</v>
      </c>
      <c r="G7388" s="29"/>
      <c r="H7388" s="29" t="s">
        <v>5205</v>
      </c>
      <c r="I7388" s="29"/>
      <c r="J7388" s="29" t="s">
        <v>5908</v>
      </c>
      <c r="K7388" s="29"/>
      <c r="L7388" s="29" t="s">
        <v>5976</v>
      </c>
      <c r="M7388" s="29"/>
      <c r="N7388" s="29" t="s">
        <v>6121</v>
      </c>
      <c r="O7388" s="29"/>
      <c r="P7388" s="29" t="s">
        <v>6123</v>
      </c>
      <c r="Q7388" t="s">
        <v>2040</v>
      </c>
      <c r="R7388" t="s">
        <v>2632</v>
      </c>
      <c r="S7388">
        <v>36</v>
      </c>
      <c r="T7388" s="43" t="str">
        <f t="shared" si="324"/>
        <v>2020.095B.R.Leviviricetes.zip</v>
      </c>
      <c r="U7388" s="43" t="str">
        <f>HYPERLINK("https://ictv.global/taxonomy/taxondetails?taxnode_id=202211126","ictv.global=202211126")</f>
        <v>ictv.global=202211126</v>
      </c>
    </row>
    <row r="7389" spans="1:21">
      <c r="A7389">
        <v>7388</v>
      </c>
      <c r="B7389" s="29" t="s">
        <v>3223</v>
      </c>
      <c r="C7389" s="29"/>
      <c r="D7389" s="29" t="s">
        <v>4156</v>
      </c>
      <c r="E7389" s="29"/>
      <c r="F7389" s="29" t="s">
        <v>4202</v>
      </c>
      <c r="G7389" s="29"/>
      <c r="H7389" s="29" t="s">
        <v>5205</v>
      </c>
      <c r="I7389" s="29"/>
      <c r="J7389" s="29" t="s">
        <v>5908</v>
      </c>
      <c r="K7389" s="29"/>
      <c r="L7389" s="29" t="s">
        <v>5976</v>
      </c>
      <c r="M7389" s="29"/>
      <c r="N7389" s="29" t="s">
        <v>6124</v>
      </c>
      <c r="O7389" s="29"/>
      <c r="P7389" s="29" t="s">
        <v>6125</v>
      </c>
      <c r="Q7389" t="s">
        <v>2040</v>
      </c>
      <c r="R7389" t="s">
        <v>2632</v>
      </c>
      <c r="S7389">
        <v>36</v>
      </c>
      <c r="T7389" s="43" t="str">
        <f t="shared" si="324"/>
        <v>2020.095B.R.Leviviricetes.zip</v>
      </c>
      <c r="U7389" s="43" t="str">
        <f>HYPERLINK("https://ictv.global/taxonomy/taxondetails?taxnode_id=202211128","ictv.global=202211128")</f>
        <v>ictv.global=202211128</v>
      </c>
    </row>
    <row r="7390" spans="1:21">
      <c r="A7390">
        <v>7389</v>
      </c>
      <c r="B7390" s="29" t="s">
        <v>3223</v>
      </c>
      <c r="C7390" s="29"/>
      <c r="D7390" s="29" t="s">
        <v>4156</v>
      </c>
      <c r="E7390" s="29"/>
      <c r="F7390" s="29" t="s">
        <v>4202</v>
      </c>
      <c r="G7390" s="29"/>
      <c r="H7390" s="29" t="s">
        <v>5205</v>
      </c>
      <c r="I7390" s="29"/>
      <c r="J7390" s="29" t="s">
        <v>5908</v>
      </c>
      <c r="K7390" s="29"/>
      <c r="L7390" s="29" t="s">
        <v>5976</v>
      </c>
      <c r="M7390" s="29"/>
      <c r="N7390" s="29" t="s">
        <v>6126</v>
      </c>
      <c r="O7390" s="29"/>
      <c r="P7390" s="29" t="s">
        <v>6127</v>
      </c>
      <c r="Q7390" t="s">
        <v>2040</v>
      </c>
      <c r="R7390" t="s">
        <v>2632</v>
      </c>
      <c r="S7390">
        <v>36</v>
      </c>
      <c r="T7390" s="43" t="str">
        <f t="shared" si="324"/>
        <v>2020.095B.R.Leviviricetes.zip</v>
      </c>
      <c r="U7390" s="43" t="str">
        <f>HYPERLINK("https://ictv.global/taxonomy/taxondetails?taxnode_id=202211131","ictv.global=202211131")</f>
        <v>ictv.global=202211131</v>
      </c>
    </row>
    <row r="7391" spans="1:21">
      <c r="A7391">
        <v>7390</v>
      </c>
      <c r="B7391" s="29" t="s">
        <v>3223</v>
      </c>
      <c r="C7391" s="29"/>
      <c r="D7391" s="29" t="s">
        <v>4156</v>
      </c>
      <c r="E7391" s="29"/>
      <c r="F7391" s="29" t="s">
        <v>4202</v>
      </c>
      <c r="G7391" s="29"/>
      <c r="H7391" s="29" t="s">
        <v>5205</v>
      </c>
      <c r="I7391" s="29"/>
      <c r="J7391" s="29" t="s">
        <v>5908</v>
      </c>
      <c r="K7391" s="29"/>
      <c r="L7391" s="29" t="s">
        <v>5976</v>
      </c>
      <c r="M7391" s="29"/>
      <c r="N7391" s="29" t="s">
        <v>6126</v>
      </c>
      <c r="O7391" s="29"/>
      <c r="P7391" s="29" t="s">
        <v>6128</v>
      </c>
      <c r="Q7391" t="s">
        <v>2040</v>
      </c>
      <c r="R7391" t="s">
        <v>2632</v>
      </c>
      <c r="S7391">
        <v>36</v>
      </c>
      <c r="T7391" s="43" t="str">
        <f t="shared" si="324"/>
        <v>2020.095B.R.Leviviricetes.zip</v>
      </c>
      <c r="U7391" s="43" t="str">
        <f>HYPERLINK("https://ictv.global/taxonomy/taxondetails?taxnode_id=202211130","ictv.global=202211130")</f>
        <v>ictv.global=202211130</v>
      </c>
    </row>
    <row r="7392" spans="1:21">
      <c r="A7392">
        <v>7391</v>
      </c>
      <c r="B7392" s="29" t="s">
        <v>3223</v>
      </c>
      <c r="C7392" s="29"/>
      <c r="D7392" s="29" t="s">
        <v>4156</v>
      </c>
      <c r="E7392" s="29"/>
      <c r="F7392" s="29" t="s">
        <v>4202</v>
      </c>
      <c r="G7392" s="29"/>
      <c r="H7392" s="29" t="s">
        <v>5205</v>
      </c>
      <c r="I7392" s="29"/>
      <c r="J7392" s="29" t="s">
        <v>5908</v>
      </c>
      <c r="K7392" s="29"/>
      <c r="L7392" s="29" t="s">
        <v>5976</v>
      </c>
      <c r="M7392" s="29"/>
      <c r="N7392" s="29" t="s">
        <v>6129</v>
      </c>
      <c r="O7392" s="29"/>
      <c r="P7392" s="29" t="s">
        <v>6130</v>
      </c>
      <c r="Q7392" t="s">
        <v>2040</v>
      </c>
      <c r="R7392" t="s">
        <v>2632</v>
      </c>
      <c r="S7392">
        <v>36</v>
      </c>
      <c r="T7392" s="43" t="str">
        <f t="shared" si="324"/>
        <v>2020.095B.R.Leviviricetes.zip</v>
      </c>
      <c r="U7392" s="43" t="str">
        <f>HYPERLINK("https://ictv.global/taxonomy/taxondetails?taxnode_id=202211217","ictv.global=202211217")</f>
        <v>ictv.global=202211217</v>
      </c>
    </row>
    <row r="7393" spans="1:21">
      <c r="A7393">
        <v>7392</v>
      </c>
      <c r="B7393" s="29" t="s">
        <v>3223</v>
      </c>
      <c r="C7393" s="29"/>
      <c r="D7393" s="29" t="s">
        <v>4156</v>
      </c>
      <c r="E7393" s="29"/>
      <c r="F7393" s="29" t="s">
        <v>4202</v>
      </c>
      <c r="G7393" s="29"/>
      <c r="H7393" s="29" t="s">
        <v>5205</v>
      </c>
      <c r="I7393" s="29"/>
      <c r="J7393" s="29" t="s">
        <v>5908</v>
      </c>
      <c r="K7393" s="29"/>
      <c r="L7393" s="29" t="s">
        <v>5976</v>
      </c>
      <c r="M7393" s="29"/>
      <c r="N7393" s="29" t="s">
        <v>6129</v>
      </c>
      <c r="O7393" s="29"/>
      <c r="P7393" s="29" t="s">
        <v>6131</v>
      </c>
      <c r="Q7393" t="s">
        <v>2040</v>
      </c>
      <c r="R7393" t="s">
        <v>2632</v>
      </c>
      <c r="S7393">
        <v>36</v>
      </c>
      <c r="T7393" s="43" t="str">
        <f t="shared" si="324"/>
        <v>2020.095B.R.Leviviricetes.zip</v>
      </c>
      <c r="U7393" s="43" t="str">
        <f>HYPERLINK("https://ictv.global/taxonomy/taxondetails?taxnode_id=202211219","ictv.global=202211219")</f>
        <v>ictv.global=202211219</v>
      </c>
    </row>
    <row r="7394" spans="1:21">
      <c r="A7394">
        <v>7393</v>
      </c>
      <c r="B7394" s="29" t="s">
        <v>3223</v>
      </c>
      <c r="C7394" s="29"/>
      <c r="D7394" s="29" t="s">
        <v>4156</v>
      </c>
      <c r="E7394" s="29"/>
      <c r="F7394" s="29" t="s">
        <v>4202</v>
      </c>
      <c r="G7394" s="29"/>
      <c r="H7394" s="29" t="s">
        <v>5205</v>
      </c>
      <c r="I7394" s="29"/>
      <c r="J7394" s="29" t="s">
        <v>5908</v>
      </c>
      <c r="K7394" s="29"/>
      <c r="L7394" s="29" t="s">
        <v>5976</v>
      </c>
      <c r="M7394" s="29"/>
      <c r="N7394" s="29" t="s">
        <v>6129</v>
      </c>
      <c r="O7394" s="29"/>
      <c r="P7394" s="29" t="s">
        <v>6132</v>
      </c>
      <c r="Q7394" t="s">
        <v>2040</v>
      </c>
      <c r="R7394" t="s">
        <v>2632</v>
      </c>
      <c r="S7394">
        <v>36</v>
      </c>
      <c r="T7394" s="43" t="str">
        <f t="shared" si="324"/>
        <v>2020.095B.R.Leviviricetes.zip</v>
      </c>
      <c r="U7394" s="43" t="str">
        <f>HYPERLINK("https://ictv.global/taxonomy/taxondetails?taxnode_id=202211218","ictv.global=202211218")</f>
        <v>ictv.global=202211218</v>
      </c>
    </row>
    <row r="7395" spans="1:21">
      <c r="A7395">
        <v>7394</v>
      </c>
      <c r="B7395" s="29" t="s">
        <v>3223</v>
      </c>
      <c r="C7395" s="29"/>
      <c r="D7395" s="29" t="s">
        <v>4156</v>
      </c>
      <c r="E7395" s="29"/>
      <c r="F7395" s="29" t="s">
        <v>4202</v>
      </c>
      <c r="G7395" s="29"/>
      <c r="H7395" s="29" t="s">
        <v>5205</v>
      </c>
      <c r="I7395" s="29"/>
      <c r="J7395" s="29" t="s">
        <v>5908</v>
      </c>
      <c r="K7395" s="29"/>
      <c r="L7395" s="29" t="s">
        <v>5976</v>
      </c>
      <c r="M7395" s="29"/>
      <c r="N7395" s="29" t="s">
        <v>6129</v>
      </c>
      <c r="O7395" s="29"/>
      <c r="P7395" s="29" t="s">
        <v>6133</v>
      </c>
      <c r="Q7395" t="s">
        <v>2040</v>
      </c>
      <c r="R7395" t="s">
        <v>2632</v>
      </c>
      <c r="S7395">
        <v>36</v>
      </c>
      <c r="T7395" s="43" t="str">
        <f t="shared" si="324"/>
        <v>2020.095B.R.Leviviricetes.zip</v>
      </c>
      <c r="U7395" s="43" t="str">
        <f>HYPERLINK("https://ictv.global/taxonomy/taxondetails?taxnode_id=202211220","ictv.global=202211220")</f>
        <v>ictv.global=202211220</v>
      </c>
    </row>
    <row r="7396" spans="1:21">
      <c r="A7396">
        <v>7395</v>
      </c>
      <c r="B7396" s="29" t="s">
        <v>3223</v>
      </c>
      <c r="C7396" s="29"/>
      <c r="D7396" s="29" t="s">
        <v>4156</v>
      </c>
      <c r="E7396" s="29"/>
      <c r="F7396" s="29" t="s">
        <v>4202</v>
      </c>
      <c r="G7396" s="29"/>
      <c r="H7396" s="29" t="s">
        <v>5205</v>
      </c>
      <c r="I7396" s="29"/>
      <c r="J7396" s="29" t="s">
        <v>5908</v>
      </c>
      <c r="K7396" s="29"/>
      <c r="L7396" s="29" t="s">
        <v>5976</v>
      </c>
      <c r="M7396" s="29"/>
      <c r="N7396" s="29" t="s">
        <v>6129</v>
      </c>
      <c r="O7396" s="29"/>
      <c r="P7396" s="29" t="s">
        <v>6134</v>
      </c>
      <c r="Q7396" t="s">
        <v>2040</v>
      </c>
      <c r="R7396" t="s">
        <v>2632</v>
      </c>
      <c r="S7396">
        <v>36</v>
      </c>
      <c r="T7396" s="43" t="str">
        <f t="shared" si="324"/>
        <v>2020.095B.R.Leviviricetes.zip</v>
      </c>
      <c r="U7396" s="43" t="str">
        <f>HYPERLINK("https://ictv.global/taxonomy/taxondetails?taxnode_id=202211221","ictv.global=202211221")</f>
        <v>ictv.global=202211221</v>
      </c>
    </row>
    <row r="7397" spans="1:21">
      <c r="A7397">
        <v>7396</v>
      </c>
      <c r="B7397" s="29" t="s">
        <v>3223</v>
      </c>
      <c r="C7397" s="29"/>
      <c r="D7397" s="29" t="s">
        <v>4156</v>
      </c>
      <c r="E7397" s="29"/>
      <c r="F7397" s="29" t="s">
        <v>4202</v>
      </c>
      <c r="G7397" s="29"/>
      <c r="H7397" s="29" t="s">
        <v>5205</v>
      </c>
      <c r="I7397" s="29"/>
      <c r="J7397" s="29" t="s">
        <v>5908</v>
      </c>
      <c r="K7397" s="29"/>
      <c r="L7397" s="29" t="s">
        <v>5976</v>
      </c>
      <c r="M7397" s="29"/>
      <c r="N7397" s="29" t="s">
        <v>6129</v>
      </c>
      <c r="O7397" s="29"/>
      <c r="P7397" s="29" t="s">
        <v>6135</v>
      </c>
      <c r="Q7397" t="s">
        <v>2040</v>
      </c>
      <c r="R7397" t="s">
        <v>2632</v>
      </c>
      <c r="S7397">
        <v>36</v>
      </c>
      <c r="T7397" s="43" t="str">
        <f t="shared" si="324"/>
        <v>2020.095B.R.Leviviricetes.zip</v>
      </c>
      <c r="U7397" s="43" t="str">
        <f>HYPERLINK("https://ictv.global/taxonomy/taxondetails?taxnode_id=202211222","ictv.global=202211222")</f>
        <v>ictv.global=202211222</v>
      </c>
    </row>
    <row r="7398" spans="1:21">
      <c r="A7398">
        <v>7397</v>
      </c>
      <c r="B7398" s="29" t="s">
        <v>3223</v>
      </c>
      <c r="C7398" s="29"/>
      <c r="D7398" s="29" t="s">
        <v>4156</v>
      </c>
      <c r="E7398" s="29"/>
      <c r="F7398" s="29" t="s">
        <v>4202</v>
      </c>
      <c r="G7398" s="29"/>
      <c r="H7398" s="29" t="s">
        <v>5205</v>
      </c>
      <c r="I7398" s="29"/>
      <c r="J7398" s="29" t="s">
        <v>5908</v>
      </c>
      <c r="K7398" s="29"/>
      <c r="L7398" s="29" t="s">
        <v>5976</v>
      </c>
      <c r="M7398" s="29"/>
      <c r="N7398" s="29" t="s">
        <v>6129</v>
      </c>
      <c r="O7398" s="29"/>
      <c r="P7398" s="29" t="s">
        <v>6136</v>
      </c>
      <c r="Q7398" t="s">
        <v>2040</v>
      </c>
      <c r="R7398" t="s">
        <v>2632</v>
      </c>
      <c r="S7398">
        <v>36</v>
      </c>
      <c r="T7398" s="43" t="str">
        <f t="shared" si="324"/>
        <v>2020.095B.R.Leviviricetes.zip</v>
      </c>
      <c r="U7398" s="43" t="str">
        <f>HYPERLINK("https://ictv.global/taxonomy/taxondetails?taxnode_id=202211162","ictv.global=202211162")</f>
        <v>ictv.global=202211162</v>
      </c>
    </row>
    <row r="7399" spans="1:21">
      <c r="A7399">
        <v>7398</v>
      </c>
      <c r="B7399" s="29" t="s">
        <v>3223</v>
      </c>
      <c r="C7399" s="29"/>
      <c r="D7399" s="29" t="s">
        <v>4156</v>
      </c>
      <c r="E7399" s="29"/>
      <c r="F7399" s="29" t="s">
        <v>4202</v>
      </c>
      <c r="G7399" s="29"/>
      <c r="H7399" s="29" t="s">
        <v>5205</v>
      </c>
      <c r="I7399" s="29"/>
      <c r="J7399" s="29" t="s">
        <v>5908</v>
      </c>
      <c r="K7399" s="29"/>
      <c r="L7399" s="29" t="s">
        <v>5976</v>
      </c>
      <c r="M7399" s="29"/>
      <c r="N7399" s="29" t="s">
        <v>6129</v>
      </c>
      <c r="O7399" s="29"/>
      <c r="P7399" s="29" t="s">
        <v>6137</v>
      </c>
      <c r="Q7399" t="s">
        <v>2040</v>
      </c>
      <c r="R7399" t="s">
        <v>2632</v>
      </c>
      <c r="S7399">
        <v>36</v>
      </c>
      <c r="T7399" s="43" t="str">
        <f t="shared" si="324"/>
        <v>2020.095B.R.Leviviricetes.zip</v>
      </c>
      <c r="U7399" s="43" t="str">
        <f>HYPERLINK("https://ictv.global/taxonomy/taxondetails?taxnode_id=202211164","ictv.global=202211164")</f>
        <v>ictv.global=202211164</v>
      </c>
    </row>
    <row r="7400" spans="1:21">
      <c r="A7400">
        <v>7399</v>
      </c>
      <c r="B7400" s="29" t="s">
        <v>3223</v>
      </c>
      <c r="C7400" s="29"/>
      <c r="D7400" s="29" t="s">
        <v>4156</v>
      </c>
      <c r="E7400" s="29"/>
      <c r="F7400" s="29" t="s">
        <v>4202</v>
      </c>
      <c r="G7400" s="29"/>
      <c r="H7400" s="29" t="s">
        <v>5205</v>
      </c>
      <c r="I7400" s="29"/>
      <c r="J7400" s="29" t="s">
        <v>5908</v>
      </c>
      <c r="K7400" s="29"/>
      <c r="L7400" s="29" t="s">
        <v>5976</v>
      </c>
      <c r="M7400" s="29"/>
      <c r="N7400" s="29" t="s">
        <v>6129</v>
      </c>
      <c r="O7400" s="29"/>
      <c r="P7400" s="29" t="s">
        <v>6138</v>
      </c>
      <c r="Q7400" t="s">
        <v>2040</v>
      </c>
      <c r="R7400" t="s">
        <v>2632</v>
      </c>
      <c r="S7400">
        <v>36</v>
      </c>
      <c r="T7400" s="43" t="str">
        <f t="shared" si="324"/>
        <v>2020.095B.R.Leviviricetes.zip</v>
      </c>
      <c r="U7400" s="43" t="str">
        <f>HYPERLINK("https://ictv.global/taxonomy/taxondetails?taxnode_id=202211163","ictv.global=202211163")</f>
        <v>ictv.global=202211163</v>
      </c>
    </row>
    <row r="7401" spans="1:21">
      <c r="A7401">
        <v>7400</v>
      </c>
      <c r="B7401" s="29" t="s">
        <v>3223</v>
      </c>
      <c r="C7401" s="29"/>
      <c r="D7401" s="29" t="s">
        <v>4156</v>
      </c>
      <c r="E7401" s="29"/>
      <c r="F7401" s="29" t="s">
        <v>4202</v>
      </c>
      <c r="G7401" s="29"/>
      <c r="H7401" s="29" t="s">
        <v>5205</v>
      </c>
      <c r="I7401" s="29"/>
      <c r="J7401" s="29" t="s">
        <v>5908</v>
      </c>
      <c r="K7401" s="29"/>
      <c r="L7401" s="29" t="s">
        <v>5976</v>
      </c>
      <c r="M7401" s="29"/>
      <c r="N7401" s="29" t="s">
        <v>6129</v>
      </c>
      <c r="O7401" s="29"/>
      <c r="P7401" s="29" t="s">
        <v>6139</v>
      </c>
      <c r="Q7401" t="s">
        <v>2040</v>
      </c>
      <c r="R7401" t="s">
        <v>2632</v>
      </c>
      <c r="S7401">
        <v>36</v>
      </c>
      <c r="T7401" s="43" t="str">
        <f t="shared" si="324"/>
        <v>2020.095B.R.Leviviricetes.zip</v>
      </c>
      <c r="U7401" s="43" t="str">
        <f>HYPERLINK("https://ictv.global/taxonomy/taxondetails?taxnode_id=202211165","ictv.global=202211165")</f>
        <v>ictv.global=202211165</v>
      </c>
    </row>
    <row r="7402" spans="1:21">
      <c r="A7402">
        <v>7401</v>
      </c>
      <c r="B7402" s="29" t="s">
        <v>3223</v>
      </c>
      <c r="C7402" s="29"/>
      <c r="D7402" s="29" t="s">
        <v>4156</v>
      </c>
      <c r="E7402" s="29"/>
      <c r="F7402" s="29" t="s">
        <v>4202</v>
      </c>
      <c r="G7402" s="29"/>
      <c r="H7402" s="29" t="s">
        <v>5205</v>
      </c>
      <c r="I7402" s="29"/>
      <c r="J7402" s="29" t="s">
        <v>5908</v>
      </c>
      <c r="K7402" s="29"/>
      <c r="L7402" s="29" t="s">
        <v>5976</v>
      </c>
      <c r="M7402" s="29"/>
      <c r="N7402" s="29" t="s">
        <v>6129</v>
      </c>
      <c r="O7402" s="29"/>
      <c r="P7402" s="29" t="s">
        <v>6140</v>
      </c>
      <c r="Q7402" t="s">
        <v>2040</v>
      </c>
      <c r="R7402" t="s">
        <v>2632</v>
      </c>
      <c r="S7402">
        <v>36</v>
      </c>
      <c r="T7402" s="43" t="str">
        <f t="shared" si="324"/>
        <v>2020.095B.R.Leviviricetes.zip</v>
      </c>
      <c r="U7402" s="43" t="str">
        <f>HYPERLINK("https://ictv.global/taxonomy/taxondetails?taxnode_id=202211166","ictv.global=202211166")</f>
        <v>ictv.global=202211166</v>
      </c>
    </row>
    <row r="7403" spans="1:21">
      <c r="A7403">
        <v>7402</v>
      </c>
      <c r="B7403" s="29" t="s">
        <v>3223</v>
      </c>
      <c r="C7403" s="29"/>
      <c r="D7403" s="29" t="s">
        <v>4156</v>
      </c>
      <c r="E7403" s="29"/>
      <c r="F7403" s="29" t="s">
        <v>4202</v>
      </c>
      <c r="G7403" s="29"/>
      <c r="H7403" s="29" t="s">
        <v>5205</v>
      </c>
      <c r="I7403" s="29"/>
      <c r="J7403" s="29" t="s">
        <v>5908</v>
      </c>
      <c r="K7403" s="29"/>
      <c r="L7403" s="29" t="s">
        <v>5976</v>
      </c>
      <c r="M7403" s="29"/>
      <c r="N7403" s="29" t="s">
        <v>6129</v>
      </c>
      <c r="O7403" s="29"/>
      <c r="P7403" s="29" t="s">
        <v>6141</v>
      </c>
      <c r="Q7403" t="s">
        <v>2040</v>
      </c>
      <c r="R7403" t="s">
        <v>2632</v>
      </c>
      <c r="S7403">
        <v>36</v>
      </c>
      <c r="T7403" s="43" t="str">
        <f t="shared" si="324"/>
        <v>2020.095B.R.Leviviricetes.zip</v>
      </c>
      <c r="U7403" s="43" t="str">
        <f>HYPERLINK("https://ictv.global/taxonomy/taxondetails?taxnode_id=202211167","ictv.global=202211167")</f>
        <v>ictv.global=202211167</v>
      </c>
    </row>
    <row r="7404" spans="1:21">
      <c r="A7404">
        <v>7403</v>
      </c>
      <c r="B7404" s="29" t="s">
        <v>3223</v>
      </c>
      <c r="C7404" s="29"/>
      <c r="D7404" s="29" t="s">
        <v>4156</v>
      </c>
      <c r="E7404" s="29"/>
      <c r="F7404" s="29" t="s">
        <v>4202</v>
      </c>
      <c r="G7404" s="29"/>
      <c r="H7404" s="29" t="s">
        <v>5205</v>
      </c>
      <c r="I7404" s="29"/>
      <c r="J7404" s="29" t="s">
        <v>5908</v>
      </c>
      <c r="K7404" s="29"/>
      <c r="L7404" s="29" t="s">
        <v>5976</v>
      </c>
      <c r="M7404" s="29"/>
      <c r="N7404" s="29" t="s">
        <v>6129</v>
      </c>
      <c r="O7404" s="29"/>
      <c r="P7404" s="29" t="s">
        <v>6142</v>
      </c>
      <c r="Q7404" t="s">
        <v>2040</v>
      </c>
      <c r="R7404" t="s">
        <v>2632</v>
      </c>
      <c r="S7404">
        <v>36</v>
      </c>
      <c r="T7404" s="43" t="str">
        <f t="shared" si="324"/>
        <v>2020.095B.R.Leviviricetes.zip</v>
      </c>
      <c r="U7404" s="43" t="str">
        <f>HYPERLINK("https://ictv.global/taxonomy/taxondetails?taxnode_id=202211208","ictv.global=202211208")</f>
        <v>ictv.global=202211208</v>
      </c>
    </row>
    <row r="7405" spans="1:21">
      <c r="A7405">
        <v>7404</v>
      </c>
      <c r="B7405" s="29" t="s">
        <v>3223</v>
      </c>
      <c r="C7405" s="29"/>
      <c r="D7405" s="29" t="s">
        <v>4156</v>
      </c>
      <c r="E7405" s="29"/>
      <c r="F7405" s="29" t="s">
        <v>4202</v>
      </c>
      <c r="G7405" s="29"/>
      <c r="H7405" s="29" t="s">
        <v>5205</v>
      </c>
      <c r="I7405" s="29"/>
      <c r="J7405" s="29" t="s">
        <v>5908</v>
      </c>
      <c r="K7405" s="29"/>
      <c r="L7405" s="29" t="s">
        <v>5976</v>
      </c>
      <c r="M7405" s="29"/>
      <c r="N7405" s="29" t="s">
        <v>6129</v>
      </c>
      <c r="O7405" s="29"/>
      <c r="P7405" s="29" t="s">
        <v>6143</v>
      </c>
      <c r="Q7405" t="s">
        <v>2040</v>
      </c>
      <c r="R7405" t="s">
        <v>2632</v>
      </c>
      <c r="S7405">
        <v>36</v>
      </c>
      <c r="T7405" s="43" t="str">
        <f t="shared" ref="T7405:T7468" si="325">HYPERLINK("https://ictv.global/ictv/proposals/2020.095B.R.Leviviricetes.zip","2020.095B.R.Leviviricetes.zip")</f>
        <v>2020.095B.R.Leviviricetes.zip</v>
      </c>
      <c r="U7405" s="43" t="str">
        <f>HYPERLINK("https://ictv.global/taxonomy/taxondetails?taxnode_id=202211223","ictv.global=202211223")</f>
        <v>ictv.global=202211223</v>
      </c>
    </row>
    <row r="7406" spans="1:21">
      <c r="A7406">
        <v>7405</v>
      </c>
      <c r="B7406" s="29" t="s">
        <v>3223</v>
      </c>
      <c r="C7406" s="29"/>
      <c r="D7406" s="29" t="s">
        <v>4156</v>
      </c>
      <c r="E7406" s="29"/>
      <c r="F7406" s="29" t="s">
        <v>4202</v>
      </c>
      <c r="G7406" s="29"/>
      <c r="H7406" s="29" t="s">
        <v>5205</v>
      </c>
      <c r="I7406" s="29"/>
      <c r="J7406" s="29" t="s">
        <v>5908</v>
      </c>
      <c r="K7406" s="29"/>
      <c r="L7406" s="29" t="s">
        <v>5976</v>
      </c>
      <c r="M7406" s="29"/>
      <c r="N7406" s="29" t="s">
        <v>6129</v>
      </c>
      <c r="O7406" s="29"/>
      <c r="P7406" s="29" t="s">
        <v>6144</v>
      </c>
      <c r="Q7406" t="s">
        <v>2040</v>
      </c>
      <c r="R7406" t="s">
        <v>2632</v>
      </c>
      <c r="S7406">
        <v>36</v>
      </c>
      <c r="T7406" s="43" t="str">
        <f t="shared" si="325"/>
        <v>2020.095B.R.Leviviricetes.zip</v>
      </c>
      <c r="U7406" s="43" t="str">
        <f>HYPERLINK("https://ictv.global/taxonomy/taxondetails?taxnode_id=202211225","ictv.global=202211225")</f>
        <v>ictv.global=202211225</v>
      </c>
    </row>
    <row r="7407" spans="1:21">
      <c r="A7407">
        <v>7406</v>
      </c>
      <c r="B7407" s="29" t="s">
        <v>3223</v>
      </c>
      <c r="C7407" s="29"/>
      <c r="D7407" s="29" t="s">
        <v>4156</v>
      </c>
      <c r="E7407" s="29"/>
      <c r="F7407" s="29" t="s">
        <v>4202</v>
      </c>
      <c r="G7407" s="29"/>
      <c r="H7407" s="29" t="s">
        <v>5205</v>
      </c>
      <c r="I7407" s="29"/>
      <c r="J7407" s="29" t="s">
        <v>5908</v>
      </c>
      <c r="K7407" s="29"/>
      <c r="L7407" s="29" t="s">
        <v>5976</v>
      </c>
      <c r="M7407" s="29"/>
      <c r="N7407" s="29" t="s">
        <v>6129</v>
      </c>
      <c r="O7407" s="29"/>
      <c r="P7407" s="29" t="s">
        <v>6145</v>
      </c>
      <c r="Q7407" t="s">
        <v>2040</v>
      </c>
      <c r="R7407" t="s">
        <v>2632</v>
      </c>
      <c r="S7407">
        <v>36</v>
      </c>
      <c r="T7407" s="43" t="str">
        <f t="shared" si="325"/>
        <v>2020.095B.R.Leviviricetes.zip</v>
      </c>
      <c r="U7407" s="43" t="str">
        <f>HYPERLINK("https://ictv.global/taxonomy/taxondetails?taxnode_id=202211224","ictv.global=202211224")</f>
        <v>ictv.global=202211224</v>
      </c>
    </row>
    <row r="7408" spans="1:21">
      <c r="A7408">
        <v>7407</v>
      </c>
      <c r="B7408" s="29" t="s">
        <v>3223</v>
      </c>
      <c r="C7408" s="29"/>
      <c r="D7408" s="29" t="s">
        <v>4156</v>
      </c>
      <c r="E7408" s="29"/>
      <c r="F7408" s="29" t="s">
        <v>4202</v>
      </c>
      <c r="G7408" s="29"/>
      <c r="H7408" s="29" t="s">
        <v>5205</v>
      </c>
      <c r="I7408" s="29"/>
      <c r="J7408" s="29" t="s">
        <v>5908</v>
      </c>
      <c r="K7408" s="29"/>
      <c r="L7408" s="29" t="s">
        <v>5976</v>
      </c>
      <c r="M7408" s="29"/>
      <c r="N7408" s="29" t="s">
        <v>6129</v>
      </c>
      <c r="O7408" s="29"/>
      <c r="P7408" s="29" t="s">
        <v>6146</v>
      </c>
      <c r="Q7408" t="s">
        <v>2040</v>
      </c>
      <c r="R7408" t="s">
        <v>2632</v>
      </c>
      <c r="S7408">
        <v>36</v>
      </c>
      <c r="T7408" s="43" t="str">
        <f t="shared" si="325"/>
        <v>2020.095B.R.Leviviricetes.zip</v>
      </c>
      <c r="U7408" s="43" t="str">
        <f>HYPERLINK("https://ictv.global/taxonomy/taxondetails?taxnode_id=202211226","ictv.global=202211226")</f>
        <v>ictv.global=202211226</v>
      </c>
    </row>
    <row r="7409" spans="1:21">
      <c r="A7409">
        <v>7408</v>
      </c>
      <c r="B7409" s="29" t="s">
        <v>3223</v>
      </c>
      <c r="C7409" s="29"/>
      <c r="D7409" s="29" t="s">
        <v>4156</v>
      </c>
      <c r="E7409" s="29"/>
      <c r="F7409" s="29" t="s">
        <v>4202</v>
      </c>
      <c r="G7409" s="29"/>
      <c r="H7409" s="29" t="s">
        <v>5205</v>
      </c>
      <c r="I7409" s="29"/>
      <c r="J7409" s="29" t="s">
        <v>5908</v>
      </c>
      <c r="K7409" s="29"/>
      <c r="L7409" s="29" t="s">
        <v>5976</v>
      </c>
      <c r="M7409" s="29"/>
      <c r="N7409" s="29" t="s">
        <v>6129</v>
      </c>
      <c r="O7409" s="29"/>
      <c r="P7409" s="29" t="s">
        <v>6147</v>
      </c>
      <c r="Q7409" t="s">
        <v>2040</v>
      </c>
      <c r="R7409" t="s">
        <v>2632</v>
      </c>
      <c r="S7409">
        <v>36</v>
      </c>
      <c r="T7409" s="43" t="str">
        <f t="shared" si="325"/>
        <v>2020.095B.R.Leviviricetes.zip</v>
      </c>
      <c r="U7409" s="43" t="str">
        <f>HYPERLINK("https://ictv.global/taxonomy/taxondetails?taxnode_id=202211227","ictv.global=202211227")</f>
        <v>ictv.global=202211227</v>
      </c>
    </row>
    <row r="7410" spans="1:21">
      <c r="A7410">
        <v>7409</v>
      </c>
      <c r="B7410" s="29" t="s">
        <v>3223</v>
      </c>
      <c r="C7410" s="29"/>
      <c r="D7410" s="29" t="s">
        <v>4156</v>
      </c>
      <c r="E7410" s="29"/>
      <c r="F7410" s="29" t="s">
        <v>4202</v>
      </c>
      <c r="G7410" s="29"/>
      <c r="H7410" s="29" t="s">
        <v>5205</v>
      </c>
      <c r="I7410" s="29"/>
      <c r="J7410" s="29" t="s">
        <v>5908</v>
      </c>
      <c r="K7410" s="29"/>
      <c r="L7410" s="29" t="s">
        <v>5976</v>
      </c>
      <c r="M7410" s="29"/>
      <c r="N7410" s="29" t="s">
        <v>6129</v>
      </c>
      <c r="O7410" s="29"/>
      <c r="P7410" s="29" t="s">
        <v>6148</v>
      </c>
      <c r="Q7410" t="s">
        <v>2040</v>
      </c>
      <c r="R7410" t="s">
        <v>2632</v>
      </c>
      <c r="S7410">
        <v>36</v>
      </c>
      <c r="T7410" s="43" t="str">
        <f t="shared" si="325"/>
        <v>2020.095B.R.Leviviricetes.zip</v>
      </c>
      <c r="U7410" s="43" t="str">
        <f>HYPERLINK("https://ictv.global/taxonomy/taxondetails?taxnode_id=202211228","ictv.global=202211228")</f>
        <v>ictv.global=202211228</v>
      </c>
    </row>
    <row r="7411" spans="1:21">
      <c r="A7411">
        <v>7410</v>
      </c>
      <c r="B7411" s="29" t="s">
        <v>3223</v>
      </c>
      <c r="C7411" s="29"/>
      <c r="D7411" s="29" t="s">
        <v>4156</v>
      </c>
      <c r="E7411" s="29"/>
      <c r="F7411" s="29" t="s">
        <v>4202</v>
      </c>
      <c r="G7411" s="29"/>
      <c r="H7411" s="29" t="s">
        <v>5205</v>
      </c>
      <c r="I7411" s="29"/>
      <c r="J7411" s="29" t="s">
        <v>5908</v>
      </c>
      <c r="K7411" s="29"/>
      <c r="L7411" s="29" t="s">
        <v>5976</v>
      </c>
      <c r="M7411" s="29"/>
      <c r="N7411" s="29" t="s">
        <v>6129</v>
      </c>
      <c r="O7411" s="29"/>
      <c r="P7411" s="29" t="s">
        <v>6149</v>
      </c>
      <c r="Q7411" t="s">
        <v>2040</v>
      </c>
      <c r="R7411" t="s">
        <v>2632</v>
      </c>
      <c r="S7411">
        <v>36</v>
      </c>
      <c r="T7411" s="43" t="str">
        <f t="shared" si="325"/>
        <v>2020.095B.R.Leviviricetes.zip</v>
      </c>
      <c r="U7411" s="43" t="str">
        <f>HYPERLINK("https://ictv.global/taxonomy/taxondetails?taxnode_id=202211186","ictv.global=202211186")</f>
        <v>ictv.global=202211186</v>
      </c>
    </row>
    <row r="7412" spans="1:21">
      <c r="A7412">
        <v>7411</v>
      </c>
      <c r="B7412" s="29" t="s">
        <v>3223</v>
      </c>
      <c r="C7412" s="29"/>
      <c r="D7412" s="29" t="s">
        <v>4156</v>
      </c>
      <c r="E7412" s="29"/>
      <c r="F7412" s="29" t="s">
        <v>4202</v>
      </c>
      <c r="G7412" s="29"/>
      <c r="H7412" s="29" t="s">
        <v>5205</v>
      </c>
      <c r="I7412" s="29"/>
      <c r="J7412" s="29" t="s">
        <v>5908</v>
      </c>
      <c r="K7412" s="29"/>
      <c r="L7412" s="29" t="s">
        <v>5976</v>
      </c>
      <c r="M7412" s="29"/>
      <c r="N7412" s="29" t="s">
        <v>6129</v>
      </c>
      <c r="O7412" s="29"/>
      <c r="P7412" s="29" t="s">
        <v>6150</v>
      </c>
      <c r="Q7412" t="s">
        <v>2040</v>
      </c>
      <c r="R7412" t="s">
        <v>2632</v>
      </c>
      <c r="S7412">
        <v>36</v>
      </c>
      <c r="T7412" s="43" t="str">
        <f t="shared" si="325"/>
        <v>2020.095B.R.Leviviricetes.zip</v>
      </c>
      <c r="U7412" s="43" t="str">
        <f>HYPERLINK("https://ictv.global/taxonomy/taxondetails?taxnode_id=202211188","ictv.global=202211188")</f>
        <v>ictv.global=202211188</v>
      </c>
    </row>
    <row r="7413" spans="1:21">
      <c r="A7413">
        <v>7412</v>
      </c>
      <c r="B7413" s="29" t="s">
        <v>3223</v>
      </c>
      <c r="C7413" s="29"/>
      <c r="D7413" s="29" t="s">
        <v>4156</v>
      </c>
      <c r="E7413" s="29"/>
      <c r="F7413" s="29" t="s">
        <v>4202</v>
      </c>
      <c r="G7413" s="29"/>
      <c r="H7413" s="29" t="s">
        <v>5205</v>
      </c>
      <c r="I7413" s="29"/>
      <c r="J7413" s="29" t="s">
        <v>5908</v>
      </c>
      <c r="K7413" s="29"/>
      <c r="L7413" s="29" t="s">
        <v>5976</v>
      </c>
      <c r="M7413" s="29"/>
      <c r="N7413" s="29" t="s">
        <v>6129</v>
      </c>
      <c r="O7413" s="29"/>
      <c r="P7413" s="29" t="s">
        <v>6151</v>
      </c>
      <c r="Q7413" t="s">
        <v>2040</v>
      </c>
      <c r="R7413" t="s">
        <v>2632</v>
      </c>
      <c r="S7413">
        <v>36</v>
      </c>
      <c r="T7413" s="43" t="str">
        <f t="shared" si="325"/>
        <v>2020.095B.R.Leviviricetes.zip</v>
      </c>
      <c r="U7413" s="43" t="str">
        <f>HYPERLINK("https://ictv.global/taxonomy/taxondetails?taxnode_id=202211187","ictv.global=202211187")</f>
        <v>ictv.global=202211187</v>
      </c>
    </row>
    <row r="7414" spans="1:21">
      <c r="A7414">
        <v>7413</v>
      </c>
      <c r="B7414" s="29" t="s">
        <v>3223</v>
      </c>
      <c r="C7414" s="29"/>
      <c r="D7414" s="29" t="s">
        <v>4156</v>
      </c>
      <c r="E7414" s="29"/>
      <c r="F7414" s="29" t="s">
        <v>4202</v>
      </c>
      <c r="G7414" s="29"/>
      <c r="H7414" s="29" t="s">
        <v>5205</v>
      </c>
      <c r="I7414" s="29"/>
      <c r="J7414" s="29" t="s">
        <v>5908</v>
      </c>
      <c r="K7414" s="29"/>
      <c r="L7414" s="29" t="s">
        <v>5976</v>
      </c>
      <c r="M7414" s="29"/>
      <c r="N7414" s="29" t="s">
        <v>6129</v>
      </c>
      <c r="O7414" s="29"/>
      <c r="P7414" s="29" t="s">
        <v>6152</v>
      </c>
      <c r="Q7414" t="s">
        <v>2040</v>
      </c>
      <c r="R7414" t="s">
        <v>2632</v>
      </c>
      <c r="S7414">
        <v>36</v>
      </c>
      <c r="T7414" s="43" t="str">
        <f t="shared" si="325"/>
        <v>2020.095B.R.Leviviricetes.zip</v>
      </c>
      <c r="U7414" s="43" t="str">
        <f>HYPERLINK("https://ictv.global/taxonomy/taxondetails?taxnode_id=202211189","ictv.global=202211189")</f>
        <v>ictv.global=202211189</v>
      </c>
    </row>
    <row r="7415" spans="1:21">
      <c r="A7415">
        <v>7414</v>
      </c>
      <c r="B7415" s="29" t="s">
        <v>3223</v>
      </c>
      <c r="C7415" s="29"/>
      <c r="D7415" s="29" t="s">
        <v>4156</v>
      </c>
      <c r="E7415" s="29"/>
      <c r="F7415" s="29" t="s">
        <v>4202</v>
      </c>
      <c r="G7415" s="29"/>
      <c r="H7415" s="29" t="s">
        <v>5205</v>
      </c>
      <c r="I7415" s="29"/>
      <c r="J7415" s="29" t="s">
        <v>5908</v>
      </c>
      <c r="K7415" s="29"/>
      <c r="L7415" s="29" t="s">
        <v>5976</v>
      </c>
      <c r="M7415" s="29"/>
      <c r="N7415" s="29" t="s">
        <v>6129</v>
      </c>
      <c r="O7415" s="29"/>
      <c r="P7415" s="29" t="s">
        <v>6153</v>
      </c>
      <c r="Q7415" t="s">
        <v>2040</v>
      </c>
      <c r="R7415" t="s">
        <v>2632</v>
      </c>
      <c r="S7415">
        <v>36</v>
      </c>
      <c r="T7415" s="43" t="str">
        <f t="shared" si="325"/>
        <v>2020.095B.R.Leviviricetes.zip</v>
      </c>
      <c r="U7415" s="43" t="str">
        <f>HYPERLINK("https://ictv.global/taxonomy/taxondetails?taxnode_id=202211190","ictv.global=202211190")</f>
        <v>ictv.global=202211190</v>
      </c>
    </row>
    <row r="7416" spans="1:21">
      <c r="A7416">
        <v>7415</v>
      </c>
      <c r="B7416" s="29" t="s">
        <v>3223</v>
      </c>
      <c r="C7416" s="29"/>
      <c r="D7416" s="29" t="s">
        <v>4156</v>
      </c>
      <c r="E7416" s="29"/>
      <c r="F7416" s="29" t="s">
        <v>4202</v>
      </c>
      <c r="G7416" s="29"/>
      <c r="H7416" s="29" t="s">
        <v>5205</v>
      </c>
      <c r="I7416" s="29"/>
      <c r="J7416" s="29" t="s">
        <v>5908</v>
      </c>
      <c r="K7416" s="29"/>
      <c r="L7416" s="29" t="s">
        <v>5976</v>
      </c>
      <c r="M7416" s="29"/>
      <c r="N7416" s="29" t="s">
        <v>6129</v>
      </c>
      <c r="O7416" s="29"/>
      <c r="P7416" s="29" t="s">
        <v>6154</v>
      </c>
      <c r="Q7416" t="s">
        <v>2040</v>
      </c>
      <c r="R7416" t="s">
        <v>2632</v>
      </c>
      <c r="S7416">
        <v>36</v>
      </c>
      <c r="T7416" s="43" t="str">
        <f t="shared" si="325"/>
        <v>2020.095B.R.Leviviricetes.zip</v>
      </c>
      <c r="U7416" s="43" t="str">
        <f>HYPERLINK("https://ictv.global/taxonomy/taxondetails?taxnode_id=202211191","ictv.global=202211191")</f>
        <v>ictv.global=202211191</v>
      </c>
    </row>
    <row r="7417" spans="1:21">
      <c r="A7417">
        <v>7416</v>
      </c>
      <c r="B7417" s="29" t="s">
        <v>3223</v>
      </c>
      <c r="C7417" s="29"/>
      <c r="D7417" s="29" t="s">
        <v>4156</v>
      </c>
      <c r="E7417" s="29"/>
      <c r="F7417" s="29" t="s">
        <v>4202</v>
      </c>
      <c r="G7417" s="29"/>
      <c r="H7417" s="29" t="s">
        <v>5205</v>
      </c>
      <c r="I7417" s="29"/>
      <c r="J7417" s="29" t="s">
        <v>5908</v>
      </c>
      <c r="K7417" s="29"/>
      <c r="L7417" s="29" t="s">
        <v>5976</v>
      </c>
      <c r="M7417" s="29"/>
      <c r="N7417" s="29" t="s">
        <v>6129</v>
      </c>
      <c r="O7417" s="29"/>
      <c r="P7417" s="29" t="s">
        <v>6155</v>
      </c>
      <c r="Q7417" t="s">
        <v>2040</v>
      </c>
      <c r="R7417" t="s">
        <v>2632</v>
      </c>
      <c r="S7417">
        <v>36</v>
      </c>
      <c r="T7417" s="43" t="str">
        <f t="shared" si="325"/>
        <v>2020.095B.R.Leviviricetes.zip</v>
      </c>
      <c r="U7417" s="43" t="str">
        <f>HYPERLINK("https://ictv.global/taxonomy/taxondetails?taxnode_id=202211168","ictv.global=202211168")</f>
        <v>ictv.global=202211168</v>
      </c>
    </row>
    <row r="7418" spans="1:21">
      <c r="A7418">
        <v>7417</v>
      </c>
      <c r="B7418" s="29" t="s">
        <v>3223</v>
      </c>
      <c r="C7418" s="29"/>
      <c r="D7418" s="29" t="s">
        <v>4156</v>
      </c>
      <c r="E7418" s="29"/>
      <c r="F7418" s="29" t="s">
        <v>4202</v>
      </c>
      <c r="G7418" s="29"/>
      <c r="H7418" s="29" t="s">
        <v>5205</v>
      </c>
      <c r="I7418" s="29"/>
      <c r="J7418" s="29" t="s">
        <v>5908</v>
      </c>
      <c r="K7418" s="29"/>
      <c r="L7418" s="29" t="s">
        <v>5976</v>
      </c>
      <c r="M7418" s="29"/>
      <c r="N7418" s="29" t="s">
        <v>6129</v>
      </c>
      <c r="O7418" s="29"/>
      <c r="P7418" s="29" t="s">
        <v>6156</v>
      </c>
      <c r="Q7418" t="s">
        <v>2040</v>
      </c>
      <c r="R7418" t="s">
        <v>2632</v>
      </c>
      <c r="S7418">
        <v>36</v>
      </c>
      <c r="T7418" s="43" t="str">
        <f t="shared" si="325"/>
        <v>2020.095B.R.Leviviricetes.zip</v>
      </c>
      <c r="U7418" s="43" t="str">
        <f>HYPERLINK("https://ictv.global/taxonomy/taxondetails?taxnode_id=202211170","ictv.global=202211170")</f>
        <v>ictv.global=202211170</v>
      </c>
    </row>
    <row r="7419" spans="1:21">
      <c r="A7419">
        <v>7418</v>
      </c>
      <c r="B7419" s="29" t="s">
        <v>3223</v>
      </c>
      <c r="C7419" s="29"/>
      <c r="D7419" s="29" t="s">
        <v>4156</v>
      </c>
      <c r="E7419" s="29"/>
      <c r="F7419" s="29" t="s">
        <v>4202</v>
      </c>
      <c r="G7419" s="29"/>
      <c r="H7419" s="29" t="s">
        <v>5205</v>
      </c>
      <c r="I7419" s="29"/>
      <c r="J7419" s="29" t="s">
        <v>5908</v>
      </c>
      <c r="K7419" s="29"/>
      <c r="L7419" s="29" t="s">
        <v>5976</v>
      </c>
      <c r="M7419" s="29"/>
      <c r="N7419" s="29" t="s">
        <v>6129</v>
      </c>
      <c r="O7419" s="29"/>
      <c r="P7419" s="29" t="s">
        <v>6157</v>
      </c>
      <c r="Q7419" t="s">
        <v>2040</v>
      </c>
      <c r="R7419" t="s">
        <v>2632</v>
      </c>
      <c r="S7419">
        <v>36</v>
      </c>
      <c r="T7419" s="43" t="str">
        <f t="shared" si="325"/>
        <v>2020.095B.R.Leviviricetes.zip</v>
      </c>
      <c r="U7419" s="43" t="str">
        <f>HYPERLINK("https://ictv.global/taxonomy/taxondetails?taxnode_id=202211169","ictv.global=202211169")</f>
        <v>ictv.global=202211169</v>
      </c>
    </row>
    <row r="7420" spans="1:21">
      <c r="A7420">
        <v>7419</v>
      </c>
      <c r="B7420" s="29" t="s">
        <v>3223</v>
      </c>
      <c r="C7420" s="29"/>
      <c r="D7420" s="29" t="s">
        <v>4156</v>
      </c>
      <c r="E7420" s="29"/>
      <c r="F7420" s="29" t="s">
        <v>4202</v>
      </c>
      <c r="G7420" s="29"/>
      <c r="H7420" s="29" t="s">
        <v>5205</v>
      </c>
      <c r="I7420" s="29"/>
      <c r="J7420" s="29" t="s">
        <v>5908</v>
      </c>
      <c r="K7420" s="29"/>
      <c r="L7420" s="29" t="s">
        <v>5976</v>
      </c>
      <c r="M7420" s="29"/>
      <c r="N7420" s="29" t="s">
        <v>6129</v>
      </c>
      <c r="O7420" s="29"/>
      <c r="P7420" s="29" t="s">
        <v>6158</v>
      </c>
      <c r="Q7420" t="s">
        <v>2040</v>
      </c>
      <c r="R7420" t="s">
        <v>2632</v>
      </c>
      <c r="S7420">
        <v>36</v>
      </c>
      <c r="T7420" s="43" t="str">
        <f t="shared" si="325"/>
        <v>2020.095B.R.Leviviricetes.zip</v>
      </c>
      <c r="U7420" s="43" t="str">
        <f>HYPERLINK("https://ictv.global/taxonomy/taxondetails?taxnode_id=202211171","ictv.global=202211171")</f>
        <v>ictv.global=202211171</v>
      </c>
    </row>
    <row r="7421" spans="1:21">
      <c r="A7421">
        <v>7420</v>
      </c>
      <c r="B7421" s="29" t="s">
        <v>3223</v>
      </c>
      <c r="C7421" s="29"/>
      <c r="D7421" s="29" t="s">
        <v>4156</v>
      </c>
      <c r="E7421" s="29"/>
      <c r="F7421" s="29" t="s">
        <v>4202</v>
      </c>
      <c r="G7421" s="29"/>
      <c r="H7421" s="29" t="s">
        <v>5205</v>
      </c>
      <c r="I7421" s="29"/>
      <c r="J7421" s="29" t="s">
        <v>5908</v>
      </c>
      <c r="K7421" s="29"/>
      <c r="L7421" s="29" t="s">
        <v>5976</v>
      </c>
      <c r="M7421" s="29"/>
      <c r="N7421" s="29" t="s">
        <v>6129</v>
      </c>
      <c r="O7421" s="29"/>
      <c r="P7421" s="29" t="s">
        <v>6159</v>
      </c>
      <c r="Q7421" t="s">
        <v>2040</v>
      </c>
      <c r="R7421" t="s">
        <v>2632</v>
      </c>
      <c r="S7421">
        <v>36</v>
      </c>
      <c r="T7421" s="43" t="str">
        <f t="shared" si="325"/>
        <v>2020.095B.R.Leviviricetes.zip</v>
      </c>
      <c r="U7421" s="43" t="str">
        <f>HYPERLINK("https://ictv.global/taxonomy/taxondetails?taxnode_id=202211172","ictv.global=202211172")</f>
        <v>ictv.global=202211172</v>
      </c>
    </row>
    <row r="7422" spans="1:21">
      <c r="A7422">
        <v>7421</v>
      </c>
      <c r="B7422" s="29" t="s">
        <v>3223</v>
      </c>
      <c r="C7422" s="29"/>
      <c r="D7422" s="29" t="s">
        <v>4156</v>
      </c>
      <c r="E7422" s="29"/>
      <c r="F7422" s="29" t="s">
        <v>4202</v>
      </c>
      <c r="G7422" s="29"/>
      <c r="H7422" s="29" t="s">
        <v>5205</v>
      </c>
      <c r="I7422" s="29"/>
      <c r="J7422" s="29" t="s">
        <v>5908</v>
      </c>
      <c r="K7422" s="29"/>
      <c r="L7422" s="29" t="s">
        <v>5976</v>
      </c>
      <c r="M7422" s="29"/>
      <c r="N7422" s="29" t="s">
        <v>6129</v>
      </c>
      <c r="O7422" s="29"/>
      <c r="P7422" s="29" t="s">
        <v>6160</v>
      </c>
      <c r="Q7422" t="s">
        <v>2040</v>
      </c>
      <c r="R7422" t="s">
        <v>2632</v>
      </c>
      <c r="S7422">
        <v>36</v>
      </c>
      <c r="T7422" s="43" t="str">
        <f t="shared" si="325"/>
        <v>2020.095B.R.Leviviricetes.zip</v>
      </c>
      <c r="U7422" s="43" t="str">
        <f>HYPERLINK("https://ictv.global/taxonomy/taxondetails?taxnode_id=202211173","ictv.global=202211173")</f>
        <v>ictv.global=202211173</v>
      </c>
    </row>
    <row r="7423" spans="1:21">
      <c r="A7423">
        <v>7422</v>
      </c>
      <c r="B7423" s="29" t="s">
        <v>3223</v>
      </c>
      <c r="C7423" s="29"/>
      <c r="D7423" s="29" t="s">
        <v>4156</v>
      </c>
      <c r="E7423" s="29"/>
      <c r="F7423" s="29" t="s">
        <v>4202</v>
      </c>
      <c r="G7423" s="29"/>
      <c r="H7423" s="29" t="s">
        <v>5205</v>
      </c>
      <c r="I7423" s="29"/>
      <c r="J7423" s="29" t="s">
        <v>5908</v>
      </c>
      <c r="K7423" s="29"/>
      <c r="L7423" s="29" t="s">
        <v>5976</v>
      </c>
      <c r="M7423" s="29"/>
      <c r="N7423" s="29" t="s">
        <v>6129</v>
      </c>
      <c r="O7423" s="29"/>
      <c r="P7423" s="29" t="s">
        <v>6161</v>
      </c>
      <c r="Q7423" t="s">
        <v>2040</v>
      </c>
      <c r="R7423" t="s">
        <v>2632</v>
      </c>
      <c r="S7423">
        <v>36</v>
      </c>
      <c r="T7423" s="43" t="str">
        <f t="shared" si="325"/>
        <v>2020.095B.R.Leviviricetes.zip</v>
      </c>
      <c r="U7423" s="43" t="str">
        <f>HYPERLINK("https://ictv.global/taxonomy/taxondetails?taxnode_id=202211192","ictv.global=202211192")</f>
        <v>ictv.global=202211192</v>
      </c>
    </row>
    <row r="7424" spans="1:21">
      <c r="A7424">
        <v>7423</v>
      </c>
      <c r="B7424" s="29" t="s">
        <v>3223</v>
      </c>
      <c r="C7424" s="29"/>
      <c r="D7424" s="29" t="s">
        <v>4156</v>
      </c>
      <c r="E7424" s="29"/>
      <c r="F7424" s="29" t="s">
        <v>4202</v>
      </c>
      <c r="G7424" s="29"/>
      <c r="H7424" s="29" t="s">
        <v>5205</v>
      </c>
      <c r="I7424" s="29"/>
      <c r="J7424" s="29" t="s">
        <v>5908</v>
      </c>
      <c r="K7424" s="29"/>
      <c r="L7424" s="29" t="s">
        <v>5976</v>
      </c>
      <c r="M7424" s="29"/>
      <c r="N7424" s="29" t="s">
        <v>6129</v>
      </c>
      <c r="O7424" s="29"/>
      <c r="P7424" s="29" t="s">
        <v>6162</v>
      </c>
      <c r="Q7424" t="s">
        <v>2040</v>
      </c>
      <c r="R7424" t="s">
        <v>2632</v>
      </c>
      <c r="S7424">
        <v>36</v>
      </c>
      <c r="T7424" s="43" t="str">
        <f t="shared" si="325"/>
        <v>2020.095B.R.Leviviricetes.zip</v>
      </c>
      <c r="U7424" s="43" t="str">
        <f>HYPERLINK("https://ictv.global/taxonomy/taxondetails?taxnode_id=202211193","ictv.global=202211193")</f>
        <v>ictv.global=202211193</v>
      </c>
    </row>
    <row r="7425" spans="1:21">
      <c r="A7425">
        <v>7424</v>
      </c>
      <c r="B7425" s="29" t="s">
        <v>3223</v>
      </c>
      <c r="C7425" s="29"/>
      <c r="D7425" s="29" t="s">
        <v>4156</v>
      </c>
      <c r="E7425" s="29"/>
      <c r="F7425" s="29" t="s">
        <v>4202</v>
      </c>
      <c r="G7425" s="29"/>
      <c r="H7425" s="29" t="s">
        <v>5205</v>
      </c>
      <c r="I7425" s="29"/>
      <c r="J7425" s="29" t="s">
        <v>5908</v>
      </c>
      <c r="K7425" s="29"/>
      <c r="L7425" s="29" t="s">
        <v>5976</v>
      </c>
      <c r="M7425" s="29"/>
      <c r="N7425" s="29" t="s">
        <v>6129</v>
      </c>
      <c r="O7425" s="29"/>
      <c r="P7425" s="29" t="s">
        <v>6163</v>
      </c>
      <c r="Q7425" t="s">
        <v>2040</v>
      </c>
      <c r="R7425" t="s">
        <v>2632</v>
      </c>
      <c r="S7425">
        <v>36</v>
      </c>
      <c r="T7425" s="43" t="str">
        <f t="shared" si="325"/>
        <v>2020.095B.R.Leviviricetes.zip</v>
      </c>
      <c r="U7425" s="43" t="str">
        <f>HYPERLINK("https://ictv.global/taxonomy/taxondetails?taxnode_id=202211194","ictv.global=202211194")</f>
        <v>ictv.global=202211194</v>
      </c>
    </row>
    <row r="7426" spans="1:21">
      <c r="A7426">
        <v>7425</v>
      </c>
      <c r="B7426" s="29" t="s">
        <v>3223</v>
      </c>
      <c r="C7426" s="29"/>
      <c r="D7426" s="29" t="s">
        <v>4156</v>
      </c>
      <c r="E7426" s="29"/>
      <c r="F7426" s="29" t="s">
        <v>4202</v>
      </c>
      <c r="G7426" s="29"/>
      <c r="H7426" s="29" t="s">
        <v>5205</v>
      </c>
      <c r="I7426" s="29"/>
      <c r="J7426" s="29" t="s">
        <v>5908</v>
      </c>
      <c r="K7426" s="29"/>
      <c r="L7426" s="29" t="s">
        <v>5976</v>
      </c>
      <c r="M7426" s="29"/>
      <c r="N7426" s="29" t="s">
        <v>6129</v>
      </c>
      <c r="O7426" s="29"/>
      <c r="P7426" s="29" t="s">
        <v>6164</v>
      </c>
      <c r="Q7426" t="s">
        <v>2040</v>
      </c>
      <c r="R7426" t="s">
        <v>2632</v>
      </c>
      <c r="S7426">
        <v>36</v>
      </c>
      <c r="T7426" s="43" t="str">
        <f t="shared" si="325"/>
        <v>2020.095B.R.Leviviricetes.zip</v>
      </c>
      <c r="U7426" s="43" t="str">
        <f>HYPERLINK("https://ictv.global/taxonomy/taxondetails?taxnode_id=202211195","ictv.global=202211195")</f>
        <v>ictv.global=202211195</v>
      </c>
    </row>
    <row r="7427" spans="1:21">
      <c r="A7427">
        <v>7426</v>
      </c>
      <c r="B7427" s="29" t="s">
        <v>3223</v>
      </c>
      <c r="C7427" s="29"/>
      <c r="D7427" s="29" t="s">
        <v>4156</v>
      </c>
      <c r="E7427" s="29"/>
      <c r="F7427" s="29" t="s">
        <v>4202</v>
      </c>
      <c r="G7427" s="29"/>
      <c r="H7427" s="29" t="s">
        <v>5205</v>
      </c>
      <c r="I7427" s="29"/>
      <c r="J7427" s="29" t="s">
        <v>5908</v>
      </c>
      <c r="K7427" s="29"/>
      <c r="L7427" s="29" t="s">
        <v>5976</v>
      </c>
      <c r="M7427" s="29"/>
      <c r="N7427" s="29" t="s">
        <v>6129</v>
      </c>
      <c r="O7427" s="29"/>
      <c r="P7427" s="29" t="s">
        <v>6165</v>
      </c>
      <c r="Q7427" t="s">
        <v>2040</v>
      </c>
      <c r="R7427" t="s">
        <v>2632</v>
      </c>
      <c r="S7427">
        <v>36</v>
      </c>
      <c r="T7427" s="43" t="str">
        <f t="shared" si="325"/>
        <v>2020.095B.R.Leviviricetes.zip</v>
      </c>
      <c r="U7427" s="43" t="str">
        <f>HYPERLINK("https://ictv.global/taxonomy/taxondetails?taxnode_id=202211196","ictv.global=202211196")</f>
        <v>ictv.global=202211196</v>
      </c>
    </row>
    <row r="7428" spans="1:21">
      <c r="A7428">
        <v>7427</v>
      </c>
      <c r="B7428" s="29" t="s">
        <v>3223</v>
      </c>
      <c r="C7428" s="29"/>
      <c r="D7428" s="29" t="s">
        <v>4156</v>
      </c>
      <c r="E7428" s="29"/>
      <c r="F7428" s="29" t="s">
        <v>4202</v>
      </c>
      <c r="G7428" s="29"/>
      <c r="H7428" s="29" t="s">
        <v>5205</v>
      </c>
      <c r="I7428" s="29"/>
      <c r="J7428" s="29" t="s">
        <v>5908</v>
      </c>
      <c r="K7428" s="29"/>
      <c r="L7428" s="29" t="s">
        <v>5976</v>
      </c>
      <c r="M7428" s="29"/>
      <c r="N7428" s="29" t="s">
        <v>6129</v>
      </c>
      <c r="O7428" s="29"/>
      <c r="P7428" s="29" t="s">
        <v>6166</v>
      </c>
      <c r="Q7428" t="s">
        <v>2040</v>
      </c>
      <c r="R7428" t="s">
        <v>2632</v>
      </c>
      <c r="S7428">
        <v>36</v>
      </c>
      <c r="T7428" s="43" t="str">
        <f t="shared" si="325"/>
        <v>2020.095B.R.Leviviricetes.zip</v>
      </c>
      <c r="U7428" s="43" t="str">
        <f>HYPERLINK("https://ictv.global/taxonomy/taxondetails?taxnode_id=202211197","ictv.global=202211197")</f>
        <v>ictv.global=202211197</v>
      </c>
    </row>
    <row r="7429" spans="1:21">
      <c r="A7429">
        <v>7428</v>
      </c>
      <c r="B7429" s="29" t="s">
        <v>3223</v>
      </c>
      <c r="C7429" s="29"/>
      <c r="D7429" s="29" t="s">
        <v>4156</v>
      </c>
      <c r="E7429" s="29"/>
      <c r="F7429" s="29" t="s">
        <v>4202</v>
      </c>
      <c r="G7429" s="29"/>
      <c r="H7429" s="29" t="s">
        <v>5205</v>
      </c>
      <c r="I7429" s="29"/>
      <c r="J7429" s="29" t="s">
        <v>5908</v>
      </c>
      <c r="K7429" s="29"/>
      <c r="L7429" s="29" t="s">
        <v>5976</v>
      </c>
      <c r="M7429" s="29"/>
      <c r="N7429" s="29" t="s">
        <v>6129</v>
      </c>
      <c r="O7429" s="29"/>
      <c r="P7429" s="29" t="s">
        <v>6167</v>
      </c>
      <c r="Q7429" t="s">
        <v>2040</v>
      </c>
      <c r="R7429" t="s">
        <v>2632</v>
      </c>
      <c r="S7429">
        <v>36</v>
      </c>
      <c r="T7429" s="43" t="str">
        <f t="shared" si="325"/>
        <v>2020.095B.R.Leviviricetes.zip</v>
      </c>
      <c r="U7429" s="43" t="str">
        <f>HYPERLINK("https://ictv.global/taxonomy/taxondetails?taxnode_id=202211211","ictv.global=202211211")</f>
        <v>ictv.global=202211211</v>
      </c>
    </row>
    <row r="7430" spans="1:21">
      <c r="A7430">
        <v>7429</v>
      </c>
      <c r="B7430" s="29" t="s">
        <v>3223</v>
      </c>
      <c r="C7430" s="29"/>
      <c r="D7430" s="29" t="s">
        <v>4156</v>
      </c>
      <c r="E7430" s="29"/>
      <c r="F7430" s="29" t="s">
        <v>4202</v>
      </c>
      <c r="G7430" s="29"/>
      <c r="H7430" s="29" t="s">
        <v>5205</v>
      </c>
      <c r="I7430" s="29"/>
      <c r="J7430" s="29" t="s">
        <v>5908</v>
      </c>
      <c r="K7430" s="29"/>
      <c r="L7430" s="29" t="s">
        <v>5976</v>
      </c>
      <c r="M7430" s="29"/>
      <c r="N7430" s="29" t="s">
        <v>6129</v>
      </c>
      <c r="O7430" s="29"/>
      <c r="P7430" s="29" t="s">
        <v>6168</v>
      </c>
      <c r="Q7430" t="s">
        <v>2040</v>
      </c>
      <c r="R7430" t="s">
        <v>2632</v>
      </c>
      <c r="S7430">
        <v>36</v>
      </c>
      <c r="T7430" s="43" t="str">
        <f t="shared" si="325"/>
        <v>2020.095B.R.Leviviricetes.zip</v>
      </c>
      <c r="U7430" s="43" t="str">
        <f>HYPERLINK("https://ictv.global/taxonomy/taxondetails?taxnode_id=202211213","ictv.global=202211213")</f>
        <v>ictv.global=202211213</v>
      </c>
    </row>
    <row r="7431" spans="1:21">
      <c r="A7431">
        <v>7430</v>
      </c>
      <c r="B7431" s="29" t="s">
        <v>3223</v>
      </c>
      <c r="C7431" s="29"/>
      <c r="D7431" s="29" t="s">
        <v>4156</v>
      </c>
      <c r="E7431" s="29"/>
      <c r="F7431" s="29" t="s">
        <v>4202</v>
      </c>
      <c r="G7431" s="29"/>
      <c r="H7431" s="29" t="s">
        <v>5205</v>
      </c>
      <c r="I7431" s="29"/>
      <c r="J7431" s="29" t="s">
        <v>5908</v>
      </c>
      <c r="K7431" s="29"/>
      <c r="L7431" s="29" t="s">
        <v>5976</v>
      </c>
      <c r="M7431" s="29"/>
      <c r="N7431" s="29" t="s">
        <v>6129</v>
      </c>
      <c r="O7431" s="29"/>
      <c r="P7431" s="29" t="s">
        <v>6169</v>
      </c>
      <c r="Q7431" t="s">
        <v>2040</v>
      </c>
      <c r="R7431" t="s">
        <v>2632</v>
      </c>
      <c r="S7431">
        <v>36</v>
      </c>
      <c r="T7431" s="43" t="str">
        <f t="shared" si="325"/>
        <v>2020.095B.R.Leviviricetes.zip</v>
      </c>
      <c r="U7431" s="43" t="str">
        <f>HYPERLINK("https://ictv.global/taxonomy/taxondetails?taxnode_id=202211212","ictv.global=202211212")</f>
        <v>ictv.global=202211212</v>
      </c>
    </row>
    <row r="7432" spans="1:21">
      <c r="A7432">
        <v>7431</v>
      </c>
      <c r="B7432" s="29" t="s">
        <v>3223</v>
      </c>
      <c r="C7432" s="29"/>
      <c r="D7432" s="29" t="s">
        <v>4156</v>
      </c>
      <c r="E7432" s="29"/>
      <c r="F7432" s="29" t="s">
        <v>4202</v>
      </c>
      <c r="G7432" s="29"/>
      <c r="H7432" s="29" t="s">
        <v>5205</v>
      </c>
      <c r="I7432" s="29"/>
      <c r="J7432" s="29" t="s">
        <v>5908</v>
      </c>
      <c r="K7432" s="29"/>
      <c r="L7432" s="29" t="s">
        <v>5976</v>
      </c>
      <c r="M7432" s="29"/>
      <c r="N7432" s="29" t="s">
        <v>6129</v>
      </c>
      <c r="O7432" s="29"/>
      <c r="P7432" s="29" t="s">
        <v>6170</v>
      </c>
      <c r="Q7432" t="s">
        <v>2040</v>
      </c>
      <c r="R7432" t="s">
        <v>2632</v>
      </c>
      <c r="S7432">
        <v>36</v>
      </c>
      <c r="T7432" s="43" t="str">
        <f t="shared" si="325"/>
        <v>2020.095B.R.Leviviricetes.zip</v>
      </c>
      <c r="U7432" s="43" t="str">
        <f>HYPERLINK("https://ictv.global/taxonomy/taxondetails?taxnode_id=202211214","ictv.global=202211214")</f>
        <v>ictv.global=202211214</v>
      </c>
    </row>
    <row r="7433" spans="1:21">
      <c r="A7433">
        <v>7432</v>
      </c>
      <c r="B7433" s="29" t="s">
        <v>3223</v>
      </c>
      <c r="C7433" s="29"/>
      <c r="D7433" s="29" t="s">
        <v>4156</v>
      </c>
      <c r="E7433" s="29"/>
      <c r="F7433" s="29" t="s">
        <v>4202</v>
      </c>
      <c r="G7433" s="29"/>
      <c r="H7433" s="29" t="s">
        <v>5205</v>
      </c>
      <c r="I7433" s="29"/>
      <c r="J7433" s="29" t="s">
        <v>5908</v>
      </c>
      <c r="K7433" s="29"/>
      <c r="L7433" s="29" t="s">
        <v>5976</v>
      </c>
      <c r="M7433" s="29"/>
      <c r="N7433" s="29" t="s">
        <v>6129</v>
      </c>
      <c r="O7433" s="29"/>
      <c r="P7433" s="29" t="s">
        <v>6171</v>
      </c>
      <c r="Q7433" t="s">
        <v>2040</v>
      </c>
      <c r="R7433" t="s">
        <v>2632</v>
      </c>
      <c r="S7433">
        <v>36</v>
      </c>
      <c r="T7433" s="43" t="str">
        <f t="shared" si="325"/>
        <v>2020.095B.R.Leviviricetes.zip</v>
      </c>
      <c r="U7433" s="43" t="str">
        <f>HYPERLINK("https://ictv.global/taxonomy/taxondetails?taxnode_id=202211215","ictv.global=202211215")</f>
        <v>ictv.global=202211215</v>
      </c>
    </row>
    <row r="7434" spans="1:21">
      <c r="A7434">
        <v>7433</v>
      </c>
      <c r="B7434" s="29" t="s">
        <v>3223</v>
      </c>
      <c r="C7434" s="29"/>
      <c r="D7434" s="29" t="s">
        <v>4156</v>
      </c>
      <c r="E7434" s="29"/>
      <c r="F7434" s="29" t="s">
        <v>4202</v>
      </c>
      <c r="G7434" s="29"/>
      <c r="H7434" s="29" t="s">
        <v>5205</v>
      </c>
      <c r="I7434" s="29"/>
      <c r="J7434" s="29" t="s">
        <v>5908</v>
      </c>
      <c r="K7434" s="29"/>
      <c r="L7434" s="29" t="s">
        <v>5976</v>
      </c>
      <c r="M7434" s="29"/>
      <c r="N7434" s="29" t="s">
        <v>6129</v>
      </c>
      <c r="O7434" s="29"/>
      <c r="P7434" s="29" t="s">
        <v>6172</v>
      </c>
      <c r="Q7434" t="s">
        <v>2040</v>
      </c>
      <c r="R7434" t="s">
        <v>2632</v>
      </c>
      <c r="S7434">
        <v>36</v>
      </c>
      <c r="T7434" s="43" t="str">
        <f t="shared" si="325"/>
        <v>2020.095B.R.Leviviricetes.zip</v>
      </c>
      <c r="U7434" s="43" t="str">
        <f>HYPERLINK("https://ictv.global/taxonomy/taxondetails?taxnode_id=202211216","ictv.global=202211216")</f>
        <v>ictv.global=202211216</v>
      </c>
    </row>
    <row r="7435" spans="1:21">
      <c r="A7435">
        <v>7434</v>
      </c>
      <c r="B7435" s="29" t="s">
        <v>3223</v>
      </c>
      <c r="C7435" s="29"/>
      <c r="D7435" s="29" t="s">
        <v>4156</v>
      </c>
      <c r="E7435" s="29"/>
      <c r="F7435" s="29" t="s">
        <v>4202</v>
      </c>
      <c r="G7435" s="29"/>
      <c r="H7435" s="29" t="s">
        <v>5205</v>
      </c>
      <c r="I7435" s="29"/>
      <c r="J7435" s="29" t="s">
        <v>5908</v>
      </c>
      <c r="K7435" s="29"/>
      <c r="L7435" s="29" t="s">
        <v>5976</v>
      </c>
      <c r="M7435" s="29"/>
      <c r="N7435" s="29" t="s">
        <v>6129</v>
      </c>
      <c r="O7435" s="29"/>
      <c r="P7435" s="29" t="s">
        <v>6173</v>
      </c>
      <c r="Q7435" t="s">
        <v>2040</v>
      </c>
      <c r="R7435" t="s">
        <v>2632</v>
      </c>
      <c r="S7435">
        <v>36</v>
      </c>
      <c r="T7435" s="43" t="str">
        <f t="shared" si="325"/>
        <v>2020.095B.R.Leviviricetes.zip</v>
      </c>
      <c r="U7435" s="43" t="str">
        <f>HYPERLINK("https://ictv.global/taxonomy/taxondetails?taxnode_id=202211152","ictv.global=202211152")</f>
        <v>ictv.global=202211152</v>
      </c>
    </row>
    <row r="7436" spans="1:21">
      <c r="A7436">
        <v>7435</v>
      </c>
      <c r="B7436" s="29" t="s">
        <v>3223</v>
      </c>
      <c r="C7436" s="29"/>
      <c r="D7436" s="29" t="s">
        <v>4156</v>
      </c>
      <c r="E7436" s="29"/>
      <c r="F7436" s="29" t="s">
        <v>4202</v>
      </c>
      <c r="G7436" s="29"/>
      <c r="H7436" s="29" t="s">
        <v>5205</v>
      </c>
      <c r="I7436" s="29"/>
      <c r="J7436" s="29" t="s">
        <v>5908</v>
      </c>
      <c r="K7436" s="29"/>
      <c r="L7436" s="29" t="s">
        <v>5976</v>
      </c>
      <c r="M7436" s="29"/>
      <c r="N7436" s="29" t="s">
        <v>6129</v>
      </c>
      <c r="O7436" s="29"/>
      <c r="P7436" s="29" t="s">
        <v>6174</v>
      </c>
      <c r="Q7436" t="s">
        <v>2040</v>
      </c>
      <c r="R7436" t="s">
        <v>2632</v>
      </c>
      <c r="S7436">
        <v>36</v>
      </c>
      <c r="T7436" s="43" t="str">
        <f t="shared" si="325"/>
        <v>2020.095B.R.Leviviricetes.zip</v>
      </c>
      <c r="U7436" s="43" t="str">
        <f>HYPERLINK("https://ictv.global/taxonomy/taxondetails?taxnode_id=202211151","ictv.global=202211151")</f>
        <v>ictv.global=202211151</v>
      </c>
    </row>
    <row r="7437" spans="1:21">
      <c r="A7437">
        <v>7436</v>
      </c>
      <c r="B7437" s="29" t="s">
        <v>3223</v>
      </c>
      <c r="C7437" s="29"/>
      <c r="D7437" s="29" t="s">
        <v>4156</v>
      </c>
      <c r="E7437" s="29"/>
      <c r="F7437" s="29" t="s">
        <v>4202</v>
      </c>
      <c r="G7437" s="29"/>
      <c r="H7437" s="29" t="s">
        <v>5205</v>
      </c>
      <c r="I7437" s="29"/>
      <c r="J7437" s="29" t="s">
        <v>5908</v>
      </c>
      <c r="K7437" s="29"/>
      <c r="L7437" s="29" t="s">
        <v>5976</v>
      </c>
      <c r="M7437" s="29"/>
      <c r="N7437" s="29" t="s">
        <v>6129</v>
      </c>
      <c r="O7437" s="29"/>
      <c r="P7437" s="29" t="s">
        <v>6175</v>
      </c>
      <c r="Q7437" t="s">
        <v>2040</v>
      </c>
      <c r="R7437" t="s">
        <v>2632</v>
      </c>
      <c r="S7437">
        <v>36</v>
      </c>
      <c r="T7437" s="43" t="str">
        <f t="shared" si="325"/>
        <v>2020.095B.R.Leviviricetes.zip</v>
      </c>
      <c r="U7437" s="43" t="str">
        <f>HYPERLINK("https://ictv.global/taxonomy/taxondetails?taxnode_id=202211153","ictv.global=202211153")</f>
        <v>ictv.global=202211153</v>
      </c>
    </row>
    <row r="7438" spans="1:21">
      <c r="A7438">
        <v>7437</v>
      </c>
      <c r="B7438" s="29" t="s">
        <v>3223</v>
      </c>
      <c r="C7438" s="29"/>
      <c r="D7438" s="29" t="s">
        <v>4156</v>
      </c>
      <c r="E7438" s="29"/>
      <c r="F7438" s="29" t="s">
        <v>4202</v>
      </c>
      <c r="G7438" s="29"/>
      <c r="H7438" s="29" t="s">
        <v>5205</v>
      </c>
      <c r="I7438" s="29"/>
      <c r="J7438" s="29" t="s">
        <v>5908</v>
      </c>
      <c r="K7438" s="29"/>
      <c r="L7438" s="29" t="s">
        <v>5976</v>
      </c>
      <c r="M7438" s="29"/>
      <c r="N7438" s="29" t="s">
        <v>6129</v>
      </c>
      <c r="O7438" s="29"/>
      <c r="P7438" s="29" t="s">
        <v>6176</v>
      </c>
      <c r="Q7438" t="s">
        <v>2040</v>
      </c>
      <c r="R7438" t="s">
        <v>2632</v>
      </c>
      <c r="S7438">
        <v>36</v>
      </c>
      <c r="T7438" s="43" t="str">
        <f t="shared" si="325"/>
        <v>2020.095B.R.Leviviricetes.zip</v>
      </c>
      <c r="U7438" s="43" t="str">
        <f>HYPERLINK("https://ictv.global/taxonomy/taxondetails?taxnode_id=202211154","ictv.global=202211154")</f>
        <v>ictv.global=202211154</v>
      </c>
    </row>
    <row r="7439" spans="1:21">
      <c r="A7439">
        <v>7438</v>
      </c>
      <c r="B7439" s="29" t="s">
        <v>3223</v>
      </c>
      <c r="C7439" s="29"/>
      <c r="D7439" s="29" t="s">
        <v>4156</v>
      </c>
      <c r="E7439" s="29"/>
      <c r="F7439" s="29" t="s">
        <v>4202</v>
      </c>
      <c r="G7439" s="29"/>
      <c r="H7439" s="29" t="s">
        <v>5205</v>
      </c>
      <c r="I7439" s="29"/>
      <c r="J7439" s="29" t="s">
        <v>5908</v>
      </c>
      <c r="K7439" s="29"/>
      <c r="L7439" s="29" t="s">
        <v>5976</v>
      </c>
      <c r="M7439" s="29"/>
      <c r="N7439" s="29" t="s">
        <v>6129</v>
      </c>
      <c r="O7439" s="29"/>
      <c r="P7439" s="29" t="s">
        <v>6177</v>
      </c>
      <c r="Q7439" t="s">
        <v>2040</v>
      </c>
      <c r="R7439" t="s">
        <v>2632</v>
      </c>
      <c r="S7439">
        <v>36</v>
      </c>
      <c r="T7439" s="43" t="str">
        <f t="shared" si="325"/>
        <v>2020.095B.R.Leviviricetes.zip</v>
      </c>
      <c r="U7439" s="43" t="str">
        <f>HYPERLINK("https://ictv.global/taxonomy/taxondetails?taxnode_id=202211155","ictv.global=202211155")</f>
        <v>ictv.global=202211155</v>
      </c>
    </row>
    <row r="7440" spans="1:21">
      <c r="A7440">
        <v>7439</v>
      </c>
      <c r="B7440" s="29" t="s">
        <v>3223</v>
      </c>
      <c r="C7440" s="29"/>
      <c r="D7440" s="29" t="s">
        <v>4156</v>
      </c>
      <c r="E7440" s="29"/>
      <c r="F7440" s="29" t="s">
        <v>4202</v>
      </c>
      <c r="G7440" s="29"/>
      <c r="H7440" s="29" t="s">
        <v>5205</v>
      </c>
      <c r="I7440" s="29"/>
      <c r="J7440" s="29" t="s">
        <v>5908</v>
      </c>
      <c r="K7440" s="29"/>
      <c r="L7440" s="29" t="s">
        <v>5976</v>
      </c>
      <c r="M7440" s="29"/>
      <c r="N7440" s="29" t="s">
        <v>6129</v>
      </c>
      <c r="O7440" s="29"/>
      <c r="P7440" s="29" t="s">
        <v>6178</v>
      </c>
      <c r="Q7440" t="s">
        <v>2040</v>
      </c>
      <c r="R7440" t="s">
        <v>2632</v>
      </c>
      <c r="S7440">
        <v>36</v>
      </c>
      <c r="T7440" s="43" t="str">
        <f t="shared" si="325"/>
        <v>2020.095B.R.Leviviricetes.zip</v>
      </c>
      <c r="U7440" s="43" t="str">
        <f>HYPERLINK("https://ictv.global/taxonomy/taxondetails?taxnode_id=202211156","ictv.global=202211156")</f>
        <v>ictv.global=202211156</v>
      </c>
    </row>
    <row r="7441" spans="1:21">
      <c r="A7441">
        <v>7440</v>
      </c>
      <c r="B7441" s="29" t="s">
        <v>3223</v>
      </c>
      <c r="C7441" s="29"/>
      <c r="D7441" s="29" t="s">
        <v>4156</v>
      </c>
      <c r="E7441" s="29"/>
      <c r="F7441" s="29" t="s">
        <v>4202</v>
      </c>
      <c r="G7441" s="29"/>
      <c r="H7441" s="29" t="s">
        <v>5205</v>
      </c>
      <c r="I7441" s="29"/>
      <c r="J7441" s="29" t="s">
        <v>5908</v>
      </c>
      <c r="K7441" s="29"/>
      <c r="L7441" s="29" t="s">
        <v>5976</v>
      </c>
      <c r="M7441" s="29"/>
      <c r="N7441" s="29" t="s">
        <v>6129</v>
      </c>
      <c r="O7441" s="29"/>
      <c r="P7441" s="29" t="s">
        <v>6179</v>
      </c>
      <c r="Q7441" t="s">
        <v>2040</v>
      </c>
      <c r="R7441" t="s">
        <v>2632</v>
      </c>
      <c r="S7441">
        <v>36</v>
      </c>
      <c r="T7441" s="43" t="str">
        <f t="shared" si="325"/>
        <v>2020.095B.R.Leviviricetes.zip</v>
      </c>
      <c r="U7441" s="43" t="str">
        <f>HYPERLINK("https://ictv.global/taxonomy/taxondetails?taxnode_id=202211158","ictv.global=202211158")</f>
        <v>ictv.global=202211158</v>
      </c>
    </row>
    <row r="7442" spans="1:21">
      <c r="A7442">
        <v>7441</v>
      </c>
      <c r="B7442" s="29" t="s">
        <v>3223</v>
      </c>
      <c r="C7442" s="29"/>
      <c r="D7442" s="29" t="s">
        <v>4156</v>
      </c>
      <c r="E7442" s="29"/>
      <c r="F7442" s="29" t="s">
        <v>4202</v>
      </c>
      <c r="G7442" s="29"/>
      <c r="H7442" s="29" t="s">
        <v>5205</v>
      </c>
      <c r="I7442" s="29"/>
      <c r="J7442" s="29" t="s">
        <v>5908</v>
      </c>
      <c r="K7442" s="29"/>
      <c r="L7442" s="29" t="s">
        <v>5976</v>
      </c>
      <c r="M7442" s="29"/>
      <c r="N7442" s="29" t="s">
        <v>6129</v>
      </c>
      <c r="O7442" s="29"/>
      <c r="P7442" s="29" t="s">
        <v>6180</v>
      </c>
      <c r="Q7442" t="s">
        <v>2040</v>
      </c>
      <c r="R7442" t="s">
        <v>2632</v>
      </c>
      <c r="S7442">
        <v>36</v>
      </c>
      <c r="T7442" s="43" t="str">
        <f t="shared" si="325"/>
        <v>2020.095B.R.Leviviricetes.zip</v>
      </c>
      <c r="U7442" s="43" t="str">
        <f>HYPERLINK("https://ictv.global/taxonomy/taxondetails?taxnode_id=202211157","ictv.global=202211157")</f>
        <v>ictv.global=202211157</v>
      </c>
    </row>
    <row r="7443" spans="1:21">
      <c r="A7443">
        <v>7442</v>
      </c>
      <c r="B7443" s="29" t="s">
        <v>3223</v>
      </c>
      <c r="C7443" s="29"/>
      <c r="D7443" s="29" t="s">
        <v>4156</v>
      </c>
      <c r="E7443" s="29"/>
      <c r="F7443" s="29" t="s">
        <v>4202</v>
      </c>
      <c r="G7443" s="29"/>
      <c r="H7443" s="29" t="s">
        <v>5205</v>
      </c>
      <c r="I7443" s="29"/>
      <c r="J7443" s="29" t="s">
        <v>5908</v>
      </c>
      <c r="K7443" s="29"/>
      <c r="L7443" s="29" t="s">
        <v>5976</v>
      </c>
      <c r="M7443" s="29"/>
      <c r="N7443" s="29" t="s">
        <v>6129</v>
      </c>
      <c r="O7443" s="29"/>
      <c r="P7443" s="29" t="s">
        <v>6181</v>
      </c>
      <c r="Q7443" t="s">
        <v>2040</v>
      </c>
      <c r="R7443" t="s">
        <v>2632</v>
      </c>
      <c r="S7443">
        <v>36</v>
      </c>
      <c r="T7443" s="43" t="str">
        <f t="shared" si="325"/>
        <v>2020.095B.R.Leviviricetes.zip</v>
      </c>
      <c r="U7443" s="43" t="str">
        <f>HYPERLINK("https://ictv.global/taxonomy/taxondetails?taxnode_id=202211159","ictv.global=202211159")</f>
        <v>ictv.global=202211159</v>
      </c>
    </row>
    <row r="7444" spans="1:21">
      <c r="A7444">
        <v>7443</v>
      </c>
      <c r="B7444" s="29" t="s">
        <v>3223</v>
      </c>
      <c r="C7444" s="29"/>
      <c r="D7444" s="29" t="s">
        <v>4156</v>
      </c>
      <c r="E7444" s="29"/>
      <c r="F7444" s="29" t="s">
        <v>4202</v>
      </c>
      <c r="G7444" s="29"/>
      <c r="H7444" s="29" t="s">
        <v>5205</v>
      </c>
      <c r="I7444" s="29"/>
      <c r="J7444" s="29" t="s">
        <v>5908</v>
      </c>
      <c r="K7444" s="29"/>
      <c r="L7444" s="29" t="s">
        <v>5976</v>
      </c>
      <c r="M7444" s="29"/>
      <c r="N7444" s="29" t="s">
        <v>6129</v>
      </c>
      <c r="O7444" s="29"/>
      <c r="P7444" s="29" t="s">
        <v>6182</v>
      </c>
      <c r="Q7444" t="s">
        <v>2040</v>
      </c>
      <c r="R7444" t="s">
        <v>2632</v>
      </c>
      <c r="S7444">
        <v>36</v>
      </c>
      <c r="T7444" s="43" t="str">
        <f t="shared" si="325"/>
        <v>2020.095B.R.Leviviricetes.zip</v>
      </c>
      <c r="U7444" s="43" t="str">
        <f>HYPERLINK("https://ictv.global/taxonomy/taxondetails?taxnode_id=202211160","ictv.global=202211160")</f>
        <v>ictv.global=202211160</v>
      </c>
    </row>
    <row r="7445" spans="1:21">
      <c r="A7445">
        <v>7444</v>
      </c>
      <c r="B7445" s="29" t="s">
        <v>3223</v>
      </c>
      <c r="C7445" s="29"/>
      <c r="D7445" s="29" t="s">
        <v>4156</v>
      </c>
      <c r="E7445" s="29"/>
      <c r="F7445" s="29" t="s">
        <v>4202</v>
      </c>
      <c r="G7445" s="29"/>
      <c r="H7445" s="29" t="s">
        <v>5205</v>
      </c>
      <c r="I7445" s="29"/>
      <c r="J7445" s="29" t="s">
        <v>5908</v>
      </c>
      <c r="K7445" s="29"/>
      <c r="L7445" s="29" t="s">
        <v>5976</v>
      </c>
      <c r="M7445" s="29"/>
      <c r="N7445" s="29" t="s">
        <v>6129</v>
      </c>
      <c r="O7445" s="29"/>
      <c r="P7445" s="29" t="s">
        <v>6183</v>
      </c>
      <c r="Q7445" t="s">
        <v>2040</v>
      </c>
      <c r="R7445" t="s">
        <v>2632</v>
      </c>
      <c r="S7445">
        <v>36</v>
      </c>
      <c r="T7445" s="43" t="str">
        <f t="shared" si="325"/>
        <v>2020.095B.R.Leviviricetes.zip</v>
      </c>
      <c r="U7445" s="43" t="str">
        <f>HYPERLINK("https://ictv.global/taxonomy/taxondetails?taxnode_id=202211161","ictv.global=202211161")</f>
        <v>ictv.global=202211161</v>
      </c>
    </row>
    <row r="7446" spans="1:21">
      <c r="A7446">
        <v>7445</v>
      </c>
      <c r="B7446" s="29" t="s">
        <v>3223</v>
      </c>
      <c r="C7446" s="29"/>
      <c r="D7446" s="29" t="s">
        <v>4156</v>
      </c>
      <c r="E7446" s="29"/>
      <c r="F7446" s="29" t="s">
        <v>4202</v>
      </c>
      <c r="G7446" s="29"/>
      <c r="H7446" s="29" t="s">
        <v>5205</v>
      </c>
      <c r="I7446" s="29"/>
      <c r="J7446" s="29" t="s">
        <v>5908</v>
      </c>
      <c r="K7446" s="29"/>
      <c r="L7446" s="29" t="s">
        <v>5976</v>
      </c>
      <c r="M7446" s="29"/>
      <c r="N7446" s="29" t="s">
        <v>6129</v>
      </c>
      <c r="O7446" s="29"/>
      <c r="P7446" s="29" t="s">
        <v>6184</v>
      </c>
      <c r="Q7446" t="s">
        <v>2040</v>
      </c>
      <c r="R7446" t="s">
        <v>2632</v>
      </c>
      <c r="S7446">
        <v>36</v>
      </c>
      <c r="T7446" s="43" t="str">
        <f t="shared" si="325"/>
        <v>2020.095B.R.Leviviricetes.zip</v>
      </c>
      <c r="U7446" s="43" t="str">
        <f>HYPERLINK("https://ictv.global/taxonomy/taxondetails?taxnode_id=202211145","ictv.global=202211145")</f>
        <v>ictv.global=202211145</v>
      </c>
    </row>
    <row r="7447" spans="1:21">
      <c r="A7447">
        <v>7446</v>
      </c>
      <c r="B7447" s="29" t="s">
        <v>3223</v>
      </c>
      <c r="C7447" s="29"/>
      <c r="D7447" s="29" t="s">
        <v>4156</v>
      </c>
      <c r="E7447" s="29"/>
      <c r="F7447" s="29" t="s">
        <v>4202</v>
      </c>
      <c r="G7447" s="29"/>
      <c r="H7447" s="29" t="s">
        <v>5205</v>
      </c>
      <c r="I7447" s="29"/>
      <c r="J7447" s="29" t="s">
        <v>5908</v>
      </c>
      <c r="K7447" s="29"/>
      <c r="L7447" s="29" t="s">
        <v>5976</v>
      </c>
      <c r="M7447" s="29"/>
      <c r="N7447" s="29" t="s">
        <v>6129</v>
      </c>
      <c r="O7447" s="29"/>
      <c r="P7447" s="29" t="s">
        <v>6185</v>
      </c>
      <c r="Q7447" t="s">
        <v>2040</v>
      </c>
      <c r="R7447" t="s">
        <v>2632</v>
      </c>
      <c r="S7447">
        <v>36</v>
      </c>
      <c r="T7447" s="43" t="str">
        <f t="shared" si="325"/>
        <v>2020.095B.R.Leviviricetes.zip</v>
      </c>
      <c r="U7447" s="43" t="str">
        <f>HYPERLINK("https://ictv.global/taxonomy/taxondetails?taxnode_id=202211147","ictv.global=202211147")</f>
        <v>ictv.global=202211147</v>
      </c>
    </row>
    <row r="7448" spans="1:21">
      <c r="A7448">
        <v>7447</v>
      </c>
      <c r="B7448" s="29" t="s">
        <v>3223</v>
      </c>
      <c r="C7448" s="29"/>
      <c r="D7448" s="29" t="s">
        <v>4156</v>
      </c>
      <c r="E7448" s="29"/>
      <c r="F7448" s="29" t="s">
        <v>4202</v>
      </c>
      <c r="G7448" s="29"/>
      <c r="H7448" s="29" t="s">
        <v>5205</v>
      </c>
      <c r="I7448" s="29"/>
      <c r="J7448" s="29" t="s">
        <v>5908</v>
      </c>
      <c r="K7448" s="29"/>
      <c r="L7448" s="29" t="s">
        <v>5976</v>
      </c>
      <c r="M7448" s="29"/>
      <c r="N7448" s="29" t="s">
        <v>6129</v>
      </c>
      <c r="O7448" s="29"/>
      <c r="P7448" s="29" t="s">
        <v>6186</v>
      </c>
      <c r="Q7448" t="s">
        <v>2040</v>
      </c>
      <c r="R7448" t="s">
        <v>2632</v>
      </c>
      <c r="S7448">
        <v>36</v>
      </c>
      <c r="T7448" s="43" t="str">
        <f t="shared" si="325"/>
        <v>2020.095B.R.Leviviricetes.zip</v>
      </c>
      <c r="U7448" s="43" t="str">
        <f>HYPERLINK("https://ictv.global/taxonomy/taxondetails?taxnode_id=202211146","ictv.global=202211146")</f>
        <v>ictv.global=202211146</v>
      </c>
    </row>
    <row r="7449" spans="1:21">
      <c r="A7449">
        <v>7448</v>
      </c>
      <c r="B7449" s="29" t="s">
        <v>3223</v>
      </c>
      <c r="C7449" s="29"/>
      <c r="D7449" s="29" t="s">
        <v>4156</v>
      </c>
      <c r="E7449" s="29"/>
      <c r="F7449" s="29" t="s">
        <v>4202</v>
      </c>
      <c r="G7449" s="29"/>
      <c r="H7449" s="29" t="s">
        <v>5205</v>
      </c>
      <c r="I7449" s="29"/>
      <c r="J7449" s="29" t="s">
        <v>5908</v>
      </c>
      <c r="K7449" s="29"/>
      <c r="L7449" s="29" t="s">
        <v>5976</v>
      </c>
      <c r="M7449" s="29"/>
      <c r="N7449" s="29" t="s">
        <v>6129</v>
      </c>
      <c r="O7449" s="29"/>
      <c r="P7449" s="29" t="s">
        <v>6187</v>
      </c>
      <c r="Q7449" t="s">
        <v>2040</v>
      </c>
      <c r="R7449" t="s">
        <v>2632</v>
      </c>
      <c r="S7449">
        <v>36</v>
      </c>
      <c r="T7449" s="43" t="str">
        <f t="shared" si="325"/>
        <v>2020.095B.R.Leviviricetes.zip</v>
      </c>
      <c r="U7449" s="43" t="str">
        <f>HYPERLINK("https://ictv.global/taxonomy/taxondetails?taxnode_id=202211148","ictv.global=202211148")</f>
        <v>ictv.global=202211148</v>
      </c>
    </row>
    <row r="7450" spans="1:21">
      <c r="A7450">
        <v>7449</v>
      </c>
      <c r="B7450" s="29" t="s">
        <v>3223</v>
      </c>
      <c r="C7450" s="29"/>
      <c r="D7450" s="29" t="s">
        <v>4156</v>
      </c>
      <c r="E7450" s="29"/>
      <c r="F7450" s="29" t="s">
        <v>4202</v>
      </c>
      <c r="G7450" s="29"/>
      <c r="H7450" s="29" t="s">
        <v>5205</v>
      </c>
      <c r="I7450" s="29"/>
      <c r="J7450" s="29" t="s">
        <v>5908</v>
      </c>
      <c r="K7450" s="29"/>
      <c r="L7450" s="29" t="s">
        <v>5976</v>
      </c>
      <c r="M7450" s="29"/>
      <c r="N7450" s="29" t="s">
        <v>6129</v>
      </c>
      <c r="O7450" s="29"/>
      <c r="P7450" s="29" t="s">
        <v>6188</v>
      </c>
      <c r="Q7450" t="s">
        <v>2040</v>
      </c>
      <c r="R7450" t="s">
        <v>2632</v>
      </c>
      <c r="S7450">
        <v>36</v>
      </c>
      <c r="T7450" s="43" t="str">
        <f t="shared" si="325"/>
        <v>2020.095B.R.Leviviricetes.zip</v>
      </c>
      <c r="U7450" s="43" t="str">
        <f>HYPERLINK("https://ictv.global/taxonomy/taxondetails?taxnode_id=202211149","ictv.global=202211149")</f>
        <v>ictv.global=202211149</v>
      </c>
    </row>
    <row r="7451" spans="1:21">
      <c r="A7451">
        <v>7450</v>
      </c>
      <c r="B7451" s="29" t="s">
        <v>3223</v>
      </c>
      <c r="C7451" s="29"/>
      <c r="D7451" s="29" t="s">
        <v>4156</v>
      </c>
      <c r="E7451" s="29"/>
      <c r="F7451" s="29" t="s">
        <v>4202</v>
      </c>
      <c r="G7451" s="29"/>
      <c r="H7451" s="29" t="s">
        <v>5205</v>
      </c>
      <c r="I7451" s="29"/>
      <c r="J7451" s="29" t="s">
        <v>5908</v>
      </c>
      <c r="K7451" s="29"/>
      <c r="L7451" s="29" t="s">
        <v>5976</v>
      </c>
      <c r="M7451" s="29"/>
      <c r="N7451" s="29" t="s">
        <v>6129</v>
      </c>
      <c r="O7451" s="29"/>
      <c r="P7451" s="29" t="s">
        <v>6189</v>
      </c>
      <c r="Q7451" t="s">
        <v>2040</v>
      </c>
      <c r="R7451" t="s">
        <v>2632</v>
      </c>
      <c r="S7451">
        <v>36</v>
      </c>
      <c r="T7451" s="43" t="str">
        <f t="shared" si="325"/>
        <v>2020.095B.R.Leviviricetes.zip</v>
      </c>
      <c r="U7451" s="43" t="str">
        <f>HYPERLINK("https://ictv.global/taxonomy/taxondetails?taxnode_id=202211150","ictv.global=202211150")</f>
        <v>ictv.global=202211150</v>
      </c>
    </row>
    <row r="7452" spans="1:21">
      <c r="A7452">
        <v>7451</v>
      </c>
      <c r="B7452" s="29" t="s">
        <v>3223</v>
      </c>
      <c r="C7452" s="29"/>
      <c r="D7452" s="29" t="s">
        <v>4156</v>
      </c>
      <c r="E7452" s="29"/>
      <c r="F7452" s="29" t="s">
        <v>4202</v>
      </c>
      <c r="G7452" s="29"/>
      <c r="H7452" s="29" t="s">
        <v>5205</v>
      </c>
      <c r="I7452" s="29"/>
      <c r="J7452" s="29" t="s">
        <v>5908</v>
      </c>
      <c r="K7452" s="29"/>
      <c r="L7452" s="29" t="s">
        <v>5976</v>
      </c>
      <c r="M7452" s="29"/>
      <c r="N7452" s="29" t="s">
        <v>6129</v>
      </c>
      <c r="O7452" s="29"/>
      <c r="P7452" s="29" t="s">
        <v>6190</v>
      </c>
      <c r="Q7452" t="s">
        <v>2040</v>
      </c>
      <c r="R7452" t="s">
        <v>2632</v>
      </c>
      <c r="S7452">
        <v>36</v>
      </c>
      <c r="T7452" s="43" t="str">
        <f t="shared" si="325"/>
        <v>2020.095B.R.Leviviricetes.zip</v>
      </c>
      <c r="U7452" s="43" t="str">
        <f>HYPERLINK("https://ictv.global/taxonomy/taxondetails?taxnode_id=202211135","ictv.global=202211135")</f>
        <v>ictv.global=202211135</v>
      </c>
    </row>
    <row r="7453" spans="1:21">
      <c r="A7453">
        <v>7452</v>
      </c>
      <c r="B7453" s="29" t="s">
        <v>3223</v>
      </c>
      <c r="C7453" s="29"/>
      <c r="D7453" s="29" t="s">
        <v>4156</v>
      </c>
      <c r="E7453" s="29"/>
      <c r="F7453" s="29" t="s">
        <v>4202</v>
      </c>
      <c r="G7453" s="29"/>
      <c r="H7453" s="29" t="s">
        <v>5205</v>
      </c>
      <c r="I7453" s="29"/>
      <c r="J7453" s="29" t="s">
        <v>5908</v>
      </c>
      <c r="K7453" s="29"/>
      <c r="L7453" s="29" t="s">
        <v>5976</v>
      </c>
      <c r="M7453" s="29"/>
      <c r="N7453" s="29" t="s">
        <v>6129</v>
      </c>
      <c r="O7453" s="29"/>
      <c r="P7453" s="29" t="s">
        <v>6191</v>
      </c>
      <c r="Q7453" t="s">
        <v>2040</v>
      </c>
      <c r="R7453" t="s">
        <v>2632</v>
      </c>
      <c r="S7453">
        <v>36</v>
      </c>
      <c r="T7453" s="43" t="str">
        <f t="shared" si="325"/>
        <v>2020.095B.R.Leviviricetes.zip</v>
      </c>
      <c r="U7453" s="43" t="str">
        <f>HYPERLINK("https://ictv.global/taxonomy/taxondetails?taxnode_id=202211134","ictv.global=202211134")</f>
        <v>ictv.global=202211134</v>
      </c>
    </row>
    <row r="7454" spans="1:21">
      <c r="A7454">
        <v>7453</v>
      </c>
      <c r="B7454" s="29" t="s">
        <v>3223</v>
      </c>
      <c r="C7454" s="29"/>
      <c r="D7454" s="29" t="s">
        <v>4156</v>
      </c>
      <c r="E7454" s="29"/>
      <c r="F7454" s="29" t="s">
        <v>4202</v>
      </c>
      <c r="G7454" s="29"/>
      <c r="H7454" s="29" t="s">
        <v>5205</v>
      </c>
      <c r="I7454" s="29"/>
      <c r="J7454" s="29" t="s">
        <v>5908</v>
      </c>
      <c r="K7454" s="29"/>
      <c r="L7454" s="29" t="s">
        <v>5976</v>
      </c>
      <c r="M7454" s="29"/>
      <c r="N7454" s="29" t="s">
        <v>6129</v>
      </c>
      <c r="O7454" s="29"/>
      <c r="P7454" s="29" t="s">
        <v>6192</v>
      </c>
      <c r="Q7454" t="s">
        <v>2040</v>
      </c>
      <c r="R7454" t="s">
        <v>2632</v>
      </c>
      <c r="S7454">
        <v>36</v>
      </c>
      <c r="T7454" s="43" t="str">
        <f t="shared" si="325"/>
        <v>2020.095B.R.Leviviricetes.zip</v>
      </c>
      <c r="U7454" s="43" t="str">
        <f>HYPERLINK("https://ictv.global/taxonomy/taxondetails?taxnode_id=202211136","ictv.global=202211136")</f>
        <v>ictv.global=202211136</v>
      </c>
    </row>
    <row r="7455" spans="1:21">
      <c r="A7455">
        <v>7454</v>
      </c>
      <c r="B7455" s="29" t="s">
        <v>3223</v>
      </c>
      <c r="C7455" s="29"/>
      <c r="D7455" s="29" t="s">
        <v>4156</v>
      </c>
      <c r="E7455" s="29"/>
      <c r="F7455" s="29" t="s">
        <v>4202</v>
      </c>
      <c r="G7455" s="29"/>
      <c r="H7455" s="29" t="s">
        <v>5205</v>
      </c>
      <c r="I7455" s="29"/>
      <c r="J7455" s="29" t="s">
        <v>5908</v>
      </c>
      <c r="K7455" s="29"/>
      <c r="L7455" s="29" t="s">
        <v>5976</v>
      </c>
      <c r="M7455" s="29"/>
      <c r="N7455" s="29" t="s">
        <v>6129</v>
      </c>
      <c r="O7455" s="29"/>
      <c r="P7455" s="29" t="s">
        <v>6193</v>
      </c>
      <c r="Q7455" t="s">
        <v>2040</v>
      </c>
      <c r="R7455" t="s">
        <v>2632</v>
      </c>
      <c r="S7455">
        <v>36</v>
      </c>
      <c r="T7455" s="43" t="str">
        <f t="shared" si="325"/>
        <v>2020.095B.R.Leviviricetes.zip</v>
      </c>
      <c r="U7455" s="43" t="str">
        <f>HYPERLINK("https://ictv.global/taxonomy/taxondetails?taxnode_id=202211137","ictv.global=202211137")</f>
        <v>ictv.global=202211137</v>
      </c>
    </row>
    <row r="7456" spans="1:21">
      <c r="A7456">
        <v>7455</v>
      </c>
      <c r="B7456" s="29" t="s">
        <v>3223</v>
      </c>
      <c r="C7456" s="29"/>
      <c r="D7456" s="29" t="s">
        <v>4156</v>
      </c>
      <c r="E7456" s="29"/>
      <c r="F7456" s="29" t="s">
        <v>4202</v>
      </c>
      <c r="G7456" s="29"/>
      <c r="H7456" s="29" t="s">
        <v>5205</v>
      </c>
      <c r="I7456" s="29"/>
      <c r="J7456" s="29" t="s">
        <v>5908</v>
      </c>
      <c r="K7456" s="29"/>
      <c r="L7456" s="29" t="s">
        <v>5976</v>
      </c>
      <c r="M7456" s="29"/>
      <c r="N7456" s="29" t="s">
        <v>6129</v>
      </c>
      <c r="O7456" s="29"/>
      <c r="P7456" s="29" t="s">
        <v>6194</v>
      </c>
      <c r="Q7456" t="s">
        <v>2040</v>
      </c>
      <c r="R7456" t="s">
        <v>2632</v>
      </c>
      <c r="S7456">
        <v>36</v>
      </c>
      <c r="T7456" s="43" t="str">
        <f t="shared" si="325"/>
        <v>2020.095B.R.Leviviricetes.zip</v>
      </c>
      <c r="U7456" s="43" t="str">
        <f>HYPERLINK("https://ictv.global/taxonomy/taxondetails?taxnode_id=202211138","ictv.global=202211138")</f>
        <v>ictv.global=202211138</v>
      </c>
    </row>
    <row r="7457" spans="1:21">
      <c r="A7457">
        <v>7456</v>
      </c>
      <c r="B7457" s="29" t="s">
        <v>3223</v>
      </c>
      <c r="C7457" s="29"/>
      <c r="D7457" s="29" t="s">
        <v>4156</v>
      </c>
      <c r="E7457" s="29"/>
      <c r="F7457" s="29" t="s">
        <v>4202</v>
      </c>
      <c r="G7457" s="29"/>
      <c r="H7457" s="29" t="s">
        <v>5205</v>
      </c>
      <c r="I7457" s="29"/>
      <c r="J7457" s="29" t="s">
        <v>5908</v>
      </c>
      <c r="K7457" s="29"/>
      <c r="L7457" s="29" t="s">
        <v>5976</v>
      </c>
      <c r="M7457" s="29"/>
      <c r="N7457" s="29" t="s">
        <v>6129</v>
      </c>
      <c r="O7457" s="29"/>
      <c r="P7457" s="29" t="s">
        <v>6195</v>
      </c>
      <c r="Q7457" t="s">
        <v>2040</v>
      </c>
      <c r="R7457" t="s">
        <v>2632</v>
      </c>
      <c r="S7457">
        <v>36</v>
      </c>
      <c r="T7457" s="43" t="str">
        <f t="shared" si="325"/>
        <v>2020.095B.R.Leviviricetes.zip</v>
      </c>
      <c r="U7457" s="43" t="str">
        <f>HYPERLINK("https://ictv.global/taxonomy/taxondetails?taxnode_id=202211139","ictv.global=202211139")</f>
        <v>ictv.global=202211139</v>
      </c>
    </row>
    <row r="7458" spans="1:21">
      <c r="A7458">
        <v>7457</v>
      </c>
      <c r="B7458" s="29" t="s">
        <v>3223</v>
      </c>
      <c r="C7458" s="29"/>
      <c r="D7458" s="29" t="s">
        <v>4156</v>
      </c>
      <c r="E7458" s="29"/>
      <c r="F7458" s="29" t="s">
        <v>4202</v>
      </c>
      <c r="G7458" s="29"/>
      <c r="H7458" s="29" t="s">
        <v>5205</v>
      </c>
      <c r="I7458" s="29"/>
      <c r="J7458" s="29" t="s">
        <v>5908</v>
      </c>
      <c r="K7458" s="29"/>
      <c r="L7458" s="29" t="s">
        <v>5976</v>
      </c>
      <c r="M7458" s="29"/>
      <c r="N7458" s="29" t="s">
        <v>6129</v>
      </c>
      <c r="O7458" s="29"/>
      <c r="P7458" s="29" t="s">
        <v>6196</v>
      </c>
      <c r="Q7458" t="s">
        <v>2040</v>
      </c>
      <c r="R7458" t="s">
        <v>2632</v>
      </c>
      <c r="S7458">
        <v>36</v>
      </c>
      <c r="T7458" s="43" t="str">
        <f t="shared" si="325"/>
        <v>2020.095B.R.Leviviricetes.zip</v>
      </c>
      <c r="U7458" s="43" t="str">
        <f>HYPERLINK("https://ictv.global/taxonomy/taxondetails?taxnode_id=202211141","ictv.global=202211141")</f>
        <v>ictv.global=202211141</v>
      </c>
    </row>
    <row r="7459" spans="1:21">
      <c r="A7459">
        <v>7458</v>
      </c>
      <c r="B7459" s="29" t="s">
        <v>3223</v>
      </c>
      <c r="C7459" s="29"/>
      <c r="D7459" s="29" t="s">
        <v>4156</v>
      </c>
      <c r="E7459" s="29"/>
      <c r="F7459" s="29" t="s">
        <v>4202</v>
      </c>
      <c r="G7459" s="29"/>
      <c r="H7459" s="29" t="s">
        <v>5205</v>
      </c>
      <c r="I7459" s="29"/>
      <c r="J7459" s="29" t="s">
        <v>5908</v>
      </c>
      <c r="K7459" s="29"/>
      <c r="L7459" s="29" t="s">
        <v>5976</v>
      </c>
      <c r="M7459" s="29"/>
      <c r="N7459" s="29" t="s">
        <v>6129</v>
      </c>
      <c r="O7459" s="29"/>
      <c r="P7459" s="29" t="s">
        <v>6197</v>
      </c>
      <c r="Q7459" t="s">
        <v>2040</v>
      </c>
      <c r="R7459" t="s">
        <v>2632</v>
      </c>
      <c r="S7459">
        <v>36</v>
      </c>
      <c r="T7459" s="43" t="str">
        <f t="shared" si="325"/>
        <v>2020.095B.R.Leviviricetes.zip</v>
      </c>
      <c r="U7459" s="43" t="str">
        <f>HYPERLINK("https://ictv.global/taxonomy/taxondetails?taxnode_id=202211140","ictv.global=202211140")</f>
        <v>ictv.global=202211140</v>
      </c>
    </row>
    <row r="7460" spans="1:21">
      <c r="A7460">
        <v>7459</v>
      </c>
      <c r="B7460" s="29" t="s">
        <v>3223</v>
      </c>
      <c r="C7460" s="29"/>
      <c r="D7460" s="29" t="s">
        <v>4156</v>
      </c>
      <c r="E7460" s="29"/>
      <c r="F7460" s="29" t="s">
        <v>4202</v>
      </c>
      <c r="G7460" s="29"/>
      <c r="H7460" s="29" t="s">
        <v>5205</v>
      </c>
      <c r="I7460" s="29"/>
      <c r="J7460" s="29" t="s">
        <v>5908</v>
      </c>
      <c r="K7460" s="29"/>
      <c r="L7460" s="29" t="s">
        <v>5976</v>
      </c>
      <c r="M7460" s="29"/>
      <c r="N7460" s="29" t="s">
        <v>6129</v>
      </c>
      <c r="O7460" s="29"/>
      <c r="P7460" s="29" t="s">
        <v>6198</v>
      </c>
      <c r="Q7460" t="s">
        <v>2040</v>
      </c>
      <c r="R7460" t="s">
        <v>2632</v>
      </c>
      <c r="S7460">
        <v>36</v>
      </c>
      <c r="T7460" s="43" t="str">
        <f t="shared" si="325"/>
        <v>2020.095B.R.Leviviricetes.zip</v>
      </c>
      <c r="U7460" s="43" t="str">
        <f>HYPERLINK("https://ictv.global/taxonomy/taxondetails?taxnode_id=202211142","ictv.global=202211142")</f>
        <v>ictv.global=202211142</v>
      </c>
    </row>
    <row r="7461" spans="1:21">
      <c r="A7461">
        <v>7460</v>
      </c>
      <c r="B7461" s="29" t="s">
        <v>3223</v>
      </c>
      <c r="C7461" s="29"/>
      <c r="D7461" s="29" t="s">
        <v>4156</v>
      </c>
      <c r="E7461" s="29"/>
      <c r="F7461" s="29" t="s">
        <v>4202</v>
      </c>
      <c r="G7461" s="29"/>
      <c r="H7461" s="29" t="s">
        <v>5205</v>
      </c>
      <c r="I7461" s="29"/>
      <c r="J7461" s="29" t="s">
        <v>5908</v>
      </c>
      <c r="K7461" s="29"/>
      <c r="L7461" s="29" t="s">
        <v>5976</v>
      </c>
      <c r="M7461" s="29"/>
      <c r="N7461" s="29" t="s">
        <v>6129</v>
      </c>
      <c r="O7461" s="29"/>
      <c r="P7461" s="29" t="s">
        <v>6199</v>
      </c>
      <c r="Q7461" t="s">
        <v>2040</v>
      </c>
      <c r="R7461" t="s">
        <v>2632</v>
      </c>
      <c r="S7461">
        <v>36</v>
      </c>
      <c r="T7461" s="43" t="str">
        <f t="shared" si="325"/>
        <v>2020.095B.R.Leviviricetes.zip</v>
      </c>
      <c r="U7461" s="43" t="str">
        <f>HYPERLINK("https://ictv.global/taxonomy/taxondetails?taxnode_id=202211143","ictv.global=202211143")</f>
        <v>ictv.global=202211143</v>
      </c>
    </row>
    <row r="7462" spans="1:21">
      <c r="A7462">
        <v>7461</v>
      </c>
      <c r="B7462" s="29" t="s">
        <v>3223</v>
      </c>
      <c r="C7462" s="29"/>
      <c r="D7462" s="29" t="s">
        <v>4156</v>
      </c>
      <c r="E7462" s="29"/>
      <c r="F7462" s="29" t="s">
        <v>4202</v>
      </c>
      <c r="G7462" s="29"/>
      <c r="H7462" s="29" t="s">
        <v>5205</v>
      </c>
      <c r="I7462" s="29"/>
      <c r="J7462" s="29" t="s">
        <v>5908</v>
      </c>
      <c r="K7462" s="29"/>
      <c r="L7462" s="29" t="s">
        <v>5976</v>
      </c>
      <c r="M7462" s="29"/>
      <c r="N7462" s="29" t="s">
        <v>6129</v>
      </c>
      <c r="O7462" s="29"/>
      <c r="P7462" s="29" t="s">
        <v>6200</v>
      </c>
      <c r="Q7462" t="s">
        <v>2040</v>
      </c>
      <c r="R7462" t="s">
        <v>2632</v>
      </c>
      <c r="S7462">
        <v>36</v>
      </c>
      <c r="T7462" s="43" t="str">
        <f t="shared" si="325"/>
        <v>2020.095B.R.Leviviricetes.zip</v>
      </c>
      <c r="U7462" s="43" t="str">
        <f>HYPERLINK("https://ictv.global/taxonomy/taxondetails?taxnode_id=202211144","ictv.global=202211144")</f>
        <v>ictv.global=202211144</v>
      </c>
    </row>
    <row r="7463" spans="1:21">
      <c r="A7463">
        <v>7462</v>
      </c>
      <c r="B7463" s="29" t="s">
        <v>3223</v>
      </c>
      <c r="C7463" s="29"/>
      <c r="D7463" s="29" t="s">
        <v>4156</v>
      </c>
      <c r="E7463" s="29"/>
      <c r="F7463" s="29" t="s">
        <v>4202</v>
      </c>
      <c r="G7463" s="29"/>
      <c r="H7463" s="29" t="s">
        <v>5205</v>
      </c>
      <c r="I7463" s="29"/>
      <c r="J7463" s="29" t="s">
        <v>5908</v>
      </c>
      <c r="K7463" s="29"/>
      <c r="L7463" s="29" t="s">
        <v>5976</v>
      </c>
      <c r="M7463" s="29"/>
      <c r="N7463" s="29" t="s">
        <v>6129</v>
      </c>
      <c r="O7463" s="29"/>
      <c r="P7463" s="29" t="s">
        <v>6907</v>
      </c>
      <c r="Q7463" t="s">
        <v>2040</v>
      </c>
      <c r="R7463" t="s">
        <v>2632</v>
      </c>
      <c r="S7463">
        <v>36</v>
      </c>
      <c r="T7463" s="43" t="str">
        <f t="shared" si="325"/>
        <v>2020.095B.R.Leviviricetes.zip</v>
      </c>
      <c r="U7463" s="43" t="str">
        <f>HYPERLINK("https://ictv.global/taxonomy/taxondetails?taxnode_id=202211133","ictv.global=202211133")</f>
        <v>ictv.global=202211133</v>
      </c>
    </row>
    <row r="7464" spans="1:21">
      <c r="A7464">
        <v>7463</v>
      </c>
      <c r="B7464" s="29" t="s">
        <v>3223</v>
      </c>
      <c r="C7464" s="29"/>
      <c r="D7464" s="29" t="s">
        <v>4156</v>
      </c>
      <c r="E7464" s="29"/>
      <c r="F7464" s="29" t="s">
        <v>4202</v>
      </c>
      <c r="G7464" s="29"/>
      <c r="H7464" s="29" t="s">
        <v>5205</v>
      </c>
      <c r="I7464" s="29"/>
      <c r="J7464" s="29" t="s">
        <v>5908</v>
      </c>
      <c r="K7464" s="29"/>
      <c r="L7464" s="29" t="s">
        <v>5976</v>
      </c>
      <c r="M7464" s="29"/>
      <c r="N7464" s="29" t="s">
        <v>6129</v>
      </c>
      <c r="O7464" s="29"/>
      <c r="P7464" s="29" t="s">
        <v>6201</v>
      </c>
      <c r="Q7464" t="s">
        <v>2040</v>
      </c>
      <c r="R7464" t="s">
        <v>2632</v>
      </c>
      <c r="S7464">
        <v>36</v>
      </c>
      <c r="T7464" s="43" t="str">
        <f t="shared" si="325"/>
        <v>2020.095B.R.Leviviricetes.zip</v>
      </c>
      <c r="U7464" s="43" t="str">
        <f>HYPERLINK("https://ictv.global/taxonomy/taxondetails?taxnode_id=202211174","ictv.global=202211174")</f>
        <v>ictv.global=202211174</v>
      </c>
    </row>
    <row r="7465" spans="1:21">
      <c r="A7465">
        <v>7464</v>
      </c>
      <c r="B7465" s="29" t="s">
        <v>3223</v>
      </c>
      <c r="C7465" s="29"/>
      <c r="D7465" s="29" t="s">
        <v>4156</v>
      </c>
      <c r="E7465" s="29"/>
      <c r="F7465" s="29" t="s">
        <v>4202</v>
      </c>
      <c r="G7465" s="29"/>
      <c r="H7465" s="29" t="s">
        <v>5205</v>
      </c>
      <c r="I7465" s="29"/>
      <c r="J7465" s="29" t="s">
        <v>5908</v>
      </c>
      <c r="K7465" s="29"/>
      <c r="L7465" s="29" t="s">
        <v>5976</v>
      </c>
      <c r="M7465" s="29"/>
      <c r="N7465" s="29" t="s">
        <v>6129</v>
      </c>
      <c r="O7465" s="29"/>
      <c r="P7465" s="29" t="s">
        <v>6202</v>
      </c>
      <c r="Q7465" t="s">
        <v>2040</v>
      </c>
      <c r="R7465" t="s">
        <v>2632</v>
      </c>
      <c r="S7465">
        <v>36</v>
      </c>
      <c r="T7465" s="43" t="str">
        <f t="shared" si="325"/>
        <v>2020.095B.R.Leviviricetes.zip</v>
      </c>
      <c r="U7465" s="43" t="str">
        <f>HYPERLINK("https://ictv.global/taxonomy/taxondetails?taxnode_id=202211176","ictv.global=202211176")</f>
        <v>ictv.global=202211176</v>
      </c>
    </row>
    <row r="7466" spans="1:21">
      <c r="A7466">
        <v>7465</v>
      </c>
      <c r="B7466" s="29" t="s">
        <v>3223</v>
      </c>
      <c r="C7466" s="29"/>
      <c r="D7466" s="29" t="s">
        <v>4156</v>
      </c>
      <c r="E7466" s="29"/>
      <c r="F7466" s="29" t="s">
        <v>4202</v>
      </c>
      <c r="G7466" s="29"/>
      <c r="H7466" s="29" t="s">
        <v>5205</v>
      </c>
      <c r="I7466" s="29"/>
      <c r="J7466" s="29" t="s">
        <v>5908</v>
      </c>
      <c r="K7466" s="29"/>
      <c r="L7466" s="29" t="s">
        <v>5976</v>
      </c>
      <c r="M7466" s="29"/>
      <c r="N7466" s="29" t="s">
        <v>6129</v>
      </c>
      <c r="O7466" s="29"/>
      <c r="P7466" s="29" t="s">
        <v>6203</v>
      </c>
      <c r="Q7466" t="s">
        <v>2040</v>
      </c>
      <c r="R7466" t="s">
        <v>2632</v>
      </c>
      <c r="S7466">
        <v>36</v>
      </c>
      <c r="T7466" s="43" t="str">
        <f t="shared" si="325"/>
        <v>2020.095B.R.Leviviricetes.zip</v>
      </c>
      <c r="U7466" s="43" t="str">
        <f>HYPERLINK("https://ictv.global/taxonomy/taxondetails?taxnode_id=202211175","ictv.global=202211175")</f>
        <v>ictv.global=202211175</v>
      </c>
    </row>
    <row r="7467" spans="1:21">
      <c r="A7467">
        <v>7466</v>
      </c>
      <c r="B7467" s="29" t="s">
        <v>3223</v>
      </c>
      <c r="C7467" s="29"/>
      <c r="D7467" s="29" t="s">
        <v>4156</v>
      </c>
      <c r="E7467" s="29"/>
      <c r="F7467" s="29" t="s">
        <v>4202</v>
      </c>
      <c r="G7467" s="29"/>
      <c r="H7467" s="29" t="s">
        <v>5205</v>
      </c>
      <c r="I7467" s="29"/>
      <c r="J7467" s="29" t="s">
        <v>5908</v>
      </c>
      <c r="K7467" s="29"/>
      <c r="L7467" s="29" t="s">
        <v>5976</v>
      </c>
      <c r="M7467" s="29"/>
      <c r="N7467" s="29" t="s">
        <v>6129</v>
      </c>
      <c r="O7467" s="29"/>
      <c r="P7467" s="29" t="s">
        <v>6204</v>
      </c>
      <c r="Q7467" t="s">
        <v>2040</v>
      </c>
      <c r="R7467" t="s">
        <v>2632</v>
      </c>
      <c r="S7467">
        <v>36</v>
      </c>
      <c r="T7467" s="43" t="str">
        <f t="shared" si="325"/>
        <v>2020.095B.R.Leviviricetes.zip</v>
      </c>
      <c r="U7467" s="43" t="str">
        <f>HYPERLINK("https://ictv.global/taxonomy/taxondetails?taxnode_id=202211177","ictv.global=202211177")</f>
        <v>ictv.global=202211177</v>
      </c>
    </row>
    <row r="7468" spans="1:21">
      <c r="A7468">
        <v>7467</v>
      </c>
      <c r="B7468" s="29" t="s">
        <v>3223</v>
      </c>
      <c r="C7468" s="29"/>
      <c r="D7468" s="29" t="s">
        <v>4156</v>
      </c>
      <c r="E7468" s="29"/>
      <c r="F7468" s="29" t="s">
        <v>4202</v>
      </c>
      <c r="G7468" s="29"/>
      <c r="H7468" s="29" t="s">
        <v>5205</v>
      </c>
      <c r="I7468" s="29"/>
      <c r="J7468" s="29" t="s">
        <v>5908</v>
      </c>
      <c r="K7468" s="29"/>
      <c r="L7468" s="29" t="s">
        <v>5976</v>
      </c>
      <c r="M7468" s="29"/>
      <c r="N7468" s="29" t="s">
        <v>6129</v>
      </c>
      <c r="O7468" s="29"/>
      <c r="P7468" s="29" t="s">
        <v>6205</v>
      </c>
      <c r="Q7468" t="s">
        <v>2040</v>
      </c>
      <c r="R7468" t="s">
        <v>2632</v>
      </c>
      <c r="S7468">
        <v>36</v>
      </c>
      <c r="T7468" s="43" t="str">
        <f t="shared" si="325"/>
        <v>2020.095B.R.Leviviricetes.zip</v>
      </c>
      <c r="U7468" s="43" t="str">
        <f>HYPERLINK("https://ictv.global/taxonomy/taxondetails?taxnode_id=202211178","ictv.global=202211178")</f>
        <v>ictv.global=202211178</v>
      </c>
    </row>
    <row r="7469" spans="1:21">
      <c r="A7469">
        <v>7468</v>
      </c>
      <c r="B7469" s="29" t="s">
        <v>3223</v>
      </c>
      <c r="C7469" s="29"/>
      <c r="D7469" s="29" t="s">
        <v>4156</v>
      </c>
      <c r="E7469" s="29"/>
      <c r="F7469" s="29" t="s">
        <v>4202</v>
      </c>
      <c r="G7469" s="29"/>
      <c r="H7469" s="29" t="s">
        <v>5205</v>
      </c>
      <c r="I7469" s="29"/>
      <c r="J7469" s="29" t="s">
        <v>5908</v>
      </c>
      <c r="K7469" s="29"/>
      <c r="L7469" s="29" t="s">
        <v>5976</v>
      </c>
      <c r="M7469" s="29"/>
      <c r="N7469" s="29" t="s">
        <v>6129</v>
      </c>
      <c r="O7469" s="29"/>
      <c r="P7469" s="29" t="s">
        <v>6206</v>
      </c>
      <c r="Q7469" t="s">
        <v>2040</v>
      </c>
      <c r="R7469" t="s">
        <v>2632</v>
      </c>
      <c r="S7469">
        <v>36</v>
      </c>
      <c r="T7469" s="43" t="str">
        <f t="shared" ref="T7469:T7532" si="326">HYPERLINK("https://ictv.global/ictv/proposals/2020.095B.R.Leviviricetes.zip","2020.095B.R.Leviviricetes.zip")</f>
        <v>2020.095B.R.Leviviricetes.zip</v>
      </c>
      <c r="U7469" s="43" t="str">
        <f>HYPERLINK("https://ictv.global/taxonomy/taxondetails?taxnode_id=202211179","ictv.global=202211179")</f>
        <v>ictv.global=202211179</v>
      </c>
    </row>
    <row r="7470" spans="1:21">
      <c r="A7470">
        <v>7469</v>
      </c>
      <c r="B7470" s="29" t="s">
        <v>3223</v>
      </c>
      <c r="C7470" s="29"/>
      <c r="D7470" s="29" t="s">
        <v>4156</v>
      </c>
      <c r="E7470" s="29"/>
      <c r="F7470" s="29" t="s">
        <v>4202</v>
      </c>
      <c r="G7470" s="29"/>
      <c r="H7470" s="29" t="s">
        <v>5205</v>
      </c>
      <c r="I7470" s="29"/>
      <c r="J7470" s="29" t="s">
        <v>5908</v>
      </c>
      <c r="K7470" s="29"/>
      <c r="L7470" s="29" t="s">
        <v>5976</v>
      </c>
      <c r="M7470" s="29"/>
      <c r="N7470" s="29" t="s">
        <v>6129</v>
      </c>
      <c r="O7470" s="29"/>
      <c r="P7470" s="29" t="s">
        <v>6207</v>
      </c>
      <c r="Q7470" t="s">
        <v>2040</v>
      </c>
      <c r="R7470" t="s">
        <v>2632</v>
      </c>
      <c r="S7470">
        <v>36</v>
      </c>
      <c r="T7470" s="43" t="str">
        <f t="shared" si="326"/>
        <v>2020.095B.R.Leviviricetes.zip</v>
      </c>
      <c r="U7470" s="43" t="str">
        <f>HYPERLINK("https://ictv.global/taxonomy/taxondetails?taxnode_id=202211180","ictv.global=202211180")</f>
        <v>ictv.global=202211180</v>
      </c>
    </row>
    <row r="7471" spans="1:21">
      <c r="A7471">
        <v>7470</v>
      </c>
      <c r="B7471" s="29" t="s">
        <v>3223</v>
      </c>
      <c r="C7471" s="29"/>
      <c r="D7471" s="29" t="s">
        <v>4156</v>
      </c>
      <c r="E7471" s="29"/>
      <c r="F7471" s="29" t="s">
        <v>4202</v>
      </c>
      <c r="G7471" s="29"/>
      <c r="H7471" s="29" t="s">
        <v>5205</v>
      </c>
      <c r="I7471" s="29"/>
      <c r="J7471" s="29" t="s">
        <v>5908</v>
      </c>
      <c r="K7471" s="29"/>
      <c r="L7471" s="29" t="s">
        <v>5976</v>
      </c>
      <c r="M7471" s="29"/>
      <c r="N7471" s="29" t="s">
        <v>6129</v>
      </c>
      <c r="O7471" s="29"/>
      <c r="P7471" s="29" t="s">
        <v>6208</v>
      </c>
      <c r="Q7471" t="s">
        <v>2040</v>
      </c>
      <c r="R7471" t="s">
        <v>2632</v>
      </c>
      <c r="S7471">
        <v>36</v>
      </c>
      <c r="T7471" s="43" t="str">
        <f t="shared" si="326"/>
        <v>2020.095B.R.Leviviricetes.zip</v>
      </c>
      <c r="U7471" s="43" t="str">
        <f>HYPERLINK("https://ictv.global/taxonomy/taxondetails?taxnode_id=202211182","ictv.global=202211182")</f>
        <v>ictv.global=202211182</v>
      </c>
    </row>
    <row r="7472" spans="1:21">
      <c r="A7472">
        <v>7471</v>
      </c>
      <c r="B7472" s="29" t="s">
        <v>3223</v>
      </c>
      <c r="C7472" s="29"/>
      <c r="D7472" s="29" t="s">
        <v>4156</v>
      </c>
      <c r="E7472" s="29"/>
      <c r="F7472" s="29" t="s">
        <v>4202</v>
      </c>
      <c r="G7472" s="29"/>
      <c r="H7472" s="29" t="s">
        <v>5205</v>
      </c>
      <c r="I7472" s="29"/>
      <c r="J7472" s="29" t="s">
        <v>5908</v>
      </c>
      <c r="K7472" s="29"/>
      <c r="L7472" s="29" t="s">
        <v>5976</v>
      </c>
      <c r="M7472" s="29"/>
      <c r="N7472" s="29" t="s">
        <v>6129</v>
      </c>
      <c r="O7472" s="29"/>
      <c r="P7472" s="29" t="s">
        <v>6209</v>
      </c>
      <c r="Q7472" t="s">
        <v>2040</v>
      </c>
      <c r="R7472" t="s">
        <v>2632</v>
      </c>
      <c r="S7472">
        <v>36</v>
      </c>
      <c r="T7472" s="43" t="str">
        <f t="shared" si="326"/>
        <v>2020.095B.R.Leviviricetes.zip</v>
      </c>
      <c r="U7472" s="43" t="str">
        <f>HYPERLINK("https://ictv.global/taxonomy/taxondetails?taxnode_id=202211181","ictv.global=202211181")</f>
        <v>ictv.global=202211181</v>
      </c>
    </row>
    <row r="7473" spans="1:21">
      <c r="A7473">
        <v>7472</v>
      </c>
      <c r="B7473" s="29" t="s">
        <v>3223</v>
      </c>
      <c r="C7473" s="29"/>
      <c r="D7473" s="29" t="s">
        <v>4156</v>
      </c>
      <c r="E7473" s="29"/>
      <c r="F7473" s="29" t="s">
        <v>4202</v>
      </c>
      <c r="G7473" s="29"/>
      <c r="H7473" s="29" t="s">
        <v>5205</v>
      </c>
      <c r="I7473" s="29"/>
      <c r="J7473" s="29" t="s">
        <v>5908</v>
      </c>
      <c r="K7473" s="29"/>
      <c r="L7473" s="29" t="s">
        <v>5976</v>
      </c>
      <c r="M7473" s="29"/>
      <c r="N7473" s="29" t="s">
        <v>6129</v>
      </c>
      <c r="O7473" s="29"/>
      <c r="P7473" s="29" t="s">
        <v>6210</v>
      </c>
      <c r="Q7473" t="s">
        <v>2040</v>
      </c>
      <c r="R7473" t="s">
        <v>2632</v>
      </c>
      <c r="S7473">
        <v>36</v>
      </c>
      <c r="T7473" s="43" t="str">
        <f t="shared" si="326"/>
        <v>2020.095B.R.Leviviricetes.zip</v>
      </c>
      <c r="U7473" s="43" t="str">
        <f>HYPERLINK("https://ictv.global/taxonomy/taxondetails?taxnode_id=202211183","ictv.global=202211183")</f>
        <v>ictv.global=202211183</v>
      </c>
    </row>
    <row r="7474" spans="1:21">
      <c r="A7474">
        <v>7473</v>
      </c>
      <c r="B7474" s="29" t="s">
        <v>3223</v>
      </c>
      <c r="C7474" s="29"/>
      <c r="D7474" s="29" t="s">
        <v>4156</v>
      </c>
      <c r="E7474" s="29"/>
      <c r="F7474" s="29" t="s">
        <v>4202</v>
      </c>
      <c r="G7474" s="29"/>
      <c r="H7474" s="29" t="s">
        <v>5205</v>
      </c>
      <c r="I7474" s="29"/>
      <c r="J7474" s="29" t="s">
        <v>5908</v>
      </c>
      <c r="K7474" s="29"/>
      <c r="L7474" s="29" t="s">
        <v>5976</v>
      </c>
      <c r="M7474" s="29"/>
      <c r="N7474" s="29" t="s">
        <v>6129</v>
      </c>
      <c r="O7474" s="29"/>
      <c r="P7474" s="29" t="s">
        <v>6211</v>
      </c>
      <c r="Q7474" t="s">
        <v>2040</v>
      </c>
      <c r="R7474" t="s">
        <v>2632</v>
      </c>
      <c r="S7474">
        <v>36</v>
      </c>
      <c r="T7474" s="43" t="str">
        <f t="shared" si="326"/>
        <v>2020.095B.R.Leviviricetes.zip</v>
      </c>
      <c r="U7474" s="43" t="str">
        <f>HYPERLINK("https://ictv.global/taxonomy/taxondetails?taxnode_id=202211184","ictv.global=202211184")</f>
        <v>ictv.global=202211184</v>
      </c>
    </row>
    <row r="7475" spans="1:21">
      <c r="A7475">
        <v>7474</v>
      </c>
      <c r="B7475" s="29" t="s">
        <v>3223</v>
      </c>
      <c r="C7475" s="29"/>
      <c r="D7475" s="29" t="s">
        <v>4156</v>
      </c>
      <c r="E7475" s="29"/>
      <c r="F7475" s="29" t="s">
        <v>4202</v>
      </c>
      <c r="G7475" s="29"/>
      <c r="H7475" s="29" t="s">
        <v>5205</v>
      </c>
      <c r="I7475" s="29"/>
      <c r="J7475" s="29" t="s">
        <v>5908</v>
      </c>
      <c r="K7475" s="29"/>
      <c r="L7475" s="29" t="s">
        <v>5976</v>
      </c>
      <c r="M7475" s="29"/>
      <c r="N7475" s="29" t="s">
        <v>6129</v>
      </c>
      <c r="O7475" s="29"/>
      <c r="P7475" s="29" t="s">
        <v>6212</v>
      </c>
      <c r="Q7475" t="s">
        <v>2040</v>
      </c>
      <c r="R7475" t="s">
        <v>2632</v>
      </c>
      <c r="S7475">
        <v>36</v>
      </c>
      <c r="T7475" s="43" t="str">
        <f t="shared" si="326"/>
        <v>2020.095B.R.Leviviricetes.zip</v>
      </c>
      <c r="U7475" s="43" t="str">
        <f>HYPERLINK("https://ictv.global/taxonomy/taxondetails?taxnode_id=202211185","ictv.global=202211185")</f>
        <v>ictv.global=202211185</v>
      </c>
    </row>
    <row r="7476" spans="1:21">
      <c r="A7476">
        <v>7475</v>
      </c>
      <c r="B7476" s="29" t="s">
        <v>3223</v>
      </c>
      <c r="C7476" s="29"/>
      <c r="D7476" s="29" t="s">
        <v>4156</v>
      </c>
      <c r="E7476" s="29"/>
      <c r="F7476" s="29" t="s">
        <v>4202</v>
      </c>
      <c r="G7476" s="29"/>
      <c r="H7476" s="29" t="s">
        <v>5205</v>
      </c>
      <c r="I7476" s="29"/>
      <c r="J7476" s="29" t="s">
        <v>5908</v>
      </c>
      <c r="K7476" s="29"/>
      <c r="L7476" s="29" t="s">
        <v>5976</v>
      </c>
      <c r="M7476" s="29"/>
      <c r="N7476" s="29" t="s">
        <v>6129</v>
      </c>
      <c r="O7476" s="29"/>
      <c r="P7476" s="29" t="s">
        <v>6213</v>
      </c>
      <c r="Q7476" t="s">
        <v>2040</v>
      </c>
      <c r="R7476" t="s">
        <v>2632</v>
      </c>
      <c r="S7476">
        <v>36</v>
      </c>
      <c r="T7476" s="43" t="str">
        <f t="shared" si="326"/>
        <v>2020.095B.R.Leviviricetes.zip</v>
      </c>
      <c r="U7476" s="43" t="str">
        <f>HYPERLINK("https://ictv.global/taxonomy/taxondetails?taxnode_id=202211198","ictv.global=202211198")</f>
        <v>ictv.global=202211198</v>
      </c>
    </row>
    <row r="7477" spans="1:21">
      <c r="A7477">
        <v>7476</v>
      </c>
      <c r="B7477" s="29" t="s">
        <v>3223</v>
      </c>
      <c r="C7477" s="29"/>
      <c r="D7477" s="29" t="s">
        <v>4156</v>
      </c>
      <c r="E7477" s="29"/>
      <c r="F7477" s="29" t="s">
        <v>4202</v>
      </c>
      <c r="G7477" s="29"/>
      <c r="H7477" s="29" t="s">
        <v>5205</v>
      </c>
      <c r="I7477" s="29"/>
      <c r="J7477" s="29" t="s">
        <v>5908</v>
      </c>
      <c r="K7477" s="29"/>
      <c r="L7477" s="29" t="s">
        <v>5976</v>
      </c>
      <c r="M7477" s="29"/>
      <c r="N7477" s="29" t="s">
        <v>6129</v>
      </c>
      <c r="O7477" s="29"/>
      <c r="P7477" s="29" t="s">
        <v>6214</v>
      </c>
      <c r="Q7477" t="s">
        <v>2040</v>
      </c>
      <c r="R7477" t="s">
        <v>2632</v>
      </c>
      <c r="S7477">
        <v>36</v>
      </c>
      <c r="T7477" s="43" t="str">
        <f t="shared" si="326"/>
        <v>2020.095B.R.Leviviricetes.zip</v>
      </c>
      <c r="U7477" s="43" t="str">
        <f>HYPERLINK("https://ictv.global/taxonomy/taxondetails?taxnode_id=202211200","ictv.global=202211200")</f>
        <v>ictv.global=202211200</v>
      </c>
    </row>
    <row r="7478" spans="1:21">
      <c r="A7478">
        <v>7477</v>
      </c>
      <c r="B7478" s="29" t="s">
        <v>3223</v>
      </c>
      <c r="C7478" s="29"/>
      <c r="D7478" s="29" t="s">
        <v>4156</v>
      </c>
      <c r="E7478" s="29"/>
      <c r="F7478" s="29" t="s">
        <v>4202</v>
      </c>
      <c r="G7478" s="29"/>
      <c r="H7478" s="29" t="s">
        <v>5205</v>
      </c>
      <c r="I7478" s="29"/>
      <c r="J7478" s="29" t="s">
        <v>5908</v>
      </c>
      <c r="K7478" s="29"/>
      <c r="L7478" s="29" t="s">
        <v>5976</v>
      </c>
      <c r="M7478" s="29"/>
      <c r="N7478" s="29" t="s">
        <v>6129</v>
      </c>
      <c r="O7478" s="29"/>
      <c r="P7478" s="29" t="s">
        <v>6215</v>
      </c>
      <c r="Q7478" t="s">
        <v>2040</v>
      </c>
      <c r="R7478" t="s">
        <v>2632</v>
      </c>
      <c r="S7478">
        <v>36</v>
      </c>
      <c r="T7478" s="43" t="str">
        <f t="shared" si="326"/>
        <v>2020.095B.R.Leviviricetes.zip</v>
      </c>
      <c r="U7478" s="43" t="str">
        <f>HYPERLINK("https://ictv.global/taxonomy/taxondetails?taxnode_id=202211199","ictv.global=202211199")</f>
        <v>ictv.global=202211199</v>
      </c>
    </row>
    <row r="7479" spans="1:21">
      <c r="A7479">
        <v>7478</v>
      </c>
      <c r="B7479" s="29" t="s">
        <v>3223</v>
      </c>
      <c r="C7479" s="29"/>
      <c r="D7479" s="29" t="s">
        <v>4156</v>
      </c>
      <c r="E7479" s="29"/>
      <c r="F7479" s="29" t="s">
        <v>4202</v>
      </c>
      <c r="G7479" s="29"/>
      <c r="H7479" s="29" t="s">
        <v>5205</v>
      </c>
      <c r="I7479" s="29"/>
      <c r="J7479" s="29" t="s">
        <v>5908</v>
      </c>
      <c r="K7479" s="29"/>
      <c r="L7479" s="29" t="s">
        <v>5976</v>
      </c>
      <c r="M7479" s="29"/>
      <c r="N7479" s="29" t="s">
        <v>6129</v>
      </c>
      <c r="O7479" s="29"/>
      <c r="P7479" s="29" t="s">
        <v>6216</v>
      </c>
      <c r="Q7479" t="s">
        <v>2040</v>
      </c>
      <c r="R7479" t="s">
        <v>2632</v>
      </c>
      <c r="S7479">
        <v>36</v>
      </c>
      <c r="T7479" s="43" t="str">
        <f t="shared" si="326"/>
        <v>2020.095B.R.Leviviricetes.zip</v>
      </c>
      <c r="U7479" s="43" t="str">
        <f>HYPERLINK("https://ictv.global/taxonomy/taxondetails?taxnode_id=202211201","ictv.global=202211201")</f>
        <v>ictv.global=202211201</v>
      </c>
    </row>
    <row r="7480" spans="1:21">
      <c r="A7480">
        <v>7479</v>
      </c>
      <c r="B7480" s="29" t="s">
        <v>3223</v>
      </c>
      <c r="C7480" s="29"/>
      <c r="D7480" s="29" t="s">
        <v>4156</v>
      </c>
      <c r="E7480" s="29"/>
      <c r="F7480" s="29" t="s">
        <v>4202</v>
      </c>
      <c r="G7480" s="29"/>
      <c r="H7480" s="29" t="s">
        <v>5205</v>
      </c>
      <c r="I7480" s="29"/>
      <c r="J7480" s="29" t="s">
        <v>5908</v>
      </c>
      <c r="K7480" s="29"/>
      <c r="L7480" s="29" t="s">
        <v>5976</v>
      </c>
      <c r="M7480" s="29"/>
      <c r="N7480" s="29" t="s">
        <v>6129</v>
      </c>
      <c r="O7480" s="29"/>
      <c r="P7480" s="29" t="s">
        <v>6217</v>
      </c>
      <c r="Q7480" t="s">
        <v>2040</v>
      </c>
      <c r="R7480" t="s">
        <v>2632</v>
      </c>
      <c r="S7480">
        <v>36</v>
      </c>
      <c r="T7480" s="43" t="str">
        <f t="shared" si="326"/>
        <v>2020.095B.R.Leviviricetes.zip</v>
      </c>
      <c r="U7480" s="43" t="str">
        <f>HYPERLINK("https://ictv.global/taxonomy/taxondetails?taxnode_id=202211202","ictv.global=202211202")</f>
        <v>ictv.global=202211202</v>
      </c>
    </row>
    <row r="7481" spans="1:21">
      <c r="A7481">
        <v>7480</v>
      </c>
      <c r="B7481" s="29" t="s">
        <v>3223</v>
      </c>
      <c r="C7481" s="29"/>
      <c r="D7481" s="29" t="s">
        <v>4156</v>
      </c>
      <c r="E7481" s="29"/>
      <c r="F7481" s="29" t="s">
        <v>4202</v>
      </c>
      <c r="G7481" s="29"/>
      <c r="H7481" s="29" t="s">
        <v>5205</v>
      </c>
      <c r="I7481" s="29"/>
      <c r="J7481" s="29" t="s">
        <v>5908</v>
      </c>
      <c r="K7481" s="29"/>
      <c r="L7481" s="29" t="s">
        <v>5976</v>
      </c>
      <c r="M7481" s="29"/>
      <c r="N7481" s="29" t="s">
        <v>6129</v>
      </c>
      <c r="O7481" s="29"/>
      <c r="P7481" s="29" t="s">
        <v>6218</v>
      </c>
      <c r="Q7481" t="s">
        <v>2040</v>
      </c>
      <c r="R7481" t="s">
        <v>2632</v>
      </c>
      <c r="S7481">
        <v>36</v>
      </c>
      <c r="T7481" s="43" t="str">
        <f t="shared" si="326"/>
        <v>2020.095B.R.Leviviricetes.zip</v>
      </c>
      <c r="U7481" s="43" t="str">
        <f>HYPERLINK("https://ictv.global/taxonomy/taxondetails?taxnode_id=202211203","ictv.global=202211203")</f>
        <v>ictv.global=202211203</v>
      </c>
    </row>
    <row r="7482" spans="1:21">
      <c r="A7482">
        <v>7481</v>
      </c>
      <c r="B7482" s="29" t="s">
        <v>3223</v>
      </c>
      <c r="C7482" s="29"/>
      <c r="D7482" s="29" t="s">
        <v>4156</v>
      </c>
      <c r="E7482" s="29"/>
      <c r="F7482" s="29" t="s">
        <v>4202</v>
      </c>
      <c r="G7482" s="29"/>
      <c r="H7482" s="29" t="s">
        <v>5205</v>
      </c>
      <c r="I7482" s="29"/>
      <c r="J7482" s="29" t="s">
        <v>5908</v>
      </c>
      <c r="K7482" s="29"/>
      <c r="L7482" s="29" t="s">
        <v>5976</v>
      </c>
      <c r="M7482" s="29"/>
      <c r="N7482" s="29" t="s">
        <v>6129</v>
      </c>
      <c r="O7482" s="29"/>
      <c r="P7482" s="29" t="s">
        <v>6219</v>
      </c>
      <c r="Q7482" t="s">
        <v>2040</v>
      </c>
      <c r="R7482" t="s">
        <v>2632</v>
      </c>
      <c r="S7482">
        <v>36</v>
      </c>
      <c r="T7482" s="43" t="str">
        <f t="shared" si="326"/>
        <v>2020.095B.R.Leviviricetes.zip</v>
      </c>
      <c r="U7482" s="43" t="str">
        <f>HYPERLINK("https://ictv.global/taxonomy/taxondetails?taxnode_id=202211204","ictv.global=202211204")</f>
        <v>ictv.global=202211204</v>
      </c>
    </row>
    <row r="7483" spans="1:21">
      <c r="A7483">
        <v>7482</v>
      </c>
      <c r="B7483" s="29" t="s">
        <v>3223</v>
      </c>
      <c r="C7483" s="29"/>
      <c r="D7483" s="29" t="s">
        <v>4156</v>
      </c>
      <c r="E7483" s="29"/>
      <c r="F7483" s="29" t="s">
        <v>4202</v>
      </c>
      <c r="G7483" s="29"/>
      <c r="H7483" s="29" t="s">
        <v>5205</v>
      </c>
      <c r="I7483" s="29"/>
      <c r="J7483" s="29" t="s">
        <v>5908</v>
      </c>
      <c r="K7483" s="29"/>
      <c r="L7483" s="29" t="s">
        <v>5976</v>
      </c>
      <c r="M7483" s="29"/>
      <c r="N7483" s="29" t="s">
        <v>6129</v>
      </c>
      <c r="O7483" s="29"/>
      <c r="P7483" s="29" t="s">
        <v>6220</v>
      </c>
      <c r="Q7483" t="s">
        <v>2040</v>
      </c>
      <c r="R7483" t="s">
        <v>2632</v>
      </c>
      <c r="S7483">
        <v>36</v>
      </c>
      <c r="T7483" s="43" t="str">
        <f t="shared" si="326"/>
        <v>2020.095B.R.Leviviricetes.zip</v>
      </c>
      <c r="U7483" s="43" t="str">
        <f>HYPERLINK("https://ictv.global/taxonomy/taxondetails?taxnode_id=202211206","ictv.global=202211206")</f>
        <v>ictv.global=202211206</v>
      </c>
    </row>
    <row r="7484" spans="1:21">
      <c r="A7484">
        <v>7483</v>
      </c>
      <c r="B7484" s="29" t="s">
        <v>3223</v>
      </c>
      <c r="C7484" s="29"/>
      <c r="D7484" s="29" t="s">
        <v>4156</v>
      </c>
      <c r="E7484" s="29"/>
      <c r="F7484" s="29" t="s">
        <v>4202</v>
      </c>
      <c r="G7484" s="29"/>
      <c r="H7484" s="29" t="s">
        <v>5205</v>
      </c>
      <c r="I7484" s="29"/>
      <c r="J7484" s="29" t="s">
        <v>5908</v>
      </c>
      <c r="K7484" s="29"/>
      <c r="L7484" s="29" t="s">
        <v>5976</v>
      </c>
      <c r="M7484" s="29"/>
      <c r="N7484" s="29" t="s">
        <v>6129</v>
      </c>
      <c r="O7484" s="29"/>
      <c r="P7484" s="29" t="s">
        <v>6221</v>
      </c>
      <c r="Q7484" t="s">
        <v>2040</v>
      </c>
      <c r="R7484" t="s">
        <v>2632</v>
      </c>
      <c r="S7484">
        <v>36</v>
      </c>
      <c r="T7484" s="43" t="str">
        <f t="shared" si="326"/>
        <v>2020.095B.R.Leviviricetes.zip</v>
      </c>
      <c r="U7484" s="43" t="str">
        <f>HYPERLINK("https://ictv.global/taxonomy/taxondetails?taxnode_id=202211205","ictv.global=202211205")</f>
        <v>ictv.global=202211205</v>
      </c>
    </row>
    <row r="7485" spans="1:21">
      <c r="A7485">
        <v>7484</v>
      </c>
      <c r="B7485" s="29" t="s">
        <v>3223</v>
      </c>
      <c r="C7485" s="29"/>
      <c r="D7485" s="29" t="s">
        <v>4156</v>
      </c>
      <c r="E7485" s="29"/>
      <c r="F7485" s="29" t="s">
        <v>4202</v>
      </c>
      <c r="G7485" s="29"/>
      <c r="H7485" s="29" t="s">
        <v>5205</v>
      </c>
      <c r="I7485" s="29"/>
      <c r="J7485" s="29" t="s">
        <v>5908</v>
      </c>
      <c r="K7485" s="29"/>
      <c r="L7485" s="29" t="s">
        <v>5976</v>
      </c>
      <c r="M7485" s="29"/>
      <c r="N7485" s="29" t="s">
        <v>6129</v>
      </c>
      <c r="O7485" s="29"/>
      <c r="P7485" s="29" t="s">
        <v>6222</v>
      </c>
      <c r="Q7485" t="s">
        <v>2040</v>
      </c>
      <c r="R7485" t="s">
        <v>2632</v>
      </c>
      <c r="S7485">
        <v>36</v>
      </c>
      <c r="T7485" s="43" t="str">
        <f t="shared" si="326"/>
        <v>2020.095B.R.Leviviricetes.zip</v>
      </c>
      <c r="U7485" s="43" t="str">
        <f>HYPERLINK("https://ictv.global/taxonomy/taxondetails?taxnode_id=202211207","ictv.global=202211207")</f>
        <v>ictv.global=202211207</v>
      </c>
    </row>
    <row r="7486" spans="1:21">
      <c r="A7486">
        <v>7485</v>
      </c>
      <c r="B7486" s="29" t="s">
        <v>3223</v>
      </c>
      <c r="C7486" s="29"/>
      <c r="D7486" s="29" t="s">
        <v>4156</v>
      </c>
      <c r="E7486" s="29"/>
      <c r="F7486" s="29" t="s">
        <v>4202</v>
      </c>
      <c r="G7486" s="29"/>
      <c r="H7486" s="29" t="s">
        <v>5205</v>
      </c>
      <c r="I7486" s="29"/>
      <c r="J7486" s="29" t="s">
        <v>5908</v>
      </c>
      <c r="K7486" s="29"/>
      <c r="L7486" s="29" t="s">
        <v>5976</v>
      </c>
      <c r="M7486" s="29"/>
      <c r="N7486" s="29" t="s">
        <v>6129</v>
      </c>
      <c r="O7486" s="29"/>
      <c r="P7486" s="29" t="s">
        <v>6223</v>
      </c>
      <c r="Q7486" t="s">
        <v>2040</v>
      </c>
      <c r="R7486" t="s">
        <v>2632</v>
      </c>
      <c r="S7486">
        <v>36</v>
      </c>
      <c r="T7486" s="43" t="str">
        <f t="shared" si="326"/>
        <v>2020.095B.R.Leviviricetes.zip</v>
      </c>
      <c r="U7486" s="43" t="str">
        <f>HYPERLINK("https://ictv.global/taxonomy/taxondetails?taxnode_id=202211209","ictv.global=202211209")</f>
        <v>ictv.global=202211209</v>
      </c>
    </row>
    <row r="7487" spans="1:21">
      <c r="A7487">
        <v>7486</v>
      </c>
      <c r="B7487" s="29" t="s">
        <v>3223</v>
      </c>
      <c r="C7487" s="29"/>
      <c r="D7487" s="29" t="s">
        <v>4156</v>
      </c>
      <c r="E7487" s="29"/>
      <c r="F7487" s="29" t="s">
        <v>4202</v>
      </c>
      <c r="G7487" s="29"/>
      <c r="H7487" s="29" t="s">
        <v>5205</v>
      </c>
      <c r="I7487" s="29"/>
      <c r="J7487" s="29" t="s">
        <v>5908</v>
      </c>
      <c r="K7487" s="29"/>
      <c r="L7487" s="29" t="s">
        <v>5976</v>
      </c>
      <c r="M7487" s="29"/>
      <c r="N7487" s="29" t="s">
        <v>6129</v>
      </c>
      <c r="O7487" s="29"/>
      <c r="P7487" s="29" t="s">
        <v>6224</v>
      </c>
      <c r="Q7487" t="s">
        <v>2040</v>
      </c>
      <c r="R7487" t="s">
        <v>2632</v>
      </c>
      <c r="S7487">
        <v>36</v>
      </c>
      <c r="T7487" s="43" t="str">
        <f t="shared" si="326"/>
        <v>2020.095B.R.Leviviricetes.zip</v>
      </c>
      <c r="U7487" s="43" t="str">
        <f>HYPERLINK("https://ictv.global/taxonomy/taxondetails?taxnode_id=202211210","ictv.global=202211210")</f>
        <v>ictv.global=202211210</v>
      </c>
    </row>
    <row r="7488" spans="1:21">
      <c r="A7488">
        <v>7487</v>
      </c>
      <c r="B7488" s="29" t="s">
        <v>3223</v>
      </c>
      <c r="C7488" s="29"/>
      <c r="D7488" s="29" t="s">
        <v>4156</v>
      </c>
      <c r="E7488" s="29"/>
      <c r="F7488" s="29" t="s">
        <v>4202</v>
      </c>
      <c r="G7488" s="29"/>
      <c r="H7488" s="29" t="s">
        <v>5205</v>
      </c>
      <c r="I7488" s="29"/>
      <c r="J7488" s="29" t="s">
        <v>5908</v>
      </c>
      <c r="K7488" s="29"/>
      <c r="L7488" s="29" t="s">
        <v>5976</v>
      </c>
      <c r="M7488" s="29"/>
      <c r="N7488" s="29" t="s">
        <v>6225</v>
      </c>
      <c r="O7488" s="29"/>
      <c r="P7488" s="29" t="s">
        <v>6226</v>
      </c>
      <c r="Q7488" t="s">
        <v>2040</v>
      </c>
      <c r="R7488" t="s">
        <v>2632</v>
      </c>
      <c r="S7488">
        <v>36</v>
      </c>
      <c r="T7488" s="43" t="str">
        <f t="shared" si="326"/>
        <v>2020.095B.R.Leviviricetes.zip</v>
      </c>
      <c r="U7488" s="43" t="str">
        <f>HYPERLINK("https://ictv.global/taxonomy/taxondetails?taxnode_id=202211231","ictv.global=202211231")</f>
        <v>ictv.global=202211231</v>
      </c>
    </row>
    <row r="7489" spans="1:21">
      <c r="A7489">
        <v>7488</v>
      </c>
      <c r="B7489" s="29" t="s">
        <v>3223</v>
      </c>
      <c r="C7489" s="29"/>
      <c r="D7489" s="29" t="s">
        <v>4156</v>
      </c>
      <c r="E7489" s="29"/>
      <c r="F7489" s="29" t="s">
        <v>4202</v>
      </c>
      <c r="G7489" s="29"/>
      <c r="H7489" s="29" t="s">
        <v>5205</v>
      </c>
      <c r="I7489" s="29"/>
      <c r="J7489" s="29" t="s">
        <v>5908</v>
      </c>
      <c r="K7489" s="29"/>
      <c r="L7489" s="29" t="s">
        <v>5976</v>
      </c>
      <c r="M7489" s="29"/>
      <c r="N7489" s="29" t="s">
        <v>6225</v>
      </c>
      <c r="O7489" s="29"/>
      <c r="P7489" s="29" t="s">
        <v>6227</v>
      </c>
      <c r="Q7489" t="s">
        <v>2040</v>
      </c>
      <c r="R7489" t="s">
        <v>2632</v>
      </c>
      <c r="S7489">
        <v>36</v>
      </c>
      <c r="T7489" s="43" t="str">
        <f t="shared" si="326"/>
        <v>2020.095B.R.Leviviricetes.zip</v>
      </c>
      <c r="U7489" s="43" t="str">
        <f>HYPERLINK("https://ictv.global/taxonomy/taxondetails?taxnode_id=202211233","ictv.global=202211233")</f>
        <v>ictv.global=202211233</v>
      </c>
    </row>
    <row r="7490" spans="1:21">
      <c r="A7490">
        <v>7489</v>
      </c>
      <c r="B7490" s="29" t="s">
        <v>3223</v>
      </c>
      <c r="C7490" s="29"/>
      <c r="D7490" s="29" t="s">
        <v>4156</v>
      </c>
      <c r="E7490" s="29"/>
      <c r="F7490" s="29" t="s">
        <v>4202</v>
      </c>
      <c r="G7490" s="29"/>
      <c r="H7490" s="29" t="s">
        <v>5205</v>
      </c>
      <c r="I7490" s="29"/>
      <c r="J7490" s="29" t="s">
        <v>5908</v>
      </c>
      <c r="K7490" s="29"/>
      <c r="L7490" s="29" t="s">
        <v>5976</v>
      </c>
      <c r="M7490" s="29"/>
      <c r="N7490" s="29" t="s">
        <v>6225</v>
      </c>
      <c r="O7490" s="29"/>
      <c r="P7490" s="29" t="s">
        <v>6228</v>
      </c>
      <c r="Q7490" t="s">
        <v>2040</v>
      </c>
      <c r="R7490" t="s">
        <v>2632</v>
      </c>
      <c r="S7490">
        <v>36</v>
      </c>
      <c r="T7490" s="43" t="str">
        <f t="shared" si="326"/>
        <v>2020.095B.R.Leviviricetes.zip</v>
      </c>
      <c r="U7490" s="43" t="str">
        <f>HYPERLINK("https://ictv.global/taxonomy/taxondetails?taxnode_id=202211232","ictv.global=202211232")</f>
        <v>ictv.global=202211232</v>
      </c>
    </row>
    <row r="7491" spans="1:21">
      <c r="A7491">
        <v>7490</v>
      </c>
      <c r="B7491" s="29" t="s">
        <v>3223</v>
      </c>
      <c r="C7491" s="29"/>
      <c r="D7491" s="29" t="s">
        <v>4156</v>
      </c>
      <c r="E7491" s="29"/>
      <c r="F7491" s="29" t="s">
        <v>4202</v>
      </c>
      <c r="G7491" s="29"/>
      <c r="H7491" s="29" t="s">
        <v>5205</v>
      </c>
      <c r="I7491" s="29"/>
      <c r="J7491" s="29" t="s">
        <v>5908</v>
      </c>
      <c r="K7491" s="29"/>
      <c r="L7491" s="29" t="s">
        <v>5976</v>
      </c>
      <c r="M7491" s="29"/>
      <c r="N7491" s="29" t="s">
        <v>6225</v>
      </c>
      <c r="O7491" s="29"/>
      <c r="P7491" s="29" t="s">
        <v>6229</v>
      </c>
      <c r="Q7491" t="s">
        <v>2040</v>
      </c>
      <c r="R7491" t="s">
        <v>2632</v>
      </c>
      <c r="S7491">
        <v>36</v>
      </c>
      <c r="T7491" s="43" t="str">
        <f t="shared" si="326"/>
        <v>2020.095B.R.Leviviricetes.zip</v>
      </c>
      <c r="U7491" s="43" t="str">
        <f>HYPERLINK("https://ictv.global/taxonomy/taxondetails?taxnode_id=202211236","ictv.global=202211236")</f>
        <v>ictv.global=202211236</v>
      </c>
    </row>
    <row r="7492" spans="1:21">
      <c r="A7492">
        <v>7491</v>
      </c>
      <c r="B7492" s="29" t="s">
        <v>3223</v>
      </c>
      <c r="C7492" s="29"/>
      <c r="D7492" s="29" t="s">
        <v>4156</v>
      </c>
      <c r="E7492" s="29"/>
      <c r="F7492" s="29" t="s">
        <v>4202</v>
      </c>
      <c r="G7492" s="29"/>
      <c r="H7492" s="29" t="s">
        <v>5205</v>
      </c>
      <c r="I7492" s="29"/>
      <c r="J7492" s="29" t="s">
        <v>5908</v>
      </c>
      <c r="K7492" s="29"/>
      <c r="L7492" s="29" t="s">
        <v>5976</v>
      </c>
      <c r="M7492" s="29"/>
      <c r="N7492" s="29" t="s">
        <v>6225</v>
      </c>
      <c r="O7492" s="29"/>
      <c r="P7492" s="29" t="s">
        <v>6230</v>
      </c>
      <c r="Q7492" t="s">
        <v>2040</v>
      </c>
      <c r="R7492" t="s">
        <v>2632</v>
      </c>
      <c r="S7492">
        <v>36</v>
      </c>
      <c r="T7492" s="43" t="str">
        <f t="shared" si="326"/>
        <v>2020.095B.R.Leviviricetes.zip</v>
      </c>
      <c r="U7492" s="43" t="str">
        <f>HYPERLINK("https://ictv.global/taxonomy/taxondetails?taxnode_id=202211237","ictv.global=202211237")</f>
        <v>ictv.global=202211237</v>
      </c>
    </row>
    <row r="7493" spans="1:21">
      <c r="A7493">
        <v>7492</v>
      </c>
      <c r="B7493" s="29" t="s">
        <v>3223</v>
      </c>
      <c r="C7493" s="29"/>
      <c r="D7493" s="29" t="s">
        <v>4156</v>
      </c>
      <c r="E7493" s="29"/>
      <c r="F7493" s="29" t="s">
        <v>4202</v>
      </c>
      <c r="G7493" s="29"/>
      <c r="H7493" s="29" t="s">
        <v>5205</v>
      </c>
      <c r="I7493" s="29"/>
      <c r="J7493" s="29" t="s">
        <v>5908</v>
      </c>
      <c r="K7493" s="29"/>
      <c r="L7493" s="29" t="s">
        <v>5976</v>
      </c>
      <c r="M7493" s="29"/>
      <c r="N7493" s="29" t="s">
        <v>6225</v>
      </c>
      <c r="O7493" s="29"/>
      <c r="P7493" s="29" t="s">
        <v>6231</v>
      </c>
      <c r="Q7493" t="s">
        <v>2040</v>
      </c>
      <c r="R7493" t="s">
        <v>2632</v>
      </c>
      <c r="S7493">
        <v>36</v>
      </c>
      <c r="T7493" s="43" t="str">
        <f t="shared" si="326"/>
        <v>2020.095B.R.Leviviricetes.zip</v>
      </c>
      <c r="U7493" s="43" t="str">
        <f>HYPERLINK("https://ictv.global/taxonomy/taxondetails?taxnode_id=202211234","ictv.global=202211234")</f>
        <v>ictv.global=202211234</v>
      </c>
    </row>
    <row r="7494" spans="1:21">
      <c r="A7494">
        <v>7493</v>
      </c>
      <c r="B7494" s="29" t="s">
        <v>3223</v>
      </c>
      <c r="C7494" s="29"/>
      <c r="D7494" s="29" t="s">
        <v>4156</v>
      </c>
      <c r="E7494" s="29"/>
      <c r="F7494" s="29" t="s">
        <v>4202</v>
      </c>
      <c r="G7494" s="29"/>
      <c r="H7494" s="29" t="s">
        <v>5205</v>
      </c>
      <c r="I7494" s="29"/>
      <c r="J7494" s="29" t="s">
        <v>5908</v>
      </c>
      <c r="K7494" s="29"/>
      <c r="L7494" s="29" t="s">
        <v>5976</v>
      </c>
      <c r="M7494" s="29"/>
      <c r="N7494" s="29" t="s">
        <v>6225</v>
      </c>
      <c r="O7494" s="29"/>
      <c r="P7494" s="29" t="s">
        <v>6232</v>
      </c>
      <c r="Q7494" t="s">
        <v>2040</v>
      </c>
      <c r="R7494" t="s">
        <v>2632</v>
      </c>
      <c r="S7494">
        <v>36</v>
      </c>
      <c r="T7494" s="43" t="str">
        <f t="shared" si="326"/>
        <v>2020.095B.R.Leviviricetes.zip</v>
      </c>
      <c r="U7494" s="43" t="str">
        <f>HYPERLINK("https://ictv.global/taxonomy/taxondetails?taxnode_id=202211235","ictv.global=202211235")</f>
        <v>ictv.global=202211235</v>
      </c>
    </row>
    <row r="7495" spans="1:21">
      <c r="A7495">
        <v>7494</v>
      </c>
      <c r="B7495" s="29" t="s">
        <v>3223</v>
      </c>
      <c r="C7495" s="29"/>
      <c r="D7495" s="29" t="s">
        <v>4156</v>
      </c>
      <c r="E7495" s="29"/>
      <c r="F7495" s="29" t="s">
        <v>4202</v>
      </c>
      <c r="G7495" s="29"/>
      <c r="H7495" s="29" t="s">
        <v>5205</v>
      </c>
      <c r="I7495" s="29"/>
      <c r="J7495" s="29" t="s">
        <v>5908</v>
      </c>
      <c r="K7495" s="29"/>
      <c r="L7495" s="29" t="s">
        <v>5976</v>
      </c>
      <c r="M7495" s="29"/>
      <c r="N7495" s="29" t="s">
        <v>6225</v>
      </c>
      <c r="O7495" s="29"/>
      <c r="P7495" s="29" t="s">
        <v>6233</v>
      </c>
      <c r="Q7495" t="s">
        <v>2040</v>
      </c>
      <c r="R7495" t="s">
        <v>2632</v>
      </c>
      <c r="S7495">
        <v>36</v>
      </c>
      <c r="T7495" s="43" t="str">
        <f t="shared" si="326"/>
        <v>2020.095B.R.Leviviricetes.zip</v>
      </c>
      <c r="U7495" s="43" t="str">
        <f>HYPERLINK("https://ictv.global/taxonomy/taxondetails?taxnode_id=202211230","ictv.global=202211230")</f>
        <v>ictv.global=202211230</v>
      </c>
    </row>
    <row r="7496" spans="1:21">
      <c r="A7496">
        <v>7495</v>
      </c>
      <c r="B7496" s="29" t="s">
        <v>3223</v>
      </c>
      <c r="C7496" s="29"/>
      <c r="D7496" s="29" t="s">
        <v>4156</v>
      </c>
      <c r="E7496" s="29"/>
      <c r="F7496" s="29" t="s">
        <v>4202</v>
      </c>
      <c r="G7496" s="29"/>
      <c r="H7496" s="29" t="s">
        <v>5205</v>
      </c>
      <c r="I7496" s="29"/>
      <c r="J7496" s="29" t="s">
        <v>5908</v>
      </c>
      <c r="K7496" s="29"/>
      <c r="L7496" s="29" t="s">
        <v>5976</v>
      </c>
      <c r="M7496" s="29"/>
      <c r="N7496" s="29" t="s">
        <v>6234</v>
      </c>
      <c r="O7496" s="29"/>
      <c r="P7496" s="29" t="s">
        <v>6235</v>
      </c>
      <c r="Q7496" t="s">
        <v>2040</v>
      </c>
      <c r="R7496" t="s">
        <v>2632</v>
      </c>
      <c r="S7496">
        <v>36</v>
      </c>
      <c r="T7496" s="43" t="str">
        <f t="shared" si="326"/>
        <v>2020.095B.R.Leviviricetes.zip</v>
      </c>
      <c r="U7496" s="43" t="str">
        <f>HYPERLINK("https://ictv.global/taxonomy/taxondetails?taxnode_id=202211239","ictv.global=202211239")</f>
        <v>ictv.global=202211239</v>
      </c>
    </row>
    <row r="7497" spans="1:21">
      <c r="A7497">
        <v>7496</v>
      </c>
      <c r="B7497" s="29" t="s">
        <v>3223</v>
      </c>
      <c r="C7497" s="29"/>
      <c r="D7497" s="29" t="s">
        <v>4156</v>
      </c>
      <c r="E7497" s="29"/>
      <c r="F7497" s="29" t="s">
        <v>4202</v>
      </c>
      <c r="G7497" s="29"/>
      <c r="H7497" s="29" t="s">
        <v>5205</v>
      </c>
      <c r="I7497" s="29"/>
      <c r="J7497" s="29" t="s">
        <v>5908</v>
      </c>
      <c r="K7497" s="29"/>
      <c r="L7497" s="29" t="s">
        <v>5976</v>
      </c>
      <c r="M7497" s="29"/>
      <c r="N7497" s="29" t="s">
        <v>6236</v>
      </c>
      <c r="O7497" s="29"/>
      <c r="P7497" s="29" t="s">
        <v>6237</v>
      </c>
      <c r="Q7497" t="s">
        <v>2040</v>
      </c>
      <c r="R7497" t="s">
        <v>2632</v>
      </c>
      <c r="S7497">
        <v>36</v>
      </c>
      <c r="T7497" s="43" t="str">
        <f t="shared" si="326"/>
        <v>2020.095B.R.Leviviricetes.zip</v>
      </c>
      <c r="U7497" s="43" t="str">
        <f>HYPERLINK("https://ictv.global/taxonomy/taxondetails?taxnode_id=202211241","ictv.global=202211241")</f>
        <v>ictv.global=202211241</v>
      </c>
    </row>
    <row r="7498" spans="1:21">
      <c r="A7498">
        <v>7497</v>
      </c>
      <c r="B7498" s="29" t="s">
        <v>3223</v>
      </c>
      <c r="C7498" s="29"/>
      <c r="D7498" s="29" t="s">
        <v>4156</v>
      </c>
      <c r="E7498" s="29"/>
      <c r="F7498" s="29" t="s">
        <v>4202</v>
      </c>
      <c r="G7498" s="29"/>
      <c r="H7498" s="29" t="s">
        <v>5205</v>
      </c>
      <c r="I7498" s="29"/>
      <c r="J7498" s="29" t="s">
        <v>5908</v>
      </c>
      <c r="K7498" s="29"/>
      <c r="L7498" s="29" t="s">
        <v>5976</v>
      </c>
      <c r="M7498" s="29"/>
      <c r="N7498" s="29" t="s">
        <v>6236</v>
      </c>
      <c r="O7498" s="29"/>
      <c r="P7498" s="29" t="s">
        <v>6238</v>
      </c>
      <c r="Q7498" t="s">
        <v>2040</v>
      </c>
      <c r="R7498" t="s">
        <v>2632</v>
      </c>
      <c r="S7498">
        <v>36</v>
      </c>
      <c r="T7498" s="43" t="str">
        <f t="shared" si="326"/>
        <v>2020.095B.R.Leviviricetes.zip</v>
      </c>
      <c r="U7498" s="43" t="str">
        <f>HYPERLINK("https://ictv.global/taxonomy/taxondetails?taxnode_id=202211242","ictv.global=202211242")</f>
        <v>ictv.global=202211242</v>
      </c>
    </row>
    <row r="7499" spans="1:21">
      <c r="A7499">
        <v>7498</v>
      </c>
      <c r="B7499" s="29" t="s">
        <v>3223</v>
      </c>
      <c r="C7499" s="29"/>
      <c r="D7499" s="29" t="s">
        <v>4156</v>
      </c>
      <c r="E7499" s="29"/>
      <c r="F7499" s="29" t="s">
        <v>4202</v>
      </c>
      <c r="G7499" s="29"/>
      <c r="H7499" s="29" t="s">
        <v>5205</v>
      </c>
      <c r="I7499" s="29"/>
      <c r="J7499" s="29" t="s">
        <v>5908</v>
      </c>
      <c r="K7499" s="29"/>
      <c r="L7499" s="29" t="s">
        <v>5976</v>
      </c>
      <c r="M7499" s="29"/>
      <c r="N7499" s="29" t="s">
        <v>6239</v>
      </c>
      <c r="O7499" s="29"/>
      <c r="P7499" s="29" t="s">
        <v>6240</v>
      </c>
      <c r="Q7499" t="s">
        <v>2040</v>
      </c>
      <c r="R7499" t="s">
        <v>2632</v>
      </c>
      <c r="S7499">
        <v>36</v>
      </c>
      <c r="T7499" s="43" t="str">
        <f t="shared" si="326"/>
        <v>2020.095B.R.Leviviricetes.zip</v>
      </c>
      <c r="U7499" s="43" t="str">
        <f>HYPERLINK("https://ictv.global/taxonomy/taxondetails?taxnode_id=202211244","ictv.global=202211244")</f>
        <v>ictv.global=202211244</v>
      </c>
    </row>
    <row r="7500" spans="1:21">
      <c r="A7500">
        <v>7499</v>
      </c>
      <c r="B7500" s="29" t="s">
        <v>3223</v>
      </c>
      <c r="C7500" s="29"/>
      <c r="D7500" s="29" t="s">
        <v>4156</v>
      </c>
      <c r="E7500" s="29"/>
      <c r="F7500" s="29" t="s">
        <v>4202</v>
      </c>
      <c r="G7500" s="29"/>
      <c r="H7500" s="29" t="s">
        <v>5205</v>
      </c>
      <c r="I7500" s="29"/>
      <c r="J7500" s="29" t="s">
        <v>5908</v>
      </c>
      <c r="K7500" s="29"/>
      <c r="L7500" s="29" t="s">
        <v>5976</v>
      </c>
      <c r="M7500" s="29"/>
      <c r="N7500" s="29" t="s">
        <v>6239</v>
      </c>
      <c r="O7500" s="29"/>
      <c r="P7500" s="29" t="s">
        <v>6241</v>
      </c>
      <c r="Q7500" t="s">
        <v>2040</v>
      </c>
      <c r="R7500" t="s">
        <v>2632</v>
      </c>
      <c r="S7500">
        <v>36</v>
      </c>
      <c r="T7500" s="43" t="str">
        <f t="shared" si="326"/>
        <v>2020.095B.R.Leviviricetes.zip</v>
      </c>
      <c r="U7500" s="43" t="str">
        <f>HYPERLINK("https://ictv.global/taxonomy/taxondetails?taxnode_id=202211245","ictv.global=202211245")</f>
        <v>ictv.global=202211245</v>
      </c>
    </row>
    <row r="7501" spans="1:21">
      <c r="A7501">
        <v>7500</v>
      </c>
      <c r="B7501" s="29" t="s">
        <v>3223</v>
      </c>
      <c r="C7501" s="29"/>
      <c r="D7501" s="29" t="s">
        <v>4156</v>
      </c>
      <c r="E7501" s="29"/>
      <c r="F7501" s="29" t="s">
        <v>4202</v>
      </c>
      <c r="G7501" s="29"/>
      <c r="H7501" s="29" t="s">
        <v>5205</v>
      </c>
      <c r="I7501" s="29"/>
      <c r="J7501" s="29" t="s">
        <v>5908</v>
      </c>
      <c r="K7501" s="29"/>
      <c r="L7501" s="29" t="s">
        <v>5976</v>
      </c>
      <c r="M7501" s="29"/>
      <c r="N7501" s="29" t="s">
        <v>6242</v>
      </c>
      <c r="O7501" s="29"/>
      <c r="P7501" s="29" t="s">
        <v>6243</v>
      </c>
      <c r="Q7501" t="s">
        <v>2040</v>
      </c>
      <c r="R7501" t="s">
        <v>2632</v>
      </c>
      <c r="S7501">
        <v>36</v>
      </c>
      <c r="T7501" s="43" t="str">
        <f t="shared" si="326"/>
        <v>2020.095B.R.Leviviricetes.zip</v>
      </c>
      <c r="U7501" s="43" t="str">
        <f>HYPERLINK("https://ictv.global/taxonomy/taxondetails?taxnode_id=202211258","ictv.global=202211258")</f>
        <v>ictv.global=202211258</v>
      </c>
    </row>
    <row r="7502" spans="1:21">
      <c r="A7502">
        <v>7501</v>
      </c>
      <c r="B7502" s="29" t="s">
        <v>3223</v>
      </c>
      <c r="C7502" s="29"/>
      <c r="D7502" s="29" t="s">
        <v>4156</v>
      </c>
      <c r="E7502" s="29"/>
      <c r="F7502" s="29" t="s">
        <v>4202</v>
      </c>
      <c r="G7502" s="29"/>
      <c r="H7502" s="29" t="s">
        <v>5205</v>
      </c>
      <c r="I7502" s="29"/>
      <c r="J7502" s="29" t="s">
        <v>5908</v>
      </c>
      <c r="K7502" s="29"/>
      <c r="L7502" s="29" t="s">
        <v>5976</v>
      </c>
      <c r="M7502" s="29"/>
      <c r="N7502" s="29" t="s">
        <v>6242</v>
      </c>
      <c r="O7502" s="29"/>
      <c r="P7502" s="29" t="s">
        <v>6244</v>
      </c>
      <c r="Q7502" t="s">
        <v>2040</v>
      </c>
      <c r="R7502" t="s">
        <v>2632</v>
      </c>
      <c r="S7502">
        <v>36</v>
      </c>
      <c r="T7502" s="43" t="str">
        <f t="shared" si="326"/>
        <v>2020.095B.R.Leviviricetes.zip</v>
      </c>
      <c r="U7502" s="43" t="str">
        <f>HYPERLINK("https://ictv.global/taxonomy/taxondetails?taxnode_id=202211247","ictv.global=202211247")</f>
        <v>ictv.global=202211247</v>
      </c>
    </row>
    <row r="7503" spans="1:21">
      <c r="A7503">
        <v>7502</v>
      </c>
      <c r="B7503" s="29" t="s">
        <v>3223</v>
      </c>
      <c r="C7503" s="29"/>
      <c r="D7503" s="29" t="s">
        <v>4156</v>
      </c>
      <c r="E7503" s="29"/>
      <c r="F7503" s="29" t="s">
        <v>4202</v>
      </c>
      <c r="G7503" s="29"/>
      <c r="H7503" s="29" t="s">
        <v>5205</v>
      </c>
      <c r="I7503" s="29"/>
      <c r="J7503" s="29" t="s">
        <v>5908</v>
      </c>
      <c r="K7503" s="29"/>
      <c r="L7503" s="29" t="s">
        <v>5976</v>
      </c>
      <c r="M7503" s="29"/>
      <c r="N7503" s="29" t="s">
        <v>6242</v>
      </c>
      <c r="O7503" s="29"/>
      <c r="P7503" s="29" t="s">
        <v>6245</v>
      </c>
      <c r="Q7503" t="s">
        <v>2040</v>
      </c>
      <c r="R7503" t="s">
        <v>2632</v>
      </c>
      <c r="S7503">
        <v>36</v>
      </c>
      <c r="T7503" s="43" t="str">
        <f t="shared" si="326"/>
        <v>2020.095B.R.Leviviricetes.zip</v>
      </c>
      <c r="U7503" s="43" t="str">
        <f>HYPERLINK("https://ictv.global/taxonomy/taxondetails?taxnode_id=202211248","ictv.global=202211248")</f>
        <v>ictv.global=202211248</v>
      </c>
    </row>
    <row r="7504" spans="1:21">
      <c r="A7504">
        <v>7503</v>
      </c>
      <c r="B7504" s="29" t="s">
        <v>3223</v>
      </c>
      <c r="C7504" s="29"/>
      <c r="D7504" s="29" t="s">
        <v>4156</v>
      </c>
      <c r="E7504" s="29"/>
      <c r="F7504" s="29" t="s">
        <v>4202</v>
      </c>
      <c r="G7504" s="29"/>
      <c r="H7504" s="29" t="s">
        <v>5205</v>
      </c>
      <c r="I7504" s="29"/>
      <c r="J7504" s="29" t="s">
        <v>5908</v>
      </c>
      <c r="K7504" s="29"/>
      <c r="L7504" s="29" t="s">
        <v>5976</v>
      </c>
      <c r="M7504" s="29"/>
      <c r="N7504" s="29" t="s">
        <v>6242</v>
      </c>
      <c r="O7504" s="29"/>
      <c r="P7504" s="29" t="s">
        <v>6246</v>
      </c>
      <c r="Q7504" t="s">
        <v>2040</v>
      </c>
      <c r="R7504" t="s">
        <v>2632</v>
      </c>
      <c r="S7504">
        <v>36</v>
      </c>
      <c r="T7504" s="43" t="str">
        <f t="shared" si="326"/>
        <v>2020.095B.R.Leviviricetes.zip</v>
      </c>
      <c r="U7504" s="43" t="str">
        <f>HYPERLINK("https://ictv.global/taxonomy/taxondetails?taxnode_id=202211249","ictv.global=202211249")</f>
        <v>ictv.global=202211249</v>
      </c>
    </row>
    <row r="7505" spans="1:21">
      <c r="A7505">
        <v>7504</v>
      </c>
      <c r="B7505" s="29" t="s">
        <v>3223</v>
      </c>
      <c r="C7505" s="29"/>
      <c r="D7505" s="29" t="s">
        <v>4156</v>
      </c>
      <c r="E7505" s="29"/>
      <c r="F7505" s="29" t="s">
        <v>4202</v>
      </c>
      <c r="G7505" s="29"/>
      <c r="H7505" s="29" t="s">
        <v>5205</v>
      </c>
      <c r="I7505" s="29"/>
      <c r="J7505" s="29" t="s">
        <v>5908</v>
      </c>
      <c r="K7505" s="29"/>
      <c r="L7505" s="29" t="s">
        <v>5976</v>
      </c>
      <c r="M7505" s="29"/>
      <c r="N7505" s="29" t="s">
        <v>6242</v>
      </c>
      <c r="O7505" s="29"/>
      <c r="P7505" s="29" t="s">
        <v>6247</v>
      </c>
      <c r="Q7505" t="s">
        <v>2040</v>
      </c>
      <c r="R7505" t="s">
        <v>2632</v>
      </c>
      <c r="S7505">
        <v>36</v>
      </c>
      <c r="T7505" s="43" t="str">
        <f t="shared" si="326"/>
        <v>2020.095B.R.Leviviricetes.zip</v>
      </c>
      <c r="U7505" s="43" t="str">
        <f>HYPERLINK("https://ictv.global/taxonomy/taxondetails?taxnode_id=202211259","ictv.global=202211259")</f>
        <v>ictv.global=202211259</v>
      </c>
    </row>
    <row r="7506" spans="1:21">
      <c r="A7506">
        <v>7505</v>
      </c>
      <c r="B7506" s="29" t="s">
        <v>3223</v>
      </c>
      <c r="C7506" s="29"/>
      <c r="D7506" s="29" t="s">
        <v>4156</v>
      </c>
      <c r="E7506" s="29"/>
      <c r="F7506" s="29" t="s">
        <v>4202</v>
      </c>
      <c r="G7506" s="29"/>
      <c r="H7506" s="29" t="s">
        <v>5205</v>
      </c>
      <c r="I7506" s="29"/>
      <c r="J7506" s="29" t="s">
        <v>5908</v>
      </c>
      <c r="K7506" s="29"/>
      <c r="L7506" s="29" t="s">
        <v>5976</v>
      </c>
      <c r="M7506" s="29"/>
      <c r="N7506" s="29" t="s">
        <v>6242</v>
      </c>
      <c r="O7506" s="29"/>
      <c r="P7506" s="29" t="s">
        <v>6248</v>
      </c>
      <c r="Q7506" t="s">
        <v>2040</v>
      </c>
      <c r="R7506" t="s">
        <v>2632</v>
      </c>
      <c r="S7506">
        <v>36</v>
      </c>
      <c r="T7506" s="43" t="str">
        <f t="shared" si="326"/>
        <v>2020.095B.R.Leviviricetes.zip</v>
      </c>
      <c r="U7506" s="43" t="str">
        <f>HYPERLINK("https://ictv.global/taxonomy/taxondetails?taxnode_id=202211250","ictv.global=202211250")</f>
        <v>ictv.global=202211250</v>
      </c>
    </row>
    <row r="7507" spans="1:21">
      <c r="A7507">
        <v>7506</v>
      </c>
      <c r="B7507" s="29" t="s">
        <v>3223</v>
      </c>
      <c r="C7507" s="29"/>
      <c r="D7507" s="29" t="s">
        <v>4156</v>
      </c>
      <c r="E7507" s="29"/>
      <c r="F7507" s="29" t="s">
        <v>4202</v>
      </c>
      <c r="G7507" s="29"/>
      <c r="H7507" s="29" t="s">
        <v>5205</v>
      </c>
      <c r="I7507" s="29"/>
      <c r="J7507" s="29" t="s">
        <v>5908</v>
      </c>
      <c r="K7507" s="29"/>
      <c r="L7507" s="29" t="s">
        <v>5976</v>
      </c>
      <c r="M7507" s="29"/>
      <c r="N7507" s="29" t="s">
        <v>6242</v>
      </c>
      <c r="O7507" s="29"/>
      <c r="P7507" s="29" t="s">
        <v>6249</v>
      </c>
      <c r="Q7507" t="s">
        <v>2040</v>
      </c>
      <c r="R7507" t="s">
        <v>2632</v>
      </c>
      <c r="S7507">
        <v>36</v>
      </c>
      <c r="T7507" s="43" t="str">
        <f t="shared" si="326"/>
        <v>2020.095B.R.Leviviricetes.zip</v>
      </c>
      <c r="U7507" s="43" t="str">
        <f>HYPERLINK("https://ictv.global/taxonomy/taxondetails?taxnode_id=202211252","ictv.global=202211252")</f>
        <v>ictv.global=202211252</v>
      </c>
    </row>
    <row r="7508" spans="1:21">
      <c r="A7508">
        <v>7507</v>
      </c>
      <c r="B7508" s="29" t="s">
        <v>3223</v>
      </c>
      <c r="C7508" s="29"/>
      <c r="D7508" s="29" t="s">
        <v>4156</v>
      </c>
      <c r="E7508" s="29"/>
      <c r="F7508" s="29" t="s">
        <v>4202</v>
      </c>
      <c r="G7508" s="29"/>
      <c r="H7508" s="29" t="s">
        <v>5205</v>
      </c>
      <c r="I7508" s="29"/>
      <c r="J7508" s="29" t="s">
        <v>5908</v>
      </c>
      <c r="K7508" s="29"/>
      <c r="L7508" s="29" t="s">
        <v>5976</v>
      </c>
      <c r="M7508" s="29"/>
      <c r="N7508" s="29" t="s">
        <v>6242</v>
      </c>
      <c r="O7508" s="29"/>
      <c r="P7508" s="29" t="s">
        <v>6250</v>
      </c>
      <c r="Q7508" t="s">
        <v>2040</v>
      </c>
      <c r="R7508" t="s">
        <v>2632</v>
      </c>
      <c r="S7508">
        <v>36</v>
      </c>
      <c r="T7508" s="43" t="str">
        <f t="shared" si="326"/>
        <v>2020.095B.R.Leviviricetes.zip</v>
      </c>
      <c r="U7508" s="43" t="str">
        <f>HYPERLINK("https://ictv.global/taxonomy/taxondetails?taxnode_id=202211251","ictv.global=202211251")</f>
        <v>ictv.global=202211251</v>
      </c>
    </row>
    <row r="7509" spans="1:21">
      <c r="A7509">
        <v>7508</v>
      </c>
      <c r="B7509" s="29" t="s">
        <v>3223</v>
      </c>
      <c r="C7509" s="29"/>
      <c r="D7509" s="29" t="s">
        <v>4156</v>
      </c>
      <c r="E7509" s="29"/>
      <c r="F7509" s="29" t="s">
        <v>4202</v>
      </c>
      <c r="G7509" s="29"/>
      <c r="H7509" s="29" t="s">
        <v>5205</v>
      </c>
      <c r="I7509" s="29"/>
      <c r="J7509" s="29" t="s">
        <v>5908</v>
      </c>
      <c r="K7509" s="29"/>
      <c r="L7509" s="29" t="s">
        <v>5976</v>
      </c>
      <c r="M7509" s="29"/>
      <c r="N7509" s="29" t="s">
        <v>6242</v>
      </c>
      <c r="O7509" s="29"/>
      <c r="P7509" s="29" t="s">
        <v>6251</v>
      </c>
      <c r="Q7509" t="s">
        <v>2040</v>
      </c>
      <c r="R7509" t="s">
        <v>2632</v>
      </c>
      <c r="S7509">
        <v>36</v>
      </c>
      <c r="T7509" s="43" t="str">
        <f t="shared" si="326"/>
        <v>2020.095B.R.Leviviricetes.zip</v>
      </c>
      <c r="U7509" s="43" t="str">
        <f>HYPERLINK("https://ictv.global/taxonomy/taxondetails?taxnode_id=202211253","ictv.global=202211253")</f>
        <v>ictv.global=202211253</v>
      </c>
    </row>
    <row r="7510" spans="1:21">
      <c r="A7510">
        <v>7509</v>
      </c>
      <c r="B7510" s="29" t="s">
        <v>3223</v>
      </c>
      <c r="C7510" s="29"/>
      <c r="D7510" s="29" t="s">
        <v>4156</v>
      </c>
      <c r="E7510" s="29"/>
      <c r="F7510" s="29" t="s">
        <v>4202</v>
      </c>
      <c r="G7510" s="29"/>
      <c r="H7510" s="29" t="s">
        <v>5205</v>
      </c>
      <c r="I7510" s="29"/>
      <c r="J7510" s="29" t="s">
        <v>5908</v>
      </c>
      <c r="K7510" s="29"/>
      <c r="L7510" s="29" t="s">
        <v>5976</v>
      </c>
      <c r="M7510" s="29"/>
      <c r="N7510" s="29" t="s">
        <v>6242</v>
      </c>
      <c r="O7510" s="29"/>
      <c r="P7510" s="29" t="s">
        <v>6252</v>
      </c>
      <c r="Q7510" t="s">
        <v>2040</v>
      </c>
      <c r="R7510" t="s">
        <v>2632</v>
      </c>
      <c r="S7510">
        <v>36</v>
      </c>
      <c r="T7510" s="43" t="str">
        <f t="shared" si="326"/>
        <v>2020.095B.R.Leviviricetes.zip</v>
      </c>
      <c r="U7510" s="43" t="str">
        <f>HYPERLINK("https://ictv.global/taxonomy/taxondetails?taxnode_id=202211254","ictv.global=202211254")</f>
        <v>ictv.global=202211254</v>
      </c>
    </row>
    <row r="7511" spans="1:21">
      <c r="A7511">
        <v>7510</v>
      </c>
      <c r="B7511" s="29" t="s">
        <v>3223</v>
      </c>
      <c r="C7511" s="29"/>
      <c r="D7511" s="29" t="s">
        <v>4156</v>
      </c>
      <c r="E7511" s="29"/>
      <c r="F7511" s="29" t="s">
        <v>4202</v>
      </c>
      <c r="G7511" s="29"/>
      <c r="H7511" s="29" t="s">
        <v>5205</v>
      </c>
      <c r="I7511" s="29"/>
      <c r="J7511" s="29" t="s">
        <v>5908</v>
      </c>
      <c r="K7511" s="29"/>
      <c r="L7511" s="29" t="s">
        <v>5976</v>
      </c>
      <c r="M7511" s="29"/>
      <c r="N7511" s="29" t="s">
        <v>6242</v>
      </c>
      <c r="O7511" s="29"/>
      <c r="P7511" s="29" t="s">
        <v>6253</v>
      </c>
      <c r="Q7511" t="s">
        <v>2040</v>
      </c>
      <c r="R7511" t="s">
        <v>2632</v>
      </c>
      <c r="S7511">
        <v>36</v>
      </c>
      <c r="T7511" s="43" t="str">
        <f t="shared" si="326"/>
        <v>2020.095B.R.Leviviricetes.zip</v>
      </c>
      <c r="U7511" s="43" t="str">
        <f>HYPERLINK("https://ictv.global/taxonomy/taxondetails?taxnode_id=202211255","ictv.global=202211255")</f>
        <v>ictv.global=202211255</v>
      </c>
    </row>
    <row r="7512" spans="1:21">
      <c r="A7512">
        <v>7511</v>
      </c>
      <c r="B7512" s="29" t="s">
        <v>3223</v>
      </c>
      <c r="C7512" s="29"/>
      <c r="D7512" s="29" t="s">
        <v>4156</v>
      </c>
      <c r="E7512" s="29"/>
      <c r="F7512" s="29" t="s">
        <v>4202</v>
      </c>
      <c r="G7512" s="29"/>
      <c r="H7512" s="29" t="s">
        <v>5205</v>
      </c>
      <c r="I7512" s="29"/>
      <c r="J7512" s="29" t="s">
        <v>5908</v>
      </c>
      <c r="K7512" s="29"/>
      <c r="L7512" s="29" t="s">
        <v>5976</v>
      </c>
      <c r="M7512" s="29"/>
      <c r="N7512" s="29" t="s">
        <v>6242</v>
      </c>
      <c r="O7512" s="29"/>
      <c r="P7512" s="29" t="s">
        <v>6254</v>
      </c>
      <c r="Q7512" t="s">
        <v>2040</v>
      </c>
      <c r="R7512" t="s">
        <v>2632</v>
      </c>
      <c r="S7512">
        <v>36</v>
      </c>
      <c r="T7512" s="43" t="str">
        <f t="shared" si="326"/>
        <v>2020.095B.R.Leviviricetes.zip</v>
      </c>
      <c r="U7512" s="43" t="str">
        <f>HYPERLINK("https://ictv.global/taxonomy/taxondetails?taxnode_id=202211256","ictv.global=202211256")</f>
        <v>ictv.global=202211256</v>
      </c>
    </row>
    <row r="7513" spans="1:21">
      <c r="A7513">
        <v>7512</v>
      </c>
      <c r="B7513" s="29" t="s">
        <v>3223</v>
      </c>
      <c r="C7513" s="29"/>
      <c r="D7513" s="29" t="s">
        <v>4156</v>
      </c>
      <c r="E7513" s="29"/>
      <c r="F7513" s="29" t="s">
        <v>4202</v>
      </c>
      <c r="G7513" s="29"/>
      <c r="H7513" s="29" t="s">
        <v>5205</v>
      </c>
      <c r="I7513" s="29"/>
      <c r="J7513" s="29" t="s">
        <v>5908</v>
      </c>
      <c r="K7513" s="29"/>
      <c r="L7513" s="29" t="s">
        <v>5976</v>
      </c>
      <c r="M7513" s="29"/>
      <c r="N7513" s="29" t="s">
        <v>6242</v>
      </c>
      <c r="O7513" s="29"/>
      <c r="P7513" s="29" t="s">
        <v>6255</v>
      </c>
      <c r="Q7513" t="s">
        <v>2040</v>
      </c>
      <c r="R7513" t="s">
        <v>2632</v>
      </c>
      <c r="S7513">
        <v>36</v>
      </c>
      <c r="T7513" s="43" t="str">
        <f t="shared" si="326"/>
        <v>2020.095B.R.Leviviricetes.zip</v>
      </c>
      <c r="U7513" s="43" t="str">
        <f>HYPERLINK("https://ictv.global/taxonomy/taxondetails?taxnode_id=202211260","ictv.global=202211260")</f>
        <v>ictv.global=202211260</v>
      </c>
    </row>
    <row r="7514" spans="1:21">
      <c r="A7514">
        <v>7513</v>
      </c>
      <c r="B7514" s="29" t="s">
        <v>3223</v>
      </c>
      <c r="C7514" s="29"/>
      <c r="D7514" s="29" t="s">
        <v>4156</v>
      </c>
      <c r="E7514" s="29"/>
      <c r="F7514" s="29" t="s">
        <v>4202</v>
      </c>
      <c r="G7514" s="29"/>
      <c r="H7514" s="29" t="s">
        <v>5205</v>
      </c>
      <c r="I7514" s="29"/>
      <c r="J7514" s="29" t="s">
        <v>5908</v>
      </c>
      <c r="K7514" s="29"/>
      <c r="L7514" s="29" t="s">
        <v>5976</v>
      </c>
      <c r="M7514" s="29"/>
      <c r="N7514" s="29" t="s">
        <v>6242</v>
      </c>
      <c r="O7514" s="29"/>
      <c r="P7514" s="29" t="s">
        <v>6256</v>
      </c>
      <c r="Q7514" t="s">
        <v>2040</v>
      </c>
      <c r="R7514" t="s">
        <v>2632</v>
      </c>
      <c r="S7514">
        <v>36</v>
      </c>
      <c r="T7514" s="43" t="str">
        <f t="shared" si="326"/>
        <v>2020.095B.R.Leviviricetes.zip</v>
      </c>
      <c r="U7514" s="43" t="str">
        <f>HYPERLINK("https://ictv.global/taxonomy/taxondetails?taxnode_id=202211257","ictv.global=202211257")</f>
        <v>ictv.global=202211257</v>
      </c>
    </row>
    <row r="7515" spans="1:21">
      <c r="A7515">
        <v>7514</v>
      </c>
      <c r="B7515" s="29" t="s">
        <v>3223</v>
      </c>
      <c r="C7515" s="29"/>
      <c r="D7515" s="29" t="s">
        <v>4156</v>
      </c>
      <c r="E7515" s="29"/>
      <c r="F7515" s="29" t="s">
        <v>4202</v>
      </c>
      <c r="G7515" s="29"/>
      <c r="H7515" s="29" t="s">
        <v>5205</v>
      </c>
      <c r="I7515" s="29"/>
      <c r="J7515" s="29" t="s">
        <v>5908</v>
      </c>
      <c r="K7515" s="29"/>
      <c r="L7515" s="29" t="s">
        <v>5976</v>
      </c>
      <c r="M7515" s="29"/>
      <c r="N7515" s="29" t="s">
        <v>6242</v>
      </c>
      <c r="O7515" s="29"/>
      <c r="P7515" s="29" t="s">
        <v>6257</v>
      </c>
      <c r="Q7515" t="s">
        <v>2040</v>
      </c>
      <c r="R7515" t="s">
        <v>2632</v>
      </c>
      <c r="S7515">
        <v>36</v>
      </c>
      <c r="T7515" s="43" t="str">
        <f t="shared" si="326"/>
        <v>2020.095B.R.Leviviricetes.zip</v>
      </c>
      <c r="U7515" s="43" t="str">
        <f>HYPERLINK("https://ictv.global/taxonomy/taxondetails?taxnode_id=202211261","ictv.global=202211261")</f>
        <v>ictv.global=202211261</v>
      </c>
    </row>
    <row r="7516" spans="1:21">
      <c r="A7516">
        <v>7515</v>
      </c>
      <c r="B7516" s="29" t="s">
        <v>3223</v>
      </c>
      <c r="C7516" s="29"/>
      <c r="D7516" s="29" t="s">
        <v>4156</v>
      </c>
      <c r="E7516" s="29"/>
      <c r="F7516" s="29" t="s">
        <v>4202</v>
      </c>
      <c r="G7516" s="29"/>
      <c r="H7516" s="29" t="s">
        <v>5205</v>
      </c>
      <c r="I7516" s="29"/>
      <c r="J7516" s="29" t="s">
        <v>5908</v>
      </c>
      <c r="K7516" s="29"/>
      <c r="L7516" s="29" t="s">
        <v>5976</v>
      </c>
      <c r="M7516" s="29"/>
      <c r="N7516" s="29" t="s">
        <v>6258</v>
      </c>
      <c r="O7516" s="29"/>
      <c r="P7516" s="29" t="s">
        <v>6259</v>
      </c>
      <c r="Q7516" t="s">
        <v>2040</v>
      </c>
      <c r="R7516" t="s">
        <v>2632</v>
      </c>
      <c r="S7516">
        <v>36</v>
      </c>
      <c r="T7516" s="43" t="str">
        <f t="shared" si="326"/>
        <v>2020.095B.R.Leviviricetes.zip</v>
      </c>
      <c r="U7516" s="43" t="str">
        <f>HYPERLINK("https://ictv.global/taxonomy/taxondetails?taxnode_id=202211266","ictv.global=202211266")</f>
        <v>ictv.global=202211266</v>
      </c>
    </row>
    <row r="7517" spans="1:21">
      <c r="A7517">
        <v>7516</v>
      </c>
      <c r="B7517" s="29" t="s">
        <v>3223</v>
      </c>
      <c r="C7517" s="29"/>
      <c r="D7517" s="29" t="s">
        <v>4156</v>
      </c>
      <c r="E7517" s="29"/>
      <c r="F7517" s="29" t="s">
        <v>4202</v>
      </c>
      <c r="G7517" s="29"/>
      <c r="H7517" s="29" t="s">
        <v>5205</v>
      </c>
      <c r="I7517" s="29"/>
      <c r="J7517" s="29" t="s">
        <v>5908</v>
      </c>
      <c r="K7517" s="29"/>
      <c r="L7517" s="29" t="s">
        <v>5976</v>
      </c>
      <c r="M7517" s="29"/>
      <c r="N7517" s="29" t="s">
        <v>6258</v>
      </c>
      <c r="O7517" s="29"/>
      <c r="P7517" s="29" t="s">
        <v>6260</v>
      </c>
      <c r="Q7517" t="s">
        <v>2040</v>
      </c>
      <c r="R7517" t="s">
        <v>2632</v>
      </c>
      <c r="S7517">
        <v>36</v>
      </c>
      <c r="T7517" s="43" t="str">
        <f t="shared" si="326"/>
        <v>2020.095B.R.Leviviricetes.zip</v>
      </c>
      <c r="U7517" s="43" t="str">
        <f>HYPERLINK("https://ictv.global/taxonomy/taxondetails?taxnode_id=202211267","ictv.global=202211267")</f>
        <v>ictv.global=202211267</v>
      </c>
    </row>
    <row r="7518" spans="1:21">
      <c r="A7518">
        <v>7517</v>
      </c>
      <c r="B7518" s="29" t="s">
        <v>3223</v>
      </c>
      <c r="C7518" s="29"/>
      <c r="D7518" s="29" t="s">
        <v>4156</v>
      </c>
      <c r="E7518" s="29"/>
      <c r="F7518" s="29" t="s">
        <v>4202</v>
      </c>
      <c r="G7518" s="29"/>
      <c r="H7518" s="29" t="s">
        <v>5205</v>
      </c>
      <c r="I7518" s="29"/>
      <c r="J7518" s="29" t="s">
        <v>5908</v>
      </c>
      <c r="K7518" s="29"/>
      <c r="L7518" s="29" t="s">
        <v>5976</v>
      </c>
      <c r="M7518" s="29"/>
      <c r="N7518" s="29" t="s">
        <v>6258</v>
      </c>
      <c r="O7518" s="29"/>
      <c r="P7518" s="29" t="s">
        <v>6261</v>
      </c>
      <c r="Q7518" t="s">
        <v>2040</v>
      </c>
      <c r="R7518" t="s">
        <v>2632</v>
      </c>
      <c r="S7518">
        <v>36</v>
      </c>
      <c r="T7518" s="43" t="str">
        <f t="shared" si="326"/>
        <v>2020.095B.R.Leviviricetes.zip</v>
      </c>
      <c r="U7518" s="43" t="str">
        <f>HYPERLINK("https://ictv.global/taxonomy/taxondetails?taxnode_id=202211263","ictv.global=202211263")</f>
        <v>ictv.global=202211263</v>
      </c>
    </row>
    <row r="7519" spans="1:21">
      <c r="A7519">
        <v>7518</v>
      </c>
      <c r="B7519" s="29" t="s">
        <v>3223</v>
      </c>
      <c r="C7519" s="29"/>
      <c r="D7519" s="29" t="s">
        <v>4156</v>
      </c>
      <c r="E7519" s="29"/>
      <c r="F7519" s="29" t="s">
        <v>4202</v>
      </c>
      <c r="G7519" s="29"/>
      <c r="H7519" s="29" t="s">
        <v>5205</v>
      </c>
      <c r="I7519" s="29"/>
      <c r="J7519" s="29" t="s">
        <v>5908</v>
      </c>
      <c r="K7519" s="29"/>
      <c r="L7519" s="29" t="s">
        <v>5976</v>
      </c>
      <c r="M7519" s="29"/>
      <c r="N7519" s="29" t="s">
        <v>6258</v>
      </c>
      <c r="O7519" s="29"/>
      <c r="P7519" s="29" t="s">
        <v>6262</v>
      </c>
      <c r="Q7519" t="s">
        <v>2040</v>
      </c>
      <c r="R7519" t="s">
        <v>2632</v>
      </c>
      <c r="S7519">
        <v>36</v>
      </c>
      <c r="T7519" s="43" t="str">
        <f t="shared" si="326"/>
        <v>2020.095B.R.Leviviricetes.zip</v>
      </c>
      <c r="U7519" s="43" t="str">
        <f>HYPERLINK("https://ictv.global/taxonomy/taxondetails?taxnode_id=202211268","ictv.global=202211268")</f>
        <v>ictv.global=202211268</v>
      </c>
    </row>
    <row r="7520" spans="1:21">
      <c r="A7520">
        <v>7519</v>
      </c>
      <c r="B7520" s="29" t="s">
        <v>3223</v>
      </c>
      <c r="C7520" s="29"/>
      <c r="D7520" s="29" t="s">
        <v>4156</v>
      </c>
      <c r="E7520" s="29"/>
      <c r="F7520" s="29" t="s">
        <v>4202</v>
      </c>
      <c r="G7520" s="29"/>
      <c r="H7520" s="29" t="s">
        <v>5205</v>
      </c>
      <c r="I7520" s="29"/>
      <c r="J7520" s="29" t="s">
        <v>5908</v>
      </c>
      <c r="K7520" s="29"/>
      <c r="L7520" s="29" t="s">
        <v>5976</v>
      </c>
      <c r="M7520" s="29"/>
      <c r="N7520" s="29" t="s">
        <v>6258</v>
      </c>
      <c r="O7520" s="29"/>
      <c r="P7520" s="29" t="s">
        <v>6263</v>
      </c>
      <c r="Q7520" t="s">
        <v>2040</v>
      </c>
      <c r="R7520" t="s">
        <v>2632</v>
      </c>
      <c r="S7520">
        <v>36</v>
      </c>
      <c r="T7520" s="43" t="str">
        <f t="shared" si="326"/>
        <v>2020.095B.R.Leviviricetes.zip</v>
      </c>
      <c r="U7520" s="43" t="str">
        <f>HYPERLINK("https://ictv.global/taxonomy/taxondetails?taxnode_id=202211269","ictv.global=202211269")</f>
        <v>ictv.global=202211269</v>
      </c>
    </row>
    <row r="7521" spans="1:21">
      <c r="A7521">
        <v>7520</v>
      </c>
      <c r="B7521" s="29" t="s">
        <v>3223</v>
      </c>
      <c r="C7521" s="29"/>
      <c r="D7521" s="29" t="s">
        <v>4156</v>
      </c>
      <c r="E7521" s="29"/>
      <c r="F7521" s="29" t="s">
        <v>4202</v>
      </c>
      <c r="G7521" s="29"/>
      <c r="H7521" s="29" t="s">
        <v>5205</v>
      </c>
      <c r="I7521" s="29"/>
      <c r="J7521" s="29" t="s">
        <v>5908</v>
      </c>
      <c r="K7521" s="29"/>
      <c r="L7521" s="29" t="s">
        <v>5976</v>
      </c>
      <c r="M7521" s="29"/>
      <c r="N7521" s="29" t="s">
        <v>6258</v>
      </c>
      <c r="O7521" s="29"/>
      <c r="P7521" s="29" t="s">
        <v>6264</v>
      </c>
      <c r="Q7521" t="s">
        <v>2040</v>
      </c>
      <c r="R7521" t="s">
        <v>2632</v>
      </c>
      <c r="S7521">
        <v>36</v>
      </c>
      <c r="T7521" s="43" t="str">
        <f t="shared" si="326"/>
        <v>2020.095B.R.Leviviricetes.zip</v>
      </c>
      <c r="U7521" s="43" t="str">
        <f>HYPERLINK("https://ictv.global/taxonomy/taxondetails?taxnode_id=202211270","ictv.global=202211270")</f>
        <v>ictv.global=202211270</v>
      </c>
    </row>
    <row r="7522" spans="1:21">
      <c r="A7522">
        <v>7521</v>
      </c>
      <c r="B7522" s="29" t="s">
        <v>3223</v>
      </c>
      <c r="C7522" s="29"/>
      <c r="D7522" s="29" t="s">
        <v>4156</v>
      </c>
      <c r="E7522" s="29"/>
      <c r="F7522" s="29" t="s">
        <v>4202</v>
      </c>
      <c r="G7522" s="29"/>
      <c r="H7522" s="29" t="s">
        <v>5205</v>
      </c>
      <c r="I7522" s="29"/>
      <c r="J7522" s="29" t="s">
        <v>5908</v>
      </c>
      <c r="K7522" s="29"/>
      <c r="L7522" s="29" t="s">
        <v>5976</v>
      </c>
      <c r="M7522" s="29"/>
      <c r="N7522" s="29" t="s">
        <v>6258</v>
      </c>
      <c r="O7522" s="29"/>
      <c r="P7522" s="29" t="s">
        <v>6265</v>
      </c>
      <c r="Q7522" t="s">
        <v>2040</v>
      </c>
      <c r="R7522" t="s">
        <v>2632</v>
      </c>
      <c r="S7522">
        <v>36</v>
      </c>
      <c r="T7522" s="43" t="str">
        <f t="shared" si="326"/>
        <v>2020.095B.R.Leviviricetes.zip</v>
      </c>
      <c r="U7522" s="43" t="str">
        <f>HYPERLINK("https://ictv.global/taxonomy/taxondetails?taxnode_id=202211271","ictv.global=202211271")</f>
        <v>ictv.global=202211271</v>
      </c>
    </row>
    <row r="7523" spans="1:21">
      <c r="A7523">
        <v>7522</v>
      </c>
      <c r="B7523" s="29" t="s">
        <v>3223</v>
      </c>
      <c r="C7523" s="29"/>
      <c r="D7523" s="29" t="s">
        <v>4156</v>
      </c>
      <c r="E7523" s="29"/>
      <c r="F7523" s="29" t="s">
        <v>4202</v>
      </c>
      <c r="G7523" s="29"/>
      <c r="H7523" s="29" t="s">
        <v>5205</v>
      </c>
      <c r="I7523" s="29"/>
      <c r="J7523" s="29" t="s">
        <v>5908</v>
      </c>
      <c r="K7523" s="29"/>
      <c r="L7523" s="29" t="s">
        <v>5976</v>
      </c>
      <c r="M7523" s="29"/>
      <c r="N7523" s="29" t="s">
        <v>6258</v>
      </c>
      <c r="O7523" s="29"/>
      <c r="P7523" s="29" t="s">
        <v>6266</v>
      </c>
      <c r="Q7523" t="s">
        <v>2040</v>
      </c>
      <c r="R7523" t="s">
        <v>2632</v>
      </c>
      <c r="S7523">
        <v>36</v>
      </c>
      <c r="T7523" s="43" t="str">
        <f t="shared" si="326"/>
        <v>2020.095B.R.Leviviricetes.zip</v>
      </c>
      <c r="U7523" s="43" t="str">
        <f>HYPERLINK("https://ictv.global/taxonomy/taxondetails?taxnode_id=202211264","ictv.global=202211264")</f>
        <v>ictv.global=202211264</v>
      </c>
    </row>
    <row r="7524" spans="1:21">
      <c r="A7524">
        <v>7523</v>
      </c>
      <c r="B7524" s="29" t="s">
        <v>3223</v>
      </c>
      <c r="C7524" s="29"/>
      <c r="D7524" s="29" t="s">
        <v>4156</v>
      </c>
      <c r="E7524" s="29"/>
      <c r="F7524" s="29" t="s">
        <v>4202</v>
      </c>
      <c r="G7524" s="29"/>
      <c r="H7524" s="29" t="s">
        <v>5205</v>
      </c>
      <c r="I7524" s="29"/>
      <c r="J7524" s="29" t="s">
        <v>5908</v>
      </c>
      <c r="K7524" s="29"/>
      <c r="L7524" s="29" t="s">
        <v>5976</v>
      </c>
      <c r="M7524" s="29"/>
      <c r="N7524" s="29" t="s">
        <v>6258</v>
      </c>
      <c r="O7524" s="29"/>
      <c r="P7524" s="29" t="s">
        <v>6267</v>
      </c>
      <c r="Q7524" t="s">
        <v>2040</v>
      </c>
      <c r="R7524" t="s">
        <v>2632</v>
      </c>
      <c r="S7524">
        <v>36</v>
      </c>
      <c r="T7524" s="43" t="str">
        <f t="shared" si="326"/>
        <v>2020.095B.R.Leviviricetes.zip</v>
      </c>
      <c r="U7524" s="43" t="str">
        <f>HYPERLINK("https://ictv.global/taxonomy/taxondetails?taxnode_id=202211265","ictv.global=202211265")</f>
        <v>ictv.global=202211265</v>
      </c>
    </row>
    <row r="7525" spans="1:21">
      <c r="A7525">
        <v>7524</v>
      </c>
      <c r="B7525" s="29" t="s">
        <v>3223</v>
      </c>
      <c r="C7525" s="29"/>
      <c r="D7525" s="29" t="s">
        <v>4156</v>
      </c>
      <c r="E7525" s="29"/>
      <c r="F7525" s="29" t="s">
        <v>4202</v>
      </c>
      <c r="G7525" s="29"/>
      <c r="H7525" s="29" t="s">
        <v>5205</v>
      </c>
      <c r="I7525" s="29"/>
      <c r="J7525" s="29" t="s">
        <v>5908</v>
      </c>
      <c r="K7525" s="29"/>
      <c r="L7525" s="29" t="s">
        <v>5976</v>
      </c>
      <c r="M7525" s="29"/>
      <c r="N7525" s="29" t="s">
        <v>6268</v>
      </c>
      <c r="O7525" s="29"/>
      <c r="P7525" s="29" t="s">
        <v>6269</v>
      </c>
      <c r="Q7525" t="s">
        <v>2040</v>
      </c>
      <c r="R7525" t="s">
        <v>2632</v>
      </c>
      <c r="S7525">
        <v>36</v>
      </c>
      <c r="T7525" s="43" t="str">
        <f t="shared" si="326"/>
        <v>2020.095B.R.Leviviricetes.zip</v>
      </c>
      <c r="U7525" s="43" t="str">
        <f>HYPERLINK("https://ictv.global/taxonomy/taxondetails?taxnode_id=202211273","ictv.global=202211273")</f>
        <v>ictv.global=202211273</v>
      </c>
    </row>
    <row r="7526" spans="1:21">
      <c r="A7526">
        <v>7525</v>
      </c>
      <c r="B7526" s="29" t="s">
        <v>3223</v>
      </c>
      <c r="C7526" s="29"/>
      <c r="D7526" s="29" t="s">
        <v>4156</v>
      </c>
      <c r="E7526" s="29"/>
      <c r="F7526" s="29" t="s">
        <v>4202</v>
      </c>
      <c r="G7526" s="29"/>
      <c r="H7526" s="29" t="s">
        <v>5205</v>
      </c>
      <c r="I7526" s="29"/>
      <c r="J7526" s="29" t="s">
        <v>5908</v>
      </c>
      <c r="K7526" s="29"/>
      <c r="L7526" s="29" t="s">
        <v>5976</v>
      </c>
      <c r="M7526" s="29"/>
      <c r="N7526" s="29" t="s">
        <v>6270</v>
      </c>
      <c r="O7526" s="29"/>
      <c r="P7526" s="29" t="s">
        <v>6271</v>
      </c>
      <c r="Q7526" t="s">
        <v>2040</v>
      </c>
      <c r="R7526" t="s">
        <v>2632</v>
      </c>
      <c r="S7526">
        <v>36</v>
      </c>
      <c r="T7526" s="43" t="str">
        <f t="shared" si="326"/>
        <v>2020.095B.R.Leviviricetes.zip</v>
      </c>
      <c r="U7526" s="43" t="str">
        <f>HYPERLINK("https://ictv.global/taxonomy/taxondetails?taxnode_id=202211275","ictv.global=202211275")</f>
        <v>ictv.global=202211275</v>
      </c>
    </row>
    <row r="7527" spans="1:21">
      <c r="A7527">
        <v>7526</v>
      </c>
      <c r="B7527" s="29" t="s">
        <v>3223</v>
      </c>
      <c r="C7527" s="29"/>
      <c r="D7527" s="29" t="s">
        <v>4156</v>
      </c>
      <c r="E7527" s="29"/>
      <c r="F7527" s="29" t="s">
        <v>4202</v>
      </c>
      <c r="G7527" s="29"/>
      <c r="H7527" s="29" t="s">
        <v>5205</v>
      </c>
      <c r="I7527" s="29"/>
      <c r="J7527" s="29" t="s">
        <v>5908</v>
      </c>
      <c r="K7527" s="29"/>
      <c r="L7527" s="29" t="s">
        <v>5976</v>
      </c>
      <c r="M7527" s="29"/>
      <c r="N7527" s="29" t="s">
        <v>6272</v>
      </c>
      <c r="O7527" s="29"/>
      <c r="P7527" s="29" t="s">
        <v>6273</v>
      </c>
      <c r="Q7527" t="s">
        <v>2040</v>
      </c>
      <c r="R7527" t="s">
        <v>2632</v>
      </c>
      <c r="S7527">
        <v>36</v>
      </c>
      <c r="T7527" s="43" t="str">
        <f t="shared" si="326"/>
        <v>2020.095B.R.Leviviricetes.zip</v>
      </c>
      <c r="U7527" s="43" t="str">
        <f>HYPERLINK("https://ictv.global/taxonomy/taxondetails?taxnode_id=202211277","ictv.global=202211277")</f>
        <v>ictv.global=202211277</v>
      </c>
    </row>
    <row r="7528" spans="1:21">
      <c r="A7528">
        <v>7527</v>
      </c>
      <c r="B7528" s="29" t="s">
        <v>3223</v>
      </c>
      <c r="C7528" s="29"/>
      <c r="D7528" s="29" t="s">
        <v>4156</v>
      </c>
      <c r="E7528" s="29"/>
      <c r="F7528" s="29" t="s">
        <v>4202</v>
      </c>
      <c r="G7528" s="29"/>
      <c r="H7528" s="29" t="s">
        <v>5205</v>
      </c>
      <c r="I7528" s="29"/>
      <c r="J7528" s="29" t="s">
        <v>5908</v>
      </c>
      <c r="K7528" s="29"/>
      <c r="L7528" s="29" t="s">
        <v>5976</v>
      </c>
      <c r="M7528" s="29"/>
      <c r="N7528" s="29" t="s">
        <v>6274</v>
      </c>
      <c r="O7528" s="29"/>
      <c r="P7528" s="29" t="s">
        <v>6275</v>
      </c>
      <c r="Q7528" t="s">
        <v>2040</v>
      </c>
      <c r="R7528" t="s">
        <v>2632</v>
      </c>
      <c r="S7528">
        <v>36</v>
      </c>
      <c r="T7528" s="43" t="str">
        <f t="shared" si="326"/>
        <v>2020.095B.R.Leviviricetes.zip</v>
      </c>
      <c r="U7528" s="43" t="str">
        <f>HYPERLINK("https://ictv.global/taxonomy/taxondetails?taxnode_id=202211279","ictv.global=202211279")</f>
        <v>ictv.global=202211279</v>
      </c>
    </row>
    <row r="7529" spans="1:21">
      <c r="A7529">
        <v>7528</v>
      </c>
      <c r="B7529" s="29" t="s">
        <v>3223</v>
      </c>
      <c r="C7529" s="29"/>
      <c r="D7529" s="29" t="s">
        <v>4156</v>
      </c>
      <c r="E7529" s="29"/>
      <c r="F7529" s="29" t="s">
        <v>4202</v>
      </c>
      <c r="G7529" s="29"/>
      <c r="H7529" s="29" t="s">
        <v>5205</v>
      </c>
      <c r="I7529" s="29"/>
      <c r="J7529" s="29" t="s">
        <v>5908</v>
      </c>
      <c r="K7529" s="29"/>
      <c r="L7529" s="29" t="s">
        <v>5976</v>
      </c>
      <c r="M7529" s="29"/>
      <c r="N7529" s="29" t="s">
        <v>6276</v>
      </c>
      <c r="O7529" s="29"/>
      <c r="P7529" s="29" t="s">
        <v>6277</v>
      </c>
      <c r="Q7529" t="s">
        <v>2040</v>
      </c>
      <c r="R7529" t="s">
        <v>2632</v>
      </c>
      <c r="S7529">
        <v>36</v>
      </c>
      <c r="T7529" s="43" t="str">
        <f t="shared" si="326"/>
        <v>2020.095B.R.Leviviricetes.zip</v>
      </c>
      <c r="U7529" s="43" t="str">
        <f>HYPERLINK("https://ictv.global/taxonomy/taxondetails?taxnode_id=202211281","ictv.global=202211281")</f>
        <v>ictv.global=202211281</v>
      </c>
    </row>
    <row r="7530" spans="1:21">
      <c r="A7530">
        <v>7529</v>
      </c>
      <c r="B7530" s="29" t="s">
        <v>3223</v>
      </c>
      <c r="C7530" s="29"/>
      <c r="D7530" s="29" t="s">
        <v>4156</v>
      </c>
      <c r="E7530" s="29"/>
      <c r="F7530" s="29" t="s">
        <v>4202</v>
      </c>
      <c r="G7530" s="29"/>
      <c r="H7530" s="29" t="s">
        <v>5205</v>
      </c>
      <c r="I7530" s="29"/>
      <c r="J7530" s="29" t="s">
        <v>5908</v>
      </c>
      <c r="K7530" s="29"/>
      <c r="L7530" s="29" t="s">
        <v>5976</v>
      </c>
      <c r="M7530" s="29"/>
      <c r="N7530" s="29" t="s">
        <v>6278</v>
      </c>
      <c r="O7530" s="29"/>
      <c r="P7530" s="29" t="s">
        <v>6279</v>
      </c>
      <c r="Q7530" t="s">
        <v>2040</v>
      </c>
      <c r="R7530" t="s">
        <v>2632</v>
      </c>
      <c r="S7530">
        <v>36</v>
      </c>
      <c r="T7530" s="43" t="str">
        <f t="shared" si="326"/>
        <v>2020.095B.R.Leviviricetes.zip</v>
      </c>
      <c r="U7530" s="43" t="str">
        <f>HYPERLINK("https://ictv.global/taxonomy/taxondetails?taxnode_id=202211283","ictv.global=202211283")</f>
        <v>ictv.global=202211283</v>
      </c>
    </row>
    <row r="7531" spans="1:21">
      <c r="A7531">
        <v>7530</v>
      </c>
      <c r="B7531" s="29" t="s">
        <v>3223</v>
      </c>
      <c r="C7531" s="29"/>
      <c r="D7531" s="29" t="s">
        <v>4156</v>
      </c>
      <c r="E7531" s="29"/>
      <c r="F7531" s="29" t="s">
        <v>4202</v>
      </c>
      <c r="G7531" s="29"/>
      <c r="H7531" s="29" t="s">
        <v>5205</v>
      </c>
      <c r="I7531" s="29"/>
      <c r="J7531" s="29" t="s">
        <v>5908</v>
      </c>
      <c r="K7531" s="29"/>
      <c r="L7531" s="29" t="s">
        <v>5976</v>
      </c>
      <c r="M7531" s="29"/>
      <c r="N7531" s="29" t="s">
        <v>6280</v>
      </c>
      <c r="O7531" s="29"/>
      <c r="P7531" s="29" t="s">
        <v>6281</v>
      </c>
      <c r="Q7531" t="s">
        <v>2040</v>
      </c>
      <c r="R7531" t="s">
        <v>2632</v>
      </c>
      <c r="S7531">
        <v>36</v>
      </c>
      <c r="T7531" s="43" t="str">
        <f t="shared" si="326"/>
        <v>2020.095B.R.Leviviricetes.zip</v>
      </c>
      <c r="U7531" s="43" t="str">
        <f>HYPERLINK("https://ictv.global/taxonomy/taxondetails?taxnode_id=202211285","ictv.global=202211285")</f>
        <v>ictv.global=202211285</v>
      </c>
    </row>
    <row r="7532" spans="1:21">
      <c r="A7532">
        <v>7531</v>
      </c>
      <c r="B7532" s="29" t="s">
        <v>3223</v>
      </c>
      <c r="C7532" s="29"/>
      <c r="D7532" s="29" t="s">
        <v>4156</v>
      </c>
      <c r="E7532" s="29"/>
      <c r="F7532" s="29" t="s">
        <v>4202</v>
      </c>
      <c r="G7532" s="29"/>
      <c r="H7532" s="29" t="s">
        <v>5205</v>
      </c>
      <c r="I7532" s="29"/>
      <c r="J7532" s="29" t="s">
        <v>5908</v>
      </c>
      <c r="K7532" s="29"/>
      <c r="L7532" s="29" t="s">
        <v>5976</v>
      </c>
      <c r="M7532" s="29"/>
      <c r="N7532" s="29" t="s">
        <v>6282</v>
      </c>
      <c r="O7532" s="29"/>
      <c r="P7532" s="29" t="s">
        <v>6283</v>
      </c>
      <c r="Q7532" t="s">
        <v>2040</v>
      </c>
      <c r="R7532" t="s">
        <v>2632</v>
      </c>
      <c r="S7532">
        <v>36</v>
      </c>
      <c r="T7532" s="43" t="str">
        <f t="shared" si="326"/>
        <v>2020.095B.R.Leviviricetes.zip</v>
      </c>
      <c r="U7532" s="43" t="str">
        <f>HYPERLINK("https://ictv.global/taxonomy/taxondetails?taxnode_id=202211287","ictv.global=202211287")</f>
        <v>ictv.global=202211287</v>
      </c>
    </row>
    <row r="7533" spans="1:21">
      <c r="A7533">
        <v>7532</v>
      </c>
      <c r="B7533" s="29" t="s">
        <v>3223</v>
      </c>
      <c r="C7533" s="29"/>
      <c r="D7533" s="29" t="s">
        <v>4156</v>
      </c>
      <c r="E7533" s="29"/>
      <c r="F7533" s="29" t="s">
        <v>4202</v>
      </c>
      <c r="G7533" s="29"/>
      <c r="H7533" s="29" t="s">
        <v>5205</v>
      </c>
      <c r="I7533" s="29"/>
      <c r="J7533" s="29" t="s">
        <v>5908</v>
      </c>
      <c r="K7533" s="29"/>
      <c r="L7533" s="29" t="s">
        <v>5976</v>
      </c>
      <c r="M7533" s="29"/>
      <c r="N7533" s="29" t="s">
        <v>6282</v>
      </c>
      <c r="O7533" s="29"/>
      <c r="P7533" s="29" t="s">
        <v>6284</v>
      </c>
      <c r="Q7533" t="s">
        <v>2040</v>
      </c>
      <c r="R7533" t="s">
        <v>2632</v>
      </c>
      <c r="S7533">
        <v>36</v>
      </c>
      <c r="T7533" s="43" t="str">
        <f t="shared" ref="T7533:T7596" si="327">HYPERLINK("https://ictv.global/ictv/proposals/2020.095B.R.Leviviricetes.zip","2020.095B.R.Leviviricetes.zip")</f>
        <v>2020.095B.R.Leviviricetes.zip</v>
      </c>
      <c r="U7533" s="43" t="str">
        <f>HYPERLINK("https://ictv.global/taxonomy/taxondetails?taxnode_id=202211289","ictv.global=202211289")</f>
        <v>ictv.global=202211289</v>
      </c>
    </row>
    <row r="7534" spans="1:21">
      <c r="A7534">
        <v>7533</v>
      </c>
      <c r="B7534" s="29" t="s">
        <v>3223</v>
      </c>
      <c r="C7534" s="29"/>
      <c r="D7534" s="29" t="s">
        <v>4156</v>
      </c>
      <c r="E7534" s="29"/>
      <c r="F7534" s="29" t="s">
        <v>4202</v>
      </c>
      <c r="G7534" s="29"/>
      <c r="H7534" s="29" t="s">
        <v>5205</v>
      </c>
      <c r="I7534" s="29"/>
      <c r="J7534" s="29" t="s">
        <v>5908</v>
      </c>
      <c r="K7534" s="29"/>
      <c r="L7534" s="29" t="s">
        <v>5976</v>
      </c>
      <c r="M7534" s="29"/>
      <c r="N7534" s="29" t="s">
        <v>6282</v>
      </c>
      <c r="O7534" s="29"/>
      <c r="P7534" s="29" t="s">
        <v>6285</v>
      </c>
      <c r="Q7534" t="s">
        <v>2040</v>
      </c>
      <c r="R7534" t="s">
        <v>2632</v>
      </c>
      <c r="S7534">
        <v>36</v>
      </c>
      <c r="T7534" s="43" t="str">
        <f t="shared" si="327"/>
        <v>2020.095B.R.Leviviricetes.zip</v>
      </c>
      <c r="U7534" s="43" t="str">
        <f>HYPERLINK("https://ictv.global/taxonomy/taxondetails?taxnode_id=202211288","ictv.global=202211288")</f>
        <v>ictv.global=202211288</v>
      </c>
    </row>
    <row r="7535" spans="1:21">
      <c r="A7535">
        <v>7534</v>
      </c>
      <c r="B7535" s="29" t="s">
        <v>3223</v>
      </c>
      <c r="C7535" s="29"/>
      <c r="D7535" s="29" t="s">
        <v>4156</v>
      </c>
      <c r="E7535" s="29"/>
      <c r="F7535" s="29" t="s">
        <v>4202</v>
      </c>
      <c r="G7535" s="29"/>
      <c r="H7535" s="29" t="s">
        <v>5205</v>
      </c>
      <c r="I7535" s="29"/>
      <c r="J7535" s="29" t="s">
        <v>5908</v>
      </c>
      <c r="K7535" s="29"/>
      <c r="L7535" s="29" t="s">
        <v>5976</v>
      </c>
      <c r="M7535" s="29"/>
      <c r="N7535" s="29" t="s">
        <v>6286</v>
      </c>
      <c r="O7535" s="29"/>
      <c r="P7535" s="29" t="s">
        <v>6287</v>
      </c>
      <c r="Q7535" t="s">
        <v>2040</v>
      </c>
      <c r="R7535" t="s">
        <v>2632</v>
      </c>
      <c r="S7535">
        <v>36</v>
      </c>
      <c r="T7535" s="43" t="str">
        <f t="shared" si="327"/>
        <v>2020.095B.R.Leviviricetes.zip</v>
      </c>
      <c r="U7535" s="43" t="str">
        <f>HYPERLINK("https://ictv.global/taxonomy/taxondetails?taxnode_id=202211298","ictv.global=202211298")</f>
        <v>ictv.global=202211298</v>
      </c>
    </row>
    <row r="7536" spans="1:21">
      <c r="A7536">
        <v>7535</v>
      </c>
      <c r="B7536" s="29" t="s">
        <v>3223</v>
      </c>
      <c r="C7536" s="29"/>
      <c r="D7536" s="29" t="s">
        <v>4156</v>
      </c>
      <c r="E7536" s="29"/>
      <c r="F7536" s="29" t="s">
        <v>4202</v>
      </c>
      <c r="G7536" s="29"/>
      <c r="H7536" s="29" t="s">
        <v>5205</v>
      </c>
      <c r="I7536" s="29"/>
      <c r="J7536" s="29" t="s">
        <v>5908</v>
      </c>
      <c r="K7536" s="29"/>
      <c r="L7536" s="29" t="s">
        <v>5976</v>
      </c>
      <c r="M7536" s="29"/>
      <c r="N7536" s="29" t="s">
        <v>6286</v>
      </c>
      <c r="O7536" s="29"/>
      <c r="P7536" s="29" t="s">
        <v>6288</v>
      </c>
      <c r="Q7536" t="s">
        <v>2040</v>
      </c>
      <c r="R7536" t="s">
        <v>2632</v>
      </c>
      <c r="S7536">
        <v>36</v>
      </c>
      <c r="T7536" s="43" t="str">
        <f t="shared" si="327"/>
        <v>2020.095B.R.Leviviricetes.zip</v>
      </c>
      <c r="U7536" s="43" t="str">
        <f>HYPERLINK("https://ictv.global/taxonomy/taxondetails?taxnode_id=202211299","ictv.global=202211299")</f>
        <v>ictv.global=202211299</v>
      </c>
    </row>
    <row r="7537" spans="1:21">
      <c r="A7537">
        <v>7536</v>
      </c>
      <c r="B7537" s="29" t="s">
        <v>3223</v>
      </c>
      <c r="C7537" s="29"/>
      <c r="D7537" s="29" t="s">
        <v>4156</v>
      </c>
      <c r="E7537" s="29"/>
      <c r="F7537" s="29" t="s">
        <v>4202</v>
      </c>
      <c r="G7537" s="29"/>
      <c r="H7537" s="29" t="s">
        <v>5205</v>
      </c>
      <c r="I7537" s="29"/>
      <c r="J7537" s="29" t="s">
        <v>5908</v>
      </c>
      <c r="K7537" s="29"/>
      <c r="L7537" s="29" t="s">
        <v>5976</v>
      </c>
      <c r="M7537" s="29"/>
      <c r="N7537" s="29" t="s">
        <v>6286</v>
      </c>
      <c r="O7537" s="29"/>
      <c r="P7537" s="29" t="s">
        <v>6289</v>
      </c>
      <c r="Q7537" t="s">
        <v>2040</v>
      </c>
      <c r="R7537" t="s">
        <v>2632</v>
      </c>
      <c r="S7537">
        <v>36</v>
      </c>
      <c r="T7537" s="43" t="str">
        <f t="shared" si="327"/>
        <v>2020.095B.R.Leviviricetes.zip</v>
      </c>
      <c r="U7537" s="43" t="str">
        <f>HYPERLINK("https://ictv.global/taxonomy/taxondetails?taxnode_id=202211291","ictv.global=202211291")</f>
        <v>ictv.global=202211291</v>
      </c>
    </row>
    <row r="7538" spans="1:21">
      <c r="A7538">
        <v>7537</v>
      </c>
      <c r="B7538" s="29" t="s">
        <v>3223</v>
      </c>
      <c r="C7538" s="29"/>
      <c r="D7538" s="29" t="s">
        <v>4156</v>
      </c>
      <c r="E7538" s="29"/>
      <c r="F7538" s="29" t="s">
        <v>4202</v>
      </c>
      <c r="G7538" s="29"/>
      <c r="H7538" s="29" t="s">
        <v>5205</v>
      </c>
      <c r="I7538" s="29"/>
      <c r="J7538" s="29" t="s">
        <v>5908</v>
      </c>
      <c r="K7538" s="29"/>
      <c r="L7538" s="29" t="s">
        <v>5976</v>
      </c>
      <c r="M7538" s="29"/>
      <c r="N7538" s="29" t="s">
        <v>6286</v>
      </c>
      <c r="O7538" s="29"/>
      <c r="P7538" s="29" t="s">
        <v>6290</v>
      </c>
      <c r="Q7538" t="s">
        <v>2040</v>
      </c>
      <c r="R7538" t="s">
        <v>2632</v>
      </c>
      <c r="S7538">
        <v>36</v>
      </c>
      <c r="T7538" s="43" t="str">
        <f t="shared" si="327"/>
        <v>2020.095B.R.Leviviricetes.zip</v>
      </c>
      <c r="U7538" s="43" t="str">
        <f>HYPERLINK("https://ictv.global/taxonomy/taxondetails?taxnode_id=202211294","ictv.global=202211294")</f>
        <v>ictv.global=202211294</v>
      </c>
    </row>
    <row r="7539" spans="1:21">
      <c r="A7539">
        <v>7538</v>
      </c>
      <c r="B7539" s="29" t="s">
        <v>3223</v>
      </c>
      <c r="C7539" s="29"/>
      <c r="D7539" s="29" t="s">
        <v>4156</v>
      </c>
      <c r="E7539" s="29"/>
      <c r="F7539" s="29" t="s">
        <v>4202</v>
      </c>
      <c r="G7539" s="29"/>
      <c r="H7539" s="29" t="s">
        <v>5205</v>
      </c>
      <c r="I7539" s="29"/>
      <c r="J7539" s="29" t="s">
        <v>5908</v>
      </c>
      <c r="K7539" s="29"/>
      <c r="L7539" s="29" t="s">
        <v>5976</v>
      </c>
      <c r="M7539" s="29"/>
      <c r="N7539" s="29" t="s">
        <v>6286</v>
      </c>
      <c r="O7539" s="29"/>
      <c r="P7539" s="29" t="s">
        <v>6291</v>
      </c>
      <c r="Q7539" t="s">
        <v>2040</v>
      </c>
      <c r="R7539" t="s">
        <v>2632</v>
      </c>
      <c r="S7539">
        <v>36</v>
      </c>
      <c r="T7539" s="43" t="str">
        <f t="shared" si="327"/>
        <v>2020.095B.R.Leviviricetes.zip</v>
      </c>
      <c r="U7539" s="43" t="str">
        <f>HYPERLINK("https://ictv.global/taxonomy/taxondetails?taxnode_id=202211293","ictv.global=202211293")</f>
        <v>ictv.global=202211293</v>
      </c>
    </row>
    <row r="7540" spans="1:21">
      <c r="A7540">
        <v>7539</v>
      </c>
      <c r="B7540" s="29" t="s">
        <v>3223</v>
      </c>
      <c r="C7540" s="29"/>
      <c r="D7540" s="29" t="s">
        <v>4156</v>
      </c>
      <c r="E7540" s="29"/>
      <c r="F7540" s="29" t="s">
        <v>4202</v>
      </c>
      <c r="G7540" s="29"/>
      <c r="H7540" s="29" t="s">
        <v>5205</v>
      </c>
      <c r="I7540" s="29"/>
      <c r="J7540" s="29" t="s">
        <v>5908</v>
      </c>
      <c r="K7540" s="29"/>
      <c r="L7540" s="29" t="s">
        <v>5976</v>
      </c>
      <c r="M7540" s="29"/>
      <c r="N7540" s="29" t="s">
        <v>6286</v>
      </c>
      <c r="O7540" s="29"/>
      <c r="P7540" s="29" t="s">
        <v>6292</v>
      </c>
      <c r="Q7540" t="s">
        <v>2040</v>
      </c>
      <c r="R7540" t="s">
        <v>2632</v>
      </c>
      <c r="S7540">
        <v>36</v>
      </c>
      <c r="T7540" s="43" t="str">
        <f t="shared" si="327"/>
        <v>2020.095B.R.Leviviricetes.zip</v>
      </c>
      <c r="U7540" s="43" t="str">
        <f>HYPERLINK("https://ictv.global/taxonomy/taxondetails?taxnode_id=202211295","ictv.global=202211295")</f>
        <v>ictv.global=202211295</v>
      </c>
    </row>
    <row r="7541" spans="1:21">
      <c r="A7541">
        <v>7540</v>
      </c>
      <c r="B7541" s="29" t="s">
        <v>3223</v>
      </c>
      <c r="C7541" s="29"/>
      <c r="D7541" s="29" t="s">
        <v>4156</v>
      </c>
      <c r="E7541" s="29"/>
      <c r="F7541" s="29" t="s">
        <v>4202</v>
      </c>
      <c r="G7541" s="29"/>
      <c r="H7541" s="29" t="s">
        <v>5205</v>
      </c>
      <c r="I7541" s="29"/>
      <c r="J7541" s="29" t="s">
        <v>5908</v>
      </c>
      <c r="K7541" s="29"/>
      <c r="L7541" s="29" t="s">
        <v>5976</v>
      </c>
      <c r="M7541" s="29"/>
      <c r="N7541" s="29" t="s">
        <v>6286</v>
      </c>
      <c r="O7541" s="29"/>
      <c r="P7541" s="29" t="s">
        <v>6293</v>
      </c>
      <c r="Q7541" t="s">
        <v>2040</v>
      </c>
      <c r="R7541" t="s">
        <v>2632</v>
      </c>
      <c r="S7541">
        <v>36</v>
      </c>
      <c r="T7541" s="43" t="str">
        <f t="shared" si="327"/>
        <v>2020.095B.R.Leviviricetes.zip</v>
      </c>
      <c r="U7541" s="43" t="str">
        <f>HYPERLINK("https://ictv.global/taxonomy/taxondetails?taxnode_id=202211296","ictv.global=202211296")</f>
        <v>ictv.global=202211296</v>
      </c>
    </row>
    <row r="7542" spans="1:21">
      <c r="A7542">
        <v>7541</v>
      </c>
      <c r="B7542" s="29" t="s">
        <v>3223</v>
      </c>
      <c r="C7542" s="29"/>
      <c r="D7542" s="29" t="s">
        <v>4156</v>
      </c>
      <c r="E7542" s="29"/>
      <c r="F7542" s="29" t="s">
        <v>4202</v>
      </c>
      <c r="G7542" s="29"/>
      <c r="H7542" s="29" t="s">
        <v>5205</v>
      </c>
      <c r="I7542" s="29"/>
      <c r="J7542" s="29" t="s">
        <v>5908</v>
      </c>
      <c r="K7542" s="29"/>
      <c r="L7542" s="29" t="s">
        <v>5976</v>
      </c>
      <c r="M7542" s="29"/>
      <c r="N7542" s="29" t="s">
        <v>6286</v>
      </c>
      <c r="O7542" s="29"/>
      <c r="P7542" s="29" t="s">
        <v>6294</v>
      </c>
      <c r="Q7542" t="s">
        <v>2040</v>
      </c>
      <c r="R7542" t="s">
        <v>2632</v>
      </c>
      <c r="S7542">
        <v>36</v>
      </c>
      <c r="T7542" s="43" t="str">
        <f t="shared" si="327"/>
        <v>2020.095B.R.Leviviricetes.zip</v>
      </c>
      <c r="U7542" s="43" t="str">
        <f>HYPERLINK("https://ictv.global/taxonomy/taxondetails?taxnode_id=202211297","ictv.global=202211297")</f>
        <v>ictv.global=202211297</v>
      </c>
    </row>
    <row r="7543" spans="1:21">
      <c r="A7543">
        <v>7542</v>
      </c>
      <c r="B7543" s="29" t="s">
        <v>3223</v>
      </c>
      <c r="C7543" s="29"/>
      <c r="D7543" s="29" t="s">
        <v>4156</v>
      </c>
      <c r="E7543" s="29"/>
      <c r="F7543" s="29" t="s">
        <v>4202</v>
      </c>
      <c r="G7543" s="29"/>
      <c r="H7543" s="29" t="s">
        <v>5205</v>
      </c>
      <c r="I7543" s="29"/>
      <c r="J7543" s="29" t="s">
        <v>5908</v>
      </c>
      <c r="K7543" s="29"/>
      <c r="L7543" s="29" t="s">
        <v>5976</v>
      </c>
      <c r="M7543" s="29"/>
      <c r="N7543" s="29" t="s">
        <v>6286</v>
      </c>
      <c r="O7543" s="29"/>
      <c r="P7543" s="29" t="s">
        <v>6295</v>
      </c>
      <c r="Q7543" t="s">
        <v>2040</v>
      </c>
      <c r="R7543" t="s">
        <v>2632</v>
      </c>
      <c r="S7543">
        <v>36</v>
      </c>
      <c r="T7543" s="43" t="str">
        <f t="shared" si="327"/>
        <v>2020.095B.R.Leviviricetes.zip</v>
      </c>
      <c r="U7543" s="43" t="str">
        <f>HYPERLINK("https://ictv.global/taxonomy/taxondetails?taxnode_id=202211292","ictv.global=202211292")</f>
        <v>ictv.global=202211292</v>
      </c>
    </row>
    <row r="7544" spans="1:21">
      <c r="A7544">
        <v>7543</v>
      </c>
      <c r="B7544" s="29" t="s">
        <v>3223</v>
      </c>
      <c r="C7544" s="29"/>
      <c r="D7544" s="29" t="s">
        <v>4156</v>
      </c>
      <c r="E7544" s="29"/>
      <c r="F7544" s="29" t="s">
        <v>4202</v>
      </c>
      <c r="G7544" s="29"/>
      <c r="H7544" s="29" t="s">
        <v>5205</v>
      </c>
      <c r="I7544" s="29"/>
      <c r="J7544" s="29" t="s">
        <v>5908</v>
      </c>
      <c r="K7544" s="29"/>
      <c r="L7544" s="29" t="s">
        <v>5976</v>
      </c>
      <c r="M7544" s="29"/>
      <c r="N7544" s="29" t="s">
        <v>6296</v>
      </c>
      <c r="O7544" s="29"/>
      <c r="P7544" s="29" t="s">
        <v>6297</v>
      </c>
      <c r="Q7544" t="s">
        <v>2040</v>
      </c>
      <c r="R7544" t="s">
        <v>2632</v>
      </c>
      <c r="S7544">
        <v>36</v>
      </c>
      <c r="T7544" s="43" t="str">
        <f t="shared" si="327"/>
        <v>2020.095B.R.Leviviricetes.zip</v>
      </c>
      <c r="U7544" s="43" t="str">
        <f>HYPERLINK("https://ictv.global/taxonomy/taxondetails?taxnode_id=202211301","ictv.global=202211301")</f>
        <v>ictv.global=202211301</v>
      </c>
    </row>
    <row r="7545" spans="1:21">
      <c r="A7545">
        <v>7544</v>
      </c>
      <c r="B7545" s="29" t="s">
        <v>3223</v>
      </c>
      <c r="C7545" s="29"/>
      <c r="D7545" s="29" t="s">
        <v>4156</v>
      </c>
      <c r="E7545" s="29"/>
      <c r="F7545" s="29" t="s">
        <v>4202</v>
      </c>
      <c r="G7545" s="29"/>
      <c r="H7545" s="29" t="s">
        <v>5205</v>
      </c>
      <c r="I7545" s="29"/>
      <c r="J7545" s="29" t="s">
        <v>5908</v>
      </c>
      <c r="K7545" s="29"/>
      <c r="L7545" s="29" t="s">
        <v>5976</v>
      </c>
      <c r="M7545" s="29"/>
      <c r="N7545" s="29" t="s">
        <v>6298</v>
      </c>
      <c r="O7545" s="29"/>
      <c r="P7545" s="29" t="s">
        <v>6299</v>
      </c>
      <c r="Q7545" t="s">
        <v>2040</v>
      </c>
      <c r="R7545" t="s">
        <v>2632</v>
      </c>
      <c r="S7545">
        <v>36</v>
      </c>
      <c r="T7545" s="43" t="str">
        <f t="shared" si="327"/>
        <v>2020.095B.R.Leviviricetes.zip</v>
      </c>
      <c r="U7545" s="43" t="str">
        <f>HYPERLINK("https://ictv.global/taxonomy/taxondetails?taxnode_id=202211303","ictv.global=202211303")</f>
        <v>ictv.global=202211303</v>
      </c>
    </row>
    <row r="7546" spans="1:21">
      <c r="A7546">
        <v>7545</v>
      </c>
      <c r="B7546" s="29" t="s">
        <v>3223</v>
      </c>
      <c r="C7546" s="29"/>
      <c r="D7546" s="29" t="s">
        <v>4156</v>
      </c>
      <c r="E7546" s="29"/>
      <c r="F7546" s="29" t="s">
        <v>4202</v>
      </c>
      <c r="G7546" s="29"/>
      <c r="H7546" s="29" t="s">
        <v>5205</v>
      </c>
      <c r="I7546" s="29"/>
      <c r="J7546" s="29" t="s">
        <v>5908</v>
      </c>
      <c r="K7546" s="29"/>
      <c r="L7546" s="29" t="s">
        <v>5976</v>
      </c>
      <c r="M7546" s="29"/>
      <c r="N7546" s="29" t="s">
        <v>6300</v>
      </c>
      <c r="O7546" s="29"/>
      <c r="P7546" s="29" t="s">
        <v>6301</v>
      </c>
      <c r="Q7546" t="s">
        <v>2040</v>
      </c>
      <c r="R7546" t="s">
        <v>2632</v>
      </c>
      <c r="S7546">
        <v>36</v>
      </c>
      <c r="T7546" s="43" t="str">
        <f t="shared" si="327"/>
        <v>2020.095B.R.Leviviricetes.zip</v>
      </c>
      <c r="U7546" s="43" t="str">
        <f>HYPERLINK("https://ictv.global/taxonomy/taxondetails?taxnode_id=202211306","ictv.global=202211306")</f>
        <v>ictv.global=202211306</v>
      </c>
    </row>
    <row r="7547" spans="1:21">
      <c r="A7547">
        <v>7546</v>
      </c>
      <c r="B7547" s="29" t="s">
        <v>3223</v>
      </c>
      <c r="C7547" s="29"/>
      <c r="D7547" s="29" t="s">
        <v>4156</v>
      </c>
      <c r="E7547" s="29"/>
      <c r="F7547" s="29" t="s">
        <v>4202</v>
      </c>
      <c r="G7547" s="29"/>
      <c r="H7547" s="29" t="s">
        <v>5205</v>
      </c>
      <c r="I7547" s="29"/>
      <c r="J7547" s="29" t="s">
        <v>5908</v>
      </c>
      <c r="K7547" s="29"/>
      <c r="L7547" s="29" t="s">
        <v>5976</v>
      </c>
      <c r="M7547" s="29"/>
      <c r="N7547" s="29" t="s">
        <v>6300</v>
      </c>
      <c r="O7547" s="29"/>
      <c r="P7547" s="29" t="s">
        <v>6302</v>
      </c>
      <c r="Q7547" t="s">
        <v>2040</v>
      </c>
      <c r="R7547" t="s">
        <v>2632</v>
      </c>
      <c r="S7547">
        <v>36</v>
      </c>
      <c r="T7547" s="43" t="str">
        <f t="shared" si="327"/>
        <v>2020.095B.R.Leviviricetes.zip</v>
      </c>
      <c r="U7547" s="43" t="str">
        <f>HYPERLINK("https://ictv.global/taxonomy/taxondetails?taxnode_id=202211305","ictv.global=202211305")</f>
        <v>ictv.global=202211305</v>
      </c>
    </row>
    <row r="7548" spans="1:21">
      <c r="A7548">
        <v>7547</v>
      </c>
      <c r="B7548" s="29" t="s">
        <v>3223</v>
      </c>
      <c r="C7548" s="29"/>
      <c r="D7548" s="29" t="s">
        <v>4156</v>
      </c>
      <c r="E7548" s="29"/>
      <c r="F7548" s="29" t="s">
        <v>4202</v>
      </c>
      <c r="G7548" s="29"/>
      <c r="H7548" s="29" t="s">
        <v>5205</v>
      </c>
      <c r="I7548" s="29"/>
      <c r="J7548" s="29" t="s">
        <v>5908</v>
      </c>
      <c r="K7548" s="29"/>
      <c r="L7548" s="29" t="s">
        <v>5976</v>
      </c>
      <c r="M7548" s="29"/>
      <c r="N7548" s="29" t="s">
        <v>6303</v>
      </c>
      <c r="O7548" s="29"/>
      <c r="P7548" s="29" t="s">
        <v>6304</v>
      </c>
      <c r="Q7548" t="s">
        <v>2040</v>
      </c>
      <c r="R7548" t="s">
        <v>2632</v>
      </c>
      <c r="S7548">
        <v>36</v>
      </c>
      <c r="T7548" s="43" t="str">
        <f t="shared" si="327"/>
        <v>2020.095B.R.Leviviricetes.zip</v>
      </c>
      <c r="U7548" s="43" t="str">
        <f>HYPERLINK("https://ictv.global/taxonomy/taxondetails?taxnode_id=202211308","ictv.global=202211308")</f>
        <v>ictv.global=202211308</v>
      </c>
    </row>
    <row r="7549" spans="1:21">
      <c r="A7549">
        <v>7548</v>
      </c>
      <c r="B7549" s="29" t="s">
        <v>3223</v>
      </c>
      <c r="C7549" s="29"/>
      <c r="D7549" s="29" t="s">
        <v>4156</v>
      </c>
      <c r="E7549" s="29"/>
      <c r="F7549" s="29" t="s">
        <v>4202</v>
      </c>
      <c r="G7549" s="29"/>
      <c r="H7549" s="29" t="s">
        <v>5205</v>
      </c>
      <c r="I7549" s="29"/>
      <c r="J7549" s="29" t="s">
        <v>5908</v>
      </c>
      <c r="K7549" s="29"/>
      <c r="L7549" s="29" t="s">
        <v>5976</v>
      </c>
      <c r="M7549" s="29"/>
      <c r="N7549" s="29" t="s">
        <v>6305</v>
      </c>
      <c r="O7549" s="29"/>
      <c r="P7549" s="29" t="s">
        <v>6306</v>
      </c>
      <c r="Q7549" t="s">
        <v>2040</v>
      </c>
      <c r="R7549" t="s">
        <v>2632</v>
      </c>
      <c r="S7549">
        <v>36</v>
      </c>
      <c r="T7549" s="43" t="str">
        <f t="shared" si="327"/>
        <v>2020.095B.R.Leviviricetes.zip</v>
      </c>
      <c r="U7549" s="43" t="str">
        <f>HYPERLINK("https://ictv.global/taxonomy/taxondetails?taxnode_id=202211310","ictv.global=202211310")</f>
        <v>ictv.global=202211310</v>
      </c>
    </row>
    <row r="7550" spans="1:21">
      <c r="A7550">
        <v>7549</v>
      </c>
      <c r="B7550" s="29" t="s">
        <v>3223</v>
      </c>
      <c r="C7550" s="29"/>
      <c r="D7550" s="29" t="s">
        <v>4156</v>
      </c>
      <c r="E7550" s="29"/>
      <c r="F7550" s="29" t="s">
        <v>4202</v>
      </c>
      <c r="G7550" s="29"/>
      <c r="H7550" s="29" t="s">
        <v>5205</v>
      </c>
      <c r="I7550" s="29"/>
      <c r="J7550" s="29" t="s">
        <v>5908</v>
      </c>
      <c r="K7550" s="29"/>
      <c r="L7550" s="29" t="s">
        <v>5976</v>
      </c>
      <c r="M7550" s="29"/>
      <c r="N7550" s="29" t="s">
        <v>6307</v>
      </c>
      <c r="O7550" s="29"/>
      <c r="P7550" s="29" t="s">
        <v>6308</v>
      </c>
      <c r="Q7550" t="s">
        <v>2040</v>
      </c>
      <c r="R7550" t="s">
        <v>2632</v>
      </c>
      <c r="S7550">
        <v>36</v>
      </c>
      <c r="T7550" s="43" t="str">
        <f t="shared" si="327"/>
        <v>2020.095B.R.Leviviricetes.zip</v>
      </c>
      <c r="U7550" s="43" t="str">
        <f>HYPERLINK("https://ictv.global/taxonomy/taxondetails?taxnode_id=202211313","ictv.global=202211313")</f>
        <v>ictv.global=202211313</v>
      </c>
    </row>
    <row r="7551" spans="1:21">
      <c r="A7551">
        <v>7550</v>
      </c>
      <c r="B7551" s="29" t="s">
        <v>3223</v>
      </c>
      <c r="C7551" s="29"/>
      <c r="D7551" s="29" t="s">
        <v>4156</v>
      </c>
      <c r="E7551" s="29"/>
      <c r="F7551" s="29" t="s">
        <v>4202</v>
      </c>
      <c r="G7551" s="29"/>
      <c r="H7551" s="29" t="s">
        <v>5205</v>
      </c>
      <c r="I7551" s="29"/>
      <c r="J7551" s="29" t="s">
        <v>5908</v>
      </c>
      <c r="K7551" s="29"/>
      <c r="L7551" s="29" t="s">
        <v>5976</v>
      </c>
      <c r="M7551" s="29"/>
      <c r="N7551" s="29" t="s">
        <v>6307</v>
      </c>
      <c r="O7551" s="29"/>
      <c r="P7551" s="29" t="s">
        <v>6309</v>
      </c>
      <c r="Q7551" t="s">
        <v>2040</v>
      </c>
      <c r="R7551" t="s">
        <v>2632</v>
      </c>
      <c r="S7551">
        <v>36</v>
      </c>
      <c r="T7551" s="43" t="str">
        <f t="shared" si="327"/>
        <v>2020.095B.R.Leviviricetes.zip</v>
      </c>
      <c r="U7551" s="43" t="str">
        <f>HYPERLINK("https://ictv.global/taxonomy/taxondetails?taxnode_id=202211314","ictv.global=202211314")</f>
        <v>ictv.global=202211314</v>
      </c>
    </row>
    <row r="7552" spans="1:21">
      <c r="A7552">
        <v>7551</v>
      </c>
      <c r="B7552" s="29" t="s">
        <v>3223</v>
      </c>
      <c r="C7552" s="29"/>
      <c r="D7552" s="29" t="s">
        <v>4156</v>
      </c>
      <c r="E7552" s="29"/>
      <c r="F7552" s="29" t="s">
        <v>4202</v>
      </c>
      <c r="G7552" s="29"/>
      <c r="H7552" s="29" t="s">
        <v>5205</v>
      </c>
      <c r="I7552" s="29"/>
      <c r="J7552" s="29" t="s">
        <v>5908</v>
      </c>
      <c r="K7552" s="29"/>
      <c r="L7552" s="29" t="s">
        <v>5976</v>
      </c>
      <c r="M7552" s="29"/>
      <c r="N7552" s="29" t="s">
        <v>6307</v>
      </c>
      <c r="O7552" s="29"/>
      <c r="P7552" s="29" t="s">
        <v>6310</v>
      </c>
      <c r="Q7552" t="s">
        <v>2040</v>
      </c>
      <c r="R7552" t="s">
        <v>2632</v>
      </c>
      <c r="S7552">
        <v>36</v>
      </c>
      <c r="T7552" s="43" t="str">
        <f t="shared" si="327"/>
        <v>2020.095B.R.Leviviricetes.zip</v>
      </c>
      <c r="U7552" s="43" t="str">
        <f>HYPERLINK("https://ictv.global/taxonomy/taxondetails?taxnode_id=202211315","ictv.global=202211315")</f>
        <v>ictv.global=202211315</v>
      </c>
    </row>
    <row r="7553" spans="1:21">
      <c r="A7553">
        <v>7552</v>
      </c>
      <c r="B7553" s="29" t="s">
        <v>3223</v>
      </c>
      <c r="C7553" s="29"/>
      <c r="D7553" s="29" t="s">
        <v>4156</v>
      </c>
      <c r="E7553" s="29"/>
      <c r="F7553" s="29" t="s">
        <v>4202</v>
      </c>
      <c r="G7553" s="29"/>
      <c r="H7553" s="29" t="s">
        <v>5205</v>
      </c>
      <c r="I7553" s="29"/>
      <c r="J7553" s="29" t="s">
        <v>5908</v>
      </c>
      <c r="K7553" s="29"/>
      <c r="L7553" s="29" t="s">
        <v>5976</v>
      </c>
      <c r="M7553" s="29"/>
      <c r="N7553" s="29" t="s">
        <v>6307</v>
      </c>
      <c r="O7553" s="29"/>
      <c r="P7553" s="29" t="s">
        <v>6311</v>
      </c>
      <c r="Q7553" t="s">
        <v>2040</v>
      </c>
      <c r="R7553" t="s">
        <v>2632</v>
      </c>
      <c r="S7553">
        <v>36</v>
      </c>
      <c r="T7553" s="43" t="str">
        <f t="shared" si="327"/>
        <v>2020.095B.R.Leviviricetes.zip</v>
      </c>
      <c r="U7553" s="43" t="str">
        <f>HYPERLINK("https://ictv.global/taxonomy/taxondetails?taxnode_id=202211316","ictv.global=202211316")</f>
        <v>ictv.global=202211316</v>
      </c>
    </row>
    <row r="7554" spans="1:21">
      <c r="A7554">
        <v>7553</v>
      </c>
      <c r="B7554" s="29" t="s">
        <v>3223</v>
      </c>
      <c r="C7554" s="29"/>
      <c r="D7554" s="29" t="s">
        <v>4156</v>
      </c>
      <c r="E7554" s="29"/>
      <c r="F7554" s="29" t="s">
        <v>4202</v>
      </c>
      <c r="G7554" s="29"/>
      <c r="H7554" s="29" t="s">
        <v>5205</v>
      </c>
      <c r="I7554" s="29"/>
      <c r="J7554" s="29" t="s">
        <v>5908</v>
      </c>
      <c r="K7554" s="29"/>
      <c r="L7554" s="29" t="s">
        <v>5976</v>
      </c>
      <c r="M7554" s="29"/>
      <c r="N7554" s="29" t="s">
        <v>6307</v>
      </c>
      <c r="O7554" s="29"/>
      <c r="P7554" s="29" t="s">
        <v>6312</v>
      </c>
      <c r="Q7554" t="s">
        <v>2040</v>
      </c>
      <c r="R7554" t="s">
        <v>2632</v>
      </c>
      <c r="S7554">
        <v>36</v>
      </c>
      <c r="T7554" s="43" t="str">
        <f t="shared" si="327"/>
        <v>2020.095B.R.Leviviricetes.zip</v>
      </c>
      <c r="U7554" s="43" t="str">
        <f>HYPERLINK("https://ictv.global/taxonomy/taxondetails?taxnode_id=202211317","ictv.global=202211317")</f>
        <v>ictv.global=202211317</v>
      </c>
    </row>
    <row r="7555" spans="1:21">
      <c r="A7555">
        <v>7554</v>
      </c>
      <c r="B7555" s="29" t="s">
        <v>3223</v>
      </c>
      <c r="C7555" s="29"/>
      <c r="D7555" s="29" t="s">
        <v>4156</v>
      </c>
      <c r="E7555" s="29"/>
      <c r="F7555" s="29" t="s">
        <v>4202</v>
      </c>
      <c r="G7555" s="29"/>
      <c r="H7555" s="29" t="s">
        <v>5205</v>
      </c>
      <c r="I7555" s="29"/>
      <c r="J7555" s="29" t="s">
        <v>5908</v>
      </c>
      <c r="K7555" s="29"/>
      <c r="L7555" s="29" t="s">
        <v>5976</v>
      </c>
      <c r="M7555" s="29"/>
      <c r="N7555" s="29" t="s">
        <v>6307</v>
      </c>
      <c r="O7555" s="29"/>
      <c r="P7555" s="29" t="s">
        <v>6313</v>
      </c>
      <c r="Q7555" t="s">
        <v>2040</v>
      </c>
      <c r="R7555" t="s">
        <v>2632</v>
      </c>
      <c r="S7555">
        <v>36</v>
      </c>
      <c r="T7555" s="43" t="str">
        <f t="shared" si="327"/>
        <v>2020.095B.R.Leviviricetes.zip</v>
      </c>
      <c r="U7555" s="43" t="str">
        <f>HYPERLINK("https://ictv.global/taxonomy/taxondetails?taxnode_id=202211312","ictv.global=202211312")</f>
        <v>ictv.global=202211312</v>
      </c>
    </row>
    <row r="7556" spans="1:21">
      <c r="A7556">
        <v>7555</v>
      </c>
      <c r="B7556" s="29" t="s">
        <v>3223</v>
      </c>
      <c r="C7556" s="29"/>
      <c r="D7556" s="29" t="s">
        <v>4156</v>
      </c>
      <c r="E7556" s="29"/>
      <c r="F7556" s="29" t="s">
        <v>4202</v>
      </c>
      <c r="G7556" s="29"/>
      <c r="H7556" s="29" t="s">
        <v>5205</v>
      </c>
      <c r="I7556" s="29"/>
      <c r="J7556" s="29" t="s">
        <v>5908</v>
      </c>
      <c r="K7556" s="29"/>
      <c r="L7556" s="29" t="s">
        <v>5976</v>
      </c>
      <c r="M7556" s="29"/>
      <c r="N7556" s="29" t="s">
        <v>6314</v>
      </c>
      <c r="O7556" s="29"/>
      <c r="P7556" s="29" t="s">
        <v>6315</v>
      </c>
      <c r="Q7556" t="s">
        <v>2040</v>
      </c>
      <c r="R7556" t="s">
        <v>2632</v>
      </c>
      <c r="S7556">
        <v>36</v>
      </c>
      <c r="T7556" s="43" t="str">
        <f t="shared" si="327"/>
        <v>2020.095B.R.Leviviricetes.zip</v>
      </c>
      <c r="U7556" s="43" t="str">
        <f>HYPERLINK("https://ictv.global/taxonomy/taxondetails?taxnode_id=202211319","ictv.global=202211319")</f>
        <v>ictv.global=202211319</v>
      </c>
    </row>
    <row r="7557" spans="1:21">
      <c r="A7557">
        <v>7556</v>
      </c>
      <c r="B7557" s="29" t="s">
        <v>3223</v>
      </c>
      <c r="C7557" s="29"/>
      <c r="D7557" s="29" t="s">
        <v>4156</v>
      </c>
      <c r="E7557" s="29"/>
      <c r="F7557" s="29" t="s">
        <v>4202</v>
      </c>
      <c r="G7557" s="29"/>
      <c r="H7557" s="29" t="s">
        <v>5205</v>
      </c>
      <c r="I7557" s="29"/>
      <c r="J7557" s="29" t="s">
        <v>5908</v>
      </c>
      <c r="K7557" s="29"/>
      <c r="L7557" s="29" t="s">
        <v>5976</v>
      </c>
      <c r="M7557" s="29"/>
      <c r="N7557" s="29" t="s">
        <v>6316</v>
      </c>
      <c r="O7557" s="29"/>
      <c r="P7557" s="29" t="s">
        <v>6317</v>
      </c>
      <c r="Q7557" t="s">
        <v>2040</v>
      </c>
      <c r="R7557" t="s">
        <v>2632</v>
      </c>
      <c r="S7557">
        <v>36</v>
      </c>
      <c r="T7557" s="43" t="str">
        <f t="shared" si="327"/>
        <v>2020.095B.R.Leviviricetes.zip</v>
      </c>
      <c r="U7557" s="43" t="str">
        <f>HYPERLINK("https://ictv.global/taxonomy/taxondetails?taxnode_id=202211321","ictv.global=202211321")</f>
        <v>ictv.global=202211321</v>
      </c>
    </row>
    <row r="7558" spans="1:21">
      <c r="A7558">
        <v>7557</v>
      </c>
      <c r="B7558" s="29" t="s">
        <v>3223</v>
      </c>
      <c r="C7558" s="29"/>
      <c r="D7558" s="29" t="s">
        <v>4156</v>
      </c>
      <c r="E7558" s="29"/>
      <c r="F7558" s="29" t="s">
        <v>4202</v>
      </c>
      <c r="G7558" s="29"/>
      <c r="H7558" s="29" t="s">
        <v>5205</v>
      </c>
      <c r="I7558" s="29"/>
      <c r="J7558" s="29" t="s">
        <v>5908</v>
      </c>
      <c r="K7558" s="29"/>
      <c r="L7558" s="29" t="s">
        <v>5976</v>
      </c>
      <c r="M7558" s="29"/>
      <c r="N7558" s="29" t="s">
        <v>6316</v>
      </c>
      <c r="O7558" s="29"/>
      <c r="P7558" s="29" t="s">
        <v>6318</v>
      </c>
      <c r="Q7558" t="s">
        <v>2040</v>
      </c>
      <c r="R7558" t="s">
        <v>2632</v>
      </c>
      <c r="S7558">
        <v>36</v>
      </c>
      <c r="T7558" s="43" t="str">
        <f t="shared" si="327"/>
        <v>2020.095B.R.Leviviricetes.zip</v>
      </c>
      <c r="U7558" s="43" t="str">
        <f>HYPERLINK("https://ictv.global/taxonomy/taxondetails?taxnode_id=202211322","ictv.global=202211322")</f>
        <v>ictv.global=202211322</v>
      </c>
    </row>
    <row r="7559" spans="1:21">
      <c r="A7559">
        <v>7558</v>
      </c>
      <c r="B7559" s="29" t="s">
        <v>3223</v>
      </c>
      <c r="C7559" s="29"/>
      <c r="D7559" s="29" t="s">
        <v>4156</v>
      </c>
      <c r="E7559" s="29"/>
      <c r="F7559" s="29" t="s">
        <v>4202</v>
      </c>
      <c r="G7559" s="29"/>
      <c r="H7559" s="29" t="s">
        <v>5205</v>
      </c>
      <c r="I7559" s="29"/>
      <c r="J7559" s="29" t="s">
        <v>5908</v>
      </c>
      <c r="K7559" s="29"/>
      <c r="L7559" s="29" t="s">
        <v>5976</v>
      </c>
      <c r="M7559" s="29"/>
      <c r="N7559" s="29" t="s">
        <v>6319</v>
      </c>
      <c r="O7559" s="29"/>
      <c r="P7559" s="29" t="s">
        <v>6320</v>
      </c>
      <c r="Q7559" t="s">
        <v>2040</v>
      </c>
      <c r="R7559" t="s">
        <v>2632</v>
      </c>
      <c r="S7559">
        <v>36</v>
      </c>
      <c r="T7559" s="43" t="str">
        <f t="shared" si="327"/>
        <v>2020.095B.R.Leviviricetes.zip</v>
      </c>
      <c r="U7559" s="43" t="str">
        <f>HYPERLINK("https://ictv.global/taxonomy/taxondetails?taxnode_id=202211324","ictv.global=202211324")</f>
        <v>ictv.global=202211324</v>
      </c>
    </row>
    <row r="7560" spans="1:21">
      <c r="A7560">
        <v>7559</v>
      </c>
      <c r="B7560" s="29" t="s">
        <v>3223</v>
      </c>
      <c r="C7560" s="29"/>
      <c r="D7560" s="29" t="s">
        <v>4156</v>
      </c>
      <c r="E7560" s="29"/>
      <c r="F7560" s="29" t="s">
        <v>4202</v>
      </c>
      <c r="G7560" s="29"/>
      <c r="H7560" s="29" t="s">
        <v>5205</v>
      </c>
      <c r="I7560" s="29"/>
      <c r="J7560" s="29" t="s">
        <v>5908</v>
      </c>
      <c r="K7560" s="29"/>
      <c r="L7560" s="29" t="s">
        <v>5976</v>
      </c>
      <c r="M7560" s="29"/>
      <c r="N7560" s="29" t="s">
        <v>6321</v>
      </c>
      <c r="O7560" s="29"/>
      <c r="P7560" s="29" t="s">
        <v>6322</v>
      </c>
      <c r="Q7560" t="s">
        <v>2040</v>
      </c>
      <c r="R7560" t="s">
        <v>2632</v>
      </c>
      <c r="S7560">
        <v>36</v>
      </c>
      <c r="T7560" s="43" t="str">
        <f t="shared" si="327"/>
        <v>2020.095B.R.Leviviricetes.zip</v>
      </c>
      <c r="U7560" s="43" t="str">
        <f>HYPERLINK("https://ictv.global/taxonomy/taxondetails?taxnode_id=202211326","ictv.global=202211326")</f>
        <v>ictv.global=202211326</v>
      </c>
    </row>
    <row r="7561" spans="1:21">
      <c r="A7561">
        <v>7560</v>
      </c>
      <c r="B7561" s="29" t="s">
        <v>3223</v>
      </c>
      <c r="C7561" s="29"/>
      <c r="D7561" s="29" t="s">
        <v>4156</v>
      </c>
      <c r="E7561" s="29"/>
      <c r="F7561" s="29" t="s">
        <v>4202</v>
      </c>
      <c r="G7561" s="29"/>
      <c r="H7561" s="29" t="s">
        <v>5205</v>
      </c>
      <c r="I7561" s="29"/>
      <c r="J7561" s="29" t="s">
        <v>5908</v>
      </c>
      <c r="K7561" s="29"/>
      <c r="L7561" s="29" t="s">
        <v>5976</v>
      </c>
      <c r="M7561" s="29"/>
      <c r="N7561" s="29" t="s">
        <v>6321</v>
      </c>
      <c r="O7561" s="29"/>
      <c r="P7561" s="29" t="s">
        <v>6323</v>
      </c>
      <c r="Q7561" t="s">
        <v>2040</v>
      </c>
      <c r="R7561" t="s">
        <v>2632</v>
      </c>
      <c r="S7561">
        <v>36</v>
      </c>
      <c r="T7561" s="43" t="str">
        <f t="shared" si="327"/>
        <v>2020.095B.R.Leviviricetes.zip</v>
      </c>
      <c r="U7561" s="43" t="str">
        <f>HYPERLINK("https://ictv.global/taxonomy/taxondetails?taxnode_id=202211328","ictv.global=202211328")</f>
        <v>ictv.global=202211328</v>
      </c>
    </row>
    <row r="7562" spans="1:21">
      <c r="A7562">
        <v>7561</v>
      </c>
      <c r="B7562" s="29" t="s">
        <v>3223</v>
      </c>
      <c r="C7562" s="29"/>
      <c r="D7562" s="29" t="s">
        <v>4156</v>
      </c>
      <c r="E7562" s="29"/>
      <c r="F7562" s="29" t="s">
        <v>4202</v>
      </c>
      <c r="G7562" s="29"/>
      <c r="H7562" s="29" t="s">
        <v>5205</v>
      </c>
      <c r="I7562" s="29"/>
      <c r="J7562" s="29" t="s">
        <v>5908</v>
      </c>
      <c r="K7562" s="29"/>
      <c r="L7562" s="29" t="s">
        <v>5976</v>
      </c>
      <c r="M7562" s="29"/>
      <c r="N7562" s="29" t="s">
        <v>6321</v>
      </c>
      <c r="O7562" s="29"/>
      <c r="P7562" s="29" t="s">
        <v>6324</v>
      </c>
      <c r="Q7562" t="s">
        <v>2040</v>
      </c>
      <c r="R7562" t="s">
        <v>2632</v>
      </c>
      <c r="S7562">
        <v>36</v>
      </c>
      <c r="T7562" s="43" t="str">
        <f t="shared" si="327"/>
        <v>2020.095B.R.Leviviricetes.zip</v>
      </c>
      <c r="U7562" s="43" t="str">
        <f>HYPERLINK("https://ictv.global/taxonomy/taxondetails?taxnode_id=202211327","ictv.global=202211327")</f>
        <v>ictv.global=202211327</v>
      </c>
    </row>
    <row r="7563" spans="1:21">
      <c r="A7563">
        <v>7562</v>
      </c>
      <c r="B7563" s="29" t="s">
        <v>3223</v>
      </c>
      <c r="C7563" s="29"/>
      <c r="D7563" s="29" t="s">
        <v>4156</v>
      </c>
      <c r="E7563" s="29"/>
      <c r="F7563" s="29" t="s">
        <v>4202</v>
      </c>
      <c r="G7563" s="29"/>
      <c r="H7563" s="29" t="s">
        <v>5205</v>
      </c>
      <c r="I7563" s="29"/>
      <c r="J7563" s="29" t="s">
        <v>5908</v>
      </c>
      <c r="K7563" s="29"/>
      <c r="L7563" s="29" t="s">
        <v>5976</v>
      </c>
      <c r="M7563" s="29"/>
      <c r="N7563" s="29" t="s">
        <v>6325</v>
      </c>
      <c r="O7563" s="29"/>
      <c r="P7563" s="29" t="s">
        <v>6326</v>
      </c>
      <c r="Q7563" t="s">
        <v>2040</v>
      </c>
      <c r="R7563" t="s">
        <v>2632</v>
      </c>
      <c r="S7563">
        <v>36</v>
      </c>
      <c r="T7563" s="43" t="str">
        <f t="shared" si="327"/>
        <v>2020.095B.R.Leviviricetes.zip</v>
      </c>
      <c r="U7563" s="43" t="str">
        <f>HYPERLINK("https://ictv.global/taxonomy/taxondetails?taxnode_id=202211332","ictv.global=202211332")</f>
        <v>ictv.global=202211332</v>
      </c>
    </row>
    <row r="7564" spans="1:21">
      <c r="A7564">
        <v>7563</v>
      </c>
      <c r="B7564" s="29" t="s">
        <v>3223</v>
      </c>
      <c r="C7564" s="29"/>
      <c r="D7564" s="29" t="s">
        <v>4156</v>
      </c>
      <c r="E7564" s="29"/>
      <c r="F7564" s="29" t="s">
        <v>4202</v>
      </c>
      <c r="G7564" s="29"/>
      <c r="H7564" s="29" t="s">
        <v>5205</v>
      </c>
      <c r="I7564" s="29"/>
      <c r="J7564" s="29" t="s">
        <v>5908</v>
      </c>
      <c r="K7564" s="29"/>
      <c r="L7564" s="29" t="s">
        <v>5976</v>
      </c>
      <c r="M7564" s="29"/>
      <c r="N7564" s="29" t="s">
        <v>6325</v>
      </c>
      <c r="O7564" s="29"/>
      <c r="P7564" s="29" t="s">
        <v>6327</v>
      </c>
      <c r="Q7564" t="s">
        <v>2040</v>
      </c>
      <c r="R7564" t="s">
        <v>2632</v>
      </c>
      <c r="S7564">
        <v>36</v>
      </c>
      <c r="T7564" s="43" t="str">
        <f t="shared" si="327"/>
        <v>2020.095B.R.Leviviricetes.zip</v>
      </c>
      <c r="U7564" s="43" t="str">
        <f>HYPERLINK("https://ictv.global/taxonomy/taxondetails?taxnode_id=202211331","ictv.global=202211331")</f>
        <v>ictv.global=202211331</v>
      </c>
    </row>
    <row r="7565" spans="1:21">
      <c r="A7565">
        <v>7564</v>
      </c>
      <c r="B7565" s="29" t="s">
        <v>3223</v>
      </c>
      <c r="C7565" s="29"/>
      <c r="D7565" s="29" t="s">
        <v>4156</v>
      </c>
      <c r="E7565" s="29"/>
      <c r="F7565" s="29" t="s">
        <v>4202</v>
      </c>
      <c r="G7565" s="29"/>
      <c r="H7565" s="29" t="s">
        <v>5205</v>
      </c>
      <c r="I7565" s="29"/>
      <c r="J7565" s="29" t="s">
        <v>5908</v>
      </c>
      <c r="K7565" s="29"/>
      <c r="L7565" s="29" t="s">
        <v>5976</v>
      </c>
      <c r="M7565" s="29"/>
      <c r="N7565" s="29" t="s">
        <v>6325</v>
      </c>
      <c r="O7565" s="29"/>
      <c r="P7565" s="29" t="s">
        <v>6328</v>
      </c>
      <c r="Q7565" t="s">
        <v>2040</v>
      </c>
      <c r="R7565" t="s">
        <v>2632</v>
      </c>
      <c r="S7565">
        <v>36</v>
      </c>
      <c r="T7565" s="43" t="str">
        <f t="shared" si="327"/>
        <v>2020.095B.R.Leviviricetes.zip</v>
      </c>
      <c r="U7565" s="43" t="str">
        <f>HYPERLINK("https://ictv.global/taxonomy/taxondetails?taxnode_id=202211330","ictv.global=202211330")</f>
        <v>ictv.global=202211330</v>
      </c>
    </row>
    <row r="7566" spans="1:21">
      <c r="A7566">
        <v>7565</v>
      </c>
      <c r="B7566" s="29" t="s">
        <v>3223</v>
      </c>
      <c r="C7566" s="29"/>
      <c r="D7566" s="29" t="s">
        <v>4156</v>
      </c>
      <c r="E7566" s="29"/>
      <c r="F7566" s="29" t="s">
        <v>4202</v>
      </c>
      <c r="G7566" s="29"/>
      <c r="H7566" s="29" t="s">
        <v>5205</v>
      </c>
      <c r="I7566" s="29"/>
      <c r="J7566" s="29" t="s">
        <v>5908</v>
      </c>
      <c r="K7566" s="29"/>
      <c r="L7566" s="29" t="s">
        <v>5976</v>
      </c>
      <c r="M7566" s="29"/>
      <c r="N7566" s="29" t="s">
        <v>6325</v>
      </c>
      <c r="O7566" s="29"/>
      <c r="P7566" s="29" t="s">
        <v>6329</v>
      </c>
      <c r="Q7566" t="s">
        <v>2040</v>
      </c>
      <c r="R7566" t="s">
        <v>2632</v>
      </c>
      <c r="S7566">
        <v>36</v>
      </c>
      <c r="T7566" s="43" t="str">
        <f t="shared" si="327"/>
        <v>2020.095B.R.Leviviricetes.zip</v>
      </c>
      <c r="U7566" s="43" t="str">
        <f>HYPERLINK("https://ictv.global/taxonomy/taxondetails?taxnode_id=202211333","ictv.global=202211333")</f>
        <v>ictv.global=202211333</v>
      </c>
    </row>
    <row r="7567" spans="1:21">
      <c r="A7567">
        <v>7566</v>
      </c>
      <c r="B7567" s="29" t="s">
        <v>3223</v>
      </c>
      <c r="C7567" s="29"/>
      <c r="D7567" s="29" t="s">
        <v>4156</v>
      </c>
      <c r="E7567" s="29"/>
      <c r="F7567" s="29" t="s">
        <v>4202</v>
      </c>
      <c r="G7567" s="29"/>
      <c r="H7567" s="29" t="s">
        <v>5205</v>
      </c>
      <c r="I7567" s="29"/>
      <c r="J7567" s="29" t="s">
        <v>5908</v>
      </c>
      <c r="K7567" s="29"/>
      <c r="L7567" s="29" t="s">
        <v>5976</v>
      </c>
      <c r="M7567" s="29"/>
      <c r="N7567" s="29" t="s">
        <v>6330</v>
      </c>
      <c r="O7567" s="29"/>
      <c r="P7567" s="29" t="s">
        <v>6331</v>
      </c>
      <c r="Q7567" t="s">
        <v>2040</v>
      </c>
      <c r="R7567" t="s">
        <v>2632</v>
      </c>
      <c r="S7567">
        <v>36</v>
      </c>
      <c r="T7567" s="43" t="str">
        <f t="shared" si="327"/>
        <v>2020.095B.R.Leviviricetes.zip</v>
      </c>
      <c r="U7567" s="43" t="str">
        <f>HYPERLINK("https://ictv.global/taxonomy/taxondetails?taxnode_id=202211335","ictv.global=202211335")</f>
        <v>ictv.global=202211335</v>
      </c>
    </row>
    <row r="7568" spans="1:21">
      <c r="A7568">
        <v>7567</v>
      </c>
      <c r="B7568" s="29" t="s">
        <v>3223</v>
      </c>
      <c r="C7568" s="29"/>
      <c r="D7568" s="29" t="s">
        <v>4156</v>
      </c>
      <c r="E7568" s="29"/>
      <c r="F7568" s="29" t="s">
        <v>4202</v>
      </c>
      <c r="G7568" s="29"/>
      <c r="H7568" s="29" t="s">
        <v>5205</v>
      </c>
      <c r="I7568" s="29"/>
      <c r="J7568" s="29" t="s">
        <v>5908</v>
      </c>
      <c r="K7568" s="29"/>
      <c r="L7568" s="29" t="s">
        <v>5976</v>
      </c>
      <c r="M7568" s="29"/>
      <c r="N7568" s="29" t="s">
        <v>6332</v>
      </c>
      <c r="O7568" s="29"/>
      <c r="P7568" s="29" t="s">
        <v>6333</v>
      </c>
      <c r="Q7568" t="s">
        <v>2040</v>
      </c>
      <c r="R7568" t="s">
        <v>2632</v>
      </c>
      <c r="S7568">
        <v>36</v>
      </c>
      <c r="T7568" s="43" t="str">
        <f t="shared" si="327"/>
        <v>2020.095B.R.Leviviricetes.zip</v>
      </c>
      <c r="U7568" s="43" t="str">
        <f>HYPERLINK("https://ictv.global/taxonomy/taxondetails?taxnode_id=202211337","ictv.global=202211337")</f>
        <v>ictv.global=202211337</v>
      </c>
    </row>
    <row r="7569" spans="1:21">
      <c r="A7569">
        <v>7568</v>
      </c>
      <c r="B7569" s="29" t="s">
        <v>3223</v>
      </c>
      <c r="C7569" s="29"/>
      <c r="D7569" s="29" t="s">
        <v>4156</v>
      </c>
      <c r="E7569" s="29"/>
      <c r="F7569" s="29" t="s">
        <v>4202</v>
      </c>
      <c r="G7569" s="29"/>
      <c r="H7569" s="29" t="s">
        <v>5205</v>
      </c>
      <c r="I7569" s="29"/>
      <c r="J7569" s="29" t="s">
        <v>5908</v>
      </c>
      <c r="K7569" s="29"/>
      <c r="L7569" s="29" t="s">
        <v>5976</v>
      </c>
      <c r="M7569" s="29"/>
      <c r="N7569" s="29" t="s">
        <v>6334</v>
      </c>
      <c r="O7569" s="29"/>
      <c r="P7569" s="29" t="s">
        <v>6335</v>
      </c>
      <c r="Q7569" t="s">
        <v>2040</v>
      </c>
      <c r="R7569" t="s">
        <v>2632</v>
      </c>
      <c r="S7569">
        <v>36</v>
      </c>
      <c r="T7569" s="43" t="str">
        <f t="shared" si="327"/>
        <v>2020.095B.R.Leviviricetes.zip</v>
      </c>
      <c r="U7569" s="43" t="str">
        <f>HYPERLINK("https://ictv.global/taxonomy/taxondetails?taxnode_id=202211339","ictv.global=202211339")</f>
        <v>ictv.global=202211339</v>
      </c>
    </row>
    <row r="7570" spans="1:21">
      <c r="A7570">
        <v>7569</v>
      </c>
      <c r="B7570" s="29" t="s">
        <v>3223</v>
      </c>
      <c r="C7570" s="29"/>
      <c r="D7570" s="29" t="s">
        <v>4156</v>
      </c>
      <c r="E7570" s="29"/>
      <c r="F7570" s="29" t="s">
        <v>4202</v>
      </c>
      <c r="G7570" s="29"/>
      <c r="H7570" s="29" t="s">
        <v>5205</v>
      </c>
      <c r="I7570" s="29"/>
      <c r="J7570" s="29" t="s">
        <v>5908</v>
      </c>
      <c r="K7570" s="29"/>
      <c r="L7570" s="29" t="s">
        <v>5976</v>
      </c>
      <c r="M7570" s="29"/>
      <c r="N7570" s="29" t="s">
        <v>6336</v>
      </c>
      <c r="O7570" s="29"/>
      <c r="P7570" s="29" t="s">
        <v>6337</v>
      </c>
      <c r="Q7570" t="s">
        <v>2040</v>
      </c>
      <c r="R7570" t="s">
        <v>2632</v>
      </c>
      <c r="S7570">
        <v>36</v>
      </c>
      <c r="T7570" s="43" t="str">
        <f t="shared" si="327"/>
        <v>2020.095B.R.Leviviricetes.zip</v>
      </c>
      <c r="U7570" s="43" t="str">
        <f>HYPERLINK("https://ictv.global/taxonomy/taxondetails?taxnode_id=202211341","ictv.global=202211341")</f>
        <v>ictv.global=202211341</v>
      </c>
    </row>
    <row r="7571" spans="1:21">
      <c r="A7571">
        <v>7570</v>
      </c>
      <c r="B7571" s="29" t="s">
        <v>3223</v>
      </c>
      <c r="C7571" s="29"/>
      <c r="D7571" s="29" t="s">
        <v>4156</v>
      </c>
      <c r="E7571" s="29"/>
      <c r="F7571" s="29" t="s">
        <v>4202</v>
      </c>
      <c r="G7571" s="29"/>
      <c r="H7571" s="29" t="s">
        <v>5205</v>
      </c>
      <c r="I7571" s="29"/>
      <c r="J7571" s="29" t="s">
        <v>5908</v>
      </c>
      <c r="K7571" s="29"/>
      <c r="L7571" s="29" t="s">
        <v>5976</v>
      </c>
      <c r="M7571" s="29"/>
      <c r="N7571" s="29" t="s">
        <v>6338</v>
      </c>
      <c r="O7571" s="29"/>
      <c r="P7571" s="29" t="s">
        <v>6339</v>
      </c>
      <c r="Q7571" t="s">
        <v>2040</v>
      </c>
      <c r="R7571" t="s">
        <v>2632</v>
      </c>
      <c r="S7571">
        <v>36</v>
      </c>
      <c r="T7571" s="43" t="str">
        <f t="shared" si="327"/>
        <v>2020.095B.R.Leviviricetes.zip</v>
      </c>
      <c r="U7571" s="43" t="str">
        <f>HYPERLINK("https://ictv.global/taxonomy/taxondetails?taxnode_id=202211343","ictv.global=202211343")</f>
        <v>ictv.global=202211343</v>
      </c>
    </row>
    <row r="7572" spans="1:21">
      <c r="A7572">
        <v>7571</v>
      </c>
      <c r="B7572" s="29" t="s">
        <v>3223</v>
      </c>
      <c r="C7572" s="29"/>
      <c r="D7572" s="29" t="s">
        <v>4156</v>
      </c>
      <c r="E7572" s="29"/>
      <c r="F7572" s="29" t="s">
        <v>4202</v>
      </c>
      <c r="G7572" s="29"/>
      <c r="H7572" s="29" t="s">
        <v>5205</v>
      </c>
      <c r="I7572" s="29"/>
      <c r="J7572" s="29" t="s">
        <v>5908</v>
      </c>
      <c r="K7572" s="29"/>
      <c r="L7572" s="29" t="s">
        <v>5976</v>
      </c>
      <c r="M7572" s="29"/>
      <c r="N7572" s="29" t="s">
        <v>6340</v>
      </c>
      <c r="O7572" s="29"/>
      <c r="P7572" s="29" t="s">
        <v>6341</v>
      </c>
      <c r="Q7572" t="s">
        <v>2040</v>
      </c>
      <c r="R7572" t="s">
        <v>2632</v>
      </c>
      <c r="S7572">
        <v>36</v>
      </c>
      <c r="T7572" s="43" t="str">
        <f t="shared" si="327"/>
        <v>2020.095B.R.Leviviricetes.zip</v>
      </c>
      <c r="U7572" s="43" t="str">
        <f>HYPERLINK("https://ictv.global/taxonomy/taxondetails?taxnode_id=202211345","ictv.global=202211345")</f>
        <v>ictv.global=202211345</v>
      </c>
    </row>
    <row r="7573" spans="1:21">
      <c r="A7573">
        <v>7572</v>
      </c>
      <c r="B7573" s="29" t="s">
        <v>3223</v>
      </c>
      <c r="C7573" s="29"/>
      <c r="D7573" s="29" t="s">
        <v>4156</v>
      </c>
      <c r="E7573" s="29"/>
      <c r="F7573" s="29" t="s">
        <v>4202</v>
      </c>
      <c r="G7573" s="29"/>
      <c r="H7573" s="29" t="s">
        <v>5205</v>
      </c>
      <c r="I7573" s="29"/>
      <c r="J7573" s="29" t="s">
        <v>5908</v>
      </c>
      <c r="K7573" s="29"/>
      <c r="L7573" s="29" t="s">
        <v>5976</v>
      </c>
      <c r="M7573" s="29"/>
      <c r="N7573" s="29" t="s">
        <v>6342</v>
      </c>
      <c r="O7573" s="29"/>
      <c r="P7573" s="29" t="s">
        <v>6343</v>
      </c>
      <c r="Q7573" t="s">
        <v>2040</v>
      </c>
      <c r="R7573" t="s">
        <v>2632</v>
      </c>
      <c r="S7573">
        <v>36</v>
      </c>
      <c r="T7573" s="43" t="str">
        <f t="shared" si="327"/>
        <v>2020.095B.R.Leviviricetes.zip</v>
      </c>
      <c r="U7573" s="43" t="str">
        <f>HYPERLINK("https://ictv.global/taxonomy/taxondetails?taxnode_id=202211347","ictv.global=202211347")</f>
        <v>ictv.global=202211347</v>
      </c>
    </row>
    <row r="7574" spans="1:21">
      <c r="A7574">
        <v>7573</v>
      </c>
      <c r="B7574" s="29" t="s">
        <v>3223</v>
      </c>
      <c r="C7574" s="29"/>
      <c r="D7574" s="29" t="s">
        <v>4156</v>
      </c>
      <c r="E7574" s="29"/>
      <c r="F7574" s="29" t="s">
        <v>4202</v>
      </c>
      <c r="G7574" s="29"/>
      <c r="H7574" s="29" t="s">
        <v>5205</v>
      </c>
      <c r="I7574" s="29"/>
      <c r="J7574" s="29" t="s">
        <v>5908</v>
      </c>
      <c r="K7574" s="29"/>
      <c r="L7574" s="29" t="s">
        <v>5976</v>
      </c>
      <c r="M7574" s="29"/>
      <c r="N7574" s="29" t="s">
        <v>6344</v>
      </c>
      <c r="O7574" s="29"/>
      <c r="P7574" s="29" t="s">
        <v>6345</v>
      </c>
      <c r="Q7574" t="s">
        <v>2040</v>
      </c>
      <c r="R7574" t="s">
        <v>2632</v>
      </c>
      <c r="S7574">
        <v>36</v>
      </c>
      <c r="T7574" s="43" t="str">
        <f t="shared" si="327"/>
        <v>2020.095B.R.Leviviricetes.zip</v>
      </c>
      <c r="U7574" s="43" t="str">
        <f>HYPERLINK("https://ictv.global/taxonomy/taxondetails?taxnode_id=202211351","ictv.global=202211351")</f>
        <v>ictv.global=202211351</v>
      </c>
    </row>
    <row r="7575" spans="1:21">
      <c r="A7575">
        <v>7574</v>
      </c>
      <c r="B7575" s="29" t="s">
        <v>3223</v>
      </c>
      <c r="C7575" s="29"/>
      <c r="D7575" s="29" t="s">
        <v>4156</v>
      </c>
      <c r="E7575" s="29"/>
      <c r="F7575" s="29" t="s">
        <v>4202</v>
      </c>
      <c r="G7575" s="29"/>
      <c r="H7575" s="29" t="s">
        <v>5205</v>
      </c>
      <c r="I7575" s="29"/>
      <c r="J7575" s="29" t="s">
        <v>5908</v>
      </c>
      <c r="K7575" s="29"/>
      <c r="L7575" s="29" t="s">
        <v>5976</v>
      </c>
      <c r="M7575" s="29"/>
      <c r="N7575" s="29" t="s">
        <v>6344</v>
      </c>
      <c r="O7575" s="29"/>
      <c r="P7575" s="29" t="s">
        <v>6346</v>
      </c>
      <c r="Q7575" t="s">
        <v>2040</v>
      </c>
      <c r="R7575" t="s">
        <v>2632</v>
      </c>
      <c r="S7575">
        <v>36</v>
      </c>
      <c r="T7575" s="43" t="str">
        <f t="shared" si="327"/>
        <v>2020.095B.R.Leviviricetes.zip</v>
      </c>
      <c r="U7575" s="43" t="str">
        <f>HYPERLINK("https://ictv.global/taxonomy/taxondetails?taxnode_id=202211349","ictv.global=202211349")</f>
        <v>ictv.global=202211349</v>
      </c>
    </row>
    <row r="7576" spans="1:21">
      <c r="A7576">
        <v>7575</v>
      </c>
      <c r="B7576" s="29" t="s">
        <v>3223</v>
      </c>
      <c r="C7576" s="29"/>
      <c r="D7576" s="29" t="s">
        <v>4156</v>
      </c>
      <c r="E7576" s="29"/>
      <c r="F7576" s="29" t="s">
        <v>4202</v>
      </c>
      <c r="G7576" s="29"/>
      <c r="H7576" s="29" t="s">
        <v>5205</v>
      </c>
      <c r="I7576" s="29"/>
      <c r="J7576" s="29" t="s">
        <v>5908</v>
      </c>
      <c r="K7576" s="29"/>
      <c r="L7576" s="29" t="s">
        <v>5976</v>
      </c>
      <c r="M7576" s="29"/>
      <c r="N7576" s="29" t="s">
        <v>6344</v>
      </c>
      <c r="O7576" s="29"/>
      <c r="P7576" s="29" t="s">
        <v>6347</v>
      </c>
      <c r="Q7576" t="s">
        <v>2040</v>
      </c>
      <c r="R7576" t="s">
        <v>2632</v>
      </c>
      <c r="S7576">
        <v>36</v>
      </c>
      <c r="T7576" s="43" t="str">
        <f t="shared" si="327"/>
        <v>2020.095B.R.Leviviricetes.zip</v>
      </c>
      <c r="U7576" s="43" t="str">
        <f>HYPERLINK("https://ictv.global/taxonomy/taxondetails?taxnode_id=202211350","ictv.global=202211350")</f>
        <v>ictv.global=202211350</v>
      </c>
    </row>
    <row r="7577" spans="1:21">
      <c r="A7577">
        <v>7576</v>
      </c>
      <c r="B7577" s="29" t="s">
        <v>3223</v>
      </c>
      <c r="C7577" s="29"/>
      <c r="D7577" s="29" t="s">
        <v>4156</v>
      </c>
      <c r="E7577" s="29"/>
      <c r="F7577" s="29" t="s">
        <v>4202</v>
      </c>
      <c r="G7577" s="29"/>
      <c r="H7577" s="29" t="s">
        <v>5205</v>
      </c>
      <c r="I7577" s="29"/>
      <c r="J7577" s="29" t="s">
        <v>5908</v>
      </c>
      <c r="K7577" s="29"/>
      <c r="L7577" s="29" t="s">
        <v>5976</v>
      </c>
      <c r="M7577" s="29"/>
      <c r="N7577" s="29" t="s">
        <v>6348</v>
      </c>
      <c r="O7577" s="29"/>
      <c r="P7577" s="29" t="s">
        <v>6349</v>
      </c>
      <c r="Q7577" t="s">
        <v>2040</v>
      </c>
      <c r="R7577" t="s">
        <v>2632</v>
      </c>
      <c r="S7577">
        <v>36</v>
      </c>
      <c r="T7577" s="43" t="str">
        <f t="shared" si="327"/>
        <v>2020.095B.R.Leviviricetes.zip</v>
      </c>
      <c r="U7577" s="43" t="str">
        <f>HYPERLINK("https://ictv.global/taxonomy/taxondetails?taxnode_id=202211353","ictv.global=202211353")</f>
        <v>ictv.global=202211353</v>
      </c>
    </row>
    <row r="7578" spans="1:21">
      <c r="A7578">
        <v>7577</v>
      </c>
      <c r="B7578" s="29" t="s">
        <v>3223</v>
      </c>
      <c r="C7578" s="29"/>
      <c r="D7578" s="29" t="s">
        <v>4156</v>
      </c>
      <c r="E7578" s="29"/>
      <c r="F7578" s="29" t="s">
        <v>4202</v>
      </c>
      <c r="G7578" s="29"/>
      <c r="H7578" s="29" t="s">
        <v>5205</v>
      </c>
      <c r="I7578" s="29"/>
      <c r="J7578" s="29" t="s">
        <v>5908</v>
      </c>
      <c r="K7578" s="29"/>
      <c r="L7578" s="29" t="s">
        <v>5976</v>
      </c>
      <c r="M7578" s="29"/>
      <c r="N7578" s="29" t="s">
        <v>6348</v>
      </c>
      <c r="O7578" s="29"/>
      <c r="P7578" s="29" t="s">
        <v>6350</v>
      </c>
      <c r="Q7578" t="s">
        <v>2040</v>
      </c>
      <c r="R7578" t="s">
        <v>2632</v>
      </c>
      <c r="S7578">
        <v>36</v>
      </c>
      <c r="T7578" s="43" t="str">
        <f t="shared" si="327"/>
        <v>2020.095B.R.Leviviricetes.zip</v>
      </c>
      <c r="U7578" s="43" t="str">
        <f>HYPERLINK("https://ictv.global/taxonomy/taxondetails?taxnode_id=202211354","ictv.global=202211354")</f>
        <v>ictv.global=202211354</v>
      </c>
    </row>
    <row r="7579" spans="1:21">
      <c r="A7579">
        <v>7578</v>
      </c>
      <c r="B7579" s="29" t="s">
        <v>3223</v>
      </c>
      <c r="C7579" s="29"/>
      <c r="D7579" s="29" t="s">
        <v>4156</v>
      </c>
      <c r="E7579" s="29"/>
      <c r="F7579" s="29" t="s">
        <v>4202</v>
      </c>
      <c r="G7579" s="29"/>
      <c r="H7579" s="29" t="s">
        <v>5205</v>
      </c>
      <c r="I7579" s="29"/>
      <c r="J7579" s="29" t="s">
        <v>5908</v>
      </c>
      <c r="K7579" s="29"/>
      <c r="L7579" s="29" t="s">
        <v>5976</v>
      </c>
      <c r="M7579" s="29"/>
      <c r="N7579" s="29" t="s">
        <v>6348</v>
      </c>
      <c r="O7579" s="29"/>
      <c r="P7579" s="29" t="s">
        <v>6351</v>
      </c>
      <c r="Q7579" t="s">
        <v>2040</v>
      </c>
      <c r="R7579" t="s">
        <v>2632</v>
      </c>
      <c r="S7579">
        <v>36</v>
      </c>
      <c r="T7579" s="43" t="str">
        <f t="shared" si="327"/>
        <v>2020.095B.R.Leviviricetes.zip</v>
      </c>
      <c r="U7579" s="43" t="str">
        <f>HYPERLINK("https://ictv.global/taxonomy/taxondetails?taxnode_id=202211355","ictv.global=202211355")</f>
        <v>ictv.global=202211355</v>
      </c>
    </row>
    <row r="7580" spans="1:21">
      <c r="A7580">
        <v>7579</v>
      </c>
      <c r="B7580" s="29" t="s">
        <v>3223</v>
      </c>
      <c r="C7580" s="29"/>
      <c r="D7580" s="29" t="s">
        <v>4156</v>
      </c>
      <c r="E7580" s="29"/>
      <c r="F7580" s="29" t="s">
        <v>4202</v>
      </c>
      <c r="G7580" s="29"/>
      <c r="H7580" s="29" t="s">
        <v>5205</v>
      </c>
      <c r="I7580" s="29"/>
      <c r="J7580" s="29" t="s">
        <v>5908</v>
      </c>
      <c r="K7580" s="29"/>
      <c r="L7580" s="29" t="s">
        <v>5976</v>
      </c>
      <c r="M7580" s="29"/>
      <c r="N7580" s="29" t="s">
        <v>6348</v>
      </c>
      <c r="O7580" s="29"/>
      <c r="P7580" s="29" t="s">
        <v>6352</v>
      </c>
      <c r="Q7580" t="s">
        <v>2040</v>
      </c>
      <c r="R7580" t="s">
        <v>2632</v>
      </c>
      <c r="S7580">
        <v>36</v>
      </c>
      <c r="T7580" s="43" t="str">
        <f t="shared" si="327"/>
        <v>2020.095B.R.Leviviricetes.zip</v>
      </c>
      <c r="U7580" s="43" t="str">
        <f>HYPERLINK("https://ictv.global/taxonomy/taxondetails?taxnode_id=202211356","ictv.global=202211356")</f>
        <v>ictv.global=202211356</v>
      </c>
    </row>
    <row r="7581" spans="1:21">
      <c r="A7581">
        <v>7580</v>
      </c>
      <c r="B7581" s="29" t="s">
        <v>3223</v>
      </c>
      <c r="C7581" s="29"/>
      <c r="D7581" s="29" t="s">
        <v>4156</v>
      </c>
      <c r="E7581" s="29"/>
      <c r="F7581" s="29" t="s">
        <v>4202</v>
      </c>
      <c r="G7581" s="29"/>
      <c r="H7581" s="29" t="s">
        <v>5205</v>
      </c>
      <c r="I7581" s="29"/>
      <c r="J7581" s="29" t="s">
        <v>5908</v>
      </c>
      <c r="K7581" s="29"/>
      <c r="L7581" s="29" t="s">
        <v>5976</v>
      </c>
      <c r="M7581" s="29"/>
      <c r="N7581" s="29" t="s">
        <v>6353</v>
      </c>
      <c r="O7581" s="29"/>
      <c r="P7581" s="29" t="s">
        <v>6354</v>
      </c>
      <c r="Q7581" t="s">
        <v>2040</v>
      </c>
      <c r="R7581" t="s">
        <v>2632</v>
      </c>
      <c r="S7581">
        <v>36</v>
      </c>
      <c r="T7581" s="43" t="str">
        <f t="shared" si="327"/>
        <v>2020.095B.R.Leviviricetes.zip</v>
      </c>
      <c r="U7581" s="43" t="str">
        <f>HYPERLINK("https://ictv.global/taxonomy/taxondetails?taxnode_id=202211358","ictv.global=202211358")</f>
        <v>ictv.global=202211358</v>
      </c>
    </row>
    <row r="7582" spans="1:21">
      <c r="A7582">
        <v>7581</v>
      </c>
      <c r="B7582" s="29" t="s">
        <v>3223</v>
      </c>
      <c r="C7582" s="29"/>
      <c r="D7582" s="29" t="s">
        <v>4156</v>
      </c>
      <c r="E7582" s="29"/>
      <c r="F7582" s="29" t="s">
        <v>4202</v>
      </c>
      <c r="G7582" s="29"/>
      <c r="H7582" s="29" t="s">
        <v>5205</v>
      </c>
      <c r="I7582" s="29"/>
      <c r="J7582" s="29" t="s">
        <v>5908</v>
      </c>
      <c r="K7582" s="29"/>
      <c r="L7582" s="29" t="s">
        <v>5976</v>
      </c>
      <c r="M7582" s="29"/>
      <c r="N7582" s="29" t="s">
        <v>6355</v>
      </c>
      <c r="O7582" s="29"/>
      <c r="P7582" s="29" t="s">
        <v>6356</v>
      </c>
      <c r="Q7582" t="s">
        <v>2040</v>
      </c>
      <c r="R7582" t="s">
        <v>2632</v>
      </c>
      <c r="S7582">
        <v>36</v>
      </c>
      <c r="T7582" s="43" t="str">
        <f t="shared" si="327"/>
        <v>2020.095B.R.Leviviricetes.zip</v>
      </c>
      <c r="U7582" s="43" t="str">
        <f>HYPERLINK("https://ictv.global/taxonomy/taxondetails?taxnode_id=202211360","ictv.global=202211360")</f>
        <v>ictv.global=202211360</v>
      </c>
    </row>
    <row r="7583" spans="1:21">
      <c r="A7583">
        <v>7582</v>
      </c>
      <c r="B7583" s="29" t="s">
        <v>3223</v>
      </c>
      <c r="C7583" s="29"/>
      <c r="D7583" s="29" t="s">
        <v>4156</v>
      </c>
      <c r="E7583" s="29"/>
      <c r="F7583" s="29" t="s">
        <v>4202</v>
      </c>
      <c r="G7583" s="29"/>
      <c r="H7583" s="29" t="s">
        <v>5205</v>
      </c>
      <c r="I7583" s="29"/>
      <c r="J7583" s="29" t="s">
        <v>5908</v>
      </c>
      <c r="K7583" s="29"/>
      <c r="L7583" s="29" t="s">
        <v>5976</v>
      </c>
      <c r="M7583" s="29"/>
      <c r="N7583" s="29" t="s">
        <v>6355</v>
      </c>
      <c r="O7583" s="29"/>
      <c r="P7583" s="29" t="s">
        <v>6357</v>
      </c>
      <c r="Q7583" t="s">
        <v>2040</v>
      </c>
      <c r="R7583" t="s">
        <v>2632</v>
      </c>
      <c r="S7583">
        <v>36</v>
      </c>
      <c r="T7583" s="43" t="str">
        <f t="shared" si="327"/>
        <v>2020.095B.R.Leviviricetes.zip</v>
      </c>
      <c r="U7583" s="43" t="str">
        <f>HYPERLINK("https://ictv.global/taxonomy/taxondetails?taxnode_id=202211361","ictv.global=202211361")</f>
        <v>ictv.global=202211361</v>
      </c>
    </row>
    <row r="7584" spans="1:21">
      <c r="A7584">
        <v>7583</v>
      </c>
      <c r="B7584" s="29" t="s">
        <v>3223</v>
      </c>
      <c r="C7584" s="29"/>
      <c r="D7584" s="29" t="s">
        <v>4156</v>
      </c>
      <c r="E7584" s="29"/>
      <c r="F7584" s="29" t="s">
        <v>4202</v>
      </c>
      <c r="G7584" s="29"/>
      <c r="H7584" s="29" t="s">
        <v>5205</v>
      </c>
      <c r="I7584" s="29"/>
      <c r="J7584" s="29" t="s">
        <v>5908</v>
      </c>
      <c r="K7584" s="29"/>
      <c r="L7584" s="29" t="s">
        <v>5976</v>
      </c>
      <c r="M7584" s="29"/>
      <c r="N7584" s="29" t="s">
        <v>6358</v>
      </c>
      <c r="O7584" s="29"/>
      <c r="P7584" s="29" t="s">
        <v>6359</v>
      </c>
      <c r="Q7584" t="s">
        <v>2040</v>
      </c>
      <c r="R7584" t="s">
        <v>2632</v>
      </c>
      <c r="S7584">
        <v>36</v>
      </c>
      <c r="T7584" s="43" t="str">
        <f t="shared" si="327"/>
        <v>2020.095B.R.Leviviricetes.zip</v>
      </c>
      <c r="U7584" s="43" t="str">
        <f>HYPERLINK("https://ictv.global/taxonomy/taxondetails?taxnode_id=202211363","ictv.global=202211363")</f>
        <v>ictv.global=202211363</v>
      </c>
    </row>
    <row r="7585" spans="1:21">
      <c r="A7585">
        <v>7584</v>
      </c>
      <c r="B7585" s="29" t="s">
        <v>3223</v>
      </c>
      <c r="C7585" s="29"/>
      <c r="D7585" s="29" t="s">
        <v>4156</v>
      </c>
      <c r="E7585" s="29"/>
      <c r="F7585" s="29" t="s">
        <v>4202</v>
      </c>
      <c r="G7585" s="29"/>
      <c r="H7585" s="29" t="s">
        <v>5205</v>
      </c>
      <c r="I7585" s="29"/>
      <c r="J7585" s="29" t="s">
        <v>5908</v>
      </c>
      <c r="K7585" s="29"/>
      <c r="L7585" s="29" t="s">
        <v>5976</v>
      </c>
      <c r="M7585" s="29"/>
      <c r="N7585" s="29" t="s">
        <v>6360</v>
      </c>
      <c r="O7585" s="29"/>
      <c r="P7585" s="29" t="s">
        <v>6361</v>
      </c>
      <c r="Q7585" t="s">
        <v>2040</v>
      </c>
      <c r="R7585" t="s">
        <v>2632</v>
      </c>
      <c r="S7585">
        <v>36</v>
      </c>
      <c r="T7585" s="43" t="str">
        <f t="shared" si="327"/>
        <v>2020.095B.R.Leviviricetes.zip</v>
      </c>
      <c r="U7585" s="43" t="str">
        <f>HYPERLINK("https://ictv.global/taxonomy/taxondetails?taxnode_id=202211365","ictv.global=202211365")</f>
        <v>ictv.global=202211365</v>
      </c>
    </row>
    <row r="7586" spans="1:21">
      <c r="A7586">
        <v>7585</v>
      </c>
      <c r="B7586" s="29" t="s">
        <v>3223</v>
      </c>
      <c r="C7586" s="29"/>
      <c r="D7586" s="29" t="s">
        <v>4156</v>
      </c>
      <c r="E7586" s="29"/>
      <c r="F7586" s="29" t="s">
        <v>4202</v>
      </c>
      <c r="G7586" s="29"/>
      <c r="H7586" s="29" t="s">
        <v>5205</v>
      </c>
      <c r="I7586" s="29"/>
      <c r="J7586" s="29" t="s">
        <v>5908</v>
      </c>
      <c r="K7586" s="29"/>
      <c r="L7586" s="29" t="s">
        <v>5976</v>
      </c>
      <c r="M7586" s="29"/>
      <c r="N7586" s="29" t="s">
        <v>6362</v>
      </c>
      <c r="O7586" s="29"/>
      <c r="P7586" s="29" t="s">
        <v>6363</v>
      </c>
      <c r="Q7586" t="s">
        <v>2040</v>
      </c>
      <c r="R7586" t="s">
        <v>2632</v>
      </c>
      <c r="S7586">
        <v>36</v>
      </c>
      <c r="T7586" s="43" t="str">
        <f t="shared" si="327"/>
        <v>2020.095B.R.Leviviricetes.zip</v>
      </c>
      <c r="U7586" s="43" t="str">
        <f>HYPERLINK("https://ictv.global/taxonomy/taxondetails?taxnode_id=202211367","ictv.global=202211367")</f>
        <v>ictv.global=202211367</v>
      </c>
    </row>
    <row r="7587" spans="1:21">
      <c r="A7587">
        <v>7586</v>
      </c>
      <c r="B7587" s="29" t="s">
        <v>3223</v>
      </c>
      <c r="C7587" s="29"/>
      <c r="D7587" s="29" t="s">
        <v>4156</v>
      </c>
      <c r="E7587" s="29"/>
      <c r="F7587" s="29" t="s">
        <v>4202</v>
      </c>
      <c r="G7587" s="29"/>
      <c r="H7587" s="29" t="s">
        <v>5205</v>
      </c>
      <c r="I7587" s="29"/>
      <c r="J7587" s="29" t="s">
        <v>5908</v>
      </c>
      <c r="K7587" s="29"/>
      <c r="L7587" s="29" t="s">
        <v>5976</v>
      </c>
      <c r="M7587" s="29"/>
      <c r="N7587" s="29" t="s">
        <v>6364</v>
      </c>
      <c r="O7587" s="29"/>
      <c r="P7587" s="29" t="s">
        <v>6365</v>
      </c>
      <c r="Q7587" t="s">
        <v>2040</v>
      </c>
      <c r="R7587" t="s">
        <v>2632</v>
      </c>
      <c r="S7587">
        <v>36</v>
      </c>
      <c r="T7587" s="43" t="str">
        <f t="shared" si="327"/>
        <v>2020.095B.R.Leviviricetes.zip</v>
      </c>
      <c r="U7587" s="43" t="str">
        <f>HYPERLINK("https://ictv.global/taxonomy/taxondetails?taxnode_id=202211369","ictv.global=202211369")</f>
        <v>ictv.global=202211369</v>
      </c>
    </row>
    <row r="7588" spans="1:21">
      <c r="A7588">
        <v>7587</v>
      </c>
      <c r="B7588" s="29" t="s">
        <v>3223</v>
      </c>
      <c r="C7588" s="29"/>
      <c r="D7588" s="29" t="s">
        <v>4156</v>
      </c>
      <c r="E7588" s="29"/>
      <c r="F7588" s="29" t="s">
        <v>4202</v>
      </c>
      <c r="G7588" s="29"/>
      <c r="H7588" s="29" t="s">
        <v>5205</v>
      </c>
      <c r="I7588" s="29"/>
      <c r="J7588" s="29" t="s">
        <v>5908</v>
      </c>
      <c r="K7588" s="29"/>
      <c r="L7588" s="29" t="s">
        <v>5976</v>
      </c>
      <c r="M7588" s="29"/>
      <c r="N7588" s="29" t="s">
        <v>6366</v>
      </c>
      <c r="O7588" s="29"/>
      <c r="P7588" s="29" t="s">
        <v>6367</v>
      </c>
      <c r="Q7588" t="s">
        <v>2040</v>
      </c>
      <c r="R7588" t="s">
        <v>2632</v>
      </c>
      <c r="S7588">
        <v>36</v>
      </c>
      <c r="T7588" s="43" t="str">
        <f t="shared" si="327"/>
        <v>2020.095B.R.Leviviricetes.zip</v>
      </c>
      <c r="U7588" s="43" t="str">
        <f>HYPERLINK("https://ictv.global/taxonomy/taxondetails?taxnode_id=202211371","ictv.global=202211371")</f>
        <v>ictv.global=202211371</v>
      </c>
    </row>
    <row r="7589" spans="1:21">
      <c r="A7589">
        <v>7588</v>
      </c>
      <c r="B7589" s="29" t="s">
        <v>3223</v>
      </c>
      <c r="C7589" s="29"/>
      <c r="D7589" s="29" t="s">
        <v>4156</v>
      </c>
      <c r="E7589" s="29"/>
      <c r="F7589" s="29" t="s">
        <v>4202</v>
      </c>
      <c r="G7589" s="29"/>
      <c r="H7589" s="29" t="s">
        <v>5205</v>
      </c>
      <c r="I7589" s="29"/>
      <c r="J7589" s="29" t="s">
        <v>5908</v>
      </c>
      <c r="K7589" s="29"/>
      <c r="L7589" s="29" t="s">
        <v>5976</v>
      </c>
      <c r="M7589" s="29"/>
      <c r="N7589" s="29" t="s">
        <v>6368</v>
      </c>
      <c r="O7589" s="29"/>
      <c r="P7589" s="29" t="s">
        <v>6369</v>
      </c>
      <c r="Q7589" t="s">
        <v>2040</v>
      </c>
      <c r="R7589" t="s">
        <v>2632</v>
      </c>
      <c r="S7589">
        <v>36</v>
      </c>
      <c r="T7589" s="43" t="str">
        <f t="shared" si="327"/>
        <v>2020.095B.R.Leviviricetes.zip</v>
      </c>
      <c r="U7589" s="43" t="str">
        <f>HYPERLINK("https://ictv.global/taxonomy/taxondetails?taxnode_id=202211374","ictv.global=202211374")</f>
        <v>ictv.global=202211374</v>
      </c>
    </row>
    <row r="7590" spans="1:21">
      <c r="A7590">
        <v>7589</v>
      </c>
      <c r="B7590" s="29" t="s">
        <v>3223</v>
      </c>
      <c r="C7590" s="29"/>
      <c r="D7590" s="29" t="s">
        <v>4156</v>
      </c>
      <c r="E7590" s="29"/>
      <c r="F7590" s="29" t="s">
        <v>4202</v>
      </c>
      <c r="G7590" s="29"/>
      <c r="H7590" s="29" t="s">
        <v>5205</v>
      </c>
      <c r="I7590" s="29"/>
      <c r="J7590" s="29" t="s">
        <v>5908</v>
      </c>
      <c r="K7590" s="29"/>
      <c r="L7590" s="29" t="s">
        <v>5976</v>
      </c>
      <c r="M7590" s="29"/>
      <c r="N7590" s="29" t="s">
        <v>6368</v>
      </c>
      <c r="O7590" s="29"/>
      <c r="P7590" s="29" t="s">
        <v>6370</v>
      </c>
      <c r="Q7590" t="s">
        <v>2040</v>
      </c>
      <c r="R7590" t="s">
        <v>2632</v>
      </c>
      <c r="S7590">
        <v>36</v>
      </c>
      <c r="T7590" s="43" t="str">
        <f t="shared" si="327"/>
        <v>2020.095B.R.Leviviricetes.zip</v>
      </c>
      <c r="U7590" s="43" t="str">
        <f>HYPERLINK("https://ictv.global/taxonomy/taxondetails?taxnode_id=202211373","ictv.global=202211373")</f>
        <v>ictv.global=202211373</v>
      </c>
    </row>
    <row r="7591" spans="1:21">
      <c r="A7591">
        <v>7590</v>
      </c>
      <c r="B7591" s="29" t="s">
        <v>3223</v>
      </c>
      <c r="C7591" s="29"/>
      <c r="D7591" s="29" t="s">
        <v>4156</v>
      </c>
      <c r="E7591" s="29"/>
      <c r="F7591" s="29" t="s">
        <v>4202</v>
      </c>
      <c r="G7591" s="29"/>
      <c r="H7591" s="29" t="s">
        <v>5205</v>
      </c>
      <c r="I7591" s="29"/>
      <c r="J7591" s="29" t="s">
        <v>5908</v>
      </c>
      <c r="K7591" s="29"/>
      <c r="L7591" s="29" t="s">
        <v>5976</v>
      </c>
      <c r="M7591" s="29"/>
      <c r="N7591" s="29" t="s">
        <v>6368</v>
      </c>
      <c r="O7591" s="29"/>
      <c r="P7591" s="29" t="s">
        <v>6371</v>
      </c>
      <c r="Q7591" t="s">
        <v>2040</v>
      </c>
      <c r="R7591" t="s">
        <v>2632</v>
      </c>
      <c r="S7591">
        <v>36</v>
      </c>
      <c r="T7591" s="43" t="str">
        <f t="shared" si="327"/>
        <v>2020.095B.R.Leviviricetes.zip</v>
      </c>
      <c r="U7591" s="43" t="str">
        <f>HYPERLINK("https://ictv.global/taxonomy/taxondetails?taxnode_id=202211375","ictv.global=202211375")</f>
        <v>ictv.global=202211375</v>
      </c>
    </row>
    <row r="7592" spans="1:21">
      <c r="A7592">
        <v>7591</v>
      </c>
      <c r="B7592" s="29" t="s">
        <v>3223</v>
      </c>
      <c r="C7592" s="29"/>
      <c r="D7592" s="29" t="s">
        <v>4156</v>
      </c>
      <c r="E7592" s="29"/>
      <c r="F7592" s="29" t="s">
        <v>4202</v>
      </c>
      <c r="G7592" s="29"/>
      <c r="H7592" s="29" t="s">
        <v>5205</v>
      </c>
      <c r="I7592" s="29"/>
      <c r="J7592" s="29" t="s">
        <v>5908</v>
      </c>
      <c r="K7592" s="29"/>
      <c r="L7592" s="29" t="s">
        <v>5976</v>
      </c>
      <c r="M7592" s="29"/>
      <c r="N7592" s="29" t="s">
        <v>6372</v>
      </c>
      <c r="O7592" s="29"/>
      <c r="P7592" s="29" t="s">
        <v>6373</v>
      </c>
      <c r="Q7592" t="s">
        <v>2040</v>
      </c>
      <c r="R7592" t="s">
        <v>2632</v>
      </c>
      <c r="S7592">
        <v>36</v>
      </c>
      <c r="T7592" s="43" t="str">
        <f t="shared" si="327"/>
        <v>2020.095B.R.Leviviricetes.zip</v>
      </c>
      <c r="U7592" s="43" t="str">
        <f>HYPERLINK("https://ictv.global/taxonomy/taxondetails?taxnode_id=202211377","ictv.global=202211377")</f>
        <v>ictv.global=202211377</v>
      </c>
    </row>
    <row r="7593" spans="1:21">
      <c r="A7593">
        <v>7592</v>
      </c>
      <c r="B7593" s="29" t="s">
        <v>3223</v>
      </c>
      <c r="C7593" s="29"/>
      <c r="D7593" s="29" t="s">
        <v>4156</v>
      </c>
      <c r="E7593" s="29"/>
      <c r="F7593" s="29" t="s">
        <v>4202</v>
      </c>
      <c r="G7593" s="29"/>
      <c r="H7593" s="29" t="s">
        <v>5205</v>
      </c>
      <c r="I7593" s="29"/>
      <c r="J7593" s="29" t="s">
        <v>5908</v>
      </c>
      <c r="K7593" s="29"/>
      <c r="L7593" s="29" t="s">
        <v>5976</v>
      </c>
      <c r="M7593" s="29"/>
      <c r="N7593" s="29" t="s">
        <v>6374</v>
      </c>
      <c r="O7593" s="29"/>
      <c r="P7593" s="29" t="s">
        <v>6375</v>
      </c>
      <c r="Q7593" t="s">
        <v>2040</v>
      </c>
      <c r="R7593" t="s">
        <v>2632</v>
      </c>
      <c r="S7593">
        <v>36</v>
      </c>
      <c r="T7593" s="43" t="str">
        <f t="shared" si="327"/>
        <v>2020.095B.R.Leviviricetes.zip</v>
      </c>
      <c r="U7593" s="43" t="str">
        <f>HYPERLINK("https://ictv.global/taxonomy/taxondetails?taxnode_id=202211379","ictv.global=202211379")</f>
        <v>ictv.global=202211379</v>
      </c>
    </row>
    <row r="7594" spans="1:21">
      <c r="A7594">
        <v>7593</v>
      </c>
      <c r="B7594" s="29" t="s">
        <v>3223</v>
      </c>
      <c r="C7594" s="29"/>
      <c r="D7594" s="29" t="s">
        <v>4156</v>
      </c>
      <c r="E7594" s="29"/>
      <c r="F7594" s="29" t="s">
        <v>4202</v>
      </c>
      <c r="G7594" s="29"/>
      <c r="H7594" s="29" t="s">
        <v>5205</v>
      </c>
      <c r="I7594" s="29"/>
      <c r="J7594" s="29" t="s">
        <v>5908</v>
      </c>
      <c r="K7594" s="29"/>
      <c r="L7594" s="29" t="s">
        <v>5976</v>
      </c>
      <c r="M7594" s="29"/>
      <c r="N7594" s="29" t="s">
        <v>6376</v>
      </c>
      <c r="O7594" s="29"/>
      <c r="P7594" s="29" t="s">
        <v>6377</v>
      </c>
      <c r="Q7594" t="s">
        <v>2040</v>
      </c>
      <c r="R7594" t="s">
        <v>2632</v>
      </c>
      <c r="S7594">
        <v>36</v>
      </c>
      <c r="T7594" s="43" t="str">
        <f t="shared" si="327"/>
        <v>2020.095B.R.Leviviricetes.zip</v>
      </c>
      <c r="U7594" s="43" t="str">
        <f>HYPERLINK("https://ictv.global/taxonomy/taxondetails?taxnode_id=202211381","ictv.global=202211381")</f>
        <v>ictv.global=202211381</v>
      </c>
    </row>
    <row r="7595" spans="1:21">
      <c r="A7595">
        <v>7594</v>
      </c>
      <c r="B7595" s="29" t="s">
        <v>3223</v>
      </c>
      <c r="C7595" s="29"/>
      <c r="D7595" s="29" t="s">
        <v>4156</v>
      </c>
      <c r="E7595" s="29"/>
      <c r="F7595" s="29" t="s">
        <v>4202</v>
      </c>
      <c r="G7595" s="29"/>
      <c r="H7595" s="29" t="s">
        <v>5205</v>
      </c>
      <c r="I7595" s="29"/>
      <c r="J7595" s="29" t="s">
        <v>5908</v>
      </c>
      <c r="K7595" s="29"/>
      <c r="L7595" s="29" t="s">
        <v>5976</v>
      </c>
      <c r="M7595" s="29"/>
      <c r="N7595" s="29" t="s">
        <v>6378</v>
      </c>
      <c r="O7595" s="29"/>
      <c r="P7595" s="29" t="s">
        <v>6379</v>
      </c>
      <c r="Q7595" t="s">
        <v>2040</v>
      </c>
      <c r="R7595" t="s">
        <v>2632</v>
      </c>
      <c r="S7595">
        <v>36</v>
      </c>
      <c r="T7595" s="43" t="str">
        <f t="shared" si="327"/>
        <v>2020.095B.R.Leviviricetes.zip</v>
      </c>
      <c r="U7595" s="43" t="str">
        <f>HYPERLINK("https://ictv.global/taxonomy/taxondetails?taxnode_id=202211384","ictv.global=202211384")</f>
        <v>ictv.global=202211384</v>
      </c>
    </row>
    <row r="7596" spans="1:21">
      <c r="A7596">
        <v>7595</v>
      </c>
      <c r="B7596" s="29" t="s">
        <v>3223</v>
      </c>
      <c r="C7596" s="29"/>
      <c r="D7596" s="29" t="s">
        <v>4156</v>
      </c>
      <c r="E7596" s="29"/>
      <c r="F7596" s="29" t="s">
        <v>4202</v>
      </c>
      <c r="G7596" s="29"/>
      <c r="H7596" s="29" t="s">
        <v>5205</v>
      </c>
      <c r="I7596" s="29"/>
      <c r="J7596" s="29" t="s">
        <v>5908</v>
      </c>
      <c r="K7596" s="29"/>
      <c r="L7596" s="29" t="s">
        <v>5976</v>
      </c>
      <c r="M7596" s="29"/>
      <c r="N7596" s="29" t="s">
        <v>6378</v>
      </c>
      <c r="O7596" s="29"/>
      <c r="P7596" s="29" t="s">
        <v>6380</v>
      </c>
      <c r="Q7596" t="s">
        <v>2040</v>
      </c>
      <c r="R7596" t="s">
        <v>2632</v>
      </c>
      <c r="S7596">
        <v>36</v>
      </c>
      <c r="T7596" s="43" t="str">
        <f t="shared" si="327"/>
        <v>2020.095B.R.Leviviricetes.zip</v>
      </c>
      <c r="U7596" s="43" t="str">
        <f>HYPERLINK("https://ictv.global/taxonomy/taxondetails?taxnode_id=202211385","ictv.global=202211385")</f>
        <v>ictv.global=202211385</v>
      </c>
    </row>
    <row r="7597" spans="1:21">
      <c r="A7597">
        <v>7596</v>
      </c>
      <c r="B7597" s="29" t="s">
        <v>3223</v>
      </c>
      <c r="C7597" s="29"/>
      <c r="D7597" s="29" t="s">
        <v>4156</v>
      </c>
      <c r="E7597" s="29"/>
      <c r="F7597" s="29" t="s">
        <v>4202</v>
      </c>
      <c r="G7597" s="29"/>
      <c r="H7597" s="29" t="s">
        <v>5205</v>
      </c>
      <c r="I7597" s="29"/>
      <c r="J7597" s="29" t="s">
        <v>5908</v>
      </c>
      <c r="K7597" s="29"/>
      <c r="L7597" s="29" t="s">
        <v>5976</v>
      </c>
      <c r="M7597" s="29"/>
      <c r="N7597" s="29" t="s">
        <v>6378</v>
      </c>
      <c r="O7597" s="29"/>
      <c r="P7597" s="29" t="s">
        <v>6381</v>
      </c>
      <c r="Q7597" t="s">
        <v>2040</v>
      </c>
      <c r="R7597" t="s">
        <v>2632</v>
      </c>
      <c r="S7597">
        <v>36</v>
      </c>
      <c r="T7597" s="43" t="str">
        <f t="shared" ref="T7597:T7660" si="328">HYPERLINK("https://ictv.global/ictv/proposals/2020.095B.R.Leviviricetes.zip","2020.095B.R.Leviviricetes.zip")</f>
        <v>2020.095B.R.Leviviricetes.zip</v>
      </c>
      <c r="U7597" s="43" t="str">
        <f>HYPERLINK("https://ictv.global/taxonomy/taxondetails?taxnode_id=202211386","ictv.global=202211386")</f>
        <v>ictv.global=202211386</v>
      </c>
    </row>
    <row r="7598" spans="1:21">
      <c r="A7598">
        <v>7597</v>
      </c>
      <c r="B7598" s="29" t="s">
        <v>3223</v>
      </c>
      <c r="C7598" s="29"/>
      <c r="D7598" s="29" t="s">
        <v>4156</v>
      </c>
      <c r="E7598" s="29"/>
      <c r="F7598" s="29" t="s">
        <v>4202</v>
      </c>
      <c r="G7598" s="29"/>
      <c r="H7598" s="29" t="s">
        <v>5205</v>
      </c>
      <c r="I7598" s="29"/>
      <c r="J7598" s="29" t="s">
        <v>5908</v>
      </c>
      <c r="K7598" s="29"/>
      <c r="L7598" s="29" t="s">
        <v>5976</v>
      </c>
      <c r="M7598" s="29"/>
      <c r="N7598" s="29" t="s">
        <v>6378</v>
      </c>
      <c r="O7598" s="29"/>
      <c r="P7598" s="29" t="s">
        <v>6382</v>
      </c>
      <c r="Q7598" t="s">
        <v>2040</v>
      </c>
      <c r="R7598" t="s">
        <v>2632</v>
      </c>
      <c r="S7598">
        <v>36</v>
      </c>
      <c r="T7598" s="43" t="str">
        <f t="shared" si="328"/>
        <v>2020.095B.R.Leviviricetes.zip</v>
      </c>
      <c r="U7598" s="43" t="str">
        <f>HYPERLINK("https://ictv.global/taxonomy/taxondetails?taxnode_id=202211387","ictv.global=202211387")</f>
        <v>ictv.global=202211387</v>
      </c>
    </row>
    <row r="7599" spans="1:21">
      <c r="A7599">
        <v>7598</v>
      </c>
      <c r="B7599" s="29" t="s">
        <v>3223</v>
      </c>
      <c r="C7599" s="29"/>
      <c r="D7599" s="29" t="s">
        <v>4156</v>
      </c>
      <c r="E7599" s="29"/>
      <c r="F7599" s="29" t="s">
        <v>4202</v>
      </c>
      <c r="G7599" s="29"/>
      <c r="H7599" s="29" t="s">
        <v>5205</v>
      </c>
      <c r="I7599" s="29"/>
      <c r="J7599" s="29" t="s">
        <v>5908</v>
      </c>
      <c r="K7599" s="29"/>
      <c r="L7599" s="29" t="s">
        <v>5976</v>
      </c>
      <c r="M7599" s="29"/>
      <c r="N7599" s="29" t="s">
        <v>6378</v>
      </c>
      <c r="O7599" s="29"/>
      <c r="P7599" s="29" t="s">
        <v>6383</v>
      </c>
      <c r="Q7599" t="s">
        <v>2040</v>
      </c>
      <c r="R7599" t="s">
        <v>2632</v>
      </c>
      <c r="S7599">
        <v>36</v>
      </c>
      <c r="T7599" s="43" t="str">
        <f t="shared" si="328"/>
        <v>2020.095B.R.Leviviricetes.zip</v>
      </c>
      <c r="U7599" s="43" t="str">
        <f>HYPERLINK("https://ictv.global/taxonomy/taxondetails?taxnode_id=202211388","ictv.global=202211388")</f>
        <v>ictv.global=202211388</v>
      </c>
    </row>
    <row r="7600" spans="1:21">
      <c r="A7600">
        <v>7599</v>
      </c>
      <c r="B7600" s="29" t="s">
        <v>3223</v>
      </c>
      <c r="C7600" s="29"/>
      <c r="D7600" s="29" t="s">
        <v>4156</v>
      </c>
      <c r="E7600" s="29"/>
      <c r="F7600" s="29" t="s">
        <v>4202</v>
      </c>
      <c r="G7600" s="29"/>
      <c r="H7600" s="29" t="s">
        <v>5205</v>
      </c>
      <c r="I7600" s="29"/>
      <c r="J7600" s="29" t="s">
        <v>5908</v>
      </c>
      <c r="K7600" s="29"/>
      <c r="L7600" s="29" t="s">
        <v>5976</v>
      </c>
      <c r="M7600" s="29"/>
      <c r="N7600" s="29" t="s">
        <v>6378</v>
      </c>
      <c r="O7600" s="29"/>
      <c r="P7600" s="29" t="s">
        <v>6384</v>
      </c>
      <c r="Q7600" t="s">
        <v>2040</v>
      </c>
      <c r="R7600" t="s">
        <v>2632</v>
      </c>
      <c r="S7600">
        <v>36</v>
      </c>
      <c r="T7600" s="43" t="str">
        <f t="shared" si="328"/>
        <v>2020.095B.R.Leviviricetes.zip</v>
      </c>
      <c r="U7600" s="43" t="str">
        <f>HYPERLINK("https://ictv.global/taxonomy/taxondetails?taxnode_id=202211383","ictv.global=202211383")</f>
        <v>ictv.global=202211383</v>
      </c>
    </row>
    <row r="7601" spans="1:21">
      <c r="A7601">
        <v>7600</v>
      </c>
      <c r="B7601" s="29" t="s">
        <v>3223</v>
      </c>
      <c r="C7601" s="29"/>
      <c r="D7601" s="29" t="s">
        <v>4156</v>
      </c>
      <c r="E7601" s="29"/>
      <c r="F7601" s="29" t="s">
        <v>4202</v>
      </c>
      <c r="G7601" s="29"/>
      <c r="H7601" s="29" t="s">
        <v>5205</v>
      </c>
      <c r="I7601" s="29"/>
      <c r="J7601" s="29" t="s">
        <v>5908</v>
      </c>
      <c r="K7601" s="29"/>
      <c r="L7601" s="29" t="s">
        <v>5976</v>
      </c>
      <c r="M7601" s="29"/>
      <c r="N7601" s="29" t="s">
        <v>6378</v>
      </c>
      <c r="O7601" s="29"/>
      <c r="P7601" s="29" t="s">
        <v>6385</v>
      </c>
      <c r="Q7601" t="s">
        <v>2040</v>
      </c>
      <c r="R7601" t="s">
        <v>2632</v>
      </c>
      <c r="S7601">
        <v>36</v>
      </c>
      <c r="T7601" s="43" t="str">
        <f t="shared" si="328"/>
        <v>2020.095B.R.Leviviricetes.zip</v>
      </c>
      <c r="U7601" s="43" t="str">
        <f>HYPERLINK("https://ictv.global/taxonomy/taxondetails?taxnode_id=202211389","ictv.global=202211389")</f>
        <v>ictv.global=202211389</v>
      </c>
    </row>
    <row r="7602" spans="1:21">
      <c r="A7602">
        <v>7601</v>
      </c>
      <c r="B7602" s="29" t="s">
        <v>3223</v>
      </c>
      <c r="C7602" s="29"/>
      <c r="D7602" s="29" t="s">
        <v>4156</v>
      </c>
      <c r="E7602" s="29"/>
      <c r="F7602" s="29" t="s">
        <v>4202</v>
      </c>
      <c r="G7602" s="29"/>
      <c r="H7602" s="29" t="s">
        <v>5205</v>
      </c>
      <c r="I7602" s="29"/>
      <c r="J7602" s="29" t="s">
        <v>5908</v>
      </c>
      <c r="K7602" s="29"/>
      <c r="L7602" s="29" t="s">
        <v>5976</v>
      </c>
      <c r="M7602" s="29"/>
      <c r="N7602" s="29" t="s">
        <v>6386</v>
      </c>
      <c r="O7602" s="29"/>
      <c r="P7602" s="29" t="s">
        <v>6387</v>
      </c>
      <c r="Q7602" t="s">
        <v>2040</v>
      </c>
      <c r="R7602" t="s">
        <v>2632</v>
      </c>
      <c r="S7602">
        <v>36</v>
      </c>
      <c r="T7602" s="43" t="str">
        <f t="shared" si="328"/>
        <v>2020.095B.R.Leviviricetes.zip</v>
      </c>
      <c r="U7602" s="43" t="str">
        <f>HYPERLINK("https://ictv.global/taxonomy/taxondetails?taxnode_id=202211391","ictv.global=202211391")</f>
        <v>ictv.global=202211391</v>
      </c>
    </row>
    <row r="7603" spans="1:21">
      <c r="A7603">
        <v>7602</v>
      </c>
      <c r="B7603" s="29" t="s">
        <v>3223</v>
      </c>
      <c r="C7603" s="29"/>
      <c r="D7603" s="29" t="s">
        <v>4156</v>
      </c>
      <c r="E7603" s="29"/>
      <c r="F7603" s="29" t="s">
        <v>4202</v>
      </c>
      <c r="G7603" s="29"/>
      <c r="H7603" s="29" t="s">
        <v>5205</v>
      </c>
      <c r="I7603" s="29"/>
      <c r="J7603" s="29" t="s">
        <v>5908</v>
      </c>
      <c r="K7603" s="29"/>
      <c r="L7603" s="29" t="s">
        <v>5976</v>
      </c>
      <c r="M7603" s="29"/>
      <c r="N7603" s="29" t="s">
        <v>6388</v>
      </c>
      <c r="O7603" s="29"/>
      <c r="P7603" s="29" t="s">
        <v>6389</v>
      </c>
      <c r="Q7603" t="s">
        <v>2040</v>
      </c>
      <c r="R7603" t="s">
        <v>2632</v>
      </c>
      <c r="S7603">
        <v>36</v>
      </c>
      <c r="T7603" s="43" t="str">
        <f t="shared" si="328"/>
        <v>2020.095B.R.Leviviricetes.zip</v>
      </c>
      <c r="U7603" s="43" t="str">
        <f>HYPERLINK("https://ictv.global/taxonomy/taxondetails?taxnode_id=202211399","ictv.global=202211399")</f>
        <v>ictv.global=202211399</v>
      </c>
    </row>
    <row r="7604" spans="1:21">
      <c r="A7604">
        <v>7603</v>
      </c>
      <c r="B7604" s="29" t="s">
        <v>3223</v>
      </c>
      <c r="C7604" s="29"/>
      <c r="D7604" s="29" t="s">
        <v>4156</v>
      </c>
      <c r="E7604" s="29"/>
      <c r="F7604" s="29" t="s">
        <v>4202</v>
      </c>
      <c r="G7604" s="29"/>
      <c r="H7604" s="29" t="s">
        <v>5205</v>
      </c>
      <c r="I7604" s="29"/>
      <c r="J7604" s="29" t="s">
        <v>5908</v>
      </c>
      <c r="K7604" s="29"/>
      <c r="L7604" s="29" t="s">
        <v>5976</v>
      </c>
      <c r="M7604" s="29"/>
      <c r="N7604" s="29" t="s">
        <v>6388</v>
      </c>
      <c r="O7604" s="29"/>
      <c r="P7604" s="29" t="s">
        <v>6390</v>
      </c>
      <c r="Q7604" t="s">
        <v>2040</v>
      </c>
      <c r="R7604" t="s">
        <v>2632</v>
      </c>
      <c r="S7604">
        <v>36</v>
      </c>
      <c r="T7604" s="43" t="str">
        <f t="shared" si="328"/>
        <v>2020.095B.R.Leviviricetes.zip</v>
      </c>
      <c r="U7604" s="43" t="str">
        <f>HYPERLINK("https://ictv.global/taxonomy/taxondetails?taxnode_id=202211401","ictv.global=202211401")</f>
        <v>ictv.global=202211401</v>
      </c>
    </row>
    <row r="7605" spans="1:21">
      <c r="A7605">
        <v>7604</v>
      </c>
      <c r="B7605" s="29" t="s">
        <v>3223</v>
      </c>
      <c r="C7605" s="29"/>
      <c r="D7605" s="29" t="s">
        <v>4156</v>
      </c>
      <c r="E7605" s="29"/>
      <c r="F7605" s="29" t="s">
        <v>4202</v>
      </c>
      <c r="G7605" s="29"/>
      <c r="H7605" s="29" t="s">
        <v>5205</v>
      </c>
      <c r="I7605" s="29"/>
      <c r="J7605" s="29" t="s">
        <v>5908</v>
      </c>
      <c r="K7605" s="29"/>
      <c r="L7605" s="29" t="s">
        <v>5976</v>
      </c>
      <c r="M7605" s="29"/>
      <c r="N7605" s="29" t="s">
        <v>6388</v>
      </c>
      <c r="O7605" s="29"/>
      <c r="P7605" s="29" t="s">
        <v>6391</v>
      </c>
      <c r="Q7605" t="s">
        <v>2040</v>
      </c>
      <c r="R7605" t="s">
        <v>2632</v>
      </c>
      <c r="S7605">
        <v>36</v>
      </c>
      <c r="T7605" s="43" t="str">
        <f t="shared" si="328"/>
        <v>2020.095B.R.Leviviricetes.zip</v>
      </c>
      <c r="U7605" s="43" t="str">
        <f>HYPERLINK("https://ictv.global/taxonomy/taxondetails?taxnode_id=202211400","ictv.global=202211400")</f>
        <v>ictv.global=202211400</v>
      </c>
    </row>
    <row r="7606" spans="1:21">
      <c r="A7606">
        <v>7605</v>
      </c>
      <c r="B7606" s="29" t="s">
        <v>3223</v>
      </c>
      <c r="C7606" s="29"/>
      <c r="D7606" s="29" t="s">
        <v>4156</v>
      </c>
      <c r="E7606" s="29"/>
      <c r="F7606" s="29" t="s">
        <v>4202</v>
      </c>
      <c r="G7606" s="29"/>
      <c r="H7606" s="29" t="s">
        <v>5205</v>
      </c>
      <c r="I7606" s="29"/>
      <c r="J7606" s="29" t="s">
        <v>5908</v>
      </c>
      <c r="K7606" s="29"/>
      <c r="L7606" s="29" t="s">
        <v>5976</v>
      </c>
      <c r="M7606" s="29"/>
      <c r="N7606" s="29" t="s">
        <v>6388</v>
      </c>
      <c r="O7606" s="29"/>
      <c r="P7606" s="29" t="s">
        <v>6392</v>
      </c>
      <c r="Q7606" t="s">
        <v>2040</v>
      </c>
      <c r="R7606" t="s">
        <v>2632</v>
      </c>
      <c r="S7606">
        <v>36</v>
      </c>
      <c r="T7606" s="43" t="str">
        <f t="shared" si="328"/>
        <v>2020.095B.R.Leviviricetes.zip</v>
      </c>
      <c r="U7606" s="43" t="str">
        <f>HYPERLINK("https://ictv.global/taxonomy/taxondetails?taxnode_id=202211402","ictv.global=202211402")</f>
        <v>ictv.global=202211402</v>
      </c>
    </row>
    <row r="7607" spans="1:21">
      <c r="A7607">
        <v>7606</v>
      </c>
      <c r="B7607" s="29" t="s">
        <v>3223</v>
      </c>
      <c r="C7607" s="29"/>
      <c r="D7607" s="29" t="s">
        <v>4156</v>
      </c>
      <c r="E7607" s="29"/>
      <c r="F7607" s="29" t="s">
        <v>4202</v>
      </c>
      <c r="G7607" s="29"/>
      <c r="H7607" s="29" t="s">
        <v>5205</v>
      </c>
      <c r="I7607" s="29"/>
      <c r="J7607" s="29" t="s">
        <v>5908</v>
      </c>
      <c r="K7607" s="29"/>
      <c r="L7607" s="29" t="s">
        <v>5976</v>
      </c>
      <c r="M7607" s="29"/>
      <c r="N7607" s="29" t="s">
        <v>6388</v>
      </c>
      <c r="O7607" s="29"/>
      <c r="P7607" s="29" t="s">
        <v>6393</v>
      </c>
      <c r="Q7607" t="s">
        <v>2040</v>
      </c>
      <c r="R7607" t="s">
        <v>2632</v>
      </c>
      <c r="S7607">
        <v>36</v>
      </c>
      <c r="T7607" s="43" t="str">
        <f t="shared" si="328"/>
        <v>2020.095B.R.Leviviricetes.zip</v>
      </c>
      <c r="U7607" s="43" t="str">
        <f>HYPERLINK("https://ictv.global/taxonomy/taxondetails?taxnode_id=202211403","ictv.global=202211403")</f>
        <v>ictv.global=202211403</v>
      </c>
    </row>
    <row r="7608" spans="1:21">
      <c r="A7608">
        <v>7607</v>
      </c>
      <c r="B7608" s="29" t="s">
        <v>3223</v>
      </c>
      <c r="C7608" s="29"/>
      <c r="D7608" s="29" t="s">
        <v>4156</v>
      </c>
      <c r="E7608" s="29"/>
      <c r="F7608" s="29" t="s">
        <v>4202</v>
      </c>
      <c r="G7608" s="29"/>
      <c r="H7608" s="29" t="s">
        <v>5205</v>
      </c>
      <c r="I7608" s="29"/>
      <c r="J7608" s="29" t="s">
        <v>5908</v>
      </c>
      <c r="K7608" s="29"/>
      <c r="L7608" s="29" t="s">
        <v>5976</v>
      </c>
      <c r="M7608" s="29"/>
      <c r="N7608" s="29" t="s">
        <v>6388</v>
      </c>
      <c r="O7608" s="29"/>
      <c r="P7608" s="29" t="s">
        <v>6394</v>
      </c>
      <c r="Q7608" t="s">
        <v>2040</v>
      </c>
      <c r="R7608" t="s">
        <v>2632</v>
      </c>
      <c r="S7608">
        <v>36</v>
      </c>
      <c r="T7608" s="43" t="str">
        <f t="shared" si="328"/>
        <v>2020.095B.R.Leviviricetes.zip</v>
      </c>
      <c r="U7608" s="43" t="str">
        <f>HYPERLINK("https://ictv.global/taxonomy/taxondetails?taxnode_id=202211404","ictv.global=202211404")</f>
        <v>ictv.global=202211404</v>
      </c>
    </row>
    <row r="7609" spans="1:21">
      <c r="A7609">
        <v>7608</v>
      </c>
      <c r="B7609" s="29" t="s">
        <v>3223</v>
      </c>
      <c r="C7609" s="29"/>
      <c r="D7609" s="29" t="s">
        <v>4156</v>
      </c>
      <c r="E7609" s="29"/>
      <c r="F7609" s="29" t="s">
        <v>4202</v>
      </c>
      <c r="G7609" s="29"/>
      <c r="H7609" s="29" t="s">
        <v>5205</v>
      </c>
      <c r="I7609" s="29"/>
      <c r="J7609" s="29" t="s">
        <v>5908</v>
      </c>
      <c r="K7609" s="29"/>
      <c r="L7609" s="29" t="s">
        <v>5976</v>
      </c>
      <c r="M7609" s="29"/>
      <c r="N7609" s="29" t="s">
        <v>6388</v>
      </c>
      <c r="O7609" s="29"/>
      <c r="P7609" s="29" t="s">
        <v>6395</v>
      </c>
      <c r="Q7609" t="s">
        <v>2040</v>
      </c>
      <c r="R7609" t="s">
        <v>2632</v>
      </c>
      <c r="S7609">
        <v>36</v>
      </c>
      <c r="T7609" s="43" t="str">
        <f t="shared" si="328"/>
        <v>2020.095B.R.Leviviricetes.zip</v>
      </c>
      <c r="U7609" s="43" t="str">
        <f>HYPERLINK("https://ictv.global/taxonomy/taxondetails?taxnode_id=202211405","ictv.global=202211405")</f>
        <v>ictv.global=202211405</v>
      </c>
    </row>
    <row r="7610" spans="1:21">
      <c r="A7610">
        <v>7609</v>
      </c>
      <c r="B7610" s="29" t="s">
        <v>3223</v>
      </c>
      <c r="C7610" s="29"/>
      <c r="D7610" s="29" t="s">
        <v>4156</v>
      </c>
      <c r="E7610" s="29"/>
      <c r="F7610" s="29" t="s">
        <v>4202</v>
      </c>
      <c r="G7610" s="29"/>
      <c r="H7610" s="29" t="s">
        <v>5205</v>
      </c>
      <c r="I7610" s="29"/>
      <c r="J7610" s="29" t="s">
        <v>5908</v>
      </c>
      <c r="K7610" s="29"/>
      <c r="L7610" s="29" t="s">
        <v>5976</v>
      </c>
      <c r="M7610" s="29"/>
      <c r="N7610" s="29" t="s">
        <v>6388</v>
      </c>
      <c r="O7610" s="29"/>
      <c r="P7610" s="29" t="s">
        <v>6396</v>
      </c>
      <c r="Q7610" t="s">
        <v>2040</v>
      </c>
      <c r="R7610" t="s">
        <v>2632</v>
      </c>
      <c r="S7610">
        <v>36</v>
      </c>
      <c r="T7610" s="43" t="str">
        <f t="shared" si="328"/>
        <v>2020.095B.R.Leviviricetes.zip</v>
      </c>
      <c r="U7610" s="43" t="str">
        <f>HYPERLINK("https://ictv.global/taxonomy/taxondetails?taxnode_id=202211406","ictv.global=202211406")</f>
        <v>ictv.global=202211406</v>
      </c>
    </row>
    <row r="7611" spans="1:21">
      <c r="A7611">
        <v>7610</v>
      </c>
      <c r="B7611" s="29" t="s">
        <v>3223</v>
      </c>
      <c r="C7611" s="29"/>
      <c r="D7611" s="29" t="s">
        <v>4156</v>
      </c>
      <c r="E7611" s="29"/>
      <c r="F7611" s="29" t="s">
        <v>4202</v>
      </c>
      <c r="G7611" s="29"/>
      <c r="H7611" s="29" t="s">
        <v>5205</v>
      </c>
      <c r="I7611" s="29"/>
      <c r="J7611" s="29" t="s">
        <v>5908</v>
      </c>
      <c r="K7611" s="29"/>
      <c r="L7611" s="29" t="s">
        <v>5976</v>
      </c>
      <c r="M7611" s="29"/>
      <c r="N7611" s="29" t="s">
        <v>6388</v>
      </c>
      <c r="O7611" s="29"/>
      <c r="P7611" s="29" t="s">
        <v>6397</v>
      </c>
      <c r="Q7611" t="s">
        <v>2040</v>
      </c>
      <c r="R7611" t="s">
        <v>2632</v>
      </c>
      <c r="S7611">
        <v>36</v>
      </c>
      <c r="T7611" s="43" t="str">
        <f t="shared" si="328"/>
        <v>2020.095B.R.Leviviricetes.zip</v>
      </c>
      <c r="U7611" s="43" t="str">
        <f>HYPERLINK("https://ictv.global/taxonomy/taxondetails?taxnode_id=202211407","ictv.global=202211407")</f>
        <v>ictv.global=202211407</v>
      </c>
    </row>
    <row r="7612" spans="1:21">
      <c r="A7612">
        <v>7611</v>
      </c>
      <c r="B7612" s="29" t="s">
        <v>3223</v>
      </c>
      <c r="C7612" s="29"/>
      <c r="D7612" s="29" t="s">
        <v>4156</v>
      </c>
      <c r="E7612" s="29"/>
      <c r="F7612" s="29" t="s">
        <v>4202</v>
      </c>
      <c r="G7612" s="29"/>
      <c r="H7612" s="29" t="s">
        <v>5205</v>
      </c>
      <c r="I7612" s="29"/>
      <c r="J7612" s="29" t="s">
        <v>5908</v>
      </c>
      <c r="K7612" s="29"/>
      <c r="L7612" s="29" t="s">
        <v>5976</v>
      </c>
      <c r="M7612" s="29"/>
      <c r="N7612" s="29" t="s">
        <v>6388</v>
      </c>
      <c r="O7612" s="29"/>
      <c r="P7612" s="29" t="s">
        <v>6398</v>
      </c>
      <c r="Q7612" t="s">
        <v>2040</v>
      </c>
      <c r="R7612" t="s">
        <v>2632</v>
      </c>
      <c r="S7612">
        <v>36</v>
      </c>
      <c r="T7612" s="43" t="str">
        <f t="shared" si="328"/>
        <v>2020.095B.R.Leviviricetes.zip</v>
      </c>
      <c r="U7612" s="43" t="str">
        <f>HYPERLINK("https://ictv.global/taxonomy/taxondetails?taxnode_id=202211408","ictv.global=202211408")</f>
        <v>ictv.global=202211408</v>
      </c>
    </row>
    <row r="7613" spans="1:21">
      <c r="A7613">
        <v>7612</v>
      </c>
      <c r="B7613" s="29" t="s">
        <v>3223</v>
      </c>
      <c r="C7613" s="29"/>
      <c r="D7613" s="29" t="s">
        <v>4156</v>
      </c>
      <c r="E7613" s="29"/>
      <c r="F7613" s="29" t="s">
        <v>4202</v>
      </c>
      <c r="G7613" s="29"/>
      <c r="H7613" s="29" t="s">
        <v>5205</v>
      </c>
      <c r="I7613" s="29"/>
      <c r="J7613" s="29" t="s">
        <v>5908</v>
      </c>
      <c r="K7613" s="29"/>
      <c r="L7613" s="29" t="s">
        <v>5976</v>
      </c>
      <c r="M7613" s="29"/>
      <c r="N7613" s="29" t="s">
        <v>6388</v>
      </c>
      <c r="O7613" s="29"/>
      <c r="P7613" s="29" t="s">
        <v>6399</v>
      </c>
      <c r="Q7613" t="s">
        <v>2040</v>
      </c>
      <c r="R7613" t="s">
        <v>2632</v>
      </c>
      <c r="S7613">
        <v>36</v>
      </c>
      <c r="T7613" s="43" t="str">
        <f t="shared" si="328"/>
        <v>2020.095B.R.Leviviricetes.zip</v>
      </c>
      <c r="U7613" s="43" t="str">
        <f>HYPERLINK("https://ictv.global/taxonomy/taxondetails?taxnode_id=202211409","ictv.global=202211409")</f>
        <v>ictv.global=202211409</v>
      </c>
    </row>
    <row r="7614" spans="1:21">
      <c r="A7614">
        <v>7613</v>
      </c>
      <c r="B7614" s="29" t="s">
        <v>3223</v>
      </c>
      <c r="C7614" s="29"/>
      <c r="D7614" s="29" t="s">
        <v>4156</v>
      </c>
      <c r="E7614" s="29"/>
      <c r="F7614" s="29" t="s">
        <v>4202</v>
      </c>
      <c r="G7614" s="29"/>
      <c r="H7614" s="29" t="s">
        <v>5205</v>
      </c>
      <c r="I7614" s="29"/>
      <c r="J7614" s="29" t="s">
        <v>5908</v>
      </c>
      <c r="K7614" s="29"/>
      <c r="L7614" s="29" t="s">
        <v>5976</v>
      </c>
      <c r="M7614" s="29"/>
      <c r="N7614" s="29" t="s">
        <v>6388</v>
      </c>
      <c r="O7614" s="29"/>
      <c r="P7614" s="29" t="s">
        <v>6400</v>
      </c>
      <c r="Q7614" t="s">
        <v>2040</v>
      </c>
      <c r="R7614" t="s">
        <v>2632</v>
      </c>
      <c r="S7614">
        <v>36</v>
      </c>
      <c r="T7614" s="43" t="str">
        <f t="shared" si="328"/>
        <v>2020.095B.R.Leviviricetes.zip</v>
      </c>
      <c r="U7614" s="43" t="str">
        <f>HYPERLINK("https://ictv.global/taxonomy/taxondetails?taxnode_id=202211410","ictv.global=202211410")</f>
        <v>ictv.global=202211410</v>
      </c>
    </row>
    <row r="7615" spans="1:21">
      <c r="A7615">
        <v>7614</v>
      </c>
      <c r="B7615" s="29" t="s">
        <v>3223</v>
      </c>
      <c r="C7615" s="29"/>
      <c r="D7615" s="29" t="s">
        <v>4156</v>
      </c>
      <c r="E7615" s="29"/>
      <c r="F7615" s="29" t="s">
        <v>4202</v>
      </c>
      <c r="G7615" s="29"/>
      <c r="H7615" s="29" t="s">
        <v>5205</v>
      </c>
      <c r="I7615" s="29"/>
      <c r="J7615" s="29" t="s">
        <v>5908</v>
      </c>
      <c r="K7615" s="29"/>
      <c r="L7615" s="29" t="s">
        <v>5976</v>
      </c>
      <c r="M7615" s="29"/>
      <c r="N7615" s="29" t="s">
        <v>6388</v>
      </c>
      <c r="O7615" s="29"/>
      <c r="P7615" s="29" t="s">
        <v>6401</v>
      </c>
      <c r="Q7615" t="s">
        <v>2040</v>
      </c>
      <c r="R7615" t="s">
        <v>2632</v>
      </c>
      <c r="S7615">
        <v>36</v>
      </c>
      <c r="T7615" s="43" t="str">
        <f t="shared" si="328"/>
        <v>2020.095B.R.Leviviricetes.zip</v>
      </c>
      <c r="U7615" s="43" t="str">
        <f>HYPERLINK("https://ictv.global/taxonomy/taxondetails?taxnode_id=202211394","ictv.global=202211394")</f>
        <v>ictv.global=202211394</v>
      </c>
    </row>
    <row r="7616" spans="1:21">
      <c r="A7616">
        <v>7615</v>
      </c>
      <c r="B7616" s="29" t="s">
        <v>3223</v>
      </c>
      <c r="C7616" s="29"/>
      <c r="D7616" s="29" t="s">
        <v>4156</v>
      </c>
      <c r="E7616" s="29"/>
      <c r="F7616" s="29" t="s">
        <v>4202</v>
      </c>
      <c r="G7616" s="29"/>
      <c r="H7616" s="29" t="s">
        <v>5205</v>
      </c>
      <c r="I7616" s="29"/>
      <c r="J7616" s="29" t="s">
        <v>5908</v>
      </c>
      <c r="K7616" s="29"/>
      <c r="L7616" s="29" t="s">
        <v>5976</v>
      </c>
      <c r="M7616" s="29"/>
      <c r="N7616" s="29" t="s">
        <v>6388</v>
      </c>
      <c r="O7616" s="29"/>
      <c r="P7616" s="29" t="s">
        <v>6402</v>
      </c>
      <c r="Q7616" t="s">
        <v>2040</v>
      </c>
      <c r="R7616" t="s">
        <v>2632</v>
      </c>
      <c r="S7616">
        <v>36</v>
      </c>
      <c r="T7616" s="43" t="str">
        <f t="shared" si="328"/>
        <v>2020.095B.R.Leviviricetes.zip</v>
      </c>
      <c r="U7616" s="43" t="str">
        <f>HYPERLINK("https://ictv.global/taxonomy/taxondetails?taxnode_id=202211393","ictv.global=202211393")</f>
        <v>ictv.global=202211393</v>
      </c>
    </row>
    <row r="7617" spans="1:21">
      <c r="A7617">
        <v>7616</v>
      </c>
      <c r="B7617" s="29" t="s">
        <v>3223</v>
      </c>
      <c r="C7617" s="29"/>
      <c r="D7617" s="29" t="s">
        <v>4156</v>
      </c>
      <c r="E7617" s="29"/>
      <c r="F7617" s="29" t="s">
        <v>4202</v>
      </c>
      <c r="G7617" s="29"/>
      <c r="H7617" s="29" t="s">
        <v>5205</v>
      </c>
      <c r="I7617" s="29"/>
      <c r="J7617" s="29" t="s">
        <v>5908</v>
      </c>
      <c r="K7617" s="29"/>
      <c r="L7617" s="29" t="s">
        <v>5976</v>
      </c>
      <c r="M7617" s="29"/>
      <c r="N7617" s="29" t="s">
        <v>6388</v>
      </c>
      <c r="O7617" s="29"/>
      <c r="P7617" s="29" t="s">
        <v>6403</v>
      </c>
      <c r="Q7617" t="s">
        <v>2040</v>
      </c>
      <c r="R7617" t="s">
        <v>2632</v>
      </c>
      <c r="S7617">
        <v>36</v>
      </c>
      <c r="T7617" s="43" t="str">
        <f t="shared" si="328"/>
        <v>2020.095B.R.Leviviricetes.zip</v>
      </c>
      <c r="U7617" s="43" t="str">
        <f>HYPERLINK("https://ictv.global/taxonomy/taxondetails?taxnode_id=202211395","ictv.global=202211395")</f>
        <v>ictv.global=202211395</v>
      </c>
    </row>
    <row r="7618" spans="1:21">
      <c r="A7618">
        <v>7617</v>
      </c>
      <c r="B7618" s="29" t="s">
        <v>3223</v>
      </c>
      <c r="C7618" s="29"/>
      <c r="D7618" s="29" t="s">
        <v>4156</v>
      </c>
      <c r="E7618" s="29"/>
      <c r="F7618" s="29" t="s">
        <v>4202</v>
      </c>
      <c r="G7618" s="29"/>
      <c r="H7618" s="29" t="s">
        <v>5205</v>
      </c>
      <c r="I7618" s="29"/>
      <c r="J7618" s="29" t="s">
        <v>5908</v>
      </c>
      <c r="K7618" s="29"/>
      <c r="L7618" s="29" t="s">
        <v>5976</v>
      </c>
      <c r="M7618" s="29"/>
      <c r="N7618" s="29" t="s">
        <v>6388</v>
      </c>
      <c r="O7618" s="29"/>
      <c r="P7618" s="29" t="s">
        <v>6404</v>
      </c>
      <c r="Q7618" t="s">
        <v>2040</v>
      </c>
      <c r="R7618" t="s">
        <v>2632</v>
      </c>
      <c r="S7618">
        <v>36</v>
      </c>
      <c r="T7618" s="43" t="str">
        <f t="shared" si="328"/>
        <v>2020.095B.R.Leviviricetes.zip</v>
      </c>
      <c r="U7618" s="43" t="str">
        <f>HYPERLINK("https://ictv.global/taxonomy/taxondetails?taxnode_id=202211396","ictv.global=202211396")</f>
        <v>ictv.global=202211396</v>
      </c>
    </row>
    <row r="7619" spans="1:21">
      <c r="A7619">
        <v>7618</v>
      </c>
      <c r="B7619" s="29" t="s">
        <v>3223</v>
      </c>
      <c r="C7619" s="29"/>
      <c r="D7619" s="29" t="s">
        <v>4156</v>
      </c>
      <c r="E7619" s="29"/>
      <c r="F7619" s="29" t="s">
        <v>4202</v>
      </c>
      <c r="G7619" s="29"/>
      <c r="H7619" s="29" t="s">
        <v>5205</v>
      </c>
      <c r="I7619" s="29"/>
      <c r="J7619" s="29" t="s">
        <v>5908</v>
      </c>
      <c r="K7619" s="29"/>
      <c r="L7619" s="29" t="s">
        <v>5976</v>
      </c>
      <c r="M7619" s="29"/>
      <c r="N7619" s="29" t="s">
        <v>6388</v>
      </c>
      <c r="O7619" s="29"/>
      <c r="P7619" s="29" t="s">
        <v>6405</v>
      </c>
      <c r="Q7619" t="s">
        <v>2040</v>
      </c>
      <c r="R7619" t="s">
        <v>2632</v>
      </c>
      <c r="S7619">
        <v>36</v>
      </c>
      <c r="T7619" s="43" t="str">
        <f t="shared" si="328"/>
        <v>2020.095B.R.Leviviricetes.zip</v>
      </c>
      <c r="U7619" s="43" t="str">
        <f>HYPERLINK("https://ictv.global/taxonomy/taxondetails?taxnode_id=202211397","ictv.global=202211397")</f>
        <v>ictv.global=202211397</v>
      </c>
    </row>
    <row r="7620" spans="1:21">
      <c r="A7620">
        <v>7619</v>
      </c>
      <c r="B7620" s="29" t="s">
        <v>3223</v>
      </c>
      <c r="C7620" s="29"/>
      <c r="D7620" s="29" t="s">
        <v>4156</v>
      </c>
      <c r="E7620" s="29"/>
      <c r="F7620" s="29" t="s">
        <v>4202</v>
      </c>
      <c r="G7620" s="29"/>
      <c r="H7620" s="29" t="s">
        <v>5205</v>
      </c>
      <c r="I7620" s="29"/>
      <c r="J7620" s="29" t="s">
        <v>5908</v>
      </c>
      <c r="K7620" s="29"/>
      <c r="L7620" s="29" t="s">
        <v>5976</v>
      </c>
      <c r="M7620" s="29"/>
      <c r="N7620" s="29" t="s">
        <v>6388</v>
      </c>
      <c r="O7620" s="29"/>
      <c r="P7620" s="29" t="s">
        <v>6406</v>
      </c>
      <c r="Q7620" t="s">
        <v>2040</v>
      </c>
      <c r="R7620" t="s">
        <v>2632</v>
      </c>
      <c r="S7620">
        <v>36</v>
      </c>
      <c r="T7620" s="43" t="str">
        <f t="shared" si="328"/>
        <v>2020.095B.R.Leviviricetes.zip</v>
      </c>
      <c r="U7620" s="43" t="str">
        <f>HYPERLINK("https://ictv.global/taxonomy/taxondetails?taxnode_id=202211398","ictv.global=202211398")</f>
        <v>ictv.global=202211398</v>
      </c>
    </row>
    <row r="7621" spans="1:21">
      <c r="A7621">
        <v>7620</v>
      </c>
      <c r="B7621" s="29" t="s">
        <v>3223</v>
      </c>
      <c r="C7621" s="29"/>
      <c r="D7621" s="29" t="s">
        <v>4156</v>
      </c>
      <c r="E7621" s="29"/>
      <c r="F7621" s="29" t="s">
        <v>4202</v>
      </c>
      <c r="G7621" s="29"/>
      <c r="H7621" s="29" t="s">
        <v>5205</v>
      </c>
      <c r="I7621" s="29"/>
      <c r="J7621" s="29" t="s">
        <v>5908</v>
      </c>
      <c r="K7621" s="29"/>
      <c r="L7621" s="29" t="s">
        <v>5976</v>
      </c>
      <c r="M7621" s="29"/>
      <c r="N7621" s="29" t="s">
        <v>6388</v>
      </c>
      <c r="O7621" s="29"/>
      <c r="P7621" s="29" t="s">
        <v>6407</v>
      </c>
      <c r="Q7621" t="s">
        <v>2040</v>
      </c>
      <c r="R7621" t="s">
        <v>2632</v>
      </c>
      <c r="S7621">
        <v>36</v>
      </c>
      <c r="T7621" s="43" t="str">
        <f t="shared" si="328"/>
        <v>2020.095B.R.Leviviricetes.zip</v>
      </c>
      <c r="U7621" s="43" t="str">
        <f>HYPERLINK("https://ictv.global/taxonomy/taxondetails?taxnode_id=202211411","ictv.global=202211411")</f>
        <v>ictv.global=202211411</v>
      </c>
    </row>
    <row r="7622" spans="1:21">
      <c r="A7622">
        <v>7621</v>
      </c>
      <c r="B7622" s="29" t="s">
        <v>3223</v>
      </c>
      <c r="C7622" s="29"/>
      <c r="D7622" s="29" t="s">
        <v>4156</v>
      </c>
      <c r="E7622" s="29"/>
      <c r="F7622" s="29" t="s">
        <v>4202</v>
      </c>
      <c r="G7622" s="29"/>
      <c r="H7622" s="29" t="s">
        <v>5205</v>
      </c>
      <c r="I7622" s="29"/>
      <c r="J7622" s="29" t="s">
        <v>5908</v>
      </c>
      <c r="K7622" s="29"/>
      <c r="L7622" s="29" t="s">
        <v>5976</v>
      </c>
      <c r="M7622" s="29"/>
      <c r="N7622" s="29" t="s">
        <v>6408</v>
      </c>
      <c r="O7622" s="29"/>
      <c r="P7622" s="29" t="s">
        <v>6409</v>
      </c>
      <c r="Q7622" t="s">
        <v>2040</v>
      </c>
      <c r="R7622" t="s">
        <v>2632</v>
      </c>
      <c r="S7622">
        <v>36</v>
      </c>
      <c r="T7622" s="43" t="str">
        <f t="shared" si="328"/>
        <v>2020.095B.R.Leviviricetes.zip</v>
      </c>
      <c r="U7622" s="43" t="str">
        <f>HYPERLINK("https://ictv.global/taxonomy/taxondetails?taxnode_id=202211413","ictv.global=202211413")</f>
        <v>ictv.global=202211413</v>
      </c>
    </row>
    <row r="7623" spans="1:21">
      <c r="A7623">
        <v>7622</v>
      </c>
      <c r="B7623" s="29" t="s">
        <v>3223</v>
      </c>
      <c r="C7623" s="29"/>
      <c r="D7623" s="29" t="s">
        <v>4156</v>
      </c>
      <c r="E7623" s="29"/>
      <c r="F7623" s="29" t="s">
        <v>4202</v>
      </c>
      <c r="G7623" s="29"/>
      <c r="H7623" s="29" t="s">
        <v>5205</v>
      </c>
      <c r="I7623" s="29"/>
      <c r="J7623" s="29" t="s">
        <v>5908</v>
      </c>
      <c r="K7623" s="29"/>
      <c r="L7623" s="29" t="s">
        <v>5976</v>
      </c>
      <c r="M7623" s="29"/>
      <c r="N7623" s="29" t="s">
        <v>6410</v>
      </c>
      <c r="O7623" s="29"/>
      <c r="P7623" s="29" t="s">
        <v>6411</v>
      </c>
      <c r="Q7623" t="s">
        <v>2040</v>
      </c>
      <c r="R7623" t="s">
        <v>2632</v>
      </c>
      <c r="S7623">
        <v>36</v>
      </c>
      <c r="T7623" s="43" t="str">
        <f t="shared" si="328"/>
        <v>2020.095B.R.Leviviricetes.zip</v>
      </c>
      <c r="U7623" s="43" t="str">
        <f>HYPERLINK("https://ictv.global/taxonomy/taxondetails?taxnode_id=202211416","ictv.global=202211416")</f>
        <v>ictv.global=202211416</v>
      </c>
    </row>
    <row r="7624" spans="1:21">
      <c r="A7624">
        <v>7623</v>
      </c>
      <c r="B7624" s="29" t="s">
        <v>3223</v>
      </c>
      <c r="C7624" s="29"/>
      <c r="D7624" s="29" t="s">
        <v>4156</v>
      </c>
      <c r="E7624" s="29"/>
      <c r="F7624" s="29" t="s">
        <v>4202</v>
      </c>
      <c r="G7624" s="29"/>
      <c r="H7624" s="29" t="s">
        <v>5205</v>
      </c>
      <c r="I7624" s="29"/>
      <c r="J7624" s="29" t="s">
        <v>5908</v>
      </c>
      <c r="K7624" s="29"/>
      <c r="L7624" s="29" t="s">
        <v>5976</v>
      </c>
      <c r="M7624" s="29"/>
      <c r="N7624" s="29" t="s">
        <v>6410</v>
      </c>
      <c r="O7624" s="29"/>
      <c r="P7624" s="29" t="s">
        <v>6412</v>
      </c>
      <c r="Q7624" t="s">
        <v>2040</v>
      </c>
      <c r="R7624" t="s">
        <v>2632</v>
      </c>
      <c r="S7624">
        <v>36</v>
      </c>
      <c r="T7624" s="43" t="str">
        <f t="shared" si="328"/>
        <v>2020.095B.R.Leviviricetes.zip</v>
      </c>
      <c r="U7624" s="43" t="str">
        <f>HYPERLINK("https://ictv.global/taxonomy/taxondetails?taxnode_id=202211415","ictv.global=202211415")</f>
        <v>ictv.global=202211415</v>
      </c>
    </row>
    <row r="7625" spans="1:21">
      <c r="A7625">
        <v>7624</v>
      </c>
      <c r="B7625" s="29" t="s">
        <v>3223</v>
      </c>
      <c r="C7625" s="29"/>
      <c r="D7625" s="29" t="s">
        <v>4156</v>
      </c>
      <c r="E7625" s="29"/>
      <c r="F7625" s="29" t="s">
        <v>4202</v>
      </c>
      <c r="G7625" s="29"/>
      <c r="H7625" s="29" t="s">
        <v>5205</v>
      </c>
      <c r="I7625" s="29"/>
      <c r="J7625" s="29" t="s">
        <v>5908</v>
      </c>
      <c r="K7625" s="29"/>
      <c r="L7625" s="29" t="s">
        <v>5976</v>
      </c>
      <c r="M7625" s="29"/>
      <c r="N7625" s="29" t="s">
        <v>6413</v>
      </c>
      <c r="O7625" s="29"/>
      <c r="P7625" s="29" t="s">
        <v>6414</v>
      </c>
      <c r="Q7625" t="s">
        <v>2040</v>
      </c>
      <c r="R7625" t="s">
        <v>2632</v>
      </c>
      <c r="S7625">
        <v>36</v>
      </c>
      <c r="T7625" s="43" t="str">
        <f t="shared" si="328"/>
        <v>2020.095B.R.Leviviricetes.zip</v>
      </c>
      <c r="U7625" s="43" t="str">
        <f>HYPERLINK("https://ictv.global/taxonomy/taxondetails?taxnode_id=202211418","ictv.global=202211418")</f>
        <v>ictv.global=202211418</v>
      </c>
    </row>
    <row r="7626" spans="1:21">
      <c r="A7626">
        <v>7625</v>
      </c>
      <c r="B7626" s="29" t="s">
        <v>3223</v>
      </c>
      <c r="C7626" s="29"/>
      <c r="D7626" s="29" t="s">
        <v>4156</v>
      </c>
      <c r="E7626" s="29"/>
      <c r="F7626" s="29" t="s">
        <v>4202</v>
      </c>
      <c r="G7626" s="29"/>
      <c r="H7626" s="29" t="s">
        <v>5205</v>
      </c>
      <c r="I7626" s="29"/>
      <c r="J7626" s="29" t="s">
        <v>5908</v>
      </c>
      <c r="K7626" s="29"/>
      <c r="L7626" s="29" t="s">
        <v>5976</v>
      </c>
      <c r="M7626" s="29"/>
      <c r="N7626" s="29" t="s">
        <v>6415</v>
      </c>
      <c r="O7626" s="29"/>
      <c r="P7626" s="29" t="s">
        <v>6416</v>
      </c>
      <c r="Q7626" t="s">
        <v>2040</v>
      </c>
      <c r="R7626" t="s">
        <v>2632</v>
      </c>
      <c r="S7626">
        <v>36</v>
      </c>
      <c r="T7626" s="43" t="str">
        <f t="shared" si="328"/>
        <v>2020.095B.R.Leviviricetes.zip</v>
      </c>
      <c r="U7626" s="43" t="str">
        <f>HYPERLINK("https://ictv.global/taxonomy/taxondetails?taxnode_id=202211421","ictv.global=202211421")</f>
        <v>ictv.global=202211421</v>
      </c>
    </row>
    <row r="7627" spans="1:21">
      <c r="A7627">
        <v>7626</v>
      </c>
      <c r="B7627" s="29" t="s">
        <v>3223</v>
      </c>
      <c r="C7627" s="29"/>
      <c r="D7627" s="29" t="s">
        <v>4156</v>
      </c>
      <c r="E7627" s="29"/>
      <c r="F7627" s="29" t="s">
        <v>4202</v>
      </c>
      <c r="G7627" s="29"/>
      <c r="H7627" s="29" t="s">
        <v>5205</v>
      </c>
      <c r="I7627" s="29"/>
      <c r="J7627" s="29" t="s">
        <v>5908</v>
      </c>
      <c r="K7627" s="29"/>
      <c r="L7627" s="29" t="s">
        <v>5976</v>
      </c>
      <c r="M7627" s="29"/>
      <c r="N7627" s="29" t="s">
        <v>6415</v>
      </c>
      <c r="O7627" s="29"/>
      <c r="P7627" s="29" t="s">
        <v>6417</v>
      </c>
      <c r="Q7627" t="s">
        <v>2040</v>
      </c>
      <c r="R7627" t="s">
        <v>2632</v>
      </c>
      <c r="S7627">
        <v>36</v>
      </c>
      <c r="T7627" s="43" t="str">
        <f t="shared" si="328"/>
        <v>2020.095B.R.Leviviricetes.zip</v>
      </c>
      <c r="U7627" s="43" t="str">
        <f>HYPERLINK("https://ictv.global/taxonomy/taxondetails?taxnode_id=202211420","ictv.global=202211420")</f>
        <v>ictv.global=202211420</v>
      </c>
    </row>
    <row r="7628" spans="1:21">
      <c r="A7628">
        <v>7627</v>
      </c>
      <c r="B7628" s="29" t="s">
        <v>3223</v>
      </c>
      <c r="C7628" s="29"/>
      <c r="D7628" s="29" t="s">
        <v>4156</v>
      </c>
      <c r="E7628" s="29"/>
      <c r="F7628" s="29" t="s">
        <v>4202</v>
      </c>
      <c r="G7628" s="29"/>
      <c r="H7628" s="29" t="s">
        <v>5205</v>
      </c>
      <c r="I7628" s="29"/>
      <c r="J7628" s="29" t="s">
        <v>5908</v>
      </c>
      <c r="K7628" s="29"/>
      <c r="L7628" s="29" t="s">
        <v>5976</v>
      </c>
      <c r="M7628" s="29"/>
      <c r="N7628" s="29" t="s">
        <v>6418</v>
      </c>
      <c r="O7628" s="29"/>
      <c r="P7628" s="29" t="s">
        <v>6419</v>
      </c>
      <c r="Q7628" t="s">
        <v>2040</v>
      </c>
      <c r="R7628" t="s">
        <v>2632</v>
      </c>
      <c r="S7628">
        <v>36</v>
      </c>
      <c r="T7628" s="43" t="str">
        <f t="shared" si="328"/>
        <v>2020.095B.R.Leviviricetes.zip</v>
      </c>
      <c r="U7628" s="43" t="str">
        <f>HYPERLINK("https://ictv.global/taxonomy/taxondetails?taxnode_id=202211423","ictv.global=202211423")</f>
        <v>ictv.global=202211423</v>
      </c>
    </row>
    <row r="7629" spans="1:21">
      <c r="A7629">
        <v>7628</v>
      </c>
      <c r="B7629" s="29" t="s">
        <v>3223</v>
      </c>
      <c r="C7629" s="29"/>
      <c r="D7629" s="29" t="s">
        <v>4156</v>
      </c>
      <c r="E7629" s="29"/>
      <c r="F7629" s="29" t="s">
        <v>4202</v>
      </c>
      <c r="G7629" s="29"/>
      <c r="H7629" s="29" t="s">
        <v>5205</v>
      </c>
      <c r="I7629" s="29"/>
      <c r="J7629" s="29" t="s">
        <v>5908</v>
      </c>
      <c r="K7629" s="29"/>
      <c r="L7629" s="29" t="s">
        <v>5976</v>
      </c>
      <c r="M7629" s="29"/>
      <c r="N7629" s="29" t="s">
        <v>6420</v>
      </c>
      <c r="O7629" s="29"/>
      <c r="P7629" s="29" t="s">
        <v>6421</v>
      </c>
      <c r="Q7629" t="s">
        <v>2040</v>
      </c>
      <c r="R7629" t="s">
        <v>2632</v>
      </c>
      <c r="S7629">
        <v>36</v>
      </c>
      <c r="T7629" s="43" t="str">
        <f t="shared" si="328"/>
        <v>2020.095B.R.Leviviricetes.zip</v>
      </c>
      <c r="U7629" s="43" t="str">
        <f>HYPERLINK("https://ictv.global/taxonomy/taxondetails?taxnode_id=202211425","ictv.global=202211425")</f>
        <v>ictv.global=202211425</v>
      </c>
    </row>
    <row r="7630" spans="1:21">
      <c r="A7630">
        <v>7629</v>
      </c>
      <c r="B7630" s="29" t="s">
        <v>3223</v>
      </c>
      <c r="C7630" s="29"/>
      <c r="D7630" s="29" t="s">
        <v>4156</v>
      </c>
      <c r="E7630" s="29"/>
      <c r="F7630" s="29" t="s">
        <v>4202</v>
      </c>
      <c r="G7630" s="29"/>
      <c r="H7630" s="29" t="s">
        <v>5205</v>
      </c>
      <c r="I7630" s="29"/>
      <c r="J7630" s="29" t="s">
        <v>5908</v>
      </c>
      <c r="K7630" s="29"/>
      <c r="L7630" s="29" t="s">
        <v>5976</v>
      </c>
      <c r="M7630" s="29"/>
      <c r="N7630" s="29" t="s">
        <v>6422</v>
      </c>
      <c r="O7630" s="29"/>
      <c r="P7630" s="29" t="s">
        <v>6423</v>
      </c>
      <c r="Q7630" t="s">
        <v>2040</v>
      </c>
      <c r="R7630" t="s">
        <v>2632</v>
      </c>
      <c r="S7630">
        <v>36</v>
      </c>
      <c r="T7630" s="43" t="str">
        <f t="shared" si="328"/>
        <v>2020.095B.R.Leviviricetes.zip</v>
      </c>
      <c r="U7630" s="43" t="str">
        <f>HYPERLINK("https://ictv.global/taxonomy/taxondetails?taxnode_id=202211427","ictv.global=202211427")</f>
        <v>ictv.global=202211427</v>
      </c>
    </row>
    <row r="7631" spans="1:21">
      <c r="A7631">
        <v>7630</v>
      </c>
      <c r="B7631" s="29" t="s">
        <v>3223</v>
      </c>
      <c r="C7631" s="29"/>
      <c r="D7631" s="29" t="s">
        <v>4156</v>
      </c>
      <c r="E7631" s="29"/>
      <c r="F7631" s="29" t="s">
        <v>4202</v>
      </c>
      <c r="G7631" s="29"/>
      <c r="H7631" s="29" t="s">
        <v>5205</v>
      </c>
      <c r="I7631" s="29"/>
      <c r="J7631" s="29" t="s">
        <v>5908</v>
      </c>
      <c r="K7631" s="29"/>
      <c r="L7631" s="29" t="s">
        <v>5976</v>
      </c>
      <c r="M7631" s="29"/>
      <c r="N7631" s="29" t="s">
        <v>6424</v>
      </c>
      <c r="O7631" s="29"/>
      <c r="P7631" s="29" t="s">
        <v>6425</v>
      </c>
      <c r="Q7631" t="s">
        <v>2040</v>
      </c>
      <c r="R7631" t="s">
        <v>2632</v>
      </c>
      <c r="S7631">
        <v>36</v>
      </c>
      <c r="T7631" s="43" t="str">
        <f t="shared" si="328"/>
        <v>2020.095B.R.Leviviricetes.zip</v>
      </c>
      <c r="U7631" s="43" t="str">
        <f>HYPERLINK("https://ictv.global/taxonomy/taxondetails?taxnode_id=202211429","ictv.global=202211429")</f>
        <v>ictv.global=202211429</v>
      </c>
    </row>
    <row r="7632" spans="1:21">
      <c r="A7632">
        <v>7631</v>
      </c>
      <c r="B7632" s="29" t="s">
        <v>3223</v>
      </c>
      <c r="C7632" s="29"/>
      <c r="D7632" s="29" t="s">
        <v>4156</v>
      </c>
      <c r="E7632" s="29"/>
      <c r="F7632" s="29" t="s">
        <v>4202</v>
      </c>
      <c r="G7632" s="29"/>
      <c r="H7632" s="29" t="s">
        <v>5205</v>
      </c>
      <c r="I7632" s="29"/>
      <c r="J7632" s="29" t="s">
        <v>5908</v>
      </c>
      <c r="K7632" s="29"/>
      <c r="L7632" s="29" t="s">
        <v>5976</v>
      </c>
      <c r="M7632" s="29"/>
      <c r="N7632" s="29" t="s">
        <v>6424</v>
      </c>
      <c r="O7632" s="29"/>
      <c r="P7632" s="29" t="s">
        <v>6426</v>
      </c>
      <c r="Q7632" t="s">
        <v>2040</v>
      </c>
      <c r="R7632" t="s">
        <v>2632</v>
      </c>
      <c r="S7632">
        <v>36</v>
      </c>
      <c r="T7632" s="43" t="str">
        <f t="shared" si="328"/>
        <v>2020.095B.R.Leviviricetes.zip</v>
      </c>
      <c r="U7632" s="43" t="str">
        <f>HYPERLINK("https://ictv.global/taxonomy/taxondetails?taxnode_id=202211430","ictv.global=202211430")</f>
        <v>ictv.global=202211430</v>
      </c>
    </row>
    <row r="7633" spans="1:21">
      <c r="A7633">
        <v>7632</v>
      </c>
      <c r="B7633" s="29" t="s">
        <v>3223</v>
      </c>
      <c r="C7633" s="29"/>
      <c r="D7633" s="29" t="s">
        <v>4156</v>
      </c>
      <c r="E7633" s="29"/>
      <c r="F7633" s="29" t="s">
        <v>4202</v>
      </c>
      <c r="G7633" s="29"/>
      <c r="H7633" s="29" t="s">
        <v>5205</v>
      </c>
      <c r="I7633" s="29"/>
      <c r="J7633" s="29" t="s">
        <v>5908</v>
      </c>
      <c r="K7633" s="29"/>
      <c r="L7633" s="29" t="s">
        <v>5976</v>
      </c>
      <c r="M7633" s="29"/>
      <c r="N7633" s="29" t="s">
        <v>6424</v>
      </c>
      <c r="O7633" s="29"/>
      <c r="P7633" s="29" t="s">
        <v>6427</v>
      </c>
      <c r="Q7633" t="s">
        <v>2040</v>
      </c>
      <c r="R7633" t="s">
        <v>2632</v>
      </c>
      <c r="S7633">
        <v>36</v>
      </c>
      <c r="T7633" s="43" t="str">
        <f t="shared" si="328"/>
        <v>2020.095B.R.Leviviricetes.zip</v>
      </c>
      <c r="U7633" s="43" t="str">
        <f>HYPERLINK("https://ictv.global/taxonomy/taxondetails?taxnode_id=202211432","ictv.global=202211432")</f>
        <v>ictv.global=202211432</v>
      </c>
    </row>
    <row r="7634" spans="1:21">
      <c r="A7634">
        <v>7633</v>
      </c>
      <c r="B7634" s="29" t="s">
        <v>3223</v>
      </c>
      <c r="C7634" s="29"/>
      <c r="D7634" s="29" t="s">
        <v>4156</v>
      </c>
      <c r="E7634" s="29"/>
      <c r="F7634" s="29" t="s">
        <v>4202</v>
      </c>
      <c r="G7634" s="29"/>
      <c r="H7634" s="29" t="s">
        <v>5205</v>
      </c>
      <c r="I7634" s="29"/>
      <c r="J7634" s="29" t="s">
        <v>5908</v>
      </c>
      <c r="K7634" s="29"/>
      <c r="L7634" s="29" t="s">
        <v>5976</v>
      </c>
      <c r="M7634" s="29"/>
      <c r="N7634" s="29" t="s">
        <v>6424</v>
      </c>
      <c r="O7634" s="29"/>
      <c r="P7634" s="29" t="s">
        <v>6428</v>
      </c>
      <c r="Q7634" t="s">
        <v>2040</v>
      </c>
      <c r="R7634" t="s">
        <v>2632</v>
      </c>
      <c r="S7634">
        <v>36</v>
      </c>
      <c r="T7634" s="43" t="str">
        <f t="shared" si="328"/>
        <v>2020.095B.R.Leviviricetes.zip</v>
      </c>
      <c r="U7634" s="43" t="str">
        <f>HYPERLINK("https://ictv.global/taxonomy/taxondetails?taxnode_id=202211431","ictv.global=202211431")</f>
        <v>ictv.global=202211431</v>
      </c>
    </row>
    <row r="7635" spans="1:21">
      <c r="A7635">
        <v>7634</v>
      </c>
      <c r="B7635" s="29" t="s">
        <v>3223</v>
      </c>
      <c r="C7635" s="29"/>
      <c r="D7635" s="29" t="s">
        <v>4156</v>
      </c>
      <c r="E7635" s="29"/>
      <c r="F7635" s="29" t="s">
        <v>4202</v>
      </c>
      <c r="G7635" s="29"/>
      <c r="H7635" s="29" t="s">
        <v>5205</v>
      </c>
      <c r="I7635" s="29"/>
      <c r="J7635" s="29" t="s">
        <v>5908</v>
      </c>
      <c r="K7635" s="29"/>
      <c r="L7635" s="29" t="s">
        <v>5976</v>
      </c>
      <c r="M7635" s="29"/>
      <c r="N7635" s="29" t="s">
        <v>6429</v>
      </c>
      <c r="O7635" s="29"/>
      <c r="P7635" s="29" t="s">
        <v>6430</v>
      </c>
      <c r="Q7635" t="s">
        <v>2040</v>
      </c>
      <c r="R7635" t="s">
        <v>2632</v>
      </c>
      <c r="S7635">
        <v>36</v>
      </c>
      <c r="T7635" s="43" t="str">
        <f t="shared" si="328"/>
        <v>2020.095B.R.Leviviricetes.zip</v>
      </c>
      <c r="U7635" s="43" t="str">
        <f>HYPERLINK("https://ictv.global/taxonomy/taxondetails?taxnode_id=202211434","ictv.global=202211434")</f>
        <v>ictv.global=202211434</v>
      </c>
    </row>
    <row r="7636" spans="1:21">
      <c r="A7636">
        <v>7635</v>
      </c>
      <c r="B7636" s="29" t="s">
        <v>3223</v>
      </c>
      <c r="C7636" s="29"/>
      <c r="D7636" s="29" t="s">
        <v>4156</v>
      </c>
      <c r="E7636" s="29"/>
      <c r="F7636" s="29" t="s">
        <v>4202</v>
      </c>
      <c r="G7636" s="29"/>
      <c r="H7636" s="29" t="s">
        <v>5205</v>
      </c>
      <c r="I7636" s="29"/>
      <c r="J7636" s="29" t="s">
        <v>5908</v>
      </c>
      <c r="K7636" s="29"/>
      <c r="L7636" s="29" t="s">
        <v>5976</v>
      </c>
      <c r="M7636" s="29"/>
      <c r="N7636" s="29" t="s">
        <v>6429</v>
      </c>
      <c r="O7636" s="29"/>
      <c r="P7636" s="29" t="s">
        <v>6431</v>
      </c>
      <c r="Q7636" t="s">
        <v>2040</v>
      </c>
      <c r="R7636" t="s">
        <v>2632</v>
      </c>
      <c r="S7636">
        <v>36</v>
      </c>
      <c r="T7636" s="43" t="str">
        <f t="shared" si="328"/>
        <v>2020.095B.R.Leviviricetes.zip</v>
      </c>
      <c r="U7636" s="43" t="str">
        <f>HYPERLINK("https://ictv.global/taxonomy/taxondetails?taxnode_id=202211435","ictv.global=202211435")</f>
        <v>ictv.global=202211435</v>
      </c>
    </row>
    <row r="7637" spans="1:21">
      <c r="A7637">
        <v>7636</v>
      </c>
      <c r="B7637" s="29" t="s">
        <v>3223</v>
      </c>
      <c r="C7637" s="29"/>
      <c r="D7637" s="29" t="s">
        <v>4156</v>
      </c>
      <c r="E7637" s="29"/>
      <c r="F7637" s="29" t="s">
        <v>4202</v>
      </c>
      <c r="G7637" s="29"/>
      <c r="H7637" s="29" t="s">
        <v>5205</v>
      </c>
      <c r="I7637" s="29"/>
      <c r="J7637" s="29" t="s">
        <v>5908</v>
      </c>
      <c r="K7637" s="29"/>
      <c r="L7637" s="29" t="s">
        <v>5976</v>
      </c>
      <c r="M7637" s="29"/>
      <c r="N7637" s="29" t="s">
        <v>6432</v>
      </c>
      <c r="O7637" s="29"/>
      <c r="P7637" s="29" t="s">
        <v>6433</v>
      </c>
      <c r="Q7637" t="s">
        <v>2040</v>
      </c>
      <c r="R7637" t="s">
        <v>2632</v>
      </c>
      <c r="S7637">
        <v>36</v>
      </c>
      <c r="T7637" s="43" t="str">
        <f t="shared" si="328"/>
        <v>2020.095B.R.Leviviricetes.zip</v>
      </c>
      <c r="U7637" s="43" t="str">
        <f>HYPERLINK("https://ictv.global/taxonomy/taxondetails?taxnode_id=202211438","ictv.global=202211438")</f>
        <v>ictv.global=202211438</v>
      </c>
    </row>
    <row r="7638" spans="1:21">
      <c r="A7638">
        <v>7637</v>
      </c>
      <c r="B7638" s="29" t="s">
        <v>3223</v>
      </c>
      <c r="C7638" s="29"/>
      <c r="D7638" s="29" t="s">
        <v>4156</v>
      </c>
      <c r="E7638" s="29"/>
      <c r="F7638" s="29" t="s">
        <v>4202</v>
      </c>
      <c r="G7638" s="29"/>
      <c r="H7638" s="29" t="s">
        <v>5205</v>
      </c>
      <c r="I7638" s="29"/>
      <c r="J7638" s="29" t="s">
        <v>5908</v>
      </c>
      <c r="K7638" s="29"/>
      <c r="L7638" s="29" t="s">
        <v>5976</v>
      </c>
      <c r="M7638" s="29"/>
      <c r="N7638" s="29" t="s">
        <v>6432</v>
      </c>
      <c r="O7638" s="29"/>
      <c r="P7638" s="29" t="s">
        <v>6434</v>
      </c>
      <c r="Q7638" t="s">
        <v>2040</v>
      </c>
      <c r="R7638" t="s">
        <v>2632</v>
      </c>
      <c r="S7638">
        <v>36</v>
      </c>
      <c r="T7638" s="43" t="str">
        <f t="shared" si="328"/>
        <v>2020.095B.R.Leviviricetes.zip</v>
      </c>
      <c r="U7638" s="43" t="str">
        <f>HYPERLINK("https://ictv.global/taxonomy/taxondetails?taxnode_id=202211437","ictv.global=202211437")</f>
        <v>ictv.global=202211437</v>
      </c>
    </row>
    <row r="7639" spans="1:21">
      <c r="A7639">
        <v>7638</v>
      </c>
      <c r="B7639" s="29" t="s">
        <v>3223</v>
      </c>
      <c r="C7639" s="29"/>
      <c r="D7639" s="29" t="s">
        <v>4156</v>
      </c>
      <c r="E7639" s="29"/>
      <c r="F7639" s="29" t="s">
        <v>4202</v>
      </c>
      <c r="G7639" s="29"/>
      <c r="H7639" s="29" t="s">
        <v>5205</v>
      </c>
      <c r="I7639" s="29"/>
      <c r="J7639" s="29" t="s">
        <v>5908</v>
      </c>
      <c r="K7639" s="29"/>
      <c r="L7639" s="29" t="s">
        <v>5976</v>
      </c>
      <c r="M7639" s="29"/>
      <c r="N7639" s="29" t="s">
        <v>6435</v>
      </c>
      <c r="O7639" s="29"/>
      <c r="P7639" s="29" t="s">
        <v>6436</v>
      </c>
      <c r="Q7639" t="s">
        <v>2040</v>
      </c>
      <c r="R7639" t="s">
        <v>2632</v>
      </c>
      <c r="S7639">
        <v>36</v>
      </c>
      <c r="T7639" s="43" t="str">
        <f t="shared" si="328"/>
        <v>2020.095B.R.Leviviricetes.zip</v>
      </c>
      <c r="U7639" s="43" t="str">
        <f>HYPERLINK("https://ictv.global/taxonomy/taxondetails?taxnode_id=202211440","ictv.global=202211440")</f>
        <v>ictv.global=202211440</v>
      </c>
    </row>
    <row r="7640" spans="1:21">
      <c r="A7640">
        <v>7639</v>
      </c>
      <c r="B7640" s="29" t="s">
        <v>3223</v>
      </c>
      <c r="C7640" s="29"/>
      <c r="D7640" s="29" t="s">
        <v>4156</v>
      </c>
      <c r="E7640" s="29"/>
      <c r="F7640" s="29" t="s">
        <v>4202</v>
      </c>
      <c r="G7640" s="29"/>
      <c r="H7640" s="29" t="s">
        <v>5205</v>
      </c>
      <c r="I7640" s="29"/>
      <c r="J7640" s="29" t="s">
        <v>5908</v>
      </c>
      <c r="K7640" s="29"/>
      <c r="L7640" s="29" t="s">
        <v>5976</v>
      </c>
      <c r="M7640" s="29"/>
      <c r="N7640" s="29" t="s">
        <v>6437</v>
      </c>
      <c r="O7640" s="29"/>
      <c r="P7640" s="29" t="s">
        <v>6438</v>
      </c>
      <c r="Q7640" t="s">
        <v>2040</v>
      </c>
      <c r="R7640" t="s">
        <v>2632</v>
      </c>
      <c r="S7640">
        <v>36</v>
      </c>
      <c r="T7640" s="43" t="str">
        <f t="shared" si="328"/>
        <v>2020.095B.R.Leviviricetes.zip</v>
      </c>
      <c r="U7640" s="43" t="str">
        <f>HYPERLINK("https://ictv.global/taxonomy/taxondetails?taxnode_id=202211442","ictv.global=202211442")</f>
        <v>ictv.global=202211442</v>
      </c>
    </row>
    <row r="7641" spans="1:21">
      <c r="A7641">
        <v>7640</v>
      </c>
      <c r="B7641" s="29" t="s">
        <v>3223</v>
      </c>
      <c r="C7641" s="29"/>
      <c r="D7641" s="29" t="s">
        <v>4156</v>
      </c>
      <c r="E7641" s="29"/>
      <c r="F7641" s="29" t="s">
        <v>4202</v>
      </c>
      <c r="G7641" s="29"/>
      <c r="H7641" s="29" t="s">
        <v>5205</v>
      </c>
      <c r="I7641" s="29"/>
      <c r="J7641" s="29" t="s">
        <v>5908</v>
      </c>
      <c r="K7641" s="29"/>
      <c r="L7641" s="29" t="s">
        <v>5976</v>
      </c>
      <c r="M7641" s="29"/>
      <c r="N7641" s="29" t="s">
        <v>6439</v>
      </c>
      <c r="O7641" s="29"/>
      <c r="P7641" s="29" t="s">
        <v>6440</v>
      </c>
      <c r="Q7641" t="s">
        <v>2040</v>
      </c>
      <c r="R7641" t="s">
        <v>2632</v>
      </c>
      <c r="S7641">
        <v>36</v>
      </c>
      <c r="T7641" s="43" t="str">
        <f t="shared" si="328"/>
        <v>2020.095B.R.Leviviricetes.zip</v>
      </c>
      <c r="U7641" s="43" t="str">
        <f>HYPERLINK("https://ictv.global/taxonomy/taxondetails?taxnode_id=202211446","ictv.global=202211446")</f>
        <v>ictv.global=202211446</v>
      </c>
    </row>
    <row r="7642" spans="1:21">
      <c r="A7642">
        <v>7641</v>
      </c>
      <c r="B7642" s="29" t="s">
        <v>3223</v>
      </c>
      <c r="C7642" s="29"/>
      <c r="D7642" s="29" t="s">
        <v>4156</v>
      </c>
      <c r="E7642" s="29"/>
      <c r="F7642" s="29" t="s">
        <v>4202</v>
      </c>
      <c r="G7642" s="29"/>
      <c r="H7642" s="29" t="s">
        <v>5205</v>
      </c>
      <c r="I7642" s="29"/>
      <c r="J7642" s="29" t="s">
        <v>5908</v>
      </c>
      <c r="K7642" s="29"/>
      <c r="L7642" s="29" t="s">
        <v>5976</v>
      </c>
      <c r="M7642" s="29"/>
      <c r="N7642" s="29" t="s">
        <v>6439</v>
      </c>
      <c r="O7642" s="29"/>
      <c r="P7642" s="29" t="s">
        <v>6441</v>
      </c>
      <c r="Q7642" t="s">
        <v>2040</v>
      </c>
      <c r="R7642" t="s">
        <v>2632</v>
      </c>
      <c r="S7642">
        <v>36</v>
      </c>
      <c r="T7642" s="43" t="str">
        <f t="shared" si="328"/>
        <v>2020.095B.R.Leviviricetes.zip</v>
      </c>
      <c r="U7642" s="43" t="str">
        <f>HYPERLINK("https://ictv.global/taxonomy/taxondetails?taxnode_id=202211445","ictv.global=202211445")</f>
        <v>ictv.global=202211445</v>
      </c>
    </row>
    <row r="7643" spans="1:21">
      <c r="A7643">
        <v>7642</v>
      </c>
      <c r="B7643" s="29" t="s">
        <v>3223</v>
      </c>
      <c r="C7643" s="29"/>
      <c r="D7643" s="29" t="s">
        <v>4156</v>
      </c>
      <c r="E7643" s="29"/>
      <c r="F7643" s="29" t="s">
        <v>4202</v>
      </c>
      <c r="G7643" s="29"/>
      <c r="H7643" s="29" t="s">
        <v>5205</v>
      </c>
      <c r="I7643" s="29"/>
      <c r="J7643" s="29" t="s">
        <v>5908</v>
      </c>
      <c r="K7643" s="29"/>
      <c r="L7643" s="29" t="s">
        <v>5976</v>
      </c>
      <c r="M7643" s="29"/>
      <c r="N7643" s="29" t="s">
        <v>6439</v>
      </c>
      <c r="O7643" s="29"/>
      <c r="P7643" s="29" t="s">
        <v>6442</v>
      </c>
      <c r="Q7643" t="s">
        <v>2040</v>
      </c>
      <c r="R7643" t="s">
        <v>2632</v>
      </c>
      <c r="S7643">
        <v>36</v>
      </c>
      <c r="T7643" s="43" t="str">
        <f t="shared" si="328"/>
        <v>2020.095B.R.Leviviricetes.zip</v>
      </c>
      <c r="U7643" s="43" t="str">
        <f>HYPERLINK("https://ictv.global/taxonomy/taxondetails?taxnode_id=202211444","ictv.global=202211444")</f>
        <v>ictv.global=202211444</v>
      </c>
    </row>
    <row r="7644" spans="1:21">
      <c r="A7644">
        <v>7643</v>
      </c>
      <c r="B7644" s="29" t="s">
        <v>3223</v>
      </c>
      <c r="C7644" s="29"/>
      <c r="D7644" s="29" t="s">
        <v>4156</v>
      </c>
      <c r="E7644" s="29"/>
      <c r="F7644" s="29" t="s">
        <v>4202</v>
      </c>
      <c r="G7644" s="29"/>
      <c r="H7644" s="29" t="s">
        <v>5205</v>
      </c>
      <c r="I7644" s="29"/>
      <c r="J7644" s="29" t="s">
        <v>5908</v>
      </c>
      <c r="K7644" s="29"/>
      <c r="L7644" s="29" t="s">
        <v>5976</v>
      </c>
      <c r="M7644" s="29"/>
      <c r="N7644" s="29" t="s">
        <v>6439</v>
      </c>
      <c r="O7644" s="29"/>
      <c r="P7644" s="29" t="s">
        <v>6443</v>
      </c>
      <c r="Q7644" t="s">
        <v>2040</v>
      </c>
      <c r="R7644" t="s">
        <v>2632</v>
      </c>
      <c r="S7644">
        <v>36</v>
      </c>
      <c r="T7644" s="43" t="str">
        <f t="shared" si="328"/>
        <v>2020.095B.R.Leviviricetes.zip</v>
      </c>
      <c r="U7644" s="43" t="str">
        <f>HYPERLINK("https://ictv.global/taxonomy/taxondetails?taxnode_id=202211447","ictv.global=202211447")</f>
        <v>ictv.global=202211447</v>
      </c>
    </row>
    <row r="7645" spans="1:21">
      <c r="A7645">
        <v>7644</v>
      </c>
      <c r="B7645" s="29" t="s">
        <v>3223</v>
      </c>
      <c r="C7645" s="29"/>
      <c r="D7645" s="29" t="s">
        <v>4156</v>
      </c>
      <c r="E7645" s="29"/>
      <c r="F7645" s="29" t="s">
        <v>4202</v>
      </c>
      <c r="G7645" s="29"/>
      <c r="H7645" s="29" t="s">
        <v>5205</v>
      </c>
      <c r="I7645" s="29"/>
      <c r="J7645" s="29" t="s">
        <v>5908</v>
      </c>
      <c r="K7645" s="29"/>
      <c r="L7645" s="29" t="s">
        <v>5976</v>
      </c>
      <c r="M7645" s="29"/>
      <c r="N7645" s="29" t="s">
        <v>6444</v>
      </c>
      <c r="O7645" s="29"/>
      <c r="P7645" s="29" t="s">
        <v>6445</v>
      </c>
      <c r="Q7645" t="s">
        <v>2040</v>
      </c>
      <c r="R7645" t="s">
        <v>2632</v>
      </c>
      <c r="S7645">
        <v>36</v>
      </c>
      <c r="T7645" s="43" t="str">
        <f t="shared" si="328"/>
        <v>2020.095B.R.Leviviricetes.zip</v>
      </c>
      <c r="U7645" s="43" t="str">
        <f>HYPERLINK("https://ictv.global/taxonomy/taxondetails?taxnode_id=202211449","ictv.global=202211449")</f>
        <v>ictv.global=202211449</v>
      </c>
    </row>
    <row r="7646" spans="1:21">
      <c r="A7646">
        <v>7645</v>
      </c>
      <c r="B7646" s="29" t="s">
        <v>3223</v>
      </c>
      <c r="C7646" s="29"/>
      <c r="D7646" s="29" t="s">
        <v>4156</v>
      </c>
      <c r="E7646" s="29"/>
      <c r="F7646" s="29" t="s">
        <v>4202</v>
      </c>
      <c r="G7646" s="29"/>
      <c r="H7646" s="29" t="s">
        <v>5205</v>
      </c>
      <c r="I7646" s="29"/>
      <c r="J7646" s="29" t="s">
        <v>5908</v>
      </c>
      <c r="K7646" s="29"/>
      <c r="L7646" s="29" t="s">
        <v>5976</v>
      </c>
      <c r="M7646" s="29"/>
      <c r="N7646" s="29" t="s">
        <v>6446</v>
      </c>
      <c r="O7646" s="29"/>
      <c r="P7646" s="29" t="s">
        <v>6447</v>
      </c>
      <c r="Q7646" t="s">
        <v>2040</v>
      </c>
      <c r="R7646" t="s">
        <v>2632</v>
      </c>
      <c r="S7646">
        <v>36</v>
      </c>
      <c r="T7646" s="43" t="str">
        <f t="shared" si="328"/>
        <v>2020.095B.R.Leviviricetes.zip</v>
      </c>
      <c r="U7646" s="43" t="str">
        <f>HYPERLINK("https://ictv.global/taxonomy/taxondetails?taxnode_id=202211451","ictv.global=202211451")</f>
        <v>ictv.global=202211451</v>
      </c>
    </row>
    <row r="7647" spans="1:21">
      <c r="A7647">
        <v>7646</v>
      </c>
      <c r="B7647" s="29" t="s">
        <v>3223</v>
      </c>
      <c r="C7647" s="29"/>
      <c r="D7647" s="29" t="s">
        <v>4156</v>
      </c>
      <c r="E7647" s="29"/>
      <c r="F7647" s="29" t="s">
        <v>4202</v>
      </c>
      <c r="G7647" s="29"/>
      <c r="H7647" s="29" t="s">
        <v>5205</v>
      </c>
      <c r="I7647" s="29"/>
      <c r="J7647" s="29" t="s">
        <v>5908</v>
      </c>
      <c r="K7647" s="29"/>
      <c r="L7647" s="29" t="s">
        <v>5976</v>
      </c>
      <c r="M7647" s="29"/>
      <c r="N7647" s="29" t="s">
        <v>6448</v>
      </c>
      <c r="O7647" s="29"/>
      <c r="P7647" s="29" t="s">
        <v>6449</v>
      </c>
      <c r="Q7647" t="s">
        <v>2040</v>
      </c>
      <c r="R7647" t="s">
        <v>2632</v>
      </c>
      <c r="S7647">
        <v>36</v>
      </c>
      <c r="T7647" s="43" t="str">
        <f t="shared" si="328"/>
        <v>2020.095B.R.Leviviricetes.zip</v>
      </c>
      <c r="U7647" s="43" t="str">
        <f>HYPERLINK("https://ictv.global/taxonomy/taxondetails?taxnode_id=202211453","ictv.global=202211453")</f>
        <v>ictv.global=202211453</v>
      </c>
    </row>
    <row r="7648" spans="1:21">
      <c r="A7648">
        <v>7647</v>
      </c>
      <c r="B7648" s="29" t="s">
        <v>3223</v>
      </c>
      <c r="C7648" s="29"/>
      <c r="D7648" s="29" t="s">
        <v>4156</v>
      </c>
      <c r="E7648" s="29"/>
      <c r="F7648" s="29" t="s">
        <v>4202</v>
      </c>
      <c r="G7648" s="29"/>
      <c r="H7648" s="29" t="s">
        <v>5205</v>
      </c>
      <c r="I7648" s="29"/>
      <c r="J7648" s="29" t="s">
        <v>5908</v>
      </c>
      <c r="K7648" s="29"/>
      <c r="L7648" s="29" t="s">
        <v>5976</v>
      </c>
      <c r="M7648" s="29"/>
      <c r="N7648" s="29" t="s">
        <v>6450</v>
      </c>
      <c r="O7648" s="29"/>
      <c r="P7648" s="29" t="s">
        <v>6451</v>
      </c>
      <c r="Q7648" t="s">
        <v>2040</v>
      </c>
      <c r="R7648" t="s">
        <v>2632</v>
      </c>
      <c r="S7648">
        <v>36</v>
      </c>
      <c r="T7648" s="43" t="str">
        <f t="shared" si="328"/>
        <v>2020.095B.R.Leviviricetes.zip</v>
      </c>
      <c r="U7648" s="43" t="str">
        <f>HYPERLINK("https://ictv.global/taxonomy/taxondetails?taxnode_id=202211455","ictv.global=202211455")</f>
        <v>ictv.global=202211455</v>
      </c>
    </row>
    <row r="7649" spans="1:21">
      <c r="A7649">
        <v>7648</v>
      </c>
      <c r="B7649" s="29" t="s">
        <v>3223</v>
      </c>
      <c r="C7649" s="29"/>
      <c r="D7649" s="29" t="s">
        <v>4156</v>
      </c>
      <c r="E7649" s="29"/>
      <c r="F7649" s="29" t="s">
        <v>4202</v>
      </c>
      <c r="G7649" s="29"/>
      <c r="H7649" s="29" t="s">
        <v>5205</v>
      </c>
      <c r="I7649" s="29"/>
      <c r="J7649" s="29" t="s">
        <v>5908</v>
      </c>
      <c r="K7649" s="29"/>
      <c r="L7649" s="29" t="s">
        <v>5976</v>
      </c>
      <c r="M7649" s="29"/>
      <c r="N7649" s="29" t="s">
        <v>6452</v>
      </c>
      <c r="O7649" s="29"/>
      <c r="P7649" s="29" t="s">
        <v>6453</v>
      </c>
      <c r="Q7649" t="s">
        <v>2040</v>
      </c>
      <c r="R7649" t="s">
        <v>2632</v>
      </c>
      <c r="S7649">
        <v>36</v>
      </c>
      <c r="T7649" s="43" t="str">
        <f t="shared" si="328"/>
        <v>2020.095B.R.Leviviricetes.zip</v>
      </c>
      <c r="U7649" s="43" t="str">
        <f>HYPERLINK("https://ictv.global/taxonomy/taxondetails?taxnode_id=202211457","ictv.global=202211457")</f>
        <v>ictv.global=202211457</v>
      </c>
    </row>
    <row r="7650" spans="1:21">
      <c r="A7650">
        <v>7649</v>
      </c>
      <c r="B7650" s="29" t="s">
        <v>3223</v>
      </c>
      <c r="C7650" s="29"/>
      <c r="D7650" s="29" t="s">
        <v>4156</v>
      </c>
      <c r="E7650" s="29"/>
      <c r="F7650" s="29" t="s">
        <v>4202</v>
      </c>
      <c r="G7650" s="29"/>
      <c r="H7650" s="29" t="s">
        <v>5205</v>
      </c>
      <c r="I7650" s="29"/>
      <c r="J7650" s="29" t="s">
        <v>5908</v>
      </c>
      <c r="K7650" s="29"/>
      <c r="L7650" s="29" t="s">
        <v>5976</v>
      </c>
      <c r="M7650" s="29"/>
      <c r="N7650" s="29" t="s">
        <v>6454</v>
      </c>
      <c r="O7650" s="29"/>
      <c r="P7650" s="29" t="s">
        <v>6455</v>
      </c>
      <c r="Q7650" t="s">
        <v>2040</v>
      </c>
      <c r="R7650" t="s">
        <v>2632</v>
      </c>
      <c r="S7650">
        <v>36</v>
      </c>
      <c r="T7650" s="43" t="str">
        <f t="shared" si="328"/>
        <v>2020.095B.R.Leviviricetes.zip</v>
      </c>
      <c r="U7650" s="43" t="str">
        <f>HYPERLINK("https://ictv.global/taxonomy/taxondetails?taxnode_id=202211459","ictv.global=202211459")</f>
        <v>ictv.global=202211459</v>
      </c>
    </row>
    <row r="7651" spans="1:21">
      <c r="A7651">
        <v>7650</v>
      </c>
      <c r="B7651" s="29" t="s">
        <v>3223</v>
      </c>
      <c r="C7651" s="29"/>
      <c r="D7651" s="29" t="s">
        <v>4156</v>
      </c>
      <c r="E7651" s="29"/>
      <c r="F7651" s="29" t="s">
        <v>4202</v>
      </c>
      <c r="G7651" s="29"/>
      <c r="H7651" s="29" t="s">
        <v>5205</v>
      </c>
      <c r="I7651" s="29"/>
      <c r="J7651" s="29" t="s">
        <v>5908</v>
      </c>
      <c r="K7651" s="29"/>
      <c r="L7651" s="29" t="s">
        <v>5976</v>
      </c>
      <c r="M7651" s="29"/>
      <c r="N7651" s="29" t="s">
        <v>6456</v>
      </c>
      <c r="O7651" s="29"/>
      <c r="P7651" s="29" t="s">
        <v>6457</v>
      </c>
      <c r="Q7651" t="s">
        <v>2040</v>
      </c>
      <c r="R7651" t="s">
        <v>2632</v>
      </c>
      <c r="S7651">
        <v>36</v>
      </c>
      <c r="T7651" s="43" t="str">
        <f t="shared" si="328"/>
        <v>2020.095B.R.Leviviricetes.zip</v>
      </c>
      <c r="U7651" s="43" t="str">
        <f>HYPERLINK("https://ictv.global/taxonomy/taxondetails?taxnode_id=202211461","ictv.global=202211461")</f>
        <v>ictv.global=202211461</v>
      </c>
    </row>
    <row r="7652" spans="1:21">
      <c r="A7652">
        <v>7651</v>
      </c>
      <c r="B7652" s="29" t="s">
        <v>3223</v>
      </c>
      <c r="C7652" s="29"/>
      <c r="D7652" s="29" t="s">
        <v>4156</v>
      </c>
      <c r="E7652" s="29"/>
      <c r="F7652" s="29" t="s">
        <v>4202</v>
      </c>
      <c r="G7652" s="29"/>
      <c r="H7652" s="29" t="s">
        <v>5205</v>
      </c>
      <c r="I7652" s="29"/>
      <c r="J7652" s="29" t="s">
        <v>5908</v>
      </c>
      <c r="K7652" s="29"/>
      <c r="L7652" s="29" t="s">
        <v>5976</v>
      </c>
      <c r="M7652" s="29"/>
      <c r="N7652" s="29" t="s">
        <v>6458</v>
      </c>
      <c r="O7652" s="29"/>
      <c r="P7652" s="29" t="s">
        <v>6459</v>
      </c>
      <c r="Q7652" t="s">
        <v>2040</v>
      </c>
      <c r="R7652" t="s">
        <v>2632</v>
      </c>
      <c r="S7652">
        <v>36</v>
      </c>
      <c r="T7652" s="43" t="str">
        <f t="shared" si="328"/>
        <v>2020.095B.R.Leviviricetes.zip</v>
      </c>
      <c r="U7652" s="43" t="str">
        <f>HYPERLINK("https://ictv.global/taxonomy/taxondetails?taxnode_id=202211463","ictv.global=202211463")</f>
        <v>ictv.global=202211463</v>
      </c>
    </row>
    <row r="7653" spans="1:21">
      <c r="A7653">
        <v>7652</v>
      </c>
      <c r="B7653" s="29" t="s">
        <v>3223</v>
      </c>
      <c r="C7653" s="29"/>
      <c r="D7653" s="29" t="s">
        <v>4156</v>
      </c>
      <c r="E7653" s="29"/>
      <c r="F7653" s="29" t="s">
        <v>4202</v>
      </c>
      <c r="G7653" s="29"/>
      <c r="H7653" s="29" t="s">
        <v>5205</v>
      </c>
      <c r="I7653" s="29"/>
      <c r="J7653" s="29" t="s">
        <v>5908</v>
      </c>
      <c r="K7653" s="29"/>
      <c r="L7653" s="29" t="s">
        <v>5976</v>
      </c>
      <c r="M7653" s="29"/>
      <c r="N7653" s="29" t="s">
        <v>6460</v>
      </c>
      <c r="O7653" s="29"/>
      <c r="P7653" s="29" t="s">
        <v>6461</v>
      </c>
      <c r="Q7653" t="s">
        <v>2040</v>
      </c>
      <c r="R7653" t="s">
        <v>2632</v>
      </c>
      <c r="S7653">
        <v>36</v>
      </c>
      <c r="T7653" s="43" t="str">
        <f t="shared" si="328"/>
        <v>2020.095B.R.Leviviricetes.zip</v>
      </c>
      <c r="U7653" s="43" t="str">
        <f>HYPERLINK("https://ictv.global/taxonomy/taxondetails?taxnode_id=202211465","ictv.global=202211465")</f>
        <v>ictv.global=202211465</v>
      </c>
    </row>
    <row r="7654" spans="1:21">
      <c r="A7654">
        <v>7653</v>
      </c>
      <c r="B7654" s="29" t="s">
        <v>3223</v>
      </c>
      <c r="C7654" s="29"/>
      <c r="D7654" s="29" t="s">
        <v>4156</v>
      </c>
      <c r="E7654" s="29"/>
      <c r="F7654" s="29" t="s">
        <v>4202</v>
      </c>
      <c r="G7654" s="29"/>
      <c r="H7654" s="29" t="s">
        <v>5205</v>
      </c>
      <c r="I7654" s="29"/>
      <c r="J7654" s="29" t="s">
        <v>5908</v>
      </c>
      <c r="K7654" s="29"/>
      <c r="L7654" s="29" t="s">
        <v>5976</v>
      </c>
      <c r="M7654" s="29"/>
      <c r="N7654" s="29" t="s">
        <v>6462</v>
      </c>
      <c r="O7654" s="29"/>
      <c r="P7654" s="29" t="s">
        <v>6463</v>
      </c>
      <c r="Q7654" t="s">
        <v>2040</v>
      </c>
      <c r="R7654" t="s">
        <v>2632</v>
      </c>
      <c r="S7654">
        <v>36</v>
      </c>
      <c r="T7654" s="43" t="str">
        <f t="shared" si="328"/>
        <v>2020.095B.R.Leviviricetes.zip</v>
      </c>
      <c r="U7654" s="43" t="str">
        <f>HYPERLINK("https://ictv.global/taxonomy/taxondetails?taxnode_id=202211467","ictv.global=202211467")</f>
        <v>ictv.global=202211467</v>
      </c>
    </row>
    <row r="7655" spans="1:21">
      <c r="A7655">
        <v>7654</v>
      </c>
      <c r="B7655" s="29" t="s">
        <v>3223</v>
      </c>
      <c r="C7655" s="29"/>
      <c r="D7655" s="29" t="s">
        <v>4156</v>
      </c>
      <c r="E7655" s="29"/>
      <c r="F7655" s="29" t="s">
        <v>4202</v>
      </c>
      <c r="G7655" s="29"/>
      <c r="H7655" s="29" t="s">
        <v>5205</v>
      </c>
      <c r="I7655" s="29"/>
      <c r="J7655" s="29" t="s">
        <v>5908</v>
      </c>
      <c r="K7655" s="29"/>
      <c r="L7655" s="29" t="s">
        <v>5976</v>
      </c>
      <c r="M7655" s="29"/>
      <c r="N7655" s="29" t="s">
        <v>6464</v>
      </c>
      <c r="O7655" s="29"/>
      <c r="P7655" s="29" t="s">
        <v>6465</v>
      </c>
      <c r="Q7655" t="s">
        <v>2040</v>
      </c>
      <c r="R7655" t="s">
        <v>2632</v>
      </c>
      <c r="S7655">
        <v>36</v>
      </c>
      <c r="T7655" s="43" t="str">
        <f t="shared" si="328"/>
        <v>2020.095B.R.Leviviricetes.zip</v>
      </c>
      <c r="U7655" s="43" t="str">
        <f>HYPERLINK("https://ictv.global/taxonomy/taxondetails?taxnode_id=202211473","ictv.global=202211473")</f>
        <v>ictv.global=202211473</v>
      </c>
    </row>
    <row r="7656" spans="1:21">
      <c r="A7656">
        <v>7655</v>
      </c>
      <c r="B7656" s="29" t="s">
        <v>3223</v>
      </c>
      <c r="C7656" s="29"/>
      <c r="D7656" s="29" t="s">
        <v>4156</v>
      </c>
      <c r="E7656" s="29"/>
      <c r="F7656" s="29" t="s">
        <v>4202</v>
      </c>
      <c r="G7656" s="29"/>
      <c r="H7656" s="29" t="s">
        <v>5205</v>
      </c>
      <c r="I7656" s="29"/>
      <c r="J7656" s="29" t="s">
        <v>5908</v>
      </c>
      <c r="K7656" s="29"/>
      <c r="L7656" s="29" t="s">
        <v>5976</v>
      </c>
      <c r="M7656" s="29"/>
      <c r="N7656" s="29" t="s">
        <v>6464</v>
      </c>
      <c r="O7656" s="29"/>
      <c r="P7656" s="29" t="s">
        <v>6466</v>
      </c>
      <c r="Q7656" t="s">
        <v>2040</v>
      </c>
      <c r="R7656" t="s">
        <v>2632</v>
      </c>
      <c r="S7656">
        <v>36</v>
      </c>
      <c r="T7656" s="43" t="str">
        <f t="shared" si="328"/>
        <v>2020.095B.R.Leviviricetes.zip</v>
      </c>
      <c r="U7656" s="43" t="str">
        <f>HYPERLINK("https://ictv.global/taxonomy/taxondetails?taxnode_id=202211475","ictv.global=202211475")</f>
        <v>ictv.global=202211475</v>
      </c>
    </row>
    <row r="7657" spans="1:21">
      <c r="A7657">
        <v>7656</v>
      </c>
      <c r="B7657" s="29" t="s">
        <v>3223</v>
      </c>
      <c r="C7657" s="29"/>
      <c r="D7657" s="29" t="s">
        <v>4156</v>
      </c>
      <c r="E7657" s="29"/>
      <c r="F7657" s="29" t="s">
        <v>4202</v>
      </c>
      <c r="G7657" s="29"/>
      <c r="H7657" s="29" t="s">
        <v>5205</v>
      </c>
      <c r="I7657" s="29"/>
      <c r="J7657" s="29" t="s">
        <v>5908</v>
      </c>
      <c r="K7657" s="29"/>
      <c r="L7657" s="29" t="s">
        <v>5976</v>
      </c>
      <c r="M7657" s="29"/>
      <c r="N7657" s="29" t="s">
        <v>6464</v>
      </c>
      <c r="O7657" s="29"/>
      <c r="P7657" s="29" t="s">
        <v>6467</v>
      </c>
      <c r="Q7657" t="s">
        <v>2040</v>
      </c>
      <c r="R7657" t="s">
        <v>2632</v>
      </c>
      <c r="S7657">
        <v>36</v>
      </c>
      <c r="T7657" s="43" t="str">
        <f t="shared" si="328"/>
        <v>2020.095B.R.Leviviricetes.zip</v>
      </c>
      <c r="U7657" s="43" t="str">
        <f>HYPERLINK("https://ictv.global/taxonomy/taxondetails?taxnode_id=202211474","ictv.global=202211474")</f>
        <v>ictv.global=202211474</v>
      </c>
    </row>
    <row r="7658" spans="1:21">
      <c r="A7658">
        <v>7657</v>
      </c>
      <c r="B7658" s="29" t="s">
        <v>3223</v>
      </c>
      <c r="C7658" s="29"/>
      <c r="D7658" s="29" t="s">
        <v>4156</v>
      </c>
      <c r="E7658" s="29"/>
      <c r="F7658" s="29" t="s">
        <v>4202</v>
      </c>
      <c r="G7658" s="29"/>
      <c r="H7658" s="29" t="s">
        <v>5205</v>
      </c>
      <c r="I7658" s="29"/>
      <c r="J7658" s="29" t="s">
        <v>5908</v>
      </c>
      <c r="K7658" s="29"/>
      <c r="L7658" s="29" t="s">
        <v>5976</v>
      </c>
      <c r="M7658" s="29"/>
      <c r="N7658" s="29" t="s">
        <v>6464</v>
      </c>
      <c r="O7658" s="29"/>
      <c r="P7658" s="29" t="s">
        <v>6468</v>
      </c>
      <c r="Q7658" t="s">
        <v>2040</v>
      </c>
      <c r="R7658" t="s">
        <v>2632</v>
      </c>
      <c r="S7658">
        <v>36</v>
      </c>
      <c r="T7658" s="43" t="str">
        <f t="shared" si="328"/>
        <v>2020.095B.R.Leviviricetes.zip</v>
      </c>
      <c r="U7658" s="43" t="str">
        <f>HYPERLINK("https://ictv.global/taxonomy/taxondetails?taxnode_id=202211476","ictv.global=202211476")</f>
        <v>ictv.global=202211476</v>
      </c>
    </row>
    <row r="7659" spans="1:21">
      <c r="A7659">
        <v>7658</v>
      </c>
      <c r="B7659" s="29" t="s">
        <v>3223</v>
      </c>
      <c r="C7659" s="29"/>
      <c r="D7659" s="29" t="s">
        <v>4156</v>
      </c>
      <c r="E7659" s="29"/>
      <c r="F7659" s="29" t="s">
        <v>4202</v>
      </c>
      <c r="G7659" s="29"/>
      <c r="H7659" s="29" t="s">
        <v>5205</v>
      </c>
      <c r="I7659" s="29"/>
      <c r="J7659" s="29" t="s">
        <v>5908</v>
      </c>
      <c r="K7659" s="29"/>
      <c r="L7659" s="29" t="s">
        <v>5976</v>
      </c>
      <c r="M7659" s="29"/>
      <c r="N7659" s="29" t="s">
        <v>6464</v>
      </c>
      <c r="O7659" s="29"/>
      <c r="P7659" s="29" t="s">
        <v>6469</v>
      </c>
      <c r="Q7659" t="s">
        <v>2040</v>
      </c>
      <c r="R7659" t="s">
        <v>2632</v>
      </c>
      <c r="S7659">
        <v>36</v>
      </c>
      <c r="T7659" s="43" t="str">
        <f t="shared" si="328"/>
        <v>2020.095B.R.Leviviricetes.zip</v>
      </c>
      <c r="U7659" s="43" t="str">
        <f>HYPERLINK("https://ictv.global/taxonomy/taxondetails?taxnode_id=202211477","ictv.global=202211477")</f>
        <v>ictv.global=202211477</v>
      </c>
    </row>
    <row r="7660" spans="1:21">
      <c r="A7660">
        <v>7659</v>
      </c>
      <c r="B7660" s="29" t="s">
        <v>3223</v>
      </c>
      <c r="C7660" s="29"/>
      <c r="D7660" s="29" t="s">
        <v>4156</v>
      </c>
      <c r="E7660" s="29"/>
      <c r="F7660" s="29" t="s">
        <v>4202</v>
      </c>
      <c r="G7660" s="29"/>
      <c r="H7660" s="29" t="s">
        <v>5205</v>
      </c>
      <c r="I7660" s="29"/>
      <c r="J7660" s="29" t="s">
        <v>5908</v>
      </c>
      <c r="K7660" s="29"/>
      <c r="L7660" s="29" t="s">
        <v>5976</v>
      </c>
      <c r="M7660" s="29"/>
      <c r="N7660" s="29" t="s">
        <v>6464</v>
      </c>
      <c r="O7660" s="29"/>
      <c r="P7660" s="29" t="s">
        <v>6470</v>
      </c>
      <c r="Q7660" t="s">
        <v>2040</v>
      </c>
      <c r="R7660" t="s">
        <v>2632</v>
      </c>
      <c r="S7660">
        <v>36</v>
      </c>
      <c r="T7660" s="43" t="str">
        <f t="shared" si="328"/>
        <v>2020.095B.R.Leviviricetes.zip</v>
      </c>
      <c r="U7660" s="43" t="str">
        <f>HYPERLINK("https://ictv.global/taxonomy/taxondetails?taxnode_id=202211478","ictv.global=202211478")</f>
        <v>ictv.global=202211478</v>
      </c>
    </row>
    <row r="7661" spans="1:21">
      <c r="A7661">
        <v>7660</v>
      </c>
      <c r="B7661" s="29" t="s">
        <v>3223</v>
      </c>
      <c r="C7661" s="29"/>
      <c r="D7661" s="29" t="s">
        <v>4156</v>
      </c>
      <c r="E7661" s="29"/>
      <c r="F7661" s="29" t="s">
        <v>4202</v>
      </c>
      <c r="G7661" s="29"/>
      <c r="H7661" s="29" t="s">
        <v>5205</v>
      </c>
      <c r="I7661" s="29"/>
      <c r="J7661" s="29" t="s">
        <v>5908</v>
      </c>
      <c r="K7661" s="29"/>
      <c r="L7661" s="29" t="s">
        <v>5976</v>
      </c>
      <c r="M7661" s="29"/>
      <c r="N7661" s="29" t="s">
        <v>6464</v>
      </c>
      <c r="O7661" s="29"/>
      <c r="P7661" s="29" t="s">
        <v>6471</v>
      </c>
      <c r="Q7661" t="s">
        <v>2040</v>
      </c>
      <c r="R7661" t="s">
        <v>2632</v>
      </c>
      <c r="S7661">
        <v>36</v>
      </c>
      <c r="T7661" s="43" t="str">
        <f t="shared" ref="T7661:T7700" si="329">HYPERLINK("https://ictv.global/ictv/proposals/2020.095B.R.Leviviricetes.zip","2020.095B.R.Leviviricetes.zip")</f>
        <v>2020.095B.R.Leviviricetes.zip</v>
      </c>
      <c r="U7661" s="43" t="str">
        <f>HYPERLINK("https://ictv.global/taxonomy/taxondetails?taxnode_id=202211479","ictv.global=202211479")</f>
        <v>ictv.global=202211479</v>
      </c>
    </row>
    <row r="7662" spans="1:21">
      <c r="A7662">
        <v>7661</v>
      </c>
      <c r="B7662" s="29" t="s">
        <v>3223</v>
      </c>
      <c r="C7662" s="29"/>
      <c r="D7662" s="29" t="s">
        <v>4156</v>
      </c>
      <c r="E7662" s="29"/>
      <c r="F7662" s="29" t="s">
        <v>4202</v>
      </c>
      <c r="G7662" s="29"/>
      <c r="H7662" s="29" t="s">
        <v>5205</v>
      </c>
      <c r="I7662" s="29"/>
      <c r="J7662" s="29" t="s">
        <v>5908</v>
      </c>
      <c r="K7662" s="29"/>
      <c r="L7662" s="29" t="s">
        <v>5976</v>
      </c>
      <c r="M7662" s="29"/>
      <c r="N7662" s="29" t="s">
        <v>6464</v>
      </c>
      <c r="O7662" s="29"/>
      <c r="P7662" s="29" t="s">
        <v>6472</v>
      </c>
      <c r="Q7662" t="s">
        <v>2040</v>
      </c>
      <c r="R7662" t="s">
        <v>2632</v>
      </c>
      <c r="S7662">
        <v>36</v>
      </c>
      <c r="T7662" s="43" t="str">
        <f t="shared" si="329"/>
        <v>2020.095B.R.Leviviricetes.zip</v>
      </c>
      <c r="U7662" s="43" t="str">
        <f>HYPERLINK("https://ictv.global/taxonomy/taxondetails?taxnode_id=202211480","ictv.global=202211480")</f>
        <v>ictv.global=202211480</v>
      </c>
    </row>
    <row r="7663" spans="1:21">
      <c r="A7663">
        <v>7662</v>
      </c>
      <c r="B7663" s="29" t="s">
        <v>3223</v>
      </c>
      <c r="C7663" s="29"/>
      <c r="D7663" s="29" t="s">
        <v>4156</v>
      </c>
      <c r="E7663" s="29"/>
      <c r="F7663" s="29" t="s">
        <v>4202</v>
      </c>
      <c r="G7663" s="29"/>
      <c r="H7663" s="29" t="s">
        <v>5205</v>
      </c>
      <c r="I7663" s="29"/>
      <c r="J7663" s="29" t="s">
        <v>5908</v>
      </c>
      <c r="K7663" s="29"/>
      <c r="L7663" s="29" t="s">
        <v>5976</v>
      </c>
      <c r="M7663" s="29"/>
      <c r="N7663" s="29" t="s">
        <v>6464</v>
      </c>
      <c r="O7663" s="29"/>
      <c r="P7663" s="29" t="s">
        <v>6473</v>
      </c>
      <c r="Q7663" t="s">
        <v>2040</v>
      </c>
      <c r="R7663" t="s">
        <v>2632</v>
      </c>
      <c r="S7663">
        <v>36</v>
      </c>
      <c r="T7663" s="43" t="str">
        <f t="shared" si="329"/>
        <v>2020.095B.R.Leviviricetes.zip</v>
      </c>
      <c r="U7663" s="43" t="str">
        <f>HYPERLINK("https://ictv.global/taxonomy/taxondetails?taxnode_id=202211481","ictv.global=202211481")</f>
        <v>ictv.global=202211481</v>
      </c>
    </row>
    <row r="7664" spans="1:21">
      <c r="A7664">
        <v>7663</v>
      </c>
      <c r="B7664" s="29" t="s">
        <v>3223</v>
      </c>
      <c r="C7664" s="29"/>
      <c r="D7664" s="29" t="s">
        <v>4156</v>
      </c>
      <c r="E7664" s="29"/>
      <c r="F7664" s="29" t="s">
        <v>4202</v>
      </c>
      <c r="G7664" s="29"/>
      <c r="H7664" s="29" t="s">
        <v>5205</v>
      </c>
      <c r="I7664" s="29"/>
      <c r="J7664" s="29" t="s">
        <v>5908</v>
      </c>
      <c r="K7664" s="29"/>
      <c r="L7664" s="29" t="s">
        <v>5976</v>
      </c>
      <c r="M7664" s="29"/>
      <c r="N7664" s="29" t="s">
        <v>6464</v>
      </c>
      <c r="O7664" s="29"/>
      <c r="P7664" s="29" t="s">
        <v>6474</v>
      </c>
      <c r="Q7664" t="s">
        <v>2040</v>
      </c>
      <c r="R7664" t="s">
        <v>2632</v>
      </c>
      <c r="S7664">
        <v>36</v>
      </c>
      <c r="T7664" s="43" t="str">
        <f t="shared" si="329"/>
        <v>2020.095B.R.Leviviricetes.zip</v>
      </c>
      <c r="U7664" s="43" t="str">
        <f>HYPERLINK("https://ictv.global/taxonomy/taxondetails?taxnode_id=202211482","ictv.global=202211482")</f>
        <v>ictv.global=202211482</v>
      </c>
    </row>
    <row r="7665" spans="1:21">
      <c r="A7665">
        <v>7664</v>
      </c>
      <c r="B7665" s="29" t="s">
        <v>3223</v>
      </c>
      <c r="C7665" s="29"/>
      <c r="D7665" s="29" t="s">
        <v>4156</v>
      </c>
      <c r="E7665" s="29"/>
      <c r="F7665" s="29" t="s">
        <v>4202</v>
      </c>
      <c r="G7665" s="29"/>
      <c r="H7665" s="29" t="s">
        <v>5205</v>
      </c>
      <c r="I7665" s="29"/>
      <c r="J7665" s="29" t="s">
        <v>5908</v>
      </c>
      <c r="K7665" s="29"/>
      <c r="L7665" s="29" t="s">
        <v>5976</v>
      </c>
      <c r="M7665" s="29"/>
      <c r="N7665" s="29" t="s">
        <v>6464</v>
      </c>
      <c r="O7665" s="29"/>
      <c r="P7665" s="29" t="s">
        <v>6475</v>
      </c>
      <c r="Q7665" t="s">
        <v>2040</v>
      </c>
      <c r="R7665" t="s">
        <v>2632</v>
      </c>
      <c r="S7665">
        <v>36</v>
      </c>
      <c r="T7665" s="43" t="str">
        <f t="shared" si="329"/>
        <v>2020.095B.R.Leviviricetes.zip</v>
      </c>
      <c r="U7665" s="43" t="str">
        <f>HYPERLINK("https://ictv.global/taxonomy/taxondetails?taxnode_id=202211483","ictv.global=202211483")</f>
        <v>ictv.global=202211483</v>
      </c>
    </row>
    <row r="7666" spans="1:21">
      <c r="A7666">
        <v>7665</v>
      </c>
      <c r="B7666" s="29" t="s">
        <v>3223</v>
      </c>
      <c r="C7666" s="29"/>
      <c r="D7666" s="29" t="s">
        <v>4156</v>
      </c>
      <c r="E7666" s="29"/>
      <c r="F7666" s="29" t="s">
        <v>4202</v>
      </c>
      <c r="G7666" s="29"/>
      <c r="H7666" s="29" t="s">
        <v>5205</v>
      </c>
      <c r="I7666" s="29"/>
      <c r="J7666" s="29" t="s">
        <v>5908</v>
      </c>
      <c r="K7666" s="29"/>
      <c r="L7666" s="29" t="s">
        <v>5976</v>
      </c>
      <c r="M7666" s="29"/>
      <c r="N7666" s="29" t="s">
        <v>6464</v>
      </c>
      <c r="O7666" s="29"/>
      <c r="P7666" s="29" t="s">
        <v>6476</v>
      </c>
      <c r="Q7666" t="s">
        <v>2040</v>
      </c>
      <c r="R7666" t="s">
        <v>2632</v>
      </c>
      <c r="S7666">
        <v>36</v>
      </c>
      <c r="T7666" s="43" t="str">
        <f t="shared" si="329"/>
        <v>2020.095B.R.Leviviricetes.zip</v>
      </c>
      <c r="U7666" s="43" t="str">
        <f>HYPERLINK("https://ictv.global/taxonomy/taxondetails?taxnode_id=202211484","ictv.global=202211484")</f>
        <v>ictv.global=202211484</v>
      </c>
    </row>
    <row r="7667" spans="1:21">
      <c r="A7667">
        <v>7666</v>
      </c>
      <c r="B7667" s="29" t="s">
        <v>3223</v>
      </c>
      <c r="C7667" s="29"/>
      <c r="D7667" s="29" t="s">
        <v>4156</v>
      </c>
      <c r="E7667" s="29"/>
      <c r="F7667" s="29" t="s">
        <v>4202</v>
      </c>
      <c r="G7667" s="29"/>
      <c r="H7667" s="29" t="s">
        <v>5205</v>
      </c>
      <c r="I7667" s="29"/>
      <c r="J7667" s="29" t="s">
        <v>5908</v>
      </c>
      <c r="K7667" s="29"/>
      <c r="L7667" s="29" t="s">
        <v>5976</v>
      </c>
      <c r="M7667" s="29"/>
      <c r="N7667" s="29" t="s">
        <v>6464</v>
      </c>
      <c r="O7667" s="29"/>
      <c r="P7667" s="29" t="s">
        <v>6477</v>
      </c>
      <c r="Q7667" t="s">
        <v>2040</v>
      </c>
      <c r="R7667" t="s">
        <v>2632</v>
      </c>
      <c r="S7667">
        <v>36</v>
      </c>
      <c r="T7667" s="43" t="str">
        <f t="shared" si="329"/>
        <v>2020.095B.R.Leviviricetes.zip</v>
      </c>
      <c r="U7667" s="43" t="str">
        <f>HYPERLINK("https://ictv.global/taxonomy/taxondetails?taxnode_id=202211491","ictv.global=202211491")</f>
        <v>ictv.global=202211491</v>
      </c>
    </row>
    <row r="7668" spans="1:21">
      <c r="A7668">
        <v>7667</v>
      </c>
      <c r="B7668" s="29" t="s">
        <v>3223</v>
      </c>
      <c r="C7668" s="29"/>
      <c r="D7668" s="29" t="s">
        <v>4156</v>
      </c>
      <c r="E7668" s="29"/>
      <c r="F7668" s="29" t="s">
        <v>4202</v>
      </c>
      <c r="G7668" s="29"/>
      <c r="H7668" s="29" t="s">
        <v>5205</v>
      </c>
      <c r="I7668" s="29"/>
      <c r="J7668" s="29" t="s">
        <v>5908</v>
      </c>
      <c r="K7668" s="29"/>
      <c r="L7668" s="29" t="s">
        <v>5976</v>
      </c>
      <c r="M7668" s="29"/>
      <c r="N7668" s="29" t="s">
        <v>6464</v>
      </c>
      <c r="O7668" s="29"/>
      <c r="P7668" s="29" t="s">
        <v>6478</v>
      </c>
      <c r="Q7668" t="s">
        <v>2040</v>
      </c>
      <c r="R7668" t="s">
        <v>2632</v>
      </c>
      <c r="S7668">
        <v>36</v>
      </c>
      <c r="T7668" s="43" t="str">
        <f t="shared" si="329"/>
        <v>2020.095B.R.Leviviricetes.zip</v>
      </c>
      <c r="U7668" s="43" t="str">
        <f>HYPERLINK("https://ictv.global/taxonomy/taxondetails?taxnode_id=202211492","ictv.global=202211492")</f>
        <v>ictv.global=202211492</v>
      </c>
    </row>
    <row r="7669" spans="1:21">
      <c r="A7669">
        <v>7668</v>
      </c>
      <c r="B7669" s="29" t="s">
        <v>3223</v>
      </c>
      <c r="C7669" s="29"/>
      <c r="D7669" s="29" t="s">
        <v>4156</v>
      </c>
      <c r="E7669" s="29"/>
      <c r="F7669" s="29" t="s">
        <v>4202</v>
      </c>
      <c r="G7669" s="29"/>
      <c r="H7669" s="29" t="s">
        <v>5205</v>
      </c>
      <c r="I7669" s="29"/>
      <c r="J7669" s="29" t="s">
        <v>5908</v>
      </c>
      <c r="K7669" s="29"/>
      <c r="L7669" s="29" t="s">
        <v>5976</v>
      </c>
      <c r="M7669" s="29"/>
      <c r="N7669" s="29" t="s">
        <v>6464</v>
      </c>
      <c r="O7669" s="29"/>
      <c r="P7669" s="29" t="s">
        <v>6479</v>
      </c>
      <c r="Q7669" t="s">
        <v>2040</v>
      </c>
      <c r="R7669" t="s">
        <v>2632</v>
      </c>
      <c r="S7669">
        <v>36</v>
      </c>
      <c r="T7669" s="43" t="str">
        <f t="shared" si="329"/>
        <v>2020.095B.R.Leviviricetes.zip</v>
      </c>
      <c r="U7669" s="43" t="str">
        <f>HYPERLINK("https://ictv.global/taxonomy/taxondetails?taxnode_id=202211469","ictv.global=202211469")</f>
        <v>ictv.global=202211469</v>
      </c>
    </row>
    <row r="7670" spans="1:21">
      <c r="A7670">
        <v>7669</v>
      </c>
      <c r="B7670" s="29" t="s">
        <v>3223</v>
      </c>
      <c r="C7670" s="29"/>
      <c r="D7670" s="29" t="s">
        <v>4156</v>
      </c>
      <c r="E7670" s="29"/>
      <c r="F7670" s="29" t="s">
        <v>4202</v>
      </c>
      <c r="G7670" s="29"/>
      <c r="H7670" s="29" t="s">
        <v>5205</v>
      </c>
      <c r="I7670" s="29"/>
      <c r="J7670" s="29" t="s">
        <v>5908</v>
      </c>
      <c r="K7670" s="29"/>
      <c r="L7670" s="29" t="s">
        <v>5976</v>
      </c>
      <c r="M7670" s="29"/>
      <c r="N7670" s="29" t="s">
        <v>6464</v>
      </c>
      <c r="O7670" s="29"/>
      <c r="P7670" s="29" t="s">
        <v>6480</v>
      </c>
      <c r="Q7670" t="s">
        <v>2040</v>
      </c>
      <c r="R7670" t="s">
        <v>2632</v>
      </c>
      <c r="S7670">
        <v>36</v>
      </c>
      <c r="T7670" s="43" t="str">
        <f t="shared" si="329"/>
        <v>2020.095B.R.Leviviricetes.zip</v>
      </c>
      <c r="U7670" s="43" t="str">
        <f>HYPERLINK("https://ictv.global/taxonomy/taxondetails?taxnode_id=202211493","ictv.global=202211493")</f>
        <v>ictv.global=202211493</v>
      </c>
    </row>
    <row r="7671" spans="1:21">
      <c r="A7671">
        <v>7670</v>
      </c>
      <c r="B7671" s="29" t="s">
        <v>3223</v>
      </c>
      <c r="C7671" s="29"/>
      <c r="D7671" s="29" t="s">
        <v>4156</v>
      </c>
      <c r="E7671" s="29"/>
      <c r="F7671" s="29" t="s">
        <v>4202</v>
      </c>
      <c r="G7671" s="29"/>
      <c r="H7671" s="29" t="s">
        <v>5205</v>
      </c>
      <c r="I7671" s="29"/>
      <c r="J7671" s="29" t="s">
        <v>5908</v>
      </c>
      <c r="K7671" s="29"/>
      <c r="L7671" s="29" t="s">
        <v>5976</v>
      </c>
      <c r="M7671" s="29"/>
      <c r="N7671" s="29" t="s">
        <v>6464</v>
      </c>
      <c r="O7671" s="29"/>
      <c r="P7671" s="29" t="s">
        <v>6481</v>
      </c>
      <c r="Q7671" t="s">
        <v>2040</v>
      </c>
      <c r="R7671" t="s">
        <v>2632</v>
      </c>
      <c r="S7671">
        <v>36</v>
      </c>
      <c r="T7671" s="43" t="str">
        <f t="shared" si="329"/>
        <v>2020.095B.R.Leviviricetes.zip</v>
      </c>
      <c r="U7671" s="43" t="str">
        <f>HYPERLINK("https://ictv.global/taxonomy/taxondetails?taxnode_id=202211494","ictv.global=202211494")</f>
        <v>ictv.global=202211494</v>
      </c>
    </row>
    <row r="7672" spans="1:21">
      <c r="A7672">
        <v>7671</v>
      </c>
      <c r="B7672" s="29" t="s">
        <v>3223</v>
      </c>
      <c r="C7672" s="29"/>
      <c r="D7672" s="29" t="s">
        <v>4156</v>
      </c>
      <c r="E7672" s="29"/>
      <c r="F7672" s="29" t="s">
        <v>4202</v>
      </c>
      <c r="G7672" s="29"/>
      <c r="H7672" s="29" t="s">
        <v>5205</v>
      </c>
      <c r="I7672" s="29"/>
      <c r="J7672" s="29" t="s">
        <v>5908</v>
      </c>
      <c r="K7672" s="29"/>
      <c r="L7672" s="29" t="s">
        <v>5976</v>
      </c>
      <c r="M7672" s="29"/>
      <c r="N7672" s="29" t="s">
        <v>6464</v>
      </c>
      <c r="O7672" s="29"/>
      <c r="P7672" s="29" t="s">
        <v>6482</v>
      </c>
      <c r="Q7672" t="s">
        <v>2040</v>
      </c>
      <c r="R7672" t="s">
        <v>2632</v>
      </c>
      <c r="S7672">
        <v>36</v>
      </c>
      <c r="T7672" s="43" t="str">
        <f t="shared" si="329"/>
        <v>2020.095B.R.Leviviricetes.zip</v>
      </c>
      <c r="U7672" s="43" t="str">
        <f>HYPERLINK("https://ictv.global/taxonomy/taxondetails?taxnode_id=202211495","ictv.global=202211495")</f>
        <v>ictv.global=202211495</v>
      </c>
    </row>
    <row r="7673" spans="1:21">
      <c r="A7673">
        <v>7672</v>
      </c>
      <c r="B7673" s="29" t="s">
        <v>3223</v>
      </c>
      <c r="C7673" s="29"/>
      <c r="D7673" s="29" t="s">
        <v>4156</v>
      </c>
      <c r="E7673" s="29"/>
      <c r="F7673" s="29" t="s">
        <v>4202</v>
      </c>
      <c r="G7673" s="29"/>
      <c r="H7673" s="29" t="s">
        <v>5205</v>
      </c>
      <c r="I7673" s="29"/>
      <c r="J7673" s="29" t="s">
        <v>5908</v>
      </c>
      <c r="K7673" s="29"/>
      <c r="L7673" s="29" t="s">
        <v>5976</v>
      </c>
      <c r="M7673" s="29"/>
      <c r="N7673" s="29" t="s">
        <v>6464</v>
      </c>
      <c r="O7673" s="29"/>
      <c r="P7673" s="29" t="s">
        <v>6483</v>
      </c>
      <c r="Q7673" t="s">
        <v>2040</v>
      </c>
      <c r="R7673" t="s">
        <v>2632</v>
      </c>
      <c r="S7673">
        <v>36</v>
      </c>
      <c r="T7673" s="43" t="str">
        <f t="shared" si="329"/>
        <v>2020.095B.R.Leviviricetes.zip</v>
      </c>
      <c r="U7673" s="43" t="str">
        <f>HYPERLINK("https://ictv.global/taxonomy/taxondetails?taxnode_id=202211470","ictv.global=202211470")</f>
        <v>ictv.global=202211470</v>
      </c>
    </row>
    <row r="7674" spans="1:21">
      <c r="A7674">
        <v>7673</v>
      </c>
      <c r="B7674" s="29" t="s">
        <v>3223</v>
      </c>
      <c r="C7674" s="29"/>
      <c r="D7674" s="29" t="s">
        <v>4156</v>
      </c>
      <c r="E7674" s="29"/>
      <c r="F7674" s="29" t="s">
        <v>4202</v>
      </c>
      <c r="G7674" s="29"/>
      <c r="H7674" s="29" t="s">
        <v>5205</v>
      </c>
      <c r="I7674" s="29"/>
      <c r="J7674" s="29" t="s">
        <v>5908</v>
      </c>
      <c r="K7674" s="29"/>
      <c r="L7674" s="29" t="s">
        <v>5976</v>
      </c>
      <c r="M7674" s="29"/>
      <c r="N7674" s="29" t="s">
        <v>6464</v>
      </c>
      <c r="O7674" s="29"/>
      <c r="P7674" s="29" t="s">
        <v>6484</v>
      </c>
      <c r="Q7674" t="s">
        <v>2040</v>
      </c>
      <c r="R7674" t="s">
        <v>2632</v>
      </c>
      <c r="S7674">
        <v>36</v>
      </c>
      <c r="T7674" s="43" t="str">
        <f t="shared" si="329"/>
        <v>2020.095B.R.Leviviricetes.zip</v>
      </c>
      <c r="U7674" s="43" t="str">
        <f>HYPERLINK("https://ictv.global/taxonomy/taxondetails?taxnode_id=202211471","ictv.global=202211471")</f>
        <v>ictv.global=202211471</v>
      </c>
    </row>
    <row r="7675" spans="1:21">
      <c r="A7675">
        <v>7674</v>
      </c>
      <c r="B7675" s="29" t="s">
        <v>3223</v>
      </c>
      <c r="C7675" s="29"/>
      <c r="D7675" s="29" t="s">
        <v>4156</v>
      </c>
      <c r="E7675" s="29"/>
      <c r="F7675" s="29" t="s">
        <v>4202</v>
      </c>
      <c r="G7675" s="29"/>
      <c r="H7675" s="29" t="s">
        <v>5205</v>
      </c>
      <c r="I7675" s="29"/>
      <c r="J7675" s="29" t="s">
        <v>5908</v>
      </c>
      <c r="K7675" s="29"/>
      <c r="L7675" s="29" t="s">
        <v>5976</v>
      </c>
      <c r="M7675" s="29"/>
      <c r="N7675" s="29" t="s">
        <v>6464</v>
      </c>
      <c r="O7675" s="29"/>
      <c r="P7675" s="29" t="s">
        <v>6485</v>
      </c>
      <c r="Q7675" t="s">
        <v>2040</v>
      </c>
      <c r="R7675" t="s">
        <v>2632</v>
      </c>
      <c r="S7675">
        <v>36</v>
      </c>
      <c r="T7675" s="43" t="str">
        <f t="shared" si="329"/>
        <v>2020.095B.R.Leviviricetes.zip</v>
      </c>
      <c r="U7675" s="43" t="str">
        <f>HYPERLINK("https://ictv.global/taxonomy/taxondetails?taxnode_id=202211472","ictv.global=202211472")</f>
        <v>ictv.global=202211472</v>
      </c>
    </row>
    <row r="7676" spans="1:21">
      <c r="A7676">
        <v>7675</v>
      </c>
      <c r="B7676" s="29" t="s">
        <v>3223</v>
      </c>
      <c r="C7676" s="29"/>
      <c r="D7676" s="29" t="s">
        <v>4156</v>
      </c>
      <c r="E7676" s="29"/>
      <c r="F7676" s="29" t="s">
        <v>4202</v>
      </c>
      <c r="G7676" s="29"/>
      <c r="H7676" s="29" t="s">
        <v>5205</v>
      </c>
      <c r="I7676" s="29"/>
      <c r="J7676" s="29" t="s">
        <v>5908</v>
      </c>
      <c r="K7676" s="29"/>
      <c r="L7676" s="29" t="s">
        <v>5976</v>
      </c>
      <c r="M7676" s="29"/>
      <c r="N7676" s="29" t="s">
        <v>6464</v>
      </c>
      <c r="O7676" s="29"/>
      <c r="P7676" s="29" t="s">
        <v>6486</v>
      </c>
      <c r="Q7676" t="s">
        <v>2040</v>
      </c>
      <c r="R7676" t="s">
        <v>2632</v>
      </c>
      <c r="S7676">
        <v>36</v>
      </c>
      <c r="T7676" s="43" t="str">
        <f t="shared" si="329"/>
        <v>2020.095B.R.Leviviricetes.zip</v>
      </c>
      <c r="U7676" s="43" t="str">
        <f>HYPERLINK("https://ictv.global/taxonomy/taxondetails?taxnode_id=202211485","ictv.global=202211485")</f>
        <v>ictv.global=202211485</v>
      </c>
    </row>
    <row r="7677" spans="1:21">
      <c r="A7677">
        <v>7676</v>
      </c>
      <c r="B7677" s="29" t="s">
        <v>3223</v>
      </c>
      <c r="C7677" s="29"/>
      <c r="D7677" s="29" t="s">
        <v>4156</v>
      </c>
      <c r="E7677" s="29"/>
      <c r="F7677" s="29" t="s">
        <v>4202</v>
      </c>
      <c r="G7677" s="29"/>
      <c r="H7677" s="29" t="s">
        <v>5205</v>
      </c>
      <c r="I7677" s="29"/>
      <c r="J7677" s="29" t="s">
        <v>5908</v>
      </c>
      <c r="K7677" s="29"/>
      <c r="L7677" s="29" t="s">
        <v>5976</v>
      </c>
      <c r="M7677" s="29"/>
      <c r="N7677" s="29" t="s">
        <v>6464</v>
      </c>
      <c r="O7677" s="29"/>
      <c r="P7677" s="29" t="s">
        <v>6487</v>
      </c>
      <c r="Q7677" t="s">
        <v>2040</v>
      </c>
      <c r="R7677" t="s">
        <v>2632</v>
      </c>
      <c r="S7677">
        <v>36</v>
      </c>
      <c r="T7677" s="43" t="str">
        <f t="shared" si="329"/>
        <v>2020.095B.R.Leviviricetes.zip</v>
      </c>
      <c r="U7677" s="43" t="str">
        <f>HYPERLINK("https://ictv.global/taxonomy/taxondetails?taxnode_id=202211487","ictv.global=202211487")</f>
        <v>ictv.global=202211487</v>
      </c>
    </row>
    <row r="7678" spans="1:21">
      <c r="A7678">
        <v>7677</v>
      </c>
      <c r="B7678" s="29" t="s">
        <v>3223</v>
      </c>
      <c r="C7678" s="29"/>
      <c r="D7678" s="29" t="s">
        <v>4156</v>
      </c>
      <c r="E7678" s="29"/>
      <c r="F7678" s="29" t="s">
        <v>4202</v>
      </c>
      <c r="G7678" s="29"/>
      <c r="H7678" s="29" t="s">
        <v>5205</v>
      </c>
      <c r="I7678" s="29"/>
      <c r="J7678" s="29" t="s">
        <v>5908</v>
      </c>
      <c r="K7678" s="29"/>
      <c r="L7678" s="29" t="s">
        <v>5976</v>
      </c>
      <c r="M7678" s="29"/>
      <c r="N7678" s="29" t="s">
        <v>6464</v>
      </c>
      <c r="O7678" s="29"/>
      <c r="P7678" s="29" t="s">
        <v>6488</v>
      </c>
      <c r="Q7678" t="s">
        <v>2040</v>
      </c>
      <c r="R7678" t="s">
        <v>2632</v>
      </c>
      <c r="S7678">
        <v>36</v>
      </c>
      <c r="T7678" s="43" t="str">
        <f t="shared" si="329"/>
        <v>2020.095B.R.Leviviricetes.zip</v>
      </c>
      <c r="U7678" s="43" t="str">
        <f>HYPERLINK("https://ictv.global/taxonomy/taxondetails?taxnode_id=202211486","ictv.global=202211486")</f>
        <v>ictv.global=202211486</v>
      </c>
    </row>
    <row r="7679" spans="1:21">
      <c r="A7679">
        <v>7678</v>
      </c>
      <c r="B7679" s="29" t="s">
        <v>3223</v>
      </c>
      <c r="C7679" s="29"/>
      <c r="D7679" s="29" t="s">
        <v>4156</v>
      </c>
      <c r="E7679" s="29"/>
      <c r="F7679" s="29" t="s">
        <v>4202</v>
      </c>
      <c r="G7679" s="29"/>
      <c r="H7679" s="29" t="s">
        <v>5205</v>
      </c>
      <c r="I7679" s="29"/>
      <c r="J7679" s="29" t="s">
        <v>5908</v>
      </c>
      <c r="K7679" s="29"/>
      <c r="L7679" s="29" t="s">
        <v>5976</v>
      </c>
      <c r="M7679" s="29"/>
      <c r="N7679" s="29" t="s">
        <v>6464</v>
      </c>
      <c r="O7679" s="29"/>
      <c r="P7679" s="29" t="s">
        <v>6489</v>
      </c>
      <c r="Q7679" t="s">
        <v>2040</v>
      </c>
      <c r="R7679" t="s">
        <v>2632</v>
      </c>
      <c r="S7679">
        <v>36</v>
      </c>
      <c r="T7679" s="43" t="str">
        <f t="shared" si="329"/>
        <v>2020.095B.R.Leviviricetes.zip</v>
      </c>
      <c r="U7679" s="43" t="str">
        <f>HYPERLINK("https://ictv.global/taxonomy/taxondetails?taxnode_id=202211488","ictv.global=202211488")</f>
        <v>ictv.global=202211488</v>
      </c>
    </row>
    <row r="7680" spans="1:21">
      <c r="A7680">
        <v>7679</v>
      </c>
      <c r="B7680" s="29" t="s">
        <v>3223</v>
      </c>
      <c r="C7680" s="29"/>
      <c r="D7680" s="29" t="s">
        <v>4156</v>
      </c>
      <c r="E7680" s="29"/>
      <c r="F7680" s="29" t="s">
        <v>4202</v>
      </c>
      <c r="G7680" s="29"/>
      <c r="H7680" s="29" t="s">
        <v>5205</v>
      </c>
      <c r="I7680" s="29"/>
      <c r="J7680" s="29" t="s">
        <v>5908</v>
      </c>
      <c r="K7680" s="29"/>
      <c r="L7680" s="29" t="s">
        <v>5976</v>
      </c>
      <c r="M7680" s="29"/>
      <c r="N7680" s="29" t="s">
        <v>6464</v>
      </c>
      <c r="O7680" s="29"/>
      <c r="P7680" s="29" t="s">
        <v>6490</v>
      </c>
      <c r="Q7680" t="s">
        <v>2040</v>
      </c>
      <c r="R7680" t="s">
        <v>2632</v>
      </c>
      <c r="S7680">
        <v>36</v>
      </c>
      <c r="T7680" s="43" t="str">
        <f t="shared" si="329"/>
        <v>2020.095B.R.Leviviricetes.zip</v>
      </c>
      <c r="U7680" s="43" t="str">
        <f>HYPERLINK("https://ictv.global/taxonomy/taxondetails?taxnode_id=202211489","ictv.global=202211489")</f>
        <v>ictv.global=202211489</v>
      </c>
    </row>
    <row r="7681" spans="1:21">
      <c r="A7681">
        <v>7680</v>
      </c>
      <c r="B7681" s="29" t="s">
        <v>3223</v>
      </c>
      <c r="C7681" s="29"/>
      <c r="D7681" s="29" t="s">
        <v>4156</v>
      </c>
      <c r="E7681" s="29"/>
      <c r="F7681" s="29" t="s">
        <v>4202</v>
      </c>
      <c r="G7681" s="29"/>
      <c r="H7681" s="29" t="s">
        <v>5205</v>
      </c>
      <c r="I7681" s="29"/>
      <c r="J7681" s="29" t="s">
        <v>5908</v>
      </c>
      <c r="K7681" s="29"/>
      <c r="L7681" s="29" t="s">
        <v>5976</v>
      </c>
      <c r="M7681" s="29"/>
      <c r="N7681" s="29" t="s">
        <v>6464</v>
      </c>
      <c r="O7681" s="29"/>
      <c r="P7681" s="29" t="s">
        <v>6491</v>
      </c>
      <c r="Q7681" t="s">
        <v>2040</v>
      </c>
      <c r="R7681" t="s">
        <v>2632</v>
      </c>
      <c r="S7681">
        <v>36</v>
      </c>
      <c r="T7681" s="43" t="str">
        <f t="shared" si="329"/>
        <v>2020.095B.R.Leviviricetes.zip</v>
      </c>
      <c r="U7681" s="43" t="str">
        <f>HYPERLINK("https://ictv.global/taxonomy/taxondetails?taxnode_id=202211490","ictv.global=202211490")</f>
        <v>ictv.global=202211490</v>
      </c>
    </row>
    <row r="7682" spans="1:21">
      <c r="A7682">
        <v>7681</v>
      </c>
      <c r="B7682" s="29" t="s">
        <v>3223</v>
      </c>
      <c r="C7682" s="29"/>
      <c r="D7682" s="29" t="s">
        <v>4156</v>
      </c>
      <c r="E7682" s="29"/>
      <c r="F7682" s="29" t="s">
        <v>4202</v>
      </c>
      <c r="G7682" s="29"/>
      <c r="H7682" s="29" t="s">
        <v>5205</v>
      </c>
      <c r="I7682" s="29"/>
      <c r="J7682" s="29" t="s">
        <v>5908</v>
      </c>
      <c r="K7682" s="29"/>
      <c r="L7682" s="29" t="s">
        <v>5976</v>
      </c>
      <c r="M7682" s="29"/>
      <c r="N7682" s="29" t="s">
        <v>6464</v>
      </c>
      <c r="O7682" s="29"/>
      <c r="P7682" s="29" t="s">
        <v>6492</v>
      </c>
      <c r="Q7682" t="s">
        <v>2040</v>
      </c>
      <c r="R7682" t="s">
        <v>2632</v>
      </c>
      <c r="S7682">
        <v>36</v>
      </c>
      <c r="T7682" s="43" t="str">
        <f t="shared" si="329"/>
        <v>2020.095B.R.Leviviricetes.zip</v>
      </c>
      <c r="U7682" s="43" t="str">
        <f>HYPERLINK("https://ictv.global/taxonomy/taxondetails?taxnode_id=202211496","ictv.global=202211496")</f>
        <v>ictv.global=202211496</v>
      </c>
    </row>
    <row r="7683" spans="1:21">
      <c r="A7683">
        <v>7682</v>
      </c>
      <c r="B7683" s="29" t="s">
        <v>3223</v>
      </c>
      <c r="C7683" s="29"/>
      <c r="D7683" s="29" t="s">
        <v>4156</v>
      </c>
      <c r="E7683" s="29"/>
      <c r="F7683" s="29" t="s">
        <v>4202</v>
      </c>
      <c r="G7683" s="29"/>
      <c r="H7683" s="29" t="s">
        <v>5205</v>
      </c>
      <c r="I7683" s="29"/>
      <c r="J7683" s="29" t="s">
        <v>5908</v>
      </c>
      <c r="K7683" s="29"/>
      <c r="L7683" s="29" t="s">
        <v>5976</v>
      </c>
      <c r="M7683" s="29"/>
      <c r="N7683" s="29" t="s">
        <v>6464</v>
      </c>
      <c r="O7683" s="29"/>
      <c r="P7683" s="29" t="s">
        <v>6493</v>
      </c>
      <c r="Q7683" t="s">
        <v>2040</v>
      </c>
      <c r="R7683" t="s">
        <v>2632</v>
      </c>
      <c r="S7683">
        <v>36</v>
      </c>
      <c r="T7683" s="43" t="str">
        <f t="shared" si="329"/>
        <v>2020.095B.R.Leviviricetes.zip</v>
      </c>
      <c r="U7683" s="43" t="str">
        <f>HYPERLINK("https://ictv.global/taxonomy/taxondetails?taxnode_id=202211498","ictv.global=202211498")</f>
        <v>ictv.global=202211498</v>
      </c>
    </row>
    <row r="7684" spans="1:21">
      <c r="A7684">
        <v>7683</v>
      </c>
      <c r="B7684" s="29" t="s">
        <v>3223</v>
      </c>
      <c r="C7684" s="29"/>
      <c r="D7684" s="29" t="s">
        <v>4156</v>
      </c>
      <c r="E7684" s="29"/>
      <c r="F7684" s="29" t="s">
        <v>4202</v>
      </c>
      <c r="G7684" s="29"/>
      <c r="H7684" s="29" t="s">
        <v>5205</v>
      </c>
      <c r="I7684" s="29"/>
      <c r="J7684" s="29" t="s">
        <v>5908</v>
      </c>
      <c r="K7684" s="29"/>
      <c r="L7684" s="29" t="s">
        <v>5976</v>
      </c>
      <c r="M7684" s="29"/>
      <c r="N7684" s="29" t="s">
        <v>6464</v>
      </c>
      <c r="O7684" s="29"/>
      <c r="P7684" s="29" t="s">
        <v>6494</v>
      </c>
      <c r="Q7684" t="s">
        <v>2040</v>
      </c>
      <c r="R7684" t="s">
        <v>2632</v>
      </c>
      <c r="S7684">
        <v>36</v>
      </c>
      <c r="T7684" s="43" t="str">
        <f t="shared" si="329"/>
        <v>2020.095B.R.Leviviricetes.zip</v>
      </c>
      <c r="U7684" s="43" t="str">
        <f>HYPERLINK("https://ictv.global/taxonomy/taxondetails?taxnode_id=202211497","ictv.global=202211497")</f>
        <v>ictv.global=202211497</v>
      </c>
    </row>
    <row r="7685" spans="1:21">
      <c r="A7685">
        <v>7684</v>
      </c>
      <c r="B7685" s="29" t="s">
        <v>3223</v>
      </c>
      <c r="C7685" s="29"/>
      <c r="D7685" s="29" t="s">
        <v>4156</v>
      </c>
      <c r="E7685" s="29"/>
      <c r="F7685" s="29" t="s">
        <v>4202</v>
      </c>
      <c r="G7685" s="29"/>
      <c r="H7685" s="29" t="s">
        <v>5205</v>
      </c>
      <c r="I7685" s="29"/>
      <c r="J7685" s="29" t="s">
        <v>5908</v>
      </c>
      <c r="K7685" s="29"/>
      <c r="L7685" s="29" t="s">
        <v>5976</v>
      </c>
      <c r="M7685" s="29"/>
      <c r="N7685" s="29" t="s">
        <v>6464</v>
      </c>
      <c r="O7685" s="29"/>
      <c r="P7685" s="29" t="s">
        <v>6495</v>
      </c>
      <c r="Q7685" t="s">
        <v>2040</v>
      </c>
      <c r="R7685" t="s">
        <v>2632</v>
      </c>
      <c r="S7685">
        <v>36</v>
      </c>
      <c r="T7685" s="43" t="str">
        <f t="shared" si="329"/>
        <v>2020.095B.R.Leviviricetes.zip</v>
      </c>
      <c r="U7685" s="43" t="str">
        <f>HYPERLINK("https://ictv.global/taxonomy/taxondetails?taxnode_id=202211499","ictv.global=202211499")</f>
        <v>ictv.global=202211499</v>
      </c>
    </row>
    <row r="7686" spans="1:21">
      <c r="A7686">
        <v>7685</v>
      </c>
      <c r="B7686" s="29" t="s">
        <v>3223</v>
      </c>
      <c r="C7686" s="29"/>
      <c r="D7686" s="29" t="s">
        <v>4156</v>
      </c>
      <c r="E7686" s="29"/>
      <c r="F7686" s="29" t="s">
        <v>4202</v>
      </c>
      <c r="G7686" s="29"/>
      <c r="H7686" s="29" t="s">
        <v>5205</v>
      </c>
      <c r="I7686" s="29"/>
      <c r="J7686" s="29" t="s">
        <v>5908</v>
      </c>
      <c r="K7686" s="29"/>
      <c r="L7686" s="29" t="s">
        <v>5976</v>
      </c>
      <c r="M7686" s="29"/>
      <c r="N7686" s="29" t="s">
        <v>6464</v>
      </c>
      <c r="O7686" s="29"/>
      <c r="P7686" s="29" t="s">
        <v>6496</v>
      </c>
      <c r="Q7686" t="s">
        <v>2040</v>
      </c>
      <c r="R7686" t="s">
        <v>2632</v>
      </c>
      <c r="S7686">
        <v>36</v>
      </c>
      <c r="T7686" s="43" t="str">
        <f t="shared" si="329"/>
        <v>2020.095B.R.Leviviricetes.zip</v>
      </c>
      <c r="U7686" s="43" t="str">
        <f>HYPERLINK("https://ictv.global/taxonomy/taxondetails?taxnode_id=202211500","ictv.global=202211500")</f>
        <v>ictv.global=202211500</v>
      </c>
    </row>
    <row r="7687" spans="1:21">
      <c r="A7687">
        <v>7686</v>
      </c>
      <c r="B7687" s="29" t="s">
        <v>3223</v>
      </c>
      <c r="C7687" s="29"/>
      <c r="D7687" s="29" t="s">
        <v>4156</v>
      </c>
      <c r="E7687" s="29"/>
      <c r="F7687" s="29" t="s">
        <v>4202</v>
      </c>
      <c r="G7687" s="29"/>
      <c r="H7687" s="29" t="s">
        <v>5205</v>
      </c>
      <c r="I7687" s="29"/>
      <c r="J7687" s="29" t="s">
        <v>5908</v>
      </c>
      <c r="K7687" s="29"/>
      <c r="L7687" s="29" t="s">
        <v>5976</v>
      </c>
      <c r="M7687" s="29"/>
      <c r="N7687" s="29" t="s">
        <v>6497</v>
      </c>
      <c r="O7687" s="29"/>
      <c r="P7687" s="29" t="s">
        <v>6498</v>
      </c>
      <c r="Q7687" t="s">
        <v>2040</v>
      </c>
      <c r="R7687" t="s">
        <v>2632</v>
      </c>
      <c r="S7687">
        <v>36</v>
      </c>
      <c r="T7687" s="43" t="str">
        <f t="shared" si="329"/>
        <v>2020.095B.R.Leviviricetes.zip</v>
      </c>
      <c r="U7687" s="43" t="str">
        <f>HYPERLINK("https://ictv.global/taxonomy/taxondetails?taxnode_id=202211502","ictv.global=202211502")</f>
        <v>ictv.global=202211502</v>
      </c>
    </row>
    <row r="7688" spans="1:21">
      <c r="A7688">
        <v>7687</v>
      </c>
      <c r="B7688" s="29" t="s">
        <v>3223</v>
      </c>
      <c r="C7688" s="29"/>
      <c r="D7688" s="29" t="s">
        <v>4156</v>
      </c>
      <c r="E7688" s="29"/>
      <c r="F7688" s="29" t="s">
        <v>4202</v>
      </c>
      <c r="G7688" s="29"/>
      <c r="H7688" s="29" t="s">
        <v>5205</v>
      </c>
      <c r="I7688" s="29"/>
      <c r="J7688" s="29" t="s">
        <v>5908</v>
      </c>
      <c r="K7688" s="29"/>
      <c r="L7688" s="29" t="s">
        <v>5976</v>
      </c>
      <c r="M7688" s="29"/>
      <c r="N7688" s="29" t="s">
        <v>6499</v>
      </c>
      <c r="O7688" s="29"/>
      <c r="P7688" s="29" t="s">
        <v>6500</v>
      </c>
      <c r="Q7688" t="s">
        <v>2040</v>
      </c>
      <c r="R7688" t="s">
        <v>2632</v>
      </c>
      <c r="S7688">
        <v>36</v>
      </c>
      <c r="T7688" s="43" t="str">
        <f t="shared" si="329"/>
        <v>2020.095B.R.Leviviricetes.zip</v>
      </c>
      <c r="U7688" s="43" t="str">
        <f>HYPERLINK("https://ictv.global/taxonomy/taxondetails?taxnode_id=202211504","ictv.global=202211504")</f>
        <v>ictv.global=202211504</v>
      </c>
    </row>
    <row r="7689" spans="1:21">
      <c r="A7689">
        <v>7688</v>
      </c>
      <c r="B7689" s="29" t="s">
        <v>3223</v>
      </c>
      <c r="C7689" s="29"/>
      <c r="D7689" s="29" t="s">
        <v>4156</v>
      </c>
      <c r="E7689" s="29"/>
      <c r="F7689" s="29" t="s">
        <v>4202</v>
      </c>
      <c r="G7689" s="29"/>
      <c r="H7689" s="29" t="s">
        <v>5205</v>
      </c>
      <c r="I7689" s="29"/>
      <c r="J7689" s="29" t="s">
        <v>5908</v>
      </c>
      <c r="K7689" s="29"/>
      <c r="L7689" s="29" t="s">
        <v>5976</v>
      </c>
      <c r="M7689" s="29"/>
      <c r="N7689" s="29" t="s">
        <v>6501</v>
      </c>
      <c r="O7689" s="29"/>
      <c r="P7689" s="29" t="s">
        <v>6502</v>
      </c>
      <c r="Q7689" t="s">
        <v>2040</v>
      </c>
      <c r="R7689" t="s">
        <v>2632</v>
      </c>
      <c r="S7689">
        <v>36</v>
      </c>
      <c r="T7689" s="43" t="str">
        <f t="shared" si="329"/>
        <v>2020.095B.R.Leviviricetes.zip</v>
      </c>
      <c r="U7689" s="43" t="str">
        <f>HYPERLINK("https://ictv.global/taxonomy/taxondetails?taxnode_id=202211506","ictv.global=202211506")</f>
        <v>ictv.global=202211506</v>
      </c>
    </row>
    <row r="7690" spans="1:21">
      <c r="A7690">
        <v>7689</v>
      </c>
      <c r="B7690" s="29" t="s">
        <v>3223</v>
      </c>
      <c r="C7690" s="29"/>
      <c r="D7690" s="29" t="s">
        <v>4156</v>
      </c>
      <c r="E7690" s="29"/>
      <c r="F7690" s="29" t="s">
        <v>4202</v>
      </c>
      <c r="G7690" s="29"/>
      <c r="H7690" s="29" t="s">
        <v>5205</v>
      </c>
      <c r="I7690" s="29"/>
      <c r="J7690" s="29" t="s">
        <v>5908</v>
      </c>
      <c r="K7690" s="29"/>
      <c r="L7690" s="29" t="s">
        <v>5976</v>
      </c>
      <c r="M7690" s="29"/>
      <c r="N7690" s="29" t="s">
        <v>6501</v>
      </c>
      <c r="O7690" s="29"/>
      <c r="P7690" s="29" t="s">
        <v>6503</v>
      </c>
      <c r="Q7690" t="s">
        <v>2040</v>
      </c>
      <c r="R7690" t="s">
        <v>2632</v>
      </c>
      <c r="S7690">
        <v>36</v>
      </c>
      <c r="T7690" s="43" t="str">
        <f t="shared" si="329"/>
        <v>2020.095B.R.Leviviricetes.zip</v>
      </c>
      <c r="U7690" s="43" t="str">
        <f>HYPERLINK("https://ictv.global/taxonomy/taxondetails?taxnode_id=202211507","ictv.global=202211507")</f>
        <v>ictv.global=202211507</v>
      </c>
    </row>
    <row r="7691" spans="1:21">
      <c r="A7691">
        <v>7690</v>
      </c>
      <c r="B7691" s="29" t="s">
        <v>3223</v>
      </c>
      <c r="C7691" s="29"/>
      <c r="D7691" s="29" t="s">
        <v>4156</v>
      </c>
      <c r="E7691" s="29"/>
      <c r="F7691" s="29" t="s">
        <v>4202</v>
      </c>
      <c r="G7691" s="29"/>
      <c r="H7691" s="29" t="s">
        <v>5205</v>
      </c>
      <c r="I7691" s="29"/>
      <c r="J7691" s="29" t="s">
        <v>5908</v>
      </c>
      <c r="K7691" s="29"/>
      <c r="L7691" s="29" t="s">
        <v>5976</v>
      </c>
      <c r="M7691" s="29"/>
      <c r="N7691" s="29" t="s">
        <v>6501</v>
      </c>
      <c r="O7691" s="29"/>
      <c r="P7691" s="29" t="s">
        <v>6504</v>
      </c>
      <c r="Q7691" t="s">
        <v>2040</v>
      </c>
      <c r="R7691" t="s">
        <v>2632</v>
      </c>
      <c r="S7691">
        <v>36</v>
      </c>
      <c r="T7691" s="43" t="str">
        <f t="shared" si="329"/>
        <v>2020.095B.R.Leviviricetes.zip</v>
      </c>
      <c r="U7691" s="43" t="str">
        <f>HYPERLINK("https://ictv.global/taxonomy/taxondetails?taxnode_id=202211508","ictv.global=202211508")</f>
        <v>ictv.global=202211508</v>
      </c>
    </row>
    <row r="7692" spans="1:21">
      <c r="A7692">
        <v>7691</v>
      </c>
      <c r="B7692" s="29" t="s">
        <v>3223</v>
      </c>
      <c r="C7692" s="29"/>
      <c r="D7692" s="29" t="s">
        <v>4156</v>
      </c>
      <c r="E7692" s="29"/>
      <c r="F7692" s="29" t="s">
        <v>4202</v>
      </c>
      <c r="G7692" s="29"/>
      <c r="H7692" s="29" t="s">
        <v>5205</v>
      </c>
      <c r="I7692" s="29"/>
      <c r="J7692" s="29"/>
      <c r="K7692" s="29"/>
      <c r="L7692" s="29"/>
      <c r="M7692" s="29"/>
      <c r="N7692" s="29" t="s">
        <v>6505</v>
      </c>
      <c r="O7692" s="29"/>
      <c r="P7692" s="29" t="s">
        <v>6506</v>
      </c>
      <c r="Q7692" t="s">
        <v>2040</v>
      </c>
      <c r="R7692" t="s">
        <v>2632</v>
      </c>
      <c r="S7692">
        <v>36</v>
      </c>
      <c r="T7692" s="43" t="str">
        <f t="shared" si="329"/>
        <v>2020.095B.R.Leviviricetes.zip</v>
      </c>
      <c r="U7692" s="43" t="str">
        <f>HYPERLINK("https://ictv.global/taxonomy/taxondetails?taxnode_id=202211510","ictv.global=202211510")</f>
        <v>ictv.global=202211510</v>
      </c>
    </row>
    <row r="7693" spans="1:21">
      <c r="A7693">
        <v>7692</v>
      </c>
      <c r="B7693" s="29" t="s">
        <v>3223</v>
      </c>
      <c r="C7693" s="29"/>
      <c r="D7693" s="29" t="s">
        <v>4156</v>
      </c>
      <c r="E7693" s="29"/>
      <c r="F7693" s="29" t="s">
        <v>4202</v>
      </c>
      <c r="G7693" s="29"/>
      <c r="H7693" s="29" t="s">
        <v>5205</v>
      </c>
      <c r="I7693" s="29"/>
      <c r="J7693" s="29"/>
      <c r="K7693" s="29"/>
      <c r="L7693" s="29"/>
      <c r="M7693" s="29"/>
      <c r="N7693" s="29" t="s">
        <v>6507</v>
      </c>
      <c r="O7693" s="29"/>
      <c r="P7693" s="29" t="s">
        <v>6508</v>
      </c>
      <c r="Q7693" t="s">
        <v>2040</v>
      </c>
      <c r="R7693" t="s">
        <v>2632</v>
      </c>
      <c r="S7693">
        <v>36</v>
      </c>
      <c r="T7693" s="43" t="str">
        <f t="shared" si="329"/>
        <v>2020.095B.R.Leviviricetes.zip</v>
      </c>
      <c r="U7693" s="43" t="str">
        <f>HYPERLINK("https://ictv.global/taxonomy/taxondetails?taxnode_id=202211512","ictv.global=202211512")</f>
        <v>ictv.global=202211512</v>
      </c>
    </row>
    <row r="7694" spans="1:21">
      <c r="A7694">
        <v>7693</v>
      </c>
      <c r="B7694" s="29" t="s">
        <v>3223</v>
      </c>
      <c r="C7694" s="29"/>
      <c r="D7694" s="29" t="s">
        <v>4156</v>
      </c>
      <c r="E7694" s="29"/>
      <c r="F7694" s="29" t="s">
        <v>4202</v>
      </c>
      <c r="G7694" s="29"/>
      <c r="H7694" s="29" t="s">
        <v>5205</v>
      </c>
      <c r="I7694" s="29"/>
      <c r="J7694" s="29"/>
      <c r="K7694" s="29"/>
      <c r="L7694" s="29"/>
      <c r="M7694" s="29"/>
      <c r="N7694" s="29" t="s">
        <v>6509</v>
      </c>
      <c r="O7694" s="29"/>
      <c r="P7694" s="29" t="s">
        <v>6510</v>
      </c>
      <c r="Q7694" t="s">
        <v>2040</v>
      </c>
      <c r="R7694" t="s">
        <v>2632</v>
      </c>
      <c r="S7694">
        <v>36</v>
      </c>
      <c r="T7694" s="43" t="str">
        <f t="shared" si="329"/>
        <v>2020.095B.R.Leviviricetes.zip</v>
      </c>
      <c r="U7694" s="43" t="str">
        <f>HYPERLINK("https://ictv.global/taxonomy/taxondetails?taxnode_id=202211514","ictv.global=202211514")</f>
        <v>ictv.global=202211514</v>
      </c>
    </row>
    <row r="7695" spans="1:21">
      <c r="A7695">
        <v>7694</v>
      </c>
      <c r="B7695" s="29" t="s">
        <v>3223</v>
      </c>
      <c r="C7695" s="29"/>
      <c r="D7695" s="29" t="s">
        <v>4156</v>
      </c>
      <c r="E7695" s="29"/>
      <c r="F7695" s="29" t="s">
        <v>4202</v>
      </c>
      <c r="G7695" s="29"/>
      <c r="H7695" s="29" t="s">
        <v>5205</v>
      </c>
      <c r="I7695" s="29"/>
      <c r="J7695" s="29"/>
      <c r="K7695" s="29"/>
      <c r="L7695" s="29"/>
      <c r="M7695" s="29"/>
      <c r="N7695" s="29" t="s">
        <v>6511</v>
      </c>
      <c r="O7695" s="29"/>
      <c r="P7695" s="29" t="s">
        <v>6512</v>
      </c>
      <c r="Q7695" t="s">
        <v>2040</v>
      </c>
      <c r="R7695" t="s">
        <v>2632</v>
      </c>
      <c r="S7695">
        <v>36</v>
      </c>
      <c r="T7695" s="43" t="str">
        <f t="shared" si="329"/>
        <v>2020.095B.R.Leviviricetes.zip</v>
      </c>
      <c r="U7695" s="43" t="str">
        <f>HYPERLINK("https://ictv.global/taxonomy/taxondetails?taxnode_id=202211516","ictv.global=202211516")</f>
        <v>ictv.global=202211516</v>
      </c>
    </row>
    <row r="7696" spans="1:21">
      <c r="A7696">
        <v>7695</v>
      </c>
      <c r="B7696" s="29" t="s">
        <v>3223</v>
      </c>
      <c r="C7696" s="29"/>
      <c r="D7696" s="29" t="s">
        <v>4156</v>
      </c>
      <c r="E7696" s="29"/>
      <c r="F7696" s="29" t="s">
        <v>4202</v>
      </c>
      <c r="G7696" s="29"/>
      <c r="H7696" s="29" t="s">
        <v>5205</v>
      </c>
      <c r="I7696" s="29"/>
      <c r="J7696" s="29"/>
      <c r="K7696" s="29"/>
      <c r="L7696" s="29"/>
      <c r="M7696" s="29"/>
      <c r="N7696" s="29" t="s">
        <v>6513</v>
      </c>
      <c r="O7696" s="29"/>
      <c r="P7696" s="29" t="s">
        <v>6514</v>
      </c>
      <c r="Q7696" t="s">
        <v>2040</v>
      </c>
      <c r="R7696" t="s">
        <v>2632</v>
      </c>
      <c r="S7696">
        <v>36</v>
      </c>
      <c r="T7696" s="43" t="str">
        <f t="shared" si="329"/>
        <v>2020.095B.R.Leviviricetes.zip</v>
      </c>
      <c r="U7696" s="43" t="str">
        <f>HYPERLINK("https://ictv.global/taxonomy/taxondetails?taxnode_id=202211518","ictv.global=202211518")</f>
        <v>ictv.global=202211518</v>
      </c>
    </row>
    <row r="7697" spans="1:21">
      <c r="A7697">
        <v>7696</v>
      </c>
      <c r="B7697" s="29" t="s">
        <v>3223</v>
      </c>
      <c r="C7697" s="29"/>
      <c r="D7697" s="29" t="s">
        <v>4156</v>
      </c>
      <c r="E7697" s="29"/>
      <c r="F7697" s="29" t="s">
        <v>4202</v>
      </c>
      <c r="G7697" s="29"/>
      <c r="H7697" s="29" t="s">
        <v>5205</v>
      </c>
      <c r="I7697" s="29"/>
      <c r="J7697" s="29"/>
      <c r="K7697" s="29"/>
      <c r="L7697" s="29"/>
      <c r="M7697" s="29"/>
      <c r="N7697" s="29" t="s">
        <v>6515</v>
      </c>
      <c r="O7697" s="29"/>
      <c r="P7697" s="29" t="s">
        <v>6516</v>
      </c>
      <c r="Q7697" t="s">
        <v>2040</v>
      </c>
      <c r="R7697" t="s">
        <v>2632</v>
      </c>
      <c r="S7697">
        <v>36</v>
      </c>
      <c r="T7697" s="43" t="str">
        <f t="shared" si="329"/>
        <v>2020.095B.R.Leviviricetes.zip</v>
      </c>
      <c r="U7697" s="43" t="str">
        <f>HYPERLINK("https://ictv.global/taxonomy/taxondetails?taxnode_id=202211520","ictv.global=202211520")</f>
        <v>ictv.global=202211520</v>
      </c>
    </row>
    <row r="7698" spans="1:21">
      <c r="A7698">
        <v>7697</v>
      </c>
      <c r="B7698" s="29" t="s">
        <v>3223</v>
      </c>
      <c r="C7698" s="29"/>
      <c r="D7698" s="29" t="s">
        <v>4156</v>
      </c>
      <c r="E7698" s="29"/>
      <c r="F7698" s="29" t="s">
        <v>4202</v>
      </c>
      <c r="G7698" s="29"/>
      <c r="H7698" s="29" t="s">
        <v>5205</v>
      </c>
      <c r="I7698" s="29"/>
      <c r="J7698" s="29"/>
      <c r="K7698" s="29"/>
      <c r="L7698" s="29"/>
      <c r="M7698" s="29"/>
      <c r="N7698" s="29" t="s">
        <v>6517</v>
      </c>
      <c r="O7698" s="29"/>
      <c r="P7698" s="29" t="s">
        <v>6518</v>
      </c>
      <c r="Q7698" t="s">
        <v>2040</v>
      </c>
      <c r="R7698" t="s">
        <v>2632</v>
      </c>
      <c r="S7698">
        <v>36</v>
      </c>
      <c r="T7698" s="43" t="str">
        <f t="shared" si="329"/>
        <v>2020.095B.R.Leviviricetes.zip</v>
      </c>
      <c r="U7698" s="43" t="str">
        <f>HYPERLINK("https://ictv.global/taxonomy/taxondetails?taxnode_id=202211522","ictv.global=202211522")</f>
        <v>ictv.global=202211522</v>
      </c>
    </row>
    <row r="7699" spans="1:21">
      <c r="A7699">
        <v>7698</v>
      </c>
      <c r="B7699" s="29" t="s">
        <v>3223</v>
      </c>
      <c r="C7699" s="29"/>
      <c r="D7699" s="29" t="s">
        <v>4156</v>
      </c>
      <c r="E7699" s="29"/>
      <c r="F7699" s="29" t="s">
        <v>4202</v>
      </c>
      <c r="G7699" s="29"/>
      <c r="H7699" s="29" t="s">
        <v>5205</v>
      </c>
      <c r="I7699" s="29"/>
      <c r="J7699" s="29"/>
      <c r="K7699" s="29"/>
      <c r="L7699" s="29"/>
      <c r="M7699" s="29"/>
      <c r="N7699" s="29" t="s">
        <v>6519</v>
      </c>
      <c r="O7699" s="29"/>
      <c r="P7699" s="29" t="s">
        <v>6520</v>
      </c>
      <c r="Q7699" t="s">
        <v>2040</v>
      </c>
      <c r="R7699" t="s">
        <v>2632</v>
      </c>
      <c r="S7699">
        <v>36</v>
      </c>
      <c r="T7699" s="43" t="str">
        <f t="shared" si="329"/>
        <v>2020.095B.R.Leviviricetes.zip</v>
      </c>
      <c r="U7699" s="43" t="str">
        <f>HYPERLINK("https://ictv.global/taxonomy/taxondetails?taxnode_id=202211524","ictv.global=202211524")</f>
        <v>ictv.global=202211524</v>
      </c>
    </row>
    <row r="7700" spans="1:21">
      <c r="A7700">
        <v>7699</v>
      </c>
      <c r="B7700" s="29" t="s">
        <v>3223</v>
      </c>
      <c r="C7700" s="29"/>
      <c r="D7700" s="29" t="s">
        <v>4156</v>
      </c>
      <c r="E7700" s="29"/>
      <c r="F7700" s="29" t="s">
        <v>4202</v>
      </c>
      <c r="G7700" s="29"/>
      <c r="H7700" s="29" t="s">
        <v>5205</v>
      </c>
      <c r="I7700" s="29"/>
      <c r="J7700" s="29"/>
      <c r="K7700" s="29"/>
      <c r="L7700" s="29"/>
      <c r="M7700" s="29"/>
      <c r="N7700" s="29" t="s">
        <v>6521</v>
      </c>
      <c r="O7700" s="29"/>
      <c r="P7700" s="29" t="s">
        <v>6522</v>
      </c>
      <c r="Q7700" t="s">
        <v>2040</v>
      </c>
      <c r="R7700" t="s">
        <v>2632</v>
      </c>
      <c r="S7700">
        <v>36</v>
      </c>
      <c r="T7700" s="43" t="str">
        <f t="shared" si="329"/>
        <v>2020.095B.R.Leviviricetes.zip</v>
      </c>
      <c r="U7700" s="43" t="str">
        <f>HYPERLINK("https://ictv.global/taxonomy/taxondetails?taxnode_id=202211526","ictv.global=202211526")</f>
        <v>ictv.global=202211526</v>
      </c>
    </row>
    <row r="7701" spans="1:21">
      <c r="A7701">
        <v>7700</v>
      </c>
      <c r="B7701" s="29" t="s">
        <v>3223</v>
      </c>
      <c r="C7701" s="29"/>
      <c r="D7701" s="29" t="s">
        <v>4156</v>
      </c>
      <c r="E7701" s="29"/>
      <c r="F7701" s="29" t="s">
        <v>4202</v>
      </c>
      <c r="G7701" s="29"/>
      <c r="H7701" s="29" t="s">
        <v>4208</v>
      </c>
      <c r="I7701" s="29"/>
      <c r="J7701" s="29" t="s">
        <v>4209</v>
      </c>
      <c r="K7701" s="29"/>
      <c r="L7701" s="29" t="s">
        <v>3314</v>
      </c>
      <c r="M7701" s="29"/>
      <c r="N7701" s="29" t="s">
        <v>12641</v>
      </c>
      <c r="O7701" s="29"/>
      <c r="P7701" s="29" t="s">
        <v>12642</v>
      </c>
      <c r="Q7701" t="s">
        <v>2040</v>
      </c>
      <c r="R7701" t="s">
        <v>2632</v>
      </c>
      <c r="S7701">
        <v>37</v>
      </c>
      <c r="T7701" s="43" t="str">
        <f t="shared" ref="T7701:T7710" si="330">HYPERLINK("https://ictv.global/ictv/proposals/2021.009F.R.Botourmiaviridae_6newgen_109newsp.zip","2021.009F.R.Botourmiaviridae_6newgen_109newsp.zip")</f>
        <v>2021.009F.R.Botourmiaviridae_6newgen_109newsp.zip</v>
      </c>
      <c r="U7701" s="43" t="str">
        <f>HYPERLINK("https://ictv.global/taxonomy/taxondetails?taxnode_id=202212532","ictv.global=202212532")</f>
        <v>ictv.global=202212532</v>
      </c>
    </row>
    <row r="7702" spans="1:21">
      <c r="A7702">
        <v>7701</v>
      </c>
      <c r="B7702" s="29" t="s">
        <v>3223</v>
      </c>
      <c r="C7702" s="29"/>
      <c r="D7702" s="29" t="s">
        <v>4156</v>
      </c>
      <c r="E7702" s="29"/>
      <c r="F7702" s="29" t="s">
        <v>4202</v>
      </c>
      <c r="G7702" s="29"/>
      <c r="H7702" s="29" t="s">
        <v>4208</v>
      </c>
      <c r="I7702" s="29"/>
      <c r="J7702" s="29" t="s">
        <v>4209</v>
      </c>
      <c r="K7702" s="29"/>
      <c r="L7702" s="29" t="s">
        <v>3314</v>
      </c>
      <c r="M7702" s="29"/>
      <c r="N7702" s="29" t="s">
        <v>12641</v>
      </c>
      <c r="O7702" s="29"/>
      <c r="P7702" s="29" t="s">
        <v>12643</v>
      </c>
      <c r="Q7702" t="s">
        <v>2040</v>
      </c>
      <c r="R7702" t="s">
        <v>2632</v>
      </c>
      <c r="S7702">
        <v>37</v>
      </c>
      <c r="T7702" s="43" t="str">
        <f t="shared" si="330"/>
        <v>2021.009F.R.Botourmiaviridae_6newgen_109newsp.zip</v>
      </c>
      <c r="U7702" s="43" t="str">
        <f>HYPERLINK("https://ictv.global/taxonomy/taxondetails?taxnode_id=202212533","ictv.global=202212533")</f>
        <v>ictv.global=202212533</v>
      </c>
    </row>
    <row r="7703" spans="1:21">
      <c r="A7703">
        <v>7702</v>
      </c>
      <c r="B7703" s="29" t="s">
        <v>3223</v>
      </c>
      <c r="C7703" s="29"/>
      <c r="D7703" s="29" t="s">
        <v>4156</v>
      </c>
      <c r="E7703" s="29"/>
      <c r="F7703" s="29" t="s">
        <v>4202</v>
      </c>
      <c r="G7703" s="29"/>
      <c r="H7703" s="29" t="s">
        <v>4208</v>
      </c>
      <c r="I7703" s="29"/>
      <c r="J7703" s="29" t="s">
        <v>4209</v>
      </c>
      <c r="K7703" s="29"/>
      <c r="L7703" s="29" t="s">
        <v>3314</v>
      </c>
      <c r="M7703" s="29"/>
      <c r="N7703" s="29" t="s">
        <v>12641</v>
      </c>
      <c r="O7703" s="29"/>
      <c r="P7703" s="29" t="s">
        <v>12644</v>
      </c>
      <c r="Q7703" t="s">
        <v>2040</v>
      </c>
      <c r="R7703" t="s">
        <v>2632</v>
      </c>
      <c r="S7703">
        <v>37</v>
      </c>
      <c r="T7703" s="43" t="str">
        <f t="shared" si="330"/>
        <v>2021.009F.R.Botourmiaviridae_6newgen_109newsp.zip</v>
      </c>
      <c r="U7703" s="43" t="str">
        <f>HYPERLINK("https://ictv.global/taxonomy/taxondetails?taxnode_id=202212535","ictv.global=202212535")</f>
        <v>ictv.global=202212535</v>
      </c>
    </row>
    <row r="7704" spans="1:21">
      <c r="A7704">
        <v>7703</v>
      </c>
      <c r="B7704" s="29" t="s">
        <v>3223</v>
      </c>
      <c r="C7704" s="29"/>
      <c r="D7704" s="29" t="s">
        <v>4156</v>
      </c>
      <c r="E7704" s="29"/>
      <c r="F7704" s="29" t="s">
        <v>4202</v>
      </c>
      <c r="G7704" s="29"/>
      <c r="H7704" s="29" t="s">
        <v>4208</v>
      </c>
      <c r="I7704" s="29"/>
      <c r="J7704" s="29" t="s">
        <v>4209</v>
      </c>
      <c r="K7704" s="29"/>
      <c r="L7704" s="29" t="s">
        <v>3314</v>
      </c>
      <c r="M7704" s="29"/>
      <c r="N7704" s="29" t="s">
        <v>12641</v>
      </c>
      <c r="O7704" s="29"/>
      <c r="P7704" s="29" t="s">
        <v>12645</v>
      </c>
      <c r="Q7704" t="s">
        <v>2040</v>
      </c>
      <c r="R7704" t="s">
        <v>2633</v>
      </c>
      <c r="S7704">
        <v>37</v>
      </c>
      <c r="T7704" s="43" t="str">
        <f t="shared" si="330"/>
        <v>2021.009F.R.Botourmiaviridae_6newgen_109newsp.zip</v>
      </c>
      <c r="U7704" s="43" t="str">
        <f>HYPERLINK("https://ictv.global/taxonomy/taxondetails?taxnode_id=202208723","ictv.global=202208723")</f>
        <v>ictv.global=202208723</v>
      </c>
    </row>
    <row r="7705" spans="1:21">
      <c r="A7705">
        <v>7704</v>
      </c>
      <c r="B7705" s="29" t="s">
        <v>3223</v>
      </c>
      <c r="C7705" s="29"/>
      <c r="D7705" s="29" t="s">
        <v>4156</v>
      </c>
      <c r="E7705" s="29"/>
      <c r="F7705" s="29" t="s">
        <v>4202</v>
      </c>
      <c r="G7705" s="29"/>
      <c r="H7705" s="29" t="s">
        <v>4208</v>
      </c>
      <c r="I7705" s="29"/>
      <c r="J7705" s="29" t="s">
        <v>4209</v>
      </c>
      <c r="K7705" s="29"/>
      <c r="L7705" s="29" t="s">
        <v>3314</v>
      </c>
      <c r="M7705" s="29"/>
      <c r="N7705" s="29" t="s">
        <v>12641</v>
      </c>
      <c r="O7705" s="29"/>
      <c r="P7705" s="29" t="s">
        <v>12646</v>
      </c>
      <c r="Q7705" t="s">
        <v>2040</v>
      </c>
      <c r="R7705" t="s">
        <v>2632</v>
      </c>
      <c r="S7705">
        <v>37</v>
      </c>
      <c r="T7705" s="43" t="str">
        <f t="shared" si="330"/>
        <v>2021.009F.R.Botourmiaviridae_6newgen_109newsp.zip</v>
      </c>
      <c r="U7705" s="43" t="str">
        <f>HYPERLINK("https://ictv.global/taxonomy/taxondetails?taxnode_id=202212536","ictv.global=202212536")</f>
        <v>ictv.global=202212536</v>
      </c>
    </row>
    <row r="7706" spans="1:21">
      <c r="A7706">
        <v>7705</v>
      </c>
      <c r="B7706" s="29" t="s">
        <v>3223</v>
      </c>
      <c r="C7706" s="29"/>
      <c r="D7706" s="29" t="s">
        <v>4156</v>
      </c>
      <c r="E7706" s="29"/>
      <c r="F7706" s="29" t="s">
        <v>4202</v>
      </c>
      <c r="G7706" s="29"/>
      <c r="H7706" s="29" t="s">
        <v>4208</v>
      </c>
      <c r="I7706" s="29"/>
      <c r="J7706" s="29" t="s">
        <v>4209</v>
      </c>
      <c r="K7706" s="29"/>
      <c r="L7706" s="29" t="s">
        <v>3314</v>
      </c>
      <c r="M7706" s="29"/>
      <c r="N7706" s="29" t="s">
        <v>12641</v>
      </c>
      <c r="O7706" s="29"/>
      <c r="P7706" s="29" t="s">
        <v>12647</v>
      </c>
      <c r="Q7706" t="s">
        <v>2040</v>
      </c>
      <c r="R7706" t="s">
        <v>2632</v>
      </c>
      <c r="S7706">
        <v>37</v>
      </c>
      <c r="T7706" s="43" t="str">
        <f t="shared" si="330"/>
        <v>2021.009F.R.Botourmiaviridae_6newgen_109newsp.zip</v>
      </c>
      <c r="U7706" s="43" t="str">
        <f>HYPERLINK("https://ictv.global/taxonomy/taxondetails?taxnode_id=202212538","ictv.global=202212538")</f>
        <v>ictv.global=202212538</v>
      </c>
    </row>
    <row r="7707" spans="1:21">
      <c r="A7707">
        <v>7706</v>
      </c>
      <c r="B7707" s="29" t="s">
        <v>3223</v>
      </c>
      <c r="C7707" s="29"/>
      <c r="D7707" s="29" t="s">
        <v>4156</v>
      </c>
      <c r="E7707" s="29"/>
      <c r="F7707" s="29" t="s">
        <v>4202</v>
      </c>
      <c r="G7707" s="29"/>
      <c r="H7707" s="29" t="s">
        <v>4208</v>
      </c>
      <c r="I7707" s="29"/>
      <c r="J7707" s="29" t="s">
        <v>4209</v>
      </c>
      <c r="K7707" s="29"/>
      <c r="L7707" s="29" t="s">
        <v>3314</v>
      </c>
      <c r="M7707" s="29"/>
      <c r="N7707" s="29" t="s">
        <v>12641</v>
      </c>
      <c r="O7707" s="29"/>
      <c r="P7707" s="29" t="s">
        <v>12648</v>
      </c>
      <c r="Q7707" t="s">
        <v>2040</v>
      </c>
      <c r="R7707" t="s">
        <v>2632</v>
      </c>
      <c r="S7707">
        <v>37</v>
      </c>
      <c r="T7707" s="43" t="str">
        <f t="shared" si="330"/>
        <v>2021.009F.R.Botourmiaviridae_6newgen_109newsp.zip</v>
      </c>
      <c r="U7707" s="43" t="str">
        <f>HYPERLINK("https://ictv.global/taxonomy/taxondetails?taxnode_id=202212534","ictv.global=202212534")</f>
        <v>ictv.global=202212534</v>
      </c>
    </row>
    <row r="7708" spans="1:21">
      <c r="A7708">
        <v>7707</v>
      </c>
      <c r="B7708" s="29" t="s">
        <v>3223</v>
      </c>
      <c r="C7708" s="29"/>
      <c r="D7708" s="29" t="s">
        <v>4156</v>
      </c>
      <c r="E7708" s="29"/>
      <c r="F7708" s="29" t="s">
        <v>4202</v>
      </c>
      <c r="G7708" s="29"/>
      <c r="H7708" s="29" t="s">
        <v>4208</v>
      </c>
      <c r="I7708" s="29"/>
      <c r="J7708" s="29" t="s">
        <v>4209</v>
      </c>
      <c r="K7708" s="29"/>
      <c r="L7708" s="29" t="s">
        <v>3314</v>
      </c>
      <c r="M7708" s="29"/>
      <c r="N7708" s="29" t="s">
        <v>12641</v>
      </c>
      <c r="O7708" s="29"/>
      <c r="P7708" s="29" t="s">
        <v>12649</v>
      </c>
      <c r="Q7708" t="s">
        <v>2040</v>
      </c>
      <c r="R7708" t="s">
        <v>2633</v>
      </c>
      <c r="S7708">
        <v>37</v>
      </c>
      <c r="T7708" s="43" t="str">
        <f t="shared" si="330"/>
        <v>2021.009F.R.Botourmiaviridae_6newgen_109newsp.zip</v>
      </c>
      <c r="U7708" s="43" t="str">
        <f>HYPERLINK("https://ictv.global/taxonomy/taxondetails?taxnode_id=202208724","ictv.global=202208724")</f>
        <v>ictv.global=202208724</v>
      </c>
    </row>
    <row r="7709" spans="1:21">
      <c r="A7709">
        <v>7708</v>
      </c>
      <c r="B7709" s="29" t="s">
        <v>3223</v>
      </c>
      <c r="C7709" s="29"/>
      <c r="D7709" s="29" t="s">
        <v>4156</v>
      </c>
      <c r="E7709" s="29"/>
      <c r="F7709" s="29" t="s">
        <v>4202</v>
      </c>
      <c r="G7709" s="29"/>
      <c r="H7709" s="29" t="s">
        <v>4208</v>
      </c>
      <c r="I7709" s="29"/>
      <c r="J7709" s="29" t="s">
        <v>4209</v>
      </c>
      <c r="K7709" s="29"/>
      <c r="L7709" s="29" t="s">
        <v>3314</v>
      </c>
      <c r="M7709" s="29"/>
      <c r="N7709" s="29" t="s">
        <v>12641</v>
      </c>
      <c r="O7709" s="29"/>
      <c r="P7709" s="29" t="s">
        <v>12650</v>
      </c>
      <c r="Q7709" t="s">
        <v>2040</v>
      </c>
      <c r="R7709" t="s">
        <v>2632</v>
      </c>
      <c r="S7709">
        <v>37</v>
      </c>
      <c r="T7709" s="43" t="str">
        <f t="shared" si="330"/>
        <v>2021.009F.R.Botourmiaviridae_6newgen_109newsp.zip</v>
      </c>
      <c r="U7709" s="43" t="str">
        <f>HYPERLINK("https://ictv.global/taxonomy/taxondetails?taxnode_id=202212539","ictv.global=202212539")</f>
        <v>ictv.global=202212539</v>
      </c>
    </row>
    <row r="7710" spans="1:21">
      <c r="A7710">
        <v>7709</v>
      </c>
      <c r="B7710" s="29" t="s">
        <v>3223</v>
      </c>
      <c r="C7710" s="29"/>
      <c r="D7710" s="29" t="s">
        <v>4156</v>
      </c>
      <c r="E7710" s="29"/>
      <c r="F7710" s="29" t="s">
        <v>4202</v>
      </c>
      <c r="G7710" s="29"/>
      <c r="H7710" s="29" t="s">
        <v>4208</v>
      </c>
      <c r="I7710" s="29"/>
      <c r="J7710" s="29" t="s">
        <v>4209</v>
      </c>
      <c r="K7710" s="29"/>
      <c r="L7710" s="29" t="s">
        <v>3314</v>
      </c>
      <c r="M7710" s="29"/>
      <c r="N7710" s="29" t="s">
        <v>12641</v>
      </c>
      <c r="O7710" s="29"/>
      <c r="P7710" s="29" t="s">
        <v>12651</v>
      </c>
      <c r="Q7710" t="s">
        <v>2040</v>
      </c>
      <c r="R7710" t="s">
        <v>2632</v>
      </c>
      <c r="S7710">
        <v>37</v>
      </c>
      <c r="T7710" s="43" t="str">
        <f t="shared" si="330"/>
        <v>2021.009F.R.Botourmiaviridae_6newgen_109newsp.zip</v>
      </c>
      <c r="U7710" s="43" t="str">
        <f>HYPERLINK("https://ictv.global/taxonomy/taxondetails?taxnode_id=202212537","ictv.global=202212537")</f>
        <v>ictv.global=202212537</v>
      </c>
    </row>
    <row r="7711" spans="1:21">
      <c r="A7711">
        <v>7710</v>
      </c>
      <c r="B7711" s="29" t="s">
        <v>3223</v>
      </c>
      <c r="C7711" s="29"/>
      <c r="D7711" s="29" t="s">
        <v>4156</v>
      </c>
      <c r="E7711" s="29"/>
      <c r="F7711" s="29" t="s">
        <v>4202</v>
      </c>
      <c r="G7711" s="29"/>
      <c r="H7711" s="29" t="s">
        <v>4208</v>
      </c>
      <c r="I7711" s="29"/>
      <c r="J7711" s="29" t="s">
        <v>4209</v>
      </c>
      <c r="K7711" s="29"/>
      <c r="L7711" s="29" t="s">
        <v>3314</v>
      </c>
      <c r="M7711" s="29"/>
      <c r="N7711" s="29" t="s">
        <v>12652</v>
      </c>
      <c r="O7711" s="29"/>
      <c r="P7711" s="29" t="s">
        <v>12653</v>
      </c>
      <c r="Q7711" t="s">
        <v>2040</v>
      </c>
      <c r="R7711" t="s">
        <v>2632</v>
      </c>
      <c r="S7711">
        <v>38</v>
      </c>
      <c r="T7711" s="43" t="str">
        <f>HYPERLINK("https://ictv.global/ictv/proposals/2022.003F.Botourmiaviridae_15nsp.zip","2022.003F.Botourmiaviridae_15nsp.zip")</f>
        <v>2022.003F.Botourmiaviridae_15nsp.zip</v>
      </c>
      <c r="U7711" s="43" t="str">
        <f>HYPERLINK("https://ictv.global/taxonomy/taxondetails?taxnode_id=202215019","ictv.global=202215019")</f>
        <v>ictv.global=202215019</v>
      </c>
    </row>
    <row r="7712" spans="1:21">
      <c r="A7712">
        <v>7711</v>
      </c>
      <c r="B7712" s="29" t="s">
        <v>3223</v>
      </c>
      <c r="C7712" s="29"/>
      <c r="D7712" s="29" t="s">
        <v>4156</v>
      </c>
      <c r="E7712" s="29"/>
      <c r="F7712" s="29" t="s">
        <v>4202</v>
      </c>
      <c r="G7712" s="29"/>
      <c r="H7712" s="29" t="s">
        <v>4208</v>
      </c>
      <c r="I7712" s="29"/>
      <c r="J7712" s="29" t="s">
        <v>4209</v>
      </c>
      <c r="K7712" s="29"/>
      <c r="L7712" s="29" t="s">
        <v>3314</v>
      </c>
      <c r="M7712" s="29"/>
      <c r="N7712" s="29" t="s">
        <v>12652</v>
      </c>
      <c r="O7712" s="29"/>
      <c r="P7712" s="29" t="s">
        <v>12654</v>
      </c>
      <c r="Q7712" t="s">
        <v>2040</v>
      </c>
      <c r="R7712" t="s">
        <v>2632</v>
      </c>
      <c r="S7712">
        <v>37</v>
      </c>
      <c r="T7712" s="43" t="str">
        <f t="shared" ref="T7712:T7727" si="331">HYPERLINK("https://ictv.global/ictv/proposals/2021.009F.R.Botourmiaviridae_6newgen_109newsp.zip","2021.009F.R.Botourmiaviridae_6newgen_109newsp.zip")</f>
        <v>2021.009F.R.Botourmiaviridae_6newgen_109newsp.zip</v>
      </c>
      <c r="U7712" s="43" t="str">
        <f>HYPERLINK("https://ictv.global/taxonomy/taxondetails?taxnode_id=202213250","ictv.global=202213250")</f>
        <v>ictv.global=202213250</v>
      </c>
    </row>
    <row r="7713" spans="1:21">
      <c r="A7713">
        <v>7712</v>
      </c>
      <c r="B7713" s="29" t="s">
        <v>3223</v>
      </c>
      <c r="C7713" s="29"/>
      <c r="D7713" s="29" t="s">
        <v>4156</v>
      </c>
      <c r="E7713" s="29"/>
      <c r="F7713" s="29" t="s">
        <v>4202</v>
      </c>
      <c r="G7713" s="29"/>
      <c r="H7713" s="29" t="s">
        <v>4208</v>
      </c>
      <c r="I7713" s="29"/>
      <c r="J7713" s="29" t="s">
        <v>4209</v>
      </c>
      <c r="K7713" s="29"/>
      <c r="L7713" s="29" t="s">
        <v>3314</v>
      </c>
      <c r="M7713" s="29"/>
      <c r="N7713" s="29" t="s">
        <v>12655</v>
      </c>
      <c r="O7713" s="29"/>
      <c r="P7713" s="29" t="s">
        <v>12656</v>
      </c>
      <c r="Q7713" t="s">
        <v>2040</v>
      </c>
      <c r="R7713" t="s">
        <v>2632</v>
      </c>
      <c r="S7713">
        <v>37</v>
      </c>
      <c r="T7713" s="43" t="str">
        <f t="shared" si="331"/>
        <v>2021.009F.R.Botourmiaviridae_6newgen_109newsp.zip</v>
      </c>
      <c r="U7713" s="43" t="str">
        <f>HYPERLINK("https://ictv.global/taxonomy/taxondetails?taxnode_id=202212557","ictv.global=202212557")</f>
        <v>ictv.global=202212557</v>
      </c>
    </row>
    <row r="7714" spans="1:21">
      <c r="A7714">
        <v>7713</v>
      </c>
      <c r="B7714" s="29" t="s">
        <v>3223</v>
      </c>
      <c r="C7714" s="29"/>
      <c r="D7714" s="29" t="s">
        <v>4156</v>
      </c>
      <c r="E7714" s="29"/>
      <c r="F7714" s="29" t="s">
        <v>4202</v>
      </c>
      <c r="G7714" s="29"/>
      <c r="H7714" s="29" t="s">
        <v>4208</v>
      </c>
      <c r="I7714" s="29"/>
      <c r="J7714" s="29" t="s">
        <v>4209</v>
      </c>
      <c r="K7714" s="29"/>
      <c r="L7714" s="29" t="s">
        <v>3314</v>
      </c>
      <c r="M7714" s="29"/>
      <c r="N7714" s="29" t="s">
        <v>12655</v>
      </c>
      <c r="O7714" s="29"/>
      <c r="P7714" s="29" t="s">
        <v>12657</v>
      </c>
      <c r="Q7714" t="s">
        <v>2040</v>
      </c>
      <c r="R7714" t="s">
        <v>2632</v>
      </c>
      <c r="S7714">
        <v>37</v>
      </c>
      <c r="T7714" s="43" t="str">
        <f t="shared" si="331"/>
        <v>2021.009F.R.Botourmiaviridae_6newgen_109newsp.zip</v>
      </c>
      <c r="U7714" s="43" t="str">
        <f>HYPERLINK("https://ictv.global/taxonomy/taxondetails?taxnode_id=202212558","ictv.global=202212558")</f>
        <v>ictv.global=202212558</v>
      </c>
    </row>
    <row r="7715" spans="1:21">
      <c r="A7715">
        <v>7714</v>
      </c>
      <c r="B7715" s="29" t="s">
        <v>3223</v>
      </c>
      <c r="C7715" s="29"/>
      <c r="D7715" s="29" t="s">
        <v>4156</v>
      </c>
      <c r="E7715" s="29"/>
      <c r="F7715" s="29" t="s">
        <v>4202</v>
      </c>
      <c r="G7715" s="29"/>
      <c r="H7715" s="29" t="s">
        <v>4208</v>
      </c>
      <c r="I7715" s="29"/>
      <c r="J7715" s="29" t="s">
        <v>4209</v>
      </c>
      <c r="K7715" s="29"/>
      <c r="L7715" s="29" t="s">
        <v>3314</v>
      </c>
      <c r="M7715" s="29"/>
      <c r="N7715" s="29" t="s">
        <v>12655</v>
      </c>
      <c r="O7715" s="29"/>
      <c r="P7715" s="29" t="s">
        <v>12658</v>
      </c>
      <c r="Q7715" t="s">
        <v>2040</v>
      </c>
      <c r="R7715" t="s">
        <v>2632</v>
      </c>
      <c r="S7715">
        <v>37</v>
      </c>
      <c r="T7715" s="43" t="str">
        <f t="shared" si="331"/>
        <v>2021.009F.R.Botourmiaviridae_6newgen_109newsp.zip</v>
      </c>
      <c r="U7715" s="43" t="str">
        <f>HYPERLINK("https://ictv.global/taxonomy/taxondetails?taxnode_id=202212556","ictv.global=202212556")</f>
        <v>ictv.global=202212556</v>
      </c>
    </row>
    <row r="7716" spans="1:21">
      <c r="A7716">
        <v>7715</v>
      </c>
      <c r="B7716" s="29" t="s">
        <v>3223</v>
      </c>
      <c r="C7716" s="29"/>
      <c r="D7716" s="29" t="s">
        <v>4156</v>
      </c>
      <c r="E7716" s="29"/>
      <c r="F7716" s="29" t="s">
        <v>4202</v>
      </c>
      <c r="G7716" s="29"/>
      <c r="H7716" s="29" t="s">
        <v>4208</v>
      </c>
      <c r="I7716" s="29"/>
      <c r="J7716" s="29" t="s">
        <v>4209</v>
      </c>
      <c r="K7716" s="29"/>
      <c r="L7716" s="29" t="s">
        <v>3314</v>
      </c>
      <c r="M7716" s="29"/>
      <c r="N7716" s="29" t="s">
        <v>12655</v>
      </c>
      <c r="O7716" s="29"/>
      <c r="P7716" s="29" t="s">
        <v>12659</v>
      </c>
      <c r="Q7716" t="s">
        <v>2040</v>
      </c>
      <c r="R7716" t="s">
        <v>2632</v>
      </c>
      <c r="S7716">
        <v>37</v>
      </c>
      <c r="T7716" s="43" t="str">
        <f t="shared" si="331"/>
        <v>2021.009F.R.Botourmiaviridae_6newgen_109newsp.zip</v>
      </c>
      <c r="U7716" s="43" t="str">
        <f>HYPERLINK("https://ictv.global/taxonomy/taxondetails?taxnode_id=202212560","ictv.global=202212560")</f>
        <v>ictv.global=202212560</v>
      </c>
    </row>
    <row r="7717" spans="1:21">
      <c r="A7717">
        <v>7716</v>
      </c>
      <c r="B7717" s="29" t="s">
        <v>3223</v>
      </c>
      <c r="C7717" s="29"/>
      <c r="D7717" s="29" t="s">
        <v>4156</v>
      </c>
      <c r="E7717" s="29"/>
      <c r="F7717" s="29" t="s">
        <v>4202</v>
      </c>
      <c r="G7717" s="29"/>
      <c r="H7717" s="29" t="s">
        <v>4208</v>
      </c>
      <c r="I7717" s="29"/>
      <c r="J7717" s="29" t="s">
        <v>4209</v>
      </c>
      <c r="K7717" s="29"/>
      <c r="L7717" s="29" t="s">
        <v>3314</v>
      </c>
      <c r="M7717" s="29"/>
      <c r="N7717" s="29" t="s">
        <v>12655</v>
      </c>
      <c r="O7717" s="29"/>
      <c r="P7717" s="29" t="s">
        <v>12660</v>
      </c>
      <c r="Q7717" t="s">
        <v>2040</v>
      </c>
      <c r="R7717" t="s">
        <v>2632</v>
      </c>
      <c r="S7717">
        <v>37</v>
      </c>
      <c r="T7717" s="43" t="str">
        <f t="shared" si="331"/>
        <v>2021.009F.R.Botourmiaviridae_6newgen_109newsp.zip</v>
      </c>
      <c r="U7717" s="43" t="str">
        <f>HYPERLINK("https://ictv.global/taxonomy/taxondetails?taxnode_id=202212561","ictv.global=202212561")</f>
        <v>ictv.global=202212561</v>
      </c>
    </row>
    <row r="7718" spans="1:21">
      <c r="A7718">
        <v>7717</v>
      </c>
      <c r="B7718" s="29" t="s">
        <v>3223</v>
      </c>
      <c r="C7718" s="29"/>
      <c r="D7718" s="29" t="s">
        <v>4156</v>
      </c>
      <c r="E7718" s="29"/>
      <c r="F7718" s="29" t="s">
        <v>4202</v>
      </c>
      <c r="G7718" s="29"/>
      <c r="H7718" s="29" t="s">
        <v>4208</v>
      </c>
      <c r="I7718" s="29"/>
      <c r="J7718" s="29" t="s">
        <v>4209</v>
      </c>
      <c r="K7718" s="29"/>
      <c r="L7718" s="29" t="s">
        <v>3314</v>
      </c>
      <c r="M7718" s="29"/>
      <c r="N7718" s="29" t="s">
        <v>12655</v>
      </c>
      <c r="O7718" s="29"/>
      <c r="P7718" s="29" t="s">
        <v>12661</v>
      </c>
      <c r="Q7718" t="s">
        <v>2040</v>
      </c>
      <c r="R7718" t="s">
        <v>2632</v>
      </c>
      <c r="S7718">
        <v>37</v>
      </c>
      <c r="T7718" s="43" t="str">
        <f t="shared" si="331"/>
        <v>2021.009F.R.Botourmiaviridae_6newgen_109newsp.zip</v>
      </c>
      <c r="U7718" s="43" t="str">
        <f>HYPERLINK("https://ictv.global/taxonomy/taxondetails?taxnode_id=202212563","ictv.global=202212563")</f>
        <v>ictv.global=202212563</v>
      </c>
    </row>
    <row r="7719" spans="1:21">
      <c r="A7719">
        <v>7718</v>
      </c>
      <c r="B7719" s="29" t="s">
        <v>3223</v>
      </c>
      <c r="C7719" s="29"/>
      <c r="D7719" s="29" t="s">
        <v>4156</v>
      </c>
      <c r="E7719" s="29"/>
      <c r="F7719" s="29" t="s">
        <v>4202</v>
      </c>
      <c r="G7719" s="29"/>
      <c r="H7719" s="29" t="s">
        <v>4208</v>
      </c>
      <c r="I7719" s="29"/>
      <c r="J7719" s="29" t="s">
        <v>4209</v>
      </c>
      <c r="K7719" s="29"/>
      <c r="L7719" s="29" t="s">
        <v>3314</v>
      </c>
      <c r="M7719" s="29"/>
      <c r="N7719" s="29" t="s">
        <v>12655</v>
      </c>
      <c r="O7719" s="29"/>
      <c r="P7719" s="29" t="s">
        <v>12662</v>
      </c>
      <c r="Q7719" t="s">
        <v>2040</v>
      </c>
      <c r="R7719" t="s">
        <v>2632</v>
      </c>
      <c r="S7719">
        <v>37</v>
      </c>
      <c r="T7719" s="43" t="str">
        <f t="shared" si="331"/>
        <v>2021.009F.R.Botourmiaviridae_6newgen_109newsp.zip</v>
      </c>
      <c r="U7719" s="43" t="str">
        <f>HYPERLINK("https://ictv.global/taxonomy/taxondetails?taxnode_id=202212559","ictv.global=202212559")</f>
        <v>ictv.global=202212559</v>
      </c>
    </row>
    <row r="7720" spans="1:21">
      <c r="A7720">
        <v>7719</v>
      </c>
      <c r="B7720" s="29" t="s">
        <v>3223</v>
      </c>
      <c r="C7720" s="29"/>
      <c r="D7720" s="29" t="s">
        <v>4156</v>
      </c>
      <c r="E7720" s="29"/>
      <c r="F7720" s="29" t="s">
        <v>4202</v>
      </c>
      <c r="G7720" s="29"/>
      <c r="H7720" s="29" t="s">
        <v>4208</v>
      </c>
      <c r="I7720" s="29"/>
      <c r="J7720" s="29" t="s">
        <v>4209</v>
      </c>
      <c r="K7720" s="29"/>
      <c r="L7720" s="29" t="s">
        <v>3314</v>
      </c>
      <c r="M7720" s="29"/>
      <c r="N7720" s="29" t="s">
        <v>12655</v>
      </c>
      <c r="O7720" s="29"/>
      <c r="P7720" s="29" t="s">
        <v>12663</v>
      </c>
      <c r="Q7720" t="s">
        <v>2040</v>
      </c>
      <c r="R7720" t="s">
        <v>2632</v>
      </c>
      <c r="S7720">
        <v>37</v>
      </c>
      <c r="T7720" s="43" t="str">
        <f t="shared" si="331"/>
        <v>2021.009F.R.Botourmiaviridae_6newgen_109newsp.zip</v>
      </c>
      <c r="U7720" s="43" t="str">
        <f>HYPERLINK("https://ictv.global/taxonomy/taxondetails?taxnode_id=202212565","ictv.global=202212565")</f>
        <v>ictv.global=202212565</v>
      </c>
    </row>
    <row r="7721" spans="1:21">
      <c r="A7721">
        <v>7720</v>
      </c>
      <c r="B7721" s="29" t="s">
        <v>3223</v>
      </c>
      <c r="C7721" s="29"/>
      <c r="D7721" s="29" t="s">
        <v>4156</v>
      </c>
      <c r="E7721" s="29"/>
      <c r="F7721" s="29" t="s">
        <v>4202</v>
      </c>
      <c r="G7721" s="29"/>
      <c r="H7721" s="29" t="s">
        <v>4208</v>
      </c>
      <c r="I7721" s="29"/>
      <c r="J7721" s="29" t="s">
        <v>4209</v>
      </c>
      <c r="K7721" s="29"/>
      <c r="L7721" s="29" t="s">
        <v>3314</v>
      </c>
      <c r="M7721" s="29"/>
      <c r="N7721" s="29" t="s">
        <v>12655</v>
      </c>
      <c r="O7721" s="29"/>
      <c r="P7721" s="29" t="s">
        <v>12664</v>
      </c>
      <c r="Q7721" t="s">
        <v>2040</v>
      </c>
      <c r="R7721" t="s">
        <v>2632</v>
      </c>
      <c r="S7721">
        <v>37</v>
      </c>
      <c r="T7721" s="43" t="str">
        <f t="shared" si="331"/>
        <v>2021.009F.R.Botourmiaviridae_6newgen_109newsp.zip</v>
      </c>
      <c r="U7721" s="43" t="str">
        <f>HYPERLINK("https://ictv.global/taxonomy/taxondetails?taxnode_id=202212566","ictv.global=202212566")</f>
        <v>ictv.global=202212566</v>
      </c>
    </row>
    <row r="7722" spans="1:21">
      <c r="A7722">
        <v>7721</v>
      </c>
      <c r="B7722" s="29" t="s">
        <v>3223</v>
      </c>
      <c r="C7722" s="29"/>
      <c r="D7722" s="29" t="s">
        <v>4156</v>
      </c>
      <c r="E7722" s="29"/>
      <c r="F7722" s="29" t="s">
        <v>4202</v>
      </c>
      <c r="G7722" s="29"/>
      <c r="H7722" s="29" t="s">
        <v>4208</v>
      </c>
      <c r="I7722" s="29"/>
      <c r="J7722" s="29" t="s">
        <v>4209</v>
      </c>
      <c r="K7722" s="29"/>
      <c r="L7722" s="29" t="s">
        <v>3314</v>
      </c>
      <c r="M7722" s="29"/>
      <c r="N7722" s="29" t="s">
        <v>12655</v>
      </c>
      <c r="O7722" s="29"/>
      <c r="P7722" s="29" t="s">
        <v>12665</v>
      </c>
      <c r="Q7722" t="s">
        <v>2040</v>
      </c>
      <c r="R7722" t="s">
        <v>2632</v>
      </c>
      <c r="S7722">
        <v>37</v>
      </c>
      <c r="T7722" s="43" t="str">
        <f t="shared" si="331"/>
        <v>2021.009F.R.Botourmiaviridae_6newgen_109newsp.zip</v>
      </c>
      <c r="U7722" s="43" t="str">
        <f>HYPERLINK("https://ictv.global/taxonomy/taxondetails?taxnode_id=202212567","ictv.global=202212567")</f>
        <v>ictv.global=202212567</v>
      </c>
    </row>
    <row r="7723" spans="1:21">
      <c r="A7723">
        <v>7722</v>
      </c>
      <c r="B7723" s="29" t="s">
        <v>3223</v>
      </c>
      <c r="C7723" s="29"/>
      <c r="D7723" s="29" t="s">
        <v>4156</v>
      </c>
      <c r="E7723" s="29"/>
      <c r="F7723" s="29" t="s">
        <v>4202</v>
      </c>
      <c r="G7723" s="29"/>
      <c r="H7723" s="29" t="s">
        <v>4208</v>
      </c>
      <c r="I7723" s="29"/>
      <c r="J7723" s="29" t="s">
        <v>4209</v>
      </c>
      <c r="K7723" s="29"/>
      <c r="L7723" s="29" t="s">
        <v>3314</v>
      </c>
      <c r="M7723" s="29"/>
      <c r="N7723" s="29" t="s">
        <v>12655</v>
      </c>
      <c r="O7723" s="29"/>
      <c r="P7723" s="29" t="s">
        <v>12666</v>
      </c>
      <c r="Q7723" t="s">
        <v>2040</v>
      </c>
      <c r="R7723" t="s">
        <v>2632</v>
      </c>
      <c r="S7723">
        <v>37</v>
      </c>
      <c r="T7723" s="43" t="str">
        <f t="shared" si="331"/>
        <v>2021.009F.R.Botourmiaviridae_6newgen_109newsp.zip</v>
      </c>
      <c r="U7723" s="43" t="str">
        <f>HYPERLINK("https://ictv.global/taxonomy/taxondetails?taxnode_id=202212568","ictv.global=202212568")</f>
        <v>ictv.global=202212568</v>
      </c>
    </row>
    <row r="7724" spans="1:21">
      <c r="A7724">
        <v>7723</v>
      </c>
      <c r="B7724" s="29" t="s">
        <v>3223</v>
      </c>
      <c r="C7724" s="29"/>
      <c r="D7724" s="29" t="s">
        <v>4156</v>
      </c>
      <c r="E7724" s="29"/>
      <c r="F7724" s="29" t="s">
        <v>4202</v>
      </c>
      <c r="G7724" s="29"/>
      <c r="H7724" s="29" t="s">
        <v>4208</v>
      </c>
      <c r="I7724" s="29"/>
      <c r="J7724" s="29" t="s">
        <v>4209</v>
      </c>
      <c r="K7724" s="29"/>
      <c r="L7724" s="29" t="s">
        <v>3314</v>
      </c>
      <c r="M7724" s="29"/>
      <c r="N7724" s="29" t="s">
        <v>12655</v>
      </c>
      <c r="O7724" s="29"/>
      <c r="P7724" s="29" t="s">
        <v>12667</v>
      </c>
      <c r="Q7724" t="s">
        <v>2040</v>
      </c>
      <c r="R7724" t="s">
        <v>2633</v>
      </c>
      <c r="S7724">
        <v>37</v>
      </c>
      <c r="T7724" s="43" t="str">
        <f t="shared" si="331"/>
        <v>2021.009F.R.Botourmiaviridae_6newgen_109newsp.zip</v>
      </c>
      <c r="U7724" s="43" t="str">
        <f>HYPERLINK("https://ictv.global/taxonomy/taxondetails?taxnode_id=202208731","ictv.global=202208731")</f>
        <v>ictv.global=202208731</v>
      </c>
    </row>
    <row r="7725" spans="1:21">
      <c r="A7725">
        <v>7724</v>
      </c>
      <c r="B7725" s="29" t="s">
        <v>3223</v>
      </c>
      <c r="C7725" s="29"/>
      <c r="D7725" s="29" t="s">
        <v>4156</v>
      </c>
      <c r="E7725" s="29"/>
      <c r="F7725" s="29" t="s">
        <v>4202</v>
      </c>
      <c r="G7725" s="29"/>
      <c r="H7725" s="29" t="s">
        <v>4208</v>
      </c>
      <c r="I7725" s="29"/>
      <c r="J7725" s="29" t="s">
        <v>4209</v>
      </c>
      <c r="K7725" s="29"/>
      <c r="L7725" s="29" t="s">
        <v>3314</v>
      </c>
      <c r="M7725" s="29"/>
      <c r="N7725" s="29" t="s">
        <v>12655</v>
      </c>
      <c r="O7725" s="29"/>
      <c r="P7725" s="29" t="s">
        <v>12668</v>
      </c>
      <c r="Q7725" t="s">
        <v>2040</v>
      </c>
      <c r="R7725" t="s">
        <v>2632</v>
      </c>
      <c r="S7725">
        <v>37</v>
      </c>
      <c r="T7725" s="43" t="str">
        <f t="shared" si="331"/>
        <v>2021.009F.R.Botourmiaviridae_6newgen_109newsp.zip</v>
      </c>
      <c r="U7725" s="43" t="str">
        <f>HYPERLINK("https://ictv.global/taxonomy/taxondetails?taxnode_id=202212564","ictv.global=202212564")</f>
        <v>ictv.global=202212564</v>
      </c>
    </row>
    <row r="7726" spans="1:21">
      <c r="A7726">
        <v>7725</v>
      </c>
      <c r="B7726" s="29" t="s">
        <v>3223</v>
      </c>
      <c r="C7726" s="29"/>
      <c r="D7726" s="29" t="s">
        <v>4156</v>
      </c>
      <c r="E7726" s="29"/>
      <c r="F7726" s="29" t="s">
        <v>4202</v>
      </c>
      <c r="G7726" s="29"/>
      <c r="H7726" s="29" t="s">
        <v>4208</v>
      </c>
      <c r="I7726" s="29"/>
      <c r="J7726" s="29" t="s">
        <v>4209</v>
      </c>
      <c r="K7726" s="29"/>
      <c r="L7726" s="29" t="s">
        <v>3314</v>
      </c>
      <c r="M7726" s="29"/>
      <c r="N7726" s="29" t="s">
        <v>12655</v>
      </c>
      <c r="O7726" s="29"/>
      <c r="P7726" s="29" t="s">
        <v>12669</v>
      </c>
      <c r="Q7726" t="s">
        <v>2040</v>
      </c>
      <c r="R7726" t="s">
        <v>2632</v>
      </c>
      <c r="S7726">
        <v>37</v>
      </c>
      <c r="T7726" s="43" t="str">
        <f t="shared" si="331"/>
        <v>2021.009F.R.Botourmiaviridae_6newgen_109newsp.zip</v>
      </c>
      <c r="U7726" s="43" t="str">
        <f>HYPERLINK("https://ictv.global/taxonomy/taxondetails?taxnode_id=202212562","ictv.global=202212562")</f>
        <v>ictv.global=202212562</v>
      </c>
    </row>
    <row r="7727" spans="1:21">
      <c r="A7727">
        <v>7726</v>
      </c>
      <c r="B7727" s="29" t="s">
        <v>3223</v>
      </c>
      <c r="C7727" s="29"/>
      <c r="D7727" s="29" t="s">
        <v>4156</v>
      </c>
      <c r="E7727" s="29"/>
      <c r="F7727" s="29" t="s">
        <v>4202</v>
      </c>
      <c r="G7727" s="29"/>
      <c r="H7727" s="29" t="s">
        <v>4208</v>
      </c>
      <c r="I7727" s="29"/>
      <c r="J7727" s="29" t="s">
        <v>4209</v>
      </c>
      <c r="K7727" s="29"/>
      <c r="L7727" s="29" t="s">
        <v>3314</v>
      </c>
      <c r="M7727" s="29"/>
      <c r="N7727" s="29" t="s">
        <v>3315</v>
      </c>
      <c r="O7727" s="29"/>
      <c r="P7727" s="29" t="s">
        <v>12670</v>
      </c>
      <c r="Q7727" t="s">
        <v>2040</v>
      </c>
      <c r="R7727" t="s">
        <v>2632</v>
      </c>
      <c r="S7727">
        <v>37</v>
      </c>
      <c r="T7727" s="43" t="str">
        <f t="shared" si="331"/>
        <v>2021.009F.R.Botourmiaviridae_6newgen_109newsp.zip</v>
      </c>
      <c r="U7727" s="43" t="str">
        <f>HYPERLINK("https://ictv.global/taxonomy/taxondetails?taxnode_id=202212540","ictv.global=202212540")</f>
        <v>ictv.global=202212540</v>
      </c>
    </row>
    <row r="7728" spans="1:21">
      <c r="A7728">
        <v>7727</v>
      </c>
      <c r="B7728" s="29" t="s">
        <v>3223</v>
      </c>
      <c r="C7728" s="29"/>
      <c r="D7728" s="29" t="s">
        <v>4156</v>
      </c>
      <c r="E7728" s="29"/>
      <c r="F7728" s="29" t="s">
        <v>4202</v>
      </c>
      <c r="G7728" s="29"/>
      <c r="H7728" s="29" t="s">
        <v>4208</v>
      </c>
      <c r="I7728" s="29"/>
      <c r="J7728" s="29" t="s">
        <v>4209</v>
      </c>
      <c r="K7728" s="29"/>
      <c r="L7728" s="29" t="s">
        <v>3314</v>
      </c>
      <c r="M7728" s="29"/>
      <c r="N7728" s="29" t="s">
        <v>3315</v>
      </c>
      <c r="O7728" s="29"/>
      <c r="P7728" s="29" t="s">
        <v>12671</v>
      </c>
      <c r="Q7728" t="s">
        <v>2040</v>
      </c>
      <c r="R7728" t="s">
        <v>2632</v>
      </c>
      <c r="S7728">
        <v>38</v>
      </c>
      <c r="T7728" s="43" t="str">
        <f>HYPERLINK("https://ictv.global/ictv/proposals/2022.003F.Botourmiaviridae_15nsp.zip","2022.003F.Botourmiaviridae_15nsp.zip")</f>
        <v>2022.003F.Botourmiaviridae_15nsp.zip</v>
      </c>
      <c r="U7728" s="43" t="str">
        <f>HYPERLINK("https://ictv.global/taxonomy/taxondetails?taxnode_id=202215007","ictv.global=202215007")</f>
        <v>ictv.global=202215007</v>
      </c>
    </row>
    <row r="7729" spans="1:21">
      <c r="A7729">
        <v>7728</v>
      </c>
      <c r="B7729" s="29" t="s">
        <v>3223</v>
      </c>
      <c r="C7729" s="29"/>
      <c r="D7729" s="29" t="s">
        <v>4156</v>
      </c>
      <c r="E7729" s="29"/>
      <c r="F7729" s="29" t="s">
        <v>4202</v>
      </c>
      <c r="G7729" s="29"/>
      <c r="H7729" s="29" t="s">
        <v>4208</v>
      </c>
      <c r="I7729" s="29"/>
      <c r="J7729" s="29" t="s">
        <v>4209</v>
      </c>
      <c r="K7729" s="29"/>
      <c r="L7729" s="29" t="s">
        <v>3314</v>
      </c>
      <c r="M7729" s="29"/>
      <c r="N7729" s="29" t="s">
        <v>3315</v>
      </c>
      <c r="O7729" s="29"/>
      <c r="P7729" s="29" t="s">
        <v>12672</v>
      </c>
      <c r="Q7729" t="s">
        <v>2040</v>
      </c>
      <c r="R7729" t="s">
        <v>2632</v>
      </c>
      <c r="S7729">
        <v>37</v>
      </c>
      <c r="T7729" s="43" t="str">
        <f t="shared" ref="T7729:T7739" si="332">HYPERLINK("https://ictv.global/ictv/proposals/2021.009F.R.Botourmiaviridae_6newgen_109newsp.zip","2021.009F.R.Botourmiaviridae_6newgen_109newsp.zip")</f>
        <v>2021.009F.R.Botourmiaviridae_6newgen_109newsp.zip</v>
      </c>
      <c r="U7729" s="43" t="str">
        <f>HYPERLINK("https://ictv.global/taxonomy/taxondetails?taxnode_id=202212548","ictv.global=202212548")</f>
        <v>ictv.global=202212548</v>
      </c>
    </row>
    <row r="7730" spans="1:21">
      <c r="A7730">
        <v>7729</v>
      </c>
      <c r="B7730" s="29" t="s">
        <v>3223</v>
      </c>
      <c r="C7730" s="29"/>
      <c r="D7730" s="29" t="s">
        <v>4156</v>
      </c>
      <c r="E7730" s="29"/>
      <c r="F7730" s="29" t="s">
        <v>4202</v>
      </c>
      <c r="G7730" s="29"/>
      <c r="H7730" s="29" t="s">
        <v>4208</v>
      </c>
      <c r="I7730" s="29"/>
      <c r="J7730" s="29" t="s">
        <v>4209</v>
      </c>
      <c r="K7730" s="29"/>
      <c r="L7730" s="29" t="s">
        <v>3314</v>
      </c>
      <c r="M7730" s="29"/>
      <c r="N7730" s="29" t="s">
        <v>3315</v>
      </c>
      <c r="O7730" s="29"/>
      <c r="P7730" s="29" t="s">
        <v>12673</v>
      </c>
      <c r="Q7730" t="s">
        <v>2040</v>
      </c>
      <c r="R7730" t="s">
        <v>2632</v>
      </c>
      <c r="S7730">
        <v>37</v>
      </c>
      <c r="T7730" s="43" t="str">
        <f t="shared" si="332"/>
        <v>2021.009F.R.Botourmiaviridae_6newgen_109newsp.zip</v>
      </c>
      <c r="U7730" s="43" t="str">
        <f>HYPERLINK("https://ictv.global/taxonomy/taxondetails?taxnode_id=202212541","ictv.global=202212541")</f>
        <v>ictv.global=202212541</v>
      </c>
    </row>
    <row r="7731" spans="1:21">
      <c r="A7731">
        <v>7730</v>
      </c>
      <c r="B7731" s="29" t="s">
        <v>3223</v>
      </c>
      <c r="C7731" s="29"/>
      <c r="D7731" s="29" t="s">
        <v>4156</v>
      </c>
      <c r="E7731" s="29"/>
      <c r="F7731" s="29" t="s">
        <v>4202</v>
      </c>
      <c r="G7731" s="29"/>
      <c r="H7731" s="29" t="s">
        <v>4208</v>
      </c>
      <c r="I7731" s="29"/>
      <c r="J7731" s="29" t="s">
        <v>4209</v>
      </c>
      <c r="K7731" s="29"/>
      <c r="L7731" s="29" t="s">
        <v>3314</v>
      </c>
      <c r="M7731" s="29"/>
      <c r="N7731" s="29" t="s">
        <v>3315</v>
      </c>
      <c r="O7731" s="29"/>
      <c r="P7731" s="29" t="s">
        <v>12674</v>
      </c>
      <c r="Q7731" t="s">
        <v>2040</v>
      </c>
      <c r="R7731" t="s">
        <v>2632</v>
      </c>
      <c r="S7731">
        <v>37</v>
      </c>
      <c r="T7731" s="43" t="str">
        <f t="shared" si="332"/>
        <v>2021.009F.R.Botourmiaviridae_6newgen_109newsp.zip</v>
      </c>
      <c r="U7731" s="43" t="str">
        <f>HYPERLINK("https://ictv.global/taxonomy/taxondetails?taxnode_id=202212549","ictv.global=202212549")</f>
        <v>ictv.global=202212549</v>
      </c>
    </row>
    <row r="7732" spans="1:21">
      <c r="A7732">
        <v>7731</v>
      </c>
      <c r="B7732" s="29" t="s">
        <v>3223</v>
      </c>
      <c r="C7732" s="29"/>
      <c r="D7732" s="29" t="s">
        <v>4156</v>
      </c>
      <c r="E7732" s="29"/>
      <c r="F7732" s="29" t="s">
        <v>4202</v>
      </c>
      <c r="G7732" s="29"/>
      <c r="H7732" s="29" t="s">
        <v>4208</v>
      </c>
      <c r="I7732" s="29"/>
      <c r="J7732" s="29" t="s">
        <v>4209</v>
      </c>
      <c r="K7732" s="29"/>
      <c r="L7732" s="29" t="s">
        <v>3314</v>
      </c>
      <c r="M7732" s="29"/>
      <c r="N7732" s="29" t="s">
        <v>3315</v>
      </c>
      <c r="O7732" s="29"/>
      <c r="P7732" s="29" t="s">
        <v>12675</v>
      </c>
      <c r="Q7732" t="s">
        <v>2040</v>
      </c>
      <c r="R7732" t="s">
        <v>2632</v>
      </c>
      <c r="S7732">
        <v>37</v>
      </c>
      <c r="T7732" s="43" t="str">
        <f t="shared" si="332"/>
        <v>2021.009F.R.Botourmiaviridae_6newgen_109newsp.zip</v>
      </c>
      <c r="U7732" s="43" t="str">
        <f>HYPERLINK("https://ictv.global/taxonomy/taxondetails?taxnode_id=202212543","ictv.global=202212543")</f>
        <v>ictv.global=202212543</v>
      </c>
    </row>
    <row r="7733" spans="1:21">
      <c r="A7733">
        <v>7732</v>
      </c>
      <c r="B7733" s="29" t="s">
        <v>3223</v>
      </c>
      <c r="C7733" s="29"/>
      <c r="D7733" s="29" t="s">
        <v>4156</v>
      </c>
      <c r="E7733" s="29"/>
      <c r="F7733" s="29" t="s">
        <v>4202</v>
      </c>
      <c r="G7733" s="29"/>
      <c r="H7733" s="29" t="s">
        <v>4208</v>
      </c>
      <c r="I7733" s="29"/>
      <c r="J7733" s="29" t="s">
        <v>4209</v>
      </c>
      <c r="K7733" s="29"/>
      <c r="L7733" s="29" t="s">
        <v>3314</v>
      </c>
      <c r="M7733" s="29"/>
      <c r="N7733" s="29" t="s">
        <v>3315</v>
      </c>
      <c r="O7733" s="29"/>
      <c r="P7733" s="29" t="s">
        <v>12676</v>
      </c>
      <c r="Q7733" t="s">
        <v>2040</v>
      </c>
      <c r="R7733" t="s">
        <v>2632</v>
      </c>
      <c r="S7733">
        <v>37</v>
      </c>
      <c r="T7733" s="43" t="str">
        <f t="shared" si="332"/>
        <v>2021.009F.R.Botourmiaviridae_6newgen_109newsp.zip</v>
      </c>
      <c r="U7733" s="43" t="str">
        <f>HYPERLINK("https://ictv.global/taxonomy/taxondetails?taxnode_id=202212551","ictv.global=202212551")</f>
        <v>ictv.global=202212551</v>
      </c>
    </row>
    <row r="7734" spans="1:21">
      <c r="A7734">
        <v>7733</v>
      </c>
      <c r="B7734" s="29" t="s">
        <v>3223</v>
      </c>
      <c r="C7734" s="29"/>
      <c r="D7734" s="29" t="s">
        <v>4156</v>
      </c>
      <c r="E7734" s="29"/>
      <c r="F7734" s="29" t="s">
        <v>4202</v>
      </c>
      <c r="G7734" s="29"/>
      <c r="H7734" s="29" t="s">
        <v>4208</v>
      </c>
      <c r="I7734" s="29"/>
      <c r="J7734" s="29" t="s">
        <v>4209</v>
      </c>
      <c r="K7734" s="29"/>
      <c r="L7734" s="29" t="s">
        <v>3314</v>
      </c>
      <c r="M7734" s="29"/>
      <c r="N7734" s="29" t="s">
        <v>3315</v>
      </c>
      <c r="O7734" s="29"/>
      <c r="P7734" s="29" t="s">
        <v>12677</v>
      </c>
      <c r="Q7734" t="s">
        <v>2040</v>
      </c>
      <c r="R7734" t="s">
        <v>2632</v>
      </c>
      <c r="S7734">
        <v>37</v>
      </c>
      <c r="T7734" s="43" t="str">
        <f t="shared" si="332"/>
        <v>2021.009F.R.Botourmiaviridae_6newgen_109newsp.zip</v>
      </c>
      <c r="U7734" s="43" t="str">
        <f>HYPERLINK("https://ictv.global/taxonomy/taxondetails?taxnode_id=202212544","ictv.global=202212544")</f>
        <v>ictv.global=202212544</v>
      </c>
    </row>
    <row r="7735" spans="1:21">
      <c r="A7735">
        <v>7734</v>
      </c>
      <c r="B7735" s="29" t="s">
        <v>3223</v>
      </c>
      <c r="C7735" s="29"/>
      <c r="D7735" s="29" t="s">
        <v>4156</v>
      </c>
      <c r="E7735" s="29"/>
      <c r="F7735" s="29" t="s">
        <v>4202</v>
      </c>
      <c r="G7735" s="29"/>
      <c r="H7735" s="29" t="s">
        <v>4208</v>
      </c>
      <c r="I7735" s="29"/>
      <c r="J7735" s="29" t="s">
        <v>4209</v>
      </c>
      <c r="K7735" s="29"/>
      <c r="L7735" s="29" t="s">
        <v>3314</v>
      </c>
      <c r="M7735" s="29"/>
      <c r="N7735" s="29" t="s">
        <v>3315</v>
      </c>
      <c r="O7735" s="29"/>
      <c r="P7735" s="29" t="s">
        <v>12678</v>
      </c>
      <c r="Q7735" t="s">
        <v>2040</v>
      </c>
      <c r="R7735" t="s">
        <v>2632</v>
      </c>
      <c r="S7735">
        <v>37</v>
      </c>
      <c r="T7735" s="43" t="str">
        <f t="shared" si="332"/>
        <v>2021.009F.R.Botourmiaviridae_6newgen_109newsp.zip</v>
      </c>
      <c r="U7735" s="43" t="str">
        <f>HYPERLINK("https://ictv.global/taxonomy/taxondetails?taxnode_id=202212552","ictv.global=202212552")</f>
        <v>ictv.global=202212552</v>
      </c>
    </row>
    <row r="7736" spans="1:21">
      <c r="A7736">
        <v>7735</v>
      </c>
      <c r="B7736" s="29" t="s">
        <v>3223</v>
      </c>
      <c r="C7736" s="29"/>
      <c r="D7736" s="29" t="s">
        <v>4156</v>
      </c>
      <c r="E7736" s="29"/>
      <c r="F7736" s="29" t="s">
        <v>4202</v>
      </c>
      <c r="G7736" s="29"/>
      <c r="H7736" s="29" t="s">
        <v>4208</v>
      </c>
      <c r="I7736" s="29"/>
      <c r="J7736" s="29" t="s">
        <v>4209</v>
      </c>
      <c r="K7736" s="29"/>
      <c r="L7736" s="29" t="s">
        <v>3314</v>
      </c>
      <c r="M7736" s="29"/>
      <c r="N7736" s="29" t="s">
        <v>3315</v>
      </c>
      <c r="O7736" s="29"/>
      <c r="P7736" s="29" t="s">
        <v>12679</v>
      </c>
      <c r="Q7736" t="s">
        <v>2040</v>
      </c>
      <c r="R7736" t="s">
        <v>2632</v>
      </c>
      <c r="S7736">
        <v>37</v>
      </c>
      <c r="T7736" s="43" t="str">
        <f t="shared" si="332"/>
        <v>2021.009F.R.Botourmiaviridae_6newgen_109newsp.zip</v>
      </c>
      <c r="U7736" s="43" t="str">
        <f>HYPERLINK("https://ictv.global/taxonomy/taxondetails?taxnode_id=202212546","ictv.global=202212546")</f>
        <v>ictv.global=202212546</v>
      </c>
    </row>
    <row r="7737" spans="1:21">
      <c r="A7737">
        <v>7736</v>
      </c>
      <c r="B7737" s="29" t="s">
        <v>3223</v>
      </c>
      <c r="C7737" s="29"/>
      <c r="D7737" s="29" t="s">
        <v>4156</v>
      </c>
      <c r="E7737" s="29"/>
      <c r="F7737" s="29" t="s">
        <v>4202</v>
      </c>
      <c r="G7737" s="29"/>
      <c r="H7737" s="29" t="s">
        <v>4208</v>
      </c>
      <c r="I7737" s="29"/>
      <c r="J7737" s="29" t="s">
        <v>4209</v>
      </c>
      <c r="K7737" s="29"/>
      <c r="L7737" s="29" t="s">
        <v>3314</v>
      </c>
      <c r="M7737" s="29"/>
      <c r="N7737" s="29" t="s">
        <v>3315</v>
      </c>
      <c r="O7737" s="29"/>
      <c r="P7737" s="29" t="s">
        <v>12680</v>
      </c>
      <c r="Q7737" t="s">
        <v>2040</v>
      </c>
      <c r="R7737" t="s">
        <v>2632</v>
      </c>
      <c r="S7737">
        <v>37</v>
      </c>
      <c r="T7737" s="43" t="str">
        <f t="shared" si="332"/>
        <v>2021.009F.R.Botourmiaviridae_6newgen_109newsp.zip</v>
      </c>
      <c r="U7737" s="43" t="str">
        <f>HYPERLINK("https://ictv.global/taxonomy/taxondetails?taxnode_id=202212554","ictv.global=202212554")</f>
        <v>ictv.global=202212554</v>
      </c>
    </row>
    <row r="7738" spans="1:21">
      <c r="A7738">
        <v>7737</v>
      </c>
      <c r="B7738" s="29" t="s">
        <v>3223</v>
      </c>
      <c r="C7738" s="29"/>
      <c r="D7738" s="29" t="s">
        <v>4156</v>
      </c>
      <c r="E7738" s="29"/>
      <c r="F7738" s="29" t="s">
        <v>4202</v>
      </c>
      <c r="G7738" s="29"/>
      <c r="H7738" s="29" t="s">
        <v>4208</v>
      </c>
      <c r="I7738" s="29"/>
      <c r="J7738" s="29" t="s">
        <v>4209</v>
      </c>
      <c r="K7738" s="29"/>
      <c r="L7738" s="29" t="s">
        <v>3314</v>
      </c>
      <c r="M7738" s="29"/>
      <c r="N7738" s="29" t="s">
        <v>3315</v>
      </c>
      <c r="O7738" s="29"/>
      <c r="P7738" s="29" t="s">
        <v>12681</v>
      </c>
      <c r="Q7738" t="s">
        <v>2040</v>
      </c>
      <c r="R7738" t="s">
        <v>2632</v>
      </c>
      <c r="S7738">
        <v>37</v>
      </c>
      <c r="T7738" s="43" t="str">
        <f t="shared" si="332"/>
        <v>2021.009F.R.Botourmiaviridae_6newgen_109newsp.zip</v>
      </c>
      <c r="U7738" s="43" t="str">
        <f>HYPERLINK("https://ictv.global/taxonomy/taxondetails?taxnode_id=202212542","ictv.global=202212542")</f>
        <v>ictv.global=202212542</v>
      </c>
    </row>
    <row r="7739" spans="1:21">
      <c r="A7739">
        <v>7738</v>
      </c>
      <c r="B7739" s="29" t="s">
        <v>3223</v>
      </c>
      <c r="C7739" s="29"/>
      <c r="D7739" s="29" t="s">
        <v>4156</v>
      </c>
      <c r="E7739" s="29"/>
      <c r="F7739" s="29" t="s">
        <v>4202</v>
      </c>
      <c r="G7739" s="29"/>
      <c r="H7739" s="29" t="s">
        <v>4208</v>
      </c>
      <c r="I7739" s="29"/>
      <c r="J7739" s="29" t="s">
        <v>4209</v>
      </c>
      <c r="K7739" s="29"/>
      <c r="L7739" s="29" t="s">
        <v>3314</v>
      </c>
      <c r="M7739" s="29"/>
      <c r="N7739" s="29" t="s">
        <v>3315</v>
      </c>
      <c r="O7739" s="29"/>
      <c r="P7739" s="29" t="s">
        <v>12682</v>
      </c>
      <c r="Q7739" t="s">
        <v>2040</v>
      </c>
      <c r="R7739" t="s">
        <v>2632</v>
      </c>
      <c r="S7739">
        <v>37</v>
      </c>
      <c r="T7739" s="43" t="str">
        <f t="shared" si="332"/>
        <v>2021.009F.R.Botourmiaviridae_6newgen_109newsp.zip</v>
      </c>
      <c r="U7739" s="43" t="str">
        <f>HYPERLINK("https://ictv.global/taxonomy/taxondetails?taxnode_id=202212550","ictv.global=202212550")</f>
        <v>ictv.global=202212550</v>
      </c>
    </row>
    <row r="7740" spans="1:21">
      <c r="A7740">
        <v>7739</v>
      </c>
      <c r="B7740" s="29" t="s">
        <v>3223</v>
      </c>
      <c r="C7740" s="29"/>
      <c r="D7740" s="29" t="s">
        <v>4156</v>
      </c>
      <c r="E7740" s="29"/>
      <c r="F7740" s="29" t="s">
        <v>4202</v>
      </c>
      <c r="G7740" s="29"/>
      <c r="H7740" s="29" t="s">
        <v>4208</v>
      </c>
      <c r="I7740" s="29"/>
      <c r="J7740" s="29" t="s">
        <v>4209</v>
      </c>
      <c r="K7740" s="29"/>
      <c r="L7740" s="29" t="s">
        <v>3314</v>
      </c>
      <c r="M7740" s="29"/>
      <c r="N7740" s="29" t="s">
        <v>3315</v>
      </c>
      <c r="O7740" s="29"/>
      <c r="P7740" s="29" t="s">
        <v>12683</v>
      </c>
      <c r="Q7740" t="s">
        <v>2040</v>
      </c>
      <c r="R7740" t="s">
        <v>2632</v>
      </c>
      <c r="S7740">
        <v>38</v>
      </c>
      <c r="T7740" s="43" t="str">
        <f>HYPERLINK("https://ictv.global/ictv/proposals/2022.003F.Botourmiaviridae_15nsp.zip","2022.003F.Botourmiaviridae_15nsp.zip")</f>
        <v>2022.003F.Botourmiaviridae_15nsp.zip</v>
      </c>
      <c r="U7740" s="43" t="str">
        <f>HYPERLINK("https://ictv.global/taxonomy/taxondetails?taxnode_id=202215005","ictv.global=202215005")</f>
        <v>ictv.global=202215005</v>
      </c>
    </row>
    <row r="7741" spans="1:21">
      <c r="A7741">
        <v>7740</v>
      </c>
      <c r="B7741" s="29" t="s">
        <v>3223</v>
      </c>
      <c r="C7741" s="29"/>
      <c r="D7741" s="29" t="s">
        <v>4156</v>
      </c>
      <c r="E7741" s="29"/>
      <c r="F7741" s="29" t="s">
        <v>4202</v>
      </c>
      <c r="G7741" s="29"/>
      <c r="H7741" s="29" t="s">
        <v>4208</v>
      </c>
      <c r="I7741" s="29"/>
      <c r="J7741" s="29" t="s">
        <v>4209</v>
      </c>
      <c r="K7741" s="29"/>
      <c r="L7741" s="29" t="s">
        <v>3314</v>
      </c>
      <c r="M7741" s="29"/>
      <c r="N7741" s="29" t="s">
        <v>3315</v>
      </c>
      <c r="O7741" s="29"/>
      <c r="P7741" s="29" t="s">
        <v>12684</v>
      </c>
      <c r="Q7741" t="s">
        <v>2040</v>
      </c>
      <c r="R7741" t="s">
        <v>2632</v>
      </c>
      <c r="S7741">
        <v>38</v>
      </c>
      <c r="T7741" s="43" t="str">
        <f>HYPERLINK("https://ictv.global/ictv/proposals/2022.003F.Botourmiaviridae_15nsp.zip","2022.003F.Botourmiaviridae_15nsp.zip")</f>
        <v>2022.003F.Botourmiaviridae_15nsp.zip</v>
      </c>
      <c r="U7741" s="43" t="str">
        <f>HYPERLINK("https://ictv.global/taxonomy/taxondetails?taxnode_id=202215006","ictv.global=202215006")</f>
        <v>ictv.global=202215006</v>
      </c>
    </row>
    <row r="7742" spans="1:21">
      <c r="A7742">
        <v>7741</v>
      </c>
      <c r="B7742" s="29" t="s">
        <v>3223</v>
      </c>
      <c r="C7742" s="29"/>
      <c r="D7742" s="29" t="s">
        <v>4156</v>
      </c>
      <c r="E7742" s="29"/>
      <c r="F7742" s="29" t="s">
        <v>4202</v>
      </c>
      <c r="G7742" s="29"/>
      <c r="H7742" s="29" t="s">
        <v>4208</v>
      </c>
      <c r="I7742" s="29"/>
      <c r="J7742" s="29" t="s">
        <v>4209</v>
      </c>
      <c r="K7742" s="29"/>
      <c r="L7742" s="29" t="s">
        <v>3314</v>
      </c>
      <c r="M7742" s="29"/>
      <c r="N7742" s="29" t="s">
        <v>3315</v>
      </c>
      <c r="O7742" s="29"/>
      <c r="P7742" s="29" t="s">
        <v>12685</v>
      </c>
      <c r="Q7742" t="s">
        <v>2040</v>
      </c>
      <c r="R7742" t="s">
        <v>2632</v>
      </c>
      <c r="S7742">
        <v>37</v>
      </c>
      <c r="T7742" s="43" t="str">
        <f>HYPERLINK("https://ictv.global/ictv/proposals/2021.009F.R.Botourmiaviridae_6newgen_109newsp.zip","2021.009F.R.Botourmiaviridae_6newgen_109newsp.zip")</f>
        <v>2021.009F.R.Botourmiaviridae_6newgen_109newsp.zip</v>
      </c>
      <c r="U7742" s="43" t="str">
        <f>HYPERLINK("https://ictv.global/taxonomy/taxondetails?taxnode_id=202212547","ictv.global=202212547")</f>
        <v>ictv.global=202212547</v>
      </c>
    </row>
    <row r="7743" spans="1:21">
      <c r="A7743">
        <v>7742</v>
      </c>
      <c r="B7743" s="29" t="s">
        <v>3223</v>
      </c>
      <c r="C7743" s="29"/>
      <c r="D7743" s="29" t="s">
        <v>4156</v>
      </c>
      <c r="E7743" s="29"/>
      <c r="F7743" s="29" t="s">
        <v>4202</v>
      </c>
      <c r="G7743" s="29"/>
      <c r="H7743" s="29" t="s">
        <v>4208</v>
      </c>
      <c r="I7743" s="29"/>
      <c r="J7743" s="29" t="s">
        <v>4209</v>
      </c>
      <c r="K7743" s="29"/>
      <c r="L7743" s="29" t="s">
        <v>3314</v>
      </c>
      <c r="M7743" s="29"/>
      <c r="N7743" s="29" t="s">
        <v>3315</v>
      </c>
      <c r="O7743" s="29"/>
      <c r="P7743" s="29" t="s">
        <v>12686</v>
      </c>
      <c r="Q7743" t="s">
        <v>2040</v>
      </c>
      <c r="R7743" t="s">
        <v>2632</v>
      </c>
      <c r="S7743">
        <v>37</v>
      </c>
      <c r="T7743" s="43" t="str">
        <f>HYPERLINK("https://ictv.global/ictv/proposals/2021.009F.R.Botourmiaviridae_6newgen_109newsp.zip","2021.009F.R.Botourmiaviridae_6newgen_109newsp.zip")</f>
        <v>2021.009F.R.Botourmiaviridae_6newgen_109newsp.zip</v>
      </c>
      <c r="U7743" s="43" t="str">
        <f>HYPERLINK("https://ictv.global/taxonomy/taxondetails?taxnode_id=202212545","ictv.global=202212545")</f>
        <v>ictv.global=202212545</v>
      </c>
    </row>
    <row r="7744" spans="1:21">
      <c r="A7744">
        <v>7743</v>
      </c>
      <c r="B7744" s="29" t="s">
        <v>3223</v>
      </c>
      <c r="C7744" s="29"/>
      <c r="D7744" s="29" t="s">
        <v>4156</v>
      </c>
      <c r="E7744" s="29"/>
      <c r="F7744" s="29" t="s">
        <v>4202</v>
      </c>
      <c r="G7744" s="29"/>
      <c r="H7744" s="29" t="s">
        <v>4208</v>
      </c>
      <c r="I7744" s="29"/>
      <c r="J7744" s="29" t="s">
        <v>4209</v>
      </c>
      <c r="K7744" s="29"/>
      <c r="L7744" s="29" t="s">
        <v>3314</v>
      </c>
      <c r="M7744" s="29"/>
      <c r="N7744" s="29" t="s">
        <v>3315</v>
      </c>
      <c r="O7744" s="29"/>
      <c r="P7744" s="29" t="s">
        <v>12687</v>
      </c>
      <c r="Q7744" t="s">
        <v>2040</v>
      </c>
      <c r="R7744" t="s">
        <v>2632</v>
      </c>
      <c r="S7744">
        <v>37</v>
      </c>
      <c r="T7744" s="43" t="str">
        <f>HYPERLINK("https://ictv.global/ictv/proposals/2021.009F.R.Botourmiaviridae_6newgen_109newsp.zip","2021.009F.R.Botourmiaviridae_6newgen_109newsp.zip")</f>
        <v>2021.009F.R.Botourmiaviridae_6newgen_109newsp.zip</v>
      </c>
      <c r="U7744" s="43" t="str">
        <f>HYPERLINK("https://ictv.global/taxonomy/taxondetails?taxnode_id=202212553","ictv.global=202212553")</f>
        <v>ictv.global=202212553</v>
      </c>
    </row>
    <row r="7745" spans="1:21">
      <c r="A7745">
        <v>7744</v>
      </c>
      <c r="B7745" s="29" t="s">
        <v>3223</v>
      </c>
      <c r="C7745" s="29"/>
      <c r="D7745" s="29" t="s">
        <v>4156</v>
      </c>
      <c r="E7745" s="29"/>
      <c r="F7745" s="29" t="s">
        <v>4202</v>
      </c>
      <c r="G7745" s="29"/>
      <c r="H7745" s="29" t="s">
        <v>4208</v>
      </c>
      <c r="I7745" s="29"/>
      <c r="J7745" s="29" t="s">
        <v>4209</v>
      </c>
      <c r="K7745" s="29"/>
      <c r="L7745" s="29" t="s">
        <v>3314</v>
      </c>
      <c r="M7745" s="29"/>
      <c r="N7745" s="29" t="s">
        <v>3315</v>
      </c>
      <c r="O7745" s="29"/>
      <c r="P7745" s="29" t="s">
        <v>3316</v>
      </c>
      <c r="Q7745" t="s">
        <v>2040</v>
      </c>
      <c r="R7745" t="s">
        <v>6901</v>
      </c>
      <c r="S7745">
        <v>36</v>
      </c>
      <c r="T7745" s="43" t="str">
        <f>HYPERLINK("https://ictv.global/ictv/proposals/2020.001G.R.Abolish_type_species.pdf","2020.001G.R.Abolish_type_species.pdf")</f>
        <v>2020.001G.R.Abolish_type_species.pdf</v>
      </c>
      <c r="U7745" s="43" t="str">
        <f>HYPERLINK("https://ictv.global/taxonomy/taxondetails?taxnode_id=202206575","ictv.global=202206575")</f>
        <v>ictv.global=202206575</v>
      </c>
    </row>
    <row r="7746" spans="1:21">
      <c r="A7746">
        <v>7745</v>
      </c>
      <c r="B7746" s="29" t="s">
        <v>3223</v>
      </c>
      <c r="C7746" s="29"/>
      <c r="D7746" s="29" t="s">
        <v>4156</v>
      </c>
      <c r="E7746" s="29"/>
      <c r="F7746" s="29" t="s">
        <v>4202</v>
      </c>
      <c r="G7746" s="29"/>
      <c r="H7746" s="29" t="s">
        <v>4208</v>
      </c>
      <c r="I7746" s="29"/>
      <c r="J7746" s="29" t="s">
        <v>4209</v>
      </c>
      <c r="K7746" s="29"/>
      <c r="L7746" s="29" t="s">
        <v>3314</v>
      </c>
      <c r="M7746" s="29"/>
      <c r="N7746" s="29" t="s">
        <v>3315</v>
      </c>
      <c r="O7746" s="29"/>
      <c r="P7746" s="29" t="s">
        <v>6523</v>
      </c>
      <c r="Q7746" t="s">
        <v>2040</v>
      </c>
      <c r="R7746" t="s">
        <v>2632</v>
      </c>
      <c r="S7746">
        <v>36</v>
      </c>
      <c r="T7746" s="43" t="str">
        <f>HYPERLINK("https://ictv.global/ictv/proposals/2020.001F.R.Botourmiaviridae.zip","2020.001F.R.Botourmiaviridae.zip")</f>
        <v>2020.001F.R.Botourmiaviridae.zip</v>
      </c>
      <c r="U7746" s="43" t="str">
        <f>HYPERLINK("https://ictv.global/taxonomy/taxondetails?taxnode_id=202208722","ictv.global=202208722")</f>
        <v>ictv.global=202208722</v>
      </c>
    </row>
    <row r="7747" spans="1:21">
      <c r="A7747">
        <v>7746</v>
      </c>
      <c r="B7747" s="29" t="s">
        <v>3223</v>
      </c>
      <c r="C7747" s="29"/>
      <c r="D7747" s="29" t="s">
        <v>4156</v>
      </c>
      <c r="E7747" s="29"/>
      <c r="F7747" s="29" t="s">
        <v>4202</v>
      </c>
      <c r="G7747" s="29"/>
      <c r="H7747" s="29" t="s">
        <v>4208</v>
      </c>
      <c r="I7747" s="29"/>
      <c r="J7747" s="29" t="s">
        <v>4209</v>
      </c>
      <c r="K7747" s="29"/>
      <c r="L7747" s="29" t="s">
        <v>3314</v>
      </c>
      <c r="M7747" s="29"/>
      <c r="N7747" s="29" t="s">
        <v>3315</v>
      </c>
      <c r="O7747" s="29"/>
      <c r="P7747" s="29" t="s">
        <v>3317</v>
      </c>
      <c r="Q7747" t="s">
        <v>2040</v>
      </c>
      <c r="R7747" t="s">
        <v>2634</v>
      </c>
      <c r="S7747">
        <v>35</v>
      </c>
      <c r="T7747" s="43" t="str">
        <f>HYPERLINK("https://ictv.global/ictv/proposals/2019.006G.zip","2019.006G.zip")</f>
        <v>2019.006G.zip</v>
      </c>
      <c r="U7747" s="43" t="str">
        <f>HYPERLINK("https://ictv.global/taxonomy/taxondetails?taxnode_id=202206576","ictv.global=202206576")</f>
        <v>ictv.global=202206576</v>
      </c>
    </row>
    <row r="7748" spans="1:21">
      <c r="A7748">
        <v>7747</v>
      </c>
      <c r="B7748" s="29" t="s">
        <v>3223</v>
      </c>
      <c r="C7748" s="29"/>
      <c r="D7748" s="29" t="s">
        <v>4156</v>
      </c>
      <c r="E7748" s="29"/>
      <c r="F7748" s="29" t="s">
        <v>4202</v>
      </c>
      <c r="G7748" s="29"/>
      <c r="H7748" s="29" t="s">
        <v>4208</v>
      </c>
      <c r="I7748" s="29"/>
      <c r="J7748" s="29" t="s">
        <v>4209</v>
      </c>
      <c r="K7748" s="29"/>
      <c r="L7748" s="29" t="s">
        <v>3314</v>
      </c>
      <c r="M7748" s="29"/>
      <c r="N7748" s="29" t="s">
        <v>3315</v>
      </c>
      <c r="O7748" s="29"/>
      <c r="P7748" s="29" t="s">
        <v>6524</v>
      </c>
      <c r="Q7748" t="s">
        <v>2040</v>
      </c>
      <c r="R7748" t="s">
        <v>2632</v>
      </c>
      <c r="S7748">
        <v>36</v>
      </c>
      <c r="T7748" s="43" t="str">
        <f>HYPERLINK("https://ictv.global/ictv/proposals/2020.001F.R.Botourmiaviridae.zip","2020.001F.R.Botourmiaviridae.zip")</f>
        <v>2020.001F.R.Botourmiaviridae.zip</v>
      </c>
      <c r="U7748" s="43" t="str">
        <f>HYPERLINK("https://ictv.global/taxonomy/taxondetails?taxnode_id=202208721","ictv.global=202208721")</f>
        <v>ictv.global=202208721</v>
      </c>
    </row>
    <row r="7749" spans="1:21">
      <c r="A7749">
        <v>7748</v>
      </c>
      <c r="B7749" s="29" t="s">
        <v>3223</v>
      </c>
      <c r="C7749" s="29"/>
      <c r="D7749" s="29" t="s">
        <v>4156</v>
      </c>
      <c r="E7749" s="29"/>
      <c r="F7749" s="29" t="s">
        <v>4202</v>
      </c>
      <c r="G7749" s="29"/>
      <c r="H7749" s="29" t="s">
        <v>4208</v>
      </c>
      <c r="I7749" s="29"/>
      <c r="J7749" s="29" t="s">
        <v>4209</v>
      </c>
      <c r="K7749" s="29"/>
      <c r="L7749" s="29" t="s">
        <v>3314</v>
      </c>
      <c r="M7749" s="29"/>
      <c r="N7749" s="29" t="s">
        <v>12688</v>
      </c>
      <c r="O7749" s="29"/>
      <c r="P7749" s="29" t="s">
        <v>12689</v>
      </c>
      <c r="Q7749" t="s">
        <v>2040</v>
      </c>
      <c r="R7749" t="s">
        <v>2632</v>
      </c>
      <c r="S7749">
        <v>37</v>
      </c>
      <c r="T7749" s="43" t="str">
        <f>HYPERLINK("https://ictv.global/ictv/proposals/2021.009F.R.Botourmiaviridae_6newgen_109newsp.zip","2021.009F.R.Botourmiaviridae_6newgen_109newsp.zip")</f>
        <v>2021.009F.R.Botourmiaviridae_6newgen_109newsp.zip</v>
      </c>
      <c r="U7749" s="43" t="str">
        <f>HYPERLINK("https://ictv.global/taxonomy/taxondetails?taxnode_id=202212574","ictv.global=202212574")</f>
        <v>ictv.global=202212574</v>
      </c>
    </row>
    <row r="7750" spans="1:21">
      <c r="A7750">
        <v>7749</v>
      </c>
      <c r="B7750" s="29" t="s">
        <v>3223</v>
      </c>
      <c r="C7750" s="29"/>
      <c r="D7750" s="29" t="s">
        <v>4156</v>
      </c>
      <c r="E7750" s="29"/>
      <c r="F7750" s="29" t="s">
        <v>4202</v>
      </c>
      <c r="G7750" s="29"/>
      <c r="H7750" s="29" t="s">
        <v>4208</v>
      </c>
      <c r="I7750" s="29"/>
      <c r="J7750" s="29" t="s">
        <v>4209</v>
      </c>
      <c r="K7750" s="29"/>
      <c r="L7750" s="29" t="s">
        <v>3314</v>
      </c>
      <c r="M7750" s="29"/>
      <c r="N7750" s="29" t="s">
        <v>12688</v>
      </c>
      <c r="O7750" s="29"/>
      <c r="P7750" s="29" t="s">
        <v>12690</v>
      </c>
      <c r="Q7750" t="s">
        <v>2040</v>
      </c>
      <c r="R7750" t="s">
        <v>2632</v>
      </c>
      <c r="S7750">
        <v>37</v>
      </c>
      <c r="T7750" s="43" t="str">
        <f>HYPERLINK("https://ictv.global/ictv/proposals/2021.009F.R.Botourmiaviridae_6newgen_109newsp.zip","2021.009F.R.Botourmiaviridae_6newgen_109newsp.zip")</f>
        <v>2021.009F.R.Botourmiaviridae_6newgen_109newsp.zip</v>
      </c>
      <c r="U7750" s="43" t="str">
        <f>HYPERLINK("https://ictv.global/taxonomy/taxondetails?taxnode_id=202212575","ictv.global=202212575")</f>
        <v>ictv.global=202212575</v>
      </c>
    </row>
    <row r="7751" spans="1:21">
      <c r="A7751">
        <v>7750</v>
      </c>
      <c r="B7751" s="29" t="s">
        <v>3223</v>
      </c>
      <c r="C7751" s="29"/>
      <c r="D7751" s="29" t="s">
        <v>4156</v>
      </c>
      <c r="E7751" s="29"/>
      <c r="F7751" s="29" t="s">
        <v>4202</v>
      </c>
      <c r="G7751" s="29"/>
      <c r="H7751" s="29" t="s">
        <v>4208</v>
      </c>
      <c r="I7751" s="29"/>
      <c r="J7751" s="29" t="s">
        <v>4209</v>
      </c>
      <c r="K7751" s="29"/>
      <c r="L7751" s="29" t="s">
        <v>3314</v>
      </c>
      <c r="M7751" s="29"/>
      <c r="N7751" s="29" t="s">
        <v>12688</v>
      </c>
      <c r="O7751" s="29"/>
      <c r="P7751" s="29" t="s">
        <v>12691</v>
      </c>
      <c r="Q7751" t="s">
        <v>2040</v>
      </c>
      <c r="R7751" t="s">
        <v>2632</v>
      </c>
      <c r="S7751">
        <v>37</v>
      </c>
      <c r="T7751" s="43" t="str">
        <f>HYPERLINK("https://ictv.global/ictv/proposals/2021.009F.R.Botourmiaviridae_6newgen_109newsp.zip","2021.009F.R.Botourmiaviridae_6newgen_109newsp.zip")</f>
        <v>2021.009F.R.Botourmiaviridae_6newgen_109newsp.zip</v>
      </c>
      <c r="U7751" s="43" t="str">
        <f>HYPERLINK("https://ictv.global/taxonomy/taxondetails?taxnode_id=202212573","ictv.global=202212573")</f>
        <v>ictv.global=202212573</v>
      </c>
    </row>
    <row r="7752" spans="1:21">
      <c r="A7752">
        <v>7751</v>
      </c>
      <c r="B7752" s="29" t="s">
        <v>3223</v>
      </c>
      <c r="C7752" s="29"/>
      <c r="D7752" s="29" t="s">
        <v>4156</v>
      </c>
      <c r="E7752" s="29"/>
      <c r="F7752" s="29" t="s">
        <v>4202</v>
      </c>
      <c r="G7752" s="29"/>
      <c r="H7752" s="29" t="s">
        <v>4208</v>
      </c>
      <c r="I7752" s="29"/>
      <c r="J7752" s="29" t="s">
        <v>4209</v>
      </c>
      <c r="K7752" s="29"/>
      <c r="L7752" s="29" t="s">
        <v>3314</v>
      </c>
      <c r="M7752" s="29"/>
      <c r="N7752" s="29" t="s">
        <v>12692</v>
      </c>
      <c r="O7752" s="29"/>
      <c r="P7752" s="29" t="s">
        <v>12693</v>
      </c>
      <c r="Q7752" t="s">
        <v>2040</v>
      </c>
      <c r="R7752" t="s">
        <v>2632</v>
      </c>
      <c r="S7752">
        <v>38</v>
      </c>
      <c r="T7752" s="43" t="str">
        <f>HYPERLINK("https://ictv.global/ictv/proposals/2022.003F.Botourmiaviridae_15nsp.zip","2022.003F.Botourmiaviridae_15nsp.zip")</f>
        <v>2022.003F.Botourmiaviridae_15nsp.zip</v>
      </c>
      <c r="U7752" s="43" t="str">
        <f>HYPERLINK("https://ictv.global/taxonomy/taxondetails?taxnode_id=202215016","ictv.global=202215016")</f>
        <v>ictv.global=202215016</v>
      </c>
    </row>
    <row r="7753" spans="1:21">
      <c r="A7753">
        <v>7752</v>
      </c>
      <c r="B7753" s="29" t="s">
        <v>3223</v>
      </c>
      <c r="C7753" s="29"/>
      <c r="D7753" s="29" t="s">
        <v>4156</v>
      </c>
      <c r="E7753" s="29"/>
      <c r="F7753" s="29" t="s">
        <v>4202</v>
      </c>
      <c r="G7753" s="29"/>
      <c r="H7753" s="29" t="s">
        <v>4208</v>
      </c>
      <c r="I7753" s="29"/>
      <c r="J7753" s="29" t="s">
        <v>4209</v>
      </c>
      <c r="K7753" s="29"/>
      <c r="L7753" s="29" t="s">
        <v>3314</v>
      </c>
      <c r="M7753" s="29"/>
      <c r="N7753" s="29" t="s">
        <v>12692</v>
      </c>
      <c r="O7753" s="29"/>
      <c r="P7753" s="29" t="s">
        <v>12694</v>
      </c>
      <c r="Q7753" t="s">
        <v>2040</v>
      </c>
      <c r="R7753" t="s">
        <v>2632</v>
      </c>
      <c r="S7753">
        <v>37</v>
      </c>
      <c r="T7753" s="43" t="str">
        <f>HYPERLINK("https://ictv.global/ictv/proposals/2021.009F.R.Botourmiaviridae_6newgen_109newsp.zip","2021.009F.R.Botourmiaviridae_6newgen_109newsp.zip")</f>
        <v>2021.009F.R.Botourmiaviridae_6newgen_109newsp.zip</v>
      </c>
      <c r="U7753" s="43" t="str">
        <f>HYPERLINK("https://ictv.global/taxonomy/taxondetails?taxnode_id=202212577","ictv.global=202212577")</f>
        <v>ictv.global=202212577</v>
      </c>
    </row>
    <row r="7754" spans="1:21">
      <c r="A7754">
        <v>7753</v>
      </c>
      <c r="B7754" s="29" t="s">
        <v>3223</v>
      </c>
      <c r="C7754" s="29"/>
      <c r="D7754" s="29" t="s">
        <v>4156</v>
      </c>
      <c r="E7754" s="29"/>
      <c r="F7754" s="29" t="s">
        <v>4202</v>
      </c>
      <c r="G7754" s="29"/>
      <c r="H7754" s="29" t="s">
        <v>4208</v>
      </c>
      <c r="I7754" s="29"/>
      <c r="J7754" s="29" t="s">
        <v>4209</v>
      </c>
      <c r="K7754" s="29"/>
      <c r="L7754" s="29" t="s">
        <v>3314</v>
      </c>
      <c r="M7754" s="29"/>
      <c r="N7754" s="29" t="s">
        <v>12695</v>
      </c>
      <c r="O7754" s="29"/>
      <c r="P7754" s="29" t="s">
        <v>12696</v>
      </c>
      <c r="Q7754" t="s">
        <v>2040</v>
      </c>
      <c r="R7754" t="s">
        <v>2632</v>
      </c>
      <c r="S7754">
        <v>38</v>
      </c>
      <c r="T7754" s="43" t="str">
        <f>HYPERLINK("https://ictv.global/ictv/proposals/2022.003F.Botourmiaviridae_15nsp.zip","2022.003F.Botourmiaviridae_15nsp.zip")</f>
        <v>2022.003F.Botourmiaviridae_15nsp.zip</v>
      </c>
      <c r="U7754" s="43" t="str">
        <f>HYPERLINK("https://ictv.global/taxonomy/taxondetails?taxnode_id=202215015","ictv.global=202215015")</f>
        <v>ictv.global=202215015</v>
      </c>
    </row>
    <row r="7755" spans="1:21">
      <c r="A7755">
        <v>7754</v>
      </c>
      <c r="B7755" s="29" t="s">
        <v>3223</v>
      </c>
      <c r="C7755" s="29"/>
      <c r="D7755" s="29" t="s">
        <v>4156</v>
      </c>
      <c r="E7755" s="29"/>
      <c r="F7755" s="29" t="s">
        <v>4202</v>
      </c>
      <c r="G7755" s="29"/>
      <c r="H7755" s="29" t="s">
        <v>4208</v>
      </c>
      <c r="I7755" s="29"/>
      <c r="J7755" s="29" t="s">
        <v>4209</v>
      </c>
      <c r="K7755" s="29"/>
      <c r="L7755" s="29" t="s">
        <v>3314</v>
      </c>
      <c r="M7755" s="29"/>
      <c r="N7755" s="29" t="s">
        <v>12695</v>
      </c>
      <c r="O7755" s="29"/>
      <c r="P7755" s="29" t="s">
        <v>12697</v>
      </c>
      <c r="Q7755" t="s">
        <v>2040</v>
      </c>
      <c r="R7755" t="s">
        <v>2632</v>
      </c>
      <c r="S7755">
        <v>37</v>
      </c>
      <c r="T7755" s="43" t="str">
        <f>HYPERLINK("https://ictv.global/ictv/proposals/2021.009F.R.Botourmiaviridae_6newgen_109newsp.zip","2021.009F.R.Botourmiaviridae_6newgen_109newsp.zip")</f>
        <v>2021.009F.R.Botourmiaviridae_6newgen_109newsp.zip</v>
      </c>
      <c r="U7755" s="43" t="str">
        <f>HYPERLINK("https://ictv.global/taxonomy/taxondetails?taxnode_id=202212570","ictv.global=202212570")</f>
        <v>ictv.global=202212570</v>
      </c>
    </row>
    <row r="7756" spans="1:21">
      <c r="A7756">
        <v>7755</v>
      </c>
      <c r="B7756" s="29" t="s">
        <v>3223</v>
      </c>
      <c r="C7756" s="29"/>
      <c r="D7756" s="29" t="s">
        <v>4156</v>
      </c>
      <c r="E7756" s="29"/>
      <c r="F7756" s="29" t="s">
        <v>4202</v>
      </c>
      <c r="G7756" s="29"/>
      <c r="H7756" s="29" t="s">
        <v>4208</v>
      </c>
      <c r="I7756" s="29"/>
      <c r="J7756" s="29" t="s">
        <v>4209</v>
      </c>
      <c r="K7756" s="29"/>
      <c r="L7756" s="29" t="s">
        <v>3314</v>
      </c>
      <c r="M7756" s="29"/>
      <c r="N7756" s="29" t="s">
        <v>12695</v>
      </c>
      <c r="O7756" s="29"/>
      <c r="P7756" s="29" t="s">
        <v>12698</v>
      </c>
      <c r="Q7756" t="s">
        <v>2040</v>
      </c>
      <c r="R7756" t="s">
        <v>2632</v>
      </c>
      <c r="S7756">
        <v>37</v>
      </c>
      <c r="T7756" s="43" t="str">
        <f>HYPERLINK("https://ictv.global/ictv/proposals/2021.009F.R.Botourmiaviridae_6newgen_109newsp.zip","2021.009F.R.Botourmiaviridae_6newgen_109newsp.zip")</f>
        <v>2021.009F.R.Botourmiaviridae_6newgen_109newsp.zip</v>
      </c>
      <c r="U7756" s="43" t="str">
        <f>HYPERLINK("https://ictv.global/taxonomy/taxondetails?taxnode_id=202212571","ictv.global=202212571")</f>
        <v>ictv.global=202212571</v>
      </c>
    </row>
    <row r="7757" spans="1:21">
      <c r="A7757">
        <v>7756</v>
      </c>
      <c r="B7757" s="29" t="s">
        <v>3223</v>
      </c>
      <c r="C7757" s="29"/>
      <c r="D7757" s="29" t="s">
        <v>4156</v>
      </c>
      <c r="E7757" s="29"/>
      <c r="F7757" s="29" t="s">
        <v>4202</v>
      </c>
      <c r="G7757" s="29"/>
      <c r="H7757" s="29" t="s">
        <v>4208</v>
      </c>
      <c r="I7757" s="29"/>
      <c r="J7757" s="29" t="s">
        <v>4209</v>
      </c>
      <c r="K7757" s="29"/>
      <c r="L7757" s="29" t="s">
        <v>3314</v>
      </c>
      <c r="M7757" s="29"/>
      <c r="N7757" s="29" t="s">
        <v>3318</v>
      </c>
      <c r="O7757" s="29"/>
      <c r="P7757" s="29" t="s">
        <v>6525</v>
      </c>
      <c r="Q7757" t="s">
        <v>2040</v>
      </c>
      <c r="R7757" t="s">
        <v>2632</v>
      </c>
      <c r="S7757">
        <v>36</v>
      </c>
      <c r="T7757" s="43" t="str">
        <f>HYPERLINK("https://ictv.global/ictv/proposals/2020.001F.R.Botourmiaviridae.zip","2020.001F.R.Botourmiaviridae.zip")</f>
        <v>2020.001F.R.Botourmiaviridae.zip</v>
      </c>
      <c r="U7757" s="43" t="str">
        <f>HYPERLINK("https://ictv.global/taxonomy/taxondetails?taxnode_id=202208726","ictv.global=202208726")</f>
        <v>ictv.global=202208726</v>
      </c>
    </row>
    <row r="7758" spans="1:21">
      <c r="A7758">
        <v>7757</v>
      </c>
      <c r="B7758" s="29" t="s">
        <v>3223</v>
      </c>
      <c r="C7758" s="29"/>
      <c r="D7758" s="29" t="s">
        <v>4156</v>
      </c>
      <c r="E7758" s="29"/>
      <c r="F7758" s="29" t="s">
        <v>4202</v>
      </c>
      <c r="G7758" s="29"/>
      <c r="H7758" s="29" t="s">
        <v>4208</v>
      </c>
      <c r="I7758" s="29"/>
      <c r="J7758" s="29" t="s">
        <v>4209</v>
      </c>
      <c r="K7758" s="29"/>
      <c r="L7758" s="29" t="s">
        <v>3314</v>
      </c>
      <c r="M7758" s="29"/>
      <c r="N7758" s="29" t="s">
        <v>3318</v>
      </c>
      <c r="O7758" s="29"/>
      <c r="P7758" s="29" t="s">
        <v>6526</v>
      </c>
      <c r="Q7758" t="s">
        <v>2040</v>
      </c>
      <c r="R7758" t="s">
        <v>2632</v>
      </c>
      <c r="S7758">
        <v>36</v>
      </c>
      <c r="T7758" s="43" t="str">
        <f>HYPERLINK("https://ictv.global/ictv/proposals/2020.001F.R.Botourmiaviridae.zip","2020.001F.R.Botourmiaviridae.zip")</f>
        <v>2020.001F.R.Botourmiaviridae.zip</v>
      </c>
      <c r="U7758" s="43" t="str">
        <f>HYPERLINK("https://ictv.global/taxonomy/taxondetails?taxnode_id=202208728","ictv.global=202208728")</f>
        <v>ictv.global=202208728</v>
      </c>
    </row>
    <row r="7759" spans="1:21">
      <c r="A7759">
        <v>7758</v>
      </c>
      <c r="B7759" s="29" t="s">
        <v>3223</v>
      </c>
      <c r="C7759" s="29"/>
      <c r="D7759" s="29" t="s">
        <v>4156</v>
      </c>
      <c r="E7759" s="29"/>
      <c r="F7759" s="29" t="s">
        <v>4202</v>
      </c>
      <c r="G7759" s="29"/>
      <c r="H7759" s="29" t="s">
        <v>4208</v>
      </c>
      <c r="I7759" s="29"/>
      <c r="J7759" s="29" t="s">
        <v>4209</v>
      </c>
      <c r="K7759" s="29"/>
      <c r="L7759" s="29" t="s">
        <v>3314</v>
      </c>
      <c r="M7759" s="29"/>
      <c r="N7759" s="29" t="s">
        <v>3318</v>
      </c>
      <c r="O7759" s="29"/>
      <c r="P7759" s="29" t="s">
        <v>6527</v>
      </c>
      <c r="Q7759" t="s">
        <v>2040</v>
      </c>
      <c r="R7759" t="s">
        <v>2632</v>
      </c>
      <c r="S7759">
        <v>36</v>
      </c>
      <c r="T7759" s="43" t="str">
        <f>HYPERLINK("https://ictv.global/ictv/proposals/2020.001F.R.Botourmiaviridae.zip","2020.001F.R.Botourmiaviridae.zip")</f>
        <v>2020.001F.R.Botourmiaviridae.zip</v>
      </c>
      <c r="U7759" s="43" t="str">
        <f>HYPERLINK("https://ictv.global/taxonomy/taxondetails?taxnode_id=202208729","ictv.global=202208729")</f>
        <v>ictv.global=202208729</v>
      </c>
    </row>
    <row r="7760" spans="1:21">
      <c r="A7760">
        <v>7759</v>
      </c>
      <c r="B7760" s="29" t="s">
        <v>3223</v>
      </c>
      <c r="C7760" s="29"/>
      <c r="D7760" s="29" t="s">
        <v>4156</v>
      </c>
      <c r="E7760" s="29"/>
      <c r="F7760" s="29" t="s">
        <v>4202</v>
      </c>
      <c r="G7760" s="29"/>
      <c r="H7760" s="29" t="s">
        <v>4208</v>
      </c>
      <c r="I7760" s="29"/>
      <c r="J7760" s="29" t="s">
        <v>4209</v>
      </c>
      <c r="K7760" s="29"/>
      <c r="L7760" s="29" t="s">
        <v>3314</v>
      </c>
      <c r="M7760" s="29"/>
      <c r="N7760" s="29" t="s">
        <v>3318</v>
      </c>
      <c r="O7760" s="29"/>
      <c r="P7760" s="29" t="s">
        <v>6528</v>
      </c>
      <c r="Q7760" t="s">
        <v>2040</v>
      </c>
      <c r="R7760" t="s">
        <v>2632</v>
      </c>
      <c r="S7760">
        <v>36</v>
      </c>
      <c r="T7760" s="43" t="str">
        <f>HYPERLINK("https://ictv.global/ictv/proposals/2020.001F.R.Botourmiaviridae.zip","2020.001F.R.Botourmiaviridae.zip")</f>
        <v>2020.001F.R.Botourmiaviridae.zip</v>
      </c>
      <c r="U7760" s="43" t="str">
        <f>HYPERLINK("https://ictv.global/taxonomy/taxondetails?taxnode_id=202208727","ictv.global=202208727")</f>
        <v>ictv.global=202208727</v>
      </c>
    </row>
    <row r="7761" spans="1:21">
      <c r="A7761">
        <v>7760</v>
      </c>
      <c r="B7761" s="29" t="s">
        <v>3223</v>
      </c>
      <c r="C7761" s="29"/>
      <c r="D7761" s="29" t="s">
        <v>4156</v>
      </c>
      <c r="E7761" s="29"/>
      <c r="F7761" s="29" t="s">
        <v>4202</v>
      </c>
      <c r="G7761" s="29"/>
      <c r="H7761" s="29" t="s">
        <v>4208</v>
      </c>
      <c r="I7761" s="29"/>
      <c r="J7761" s="29" t="s">
        <v>4209</v>
      </c>
      <c r="K7761" s="29"/>
      <c r="L7761" s="29" t="s">
        <v>3314</v>
      </c>
      <c r="M7761" s="29"/>
      <c r="N7761" s="29" t="s">
        <v>3318</v>
      </c>
      <c r="O7761" s="29"/>
      <c r="P7761" s="29" t="s">
        <v>3319</v>
      </c>
      <c r="Q7761" t="s">
        <v>2040</v>
      </c>
      <c r="R7761" t="s">
        <v>6901</v>
      </c>
      <c r="S7761">
        <v>36</v>
      </c>
      <c r="T7761" s="43" t="str">
        <f>HYPERLINK("https://ictv.global/ictv/proposals/2020.001G.R.Abolish_type_species.pdf","2020.001G.R.Abolish_type_species.pdf")</f>
        <v>2020.001G.R.Abolish_type_species.pdf</v>
      </c>
      <c r="U7761" s="43" t="str">
        <f>HYPERLINK("https://ictv.global/taxonomy/taxondetails?taxnode_id=202206578","ictv.global=202206578")</f>
        <v>ictv.global=202206578</v>
      </c>
    </row>
    <row r="7762" spans="1:21">
      <c r="A7762">
        <v>7761</v>
      </c>
      <c r="B7762" s="29" t="s">
        <v>3223</v>
      </c>
      <c r="C7762" s="29"/>
      <c r="D7762" s="29" t="s">
        <v>4156</v>
      </c>
      <c r="E7762" s="29"/>
      <c r="F7762" s="29" t="s">
        <v>4202</v>
      </c>
      <c r="G7762" s="29"/>
      <c r="H7762" s="29" t="s">
        <v>4208</v>
      </c>
      <c r="I7762" s="29"/>
      <c r="J7762" s="29" t="s">
        <v>4209</v>
      </c>
      <c r="K7762" s="29"/>
      <c r="L7762" s="29" t="s">
        <v>3314</v>
      </c>
      <c r="M7762" s="29"/>
      <c r="N7762" s="29" t="s">
        <v>3318</v>
      </c>
      <c r="O7762" s="29"/>
      <c r="P7762" s="29" t="s">
        <v>12699</v>
      </c>
      <c r="Q7762" t="s">
        <v>2040</v>
      </c>
      <c r="R7762" t="s">
        <v>2632</v>
      </c>
      <c r="S7762">
        <v>37</v>
      </c>
      <c r="T7762" s="43" t="str">
        <f>HYPERLINK("https://ictv.global/ictv/proposals/2021.009F.R.Botourmiaviridae_6newgen_109newsp.zip","2021.009F.R.Botourmiaviridae_6newgen_109newsp.zip")</f>
        <v>2021.009F.R.Botourmiaviridae_6newgen_109newsp.zip</v>
      </c>
      <c r="U7762" s="43" t="str">
        <f>HYPERLINK("https://ictv.global/taxonomy/taxondetails?taxnode_id=202212597","ictv.global=202212597")</f>
        <v>ictv.global=202212597</v>
      </c>
    </row>
    <row r="7763" spans="1:21">
      <c r="A7763">
        <v>7762</v>
      </c>
      <c r="B7763" s="29" t="s">
        <v>3223</v>
      </c>
      <c r="C7763" s="29"/>
      <c r="D7763" s="29" t="s">
        <v>4156</v>
      </c>
      <c r="E7763" s="29"/>
      <c r="F7763" s="29" t="s">
        <v>4202</v>
      </c>
      <c r="G7763" s="29"/>
      <c r="H7763" s="29" t="s">
        <v>4208</v>
      </c>
      <c r="I7763" s="29"/>
      <c r="J7763" s="29" t="s">
        <v>4209</v>
      </c>
      <c r="K7763" s="29"/>
      <c r="L7763" s="29" t="s">
        <v>3314</v>
      </c>
      <c r="M7763" s="29"/>
      <c r="N7763" s="29" t="s">
        <v>3318</v>
      </c>
      <c r="O7763" s="29"/>
      <c r="P7763" s="29" t="s">
        <v>12700</v>
      </c>
      <c r="Q7763" t="s">
        <v>2040</v>
      </c>
      <c r="R7763" t="s">
        <v>2632</v>
      </c>
      <c r="S7763">
        <v>38</v>
      </c>
      <c r="T7763" s="43" t="str">
        <f>HYPERLINK("https://ictv.global/ictv/proposals/2022.003F.Botourmiaviridae_15nsp.zip","2022.003F.Botourmiaviridae_15nsp.zip")</f>
        <v>2022.003F.Botourmiaviridae_15nsp.zip</v>
      </c>
      <c r="U7763" s="43" t="str">
        <f>HYPERLINK("https://ictv.global/taxonomy/taxondetails?taxnode_id=202215011","ictv.global=202215011")</f>
        <v>ictv.global=202215011</v>
      </c>
    </row>
    <row r="7764" spans="1:21">
      <c r="A7764">
        <v>7763</v>
      </c>
      <c r="B7764" s="29" t="s">
        <v>3223</v>
      </c>
      <c r="C7764" s="29"/>
      <c r="D7764" s="29" t="s">
        <v>4156</v>
      </c>
      <c r="E7764" s="29"/>
      <c r="F7764" s="29" t="s">
        <v>4202</v>
      </c>
      <c r="G7764" s="29"/>
      <c r="H7764" s="29" t="s">
        <v>4208</v>
      </c>
      <c r="I7764" s="29"/>
      <c r="J7764" s="29" t="s">
        <v>4209</v>
      </c>
      <c r="K7764" s="29"/>
      <c r="L7764" s="29" t="s">
        <v>3314</v>
      </c>
      <c r="M7764" s="29"/>
      <c r="N7764" s="29" t="s">
        <v>3318</v>
      </c>
      <c r="O7764" s="29"/>
      <c r="P7764" s="29" t="s">
        <v>12701</v>
      </c>
      <c r="Q7764" t="s">
        <v>2040</v>
      </c>
      <c r="R7764" t="s">
        <v>2632</v>
      </c>
      <c r="S7764">
        <v>37</v>
      </c>
      <c r="T7764" s="43" t="str">
        <f>HYPERLINK("https://ictv.global/ictv/proposals/2021.009F.R.Botourmiaviridae_6newgen_109newsp.zip","2021.009F.R.Botourmiaviridae_6newgen_109newsp.zip")</f>
        <v>2021.009F.R.Botourmiaviridae_6newgen_109newsp.zip</v>
      </c>
      <c r="U7764" s="43" t="str">
        <f>HYPERLINK("https://ictv.global/taxonomy/taxondetails?taxnode_id=202212599","ictv.global=202212599")</f>
        <v>ictv.global=202212599</v>
      </c>
    </row>
    <row r="7765" spans="1:21">
      <c r="A7765">
        <v>7764</v>
      </c>
      <c r="B7765" s="29" t="s">
        <v>3223</v>
      </c>
      <c r="C7765" s="29"/>
      <c r="D7765" s="29" t="s">
        <v>4156</v>
      </c>
      <c r="E7765" s="29"/>
      <c r="F7765" s="29" t="s">
        <v>4202</v>
      </c>
      <c r="G7765" s="29"/>
      <c r="H7765" s="29" t="s">
        <v>4208</v>
      </c>
      <c r="I7765" s="29"/>
      <c r="J7765" s="29" t="s">
        <v>4209</v>
      </c>
      <c r="K7765" s="29"/>
      <c r="L7765" s="29" t="s">
        <v>3314</v>
      </c>
      <c r="M7765" s="29"/>
      <c r="N7765" s="29" t="s">
        <v>3318</v>
      </c>
      <c r="O7765" s="29"/>
      <c r="P7765" s="29" t="s">
        <v>12702</v>
      </c>
      <c r="Q7765" t="s">
        <v>2040</v>
      </c>
      <c r="R7765" t="s">
        <v>2632</v>
      </c>
      <c r="S7765">
        <v>38</v>
      </c>
      <c r="T7765" s="43" t="str">
        <f>HYPERLINK("https://ictv.global/ictv/proposals/2022.003F.Botourmiaviridae_15nsp.zip","2022.003F.Botourmiaviridae_15nsp.zip")</f>
        <v>2022.003F.Botourmiaviridae_15nsp.zip</v>
      </c>
      <c r="U7765" s="43" t="str">
        <f>HYPERLINK("https://ictv.global/taxonomy/taxondetails?taxnode_id=202215010","ictv.global=202215010")</f>
        <v>ictv.global=202215010</v>
      </c>
    </row>
    <row r="7766" spans="1:21">
      <c r="A7766">
        <v>7765</v>
      </c>
      <c r="B7766" s="29" t="s">
        <v>3223</v>
      </c>
      <c r="C7766" s="29"/>
      <c r="D7766" s="29" t="s">
        <v>4156</v>
      </c>
      <c r="E7766" s="29"/>
      <c r="F7766" s="29" t="s">
        <v>4202</v>
      </c>
      <c r="G7766" s="29"/>
      <c r="H7766" s="29" t="s">
        <v>4208</v>
      </c>
      <c r="I7766" s="29"/>
      <c r="J7766" s="29" t="s">
        <v>4209</v>
      </c>
      <c r="K7766" s="29"/>
      <c r="L7766" s="29" t="s">
        <v>3314</v>
      </c>
      <c r="M7766" s="29"/>
      <c r="N7766" s="29" t="s">
        <v>3318</v>
      </c>
      <c r="O7766" s="29"/>
      <c r="P7766" s="29" t="s">
        <v>12703</v>
      </c>
      <c r="Q7766" t="s">
        <v>2040</v>
      </c>
      <c r="R7766" t="s">
        <v>2632</v>
      </c>
      <c r="S7766">
        <v>38</v>
      </c>
      <c r="T7766" s="43" t="str">
        <f>HYPERLINK("https://ictv.global/ictv/proposals/2022.003F.Botourmiaviridae_15nsp.zip","2022.003F.Botourmiaviridae_15nsp.zip")</f>
        <v>2022.003F.Botourmiaviridae_15nsp.zip</v>
      </c>
      <c r="U7766" s="43" t="str">
        <f>HYPERLINK("https://ictv.global/taxonomy/taxondetails?taxnode_id=202215012","ictv.global=202215012")</f>
        <v>ictv.global=202215012</v>
      </c>
    </row>
    <row r="7767" spans="1:21">
      <c r="A7767">
        <v>7766</v>
      </c>
      <c r="B7767" s="29" t="s">
        <v>3223</v>
      </c>
      <c r="C7767" s="29"/>
      <c r="D7767" s="29" t="s">
        <v>4156</v>
      </c>
      <c r="E7767" s="29"/>
      <c r="F7767" s="29" t="s">
        <v>4202</v>
      </c>
      <c r="G7767" s="29"/>
      <c r="H7767" s="29" t="s">
        <v>4208</v>
      </c>
      <c r="I7767" s="29"/>
      <c r="J7767" s="29" t="s">
        <v>4209</v>
      </c>
      <c r="K7767" s="29"/>
      <c r="L7767" s="29" t="s">
        <v>3314</v>
      </c>
      <c r="M7767" s="29"/>
      <c r="N7767" s="29" t="s">
        <v>3318</v>
      </c>
      <c r="O7767" s="29"/>
      <c r="P7767" s="29" t="s">
        <v>12704</v>
      </c>
      <c r="Q7767" t="s">
        <v>2040</v>
      </c>
      <c r="R7767" t="s">
        <v>2632</v>
      </c>
      <c r="S7767">
        <v>38</v>
      </c>
      <c r="T7767" s="43" t="str">
        <f>HYPERLINK("https://ictv.global/ictv/proposals/2022.003F.Botourmiaviridae_15nsp.zip","2022.003F.Botourmiaviridae_15nsp.zip")</f>
        <v>2022.003F.Botourmiaviridae_15nsp.zip</v>
      </c>
      <c r="U7767" s="43" t="str">
        <f>HYPERLINK("https://ictv.global/taxonomy/taxondetails?taxnode_id=202215008","ictv.global=202215008")</f>
        <v>ictv.global=202215008</v>
      </c>
    </row>
    <row r="7768" spans="1:21">
      <c r="A7768">
        <v>7767</v>
      </c>
      <c r="B7768" s="29" t="s">
        <v>3223</v>
      </c>
      <c r="C7768" s="29"/>
      <c r="D7768" s="29" t="s">
        <v>4156</v>
      </c>
      <c r="E7768" s="29"/>
      <c r="F7768" s="29" t="s">
        <v>4202</v>
      </c>
      <c r="G7768" s="29"/>
      <c r="H7768" s="29" t="s">
        <v>4208</v>
      </c>
      <c r="I7768" s="29"/>
      <c r="J7768" s="29" t="s">
        <v>4209</v>
      </c>
      <c r="K7768" s="29"/>
      <c r="L7768" s="29" t="s">
        <v>3314</v>
      </c>
      <c r="M7768" s="29"/>
      <c r="N7768" s="29" t="s">
        <v>3318</v>
      </c>
      <c r="O7768" s="29"/>
      <c r="P7768" s="29" t="s">
        <v>12705</v>
      </c>
      <c r="Q7768" t="s">
        <v>2040</v>
      </c>
      <c r="R7768" t="s">
        <v>2632</v>
      </c>
      <c r="S7768">
        <v>38</v>
      </c>
      <c r="T7768" s="43" t="str">
        <f>HYPERLINK("https://ictv.global/ictv/proposals/2022.003F.Botourmiaviridae_15nsp.zip","2022.003F.Botourmiaviridae_15nsp.zip")</f>
        <v>2022.003F.Botourmiaviridae_15nsp.zip</v>
      </c>
      <c r="U7768" s="43" t="str">
        <f>HYPERLINK("https://ictv.global/taxonomy/taxondetails?taxnode_id=202215009","ictv.global=202215009")</f>
        <v>ictv.global=202215009</v>
      </c>
    </row>
    <row r="7769" spans="1:21">
      <c r="A7769">
        <v>7768</v>
      </c>
      <c r="B7769" s="29" t="s">
        <v>3223</v>
      </c>
      <c r="C7769" s="29"/>
      <c r="D7769" s="29" t="s">
        <v>4156</v>
      </c>
      <c r="E7769" s="29"/>
      <c r="F7769" s="29" t="s">
        <v>4202</v>
      </c>
      <c r="G7769" s="29"/>
      <c r="H7769" s="29" t="s">
        <v>4208</v>
      </c>
      <c r="I7769" s="29"/>
      <c r="J7769" s="29" t="s">
        <v>4209</v>
      </c>
      <c r="K7769" s="29"/>
      <c r="L7769" s="29" t="s">
        <v>3314</v>
      </c>
      <c r="M7769" s="29"/>
      <c r="N7769" s="29" t="s">
        <v>3318</v>
      </c>
      <c r="O7769" s="29"/>
      <c r="P7769" s="29" t="s">
        <v>12706</v>
      </c>
      <c r="Q7769" t="s">
        <v>2040</v>
      </c>
      <c r="R7769" t="s">
        <v>2632</v>
      </c>
      <c r="S7769">
        <v>37</v>
      </c>
      <c r="T7769" s="43" t="str">
        <f t="shared" ref="T7769:T7796" si="333">HYPERLINK("https://ictv.global/ictv/proposals/2021.009F.R.Botourmiaviridae_6newgen_109newsp.zip","2021.009F.R.Botourmiaviridae_6newgen_109newsp.zip")</f>
        <v>2021.009F.R.Botourmiaviridae_6newgen_109newsp.zip</v>
      </c>
      <c r="U7769" s="43" t="str">
        <f>HYPERLINK("https://ictv.global/taxonomy/taxondetails?taxnode_id=202212602","ictv.global=202212602")</f>
        <v>ictv.global=202212602</v>
      </c>
    </row>
    <row r="7770" spans="1:21">
      <c r="A7770">
        <v>7769</v>
      </c>
      <c r="B7770" s="29" t="s">
        <v>3223</v>
      </c>
      <c r="C7770" s="29"/>
      <c r="D7770" s="29" t="s">
        <v>4156</v>
      </c>
      <c r="E7770" s="29"/>
      <c r="F7770" s="29" t="s">
        <v>4202</v>
      </c>
      <c r="G7770" s="29"/>
      <c r="H7770" s="29" t="s">
        <v>4208</v>
      </c>
      <c r="I7770" s="29"/>
      <c r="J7770" s="29" t="s">
        <v>4209</v>
      </c>
      <c r="K7770" s="29"/>
      <c r="L7770" s="29" t="s">
        <v>3314</v>
      </c>
      <c r="M7770" s="29"/>
      <c r="N7770" s="29" t="s">
        <v>3318</v>
      </c>
      <c r="O7770" s="29"/>
      <c r="P7770" s="29" t="s">
        <v>12707</v>
      </c>
      <c r="Q7770" t="s">
        <v>2040</v>
      </c>
      <c r="R7770" t="s">
        <v>2632</v>
      </c>
      <c r="S7770">
        <v>37</v>
      </c>
      <c r="T7770" s="43" t="str">
        <f t="shared" si="333"/>
        <v>2021.009F.R.Botourmiaviridae_6newgen_109newsp.zip</v>
      </c>
      <c r="U7770" s="43" t="str">
        <f>HYPERLINK("https://ictv.global/taxonomy/taxondetails?taxnode_id=202212598","ictv.global=202212598")</f>
        <v>ictv.global=202212598</v>
      </c>
    </row>
    <row r="7771" spans="1:21">
      <c r="A7771">
        <v>7770</v>
      </c>
      <c r="B7771" s="29" t="s">
        <v>3223</v>
      </c>
      <c r="C7771" s="29"/>
      <c r="D7771" s="29" t="s">
        <v>4156</v>
      </c>
      <c r="E7771" s="29"/>
      <c r="F7771" s="29" t="s">
        <v>4202</v>
      </c>
      <c r="G7771" s="29"/>
      <c r="H7771" s="29" t="s">
        <v>4208</v>
      </c>
      <c r="I7771" s="29"/>
      <c r="J7771" s="29" t="s">
        <v>4209</v>
      </c>
      <c r="K7771" s="29"/>
      <c r="L7771" s="29" t="s">
        <v>3314</v>
      </c>
      <c r="M7771" s="29"/>
      <c r="N7771" s="29" t="s">
        <v>3318</v>
      </c>
      <c r="O7771" s="29"/>
      <c r="P7771" s="29" t="s">
        <v>12708</v>
      </c>
      <c r="Q7771" t="s">
        <v>2040</v>
      </c>
      <c r="R7771" t="s">
        <v>2632</v>
      </c>
      <c r="S7771">
        <v>37</v>
      </c>
      <c r="T7771" s="43" t="str">
        <f t="shared" si="333"/>
        <v>2021.009F.R.Botourmiaviridae_6newgen_109newsp.zip</v>
      </c>
      <c r="U7771" s="43" t="str">
        <f>HYPERLINK("https://ictv.global/taxonomy/taxondetails?taxnode_id=202212600","ictv.global=202212600")</f>
        <v>ictv.global=202212600</v>
      </c>
    </row>
    <row r="7772" spans="1:21">
      <c r="A7772">
        <v>7771</v>
      </c>
      <c r="B7772" s="29" t="s">
        <v>3223</v>
      </c>
      <c r="C7772" s="29"/>
      <c r="D7772" s="29" t="s">
        <v>4156</v>
      </c>
      <c r="E7772" s="29"/>
      <c r="F7772" s="29" t="s">
        <v>4202</v>
      </c>
      <c r="G7772" s="29"/>
      <c r="H7772" s="29" t="s">
        <v>4208</v>
      </c>
      <c r="I7772" s="29"/>
      <c r="J7772" s="29" t="s">
        <v>4209</v>
      </c>
      <c r="K7772" s="29"/>
      <c r="L7772" s="29" t="s">
        <v>3314</v>
      </c>
      <c r="M7772" s="29"/>
      <c r="N7772" s="29" t="s">
        <v>3318</v>
      </c>
      <c r="O7772" s="29"/>
      <c r="P7772" s="29" t="s">
        <v>12709</v>
      </c>
      <c r="Q7772" t="s">
        <v>2040</v>
      </c>
      <c r="R7772" t="s">
        <v>2632</v>
      </c>
      <c r="S7772">
        <v>37</v>
      </c>
      <c r="T7772" s="43" t="str">
        <f t="shared" si="333"/>
        <v>2021.009F.R.Botourmiaviridae_6newgen_109newsp.zip</v>
      </c>
      <c r="U7772" s="43" t="str">
        <f>HYPERLINK("https://ictv.global/taxonomy/taxondetails?taxnode_id=202212603","ictv.global=202212603")</f>
        <v>ictv.global=202212603</v>
      </c>
    </row>
    <row r="7773" spans="1:21">
      <c r="A7773">
        <v>7772</v>
      </c>
      <c r="B7773" s="29" t="s">
        <v>3223</v>
      </c>
      <c r="C7773" s="29"/>
      <c r="D7773" s="29" t="s">
        <v>4156</v>
      </c>
      <c r="E7773" s="29"/>
      <c r="F7773" s="29" t="s">
        <v>4202</v>
      </c>
      <c r="G7773" s="29"/>
      <c r="H7773" s="29" t="s">
        <v>4208</v>
      </c>
      <c r="I7773" s="29"/>
      <c r="J7773" s="29" t="s">
        <v>4209</v>
      </c>
      <c r="K7773" s="29"/>
      <c r="L7773" s="29" t="s">
        <v>3314</v>
      </c>
      <c r="M7773" s="29"/>
      <c r="N7773" s="29" t="s">
        <v>3318</v>
      </c>
      <c r="O7773" s="29"/>
      <c r="P7773" s="29" t="s">
        <v>12710</v>
      </c>
      <c r="Q7773" t="s">
        <v>2040</v>
      </c>
      <c r="R7773" t="s">
        <v>2632</v>
      </c>
      <c r="S7773">
        <v>37</v>
      </c>
      <c r="T7773" s="43" t="str">
        <f t="shared" si="333"/>
        <v>2021.009F.R.Botourmiaviridae_6newgen_109newsp.zip</v>
      </c>
      <c r="U7773" s="43" t="str">
        <f>HYPERLINK("https://ictv.global/taxonomy/taxondetails?taxnode_id=202212605","ictv.global=202212605")</f>
        <v>ictv.global=202212605</v>
      </c>
    </row>
    <row r="7774" spans="1:21">
      <c r="A7774">
        <v>7773</v>
      </c>
      <c r="B7774" s="29" t="s">
        <v>3223</v>
      </c>
      <c r="C7774" s="29"/>
      <c r="D7774" s="29" t="s">
        <v>4156</v>
      </c>
      <c r="E7774" s="29"/>
      <c r="F7774" s="29" t="s">
        <v>4202</v>
      </c>
      <c r="G7774" s="29"/>
      <c r="H7774" s="29" t="s">
        <v>4208</v>
      </c>
      <c r="I7774" s="29"/>
      <c r="J7774" s="29" t="s">
        <v>4209</v>
      </c>
      <c r="K7774" s="29"/>
      <c r="L7774" s="29" t="s">
        <v>3314</v>
      </c>
      <c r="M7774" s="29"/>
      <c r="N7774" s="29" t="s">
        <v>3318</v>
      </c>
      <c r="O7774" s="29"/>
      <c r="P7774" s="29" t="s">
        <v>12711</v>
      </c>
      <c r="Q7774" t="s">
        <v>2040</v>
      </c>
      <c r="R7774" t="s">
        <v>2632</v>
      </c>
      <c r="S7774">
        <v>37</v>
      </c>
      <c r="T7774" s="43" t="str">
        <f t="shared" si="333"/>
        <v>2021.009F.R.Botourmiaviridae_6newgen_109newsp.zip</v>
      </c>
      <c r="U7774" s="43" t="str">
        <f>HYPERLINK("https://ictv.global/taxonomy/taxondetails?taxnode_id=202212606","ictv.global=202212606")</f>
        <v>ictv.global=202212606</v>
      </c>
    </row>
    <row r="7775" spans="1:21">
      <c r="A7775">
        <v>7774</v>
      </c>
      <c r="B7775" s="29" t="s">
        <v>3223</v>
      </c>
      <c r="C7775" s="29"/>
      <c r="D7775" s="29" t="s">
        <v>4156</v>
      </c>
      <c r="E7775" s="29"/>
      <c r="F7775" s="29" t="s">
        <v>4202</v>
      </c>
      <c r="G7775" s="29"/>
      <c r="H7775" s="29" t="s">
        <v>4208</v>
      </c>
      <c r="I7775" s="29"/>
      <c r="J7775" s="29" t="s">
        <v>4209</v>
      </c>
      <c r="K7775" s="29"/>
      <c r="L7775" s="29" t="s">
        <v>3314</v>
      </c>
      <c r="M7775" s="29"/>
      <c r="N7775" s="29" t="s">
        <v>3318</v>
      </c>
      <c r="O7775" s="29"/>
      <c r="P7775" s="29" t="s">
        <v>12712</v>
      </c>
      <c r="Q7775" t="s">
        <v>2040</v>
      </c>
      <c r="R7775" t="s">
        <v>2632</v>
      </c>
      <c r="S7775">
        <v>37</v>
      </c>
      <c r="T7775" s="43" t="str">
        <f t="shared" si="333"/>
        <v>2021.009F.R.Botourmiaviridae_6newgen_109newsp.zip</v>
      </c>
      <c r="U7775" s="43" t="str">
        <f>HYPERLINK("https://ictv.global/taxonomy/taxondetails?taxnode_id=202213213","ictv.global=202213213")</f>
        <v>ictv.global=202213213</v>
      </c>
    </row>
    <row r="7776" spans="1:21">
      <c r="A7776">
        <v>7775</v>
      </c>
      <c r="B7776" s="29" t="s">
        <v>3223</v>
      </c>
      <c r="C7776" s="29"/>
      <c r="D7776" s="29" t="s">
        <v>4156</v>
      </c>
      <c r="E7776" s="29"/>
      <c r="F7776" s="29" t="s">
        <v>4202</v>
      </c>
      <c r="G7776" s="29"/>
      <c r="H7776" s="29" t="s">
        <v>4208</v>
      </c>
      <c r="I7776" s="29"/>
      <c r="J7776" s="29" t="s">
        <v>4209</v>
      </c>
      <c r="K7776" s="29"/>
      <c r="L7776" s="29" t="s">
        <v>3314</v>
      </c>
      <c r="M7776" s="29"/>
      <c r="N7776" s="29" t="s">
        <v>3318</v>
      </c>
      <c r="O7776" s="29"/>
      <c r="P7776" s="29" t="s">
        <v>12713</v>
      </c>
      <c r="Q7776" t="s">
        <v>2040</v>
      </c>
      <c r="R7776" t="s">
        <v>2632</v>
      </c>
      <c r="S7776">
        <v>37</v>
      </c>
      <c r="T7776" s="43" t="str">
        <f t="shared" si="333"/>
        <v>2021.009F.R.Botourmiaviridae_6newgen_109newsp.zip</v>
      </c>
      <c r="U7776" s="43" t="str">
        <f>HYPERLINK("https://ictv.global/taxonomy/taxondetails?taxnode_id=202213227","ictv.global=202213227")</f>
        <v>ictv.global=202213227</v>
      </c>
    </row>
    <row r="7777" spans="1:21">
      <c r="A7777">
        <v>7776</v>
      </c>
      <c r="B7777" s="29" t="s">
        <v>3223</v>
      </c>
      <c r="C7777" s="29"/>
      <c r="D7777" s="29" t="s">
        <v>4156</v>
      </c>
      <c r="E7777" s="29"/>
      <c r="F7777" s="29" t="s">
        <v>4202</v>
      </c>
      <c r="G7777" s="29"/>
      <c r="H7777" s="29" t="s">
        <v>4208</v>
      </c>
      <c r="I7777" s="29"/>
      <c r="J7777" s="29" t="s">
        <v>4209</v>
      </c>
      <c r="K7777" s="29"/>
      <c r="L7777" s="29" t="s">
        <v>3314</v>
      </c>
      <c r="M7777" s="29"/>
      <c r="N7777" s="29" t="s">
        <v>3318</v>
      </c>
      <c r="O7777" s="29"/>
      <c r="P7777" s="29" t="s">
        <v>12714</v>
      </c>
      <c r="Q7777" t="s">
        <v>2040</v>
      </c>
      <c r="R7777" t="s">
        <v>2632</v>
      </c>
      <c r="S7777">
        <v>37</v>
      </c>
      <c r="T7777" s="43" t="str">
        <f t="shared" si="333"/>
        <v>2021.009F.R.Botourmiaviridae_6newgen_109newsp.zip</v>
      </c>
      <c r="U7777" s="43" t="str">
        <f>HYPERLINK("https://ictv.global/taxonomy/taxondetails?taxnode_id=202212604","ictv.global=202212604")</f>
        <v>ictv.global=202212604</v>
      </c>
    </row>
    <row r="7778" spans="1:21">
      <c r="A7778">
        <v>7777</v>
      </c>
      <c r="B7778" s="29" t="s">
        <v>3223</v>
      </c>
      <c r="C7778" s="29"/>
      <c r="D7778" s="29" t="s">
        <v>4156</v>
      </c>
      <c r="E7778" s="29"/>
      <c r="F7778" s="29" t="s">
        <v>4202</v>
      </c>
      <c r="G7778" s="29"/>
      <c r="H7778" s="29" t="s">
        <v>4208</v>
      </c>
      <c r="I7778" s="29"/>
      <c r="J7778" s="29" t="s">
        <v>4209</v>
      </c>
      <c r="K7778" s="29"/>
      <c r="L7778" s="29" t="s">
        <v>3314</v>
      </c>
      <c r="M7778" s="29"/>
      <c r="N7778" s="29" t="s">
        <v>3318</v>
      </c>
      <c r="O7778" s="29"/>
      <c r="P7778" s="29" t="s">
        <v>12715</v>
      </c>
      <c r="Q7778" t="s">
        <v>2040</v>
      </c>
      <c r="R7778" t="s">
        <v>2632</v>
      </c>
      <c r="S7778">
        <v>37</v>
      </c>
      <c r="T7778" s="43" t="str">
        <f t="shared" si="333"/>
        <v>2021.009F.R.Botourmiaviridae_6newgen_109newsp.zip</v>
      </c>
      <c r="U7778" s="43" t="str">
        <f>HYPERLINK("https://ictv.global/taxonomy/taxondetails?taxnode_id=202213215","ictv.global=202213215")</f>
        <v>ictv.global=202213215</v>
      </c>
    </row>
    <row r="7779" spans="1:21">
      <c r="A7779">
        <v>7778</v>
      </c>
      <c r="B7779" s="29" t="s">
        <v>3223</v>
      </c>
      <c r="C7779" s="29"/>
      <c r="D7779" s="29" t="s">
        <v>4156</v>
      </c>
      <c r="E7779" s="29"/>
      <c r="F7779" s="29" t="s">
        <v>4202</v>
      </c>
      <c r="G7779" s="29"/>
      <c r="H7779" s="29" t="s">
        <v>4208</v>
      </c>
      <c r="I7779" s="29"/>
      <c r="J7779" s="29" t="s">
        <v>4209</v>
      </c>
      <c r="K7779" s="29"/>
      <c r="L7779" s="29" t="s">
        <v>3314</v>
      </c>
      <c r="M7779" s="29"/>
      <c r="N7779" s="29" t="s">
        <v>3318</v>
      </c>
      <c r="O7779" s="29"/>
      <c r="P7779" s="29" t="s">
        <v>12716</v>
      </c>
      <c r="Q7779" t="s">
        <v>2040</v>
      </c>
      <c r="R7779" t="s">
        <v>2632</v>
      </c>
      <c r="S7779">
        <v>37</v>
      </c>
      <c r="T7779" s="43" t="str">
        <f t="shared" si="333"/>
        <v>2021.009F.R.Botourmiaviridae_6newgen_109newsp.zip</v>
      </c>
      <c r="U7779" s="43" t="str">
        <f>HYPERLINK("https://ictv.global/taxonomy/taxondetails?taxnode_id=202213226","ictv.global=202213226")</f>
        <v>ictv.global=202213226</v>
      </c>
    </row>
    <row r="7780" spans="1:21">
      <c r="A7780">
        <v>7779</v>
      </c>
      <c r="B7780" s="29" t="s">
        <v>3223</v>
      </c>
      <c r="C7780" s="29"/>
      <c r="D7780" s="29" t="s">
        <v>4156</v>
      </c>
      <c r="E7780" s="29"/>
      <c r="F7780" s="29" t="s">
        <v>4202</v>
      </c>
      <c r="G7780" s="29"/>
      <c r="H7780" s="29" t="s">
        <v>4208</v>
      </c>
      <c r="I7780" s="29"/>
      <c r="J7780" s="29" t="s">
        <v>4209</v>
      </c>
      <c r="K7780" s="29"/>
      <c r="L7780" s="29" t="s">
        <v>3314</v>
      </c>
      <c r="M7780" s="29"/>
      <c r="N7780" s="29" t="s">
        <v>3318</v>
      </c>
      <c r="O7780" s="29"/>
      <c r="P7780" s="29" t="s">
        <v>12717</v>
      </c>
      <c r="Q7780" t="s">
        <v>2040</v>
      </c>
      <c r="R7780" t="s">
        <v>2632</v>
      </c>
      <c r="S7780">
        <v>37</v>
      </c>
      <c r="T7780" s="43" t="str">
        <f t="shared" si="333"/>
        <v>2021.009F.R.Botourmiaviridae_6newgen_109newsp.zip</v>
      </c>
      <c r="U7780" s="43" t="str">
        <f>HYPERLINK("https://ictv.global/taxonomy/taxondetails?taxnode_id=202213228","ictv.global=202213228")</f>
        <v>ictv.global=202213228</v>
      </c>
    </row>
    <row r="7781" spans="1:21">
      <c r="A7781">
        <v>7780</v>
      </c>
      <c r="B7781" s="29" t="s">
        <v>3223</v>
      </c>
      <c r="C7781" s="29"/>
      <c r="D7781" s="29" t="s">
        <v>4156</v>
      </c>
      <c r="E7781" s="29"/>
      <c r="F7781" s="29" t="s">
        <v>4202</v>
      </c>
      <c r="G7781" s="29"/>
      <c r="H7781" s="29" t="s">
        <v>4208</v>
      </c>
      <c r="I7781" s="29"/>
      <c r="J7781" s="29" t="s">
        <v>4209</v>
      </c>
      <c r="K7781" s="29"/>
      <c r="L7781" s="29" t="s">
        <v>3314</v>
      </c>
      <c r="M7781" s="29"/>
      <c r="N7781" s="29" t="s">
        <v>3318</v>
      </c>
      <c r="O7781" s="29"/>
      <c r="P7781" s="29" t="s">
        <v>12718</v>
      </c>
      <c r="Q7781" t="s">
        <v>2040</v>
      </c>
      <c r="R7781" t="s">
        <v>2632</v>
      </c>
      <c r="S7781">
        <v>37</v>
      </c>
      <c r="T7781" s="43" t="str">
        <f t="shared" si="333"/>
        <v>2021.009F.R.Botourmiaviridae_6newgen_109newsp.zip</v>
      </c>
      <c r="U7781" s="43" t="str">
        <f>HYPERLINK("https://ictv.global/taxonomy/taxondetails?taxnode_id=202213216","ictv.global=202213216")</f>
        <v>ictv.global=202213216</v>
      </c>
    </row>
    <row r="7782" spans="1:21">
      <c r="A7782">
        <v>7781</v>
      </c>
      <c r="B7782" s="29" t="s">
        <v>3223</v>
      </c>
      <c r="C7782" s="29"/>
      <c r="D7782" s="29" t="s">
        <v>4156</v>
      </c>
      <c r="E7782" s="29"/>
      <c r="F7782" s="29" t="s">
        <v>4202</v>
      </c>
      <c r="G7782" s="29"/>
      <c r="H7782" s="29" t="s">
        <v>4208</v>
      </c>
      <c r="I7782" s="29"/>
      <c r="J7782" s="29" t="s">
        <v>4209</v>
      </c>
      <c r="K7782" s="29"/>
      <c r="L7782" s="29" t="s">
        <v>3314</v>
      </c>
      <c r="M7782" s="29"/>
      <c r="N7782" s="29" t="s">
        <v>3318</v>
      </c>
      <c r="O7782" s="29"/>
      <c r="P7782" s="29" t="s">
        <v>12719</v>
      </c>
      <c r="Q7782" t="s">
        <v>2040</v>
      </c>
      <c r="R7782" t="s">
        <v>2632</v>
      </c>
      <c r="S7782">
        <v>37</v>
      </c>
      <c r="T7782" s="43" t="str">
        <f t="shared" si="333"/>
        <v>2021.009F.R.Botourmiaviridae_6newgen_109newsp.zip</v>
      </c>
      <c r="U7782" s="43" t="str">
        <f>HYPERLINK("https://ictv.global/taxonomy/taxondetails?taxnode_id=202213217","ictv.global=202213217")</f>
        <v>ictv.global=202213217</v>
      </c>
    </row>
    <row r="7783" spans="1:21">
      <c r="A7783">
        <v>7782</v>
      </c>
      <c r="B7783" s="29" t="s">
        <v>3223</v>
      </c>
      <c r="C7783" s="29"/>
      <c r="D7783" s="29" t="s">
        <v>4156</v>
      </c>
      <c r="E7783" s="29"/>
      <c r="F7783" s="29" t="s">
        <v>4202</v>
      </c>
      <c r="G7783" s="29"/>
      <c r="H7783" s="29" t="s">
        <v>4208</v>
      </c>
      <c r="I7783" s="29"/>
      <c r="J7783" s="29" t="s">
        <v>4209</v>
      </c>
      <c r="K7783" s="29"/>
      <c r="L7783" s="29" t="s">
        <v>3314</v>
      </c>
      <c r="M7783" s="29"/>
      <c r="N7783" s="29" t="s">
        <v>3318</v>
      </c>
      <c r="O7783" s="29"/>
      <c r="P7783" s="29" t="s">
        <v>12720</v>
      </c>
      <c r="Q7783" t="s">
        <v>2040</v>
      </c>
      <c r="R7783" t="s">
        <v>2632</v>
      </c>
      <c r="S7783">
        <v>37</v>
      </c>
      <c r="T7783" s="43" t="str">
        <f t="shared" si="333"/>
        <v>2021.009F.R.Botourmiaviridae_6newgen_109newsp.zip</v>
      </c>
      <c r="U7783" s="43" t="str">
        <f>HYPERLINK("https://ictv.global/taxonomy/taxondetails?taxnode_id=202212601","ictv.global=202212601")</f>
        <v>ictv.global=202212601</v>
      </c>
    </row>
    <row r="7784" spans="1:21">
      <c r="A7784">
        <v>7783</v>
      </c>
      <c r="B7784" s="29" t="s">
        <v>3223</v>
      </c>
      <c r="C7784" s="29"/>
      <c r="D7784" s="29" t="s">
        <v>4156</v>
      </c>
      <c r="E7784" s="29"/>
      <c r="F7784" s="29" t="s">
        <v>4202</v>
      </c>
      <c r="G7784" s="29"/>
      <c r="H7784" s="29" t="s">
        <v>4208</v>
      </c>
      <c r="I7784" s="29"/>
      <c r="J7784" s="29" t="s">
        <v>4209</v>
      </c>
      <c r="K7784" s="29"/>
      <c r="L7784" s="29" t="s">
        <v>3314</v>
      </c>
      <c r="M7784" s="29"/>
      <c r="N7784" s="29" t="s">
        <v>3318</v>
      </c>
      <c r="O7784" s="29"/>
      <c r="P7784" s="29" t="s">
        <v>12721</v>
      </c>
      <c r="Q7784" t="s">
        <v>2040</v>
      </c>
      <c r="R7784" t="s">
        <v>2632</v>
      </c>
      <c r="S7784">
        <v>37</v>
      </c>
      <c r="T7784" s="43" t="str">
        <f t="shared" si="333"/>
        <v>2021.009F.R.Botourmiaviridae_6newgen_109newsp.zip</v>
      </c>
      <c r="U7784" s="43" t="str">
        <f>HYPERLINK("https://ictv.global/taxonomy/taxondetails?taxnode_id=202213218","ictv.global=202213218")</f>
        <v>ictv.global=202213218</v>
      </c>
    </row>
    <row r="7785" spans="1:21">
      <c r="A7785">
        <v>7784</v>
      </c>
      <c r="B7785" s="29" t="s">
        <v>3223</v>
      </c>
      <c r="C7785" s="29"/>
      <c r="D7785" s="29" t="s">
        <v>4156</v>
      </c>
      <c r="E7785" s="29"/>
      <c r="F7785" s="29" t="s">
        <v>4202</v>
      </c>
      <c r="G7785" s="29"/>
      <c r="H7785" s="29" t="s">
        <v>4208</v>
      </c>
      <c r="I7785" s="29"/>
      <c r="J7785" s="29" t="s">
        <v>4209</v>
      </c>
      <c r="K7785" s="29"/>
      <c r="L7785" s="29" t="s">
        <v>3314</v>
      </c>
      <c r="M7785" s="29"/>
      <c r="N7785" s="29" t="s">
        <v>3318</v>
      </c>
      <c r="O7785" s="29"/>
      <c r="P7785" s="29" t="s">
        <v>12722</v>
      </c>
      <c r="Q7785" t="s">
        <v>2040</v>
      </c>
      <c r="R7785" t="s">
        <v>2632</v>
      </c>
      <c r="S7785">
        <v>37</v>
      </c>
      <c r="T7785" s="43" t="str">
        <f t="shared" si="333"/>
        <v>2021.009F.R.Botourmiaviridae_6newgen_109newsp.zip</v>
      </c>
      <c r="U7785" s="43" t="str">
        <f>HYPERLINK("https://ictv.global/taxonomy/taxondetails?taxnode_id=202213219","ictv.global=202213219")</f>
        <v>ictv.global=202213219</v>
      </c>
    </row>
    <row r="7786" spans="1:21">
      <c r="A7786">
        <v>7785</v>
      </c>
      <c r="B7786" s="29" t="s">
        <v>3223</v>
      </c>
      <c r="C7786" s="29"/>
      <c r="D7786" s="29" t="s">
        <v>4156</v>
      </c>
      <c r="E7786" s="29"/>
      <c r="F7786" s="29" t="s">
        <v>4202</v>
      </c>
      <c r="G7786" s="29"/>
      <c r="H7786" s="29" t="s">
        <v>4208</v>
      </c>
      <c r="I7786" s="29"/>
      <c r="J7786" s="29" t="s">
        <v>4209</v>
      </c>
      <c r="K7786" s="29"/>
      <c r="L7786" s="29" t="s">
        <v>3314</v>
      </c>
      <c r="M7786" s="29"/>
      <c r="N7786" s="29" t="s">
        <v>3318</v>
      </c>
      <c r="O7786" s="29"/>
      <c r="P7786" s="29" t="s">
        <v>12723</v>
      </c>
      <c r="Q7786" t="s">
        <v>2040</v>
      </c>
      <c r="R7786" t="s">
        <v>2632</v>
      </c>
      <c r="S7786">
        <v>37</v>
      </c>
      <c r="T7786" s="43" t="str">
        <f t="shared" si="333"/>
        <v>2021.009F.R.Botourmiaviridae_6newgen_109newsp.zip</v>
      </c>
      <c r="U7786" s="43" t="str">
        <f>HYPERLINK("https://ictv.global/taxonomy/taxondetails?taxnode_id=202213230","ictv.global=202213230")</f>
        <v>ictv.global=202213230</v>
      </c>
    </row>
    <row r="7787" spans="1:21">
      <c r="A7787">
        <v>7786</v>
      </c>
      <c r="B7787" s="29" t="s">
        <v>3223</v>
      </c>
      <c r="C7787" s="29"/>
      <c r="D7787" s="29" t="s">
        <v>4156</v>
      </c>
      <c r="E7787" s="29"/>
      <c r="F7787" s="29" t="s">
        <v>4202</v>
      </c>
      <c r="G7787" s="29"/>
      <c r="H7787" s="29" t="s">
        <v>4208</v>
      </c>
      <c r="I7787" s="29"/>
      <c r="J7787" s="29" t="s">
        <v>4209</v>
      </c>
      <c r="K7787" s="29"/>
      <c r="L7787" s="29" t="s">
        <v>3314</v>
      </c>
      <c r="M7787" s="29"/>
      <c r="N7787" s="29" t="s">
        <v>3318</v>
      </c>
      <c r="O7787" s="29"/>
      <c r="P7787" s="29" t="s">
        <v>12724</v>
      </c>
      <c r="Q7787" t="s">
        <v>2040</v>
      </c>
      <c r="R7787" t="s">
        <v>2632</v>
      </c>
      <c r="S7787">
        <v>37</v>
      </c>
      <c r="T7787" s="43" t="str">
        <f t="shared" si="333"/>
        <v>2021.009F.R.Botourmiaviridae_6newgen_109newsp.zip</v>
      </c>
      <c r="U7787" s="43" t="str">
        <f>HYPERLINK("https://ictv.global/taxonomy/taxondetails?taxnode_id=202213221","ictv.global=202213221")</f>
        <v>ictv.global=202213221</v>
      </c>
    </row>
    <row r="7788" spans="1:21">
      <c r="A7788">
        <v>7787</v>
      </c>
      <c r="B7788" s="29" t="s">
        <v>3223</v>
      </c>
      <c r="C7788" s="29"/>
      <c r="D7788" s="29" t="s">
        <v>4156</v>
      </c>
      <c r="E7788" s="29"/>
      <c r="F7788" s="29" t="s">
        <v>4202</v>
      </c>
      <c r="G7788" s="29"/>
      <c r="H7788" s="29" t="s">
        <v>4208</v>
      </c>
      <c r="I7788" s="29"/>
      <c r="J7788" s="29" t="s">
        <v>4209</v>
      </c>
      <c r="K7788" s="29"/>
      <c r="L7788" s="29" t="s">
        <v>3314</v>
      </c>
      <c r="M7788" s="29"/>
      <c r="N7788" s="29" t="s">
        <v>3318</v>
      </c>
      <c r="O7788" s="29"/>
      <c r="P7788" s="29" t="s">
        <v>12725</v>
      </c>
      <c r="Q7788" t="s">
        <v>2040</v>
      </c>
      <c r="R7788" t="s">
        <v>2632</v>
      </c>
      <c r="S7788">
        <v>37</v>
      </c>
      <c r="T7788" s="43" t="str">
        <f t="shared" si="333"/>
        <v>2021.009F.R.Botourmiaviridae_6newgen_109newsp.zip</v>
      </c>
      <c r="U7788" s="43" t="str">
        <f>HYPERLINK("https://ictv.global/taxonomy/taxondetails?taxnode_id=202213222","ictv.global=202213222")</f>
        <v>ictv.global=202213222</v>
      </c>
    </row>
    <row r="7789" spans="1:21">
      <c r="A7789">
        <v>7788</v>
      </c>
      <c r="B7789" s="29" t="s">
        <v>3223</v>
      </c>
      <c r="C7789" s="29"/>
      <c r="D7789" s="29" t="s">
        <v>4156</v>
      </c>
      <c r="E7789" s="29"/>
      <c r="F7789" s="29" t="s">
        <v>4202</v>
      </c>
      <c r="G7789" s="29"/>
      <c r="H7789" s="29" t="s">
        <v>4208</v>
      </c>
      <c r="I7789" s="29"/>
      <c r="J7789" s="29" t="s">
        <v>4209</v>
      </c>
      <c r="K7789" s="29"/>
      <c r="L7789" s="29" t="s">
        <v>3314</v>
      </c>
      <c r="M7789" s="29"/>
      <c r="N7789" s="29" t="s">
        <v>3318</v>
      </c>
      <c r="O7789" s="29"/>
      <c r="P7789" s="29" t="s">
        <v>12726</v>
      </c>
      <c r="Q7789" t="s">
        <v>2040</v>
      </c>
      <c r="R7789" t="s">
        <v>2632</v>
      </c>
      <c r="S7789">
        <v>37</v>
      </c>
      <c r="T7789" s="43" t="str">
        <f t="shared" si="333"/>
        <v>2021.009F.R.Botourmiaviridae_6newgen_109newsp.zip</v>
      </c>
      <c r="U7789" s="43" t="str">
        <f>HYPERLINK("https://ictv.global/taxonomy/taxondetails?taxnode_id=202213229","ictv.global=202213229")</f>
        <v>ictv.global=202213229</v>
      </c>
    </row>
    <row r="7790" spans="1:21">
      <c r="A7790">
        <v>7789</v>
      </c>
      <c r="B7790" s="29" t="s">
        <v>3223</v>
      </c>
      <c r="C7790" s="29"/>
      <c r="D7790" s="29" t="s">
        <v>4156</v>
      </c>
      <c r="E7790" s="29"/>
      <c r="F7790" s="29" t="s">
        <v>4202</v>
      </c>
      <c r="G7790" s="29"/>
      <c r="H7790" s="29" t="s">
        <v>4208</v>
      </c>
      <c r="I7790" s="29"/>
      <c r="J7790" s="29" t="s">
        <v>4209</v>
      </c>
      <c r="K7790" s="29"/>
      <c r="L7790" s="29" t="s">
        <v>3314</v>
      </c>
      <c r="M7790" s="29"/>
      <c r="N7790" s="29" t="s">
        <v>3318</v>
      </c>
      <c r="O7790" s="29"/>
      <c r="P7790" s="29" t="s">
        <v>12727</v>
      </c>
      <c r="Q7790" t="s">
        <v>2040</v>
      </c>
      <c r="R7790" t="s">
        <v>2632</v>
      </c>
      <c r="S7790">
        <v>37</v>
      </c>
      <c r="T7790" s="43" t="str">
        <f t="shared" si="333"/>
        <v>2021.009F.R.Botourmiaviridae_6newgen_109newsp.zip</v>
      </c>
      <c r="U7790" s="43" t="str">
        <f>HYPERLINK("https://ictv.global/taxonomy/taxondetails?taxnode_id=202213223","ictv.global=202213223")</f>
        <v>ictv.global=202213223</v>
      </c>
    </row>
    <row r="7791" spans="1:21">
      <c r="A7791">
        <v>7790</v>
      </c>
      <c r="B7791" s="29" t="s">
        <v>3223</v>
      </c>
      <c r="C7791" s="29"/>
      <c r="D7791" s="29" t="s">
        <v>4156</v>
      </c>
      <c r="E7791" s="29"/>
      <c r="F7791" s="29" t="s">
        <v>4202</v>
      </c>
      <c r="G7791" s="29"/>
      <c r="H7791" s="29" t="s">
        <v>4208</v>
      </c>
      <c r="I7791" s="29"/>
      <c r="J7791" s="29" t="s">
        <v>4209</v>
      </c>
      <c r="K7791" s="29"/>
      <c r="L7791" s="29" t="s">
        <v>3314</v>
      </c>
      <c r="M7791" s="29"/>
      <c r="N7791" s="29" t="s">
        <v>3318</v>
      </c>
      <c r="O7791" s="29"/>
      <c r="P7791" s="29" t="s">
        <v>12728</v>
      </c>
      <c r="Q7791" t="s">
        <v>2040</v>
      </c>
      <c r="R7791" t="s">
        <v>2632</v>
      </c>
      <c r="S7791">
        <v>37</v>
      </c>
      <c r="T7791" s="43" t="str">
        <f t="shared" si="333"/>
        <v>2021.009F.R.Botourmiaviridae_6newgen_109newsp.zip</v>
      </c>
      <c r="U7791" s="43" t="str">
        <f>HYPERLINK("https://ictv.global/taxonomy/taxondetails?taxnode_id=202213224","ictv.global=202213224")</f>
        <v>ictv.global=202213224</v>
      </c>
    </row>
    <row r="7792" spans="1:21">
      <c r="A7792">
        <v>7791</v>
      </c>
      <c r="B7792" s="29" t="s">
        <v>3223</v>
      </c>
      <c r="C7792" s="29"/>
      <c r="D7792" s="29" t="s">
        <v>4156</v>
      </c>
      <c r="E7792" s="29"/>
      <c r="F7792" s="29" t="s">
        <v>4202</v>
      </c>
      <c r="G7792" s="29"/>
      <c r="H7792" s="29" t="s">
        <v>4208</v>
      </c>
      <c r="I7792" s="29"/>
      <c r="J7792" s="29" t="s">
        <v>4209</v>
      </c>
      <c r="K7792" s="29"/>
      <c r="L7792" s="29" t="s">
        <v>3314</v>
      </c>
      <c r="M7792" s="29"/>
      <c r="N7792" s="29" t="s">
        <v>3318</v>
      </c>
      <c r="O7792" s="29"/>
      <c r="P7792" s="29" t="s">
        <v>12729</v>
      </c>
      <c r="Q7792" t="s">
        <v>2040</v>
      </c>
      <c r="R7792" t="s">
        <v>2632</v>
      </c>
      <c r="S7792">
        <v>37</v>
      </c>
      <c r="T7792" s="43" t="str">
        <f t="shared" si="333"/>
        <v>2021.009F.R.Botourmiaviridae_6newgen_109newsp.zip</v>
      </c>
      <c r="U7792" s="43" t="str">
        <f>HYPERLINK("https://ictv.global/taxonomy/taxondetails?taxnode_id=202213225","ictv.global=202213225")</f>
        <v>ictv.global=202213225</v>
      </c>
    </row>
    <row r="7793" spans="1:21">
      <c r="A7793">
        <v>7792</v>
      </c>
      <c r="B7793" s="29" t="s">
        <v>3223</v>
      </c>
      <c r="C7793" s="29"/>
      <c r="D7793" s="29" t="s">
        <v>4156</v>
      </c>
      <c r="E7793" s="29"/>
      <c r="F7793" s="29" t="s">
        <v>4202</v>
      </c>
      <c r="G7793" s="29"/>
      <c r="H7793" s="29" t="s">
        <v>4208</v>
      </c>
      <c r="I7793" s="29"/>
      <c r="J7793" s="29" t="s">
        <v>4209</v>
      </c>
      <c r="K7793" s="29"/>
      <c r="L7793" s="29" t="s">
        <v>3314</v>
      </c>
      <c r="M7793" s="29"/>
      <c r="N7793" s="29" t="s">
        <v>3318</v>
      </c>
      <c r="O7793" s="29"/>
      <c r="P7793" s="29" t="s">
        <v>12730</v>
      </c>
      <c r="Q7793" t="s">
        <v>2040</v>
      </c>
      <c r="R7793" t="s">
        <v>2632</v>
      </c>
      <c r="S7793">
        <v>37</v>
      </c>
      <c r="T7793" s="43" t="str">
        <f t="shared" si="333"/>
        <v>2021.009F.R.Botourmiaviridae_6newgen_109newsp.zip</v>
      </c>
      <c r="U7793" s="43" t="str">
        <f>HYPERLINK("https://ictv.global/taxonomy/taxondetails?taxnode_id=202213214","ictv.global=202213214")</f>
        <v>ictv.global=202213214</v>
      </c>
    </row>
    <row r="7794" spans="1:21">
      <c r="A7794">
        <v>7793</v>
      </c>
      <c r="B7794" s="29" t="s">
        <v>3223</v>
      </c>
      <c r="C7794" s="29"/>
      <c r="D7794" s="29" t="s">
        <v>4156</v>
      </c>
      <c r="E7794" s="29"/>
      <c r="F7794" s="29" t="s">
        <v>4202</v>
      </c>
      <c r="G7794" s="29"/>
      <c r="H7794" s="29" t="s">
        <v>4208</v>
      </c>
      <c r="I7794" s="29"/>
      <c r="J7794" s="29" t="s">
        <v>4209</v>
      </c>
      <c r="K7794" s="29"/>
      <c r="L7794" s="29" t="s">
        <v>3314</v>
      </c>
      <c r="M7794" s="29"/>
      <c r="N7794" s="29" t="s">
        <v>3318</v>
      </c>
      <c r="O7794" s="29"/>
      <c r="P7794" s="29" t="s">
        <v>12731</v>
      </c>
      <c r="Q7794" t="s">
        <v>2040</v>
      </c>
      <c r="R7794" t="s">
        <v>2632</v>
      </c>
      <c r="S7794">
        <v>37</v>
      </c>
      <c r="T7794" s="43" t="str">
        <f t="shared" si="333"/>
        <v>2021.009F.R.Botourmiaviridae_6newgen_109newsp.zip</v>
      </c>
      <c r="U7794" s="43" t="str">
        <f>HYPERLINK("https://ictv.global/taxonomy/taxondetails?taxnode_id=202213231","ictv.global=202213231")</f>
        <v>ictv.global=202213231</v>
      </c>
    </row>
    <row r="7795" spans="1:21">
      <c r="A7795">
        <v>7794</v>
      </c>
      <c r="B7795" s="29" t="s">
        <v>3223</v>
      </c>
      <c r="C7795" s="29"/>
      <c r="D7795" s="29" t="s">
        <v>4156</v>
      </c>
      <c r="E7795" s="29"/>
      <c r="F7795" s="29" t="s">
        <v>4202</v>
      </c>
      <c r="G7795" s="29"/>
      <c r="H7795" s="29" t="s">
        <v>4208</v>
      </c>
      <c r="I7795" s="29"/>
      <c r="J7795" s="29" t="s">
        <v>4209</v>
      </c>
      <c r="K7795" s="29"/>
      <c r="L7795" s="29" t="s">
        <v>3314</v>
      </c>
      <c r="M7795" s="29"/>
      <c r="N7795" s="29" t="s">
        <v>3318</v>
      </c>
      <c r="O7795" s="29"/>
      <c r="P7795" s="29" t="s">
        <v>12732</v>
      </c>
      <c r="Q7795" t="s">
        <v>2040</v>
      </c>
      <c r="R7795" t="s">
        <v>2632</v>
      </c>
      <c r="S7795">
        <v>37</v>
      </c>
      <c r="T7795" s="43" t="str">
        <f t="shared" si="333"/>
        <v>2021.009F.R.Botourmiaviridae_6newgen_109newsp.zip</v>
      </c>
      <c r="U7795" s="43" t="str">
        <f>HYPERLINK("https://ictv.global/taxonomy/taxondetails?taxnode_id=202213220","ictv.global=202213220")</f>
        <v>ictv.global=202213220</v>
      </c>
    </row>
    <row r="7796" spans="1:21">
      <c r="A7796">
        <v>7795</v>
      </c>
      <c r="B7796" s="29" t="s">
        <v>3223</v>
      </c>
      <c r="C7796" s="29"/>
      <c r="D7796" s="29" t="s">
        <v>4156</v>
      </c>
      <c r="E7796" s="29"/>
      <c r="F7796" s="29" t="s">
        <v>4202</v>
      </c>
      <c r="G7796" s="29"/>
      <c r="H7796" s="29" t="s">
        <v>4208</v>
      </c>
      <c r="I7796" s="29"/>
      <c r="J7796" s="29" t="s">
        <v>4209</v>
      </c>
      <c r="K7796" s="29"/>
      <c r="L7796" s="29" t="s">
        <v>3314</v>
      </c>
      <c r="M7796" s="29"/>
      <c r="N7796" s="29" t="s">
        <v>3318</v>
      </c>
      <c r="O7796" s="29"/>
      <c r="P7796" s="29" t="s">
        <v>12733</v>
      </c>
      <c r="Q7796" t="s">
        <v>2040</v>
      </c>
      <c r="R7796" t="s">
        <v>2632</v>
      </c>
      <c r="S7796">
        <v>37</v>
      </c>
      <c r="T7796" s="43" t="str">
        <f t="shared" si="333"/>
        <v>2021.009F.R.Botourmiaviridae_6newgen_109newsp.zip</v>
      </c>
      <c r="U7796" s="43" t="str">
        <f>HYPERLINK("https://ictv.global/taxonomy/taxondetails?taxnode_id=202213212","ictv.global=202213212")</f>
        <v>ictv.global=202213212</v>
      </c>
    </row>
    <row r="7797" spans="1:21">
      <c r="A7797">
        <v>7796</v>
      </c>
      <c r="B7797" s="29" t="s">
        <v>3223</v>
      </c>
      <c r="C7797" s="29"/>
      <c r="D7797" s="29" t="s">
        <v>4156</v>
      </c>
      <c r="E7797" s="29"/>
      <c r="F7797" s="29" t="s">
        <v>4202</v>
      </c>
      <c r="G7797" s="29"/>
      <c r="H7797" s="29" t="s">
        <v>4208</v>
      </c>
      <c r="I7797" s="29"/>
      <c r="J7797" s="29" t="s">
        <v>4209</v>
      </c>
      <c r="K7797" s="29"/>
      <c r="L7797" s="29" t="s">
        <v>3314</v>
      </c>
      <c r="M7797" s="29"/>
      <c r="N7797" s="29" t="s">
        <v>3318</v>
      </c>
      <c r="O7797" s="29"/>
      <c r="P7797" s="29" t="s">
        <v>6529</v>
      </c>
      <c r="Q7797" t="s">
        <v>2040</v>
      </c>
      <c r="R7797" t="s">
        <v>2632</v>
      </c>
      <c r="S7797">
        <v>36</v>
      </c>
      <c r="T7797" s="43" t="str">
        <f>HYPERLINK("https://ictv.global/ictv/proposals/2020.001F.R.Botourmiaviridae.zip","2020.001F.R.Botourmiaviridae.zip")</f>
        <v>2020.001F.R.Botourmiaviridae.zip</v>
      </c>
      <c r="U7797" s="43" t="str">
        <f>HYPERLINK("https://ictv.global/taxonomy/taxondetails?taxnode_id=202208730","ictv.global=202208730")</f>
        <v>ictv.global=202208730</v>
      </c>
    </row>
    <row r="7798" spans="1:21">
      <c r="A7798">
        <v>7797</v>
      </c>
      <c r="B7798" s="29" t="s">
        <v>3223</v>
      </c>
      <c r="C7798" s="29"/>
      <c r="D7798" s="29" t="s">
        <v>4156</v>
      </c>
      <c r="E7798" s="29"/>
      <c r="F7798" s="29" t="s">
        <v>4202</v>
      </c>
      <c r="G7798" s="29"/>
      <c r="H7798" s="29" t="s">
        <v>4208</v>
      </c>
      <c r="I7798" s="29"/>
      <c r="J7798" s="29" t="s">
        <v>4209</v>
      </c>
      <c r="K7798" s="29"/>
      <c r="L7798" s="29" t="s">
        <v>3314</v>
      </c>
      <c r="M7798" s="29"/>
      <c r="N7798" s="29" t="s">
        <v>3318</v>
      </c>
      <c r="O7798" s="29"/>
      <c r="P7798" s="29" t="s">
        <v>6530</v>
      </c>
      <c r="Q7798" t="s">
        <v>2040</v>
      </c>
      <c r="R7798" t="s">
        <v>2632</v>
      </c>
      <c r="S7798">
        <v>36</v>
      </c>
      <c r="T7798" s="43" t="str">
        <f>HYPERLINK("https://ictv.global/ictv/proposals/2020.001F.R.Botourmiaviridae.zip","2020.001F.R.Botourmiaviridae.zip")</f>
        <v>2020.001F.R.Botourmiaviridae.zip</v>
      </c>
      <c r="U7798" s="43" t="str">
        <f>HYPERLINK("https://ictv.global/taxonomy/taxondetails?taxnode_id=202208725","ictv.global=202208725")</f>
        <v>ictv.global=202208725</v>
      </c>
    </row>
    <row r="7799" spans="1:21">
      <c r="A7799">
        <v>7798</v>
      </c>
      <c r="B7799" s="29" t="s">
        <v>3223</v>
      </c>
      <c r="C7799" s="29"/>
      <c r="D7799" s="29" t="s">
        <v>4156</v>
      </c>
      <c r="E7799" s="29"/>
      <c r="F7799" s="29" t="s">
        <v>4202</v>
      </c>
      <c r="G7799" s="29"/>
      <c r="H7799" s="29" t="s">
        <v>4208</v>
      </c>
      <c r="I7799" s="29"/>
      <c r="J7799" s="29" t="s">
        <v>4209</v>
      </c>
      <c r="K7799" s="29"/>
      <c r="L7799" s="29" t="s">
        <v>3314</v>
      </c>
      <c r="M7799" s="29"/>
      <c r="N7799" s="29" t="s">
        <v>3318</v>
      </c>
      <c r="O7799" s="29"/>
      <c r="P7799" s="29" t="s">
        <v>3320</v>
      </c>
      <c r="Q7799" t="s">
        <v>2040</v>
      </c>
      <c r="R7799" t="s">
        <v>2634</v>
      </c>
      <c r="S7799">
        <v>35</v>
      </c>
      <c r="T7799" s="43" t="str">
        <f>HYPERLINK("https://ictv.global/ictv/proposals/2019.006G.zip","2019.006G.zip")</f>
        <v>2019.006G.zip</v>
      </c>
      <c r="U7799" s="43" t="str">
        <f>HYPERLINK("https://ictv.global/taxonomy/taxondetails?taxnode_id=202206579","ictv.global=202206579")</f>
        <v>ictv.global=202206579</v>
      </c>
    </row>
    <row r="7800" spans="1:21">
      <c r="A7800">
        <v>7799</v>
      </c>
      <c r="B7800" s="29" t="s">
        <v>3223</v>
      </c>
      <c r="C7800" s="29"/>
      <c r="D7800" s="29" t="s">
        <v>4156</v>
      </c>
      <c r="E7800" s="29"/>
      <c r="F7800" s="29" t="s">
        <v>4202</v>
      </c>
      <c r="G7800" s="29"/>
      <c r="H7800" s="29" t="s">
        <v>4208</v>
      </c>
      <c r="I7800" s="29"/>
      <c r="J7800" s="29" t="s">
        <v>4209</v>
      </c>
      <c r="K7800" s="29"/>
      <c r="L7800" s="29" t="s">
        <v>3314</v>
      </c>
      <c r="M7800" s="29"/>
      <c r="N7800" s="29" t="s">
        <v>214</v>
      </c>
      <c r="O7800" s="29"/>
      <c r="P7800" s="29" t="s">
        <v>215</v>
      </c>
      <c r="Q7800" t="s">
        <v>2040</v>
      </c>
      <c r="R7800" t="s">
        <v>2634</v>
      </c>
      <c r="S7800">
        <v>35</v>
      </c>
      <c r="T7800" s="43" t="str">
        <f>HYPERLINK("https://ictv.global/ictv/proposals/2019.006G.zip","2019.006G.zip")</f>
        <v>2019.006G.zip</v>
      </c>
      <c r="U7800" s="43" t="str">
        <f>HYPERLINK("https://ictv.global/taxonomy/taxondetails?taxnode_id=202205356","ictv.global=202205356")</f>
        <v>ictv.global=202205356</v>
      </c>
    </row>
    <row r="7801" spans="1:21">
      <c r="A7801">
        <v>7800</v>
      </c>
      <c r="B7801" s="29" t="s">
        <v>3223</v>
      </c>
      <c r="C7801" s="29"/>
      <c r="D7801" s="29" t="s">
        <v>4156</v>
      </c>
      <c r="E7801" s="29"/>
      <c r="F7801" s="29" t="s">
        <v>4202</v>
      </c>
      <c r="G7801" s="29"/>
      <c r="H7801" s="29" t="s">
        <v>4208</v>
      </c>
      <c r="I7801" s="29"/>
      <c r="J7801" s="29" t="s">
        <v>4209</v>
      </c>
      <c r="K7801" s="29"/>
      <c r="L7801" s="29" t="s">
        <v>3314</v>
      </c>
      <c r="M7801" s="29"/>
      <c r="N7801" s="29" t="s">
        <v>214</v>
      </c>
      <c r="O7801" s="29"/>
      <c r="P7801" s="29" t="s">
        <v>216</v>
      </c>
      <c r="Q7801" t="s">
        <v>2040</v>
      </c>
      <c r="R7801" t="s">
        <v>2634</v>
      </c>
      <c r="S7801">
        <v>35</v>
      </c>
      <c r="T7801" s="43" t="str">
        <f>HYPERLINK("https://ictv.global/ictv/proposals/2019.006G.zip","2019.006G.zip")</f>
        <v>2019.006G.zip</v>
      </c>
      <c r="U7801" s="43" t="str">
        <f>HYPERLINK("https://ictv.global/taxonomy/taxondetails?taxnode_id=202205357","ictv.global=202205357")</f>
        <v>ictv.global=202205357</v>
      </c>
    </row>
    <row r="7802" spans="1:21">
      <c r="A7802">
        <v>7801</v>
      </c>
      <c r="B7802" s="29" t="s">
        <v>3223</v>
      </c>
      <c r="C7802" s="29"/>
      <c r="D7802" s="29" t="s">
        <v>4156</v>
      </c>
      <c r="E7802" s="29"/>
      <c r="F7802" s="29" t="s">
        <v>4202</v>
      </c>
      <c r="G7802" s="29"/>
      <c r="H7802" s="29" t="s">
        <v>4208</v>
      </c>
      <c r="I7802" s="29"/>
      <c r="J7802" s="29" t="s">
        <v>4209</v>
      </c>
      <c r="K7802" s="29"/>
      <c r="L7802" s="29" t="s">
        <v>3314</v>
      </c>
      <c r="M7802" s="29"/>
      <c r="N7802" s="29" t="s">
        <v>214</v>
      </c>
      <c r="O7802" s="29"/>
      <c r="P7802" s="29" t="s">
        <v>217</v>
      </c>
      <c r="Q7802" t="s">
        <v>2040</v>
      </c>
      <c r="R7802" t="s">
        <v>6901</v>
      </c>
      <c r="S7802">
        <v>36</v>
      </c>
      <c r="T7802" s="43" t="str">
        <f>HYPERLINK("https://ictv.global/ictv/proposals/2020.001G.R.Abolish_type_species.pdf","2020.001G.R.Abolish_type_species.pdf")</f>
        <v>2020.001G.R.Abolish_type_species.pdf</v>
      </c>
      <c r="U7802" s="43" t="str">
        <f>HYPERLINK("https://ictv.global/taxonomy/taxondetails?taxnode_id=202205358","ictv.global=202205358")</f>
        <v>ictv.global=202205358</v>
      </c>
    </row>
    <row r="7803" spans="1:21">
      <c r="A7803">
        <v>7802</v>
      </c>
      <c r="B7803" s="29" t="s">
        <v>3223</v>
      </c>
      <c r="C7803" s="29"/>
      <c r="D7803" s="29" t="s">
        <v>4156</v>
      </c>
      <c r="E7803" s="29"/>
      <c r="F7803" s="29" t="s">
        <v>4202</v>
      </c>
      <c r="G7803" s="29"/>
      <c r="H7803" s="29" t="s">
        <v>4208</v>
      </c>
      <c r="I7803" s="29"/>
      <c r="J7803" s="29" t="s">
        <v>4209</v>
      </c>
      <c r="K7803" s="29"/>
      <c r="L7803" s="29" t="s">
        <v>3314</v>
      </c>
      <c r="M7803" s="29"/>
      <c r="N7803" s="29" t="s">
        <v>6531</v>
      </c>
      <c r="O7803" s="29"/>
      <c r="P7803" s="29" t="s">
        <v>6532</v>
      </c>
      <c r="Q7803" t="s">
        <v>2040</v>
      </c>
      <c r="R7803" t="s">
        <v>2632</v>
      </c>
      <c r="S7803">
        <v>36</v>
      </c>
      <c r="T7803" s="43" t="str">
        <f t="shared" ref="T7803:T7808" si="334">HYPERLINK("https://ictv.global/ictv/proposals/2020.001F.R.Botourmiaviridae.zip","2020.001F.R.Botourmiaviridae.zip")</f>
        <v>2020.001F.R.Botourmiaviridae.zip</v>
      </c>
      <c r="U7803" s="43" t="str">
        <f>HYPERLINK("https://ictv.global/taxonomy/taxondetails?taxnode_id=202208743","ictv.global=202208743")</f>
        <v>ictv.global=202208743</v>
      </c>
    </row>
    <row r="7804" spans="1:21">
      <c r="A7804">
        <v>7803</v>
      </c>
      <c r="B7804" s="29" t="s">
        <v>3223</v>
      </c>
      <c r="C7804" s="29"/>
      <c r="D7804" s="29" t="s">
        <v>4156</v>
      </c>
      <c r="E7804" s="29"/>
      <c r="F7804" s="29" t="s">
        <v>4202</v>
      </c>
      <c r="G7804" s="29"/>
      <c r="H7804" s="29" t="s">
        <v>4208</v>
      </c>
      <c r="I7804" s="29"/>
      <c r="J7804" s="29" t="s">
        <v>4209</v>
      </c>
      <c r="K7804" s="29"/>
      <c r="L7804" s="29" t="s">
        <v>3314</v>
      </c>
      <c r="M7804" s="29"/>
      <c r="N7804" s="29" t="s">
        <v>6531</v>
      </c>
      <c r="O7804" s="29"/>
      <c r="P7804" s="29" t="s">
        <v>6533</v>
      </c>
      <c r="Q7804" t="s">
        <v>2040</v>
      </c>
      <c r="R7804" t="s">
        <v>2632</v>
      </c>
      <c r="S7804">
        <v>36</v>
      </c>
      <c r="T7804" s="43" t="str">
        <f t="shared" si="334"/>
        <v>2020.001F.R.Botourmiaviridae.zip</v>
      </c>
      <c r="U7804" s="43" t="str">
        <f>HYPERLINK("https://ictv.global/taxonomy/taxondetails?taxnode_id=202208741","ictv.global=202208741")</f>
        <v>ictv.global=202208741</v>
      </c>
    </row>
    <row r="7805" spans="1:21">
      <c r="A7805">
        <v>7804</v>
      </c>
      <c r="B7805" s="29" t="s">
        <v>3223</v>
      </c>
      <c r="C7805" s="29"/>
      <c r="D7805" s="29" t="s">
        <v>4156</v>
      </c>
      <c r="E7805" s="29"/>
      <c r="F7805" s="29" t="s">
        <v>4202</v>
      </c>
      <c r="G7805" s="29"/>
      <c r="H7805" s="29" t="s">
        <v>4208</v>
      </c>
      <c r="I7805" s="29"/>
      <c r="J7805" s="29" t="s">
        <v>4209</v>
      </c>
      <c r="K7805" s="29"/>
      <c r="L7805" s="29" t="s">
        <v>3314</v>
      </c>
      <c r="M7805" s="29"/>
      <c r="N7805" s="29" t="s">
        <v>6531</v>
      </c>
      <c r="O7805" s="29"/>
      <c r="P7805" s="29" t="s">
        <v>6534</v>
      </c>
      <c r="Q7805" t="s">
        <v>2040</v>
      </c>
      <c r="R7805" t="s">
        <v>2632</v>
      </c>
      <c r="S7805">
        <v>36</v>
      </c>
      <c r="T7805" s="43" t="str">
        <f t="shared" si="334"/>
        <v>2020.001F.R.Botourmiaviridae.zip</v>
      </c>
      <c r="U7805" s="43" t="str">
        <f>HYPERLINK("https://ictv.global/taxonomy/taxondetails?taxnode_id=202208742","ictv.global=202208742")</f>
        <v>ictv.global=202208742</v>
      </c>
    </row>
    <row r="7806" spans="1:21">
      <c r="A7806">
        <v>7805</v>
      </c>
      <c r="B7806" s="29" t="s">
        <v>3223</v>
      </c>
      <c r="C7806" s="29"/>
      <c r="D7806" s="29" t="s">
        <v>4156</v>
      </c>
      <c r="E7806" s="29"/>
      <c r="F7806" s="29" t="s">
        <v>4202</v>
      </c>
      <c r="G7806" s="29"/>
      <c r="H7806" s="29" t="s">
        <v>4208</v>
      </c>
      <c r="I7806" s="29"/>
      <c r="J7806" s="29" t="s">
        <v>4209</v>
      </c>
      <c r="K7806" s="29"/>
      <c r="L7806" s="29" t="s">
        <v>3314</v>
      </c>
      <c r="M7806" s="29"/>
      <c r="N7806" s="29" t="s">
        <v>6531</v>
      </c>
      <c r="O7806" s="29"/>
      <c r="P7806" s="29" t="s">
        <v>6535</v>
      </c>
      <c r="Q7806" t="s">
        <v>2040</v>
      </c>
      <c r="R7806" t="s">
        <v>2632</v>
      </c>
      <c r="S7806">
        <v>36</v>
      </c>
      <c r="T7806" s="43" t="str">
        <f t="shared" si="334"/>
        <v>2020.001F.R.Botourmiaviridae.zip</v>
      </c>
      <c r="U7806" s="43" t="str">
        <f>HYPERLINK("https://ictv.global/taxonomy/taxondetails?taxnode_id=202208746","ictv.global=202208746")</f>
        <v>ictv.global=202208746</v>
      </c>
    </row>
    <row r="7807" spans="1:21">
      <c r="A7807">
        <v>7806</v>
      </c>
      <c r="B7807" s="29" t="s">
        <v>3223</v>
      </c>
      <c r="C7807" s="29"/>
      <c r="D7807" s="29" t="s">
        <v>4156</v>
      </c>
      <c r="E7807" s="29"/>
      <c r="F7807" s="29" t="s">
        <v>4202</v>
      </c>
      <c r="G7807" s="29"/>
      <c r="H7807" s="29" t="s">
        <v>4208</v>
      </c>
      <c r="I7807" s="29"/>
      <c r="J7807" s="29" t="s">
        <v>4209</v>
      </c>
      <c r="K7807" s="29"/>
      <c r="L7807" s="29" t="s">
        <v>3314</v>
      </c>
      <c r="M7807" s="29"/>
      <c r="N7807" s="29" t="s">
        <v>6531</v>
      </c>
      <c r="O7807" s="29"/>
      <c r="P7807" s="29" t="s">
        <v>6536</v>
      </c>
      <c r="Q7807" t="s">
        <v>2040</v>
      </c>
      <c r="R7807" t="s">
        <v>2632</v>
      </c>
      <c r="S7807">
        <v>36</v>
      </c>
      <c r="T7807" s="43" t="str">
        <f t="shared" si="334"/>
        <v>2020.001F.R.Botourmiaviridae.zip</v>
      </c>
      <c r="U7807" s="43" t="str">
        <f>HYPERLINK("https://ictv.global/taxonomy/taxondetails?taxnode_id=202208745","ictv.global=202208745")</f>
        <v>ictv.global=202208745</v>
      </c>
    </row>
    <row r="7808" spans="1:21">
      <c r="A7808">
        <v>7807</v>
      </c>
      <c r="B7808" s="29" t="s">
        <v>3223</v>
      </c>
      <c r="C7808" s="29"/>
      <c r="D7808" s="29" t="s">
        <v>4156</v>
      </c>
      <c r="E7808" s="29"/>
      <c r="F7808" s="29" t="s">
        <v>4202</v>
      </c>
      <c r="G7808" s="29"/>
      <c r="H7808" s="29" t="s">
        <v>4208</v>
      </c>
      <c r="I7808" s="29"/>
      <c r="J7808" s="29" t="s">
        <v>4209</v>
      </c>
      <c r="K7808" s="29"/>
      <c r="L7808" s="29" t="s">
        <v>3314</v>
      </c>
      <c r="M7808" s="29"/>
      <c r="N7808" s="29" t="s">
        <v>6531</v>
      </c>
      <c r="O7808" s="29"/>
      <c r="P7808" s="29" t="s">
        <v>6537</v>
      </c>
      <c r="Q7808" t="s">
        <v>2040</v>
      </c>
      <c r="R7808" t="s">
        <v>2632</v>
      </c>
      <c r="S7808">
        <v>36</v>
      </c>
      <c r="T7808" s="43" t="str">
        <f t="shared" si="334"/>
        <v>2020.001F.R.Botourmiaviridae.zip</v>
      </c>
      <c r="U7808" s="43" t="str">
        <f>HYPERLINK("https://ictv.global/taxonomy/taxondetails?taxnode_id=202208737","ictv.global=202208737")</f>
        <v>ictv.global=202208737</v>
      </c>
    </row>
    <row r="7809" spans="1:21">
      <c r="A7809">
        <v>7808</v>
      </c>
      <c r="B7809" s="29" t="s">
        <v>3223</v>
      </c>
      <c r="C7809" s="29"/>
      <c r="D7809" s="29" t="s">
        <v>4156</v>
      </c>
      <c r="E7809" s="29"/>
      <c r="F7809" s="29" t="s">
        <v>4202</v>
      </c>
      <c r="G7809" s="29"/>
      <c r="H7809" s="29" t="s">
        <v>4208</v>
      </c>
      <c r="I7809" s="29"/>
      <c r="J7809" s="29" t="s">
        <v>4209</v>
      </c>
      <c r="K7809" s="29"/>
      <c r="L7809" s="29" t="s">
        <v>3314</v>
      </c>
      <c r="M7809" s="29"/>
      <c r="N7809" s="29" t="s">
        <v>6531</v>
      </c>
      <c r="O7809" s="29"/>
      <c r="P7809" s="29" t="s">
        <v>12734</v>
      </c>
      <c r="Q7809" t="s">
        <v>2040</v>
      </c>
      <c r="R7809" t="s">
        <v>2632</v>
      </c>
      <c r="S7809">
        <v>37</v>
      </c>
      <c r="T7809" s="43" t="str">
        <f>HYPERLINK("https://ictv.global/ictv/proposals/2021.009F.R.Botourmiaviridae_6newgen_109newsp.zip","2021.009F.R.Botourmiaviridae_6newgen_109newsp.zip")</f>
        <v>2021.009F.R.Botourmiaviridae_6newgen_109newsp.zip</v>
      </c>
      <c r="U7809" s="43" t="str">
        <f>HYPERLINK("https://ictv.global/taxonomy/taxondetails?taxnode_id=202213234","ictv.global=202213234")</f>
        <v>ictv.global=202213234</v>
      </c>
    </row>
    <row r="7810" spans="1:21">
      <c r="A7810">
        <v>7809</v>
      </c>
      <c r="B7810" s="29" t="s">
        <v>3223</v>
      </c>
      <c r="C7810" s="29"/>
      <c r="D7810" s="29" t="s">
        <v>4156</v>
      </c>
      <c r="E7810" s="29"/>
      <c r="F7810" s="29" t="s">
        <v>4202</v>
      </c>
      <c r="G7810" s="29"/>
      <c r="H7810" s="29" t="s">
        <v>4208</v>
      </c>
      <c r="I7810" s="29"/>
      <c r="J7810" s="29" t="s">
        <v>4209</v>
      </c>
      <c r="K7810" s="29"/>
      <c r="L7810" s="29" t="s">
        <v>3314</v>
      </c>
      <c r="M7810" s="29"/>
      <c r="N7810" s="29" t="s">
        <v>6531</v>
      </c>
      <c r="O7810" s="29"/>
      <c r="P7810" s="29" t="s">
        <v>12735</v>
      </c>
      <c r="Q7810" t="s">
        <v>2040</v>
      </c>
      <c r="R7810" t="s">
        <v>2632</v>
      </c>
      <c r="S7810">
        <v>38</v>
      </c>
      <c r="T7810" s="43" t="str">
        <f>HYPERLINK("https://ictv.global/ictv/proposals/2022.003F.Botourmiaviridae_15nsp.zip","2022.003F.Botourmiaviridae_15nsp.zip")</f>
        <v>2022.003F.Botourmiaviridae_15nsp.zip</v>
      </c>
      <c r="U7810" s="43" t="str">
        <f>HYPERLINK("https://ictv.global/taxonomy/taxondetails?taxnode_id=202215018","ictv.global=202215018")</f>
        <v>ictv.global=202215018</v>
      </c>
    </row>
    <row r="7811" spans="1:21">
      <c r="A7811">
        <v>7810</v>
      </c>
      <c r="B7811" s="29" t="s">
        <v>3223</v>
      </c>
      <c r="C7811" s="29"/>
      <c r="D7811" s="29" t="s">
        <v>4156</v>
      </c>
      <c r="E7811" s="29"/>
      <c r="F7811" s="29" t="s">
        <v>4202</v>
      </c>
      <c r="G7811" s="29"/>
      <c r="H7811" s="29" t="s">
        <v>4208</v>
      </c>
      <c r="I7811" s="29"/>
      <c r="J7811" s="29" t="s">
        <v>4209</v>
      </c>
      <c r="K7811" s="29"/>
      <c r="L7811" s="29" t="s">
        <v>3314</v>
      </c>
      <c r="M7811" s="29"/>
      <c r="N7811" s="29" t="s">
        <v>6531</v>
      </c>
      <c r="O7811" s="29"/>
      <c r="P7811" s="29" t="s">
        <v>12736</v>
      </c>
      <c r="Q7811" t="s">
        <v>2040</v>
      </c>
      <c r="R7811" t="s">
        <v>2632</v>
      </c>
      <c r="S7811">
        <v>38</v>
      </c>
      <c r="T7811" s="43" t="str">
        <f>HYPERLINK("https://ictv.global/ictv/proposals/2022.003F.Botourmiaviridae_15nsp.zip","2022.003F.Botourmiaviridae_15nsp.zip")</f>
        <v>2022.003F.Botourmiaviridae_15nsp.zip</v>
      </c>
      <c r="U7811" s="43" t="str">
        <f>HYPERLINK("https://ictv.global/taxonomy/taxondetails?taxnode_id=202215017","ictv.global=202215017")</f>
        <v>ictv.global=202215017</v>
      </c>
    </row>
    <row r="7812" spans="1:21">
      <c r="A7812">
        <v>7811</v>
      </c>
      <c r="B7812" s="29" t="s">
        <v>3223</v>
      </c>
      <c r="C7812" s="29"/>
      <c r="D7812" s="29" t="s">
        <v>4156</v>
      </c>
      <c r="E7812" s="29"/>
      <c r="F7812" s="29" t="s">
        <v>4202</v>
      </c>
      <c r="G7812" s="29"/>
      <c r="H7812" s="29" t="s">
        <v>4208</v>
      </c>
      <c r="I7812" s="29"/>
      <c r="J7812" s="29" t="s">
        <v>4209</v>
      </c>
      <c r="K7812" s="29"/>
      <c r="L7812" s="29" t="s">
        <v>3314</v>
      </c>
      <c r="M7812" s="29"/>
      <c r="N7812" s="29" t="s">
        <v>6531</v>
      </c>
      <c r="O7812" s="29"/>
      <c r="P7812" s="29" t="s">
        <v>12737</v>
      </c>
      <c r="Q7812" t="s">
        <v>2040</v>
      </c>
      <c r="R7812" t="s">
        <v>2632</v>
      </c>
      <c r="S7812">
        <v>37</v>
      </c>
      <c r="T7812" s="43" t="str">
        <f t="shared" ref="T7812:T7824" si="335">HYPERLINK("https://ictv.global/ictv/proposals/2021.009F.R.Botourmiaviridae_6newgen_109newsp.zip","2021.009F.R.Botourmiaviridae_6newgen_109newsp.zip")</f>
        <v>2021.009F.R.Botourmiaviridae_6newgen_109newsp.zip</v>
      </c>
      <c r="U7812" s="43" t="str">
        <f>HYPERLINK("https://ictv.global/taxonomy/taxondetails?taxnode_id=202213237","ictv.global=202213237")</f>
        <v>ictv.global=202213237</v>
      </c>
    </row>
    <row r="7813" spans="1:21">
      <c r="A7813">
        <v>7812</v>
      </c>
      <c r="B7813" s="29" t="s">
        <v>3223</v>
      </c>
      <c r="C7813" s="29"/>
      <c r="D7813" s="29" t="s">
        <v>4156</v>
      </c>
      <c r="E7813" s="29"/>
      <c r="F7813" s="29" t="s">
        <v>4202</v>
      </c>
      <c r="G7813" s="29"/>
      <c r="H7813" s="29" t="s">
        <v>4208</v>
      </c>
      <c r="I7813" s="29"/>
      <c r="J7813" s="29" t="s">
        <v>4209</v>
      </c>
      <c r="K7813" s="29"/>
      <c r="L7813" s="29" t="s">
        <v>3314</v>
      </c>
      <c r="M7813" s="29"/>
      <c r="N7813" s="29" t="s">
        <v>6531</v>
      </c>
      <c r="O7813" s="29"/>
      <c r="P7813" s="29" t="s">
        <v>12738</v>
      </c>
      <c r="Q7813" t="s">
        <v>2040</v>
      </c>
      <c r="R7813" t="s">
        <v>2632</v>
      </c>
      <c r="S7813">
        <v>37</v>
      </c>
      <c r="T7813" s="43" t="str">
        <f t="shared" si="335"/>
        <v>2021.009F.R.Botourmiaviridae_6newgen_109newsp.zip</v>
      </c>
      <c r="U7813" s="43" t="str">
        <f>HYPERLINK("https://ictv.global/taxonomy/taxondetails?taxnode_id=202213235","ictv.global=202213235")</f>
        <v>ictv.global=202213235</v>
      </c>
    </row>
    <row r="7814" spans="1:21">
      <c r="A7814">
        <v>7813</v>
      </c>
      <c r="B7814" s="29" t="s">
        <v>3223</v>
      </c>
      <c r="C7814" s="29"/>
      <c r="D7814" s="29" t="s">
        <v>4156</v>
      </c>
      <c r="E7814" s="29"/>
      <c r="F7814" s="29" t="s">
        <v>4202</v>
      </c>
      <c r="G7814" s="29"/>
      <c r="H7814" s="29" t="s">
        <v>4208</v>
      </c>
      <c r="I7814" s="29"/>
      <c r="J7814" s="29" t="s">
        <v>4209</v>
      </c>
      <c r="K7814" s="29"/>
      <c r="L7814" s="29" t="s">
        <v>3314</v>
      </c>
      <c r="M7814" s="29"/>
      <c r="N7814" s="29" t="s">
        <v>6531</v>
      </c>
      <c r="O7814" s="29"/>
      <c r="P7814" s="29" t="s">
        <v>12739</v>
      </c>
      <c r="Q7814" t="s">
        <v>2040</v>
      </c>
      <c r="R7814" t="s">
        <v>2632</v>
      </c>
      <c r="S7814">
        <v>37</v>
      </c>
      <c r="T7814" s="43" t="str">
        <f t="shared" si="335"/>
        <v>2021.009F.R.Botourmiaviridae_6newgen_109newsp.zip</v>
      </c>
      <c r="U7814" s="43" t="str">
        <f>HYPERLINK("https://ictv.global/taxonomy/taxondetails?taxnode_id=202213238","ictv.global=202213238")</f>
        <v>ictv.global=202213238</v>
      </c>
    </row>
    <row r="7815" spans="1:21">
      <c r="A7815">
        <v>7814</v>
      </c>
      <c r="B7815" s="29" t="s">
        <v>3223</v>
      </c>
      <c r="C7815" s="29"/>
      <c r="D7815" s="29" t="s">
        <v>4156</v>
      </c>
      <c r="E7815" s="29"/>
      <c r="F7815" s="29" t="s">
        <v>4202</v>
      </c>
      <c r="G7815" s="29"/>
      <c r="H7815" s="29" t="s">
        <v>4208</v>
      </c>
      <c r="I7815" s="29"/>
      <c r="J7815" s="29" t="s">
        <v>4209</v>
      </c>
      <c r="K7815" s="29"/>
      <c r="L7815" s="29" t="s">
        <v>3314</v>
      </c>
      <c r="M7815" s="29"/>
      <c r="N7815" s="29" t="s">
        <v>6531</v>
      </c>
      <c r="O7815" s="29"/>
      <c r="P7815" s="29" t="s">
        <v>12740</v>
      </c>
      <c r="Q7815" t="s">
        <v>2040</v>
      </c>
      <c r="R7815" t="s">
        <v>2632</v>
      </c>
      <c r="S7815">
        <v>37</v>
      </c>
      <c r="T7815" s="43" t="str">
        <f t="shared" si="335"/>
        <v>2021.009F.R.Botourmiaviridae_6newgen_109newsp.zip</v>
      </c>
      <c r="U7815" s="43" t="str">
        <f>HYPERLINK("https://ictv.global/taxonomy/taxondetails?taxnode_id=202213240","ictv.global=202213240")</f>
        <v>ictv.global=202213240</v>
      </c>
    </row>
    <row r="7816" spans="1:21">
      <c r="A7816">
        <v>7815</v>
      </c>
      <c r="B7816" s="29" t="s">
        <v>3223</v>
      </c>
      <c r="C7816" s="29"/>
      <c r="D7816" s="29" t="s">
        <v>4156</v>
      </c>
      <c r="E7816" s="29"/>
      <c r="F7816" s="29" t="s">
        <v>4202</v>
      </c>
      <c r="G7816" s="29"/>
      <c r="H7816" s="29" t="s">
        <v>4208</v>
      </c>
      <c r="I7816" s="29"/>
      <c r="J7816" s="29" t="s">
        <v>4209</v>
      </c>
      <c r="K7816" s="29"/>
      <c r="L7816" s="29" t="s">
        <v>3314</v>
      </c>
      <c r="M7816" s="29"/>
      <c r="N7816" s="29" t="s">
        <v>6531</v>
      </c>
      <c r="O7816" s="29"/>
      <c r="P7816" s="29" t="s">
        <v>12741</v>
      </c>
      <c r="Q7816" t="s">
        <v>2040</v>
      </c>
      <c r="R7816" t="s">
        <v>2632</v>
      </c>
      <c r="S7816">
        <v>37</v>
      </c>
      <c r="T7816" s="43" t="str">
        <f t="shared" si="335"/>
        <v>2021.009F.R.Botourmiaviridae_6newgen_109newsp.zip</v>
      </c>
      <c r="U7816" s="43" t="str">
        <f>HYPERLINK("https://ictv.global/taxonomy/taxondetails?taxnode_id=202213241","ictv.global=202213241")</f>
        <v>ictv.global=202213241</v>
      </c>
    </row>
    <row r="7817" spans="1:21">
      <c r="A7817">
        <v>7816</v>
      </c>
      <c r="B7817" s="29" t="s">
        <v>3223</v>
      </c>
      <c r="C7817" s="29"/>
      <c r="D7817" s="29" t="s">
        <v>4156</v>
      </c>
      <c r="E7817" s="29"/>
      <c r="F7817" s="29" t="s">
        <v>4202</v>
      </c>
      <c r="G7817" s="29"/>
      <c r="H7817" s="29" t="s">
        <v>4208</v>
      </c>
      <c r="I7817" s="29"/>
      <c r="J7817" s="29" t="s">
        <v>4209</v>
      </c>
      <c r="K7817" s="29"/>
      <c r="L7817" s="29" t="s">
        <v>3314</v>
      </c>
      <c r="M7817" s="29"/>
      <c r="N7817" s="29" t="s">
        <v>6531</v>
      </c>
      <c r="O7817" s="29"/>
      <c r="P7817" s="29" t="s">
        <v>12742</v>
      </c>
      <c r="Q7817" t="s">
        <v>2040</v>
      </c>
      <c r="R7817" t="s">
        <v>2632</v>
      </c>
      <c r="S7817">
        <v>37</v>
      </c>
      <c r="T7817" s="43" t="str">
        <f t="shared" si="335"/>
        <v>2021.009F.R.Botourmiaviridae_6newgen_109newsp.zip</v>
      </c>
      <c r="U7817" s="43" t="str">
        <f>HYPERLINK("https://ictv.global/taxonomy/taxondetails?taxnode_id=202213243","ictv.global=202213243")</f>
        <v>ictv.global=202213243</v>
      </c>
    </row>
    <row r="7818" spans="1:21">
      <c r="A7818">
        <v>7817</v>
      </c>
      <c r="B7818" s="29" t="s">
        <v>3223</v>
      </c>
      <c r="C7818" s="29"/>
      <c r="D7818" s="29" t="s">
        <v>4156</v>
      </c>
      <c r="E7818" s="29"/>
      <c r="F7818" s="29" t="s">
        <v>4202</v>
      </c>
      <c r="G7818" s="29"/>
      <c r="H7818" s="29" t="s">
        <v>4208</v>
      </c>
      <c r="I7818" s="29"/>
      <c r="J7818" s="29" t="s">
        <v>4209</v>
      </c>
      <c r="K7818" s="29"/>
      <c r="L7818" s="29" t="s">
        <v>3314</v>
      </c>
      <c r="M7818" s="29"/>
      <c r="N7818" s="29" t="s">
        <v>6531</v>
      </c>
      <c r="O7818" s="29"/>
      <c r="P7818" s="29" t="s">
        <v>12743</v>
      </c>
      <c r="Q7818" t="s">
        <v>2040</v>
      </c>
      <c r="R7818" t="s">
        <v>2632</v>
      </c>
      <c r="S7818">
        <v>37</v>
      </c>
      <c r="T7818" s="43" t="str">
        <f t="shared" si="335"/>
        <v>2021.009F.R.Botourmiaviridae_6newgen_109newsp.zip</v>
      </c>
      <c r="U7818" s="43" t="str">
        <f>HYPERLINK("https://ictv.global/taxonomy/taxondetails?taxnode_id=202213236","ictv.global=202213236")</f>
        <v>ictv.global=202213236</v>
      </c>
    </row>
    <row r="7819" spans="1:21">
      <c r="A7819">
        <v>7818</v>
      </c>
      <c r="B7819" s="29" t="s">
        <v>3223</v>
      </c>
      <c r="C7819" s="29"/>
      <c r="D7819" s="29" t="s">
        <v>4156</v>
      </c>
      <c r="E7819" s="29"/>
      <c r="F7819" s="29" t="s">
        <v>4202</v>
      </c>
      <c r="G7819" s="29"/>
      <c r="H7819" s="29" t="s">
        <v>4208</v>
      </c>
      <c r="I7819" s="29"/>
      <c r="J7819" s="29" t="s">
        <v>4209</v>
      </c>
      <c r="K7819" s="29"/>
      <c r="L7819" s="29" t="s">
        <v>3314</v>
      </c>
      <c r="M7819" s="29"/>
      <c r="N7819" s="29" t="s">
        <v>6531</v>
      </c>
      <c r="O7819" s="29"/>
      <c r="P7819" s="29" t="s">
        <v>12744</v>
      </c>
      <c r="Q7819" t="s">
        <v>2040</v>
      </c>
      <c r="R7819" t="s">
        <v>2632</v>
      </c>
      <c r="S7819">
        <v>37</v>
      </c>
      <c r="T7819" s="43" t="str">
        <f t="shared" si="335"/>
        <v>2021.009F.R.Botourmiaviridae_6newgen_109newsp.zip</v>
      </c>
      <c r="U7819" s="43" t="str">
        <f>HYPERLINK("https://ictv.global/taxonomy/taxondetails?taxnode_id=202213239","ictv.global=202213239")</f>
        <v>ictv.global=202213239</v>
      </c>
    </row>
    <row r="7820" spans="1:21">
      <c r="A7820">
        <v>7819</v>
      </c>
      <c r="B7820" s="29" t="s">
        <v>3223</v>
      </c>
      <c r="C7820" s="29"/>
      <c r="D7820" s="29" t="s">
        <v>4156</v>
      </c>
      <c r="E7820" s="29"/>
      <c r="F7820" s="29" t="s">
        <v>4202</v>
      </c>
      <c r="G7820" s="29"/>
      <c r="H7820" s="29" t="s">
        <v>4208</v>
      </c>
      <c r="I7820" s="29"/>
      <c r="J7820" s="29" t="s">
        <v>4209</v>
      </c>
      <c r="K7820" s="29"/>
      <c r="L7820" s="29" t="s">
        <v>3314</v>
      </c>
      <c r="M7820" s="29"/>
      <c r="N7820" s="29" t="s">
        <v>6531</v>
      </c>
      <c r="O7820" s="29"/>
      <c r="P7820" s="29" t="s">
        <v>12745</v>
      </c>
      <c r="Q7820" t="s">
        <v>2040</v>
      </c>
      <c r="R7820" t="s">
        <v>2632</v>
      </c>
      <c r="S7820">
        <v>37</v>
      </c>
      <c r="T7820" s="43" t="str">
        <f t="shared" si="335"/>
        <v>2021.009F.R.Botourmiaviridae_6newgen_109newsp.zip</v>
      </c>
      <c r="U7820" s="43" t="str">
        <f>HYPERLINK("https://ictv.global/taxonomy/taxondetails?taxnode_id=202213245","ictv.global=202213245")</f>
        <v>ictv.global=202213245</v>
      </c>
    </row>
    <row r="7821" spans="1:21">
      <c r="A7821">
        <v>7820</v>
      </c>
      <c r="B7821" s="29" t="s">
        <v>3223</v>
      </c>
      <c r="C7821" s="29"/>
      <c r="D7821" s="29" t="s">
        <v>4156</v>
      </c>
      <c r="E7821" s="29"/>
      <c r="F7821" s="29" t="s">
        <v>4202</v>
      </c>
      <c r="G7821" s="29"/>
      <c r="H7821" s="29" t="s">
        <v>4208</v>
      </c>
      <c r="I7821" s="29"/>
      <c r="J7821" s="29" t="s">
        <v>4209</v>
      </c>
      <c r="K7821" s="29"/>
      <c r="L7821" s="29" t="s">
        <v>3314</v>
      </c>
      <c r="M7821" s="29"/>
      <c r="N7821" s="29" t="s">
        <v>6531</v>
      </c>
      <c r="O7821" s="29"/>
      <c r="P7821" s="29" t="s">
        <v>12746</v>
      </c>
      <c r="Q7821" t="s">
        <v>2040</v>
      </c>
      <c r="R7821" t="s">
        <v>2632</v>
      </c>
      <c r="S7821">
        <v>37</v>
      </c>
      <c r="T7821" s="43" t="str">
        <f t="shared" si="335"/>
        <v>2021.009F.R.Botourmiaviridae_6newgen_109newsp.zip</v>
      </c>
      <c r="U7821" s="43" t="str">
        <f>HYPERLINK("https://ictv.global/taxonomy/taxondetails?taxnode_id=202213233","ictv.global=202213233")</f>
        <v>ictv.global=202213233</v>
      </c>
    </row>
    <row r="7822" spans="1:21">
      <c r="A7822">
        <v>7821</v>
      </c>
      <c r="B7822" s="29" t="s">
        <v>3223</v>
      </c>
      <c r="C7822" s="29"/>
      <c r="D7822" s="29" t="s">
        <v>4156</v>
      </c>
      <c r="E7822" s="29"/>
      <c r="F7822" s="29" t="s">
        <v>4202</v>
      </c>
      <c r="G7822" s="29"/>
      <c r="H7822" s="29" t="s">
        <v>4208</v>
      </c>
      <c r="I7822" s="29"/>
      <c r="J7822" s="29" t="s">
        <v>4209</v>
      </c>
      <c r="K7822" s="29"/>
      <c r="L7822" s="29" t="s">
        <v>3314</v>
      </c>
      <c r="M7822" s="29"/>
      <c r="N7822" s="29" t="s">
        <v>6531</v>
      </c>
      <c r="O7822" s="29"/>
      <c r="P7822" s="29" t="s">
        <v>12747</v>
      </c>
      <c r="Q7822" t="s">
        <v>2040</v>
      </c>
      <c r="R7822" t="s">
        <v>2632</v>
      </c>
      <c r="S7822">
        <v>37</v>
      </c>
      <c r="T7822" s="43" t="str">
        <f t="shared" si="335"/>
        <v>2021.009F.R.Botourmiaviridae_6newgen_109newsp.zip</v>
      </c>
      <c r="U7822" s="43" t="str">
        <f>HYPERLINK("https://ictv.global/taxonomy/taxondetails?taxnode_id=202213232","ictv.global=202213232")</f>
        <v>ictv.global=202213232</v>
      </c>
    </row>
    <row r="7823" spans="1:21">
      <c r="A7823">
        <v>7822</v>
      </c>
      <c r="B7823" s="29" t="s">
        <v>3223</v>
      </c>
      <c r="C7823" s="29"/>
      <c r="D7823" s="29" t="s">
        <v>4156</v>
      </c>
      <c r="E7823" s="29"/>
      <c r="F7823" s="29" t="s">
        <v>4202</v>
      </c>
      <c r="G7823" s="29"/>
      <c r="H7823" s="29" t="s">
        <v>4208</v>
      </c>
      <c r="I7823" s="29"/>
      <c r="J7823" s="29" t="s">
        <v>4209</v>
      </c>
      <c r="K7823" s="29"/>
      <c r="L7823" s="29" t="s">
        <v>3314</v>
      </c>
      <c r="M7823" s="29"/>
      <c r="N7823" s="29" t="s">
        <v>6531</v>
      </c>
      <c r="O7823" s="29"/>
      <c r="P7823" s="29" t="s">
        <v>12748</v>
      </c>
      <c r="Q7823" t="s">
        <v>2040</v>
      </c>
      <c r="R7823" t="s">
        <v>2632</v>
      </c>
      <c r="S7823">
        <v>37</v>
      </c>
      <c r="T7823" s="43" t="str">
        <f t="shared" si="335"/>
        <v>2021.009F.R.Botourmiaviridae_6newgen_109newsp.zip</v>
      </c>
      <c r="U7823" s="43" t="str">
        <f>HYPERLINK("https://ictv.global/taxonomy/taxondetails?taxnode_id=202213244","ictv.global=202213244")</f>
        <v>ictv.global=202213244</v>
      </c>
    </row>
    <row r="7824" spans="1:21">
      <c r="A7824">
        <v>7823</v>
      </c>
      <c r="B7824" s="29" t="s">
        <v>3223</v>
      </c>
      <c r="C7824" s="29"/>
      <c r="D7824" s="29" t="s">
        <v>4156</v>
      </c>
      <c r="E7824" s="29"/>
      <c r="F7824" s="29" t="s">
        <v>4202</v>
      </c>
      <c r="G7824" s="29"/>
      <c r="H7824" s="29" t="s">
        <v>4208</v>
      </c>
      <c r="I7824" s="29"/>
      <c r="J7824" s="29" t="s">
        <v>4209</v>
      </c>
      <c r="K7824" s="29"/>
      <c r="L7824" s="29" t="s">
        <v>3314</v>
      </c>
      <c r="M7824" s="29"/>
      <c r="N7824" s="29" t="s">
        <v>6531</v>
      </c>
      <c r="O7824" s="29"/>
      <c r="P7824" s="29" t="s">
        <v>12749</v>
      </c>
      <c r="Q7824" t="s">
        <v>2040</v>
      </c>
      <c r="R7824" t="s">
        <v>2632</v>
      </c>
      <c r="S7824">
        <v>37</v>
      </c>
      <c r="T7824" s="43" t="str">
        <f t="shared" si="335"/>
        <v>2021.009F.R.Botourmiaviridae_6newgen_109newsp.zip</v>
      </c>
      <c r="U7824" s="43" t="str">
        <f>HYPERLINK("https://ictv.global/taxonomy/taxondetails?taxnode_id=202213242","ictv.global=202213242")</f>
        <v>ictv.global=202213242</v>
      </c>
    </row>
    <row r="7825" spans="1:21">
      <c r="A7825">
        <v>7824</v>
      </c>
      <c r="B7825" s="29" t="s">
        <v>3223</v>
      </c>
      <c r="C7825" s="29"/>
      <c r="D7825" s="29" t="s">
        <v>4156</v>
      </c>
      <c r="E7825" s="29"/>
      <c r="F7825" s="29" t="s">
        <v>4202</v>
      </c>
      <c r="G7825" s="29"/>
      <c r="H7825" s="29" t="s">
        <v>4208</v>
      </c>
      <c r="I7825" s="29"/>
      <c r="J7825" s="29" t="s">
        <v>4209</v>
      </c>
      <c r="K7825" s="29"/>
      <c r="L7825" s="29" t="s">
        <v>3314</v>
      </c>
      <c r="M7825" s="29"/>
      <c r="N7825" s="29" t="s">
        <v>6531</v>
      </c>
      <c r="O7825" s="29"/>
      <c r="P7825" s="29" t="s">
        <v>6538</v>
      </c>
      <c r="Q7825" t="s">
        <v>2040</v>
      </c>
      <c r="R7825" t="s">
        <v>2632</v>
      </c>
      <c r="S7825">
        <v>36</v>
      </c>
      <c r="T7825" s="43" t="str">
        <f t="shared" ref="T7825:T7830" si="336">HYPERLINK("https://ictv.global/ictv/proposals/2020.001F.R.Botourmiaviridae.zip","2020.001F.R.Botourmiaviridae.zip")</f>
        <v>2020.001F.R.Botourmiaviridae.zip</v>
      </c>
      <c r="U7825" s="43" t="str">
        <f>HYPERLINK("https://ictv.global/taxonomy/taxondetails?taxnode_id=202208738","ictv.global=202208738")</f>
        <v>ictv.global=202208738</v>
      </c>
    </row>
    <row r="7826" spans="1:21">
      <c r="A7826">
        <v>7825</v>
      </c>
      <c r="B7826" s="29" t="s">
        <v>3223</v>
      </c>
      <c r="C7826" s="29"/>
      <c r="D7826" s="29" t="s">
        <v>4156</v>
      </c>
      <c r="E7826" s="29"/>
      <c r="F7826" s="29" t="s">
        <v>4202</v>
      </c>
      <c r="G7826" s="29"/>
      <c r="H7826" s="29" t="s">
        <v>4208</v>
      </c>
      <c r="I7826" s="29"/>
      <c r="J7826" s="29" t="s">
        <v>4209</v>
      </c>
      <c r="K7826" s="29"/>
      <c r="L7826" s="29" t="s">
        <v>3314</v>
      </c>
      <c r="M7826" s="29"/>
      <c r="N7826" s="29" t="s">
        <v>6531</v>
      </c>
      <c r="O7826" s="29"/>
      <c r="P7826" s="29" t="s">
        <v>6539</v>
      </c>
      <c r="Q7826" t="s">
        <v>2040</v>
      </c>
      <c r="R7826" t="s">
        <v>2632</v>
      </c>
      <c r="S7826">
        <v>36</v>
      </c>
      <c r="T7826" s="43" t="str">
        <f t="shared" si="336"/>
        <v>2020.001F.R.Botourmiaviridae.zip</v>
      </c>
      <c r="U7826" s="43" t="str">
        <f>HYPERLINK("https://ictv.global/taxonomy/taxondetails?taxnode_id=202208740","ictv.global=202208740")</f>
        <v>ictv.global=202208740</v>
      </c>
    </row>
    <row r="7827" spans="1:21">
      <c r="A7827">
        <v>7826</v>
      </c>
      <c r="B7827" s="29" t="s">
        <v>3223</v>
      </c>
      <c r="C7827" s="29"/>
      <c r="D7827" s="29" t="s">
        <v>4156</v>
      </c>
      <c r="E7827" s="29"/>
      <c r="F7827" s="29" t="s">
        <v>4202</v>
      </c>
      <c r="G7827" s="29"/>
      <c r="H7827" s="29" t="s">
        <v>4208</v>
      </c>
      <c r="I7827" s="29"/>
      <c r="J7827" s="29" t="s">
        <v>4209</v>
      </c>
      <c r="K7827" s="29"/>
      <c r="L7827" s="29" t="s">
        <v>3314</v>
      </c>
      <c r="M7827" s="29"/>
      <c r="N7827" s="29" t="s">
        <v>6531</v>
      </c>
      <c r="O7827" s="29"/>
      <c r="P7827" s="29" t="s">
        <v>6540</v>
      </c>
      <c r="Q7827" t="s">
        <v>2040</v>
      </c>
      <c r="R7827" t="s">
        <v>2632</v>
      </c>
      <c r="S7827">
        <v>36</v>
      </c>
      <c r="T7827" s="43" t="str">
        <f t="shared" si="336"/>
        <v>2020.001F.R.Botourmiaviridae.zip</v>
      </c>
      <c r="U7827" s="43" t="str">
        <f>HYPERLINK("https://ictv.global/taxonomy/taxondetails?taxnode_id=202208747","ictv.global=202208747")</f>
        <v>ictv.global=202208747</v>
      </c>
    </row>
    <row r="7828" spans="1:21">
      <c r="A7828">
        <v>7827</v>
      </c>
      <c r="B7828" s="29" t="s">
        <v>3223</v>
      </c>
      <c r="C7828" s="29"/>
      <c r="D7828" s="29" t="s">
        <v>4156</v>
      </c>
      <c r="E7828" s="29"/>
      <c r="F7828" s="29" t="s">
        <v>4202</v>
      </c>
      <c r="G7828" s="29"/>
      <c r="H7828" s="29" t="s">
        <v>4208</v>
      </c>
      <c r="I7828" s="29"/>
      <c r="J7828" s="29" t="s">
        <v>4209</v>
      </c>
      <c r="K7828" s="29"/>
      <c r="L7828" s="29" t="s">
        <v>3314</v>
      </c>
      <c r="M7828" s="29"/>
      <c r="N7828" s="29" t="s">
        <v>6531</v>
      </c>
      <c r="O7828" s="29"/>
      <c r="P7828" s="29" t="s">
        <v>6541</v>
      </c>
      <c r="Q7828" t="s">
        <v>2040</v>
      </c>
      <c r="R7828" t="s">
        <v>2632</v>
      </c>
      <c r="S7828">
        <v>36</v>
      </c>
      <c r="T7828" s="43" t="str">
        <f t="shared" si="336"/>
        <v>2020.001F.R.Botourmiaviridae.zip</v>
      </c>
      <c r="U7828" s="43" t="str">
        <f>HYPERLINK("https://ictv.global/taxonomy/taxondetails?taxnode_id=202208744","ictv.global=202208744")</f>
        <v>ictv.global=202208744</v>
      </c>
    </row>
    <row r="7829" spans="1:21">
      <c r="A7829">
        <v>7828</v>
      </c>
      <c r="B7829" s="29" t="s">
        <v>3223</v>
      </c>
      <c r="C7829" s="29"/>
      <c r="D7829" s="29" t="s">
        <v>4156</v>
      </c>
      <c r="E7829" s="29"/>
      <c r="F7829" s="29" t="s">
        <v>4202</v>
      </c>
      <c r="G7829" s="29"/>
      <c r="H7829" s="29" t="s">
        <v>4208</v>
      </c>
      <c r="I7829" s="29"/>
      <c r="J7829" s="29" t="s">
        <v>4209</v>
      </c>
      <c r="K7829" s="29"/>
      <c r="L7829" s="29" t="s">
        <v>3314</v>
      </c>
      <c r="M7829" s="29"/>
      <c r="N7829" s="29" t="s">
        <v>6531</v>
      </c>
      <c r="O7829" s="29"/>
      <c r="P7829" s="29" t="s">
        <v>6542</v>
      </c>
      <c r="Q7829" t="s">
        <v>2040</v>
      </c>
      <c r="R7829" t="s">
        <v>2632</v>
      </c>
      <c r="S7829">
        <v>36</v>
      </c>
      <c r="T7829" s="43" t="str">
        <f t="shared" si="336"/>
        <v>2020.001F.R.Botourmiaviridae.zip</v>
      </c>
      <c r="U7829" s="43" t="str">
        <f>HYPERLINK("https://ictv.global/taxonomy/taxondetails?taxnode_id=202208739","ictv.global=202208739")</f>
        <v>ictv.global=202208739</v>
      </c>
    </row>
    <row r="7830" spans="1:21">
      <c r="A7830">
        <v>7829</v>
      </c>
      <c r="B7830" s="29" t="s">
        <v>3223</v>
      </c>
      <c r="C7830" s="29"/>
      <c r="D7830" s="29" t="s">
        <v>4156</v>
      </c>
      <c r="E7830" s="29"/>
      <c r="F7830" s="29" t="s">
        <v>4202</v>
      </c>
      <c r="G7830" s="29"/>
      <c r="H7830" s="29" t="s">
        <v>4208</v>
      </c>
      <c r="I7830" s="29"/>
      <c r="J7830" s="29" t="s">
        <v>4209</v>
      </c>
      <c r="K7830" s="29"/>
      <c r="L7830" s="29" t="s">
        <v>3314</v>
      </c>
      <c r="M7830" s="29"/>
      <c r="N7830" s="29" t="s">
        <v>6543</v>
      </c>
      <c r="O7830" s="29"/>
      <c r="P7830" s="29" t="s">
        <v>6544</v>
      </c>
      <c r="Q7830" t="s">
        <v>2040</v>
      </c>
      <c r="R7830" t="s">
        <v>2632</v>
      </c>
      <c r="S7830">
        <v>36</v>
      </c>
      <c r="T7830" s="43" t="str">
        <f t="shared" si="336"/>
        <v>2020.001F.R.Botourmiaviridae.zip</v>
      </c>
      <c r="U7830" s="43" t="str">
        <f>HYPERLINK("https://ictv.global/taxonomy/taxondetails?taxnode_id=202208735","ictv.global=202208735")</f>
        <v>ictv.global=202208735</v>
      </c>
    </row>
    <row r="7831" spans="1:21">
      <c r="A7831">
        <v>7830</v>
      </c>
      <c r="B7831" s="29" t="s">
        <v>3223</v>
      </c>
      <c r="C7831" s="29"/>
      <c r="D7831" s="29" t="s">
        <v>4156</v>
      </c>
      <c r="E7831" s="29"/>
      <c r="F7831" s="29" t="s">
        <v>4202</v>
      </c>
      <c r="G7831" s="29"/>
      <c r="H7831" s="29" t="s">
        <v>4208</v>
      </c>
      <c r="I7831" s="29"/>
      <c r="J7831" s="29" t="s">
        <v>4209</v>
      </c>
      <c r="K7831" s="29"/>
      <c r="L7831" s="29" t="s">
        <v>3314</v>
      </c>
      <c r="M7831" s="29"/>
      <c r="N7831" s="29" t="s">
        <v>6543</v>
      </c>
      <c r="O7831" s="29"/>
      <c r="P7831" s="29" t="s">
        <v>12750</v>
      </c>
      <c r="Q7831" t="s">
        <v>2040</v>
      </c>
      <c r="R7831" t="s">
        <v>2632</v>
      </c>
      <c r="S7831">
        <v>37</v>
      </c>
      <c r="T7831" s="43" t="str">
        <f>HYPERLINK("https://ictv.global/ictv/proposals/2021.009F.R.Botourmiaviridae_6newgen_109newsp.zip","2021.009F.R.Botourmiaviridae_6newgen_109newsp.zip")</f>
        <v>2021.009F.R.Botourmiaviridae_6newgen_109newsp.zip</v>
      </c>
      <c r="U7831" s="43" t="str">
        <f>HYPERLINK("https://ictv.global/taxonomy/taxondetails?taxnode_id=202213246","ictv.global=202213246")</f>
        <v>ictv.global=202213246</v>
      </c>
    </row>
    <row r="7832" spans="1:21">
      <c r="A7832">
        <v>7831</v>
      </c>
      <c r="B7832" s="29" t="s">
        <v>3223</v>
      </c>
      <c r="C7832" s="29"/>
      <c r="D7832" s="29" t="s">
        <v>4156</v>
      </c>
      <c r="E7832" s="29"/>
      <c r="F7832" s="29" t="s">
        <v>4202</v>
      </c>
      <c r="G7832" s="29"/>
      <c r="H7832" s="29" t="s">
        <v>4208</v>
      </c>
      <c r="I7832" s="29"/>
      <c r="J7832" s="29" t="s">
        <v>4209</v>
      </c>
      <c r="K7832" s="29"/>
      <c r="L7832" s="29" t="s">
        <v>3314</v>
      </c>
      <c r="M7832" s="29"/>
      <c r="N7832" s="29" t="s">
        <v>6543</v>
      </c>
      <c r="O7832" s="29"/>
      <c r="P7832" s="29" t="s">
        <v>12751</v>
      </c>
      <c r="Q7832" t="s">
        <v>2040</v>
      </c>
      <c r="R7832" t="s">
        <v>2632</v>
      </c>
      <c r="S7832">
        <v>37</v>
      </c>
      <c r="T7832" s="43" t="str">
        <f>HYPERLINK("https://ictv.global/ictv/proposals/2021.009F.R.Botourmiaviridae_6newgen_109newsp.zip","2021.009F.R.Botourmiaviridae_6newgen_109newsp.zip")</f>
        <v>2021.009F.R.Botourmiaviridae_6newgen_109newsp.zip</v>
      </c>
      <c r="U7832" s="43" t="str">
        <f>HYPERLINK("https://ictv.global/taxonomy/taxondetails?taxnode_id=202213247","ictv.global=202213247")</f>
        <v>ictv.global=202213247</v>
      </c>
    </row>
    <row r="7833" spans="1:21">
      <c r="A7833">
        <v>7832</v>
      </c>
      <c r="B7833" s="29" t="s">
        <v>3223</v>
      </c>
      <c r="C7833" s="29"/>
      <c r="D7833" s="29" t="s">
        <v>4156</v>
      </c>
      <c r="E7833" s="29"/>
      <c r="F7833" s="29" t="s">
        <v>4202</v>
      </c>
      <c r="G7833" s="29"/>
      <c r="H7833" s="29" t="s">
        <v>4208</v>
      </c>
      <c r="I7833" s="29"/>
      <c r="J7833" s="29" t="s">
        <v>4209</v>
      </c>
      <c r="K7833" s="29"/>
      <c r="L7833" s="29" t="s">
        <v>3314</v>
      </c>
      <c r="M7833" s="29"/>
      <c r="N7833" s="29" t="s">
        <v>6543</v>
      </c>
      <c r="O7833" s="29"/>
      <c r="P7833" s="29" t="s">
        <v>12752</v>
      </c>
      <c r="Q7833" t="s">
        <v>2040</v>
      </c>
      <c r="R7833" t="s">
        <v>2632</v>
      </c>
      <c r="S7833">
        <v>37</v>
      </c>
      <c r="T7833" s="43" t="str">
        <f>HYPERLINK("https://ictv.global/ictv/proposals/2021.009F.R.Botourmiaviridae_6newgen_109newsp.zip","2021.009F.R.Botourmiaviridae_6newgen_109newsp.zip")</f>
        <v>2021.009F.R.Botourmiaviridae_6newgen_109newsp.zip</v>
      </c>
      <c r="U7833" s="43" t="str">
        <f>HYPERLINK("https://ictv.global/taxonomy/taxondetails?taxnode_id=202213248","ictv.global=202213248")</f>
        <v>ictv.global=202213248</v>
      </c>
    </row>
    <row r="7834" spans="1:21">
      <c r="A7834">
        <v>7833</v>
      </c>
      <c r="B7834" s="29" t="s">
        <v>3223</v>
      </c>
      <c r="C7834" s="29"/>
      <c r="D7834" s="29" t="s">
        <v>4156</v>
      </c>
      <c r="E7834" s="29"/>
      <c r="F7834" s="29" t="s">
        <v>4202</v>
      </c>
      <c r="G7834" s="29"/>
      <c r="H7834" s="29" t="s">
        <v>4208</v>
      </c>
      <c r="I7834" s="29"/>
      <c r="J7834" s="29" t="s">
        <v>4209</v>
      </c>
      <c r="K7834" s="29"/>
      <c r="L7834" s="29" t="s">
        <v>3314</v>
      </c>
      <c r="M7834" s="29"/>
      <c r="N7834" s="29" t="s">
        <v>3321</v>
      </c>
      <c r="O7834" s="29"/>
      <c r="P7834" s="29" t="s">
        <v>6545</v>
      </c>
      <c r="Q7834" t="s">
        <v>2040</v>
      </c>
      <c r="R7834" t="s">
        <v>2632</v>
      </c>
      <c r="S7834">
        <v>36</v>
      </c>
      <c r="T7834" s="43" t="str">
        <f>HYPERLINK("https://ictv.global/ictv/proposals/2020.001F.R.Botourmiaviridae.zip","2020.001F.R.Botourmiaviridae.zip")</f>
        <v>2020.001F.R.Botourmiaviridae.zip</v>
      </c>
      <c r="U7834" s="43" t="str">
        <f>HYPERLINK("https://ictv.global/taxonomy/taxondetails?taxnode_id=202208732","ictv.global=202208732")</f>
        <v>ictv.global=202208732</v>
      </c>
    </row>
    <row r="7835" spans="1:21">
      <c r="A7835">
        <v>7834</v>
      </c>
      <c r="B7835" s="29" t="s">
        <v>3223</v>
      </c>
      <c r="C7835" s="29"/>
      <c r="D7835" s="29" t="s">
        <v>4156</v>
      </c>
      <c r="E7835" s="29"/>
      <c r="F7835" s="29" t="s">
        <v>4202</v>
      </c>
      <c r="G7835" s="29"/>
      <c r="H7835" s="29" t="s">
        <v>4208</v>
      </c>
      <c r="I7835" s="29"/>
      <c r="J7835" s="29" t="s">
        <v>4209</v>
      </c>
      <c r="K7835" s="29"/>
      <c r="L7835" s="29" t="s">
        <v>3314</v>
      </c>
      <c r="M7835" s="29"/>
      <c r="N7835" s="29" t="s">
        <v>3321</v>
      </c>
      <c r="O7835" s="29"/>
      <c r="P7835" s="29" t="s">
        <v>6546</v>
      </c>
      <c r="Q7835" t="s">
        <v>2040</v>
      </c>
      <c r="R7835" t="s">
        <v>2632</v>
      </c>
      <c r="S7835">
        <v>36</v>
      </c>
      <c r="T7835" s="43" t="str">
        <f>HYPERLINK("https://ictv.global/ictv/proposals/2020.001F.R.Botourmiaviridae.zip","2020.001F.R.Botourmiaviridae.zip")</f>
        <v>2020.001F.R.Botourmiaviridae.zip</v>
      </c>
      <c r="U7835" s="43" t="str">
        <f>HYPERLINK("https://ictv.global/taxonomy/taxondetails?taxnode_id=202208733","ictv.global=202208733")</f>
        <v>ictv.global=202208733</v>
      </c>
    </row>
    <row r="7836" spans="1:21">
      <c r="A7836">
        <v>7835</v>
      </c>
      <c r="B7836" s="29" t="s">
        <v>3223</v>
      </c>
      <c r="C7836" s="29"/>
      <c r="D7836" s="29" t="s">
        <v>4156</v>
      </c>
      <c r="E7836" s="29"/>
      <c r="F7836" s="29" t="s">
        <v>4202</v>
      </c>
      <c r="G7836" s="29"/>
      <c r="H7836" s="29" t="s">
        <v>4208</v>
      </c>
      <c r="I7836" s="29"/>
      <c r="J7836" s="29" t="s">
        <v>4209</v>
      </c>
      <c r="K7836" s="29"/>
      <c r="L7836" s="29" t="s">
        <v>3314</v>
      </c>
      <c r="M7836" s="29"/>
      <c r="N7836" s="29" t="s">
        <v>3321</v>
      </c>
      <c r="O7836" s="29"/>
      <c r="P7836" s="29" t="s">
        <v>3322</v>
      </c>
      <c r="Q7836" t="s">
        <v>2040</v>
      </c>
      <c r="R7836" t="s">
        <v>6901</v>
      </c>
      <c r="S7836">
        <v>36</v>
      </c>
      <c r="T7836" s="43" t="str">
        <f>HYPERLINK("https://ictv.global/ictv/proposals/2020.001G.R.Abolish_type_species.pdf","2020.001G.R.Abolish_type_species.pdf")</f>
        <v>2020.001G.R.Abolish_type_species.pdf</v>
      </c>
      <c r="U7836" s="43" t="str">
        <f>HYPERLINK("https://ictv.global/taxonomy/taxondetails?taxnode_id=202206284","ictv.global=202206284")</f>
        <v>ictv.global=202206284</v>
      </c>
    </row>
    <row r="7837" spans="1:21">
      <c r="A7837">
        <v>7836</v>
      </c>
      <c r="B7837" s="29" t="s">
        <v>3223</v>
      </c>
      <c r="C7837" s="29"/>
      <c r="D7837" s="29" t="s">
        <v>4156</v>
      </c>
      <c r="E7837" s="29"/>
      <c r="F7837" s="29" t="s">
        <v>4202</v>
      </c>
      <c r="G7837" s="29"/>
      <c r="H7837" s="29" t="s">
        <v>4208</v>
      </c>
      <c r="I7837" s="29"/>
      <c r="J7837" s="29" t="s">
        <v>4209</v>
      </c>
      <c r="K7837" s="29"/>
      <c r="L7837" s="29" t="s">
        <v>3314</v>
      </c>
      <c r="M7837" s="29"/>
      <c r="N7837" s="29" t="s">
        <v>3321</v>
      </c>
      <c r="O7837" s="29"/>
      <c r="P7837" s="29" t="s">
        <v>12753</v>
      </c>
      <c r="Q7837" t="s">
        <v>2040</v>
      </c>
      <c r="R7837" t="s">
        <v>2632</v>
      </c>
      <c r="S7837">
        <v>38</v>
      </c>
      <c r="T7837" s="43" t="str">
        <f>HYPERLINK("https://ictv.global/ictv/proposals/2022.003F.Botourmiaviridae_15nsp.zip","2022.003F.Botourmiaviridae_15nsp.zip")</f>
        <v>2022.003F.Botourmiaviridae_15nsp.zip</v>
      </c>
      <c r="U7837" s="43" t="str">
        <f>HYPERLINK("https://ictv.global/taxonomy/taxondetails?taxnode_id=202215014","ictv.global=202215014")</f>
        <v>ictv.global=202215014</v>
      </c>
    </row>
    <row r="7838" spans="1:21">
      <c r="A7838">
        <v>7837</v>
      </c>
      <c r="B7838" s="29" t="s">
        <v>3223</v>
      </c>
      <c r="C7838" s="29"/>
      <c r="D7838" s="29" t="s">
        <v>4156</v>
      </c>
      <c r="E7838" s="29"/>
      <c r="F7838" s="29" t="s">
        <v>4202</v>
      </c>
      <c r="G7838" s="29"/>
      <c r="H7838" s="29" t="s">
        <v>4208</v>
      </c>
      <c r="I7838" s="29"/>
      <c r="J7838" s="29" t="s">
        <v>4209</v>
      </c>
      <c r="K7838" s="29"/>
      <c r="L7838" s="29" t="s">
        <v>3314</v>
      </c>
      <c r="M7838" s="29"/>
      <c r="N7838" s="29" t="s">
        <v>3321</v>
      </c>
      <c r="O7838" s="29"/>
      <c r="P7838" s="29" t="s">
        <v>12754</v>
      </c>
      <c r="Q7838" t="s">
        <v>2040</v>
      </c>
      <c r="R7838" t="s">
        <v>2632</v>
      </c>
      <c r="S7838">
        <v>38</v>
      </c>
      <c r="T7838" s="43" t="str">
        <f>HYPERLINK("https://ictv.global/ictv/proposals/2022.003F.Botourmiaviridae_15nsp.zip","2022.003F.Botourmiaviridae_15nsp.zip")</f>
        <v>2022.003F.Botourmiaviridae_15nsp.zip</v>
      </c>
      <c r="U7838" s="43" t="str">
        <f>HYPERLINK("https://ictv.global/taxonomy/taxondetails?taxnode_id=202215013","ictv.global=202215013")</f>
        <v>ictv.global=202215013</v>
      </c>
    </row>
    <row r="7839" spans="1:21">
      <c r="A7839">
        <v>7838</v>
      </c>
      <c r="B7839" s="29" t="s">
        <v>3223</v>
      </c>
      <c r="C7839" s="29"/>
      <c r="D7839" s="29" t="s">
        <v>4156</v>
      </c>
      <c r="E7839" s="29"/>
      <c r="F7839" s="29" t="s">
        <v>4202</v>
      </c>
      <c r="G7839" s="29"/>
      <c r="H7839" s="29" t="s">
        <v>4208</v>
      </c>
      <c r="I7839" s="29"/>
      <c r="J7839" s="29" t="s">
        <v>4209</v>
      </c>
      <c r="K7839" s="29"/>
      <c r="L7839" s="29" t="s">
        <v>3314</v>
      </c>
      <c r="M7839" s="29"/>
      <c r="N7839" s="29" t="s">
        <v>3321</v>
      </c>
      <c r="O7839" s="29"/>
      <c r="P7839" s="29" t="s">
        <v>12755</v>
      </c>
      <c r="Q7839" t="s">
        <v>2040</v>
      </c>
      <c r="R7839" t="s">
        <v>2632</v>
      </c>
      <c r="S7839">
        <v>37</v>
      </c>
      <c r="T7839" s="43" t="str">
        <f t="shared" ref="T7839:T7857" si="337">HYPERLINK("https://ictv.global/ictv/proposals/2021.009F.R.Botourmiaviridae_6newgen_109newsp.zip","2021.009F.R.Botourmiaviridae_6newgen_109newsp.zip")</f>
        <v>2021.009F.R.Botourmiaviridae_6newgen_109newsp.zip</v>
      </c>
      <c r="U7839" s="43" t="str">
        <f>HYPERLINK("https://ictv.global/taxonomy/taxondetails?taxnode_id=202212578","ictv.global=202212578")</f>
        <v>ictv.global=202212578</v>
      </c>
    </row>
    <row r="7840" spans="1:21">
      <c r="A7840">
        <v>7839</v>
      </c>
      <c r="B7840" s="29" t="s">
        <v>3223</v>
      </c>
      <c r="C7840" s="29"/>
      <c r="D7840" s="29" t="s">
        <v>4156</v>
      </c>
      <c r="E7840" s="29"/>
      <c r="F7840" s="29" t="s">
        <v>4202</v>
      </c>
      <c r="G7840" s="29"/>
      <c r="H7840" s="29" t="s">
        <v>4208</v>
      </c>
      <c r="I7840" s="29"/>
      <c r="J7840" s="29" t="s">
        <v>4209</v>
      </c>
      <c r="K7840" s="29"/>
      <c r="L7840" s="29" t="s">
        <v>3314</v>
      </c>
      <c r="M7840" s="29"/>
      <c r="N7840" s="29" t="s">
        <v>3321</v>
      </c>
      <c r="O7840" s="29"/>
      <c r="P7840" s="29" t="s">
        <v>12756</v>
      </c>
      <c r="Q7840" t="s">
        <v>2040</v>
      </c>
      <c r="R7840" t="s">
        <v>2632</v>
      </c>
      <c r="S7840">
        <v>37</v>
      </c>
      <c r="T7840" s="43" t="str">
        <f t="shared" si="337"/>
        <v>2021.009F.R.Botourmiaviridae_6newgen_109newsp.zip</v>
      </c>
      <c r="U7840" s="43" t="str">
        <f>HYPERLINK("https://ictv.global/taxonomy/taxondetails?taxnode_id=202212579","ictv.global=202212579")</f>
        <v>ictv.global=202212579</v>
      </c>
    </row>
    <row r="7841" spans="1:21">
      <c r="A7841">
        <v>7840</v>
      </c>
      <c r="B7841" s="29" t="s">
        <v>3223</v>
      </c>
      <c r="C7841" s="29"/>
      <c r="D7841" s="29" t="s">
        <v>4156</v>
      </c>
      <c r="E7841" s="29"/>
      <c r="F7841" s="29" t="s">
        <v>4202</v>
      </c>
      <c r="G7841" s="29"/>
      <c r="H7841" s="29" t="s">
        <v>4208</v>
      </c>
      <c r="I7841" s="29"/>
      <c r="J7841" s="29" t="s">
        <v>4209</v>
      </c>
      <c r="K7841" s="29"/>
      <c r="L7841" s="29" t="s">
        <v>3314</v>
      </c>
      <c r="M7841" s="29"/>
      <c r="N7841" s="29" t="s">
        <v>3321</v>
      </c>
      <c r="O7841" s="29"/>
      <c r="P7841" s="29" t="s">
        <v>12757</v>
      </c>
      <c r="Q7841" t="s">
        <v>2040</v>
      </c>
      <c r="R7841" t="s">
        <v>2632</v>
      </c>
      <c r="S7841">
        <v>37</v>
      </c>
      <c r="T7841" s="43" t="str">
        <f t="shared" si="337"/>
        <v>2021.009F.R.Botourmiaviridae_6newgen_109newsp.zip</v>
      </c>
      <c r="U7841" s="43" t="str">
        <f>HYPERLINK("https://ictv.global/taxonomy/taxondetails?taxnode_id=202212581","ictv.global=202212581")</f>
        <v>ictv.global=202212581</v>
      </c>
    </row>
    <row r="7842" spans="1:21">
      <c r="A7842">
        <v>7841</v>
      </c>
      <c r="B7842" s="29" t="s">
        <v>3223</v>
      </c>
      <c r="C7842" s="29"/>
      <c r="D7842" s="29" t="s">
        <v>4156</v>
      </c>
      <c r="E7842" s="29"/>
      <c r="F7842" s="29" t="s">
        <v>4202</v>
      </c>
      <c r="G7842" s="29"/>
      <c r="H7842" s="29" t="s">
        <v>4208</v>
      </c>
      <c r="I7842" s="29"/>
      <c r="J7842" s="29" t="s">
        <v>4209</v>
      </c>
      <c r="K7842" s="29"/>
      <c r="L7842" s="29" t="s">
        <v>3314</v>
      </c>
      <c r="M7842" s="29"/>
      <c r="N7842" s="29" t="s">
        <v>3321</v>
      </c>
      <c r="O7842" s="29"/>
      <c r="P7842" s="29" t="s">
        <v>12758</v>
      </c>
      <c r="Q7842" t="s">
        <v>2040</v>
      </c>
      <c r="R7842" t="s">
        <v>2632</v>
      </c>
      <c r="S7842">
        <v>37</v>
      </c>
      <c r="T7842" s="43" t="str">
        <f t="shared" si="337"/>
        <v>2021.009F.R.Botourmiaviridae_6newgen_109newsp.zip</v>
      </c>
      <c r="U7842" s="43" t="str">
        <f>HYPERLINK("https://ictv.global/taxonomy/taxondetails?taxnode_id=202212582","ictv.global=202212582")</f>
        <v>ictv.global=202212582</v>
      </c>
    </row>
    <row r="7843" spans="1:21">
      <c r="A7843">
        <v>7842</v>
      </c>
      <c r="B7843" s="29" t="s">
        <v>3223</v>
      </c>
      <c r="C7843" s="29"/>
      <c r="D7843" s="29" t="s">
        <v>4156</v>
      </c>
      <c r="E7843" s="29"/>
      <c r="F7843" s="29" t="s">
        <v>4202</v>
      </c>
      <c r="G7843" s="29"/>
      <c r="H7843" s="29" t="s">
        <v>4208</v>
      </c>
      <c r="I7843" s="29"/>
      <c r="J7843" s="29" t="s">
        <v>4209</v>
      </c>
      <c r="K7843" s="29"/>
      <c r="L7843" s="29" t="s">
        <v>3314</v>
      </c>
      <c r="M7843" s="29"/>
      <c r="N7843" s="29" t="s">
        <v>3321</v>
      </c>
      <c r="O7843" s="29"/>
      <c r="P7843" s="29" t="s">
        <v>12759</v>
      </c>
      <c r="Q7843" t="s">
        <v>2040</v>
      </c>
      <c r="R7843" t="s">
        <v>2632</v>
      </c>
      <c r="S7843">
        <v>37</v>
      </c>
      <c r="T7843" s="43" t="str">
        <f t="shared" si="337"/>
        <v>2021.009F.R.Botourmiaviridae_6newgen_109newsp.zip</v>
      </c>
      <c r="U7843" s="43" t="str">
        <f>HYPERLINK("https://ictv.global/taxonomy/taxondetails?taxnode_id=202212584","ictv.global=202212584")</f>
        <v>ictv.global=202212584</v>
      </c>
    </row>
    <row r="7844" spans="1:21">
      <c r="A7844">
        <v>7843</v>
      </c>
      <c r="B7844" s="29" t="s">
        <v>3223</v>
      </c>
      <c r="C7844" s="29"/>
      <c r="D7844" s="29" t="s">
        <v>4156</v>
      </c>
      <c r="E7844" s="29"/>
      <c r="F7844" s="29" t="s">
        <v>4202</v>
      </c>
      <c r="G7844" s="29"/>
      <c r="H7844" s="29" t="s">
        <v>4208</v>
      </c>
      <c r="I7844" s="29"/>
      <c r="J7844" s="29" t="s">
        <v>4209</v>
      </c>
      <c r="K7844" s="29"/>
      <c r="L7844" s="29" t="s">
        <v>3314</v>
      </c>
      <c r="M7844" s="29"/>
      <c r="N7844" s="29" t="s">
        <v>3321</v>
      </c>
      <c r="O7844" s="29"/>
      <c r="P7844" s="29" t="s">
        <v>12760</v>
      </c>
      <c r="Q7844" t="s">
        <v>2040</v>
      </c>
      <c r="R7844" t="s">
        <v>2632</v>
      </c>
      <c r="S7844">
        <v>37</v>
      </c>
      <c r="T7844" s="43" t="str">
        <f t="shared" si="337"/>
        <v>2021.009F.R.Botourmiaviridae_6newgen_109newsp.zip</v>
      </c>
      <c r="U7844" s="43" t="str">
        <f>HYPERLINK("https://ictv.global/taxonomy/taxondetails?taxnode_id=202212580","ictv.global=202212580")</f>
        <v>ictv.global=202212580</v>
      </c>
    </row>
    <row r="7845" spans="1:21">
      <c r="A7845">
        <v>7844</v>
      </c>
      <c r="B7845" s="29" t="s">
        <v>3223</v>
      </c>
      <c r="C7845" s="29"/>
      <c r="D7845" s="29" t="s">
        <v>4156</v>
      </c>
      <c r="E7845" s="29"/>
      <c r="F7845" s="29" t="s">
        <v>4202</v>
      </c>
      <c r="G7845" s="29"/>
      <c r="H7845" s="29" t="s">
        <v>4208</v>
      </c>
      <c r="I7845" s="29"/>
      <c r="J7845" s="29" t="s">
        <v>4209</v>
      </c>
      <c r="K7845" s="29"/>
      <c r="L7845" s="29" t="s">
        <v>3314</v>
      </c>
      <c r="M7845" s="29"/>
      <c r="N7845" s="29" t="s">
        <v>3321</v>
      </c>
      <c r="O7845" s="29"/>
      <c r="P7845" s="29" t="s">
        <v>12761</v>
      </c>
      <c r="Q7845" t="s">
        <v>2040</v>
      </c>
      <c r="R7845" t="s">
        <v>2632</v>
      </c>
      <c r="S7845">
        <v>37</v>
      </c>
      <c r="T7845" s="43" t="str">
        <f t="shared" si="337"/>
        <v>2021.009F.R.Botourmiaviridae_6newgen_109newsp.zip</v>
      </c>
      <c r="U7845" s="43" t="str">
        <f>HYPERLINK("https://ictv.global/taxonomy/taxondetails?taxnode_id=202212586","ictv.global=202212586")</f>
        <v>ictv.global=202212586</v>
      </c>
    </row>
    <row r="7846" spans="1:21">
      <c r="A7846">
        <v>7845</v>
      </c>
      <c r="B7846" s="29" t="s">
        <v>3223</v>
      </c>
      <c r="C7846" s="29"/>
      <c r="D7846" s="29" t="s">
        <v>4156</v>
      </c>
      <c r="E7846" s="29"/>
      <c r="F7846" s="29" t="s">
        <v>4202</v>
      </c>
      <c r="G7846" s="29"/>
      <c r="H7846" s="29" t="s">
        <v>4208</v>
      </c>
      <c r="I7846" s="29"/>
      <c r="J7846" s="29" t="s">
        <v>4209</v>
      </c>
      <c r="K7846" s="29"/>
      <c r="L7846" s="29" t="s">
        <v>3314</v>
      </c>
      <c r="M7846" s="29"/>
      <c r="N7846" s="29" t="s">
        <v>3321</v>
      </c>
      <c r="O7846" s="29"/>
      <c r="P7846" s="29" t="s">
        <v>12762</v>
      </c>
      <c r="Q7846" t="s">
        <v>2040</v>
      </c>
      <c r="R7846" t="s">
        <v>2632</v>
      </c>
      <c r="S7846">
        <v>37</v>
      </c>
      <c r="T7846" s="43" t="str">
        <f t="shared" si="337"/>
        <v>2021.009F.R.Botourmiaviridae_6newgen_109newsp.zip</v>
      </c>
      <c r="U7846" s="43" t="str">
        <f>HYPERLINK("https://ictv.global/taxonomy/taxondetails?taxnode_id=202212587","ictv.global=202212587")</f>
        <v>ictv.global=202212587</v>
      </c>
    </row>
    <row r="7847" spans="1:21">
      <c r="A7847">
        <v>7846</v>
      </c>
      <c r="B7847" s="29" t="s">
        <v>3223</v>
      </c>
      <c r="C7847" s="29"/>
      <c r="D7847" s="29" t="s">
        <v>4156</v>
      </c>
      <c r="E7847" s="29"/>
      <c r="F7847" s="29" t="s">
        <v>4202</v>
      </c>
      <c r="G7847" s="29"/>
      <c r="H7847" s="29" t="s">
        <v>4208</v>
      </c>
      <c r="I7847" s="29"/>
      <c r="J7847" s="29" t="s">
        <v>4209</v>
      </c>
      <c r="K7847" s="29"/>
      <c r="L7847" s="29" t="s">
        <v>3314</v>
      </c>
      <c r="M7847" s="29"/>
      <c r="N7847" s="29" t="s">
        <v>3321</v>
      </c>
      <c r="O7847" s="29"/>
      <c r="P7847" s="29" t="s">
        <v>12763</v>
      </c>
      <c r="Q7847" t="s">
        <v>2040</v>
      </c>
      <c r="R7847" t="s">
        <v>2632</v>
      </c>
      <c r="S7847">
        <v>37</v>
      </c>
      <c r="T7847" s="43" t="str">
        <f t="shared" si="337"/>
        <v>2021.009F.R.Botourmiaviridae_6newgen_109newsp.zip</v>
      </c>
      <c r="U7847" s="43" t="str">
        <f>HYPERLINK("https://ictv.global/taxonomy/taxondetails?taxnode_id=202212588","ictv.global=202212588")</f>
        <v>ictv.global=202212588</v>
      </c>
    </row>
    <row r="7848" spans="1:21">
      <c r="A7848">
        <v>7847</v>
      </c>
      <c r="B7848" s="29" t="s">
        <v>3223</v>
      </c>
      <c r="C7848" s="29"/>
      <c r="D7848" s="29" t="s">
        <v>4156</v>
      </c>
      <c r="E7848" s="29"/>
      <c r="F7848" s="29" t="s">
        <v>4202</v>
      </c>
      <c r="G7848" s="29"/>
      <c r="H7848" s="29" t="s">
        <v>4208</v>
      </c>
      <c r="I7848" s="29"/>
      <c r="J7848" s="29" t="s">
        <v>4209</v>
      </c>
      <c r="K7848" s="29"/>
      <c r="L7848" s="29" t="s">
        <v>3314</v>
      </c>
      <c r="M7848" s="29"/>
      <c r="N7848" s="29" t="s">
        <v>3321</v>
      </c>
      <c r="O7848" s="29"/>
      <c r="P7848" s="29" t="s">
        <v>12764</v>
      </c>
      <c r="Q7848" t="s">
        <v>2040</v>
      </c>
      <c r="R7848" t="s">
        <v>2632</v>
      </c>
      <c r="S7848">
        <v>37</v>
      </c>
      <c r="T7848" s="43" t="str">
        <f t="shared" si="337"/>
        <v>2021.009F.R.Botourmiaviridae_6newgen_109newsp.zip</v>
      </c>
      <c r="U7848" s="43" t="str">
        <f>HYPERLINK("https://ictv.global/taxonomy/taxondetails?taxnode_id=202212589","ictv.global=202212589")</f>
        <v>ictv.global=202212589</v>
      </c>
    </row>
    <row r="7849" spans="1:21">
      <c r="A7849">
        <v>7848</v>
      </c>
      <c r="B7849" s="29" t="s">
        <v>3223</v>
      </c>
      <c r="C7849" s="29"/>
      <c r="D7849" s="29" t="s">
        <v>4156</v>
      </c>
      <c r="E7849" s="29"/>
      <c r="F7849" s="29" t="s">
        <v>4202</v>
      </c>
      <c r="G7849" s="29"/>
      <c r="H7849" s="29" t="s">
        <v>4208</v>
      </c>
      <c r="I7849" s="29"/>
      <c r="J7849" s="29" t="s">
        <v>4209</v>
      </c>
      <c r="K7849" s="29"/>
      <c r="L7849" s="29" t="s">
        <v>3314</v>
      </c>
      <c r="M7849" s="29"/>
      <c r="N7849" s="29" t="s">
        <v>3321</v>
      </c>
      <c r="O7849" s="29"/>
      <c r="P7849" s="29" t="s">
        <v>12765</v>
      </c>
      <c r="Q7849" t="s">
        <v>2040</v>
      </c>
      <c r="R7849" t="s">
        <v>2632</v>
      </c>
      <c r="S7849">
        <v>37</v>
      </c>
      <c r="T7849" s="43" t="str">
        <f t="shared" si="337"/>
        <v>2021.009F.R.Botourmiaviridae_6newgen_109newsp.zip</v>
      </c>
      <c r="U7849" s="43" t="str">
        <f>HYPERLINK("https://ictv.global/taxonomy/taxondetails?taxnode_id=202212590","ictv.global=202212590")</f>
        <v>ictv.global=202212590</v>
      </c>
    </row>
    <row r="7850" spans="1:21">
      <c r="A7850">
        <v>7849</v>
      </c>
      <c r="B7850" s="29" t="s">
        <v>3223</v>
      </c>
      <c r="C7850" s="29"/>
      <c r="D7850" s="29" t="s">
        <v>4156</v>
      </c>
      <c r="E7850" s="29"/>
      <c r="F7850" s="29" t="s">
        <v>4202</v>
      </c>
      <c r="G7850" s="29"/>
      <c r="H7850" s="29" t="s">
        <v>4208</v>
      </c>
      <c r="I7850" s="29"/>
      <c r="J7850" s="29" t="s">
        <v>4209</v>
      </c>
      <c r="K7850" s="29"/>
      <c r="L7850" s="29" t="s">
        <v>3314</v>
      </c>
      <c r="M7850" s="29"/>
      <c r="N7850" s="29" t="s">
        <v>3321</v>
      </c>
      <c r="O7850" s="29"/>
      <c r="P7850" s="29" t="s">
        <v>12766</v>
      </c>
      <c r="Q7850" t="s">
        <v>2040</v>
      </c>
      <c r="R7850" t="s">
        <v>2632</v>
      </c>
      <c r="S7850">
        <v>37</v>
      </c>
      <c r="T7850" s="43" t="str">
        <f t="shared" si="337"/>
        <v>2021.009F.R.Botourmiaviridae_6newgen_109newsp.zip</v>
      </c>
      <c r="U7850" s="43" t="str">
        <f>HYPERLINK("https://ictv.global/taxonomy/taxondetails?taxnode_id=202212596","ictv.global=202212596")</f>
        <v>ictv.global=202212596</v>
      </c>
    </row>
    <row r="7851" spans="1:21">
      <c r="A7851">
        <v>7850</v>
      </c>
      <c r="B7851" s="29" t="s">
        <v>3223</v>
      </c>
      <c r="C7851" s="29"/>
      <c r="D7851" s="29" t="s">
        <v>4156</v>
      </c>
      <c r="E7851" s="29"/>
      <c r="F7851" s="29" t="s">
        <v>4202</v>
      </c>
      <c r="G7851" s="29"/>
      <c r="H7851" s="29" t="s">
        <v>4208</v>
      </c>
      <c r="I7851" s="29"/>
      <c r="J7851" s="29" t="s">
        <v>4209</v>
      </c>
      <c r="K7851" s="29"/>
      <c r="L7851" s="29" t="s">
        <v>3314</v>
      </c>
      <c r="M7851" s="29"/>
      <c r="N7851" s="29" t="s">
        <v>3321</v>
      </c>
      <c r="O7851" s="29"/>
      <c r="P7851" s="29" t="s">
        <v>12767</v>
      </c>
      <c r="Q7851" t="s">
        <v>2040</v>
      </c>
      <c r="R7851" t="s">
        <v>2632</v>
      </c>
      <c r="S7851">
        <v>37</v>
      </c>
      <c r="T7851" s="43" t="str">
        <f t="shared" si="337"/>
        <v>2021.009F.R.Botourmiaviridae_6newgen_109newsp.zip</v>
      </c>
      <c r="U7851" s="43" t="str">
        <f>HYPERLINK("https://ictv.global/taxonomy/taxondetails?taxnode_id=202212592","ictv.global=202212592")</f>
        <v>ictv.global=202212592</v>
      </c>
    </row>
    <row r="7852" spans="1:21">
      <c r="A7852">
        <v>7851</v>
      </c>
      <c r="B7852" s="29" t="s">
        <v>3223</v>
      </c>
      <c r="C7852" s="29"/>
      <c r="D7852" s="29" t="s">
        <v>4156</v>
      </c>
      <c r="E7852" s="29"/>
      <c r="F7852" s="29" t="s">
        <v>4202</v>
      </c>
      <c r="G7852" s="29"/>
      <c r="H7852" s="29" t="s">
        <v>4208</v>
      </c>
      <c r="I7852" s="29"/>
      <c r="J7852" s="29" t="s">
        <v>4209</v>
      </c>
      <c r="K7852" s="29"/>
      <c r="L7852" s="29" t="s">
        <v>3314</v>
      </c>
      <c r="M7852" s="29"/>
      <c r="N7852" s="29" t="s">
        <v>3321</v>
      </c>
      <c r="O7852" s="29"/>
      <c r="P7852" s="29" t="s">
        <v>12768</v>
      </c>
      <c r="Q7852" t="s">
        <v>2040</v>
      </c>
      <c r="R7852" t="s">
        <v>2632</v>
      </c>
      <c r="S7852">
        <v>37</v>
      </c>
      <c r="T7852" s="43" t="str">
        <f t="shared" si="337"/>
        <v>2021.009F.R.Botourmiaviridae_6newgen_109newsp.zip</v>
      </c>
      <c r="U7852" s="43" t="str">
        <f>HYPERLINK("https://ictv.global/taxonomy/taxondetails?taxnode_id=202212593","ictv.global=202212593")</f>
        <v>ictv.global=202212593</v>
      </c>
    </row>
    <row r="7853" spans="1:21">
      <c r="A7853">
        <v>7852</v>
      </c>
      <c r="B7853" s="29" t="s">
        <v>3223</v>
      </c>
      <c r="C7853" s="29"/>
      <c r="D7853" s="29" t="s">
        <v>4156</v>
      </c>
      <c r="E7853" s="29"/>
      <c r="F7853" s="29" t="s">
        <v>4202</v>
      </c>
      <c r="G7853" s="29"/>
      <c r="H7853" s="29" t="s">
        <v>4208</v>
      </c>
      <c r="I7853" s="29"/>
      <c r="J7853" s="29" t="s">
        <v>4209</v>
      </c>
      <c r="K7853" s="29"/>
      <c r="L7853" s="29" t="s">
        <v>3314</v>
      </c>
      <c r="M7853" s="29"/>
      <c r="N7853" s="29" t="s">
        <v>3321</v>
      </c>
      <c r="O7853" s="29"/>
      <c r="P7853" s="29" t="s">
        <v>12769</v>
      </c>
      <c r="Q7853" t="s">
        <v>2040</v>
      </c>
      <c r="R7853" t="s">
        <v>2632</v>
      </c>
      <c r="S7853">
        <v>37</v>
      </c>
      <c r="T7853" s="43" t="str">
        <f t="shared" si="337"/>
        <v>2021.009F.R.Botourmiaviridae_6newgen_109newsp.zip</v>
      </c>
      <c r="U7853" s="43" t="str">
        <f>HYPERLINK("https://ictv.global/taxonomy/taxondetails?taxnode_id=202212594","ictv.global=202212594")</f>
        <v>ictv.global=202212594</v>
      </c>
    </row>
    <row r="7854" spans="1:21">
      <c r="A7854">
        <v>7853</v>
      </c>
      <c r="B7854" s="29" t="s">
        <v>3223</v>
      </c>
      <c r="C7854" s="29"/>
      <c r="D7854" s="29" t="s">
        <v>4156</v>
      </c>
      <c r="E7854" s="29"/>
      <c r="F7854" s="29" t="s">
        <v>4202</v>
      </c>
      <c r="G7854" s="29"/>
      <c r="H7854" s="29" t="s">
        <v>4208</v>
      </c>
      <c r="I7854" s="29"/>
      <c r="J7854" s="29" t="s">
        <v>4209</v>
      </c>
      <c r="K7854" s="29"/>
      <c r="L7854" s="29" t="s">
        <v>3314</v>
      </c>
      <c r="M7854" s="29"/>
      <c r="N7854" s="29" t="s">
        <v>3321</v>
      </c>
      <c r="O7854" s="29"/>
      <c r="P7854" s="29" t="s">
        <v>12770</v>
      </c>
      <c r="Q7854" t="s">
        <v>2040</v>
      </c>
      <c r="R7854" t="s">
        <v>2632</v>
      </c>
      <c r="S7854">
        <v>37</v>
      </c>
      <c r="T7854" s="43" t="str">
        <f t="shared" si="337"/>
        <v>2021.009F.R.Botourmiaviridae_6newgen_109newsp.zip</v>
      </c>
      <c r="U7854" s="43" t="str">
        <f>HYPERLINK("https://ictv.global/taxonomy/taxondetails?taxnode_id=202212595","ictv.global=202212595")</f>
        <v>ictv.global=202212595</v>
      </c>
    </row>
    <row r="7855" spans="1:21">
      <c r="A7855">
        <v>7854</v>
      </c>
      <c r="B7855" s="29" t="s">
        <v>3223</v>
      </c>
      <c r="C7855" s="29"/>
      <c r="D7855" s="29" t="s">
        <v>4156</v>
      </c>
      <c r="E7855" s="29"/>
      <c r="F7855" s="29" t="s">
        <v>4202</v>
      </c>
      <c r="G7855" s="29"/>
      <c r="H7855" s="29" t="s">
        <v>4208</v>
      </c>
      <c r="I7855" s="29"/>
      <c r="J7855" s="29" t="s">
        <v>4209</v>
      </c>
      <c r="K7855" s="29"/>
      <c r="L7855" s="29" t="s">
        <v>3314</v>
      </c>
      <c r="M7855" s="29"/>
      <c r="N7855" s="29" t="s">
        <v>3321</v>
      </c>
      <c r="O7855" s="29"/>
      <c r="P7855" s="29" t="s">
        <v>12771</v>
      </c>
      <c r="Q7855" t="s">
        <v>2040</v>
      </c>
      <c r="R7855" t="s">
        <v>2632</v>
      </c>
      <c r="S7855">
        <v>37</v>
      </c>
      <c r="T7855" s="43" t="str">
        <f t="shared" si="337"/>
        <v>2021.009F.R.Botourmiaviridae_6newgen_109newsp.zip</v>
      </c>
      <c r="U7855" s="43" t="str">
        <f>HYPERLINK("https://ictv.global/taxonomy/taxondetails?taxnode_id=202212585","ictv.global=202212585")</f>
        <v>ictv.global=202212585</v>
      </c>
    </row>
    <row r="7856" spans="1:21">
      <c r="A7856">
        <v>7855</v>
      </c>
      <c r="B7856" s="29" t="s">
        <v>3223</v>
      </c>
      <c r="C7856" s="29"/>
      <c r="D7856" s="29" t="s">
        <v>4156</v>
      </c>
      <c r="E7856" s="29"/>
      <c r="F7856" s="29" t="s">
        <v>4202</v>
      </c>
      <c r="G7856" s="29"/>
      <c r="H7856" s="29" t="s">
        <v>4208</v>
      </c>
      <c r="I7856" s="29"/>
      <c r="J7856" s="29" t="s">
        <v>4209</v>
      </c>
      <c r="K7856" s="29"/>
      <c r="L7856" s="29" t="s">
        <v>3314</v>
      </c>
      <c r="M7856" s="29"/>
      <c r="N7856" s="29" t="s">
        <v>3321</v>
      </c>
      <c r="O7856" s="29"/>
      <c r="P7856" s="29" t="s">
        <v>12772</v>
      </c>
      <c r="Q7856" t="s">
        <v>2040</v>
      </c>
      <c r="R7856" t="s">
        <v>2632</v>
      </c>
      <c r="S7856">
        <v>37</v>
      </c>
      <c r="T7856" s="43" t="str">
        <f t="shared" si="337"/>
        <v>2021.009F.R.Botourmiaviridae_6newgen_109newsp.zip</v>
      </c>
      <c r="U7856" s="43" t="str">
        <f>HYPERLINK("https://ictv.global/taxonomy/taxondetails?taxnode_id=202212591","ictv.global=202212591")</f>
        <v>ictv.global=202212591</v>
      </c>
    </row>
    <row r="7857" spans="1:21">
      <c r="A7857">
        <v>7856</v>
      </c>
      <c r="B7857" s="29" t="s">
        <v>3223</v>
      </c>
      <c r="C7857" s="29"/>
      <c r="D7857" s="29" t="s">
        <v>4156</v>
      </c>
      <c r="E7857" s="29"/>
      <c r="F7857" s="29" t="s">
        <v>4202</v>
      </c>
      <c r="G7857" s="29"/>
      <c r="H7857" s="29" t="s">
        <v>4208</v>
      </c>
      <c r="I7857" s="29"/>
      <c r="J7857" s="29" t="s">
        <v>4209</v>
      </c>
      <c r="K7857" s="29"/>
      <c r="L7857" s="29" t="s">
        <v>3314</v>
      </c>
      <c r="M7857" s="29"/>
      <c r="N7857" s="29" t="s">
        <v>3321</v>
      </c>
      <c r="O7857" s="29"/>
      <c r="P7857" s="29" t="s">
        <v>12773</v>
      </c>
      <c r="Q7857" t="s">
        <v>2040</v>
      </c>
      <c r="R7857" t="s">
        <v>2632</v>
      </c>
      <c r="S7857">
        <v>37</v>
      </c>
      <c r="T7857" s="43" t="str">
        <f t="shared" si="337"/>
        <v>2021.009F.R.Botourmiaviridae_6newgen_109newsp.zip</v>
      </c>
      <c r="U7857" s="43" t="str">
        <f>HYPERLINK("https://ictv.global/taxonomy/taxondetails?taxnode_id=202212583","ictv.global=202212583")</f>
        <v>ictv.global=202212583</v>
      </c>
    </row>
    <row r="7858" spans="1:21">
      <c r="A7858">
        <v>7857</v>
      </c>
      <c r="B7858" s="29" t="s">
        <v>3223</v>
      </c>
      <c r="C7858" s="29"/>
      <c r="D7858" s="29" t="s">
        <v>4156</v>
      </c>
      <c r="E7858" s="29"/>
      <c r="F7858" s="29" t="s">
        <v>4202</v>
      </c>
      <c r="G7858" s="29"/>
      <c r="H7858" s="29" t="s">
        <v>4208</v>
      </c>
      <c r="I7858" s="29"/>
      <c r="J7858" s="29" t="s">
        <v>4209</v>
      </c>
      <c r="K7858" s="29"/>
      <c r="L7858" s="29" t="s">
        <v>3314</v>
      </c>
      <c r="M7858" s="29"/>
      <c r="N7858" s="29" t="s">
        <v>3321</v>
      </c>
      <c r="O7858" s="29"/>
      <c r="P7858" s="29" t="s">
        <v>3323</v>
      </c>
      <c r="Q7858" t="s">
        <v>2040</v>
      </c>
      <c r="R7858" t="s">
        <v>2634</v>
      </c>
      <c r="S7858">
        <v>35</v>
      </c>
      <c r="T7858" s="43" t="str">
        <f>HYPERLINK("https://ictv.global/ictv/proposals/2019.006G.zip","2019.006G.zip")</f>
        <v>2019.006G.zip</v>
      </c>
      <c r="U7858" s="43" t="str">
        <f>HYPERLINK("https://ictv.global/taxonomy/taxondetails?taxnode_id=202206285","ictv.global=202206285")</f>
        <v>ictv.global=202206285</v>
      </c>
    </row>
    <row r="7859" spans="1:21">
      <c r="A7859">
        <v>7858</v>
      </c>
      <c r="B7859" s="29" t="s">
        <v>3223</v>
      </c>
      <c r="C7859" s="29"/>
      <c r="D7859" s="29" t="s">
        <v>4156</v>
      </c>
      <c r="E7859" s="29"/>
      <c r="F7859" s="29" t="s">
        <v>4202</v>
      </c>
      <c r="G7859" s="29"/>
      <c r="H7859" s="29" t="s">
        <v>4208</v>
      </c>
      <c r="I7859" s="29"/>
      <c r="J7859" s="29" t="s">
        <v>4209</v>
      </c>
      <c r="K7859" s="29"/>
      <c r="L7859" s="29" t="s">
        <v>3314</v>
      </c>
      <c r="M7859" s="29"/>
      <c r="N7859" s="29" t="s">
        <v>3321</v>
      </c>
      <c r="O7859" s="29"/>
      <c r="P7859" s="29" t="s">
        <v>3324</v>
      </c>
      <c r="Q7859" t="s">
        <v>2040</v>
      </c>
      <c r="R7859" t="s">
        <v>2634</v>
      </c>
      <c r="S7859">
        <v>35</v>
      </c>
      <c r="T7859" s="43" t="str">
        <f>HYPERLINK("https://ictv.global/ictv/proposals/2019.006G.zip","2019.006G.zip")</f>
        <v>2019.006G.zip</v>
      </c>
      <c r="U7859" s="43" t="str">
        <f>HYPERLINK("https://ictv.global/taxonomy/taxondetails?taxnode_id=202206286","ictv.global=202206286")</f>
        <v>ictv.global=202206286</v>
      </c>
    </row>
    <row r="7860" spans="1:21">
      <c r="A7860">
        <v>7859</v>
      </c>
      <c r="B7860" s="29" t="s">
        <v>3223</v>
      </c>
      <c r="C7860" s="29"/>
      <c r="D7860" s="29" t="s">
        <v>4156</v>
      </c>
      <c r="E7860" s="29"/>
      <c r="F7860" s="29" t="s">
        <v>2998</v>
      </c>
      <c r="G7860" s="29" t="s">
        <v>2999</v>
      </c>
      <c r="H7860" s="29" t="s">
        <v>3000</v>
      </c>
      <c r="I7860" s="29"/>
      <c r="J7860" s="29" t="s">
        <v>3001</v>
      </c>
      <c r="K7860" s="29"/>
      <c r="L7860" s="29" t="s">
        <v>3002</v>
      </c>
      <c r="M7860" s="29"/>
      <c r="N7860" s="29" t="s">
        <v>3003</v>
      </c>
      <c r="O7860" s="29"/>
      <c r="P7860" s="29" t="s">
        <v>12774</v>
      </c>
      <c r="Q7860" t="s">
        <v>2039</v>
      </c>
      <c r="R7860" t="s">
        <v>2635</v>
      </c>
      <c r="S7860">
        <v>37</v>
      </c>
      <c r="T7860" s="43" t="str">
        <f t="shared" ref="T7860:T7867" si="338">HYPERLINK("https://ictv.global/ictv/proposals/2021.018M.R.Negarnaviricota_sprename.zip","2021.018M.R.Negarnaviricota_sprename.zip")</f>
        <v>2021.018M.R.Negarnaviricota_sprename.zip</v>
      </c>
      <c r="U7860" s="43" t="str">
        <f>HYPERLINK("https://ictv.global/taxonomy/taxondetails?taxnode_id=202206030","ictv.global=202206030")</f>
        <v>ictv.global=202206030</v>
      </c>
    </row>
    <row r="7861" spans="1:21">
      <c r="A7861">
        <v>7860</v>
      </c>
      <c r="B7861" s="29" t="s">
        <v>3223</v>
      </c>
      <c r="C7861" s="29"/>
      <c r="D7861" s="29" t="s">
        <v>4156</v>
      </c>
      <c r="E7861" s="29"/>
      <c r="F7861" s="29" t="s">
        <v>2998</v>
      </c>
      <c r="G7861" s="29" t="s">
        <v>2999</v>
      </c>
      <c r="H7861" s="29" t="s">
        <v>3000</v>
      </c>
      <c r="I7861" s="29"/>
      <c r="J7861" s="29" t="s">
        <v>3001</v>
      </c>
      <c r="K7861" s="29"/>
      <c r="L7861" s="29" t="s">
        <v>3002</v>
      </c>
      <c r="M7861" s="29"/>
      <c r="N7861" s="29" t="s">
        <v>3003</v>
      </c>
      <c r="O7861" s="29"/>
      <c r="P7861" s="29" t="s">
        <v>12775</v>
      </c>
      <c r="Q7861" t="s">
        <v>2039</v>
      </c>
      <c r="R7861" t="s">
        <v>2635</v>
      </c>
      <c r="S7861">
        <v>37</v>
      </c>
      <c r="T7861" s="43" t="str">
        <f t="shared" si="338"/>
        <v>2021.018M.R.Negarnaviricota_sprename.zip</v>
      </c>
      <c r="U7861" s="43" t="str">
        <f>HYPERLINK("https://ictv.global/taxonomy/taxondetails?taxnode_id=202206031","ictv.global=202206031")</f>
        <v>ictv.global=202206031</v>
      </c>
    </row>
    <row r="7862" spans="1:21">
      <c r="A7862">
        <v>7861</v>
      </c>
      <c r="B7862" s="29" t="s">
        <v>3223</v>
      </c>
      <c r="C7862" s="29"/>
      <c r="D7862" s="29" t="s">
        <v>4156</v>
      </c>
      <c r="E7862" s="29"/>
      <c r="F7862" s="29" t="s">
        <v>2998</v>
      </c>
      <c r="G7862" s="29" t="s">
        <v>2999</v>
      </c>
      <c r="H7862" s="29" t="s">
        <v>3000</v>
      </c>
      <c r="I7862" s="29"/>
      <c r="J7862" s="29" t="s">
        <v>3001</v>
      </c>
      <c r="K7862" s="29"/>
      <c r="L7862" s="29" t="s">
        <v>3002</v>
      </c>
      <c r="M7862" s="29"/>
      <c r="N7862" s="29" t="s">
        <v>3003</v>
      </c>
      <c r="O7862" s="29"/>
      <c r="P7862" s="29" t="s">
        <v>12776</v>
      </c>
      <c r="Q7862" t="s">
        <v>2039</v>
      </c>
      <c r="R7862" t="s">
        <v>2635</v>
      </c>
      <c r="S7862">
        <v>37</v>
      </c>
      <c r="T7862" s="43" t="str">
        <f t="shared" si="338"/>
        <v>2021.018M.R.Negarnaviricota_sprename.zip</v>
      </c>
      <c r="U7862" s="43" t="str">
        <f>HYPERLINK("https://ictv.global/taxonomy/taxondetails?taxnode_id=202206032","ictv.global=202206032")</f>
        <v>ictv.global=202206032</v>
      </c>
    </row>
    <row r="7863" spans="1:21">
      <c r="A7863">
        <v>7862</v>
      </c>
      <c r="B7863" s="29" t="s">
        <v>3223</v>
      </c>
      <c r="C7863" s="29"/>
      <c r="D7863" s="29" t="s">
        <v>4156</v>
      </c>
      <c r="E7863" s="29"/>
      <c r="F7863" s="29" t="s">
        <v>2998</v>
      </c>
      <c r="G7863" s="29" t="s">
        <v>2999</v>
      </c>
      <c r="H7863" s="29" t="s">
        <v>3000</v>
      </c>
      <c r="I7863" s="29"/>
      <c r="J7863" s="29" t="s">
        <v>3001</v>
      </c>
      <c r="K7863" s="29"/>
      <c r="L7863" s="29" t="s">
        <v>3002</v>
      </c>
      <c r="M7863" s="29"/>
      <c r="N7863" s="29" t="s">
        <v>3003</v>
      </c>
      <c r="O7863" s="29"/>
      <c r="P7863" s="29" t="s">
        <v>12777</v>
      </c>
      <c r="Q7863" t="s">
        <v>2039</v>
      </c>
      <c r="R7863" t="s">
        <v>2635</v>
      </c>
      <c r="S7863">
        <v>37</v>
      </c>
      <c r="T7863" s="43" t="str">
        <f t="shared" si="338"/>
        <v>2021.018M.R.Negarnaviricota_sprename.zip</v>
      </c>
      <c r="U7863" s="43" t="str">
        <f>HYPERLINK("https://ictv.global/taxonomy/taxondetails?taxnode_id=202206033","ictv.global=202206033")</f>
        <v>ictv.global=202206033</v>
      </c>
    </row>
    <row r="7864" spans="1:21">
      <c r="A7864">
        <v>7863</v>
      </c>
      <c r="B7864" s="29" t="s">
        <v>3223</v>
      </c>
      <c r="C7864" s="29"/>
      <c r="D7864" s="29" t="s">
        <v>4156</v>
      </c>
      <c r="E7864" s="29"/>
      <c r="F7864" s="29" t="s">
        <v>2998</v>
      </c>
      <c r="G7864" s="29" t="s">
        <v>2999</v>
      </c>
      <c r="H7864" s="29" t="s">
        <v>3000</v>
      </c>
      <c r="I7864" s="29"/>
      <c r="J7864" s="29" t="s">
        <v>3001</v>
      </c>
      <c r="K7864" s="29"/>
      <c r="L7864" s="29" t="s">
        <v>3002</v>
      </c>
      <c r="M7864" s="29"/>
      <c r="N7864" s="29" t="s">
        <v>3003</v>
      </c>
      <c r="O7864" s="29"/>
      <c r="P7864" s="29" t="s">
        <v>12778</v>
      </c>
      <c r="Q7864" t="s">
        <v>2039</v>
      </c>
      <c r="R7864" t="s">
        <v>2635</v>
      </c>
      <c r="S7864">
        <v>37</v>
      </c>
      <c r="T7864" s="43" t="str">
        <f t="shared" si="338"/>
        <v>2021.018M.R.Negarnaviricota_sprename.zip</v>
      </c>
      <c r="U7864" s="43" t="str">
        <f>HYPERLINK("https://ictv.global/taxonomy/taxondetails?taxnode_id=202206034","ictv.global=202206034")</f>
        <v>ictv.global=202206034</v>
      </c>
    </row>
    <row r="7865" spans="1:21">
      <c r="A7865">
        <v>7864</v>
      </c>
      <c r="B7865" s="29" t="s">
        <v>3223</v>
      </c>
      <c r="C7865" s="29"/>
      <c r="D7865" s="29" t="s">
        <v>4156</v>
      </c>
      <c r="E7865" s="29"/>
      <c r="F7865" s="29" t="s">
        <v>2998</v>
      </c>
      <c r="G7865" s="29" t="s">
        <v>2999</v>
      </c>
      <c r="H7865" s="29" t="s">
        <v>3000</v>
      </c>
      <c r="I7865" s="29"/>
      <c r="J7865" s="29" t="s">
        <v>3001</v>
      </c>
      <c r="K7865" s="29"/>
      <c r="L7865" s="29" t="s">
        <v>3002</v>
      </c>
      <c r="M7865" s="29"/>
      <c r="N7865" s="29" t="s">
        <v>3003</v>
      </c>
      <c r="O7865" s="29"/>
      <c r="P7865" s="29" t="s">
        <v>12779</v>
      </c>
      <c r="Q7865" t="s">
        <v>2039</v>
      </c>
      <c r="R7865" t="s">
        <v>2635</v>
      </c>
      <c r="S7865">
        <v>37</v>
      </c>
      <c r="T7865" s="43" t="str">
        <f t="shared" si="338"/>
        <v>2021.018M.R.Negarnaviricota_sprename.zip</v>
      </c>
      <c r="U7865" s="43" t="str">
        <f>HYPERLINK("https://ictv.global/taxonomy/taxondetails?taxnode_id=202206035","ictv.global=202206035")</f>
        <v>ictv.global=202206035</v>
      </c>
    </row>
    <row r="7866" spans="1:21">
      <c r="A7866">
        <v>7865</v>
      </c>
      <c r="B7866" s="29" t="s">
        <v>3223</v>
      </c>
      <c r="C7866" s="29"/>
      <c r="D7866" s="29" t="s">
        <v>4156</v>
      </c>
      <c r="E7866" s="29"/>
      <c r="F7866" s="29" t="s">
        <v>2998</v>
      </c>
      <c r="G7866" s="29" t="s">
        <v>2999</v>
      </c>
      <c r="H7866" s="29" t="s">
        <v>3000</v>
      </c>
      <c r="I7866" s="29"/>
      <c r="J7866" s="29" t="s">
        <v>3001</v>
      </c>
      <c r="K7866" s="29"/>
      <c r="L7866" s="29" t="s">
        <v>3002</v>
      </c>
      <c r="M7866" s="29"/>
      <c r="N7866" s="29" t="s">
        <v>3003</v>
      </c>
      <c r="O7866" s="29"/>
      <c r="P7866" s="29" t="s">
        <v>12780</v>
      </c>
      <c r="Q7866" t="s">
        <v>2039</v>
      </c>
      <c r="R7866" t="s">
        <v>2635</v>
      </c>
      <c r="S7866">
        <v>37</v>
      </c>
      <c r="T7866" s="43" t="str">
        <f t="shared" si="338"/>
        <v>2021.018M.R.Negarnaviricota_sprename.zip</v>
      </c>
      <c r="U7866" s="43" t="str">
        <f>HYPERLINK("https://ictv.global/taxonomy/taxondetails?taxnode_id=202206036","ictv.global=202206036")</f>
        <v>ictv.global=202206036</v>
      </c>
    </row>
    <row r="7867" spans="1:21">
      <c r="A7867">
        <v>7866</v>
      </c>
      <c r="B7867" s="29" t="s">
        <v>3223</v>
      </c>
      <c r="C7867" s="29"/>
      <c r="D7867" s="29" t="s">
        <v>4156</v>
      </c>
      <c r="E7867" s="29"/>
      <c r="F7867" s="29" t="s">
        <v>2998</v>
      </c>
      <c r="G7867" s="29" t="s">
        <v>2999</v>
      </c>
      <c r="H7867" s="29" t="s">
        <v>3000</v>
      </c>
      <c r="I7867" s="29"/>
      <c r="J7867" s="29" t="s">
        <v>3001</v>
      </c>
      <c r="K7867" s="29"/>
      <c r="L7867" s="29" t="s">
        <v>3002</v>
      </c>
      <c r="M7867" s="29"/>
      <c r="N7867" s="29" t="s">
        <v>3003</v>
      </c>
      <c r="O7867" s="29"/>
      <c r="P7867" s="29" t="s">
        <v>12781</v>
      </c>
      <c r="Q7867" t="s">
        <v>2039</v>
      </c>
      <c r="R7867" t="s">
        <v>2635</v>
      </c>
      <c r="S7867">
        <v>37</v>
      </c>
      <c r="T7867" s="43" t="str">
        <f t="shared" si="338"/>
        <v>2021.018M.R.Negarnaviricota_sprename.zip</v>
      </c>
      <c r="U7867" s="43" t="str">
        <f>HYPERLINK("https://ictv.global/taxonomy/taxondetails?taxnode_id=202206037","ictv.global=202206037")</f>
        <v>ictv.global=202206037</v>
      </c>
    </row>
    <row r="7868" spans="1:21">
      <c r="A7868">
        <v>7867</v>
      </c>
      <c r="B7868" s="29" t="s">
        <v>3223</v>
      </c>
      <c r="C7868" s="29"/>
      <c r="D7868" s="29" t="s">
        <v>4156</v>
      </c>
      <c r="E7868" s="29"/>
      <c r="F7868" s="29" t="s">
        <v>2998</v>
      </c>
      <c r="G7868" s="29" t="s">
        <v>2999</v>
      </c>
      <c r="H7868" s="29" t="s">
        <v>3004</v>
      </c>
      <c r="I7868" s="29"/>
      <c r="J7868" s="29" t="s">
        <v>3005</v>
      </c>
      <c r="K7868" s="29"/>
      <c r="L7868" s="29" t="s">
        <v>2830</v>
      </c>
      <c r="M7868" s="29"/>
      <c r="N7868" s="29" t="s">
        <v>1216</v>
      </c>
      <c r="O7868" s="29"/>
      <c r="P7868" s="29" t="s">
        <v>12782</v>
      </c>
      <c r="Q7868" t="s">
        <v>2039</v>
      </c>
      <c r="R7868" t="s">
        <v>2635</v>
      </c>
      <c r="S7868">
        <v>37</v>
      </c>
      <c r="T7868" s="43" t="str">
        <f t="shared" ref="T7868:T7874" si="339">HYPERLINK("https://ictv.global/ictv/proposals/2021.014P.R.Aspiviridae_rename.zip","2021.014P.R.Aspiviridae_rename.zip")</f>
        <v>2021.014P.R.Aspiviridae_rename.zip</v>
      </c>
      <c r="U7868" s="43" t="str">
        <f>HYPERLINK("https://ictv.global/taxonomy/taxondetails?taxnode_id=202203947","ictv.global=202203947")</f>
        <v>ictv.global=202203947</v>
      </c>
    </row>
    <row r="7869" spans="1:21">
      <c r="A7869">
        <v>7868</v>
      </c>
      <c r="B7869" s="29" t="s">
        <v>3223</v>
      </c>
      <c r="C7869" s="29"/>
      <c r="D7869" s="29" t="s">
        <v>4156</v>
      </c>
      <c r="E7869" s="29"/>
      <c r="F7869" s="29" t="s">
        <v>2998</v>
      </c>
      <c r="G7869" s="29" t="s">
        <v>2999</v>
      </c>
      <c r="H7869" s="29" t="s">
        <v>3004</v>
      </c>
      <c r="I7869" s="29"/>
      <c r="J7869" s="29" t="s">
        <v>3005</v>
      </c>
      <c r="K7869" s="29"/>
      <c r="L7869" s="29" t="s">
        <v>2830</v>
      </c>
      <c r="M7869" s="29"/>
      <c r="N7869" s="29" t="s">
        <v>1216</v>
      </c>
      <c r="O7869" s="29"/>
      <c r="P7869" s="29" t="s">
        <v>12783</v>
      </c>
      <c r="Q7869" t="s">
        <v>2039</v>
      </c>
      <c r="R7869" t="s">
        <v>2635</v>
      </c>
      <c r="S7869">
        <v>37</v>
      </c>
      <c r="T7869" s="43" t="str">
        <f t="shared" si="339"/>
        <v>2021.014P.R.Aspiviridae_rename.zip</v>
      </c>
      <c r="U7869" s="43" t="str">
        <f>HYPERLINK("https://ictv.global/taxonomy/taxondetails?taxnode_id=202203948","ictv.global=202203948")</f>
        <v>ictv.global=202203948</v>
      </c>
    </row>
    <row r="7870" spans="1:21">
      <c r="A7870">
        <v>7869</v>
      </c>
      <c r="B7870" s="29" t="s">
        <v>3223</v>
      </c>
      <c r="C7870" s="29"/>
      <c r="D7870" s="29" t="s">
        <v>4156</v>
      </c>
      <c r="E7870" s="29"/>
      <c r="F7870" s="29" t="s">
        <v>2998</v>
      </c>
      <c r="G7870" s="29" t="s">
        <v>2999</v>
      </c>
      <c r="H7870" s="29" t="s">
        <v>3004</v>
      </c>
      <c r="I7870" s="29"/>
      <c r="J7870" s="29" t="s">
        <v>3005</v>
      </c>
      <c r="K7870" s="29"/>
      <c r="L7870" s="29" t="s">
        <v>2830</v>
      </c>
      <c r="M7870" s="29"/>
      <c r="N7870" s="29" t="s">
        <v>1216</v>
      </c>
      <c r="O7870" s="29"/>
      <c r="P7870" s="29" t="s">
        <v>12784</v>
      </c>
      <c r="Q7870" t="s">
        <v>2039</v>
      </c>
      <c r="R7870" t="s">
        <v>2635</v>
      </c>
      <c r="S7870">
        <v>37</v>
      </c>
      <c r="T7870" s="43" t="str">
        <f t="shared" si="339"/>
        <v>2021.014P.R.Aspiviridae_rename.zip</v>
      </c>
      <c r="U7870" s="43" t="str">
        <f>HYPERLINK("https://ictv.global/taxonomy/taxondetails?taxnode_id=202203949","ictv.global=202203949")</f>
        <v>ictv.global=202203949</v>
      </c>
    </row>
    <row r="7871" spans="1:21">
      <c r="A7871">
        <v>7870</v>
      </c>
      <c r="B7871" s="29" t="s">
        <v>3223</v>
      </c>
      <c r="C7871" s="29"/>
      <c r="D7871" s="29" t="s">
        <v>4156</v>
      </c>
      <c r="E7871" s="29"/>
      <c r="F7871" s="29" t="s">
        <v>2998</v>
      </c>
      <c r="G7871" s="29" t="s">
        <v>2999</v>
      </c>
      <c r="H7871" s="29" t="s">
        <v>3004</v>
      </c>
      <c r="I7871" s="29"/>
      <c r="J7871" s="29" t="s">
        <v>3005</v>
      </c>
      <c r="K7871" s="29"/>
      <c r="L7871" s="29" t="s">
        <v>2830</v>
      </c>
      <c r="M7871" s="29"/>
      <c r="N7871" s="29" t="s">
        <v>1216</v>
      </c>
      <c r="O7871" s="29"/>
      <c r="P7871" s="29" t="s">
        <v>12785</v>
      </c>
      <c r="Q7871" t="s">
        <v>2039</v>
      </c>
      <c r="R7871" t="s">
        <v>2635</v>
      </c>
      <c r="S7871">
        <v>37</v>
      </c>
      <c r="T7871" s="43" t="str">
        <f t="shared" si="339"/>
        <v>2021.014P.R.Aspiviridae_rename.zip</v>
      </c>
      <c r="U7871" s="43" t="str">
        <f>HYPERLINK("https://ictv.global/taxonomy/taxondetails?taxnode_id=202203950","ictv.global=202203950")</f>
        <v>ictv.global=202203950</v>
      </c>
    </row>
    <row r="7872" spans="1:21">
      <c r="A7872">
        <v>7871</v>
      </c>
      <c r="B7872" s="29" t="s">
        <v>3223</v>
      </c>
      <c r="C7872" s="29"/>
      <c r="D7872" s="29" t="s">
        <v>4156</v>
      </c>
      <c r="E7872" s="29"/>
      <c r="F7872" s="29" t="s">
        <v>2998</v>
      </c>
      <c r="G7872" s="29" t="s">
        <v>2999</v>
      </c>
      <c r="H7872" s="29" t="s">
        <v>3004</v>
      </c>
      <c r="I7872" s="29"/>
      <c r="J7872" s="29" t="s">
        <v>3005</v>
      </c>
      <c r="K7872" s="29"/>
      <c r="L7872" s="29" t="s">
        <v>2830</v>
      </c>
      <c r="M7872" s="29"/>
      <c r="N7872" s="29" t="s">
        <v>1216</v>
      </c>
      <c r="O7872" s="29"/>
      <c r="P7872" s="29" t="s">
        <v>12786</v>
      </c>
      <c r="Q7872" t="s">
        <v>2039</v>
      </c>
      <c r="R7872" t="s">
        <v>2635</v>
      </c>
      <c r="S7872">
        <v>37</v>
      </c>
      <c r="T7872" s="43" t="str">
        <f t="shared" si="339"/>
        <v>2021.014P.R.Aspiviridae_rename.zip</v>
      </c>
      <c r="U7872" s="43" t="str">
        <f>HYPERLINK("https://ictv.global/taxonomy/taxondetails?taxnode_id=202203951","ictv.global=202203951")</f>
        <v>ictv.global=202203951</v>
      </c>
    </row>
    <row r="7873" spans="1:21">
      <c r="A7873">
        <v>7872</v>
      </c>
      <c r="B7873" s="29" t="s">
        <v>3223</v>
      </c>
      <c r="C7873" s="29"/>
      <c r="D7873" s="29" t="s">
        <v>4156</v>
      </c>
      <c r="E7873" s="29"/>
      <c r="F7873" s="29" t="s">
        <v>2998</v>
      </c>
      <c r="G7873" s="29" t="s">
        <v>2999</v>
      </c>
      <c r="H7873" s="29" t="s">
        <v>3004</v>
      </c>
      <c r="I7873" s="29"/>
      <c r="J7873" s="29" t="s">
        <v>3005</v>
      </c>
      <c r="K7873" s="29"/>
      <c r="L7873" s="29" t="s">
        <v>2830</v>
      </c>
      <c r="M7873" s="29"/>
      <c r="N7873" s="29" t="s">
        <v>1216</v>
      </c>
      <c r="O7873" s="29"/>
      <c r="P7873" s="29" t="s">
        <v>12787</v>
      </c>
      <c r="Q7873" t="s">
        <v>2039</v>
      </c>
      <c r="R7873" t="s">
        <v>2635</v>
      </c>
      <c r="S7873">
        <v>37</v>
      </c>
      <c r="T7873" s="43" t="str">
        <f t="shared" si="339"/>
        <v>2021.014P.R.Aspiviridae_rename.zip</v>
      </c>
      <c r="U7873" s="43" t="str">
        <f>HYPERLINK("https://ictv.global/taxonomy/taxondetails?taxnode_id=202203952","ictv.global=202203952")</f>
        <v>ictv.global=202203952</v>
      </c>
    </row>
    <row r="7874" spans="1:21">
      <c r="A7874">
        <v>7873</v>
      </c>
      <c r="B7874" s="29" t="s">
        <v>3223</v>
      </c>
      <c r="C7874" s="29"/>
      <c r="D7874" s="29" t="s">
        <v>4156</v>
      </c>
      <c r="E7874" s="29"/>
      <c r="F7874" s="29" t="s">
        <v>2998</v>
      </c>
      <c r="G7874" s="29" t="s">
        <v>2999</v>
      </c>
      <c r="H7874" s="29" t="s">
        <v>3004</v>
      </c>
      <c r="I7874" s="29"/>
      <c r="J7874" s="29" t="s">
        <v>3005</v>
      </c>
      <c r="K7874" s="29"/>
      <c r="L7874" s="29" t="s">
        <v>2830</v>
      </c>
      <c r="M7874" s="29"/>
      <c r="N7874" s="29" t="s">
        <v>1216</v>
      </c>
      <c r="O7874" s="29"/>
      <c r="P7874" s="29" t="s">
        <v>12788</v>
      </c>
      <c r="Q7874" t="s">
        <v>2039</v>
      </c>
      <c r="R7874" t="s">
        <v>2635</v>
      </c>
      <c r="S7874">
        <v>37</v>
      </c>
      <c r="T7874" s="43" t="str">
        <f t="shared" si="339"/>
        <v>2021.014P.R.Aspiviridae_rename.zip</v>
      </c>
      <c r="U7874" s="43" t="str">
        <f>HYPERLINK("https://ictv.global/taxonomy/taxondetails?taxnode_id=202203946","ictv.global=202203946")</f>
        <v>ictv.global=202203946</v>
      </c>
    </row>
    <row r="7875" spans="1:21">
      <c r="A7875">
        <v>7874</v>
      </c>
      <c r="B7875" s="29" t="s">
        <v>3223</v>
      </c>
      <c r="C7875" s="29"/>
      <c r="D7875" s="29" t="s">
        <v>4156</v>
      </c>
      <c r="E7875" s="29"/>
      <c r="F7875" s="29" t="s">
        <v>2998</v>
      </c>
      <c r="G7875" s="29" t="s">
        <v>2999</v>
      </c>
      <c r="H7875" s="29" t="s">
        <v>3006</v>
      </c>
      <c r="I7875" s="29"/>
      <c r="J7875" s="29" t="s">
        <v>3007</v>
      </c>
      <c r="K7875" s="29"/>
      <c r="L7875" s="29" t="s">
        <v>6547</v>
      </c>
      <c r="M7875" s="29"/>
      <c r="N7875" s="29" t="s">
        <v>6548</v>
      </c>
      <c r="O7875" s="29"/>
      <c r="P7875" s="29" t="s">
        <v>6549</v>
      </c>
      <c r="Q7875" t="s">
        <v>2039</v>
      </c>
      <c r="R7875" t="s">
        <v>2632</v>
      </c>
      <c r="S7875">
        <v>36</v>
      </c>
      <c r="T7875" s="43" t="str">
        <f t="shared" ref="T7875:T7880" si="340">HYPERLINK("https://ictv.global/ictv/proposals/2020.026M.R.Jingchuvirales.zip","2020.026M.R.Jingchuvirales.zip")</f>
        <v>2020.026M.R.Jingchuvirales.zip</v>
      </c>
      <c r="U7875" s="43" t="str">
        <f>HYPERLINK("https://ictv.global/taxonomy/taxondetails?taxnode_id=202209744","ictv.global=202209744")</f>
        <v>ictv.global=202209744</v>
      </c>
    </row>
    <row r="7876" spans="1:21">
      <c r="A7876">
        <v>7875</v>
      </c>
      <c r="B7876" s="29" t="s">
        <v>3223</v>
      </c>
      <c r="C7876" s="29"/>
      <c r="D7876" s="29" t="s">
        <v>4156</v>
      </c>
      <c r="E7876" s="29"/>
      <c r="F7876" s="29" t="s">
        <v>2998</v>
      </c>
      <c r="G7876" s="29" t="s">
        <v>2999</v>
      </c>
      <c r="H7876" s="29" t="s">
        <v>3006</v>
      </c>
      <c r="I7876" s="29"/>
      <c r="J7876" s="29" t="s">
        <v>3007</v>
      </c>
      <c r="K7876" s="29"/>
      <c r="L7876" s="29" t="s">
        <v>6547</v>
      </c>
      <c r="M7876" s="29"/>
      <c r="N7876" s="29" t="s">
        <v>6550</v>
      </c>
      <c r="O7876" s="29"/>
      <c r="P7876" s="29" t="s">
        <v>6551</v>
      </c>
      <c r="Q7876" t="s">
        <v>2039</v>
      </c>
      <c r="R7876" t="s">
        <v>2633</v>
      </c>
      <c r="S7876">
        <v>36</v>
      </c>
      <c r="T7876" s="43" t="str">
        <f t="shared" si="340"/>
        <v>2020.026M.R.Jingchuvirales.zip</v>
      </c>
      <c r="U7876" s="43" t="str">
        <f>HYPERLINK("https://ictv.global/taxonomy/taxondetails?taxnode_id=202206043","ictv.global=202206043")</f>
        <v>ictv.global=202206043</v>
      </c>
    </row>
    <row r="7877" spans="1:21">
      <c r="A7877">
        <v>7876</v>
      </c>
      <c r="B7877" s="29" t="s">
        <v>3223</v>
      </c>
      <c r="C7877" s="29"/>
      <c r="D7877" s="29" t="s">
        <v>4156</v>
      </c>
      <c r="E7877" s="29"/>
      <c r="F7877" s="29" t="s">
        <v>2998</v>
      </c>
      <c r="G7877" s="29" t="s">
        <v>2999</v>
      </c>
      <c r="H7877" s="29" t="s">
        <v>3006</v>
      </c>
      <c r="I7877" s="29"/>
      <c r="J7877" s="29" t="s">
        <v>3007</v>
      </c>
      <c r="K7877" s="29"/>
      <c r="L7877" s="29" t="s">
        <v>6547</v>
      </c>
      <c r="M7877" s="29"/>
      <c r="N7877" s="29" t="s">
        <v>6550</v>
      </c>
      <c r="O7877" s="29"/>
      <c r="P7877" s="29" t="s">
        <v>6552</v>
      </c>
      <c r="Q7877" t="s">
        <v>2039</v>
      </c>
      <c r="R7877" t="s">
        <v>2632</v>
      </c>
      <c r="S7877">
        <v>36</v>
      </c>
      <c r="T7877" s="43" t="str">
        <f t="shared" si="340"/>
        <v>2020.026M.R.Jingchuvirales.zip</v>
      </c>
      <c r="U7877" s="43" t="str">
        <f>HYPERLINK("https://ictv.global/taxonomy/taxondetails?taxnode_id=202209746","ictv.global=202209746")</f>
        <v>ictv.global=202209746</v>
      </c>
    </row>
    <row r="7878" spans="1:21">
      <c r="A7878">
        <v>7877</v>
      </c>
      <c r="B7878" s="29" t="s">
        <v>3223</v>
      </c>
      <c r="C7878" s="29"/>
      <c r="D7878" s="29" t="s">
        <v>4156</v>
      </c>
      <c r="E7878" s="29"/>
      <c r="F7878" s="29" t="s">
        <v>2998</v>
      </c>
      <c r="G7878" s="29" t="s">
        <v>2999</v>
      </c>
      <c r="H7878" s="29" t="s">
        <v>3006</v>
      </c>
      <c r="I7878" s="29"/>
      <c r="J7878" s="29" t="s">
        <v>3007</v>
      </c>
      <c r="K7878" s="29"/>
      <c r="L7878" s="29" t="s">
        <v>6547</v>
      </c>
      <c r="M7878" s="29"/>
      <c r="N7878" s="29" t="s">
        <v>6550</v>
      </c>
      <c r="O7878" s="29"/>
      <c r="P7878" s="29" t="s">
        <v>6553</v>
      </c>
      <c r="Q7878" t="s">
        <v>2039</v>
      </c>
      <c r="R7878" t="s">
        <v>2632</v>
      </c>
      <c r="S7878">
        <v>36</v>
      </c>
      <c r="T7878" s="43" t="str">
        <f t="shared" si="340"/>
        <v>2020.026M.R.Jingchuvirales.zip</v>
      </c>
      <c r="U7878" s="43" t="str">
        <f>HYPERLINK("https://ictv.global/taxonomy/taxondetails?taxnode_id=202209747","ictv.global=202209747")</f>
        <v>ictv.global=202209747</v>
      </c>
    </row>
    <row r="7879" spans="1:21">
      <c r="A7879">
        <v>7878</v>
      </c>
      <c r="B7879" s="29" t="s">
        <v>3223</v>
      </c>
      <c r="C7879" s="29"/>
      <c r="D7879" s="29" t="s">
        <v>4156</v>
      </c>
      <c r="E7879" s="29"/>
      <c r="F7879" s="29" t="s">
        <v>2998</v>
      </c>
      <c r="G7879" s="29" t="s">
        <v>2999</v>
      </c>
      <c r="H7879" s="29" t="s">
        <v>3006</v>
      </c>
      <c r="I7879" s="29"/>
      <c r="J7879" s="29" t="s">
        <v>3007</v>
      </c>
      <c r="K7879" s="29"/>
      <c r="L7879" s="29" t="s">
        <v>6547</v>
      </c>
      <c r="M7879" s="29"/>
      <c r="N7879" s="29" t="s">
        <v>6550</v>
      </c>
      <c r="O7879" s="29"/>
      <c r="P7879" s="29" t="s">
        <v>6554</v>
      </c>
      <c r="Q7879" t="s">
        <v>2039</v>
      </c>
      <c r="R7879" t="s">
        <v>2632</v>
      </c>
      <c r="S7879">
        <v>36</v>
      </c>
      <c r="T7879" s="43" t="str">
        <f t="shared" si="340"/>
        <v>2020.026M.R.Jingchuvirales.zip</v>
      </c>
      <c r="U7879" s="43" t="str">
        <f>HYPERLINK("https://ictv.global/taxonomy/taxondetails?taxnode_id=202209748","ictv.global=202209748")</f>
        <v>ictv.global=202209748</v>
      </c>
    </row>
    <row r="7880" spans="1:21">
      <c r="A7880">
        <v>7879</v>
      </c>
      <c r="B7880" s="29" t="s">
        <v>3223</v>
      </c>
      <c r="C7880" s="29"/>
      <c r="D7880" s="29" t="s">
        <v>4156</v>
      </c>
      <c r="E7880" s="29"/>
      <c r="F7880" s="29" t="s">
        <v>2998</v>
      </c>
      <c r="G7880" s="29" t="s">
        <v>2999</v>
      </c>
      <c r="H7880" s="29" t="s">
        <v>3006</v>
      </c>
      <c r="I7880" s="29"/>
      <c r="J7880" s="29" t="s">
        <v>3007</v>
      </c>
      <c r="K7880" s="29"/>
      <c r="L7880" s="29" t="s">
        <v>6547</v>
      </c>
      <c r="M7880" s="29"/>
      <c r="N7880" s="29" t="s">
        <v>6550</v>
      </c>
      <c r="O7880" s="29"/>
      <c r="P7880" s="29" t="s">
        <v>6555</v>
      </c>
      <c r="Q7880" t="s">
        <v>2039</v>
      </c>
      <c r="R7880" t="s">
        <v>2632</v>
      </c>
      <c r="S7880">
        <v>36</v>
      </c>
      <c r="T7880" s="43" t="str">
        <f t="shared" si="340"/>
        <v>2020.026M.R.Jingchuvirales.zip</v>
      </c>
      <c r="U7880" s="43" t="str">
        <f>HYPERLINK("https://ictv.global/taxonomy/taxondetails?taxnode_id=202209749","ictv.global=202209749")</f>
        <v>ictv.global=202209749</v>
      </c>
    </row>
    <row r="7881" spans="1:21">
      <c r="A7881">
        <v>7880</v>
      </c>
      <c r="B7881" s="29" t="s">
        <v>3223</v>
      </c>
      <c r="C7881" s="29"/>
      <c r="D7881" s="29" t="s">
        <v>4156</v>
      </c>
      <c r="E7881" s="29"/>
      <c r="F7881" s="29" t="s">
        <v>2998</v>
      </c>
      <c r="G7881" s="29" t="s">
        <v>2999</v>
      </c>
      <c r="H7881" s="29" t="s">
        <v>3006</v>
      </c>
      <c r="I7881" s="29"/>
      <c r="J7881" s="29" t="s">
        <v>3007</v>
      </c>
      <c r="K7881" s="29"/>
      <c r="L7881" s="29" t="s">
        <v>6547</v>
      </c>
      <c r="M7881" s="29"/>
      <c r="N7881" s="29" t="s">
        <v>6550</v>
      </c>
      <c r="O7881" s="29"/>
      <c r="P7881" s="29" t="s">
        <v>12789</v>
      </c>
      <c r="Q7881" t="s">
        <v>2039</v>
      </c>
      <c r="R7881" t="s">
        <v>2632</v>
      </c>
      <c r="S7881">
        <v>38</v>
      </c>
      <c r="T7881" s="43" t="str">
        <f>HYPERLINK("https://ictv.global/ictv/proposals/2021.015M.Jingchuvirales_2ngen_10nsp.zip","2021.015M.Jingchuvirales_2ngen_10nsp.zip")</f>
        <v>2021.015M.Jingchuvirales_2ngen_10nsp.zip</v>
      </c>
      <c r="U7881" s="43" t="str">
        <f>HYPERLINK("https://ictv.global/taxonomy/taxondetails?taxnode_id=202214130","ictv.global=202214130")</f>
        <v>ictv.global=202214130</v>
      </c>
    </row>
    <row r="7882" spans="1:21">
      <c r="A7882">
        <v>7881</v>
      </c>
      <c r="B7882" s="29" t="s">
        <v>3223</v>
      </c>
      <c r="C7882" s="29"/>
      <c r="D7882" s="29" t="s">
        <v>4156</v>
      </c>
      <c r="E7882" s="29"/>
      <c r="F7882" s="29" t="s">
        <v>2998</v>
      </c>
      <c r="G7882" s="29" t="s">
        <v>2999</v>
      </c>
      <c r="H7882" s="29" t="s">
        <v>3006</v>
      </c>
      <c r="I7882" s="29"/>
      <c r="J7882" s="29" t="s">
        <v>3007</v>
      </c>
      <c r="K7882" s="29"/>
      <c r="L7882" s="29" t="s">
        <v>6547</v>
      </c>
      <c r="M7882" s="29"/>
      <c r="N7882" s="29" t="s">
        <v>6550</v>
      </c>
      <c r="O7882" s="29"/>
      <c r="P7882" s="29" t="s">
        <v>12790</v>
      </c>
      <c r="Q7882" t="s">
        <v>2039</v>
      </c>
      <c r="R7882" t="s">
        <v>2632</v>
      </c>
      <c r="S7882">
        <v>38</v>
      </c>
      <c r="T7882" s="43" t="str">
        <f>HYPERLINK("https://ictv.global/ictv/proposals/2021.015M.Jingchuvirales_2ngen_10nsp.zip","2021.015M.Jingchuvirales_2ngen_10nsp.zip")</f>
        <v>2021.015M.Jingchuvirales_2ngen_10nsp.zip</v>
      </c>
      <c r="U7882" s="43" t="str">
        <f>HYPERLINK("https://ictv.global/taxonomy/taxondetails?taxnode_id=202214129","ictv.global=202214129")</f>
        <v>ictv.global=202214129</v>
      </c>
    </row>
    <row r="7883" spans="1:21">
      <c r="A7883">
        <v>7882</v>
      </c>
      <c r="B7883" s="29" t="s">
        <v>3223</v>
      </c>
      <c r="C7883" s="29"/>
      <c r="D7883" s="29" t="s">
        <v>4156</v>
      </c>
      <c r="E7883" s="29"/>
      <c r="F7883" s="29" t="s">
        <v>2998</v>
      </c>
      <c r="G7883" s="29" t="s">
        <v>2999</v>
      </c>
      <c r="H7883" s="29" t="s">
        <v>3006</v>
      </c>
      <c r="I7883" s="29"/>
      <c r="J7883" s="29" t="s">
        <v>3007</v>
      </c>
      <c r="K7883" s="29"/>
      <c r="L7883" s="29" t="s">
        <v>6547</v>
      </c>
      <c r="M7883" s="29"/>
      <c r="N7883" s="29" t="s">
        <v>6550</v>
      </c>
      <c r="O7883" s="29"/>
      <c r="P7883" s="29" t="s">
        <v>12791</v>
      </c>
      <c r="Q7883" t="s">
        <v>2039</v>
      </c>
      <c r="R7883" t="s">
        <v>2632</v>
      </c>
      <c r="S7883">
        <v>38</v>
      </c>
      <c r="T7883" s="43" t="str">
        <f>HYPERLINK("https://ictv.global/ictv/proposals/2021.015M.Jingchuvirales_2ngen_10nsp.zip","2021.015M.Jingchuvirales_2ngen_10nsp.zip")</f>
        <v>2021.015M.Jingchuvirales_2ngen_10nsp.zip</v>
      </c>
      <c r="U7883" s="43" t="str">
        <f>HYPERLINK("https://ictv.global/taxonomy/taxondetails?taxnode_id=202214131","ictv.global=202214131")</f>
        <v>ictv.global=202214131</v>
      </c>
    </row>
    <row r="7884" spans="1:21">
      <c r="A7884">
        <v>7883</v>
      </c>
      <c r="B7884" s="29" t="s">
        <v>3223</v>
      </c>
      <c r="C7884" s="29"/>
      <c r="D7884" s="29" t="s">
        <v>4156</v>
      </c>
      <c r="E7884" s="29"/>
      <c r="F7884" s="29" t="s">
        <v>2998</v>
      </c>
      <c r="G7884" s="29" t="s">
        <v>2999</v>
      </c>
      <c r="H7884" s="29" t="s">
        <v>3006</v>
      </c>
      <c r="I7884" s="29"/>
      <c r="J7884" s="29" t="s">
        <v>3007</v>
      </c>
      <c r="K7884" s="29"/>
      <c r="L7884" s="29" t="s">
        <v>6547</v>
      </c>
      <c r="M7884" s="29"/>
      <c r="N7884" s="29" t="s">
        <v>6550</v>
      </c>
      <c r="O7884" s="29"/>
      <c r="P7884" s="29" t="s">
        <v>6556</v>
      </c>
      <c r="Q7884" t="s">
        <v>2039</v>
      </c>
      <c r="R7884" t="s">
        <v>2632</v>
      </c>
      <c r="S7884">
        <v>36</v>
      </c>
      <c r="T7884" s="43" t="str">
        <f>HYPERLINK("https://ictv.global/ictv/proposals/2020.026M.R.Jingchuvirales.zip","2020.026M.R.Jingchuvirales.zip")</f>
        <v>2020.026M.R.Jingchuvirales.zip</v>
      </c>
      <c r="U7884" s="43" t="str">
        <f>HYPERLINK("https://ictv.global/taxonomy/taxondetails?taxnode_id=202209750","ictv.global=202209750")</f>
        <v>ictv.global=202209750</v>
      </c>
    </row>
    <row r="7885" spans="1:21">
      <c r="A7885">
        <v>7884</v>
      </c>
      <c r="B7885" s="29" t="s">
        <v>3223</v>
      </c>
      <c r="C7885" s="29"/>
      <c r="D7885" s="29" t="s">
        <v>4156</v>
      </c>
      <c r="E7885" s="29"/>
      <c r="F7885" s="29" t="s">
        <v>2998</v>
      </c>
      <c r="G7885" s="29" t="s">
        <v>2999</v>
      </c>
      <c r="H7885" s="29" t="s">
        <v>3006</v>
      </c>
      <c r="I7885" s="29"/>
      <c r="J7885" s="29" t="s">
        <v>3007</v>
      </c>
      <c r="K7885" s="29"/>
      <c r="L7885" s="29" t="s">
        <v>6547</v>
      </c>
      <c r="M7885" s="29"/>
      <c r="N7885" s="29" t="s">
        <v>6550</v>
      </c>
      <c r="O7885" s="29"/>
      <c r="P7885" s="29" t="s">
        <v>12792</v>
      </c>
      <c r="Q7885" t="s">
        <v>2039</v>
      </c>
      <c r="R7885" t="s">
        <v>2635</v>
      </c>
      <c r="S7885">
        <v>37</v>
      </c>
      <c r="T7885" s="43" t="str">
        <f>HYPERLINK("https://ictv.global/ictv/proposals/2021.042M.R.Corrections_Riboviria_Duplodnaviria.zip","2021.042M.R.Corrections_Riboviria_Duplodnaviria.zip")</f>
        <v>2021.042M.R.Corrections_Riboviria_Duplodnaviria.zip</v>
      </c>
      <c r="U7885" s="43" t="str">
        <f>HYPERLINK("https://ictv.global/taxonomy/taxondetails?taxnode_id=202206066","ictv.global=202206066")</f>
        <v>ictv.global=202206066</v>
      </c>
    </row>
    <row r="7886" spans="1:21">
      <c r="A7886">
        <v>7885</v>
      </c>
      <c r="B7886" s="29" t="s">
        <v>3223</v>
      </c>
      <c r="C7886" s="29"/>
      <c r="D7886" s="29" t="s">
        <v>4156</v>
      </c>
      <c r="E7886" s="29"/>
      <c r="F7886" s="29" t="s">
        <v>2998</v>
      </c>
      <c r="G7886" s="29" t="s">
        <v>2999</v>
      </c>
      <c r="H7886" s="29" t="s">
        <v>3006</v>
      </c>
      <c r="I7886" s="29"/>
      <c r="J7886" s="29" t="s">
        <v>3007</v>
      </c>
      <c r="K7886" s="29"/>
      <c r="L7886" s="29" t="s">
        <v>6547</v>
      </c>
      <c r="M7886" s="29"/>
      <c r="N7886" s="29" t="s">
        <v>6550</v>
      </c>
      <c r="O7886" s="29"/>
      <c r="P7886" s="29" t="s">
        <v>6557</v>
      </c>
      <c r="Q7886" t="s">
        <v>2039</v>
      </c>
      <c r="R7886" t="s">
        <v>2633</v>
      </c>
      <c r="S7886">
        <v>36</v>
      </c>
      <c r="T7886" s="43" t="str">
        <f t="shared" ref="T7886:T7897" si="341">HYPERLINK("https://ictv.global/ictv/proposals/2020.026M.R.Jingchuvirales.zip","2020.026M.R.Jingchuvirales.zip")</f>
        <v>2020.026M.R.Jingchuvirales.zip</v>
      </c>
      <c r="U7886" s="43" t="str">
        <f>HYPERLINK("https://ictv.global/taxonomy/taxondetails?taxnode_id=202207449","ictv.global=202207449")</f>
        <v>ictv.global=202207449</v>
      </c>
    </row>
    <row r="7887" spans="1:21">
      <c r="A7887">
        <v>7886</v>
      </c>
      <c r="B7887" s="29" t="s">
        <v>3223</v>
      </c>
      <c r="C7887" s="29"/>
      <c r="D7887" s="29" t="s">
        <v>4156</v>
      </c>
      <c r="E7887" s="29"/>
      <c r="F7887" s="29" t="s">
        <v>2998</v>
      </c>
      <c r="G7887" s="29" t="s">
        <v>2999</v>
      </c>
      <c r="H7887" s="29" t="s">
        <v>3006</v>
      </c>
      <c r="I7887" s="29"/>
      <c r="J7887" s="29" t="s">
        <v>3007</v>
      </c>
      <c r="K7887" s="29"/>
      <c r="L7887" s="29" t="s">
        <v>3008</v>
      </c>
      <c r="M7887" s="29"/>
      <c r="N7887" s="29" t="s">
        <v>6558</v>
      </c>
      <c r="O7887" s="29"/>
      <c r="P7887" s="29" t="s">
        <v>6559</v>
      </c>
      <c r="Q7887" t="s">
        <v>2039</v>
      </c>
      <c r="R7887" t="s">
        <v>2633</v>
      </c>
      <c r="S7887">
        <v>36</v>
      </c>
      <c r="T7887" s="43" t="str">
        <f t="shared" si="341"/>
        <v>2020.026M.R.Jingchuvirales.zip</v>
      </c>
      <c r="U7887" s="43" t="str">
        <f>HYPERLINK("https://ictv.global/taxonomy/taxondetails?taxnode_id=202206054","ictv.global=202206054")</f>
        <v>ictv.global=202206054</v>
      </c>
    </row>
    <row r="7888" spans="1:21">
      <c r="A7888">
        <v>7887</v>
      </c>
      <c r="B7888" s="29" t="s">
        <v>3223</v>
      </c>
      <c r="C7888" s="29"/>
      <c r="D7888" s="29" t="s">
        <v>4156</v>
      </c>
      <c r="E7888" s="29"/>
      <c r="F7888" s="29" t="s">
        <v>2998</v>
      </c>
      <c r="G7888" s="29" t="s">
        <v>2999</v>
      </c>
      <c r="H7888" s="29" t="s">
        <v>3006</v>
      </c>
      <c r="I7888" s="29"/>
      <c r="J7888" s="29" t="s">
        <v>3007</v>
      </c>
      <c r="K7888" s="29"/>
      <c r="L7888" s="29" t="s">
        <v>3008</v>
      </c>
      <c r="M7888" s="29"/>
      <c r="N7888" s="29" t="s">
        <v>6558</v>
      </c>
      <c r="O7888" s="29"/>
      <c r="P7888" s="29" t="s">
        <v>6560</v>
      </c>
      <c r="Q7888" t="s">
        <v>2039</v>
      </c>
      <c r="R7888" t="s">
        <v>2633</v>
      </c>
      <c r="S7888">
        <v>36</v>
      </c>
      <c r="T7888" s="43" t="str">
        <f t="shared" si="341"/>
        <v>2020.026M.R.Jingchuvirales.zip</v>
      </c>
      <c r="U7888" s="43" t="str">
        <f>HYPERLINK("https://ictv.global/taxonomy/taxondetails?taxnode_id=202206061","ictv.global=202206061")</f>
        <v>ictv.global=202206061</v>
      </c>
    </row>
    <row r="7889" spans="1:21">
      <c r="A7889">
        <v>7888</v>
      </c>
      <c r="B7889" s="29" t="s">
        <v>3223</v>
      </c>
      <c r="C7889" s="29"/>
      <c r="D7889" s="29" t="s">
        <v>4156</v>
      </c>
      <c r="E7889" s="29"/>
      <c r="F7889" s="29" t="s">
        <v>2998</v>
      </c>
      <c r="G7889" s="29" t="s">
        <v>2999</v>
      </c>
      <c r="H7889" s="29" t="s">
        <v>3006</v>
      </c>
      <c r="I7889" s="29"/>
      <c r="J7889" s="29" t="s">
        <v>3007</v>
      </c>
      <c r="K7889" s="29"/>
      <c r="L7889" s="29" t="s">
        <v>3008</v>
      </c>
      <c r="M7889" s="29"/>
      <c r="N7889" s="29" t="s">
        <v>6561</v>
      </c>
      <c r="O7889" s="29"/>
      <c r="P7889" s="29" t="s">
        <v>6562</v>
      </c>
      <c r="Q7889" t="s">
        <v>2039</v>
      </c>
      <c r="R7889" t="s">
        <v>2633</v>
      </c>
      <c r="S7889">
        <v>36</v>
      </c>
      <c r="T7889" s="43" t="str">
        <f t="shared" si="341"/>
        <v>2020.026M.R.Jingchuvirales.zip</v>
      </c>
      <c r="U7889" s="43" t="str">
        <f>HYPERLINK("https://ictv.global/taxonomy/taxondetails?taxnode_id=202206045","ictv.global=202206045")</f>
        <v>ictv.global=202206045</v>
      </c>
    </row>
    <row r="7890" spans="1:21">
      <c r="A7890">
        <v>7889</v>
      </c>
      <c r="B7890" s="29" t="s">
        <v>3223</v>
      </c>
      <c r="C7890" s="29"/>
      <c r="D7890" s="29" t="s">
        <v>4156</v>
      </c>
      <c r="E7890" s="29"/>
      <c r="F7890" s="29" t="s">
        <v>2998</v>
      </c>
      <c r="G7890" s="29" t="s">
        <v>2999</v>
      </c>
      <c r="H7890" s="29" t="s">
        <v>3006</v>
      </c>
      <c r="I7890" s="29"/>
      <c r="J7890" s="29" t="s">
        <v>3007</v>
      </c>
      <c r="K7890" s="29"/>
      <c r="L7890" s="29" t="s">
        <v>3008</v>
      </c>
      <c r="M7890" s="29"/>
      <c r="N7890" s="29" t="s">
        <v>6561</v>
      </c>
      <c r="O7890" s="29"/>
      <c r="P7890" s="29" t="s">
        <v>6563</v>
      </c>
      <c r="Q7890" t="s">
        <v>2039</v>
      </c>
      <c r="R7890" t="s">
        <v>2633</v>
      </c>
      <c r="S7890">
        <v>36</v>
      </c>
      <c r="T7890" s="43" t="str">
        <f t="shared" si="341"/>
        <v>2020.026M.R.Jingchuvirales.zip</v>
      </c>
      <c r="U7890" s="43" t="str">
        <f>HYPERLINK("https://ictv.global/taxonomy/taxondetails?taxnode_id=202206049","ictv.global=202206049")</f>
        <v>ictv.global=202206049</v>
      </c>
    </row>
    <row r="7891" spans="1:21">
      <c r="A7891">
        <v>7890</v>
      </c>
      <c r="B7891" s="29" t="s">
        <v>3223</v>
      </c>
      <c r="C7891" s="29"/>
      <c r="D7891" s="29" t="s">
        <v>4156</v>
      </c>
      <c r="E7891" s="29"/>
      <c r="F7891" s="29" t="s">
        <v>2998</v>
      </c>
      <c r="G7891" s="29" t="s">
        <v>2999</v>
      </c>
      <c r="H7891" s="29" t="s">
        <v>3006</v>
      </c>
      <c r="I7891" s="29"/>
      <c r="J7891" s="29" t="s">
        <v>3007</v>
      </c>
      <c r="K7891" s="29"/>
      <c r="L7891" s="29" t="s">
        <v>3008</v>
      </c>
      <c r="M7891" s="29"/>
      <c r="N7891" s="29" t="s">
        <v>6564</v>
      </c>
      <c r="O7891" s="29"/>
      <c r="P7891" s="29" t="s">
        <v>6565</v>
      </c>
      <c r="Q7891" t="s">
        <v>2039</v>
      </c>
      <c r="R7891" t="s">
        <v>2633</v>
      </c>
      <c r="S7891">
        <v>36</v>
      </c>
      <c r="T7891" s="43" t="str">
        <f t="shared" si="341"/>
        <v>2020.026M.R.Jingchuvirales.zip</v>
      </c>
      <c r="U7891" s="43" t="str">
        <f>HYPERLINK("https://ictv.global/taxonomy/taxondetails?taxnode_id=202206062","ictv.global=202206062")</f>
        <v>ictv.global=202206062</v>
      </c>
    </row>
    <row r="7892" spans="1:21">
      <c r="A7892">
        <v>7891</v>
      </c>
      <c r="B7892" s="29" t="s">
        <v>3223</v>
      </c>
      <c r="C7892" s="29"/>
      <c r="D7892" s="29" t="s">
        <v>4156</v>
      </c>
      <c r="E7892" s="29"/>
      <c r="F7892" s="29" t="s">
        <v>2998</v>
      </c>
      <c r="G7892" s="29" t="s">
        <v>2999</v>
      </c>
      <c r="H7892" s="29" t="s">
        <v>3006</v>
      </c>
      <c r="I7892" s="29"/>
      <c r="J7892" s="29" t="s">
        <v>3007</v>
      </c>
      <c r="K7892" s="29"/>
      <c r="L7892" s="29" t="s">
        <v>3008</v>
      </c>
      <c r="M7892" s="29"/>
      <c r="N7892" s="29" t="s">
        <v>6564</v>
      </c>
      <c r="O7892" s="29"/>
      <c r="P7892" s="29" t="s">
        <v>6566</v>
      </c>
      <c r="Q7892" t="s">
        <v>2039</v>
      </c>
      <c r="R7892" t="s">
        <v>2632</v>
      </c>
      <c r="S7892">
        <v>36</v>
      </c>
      <c r="T7892" s="43" t="str">
        <f t="shared" si="341"/>
        <v>2020.026M.R.Jingchuvirales.zip</v>
      </c>
      <c r="U7892" s="43" t="str">
        <f>HYPERLINK("https://ictv.global/taxonomy/taxondetails?taxnode_id=202209719","ictv.global=202209719")</f>
        <v>ictv.global=202209719</v>
      </c>
    </row>
    <row r="7893" spans="1:21">
      <c r="A7893">
        <v>7892</v>
      </c>
      <c r="B7893" s="29" t="s">
        <v>3223</v>
      </c>
      <c r="C7893" s="29"/>
      <c r="D7893" s="29" t="s">
        <v>4156</v>
      </c>
      <c r="E7893" s="29"/>
      <c r="F7893" s="29" t="s">
        <v>2998</v>
      </c>
      <c r="G7893" s="29" t="s">
        <v>2999</v>
      </c>
      <c r="H7893" s="29" t="s">
        <v>3006</v>
      </c>
      <c r="I7893" s="29"/>
      <c r="J7893" s="29" t="s">
        <v>3007</v>
      </c>
      <c r="K7893" s="29"/>
      <c r="L7893" s="29" t="s">
        <v>3008</v>
      </c>
      <c r="M7893" s="29"/>
      <c r="N7893" s="29" t="s">
        <v>6564</v>
      </c>
      <c r="O7893" s="29"/>
      <c r="P7893" s="29" t="s">
        <v>6567</v>
      </c>
      <c r="Q7893" t="s">
        <v>2039</v>
      </c>
      <c r="R7893" t="s">
        <v>2633</v>
      </c>
      <c r="S7893">
        <v>36</v>
      </c>
      <c r="T7893" s="43" t="str">
        <f t="shared" si="341"/>
        <v>2020.026M.R.Jingchuvirales.zip</v>
      </c>
      <c r="U7893" s="43" t="str">
        <f>HYPERLINK("https://ictv.global/taxonomy/taxondetails?taxnode_id=202206057","ictv.global=202206057")</f>
        <v>ictv.global=202206057</v>
      </c>
    </row>
    <row r="7894" spans="1:21">
      <c r="A7894">
        <v>7893</v>
      </c>
      <c r="B7894" s="29" t="s">
        <v>3223</v>
      </c>
      <c r="C7894" s="29"/>
      <c r="D7894" s="29" t="s">
        <v>4156</v>
      </c>
      <c r="E7894" s="29"/>
      <c r="F7894" s="29" t="s">
        <v>2998</v>
      </c>
      <c r="G7894" s="29" t="s">
        <v>2999</v>
      </c>
      <c r="H7894" s="29" t="s">
        <v>3006</v>
      </c>
      <c r="I7894" s="29"/>
      <c r="J7894" s="29" t="s">
        <v>3007</v>
      </c>
      <c r="K7894" s="29"/>
      <c r="L7894" s="29" t="s">
        <v>3008</v>
      </c>
      <c r="M7894" s="29"/>
      <c r="N7894" s="29" t="s">
        <v>6564</v>
      </c>
      <c r="O7894" s="29"/>
      <c r="P7894" s="29" t="s">
        <v>6568</v>
      </c>
      <c r="Q7894" t="s">
        <v>2039</v>
      </c>
      <c r="R7894" t="s">
        <v>2632</v>
      </c>
      <c r="S7894">
        <v>36</v>
      </c>
      <c r="T7894" s="43" t="str">
        <f t="shared" si="341"/>
        <v>2020.026M.R.Jingchuvirales.zip</v>
      </c>
      <c r="U7894" s="43" t="str">
        <f>HYPERLINK("https://ictv.global/taxonomy/taxondetails?taxnode_id=202209720","ictv.global=202209720")</f>
        <v>ictv.global=202209720</v>
      </c>
    </row>
    <row r="7895" spans="1:21">
      <c r="A7895">
        <v>7894</v>
      </c>
      <c r="B7895" s="29" t="s">
        <v>3223</v>
      </c>
      <c r="C7895" s="29"/>
      <c r="D7895" s="29" t="s">
        <v>4156</v>
      </c>
      <c r="E7895" s="29"/>
      <c r="F7895" s="29" t="s">
        <v>2998</v>
      </c>
      <c r="G7895" s="29" t="s">
        <v>2999</v>
      </c>
      <c r="H7895" s="29" t="s">
        <v>3006</v>
      </c>
      <c r="I7895" s="29"/>
      <c r="J7895" s="29" t="s">
        <v>3007</v>
      </c>
      <c r="K7895" s="29"/>
      <c r="L7895" s="29" t="s">
        <v>3008</v>
      </c>
      <c r="M7895" s="29"/>
      <c r="N7895" s="29" t="s">
        <v>6569</v>
      </c>
      <c r="O7895" s="29"/>
      <c r="P7895" s="29" t="s">
        <v>6570</v>
      </c>
      <c r="Q7895" t="s">
        <v>2039</v>
      </c>
      <c r="R7895" t="s">
        <v>2632</v>
      </c>
      <c r="S7895">
        <v>36</v>
      </c>
      <c r="T7895" s="43" t="str">
        <f t="shared" si="341"/>
        <v>2020.026M.R.Jingchuvirales.zip</v>
      </c>
      <c r="U7895" s="43" t="str">
        <f>HYPERLINK("https://ictv.global/taxonomy/taxondetails?taxnode_id=202209715","ictv.global=202209715")</f>
        <v>ictv.global=202209715</v>
      </c>
    </row>
    <row r="7896" spans="1:21">
      <c r="A7896">
        <v>7895</v>
      </c>
      <c r="B7896" s="29" t="s">
        <v>3223</v>
      </c>
      <c r="C7896" s="29"/>
      <c r="D7896" s="29" t="s">
        <v>4156</v>
      </c>
      <c r="E7896" s="29"/>
      <c r="F7896" s="29" t="s">
        <v>2998</v>
      </c>
      <c r="G7896" s="29" t="s">
        <v>2999</v>
      </c>
      <c r="H7896" s="29" t="s">
        <v>3006</v>
      </c>
      <c r="I7896" s="29"/>
      <c r="J7896" s="29" t="s">
        <v>3007</v>
      </c>
      <c r="K7896" s="29"/>
      <c r="L7896" s="29" t="s">
        <v>3008</v>
      </c>
      <c r="M7896" s="29"/>
      <c r="N7896" s="29" t="s">
        <v>6571</v>
      </c>
      <c r="O7896" s="29"/>
      <c r="P7896" s="29" t="s">
        <v>6572</v>
      </c>
      <c r="Q7896" t="s">
        <v>2039</v>
      </c>
      <c r="R7896" t="s">
        <v>2632</v>
      </c>
      <c r="S7896">
        <v>36</v>
      </c>
      <c r="T7896" s="43" t="str">
        <f t="shared" si="341"/>
        <v>2020.026M.R.Jingchuvirales.zip</v>
      </c>
      <c r="U7896" s="43" t="str">
        <f>HYPERLINK("https://ictv.global/taxonomy/taxondetails?taxnode_id=202209722","ictv.global=202209722")</f>
        <v>ictv.global=202209722</v>
      </c>
    </row>
    <row r="7897" spans="1:21">
      <c r="A7897">
        <v>7896</v>
      </c>
      <c r="B7897" s="29" t="s">
        <v>3223</v>
      </c>
      <c r="C7897" s="29"/>
      <c r="D7897" s="29" t="s">
        <v>4156</v>
      </c>
      <c r="E7897" s="29"/>
      <c r="F7897" s="29" t="s">
        <v>2998</v>
      </c>
      <c r="G7897" s="29" t="s">
        <v>2999</v>
      </c>
      <c r="H7897" s="29" t="s">
        <v>3006</v>
      </c>
      <c r="I7897" s="29"/>
      <c r="J7897" s="29" t="s">
        <v>3007</v>
      </c>
      <c r="K7897" s="29"/>
      <c r="L7897" s="29" t="s">
        <v>3008</v>
      </c>
      <c r="M7897" s="29"/>
      <c r="N7897" s="29" t="s">
        <v>3009</v>
      </c>
      <c r="O7897" s="29"/>
      <c r="P7897" s="29" t="s">
        <v>6573</v>
      </c>
      <c r="Q7897" t="s">
        <v>2039</v>
      </c>
      <c r="R7897" t="s">
        <v>2635</v>
      </c>
      <c r="S7897">
        <v>36</v>
      </c>
      <c r="T7897" s="43" t="str">
        <f t="shared" si="341"/>
        <v>2020.026M.R.Jingchuvirales.zip</v>
      </c>
      <c r="U7897" s="43" t="str">
        <f>HYPERLINK("https://ictv.global/taxonomy/taxondetails?taxnode_id=202206060","ictv.global=202206060")</f>
        <v>ictv.global=202206060</v>
      </c>
    </row>
    <row r="7898" spans="1:21">
      <c r="A7898">
        <v>7897</v>
      </c>
      <c r="B7898" s="29" t="s">
        <v>3223</v>
      </c>
      <c r="C7898" s="29"/>
      <c r="D7898" s="29" t="s">
        <v>4156</v>
      </c>
      <c r="E7898" s="29"/>
      <c r="F7898" s="29" t="s">
        <v>2998</v>
      </c>
      <c r="G7898" s="29" t="s">
        <v>2999</v>
      </c>
      <c r="H7898" s="29" t="s">
        <v>3006</v>
      </c>
      <c r="I7898" s="29"/>
      <c r="J7898" s="29" t="s">
        <v>3007</v>
      </c>
      <c r="K7898" s="29"/>
      <c r="L7898" s="29" t="s">
        <v>3008</v>
      </c>
      <c r="M7898" s="29"/>
      <c r="N7898" s="29" t="s">
        <v>3009</v>
      </c>
      <c r="O7898" s="29"/>
      <c r="P7898" s="29" t="s">
        <v>12793</v>
      </c>
      <c r="Q7898" t="s">
        <v>2039</v>
      </c>
      <c r="R7898" t="s">
        <v>2632</v>
      </c>
      <c r="S7898">
        <v>38</v>
      </c>
      <c r="T7898" s="43" t="str">
        <f>HYPERLINK("https://ictv.global/ictv/proposals/2021.015M.Jingchuvirales_2ngen_10nsp.zip","2021.015M.Jingchuvirales_2ngen_10nsp.zip")</f>
        <v>2021.015M.Jingchuvirales_2ngen_10nsp.zip</v>
      </c>
      <c r="U7898" s="43" t="str">
        <f>HYPERLINK("https://ictv.global/taxonomy/taxondetails?taxnode_id=202214136","ictv.global=202214136")</f>
        <v>ictv.global=202214136</v>
      </c>
    </row>
    <row r="7899" spans="1:21">
      <c r="A7899">
        <v>7898</v>
      </c>
      <c r="B7899" s="29" t="s">
        <v>3223</v>
      </c>
      <c r="C7899" s="29"/>
      <c r="D7899" s="29" t="s">
        <v>4156</v>
      </c>
      <c r="E7899" s="29"/>
      <c r="F7899" s="29" t="s">
        <v>2998</v>
      </c>
      <c r="G7899" s="29" t="s">
        <v>2999</v>
      </c>
      <c r="H7899" s="29" t="s">
        <v>3006</v>
      </c>
      <c r="I7899" s="29"/>
      <c r="J7899" s="29" t="s">
        <v>3007</v>
      </c>
      <c r="K7899" s="29"/>
      <c r="L7899" s="29" t="s">
        <v>3008</v>
      </c>
      <c r="M7899" s="29"/>
      <c r="N7899" s="29" t="s">
        <v>3009</v>
      </c>
      <c r="O7899" s="29"/>
      <c r="P7899" s="29" t="s">
        <v>6574</v>
      </c>
      <c r="Q7899" t="s">
        <v>2039</v>
      </c>
      <c r="R7899" t="s">
        <v>2635</v>
      </c>
      <c r="S7899">
        <v>36</v>
      </c>
      <c r="T7899" s="43" t="str">
        <f t="shared" ref="T7899:T7908" si="342">HYPERLINK("https://ictv.global/ictv/proposals/2020.026M.R.Jingchuvirales.zip","2020.026M.R.Jingchuvirales.zip")</f>
        <v>2020.026M.R.Jingchuvirales.zip</v>
      </c>
      <c r="U7899" s="43" t="str">
        <f>HYPERLINK("https://ictv.global/taxonomy/taxondetails?taxnode_id=202206044","ictv.global=202206044")</f>
        <v>ictv.global=202206044</v>
      </c>
    </row>
    <row r="7900" spans="1:21">
      <c r="A7900">
        <v>7899</v>
      </c>
      <c r="B7900" s="29" t="s">
        <v>3223</v>
      </c>
      <c r="C7900" s="29"/>
      <c r="D7900" s="29" t="s">
        <v>4156</v>
      </c>
      <c r="E7900" s="29"/>
      <c r="F7900" s="29" t="s">
        <v>2998</v>
      </c>
      <c r="G7900" s="29" t="s">
        <v>2999</v>
      </c>
      <c r="H7900" s="29" t="s">
        <v>3006</v>
      </c>
      <c r="I7900" s="29"/>
      <c r="J7900" s="29" t="s">
        <v>3007</v>
      </c>
      <c r="K7900" s="29"/>
      <c r="L7900" s="29" t="s">
        <v>3008</v>
      </c>
      <c r="M7900" s="29"/>
      <c r="N7900" s="29" t="s">
        <v>3009</v>
      </c>
      <c r="O7900" s="29"/>
      <c r="P7900" s="29" t="s">
        <v>6575</v>
      </c>
      <c r="Q7900" t="s">
        <v>2039</v>
      </c>
      <c r="R7900" t="s">
        <v>2635</v>
      </c>
      <c r="S7900">
        <v>36</v>
      </c>
      <c r="T7900" s="43" t="str">
        <f t="shared" si="342"/>
        <v>2020.026M.R.Jingchuvirales.zip</v>
      </c>
      <c r="U7900" s="43" t="str">
        <f>HYPERLINK("https://ictv.global/taxonomy/taxondetails?taxnode_id=202206046","ictv.global=202206046")</f>
        <v>ictv.global=202206046</v>
      </c>
    </row>
    <row r="7901" spans="1:21">
      <c r="A7901">
        <v>7900</v>
      </c>
      <c r="B7901" s="29" t="s">
        <v>3223</v>
      </c>
      <c r="C7901" s="29"/>
      <c r="D7901" s="29" t="s">
        <v>4156</v>
      </c>
      <c r="E7901" s="29"/>
      <c r="F7901" s="29" t="s">
        <v>2998</v>
      </c>
      <c r="G7901" s="29" t="s">
        <v>2999</v>
      </c>
      <c r="H7901" s="29" t="s">
        <v>3006</v>
      </c>
      <c r="I7901" s="29"/>
      <c r="J7901" s="29" t="s">
        <v>3007</v>
      </c>
      <c r="K7901" s="29"/>
      <c r="L7901" s="29" t="s">
        <v>3008</v>
      </c>
      <c r="M7901" s="29"/>
      <c r="N7901" s="29" t="s">
        <v>3009</v>
      </c>
      <c r="O7901" s="29"/>
      <c r="P7901" s="29" t="s">
        <v>6576</v>
      </c>
      <c r="Q7901" t="s">
        <v>2039</v>
      </c>
      <c r="R7901" t="s">
        <v>2635</v>
      </c>
      <c r="S7901">
        <v>36</v>
      </c>
      <c r="T7901" s="43" t="str">
        <f t="shared" si="342"/>
        <v>2020.026M.R.Jingchuvirales.zip</v>
      </c>
      <c r="U7901" s="43" t="str">
        <f>HYPERLINK("https://ictv.global/taxonomy/taxondetails?taxnode_id=202206051","ictv.global=202206051")</f>
        <v>ictv.global=202206051</v>
      </c>
    </row>
    <row r="7902" spans="1:21">
      <c r="A7902">
        <v>7901</v>
      </c>
      <c r="B7902" s="29" t="s">
        <v>3223</v>
      </c>
      <c r="C7902" s="29"/>
      <c r="D7902" s="29" t="s">
        <v>4156</v>
      </c>
      <c r="E7902" s="29"/>
      <c r="F7902" s="29" t="s">
        <v>2998</v>
      </c>
      <c r="G7902" s="29" t="s">
        <v>2999</v>
      </c>
      <c r="H7902" s="29" t="s">
        <v>3006</v>
      </c>
      <c r="I7902" s="29"/>
      <c r="J7902" s="29" t="s">
        <v>3007</v>
      </c>
      <c r="K7902" s="29"/>
      <c r="L7902" s="29" t="s">
        <v>3008</v>
      </c>
      <c r="M7902" s="29"/>
      <c r="N7902" s="29" t="s">
        <v>3009</v>
      </c>
      <c r="O7902" s="29"/>
      <c r="P7902" s="29" t="s">
        <v>6577</v>
      </c>
      <c r="Q7902" t="s">
        <v>2039</v>
      </c>
      <c r="R7902" t="s">
        <v>2632</v>
      </c>
      <c r="S7902">
        <v>36</v>
      </c>
      <c r="T7902" s="43" t="str">
        <f t="shared" si="342"/>
        <v>2020.026M.R.Jingchuvirales.zip</v>
      </c>
      <c r="U7902" s="43" t="str">
        <f>HYPERLINK("https://ictv.global/taxonomy/taxondetails?taxnode_id=202209723","ictv.global=202209723")</f>
        <v>ictv.global=202209723</v>
      </c>
    </row>
    <row r="7903" spans="1:21">
      <c r="A7903">
        <v>7902</v>
      </c>
      <c r="B7903" s="29" t="s">
        <v>3223</v>
      </c>
      <c r="C7903" s="29"/>
      <c r="D7903" s="29" t="s">
        <v>4156</v>
      </c>
      <c r="E7903" s="29"/>
      <c r="F7903" s="29" t="s">
        <v>2998</v>
      </c>
      <c r="G7903" s="29" t="s">
        <v>2999</v>
      </c>
      <c r="H7903" s="29" t="s">
        <v>3006</v>
      </c>
      <c r="I7903" s="29"/>
      <c r="J7903" s="29" t="s">
        <v>3007</v>
      </c>
      <c r="K7903" s="29"/>
      <c r="L7903" s="29" t="s">
        <v>3008</v>
      </c>
      <c r="M7903" s="29"/>
      <c r="N7903" s="29" t="s">
        <v>3009</v>
      </c>
      <c r="O7903" s="29"/>
      <c r="P7903" s="29" t="s">
        <v>6578</v>
      </c>
      <c r="Q7903" t="s">
        <v>2039</v>
      </c>
      <c r="R7903" t="s">
        <v>2632</v>
      </c>
      <c r="S7903">
        <v>36</v>
      </c>
      <c r="T7903" s="43" t="str">
        <f t="shared" si="342"/>
        <v>2020.026M.R.Jingchuvirales.zip</v>
      </c>
      <c r="U7903" s="43" t="str">
        <f>HYPERLINK("https://ictv.global/taxonomy/taxondetails?taxnode_id=202209724","ictv.global=202209724")</f>
        <v>ictv.global=202209724</v>
      </c>
    </row>
    <row r="7904" spans="1:21">
      <c r="A7904">
        <v>7903</v>
      </c>
      <c r="B7904" s="29" t="s">
        <v>3223</v>
      </c>
      <c r="C7904" s="29"/>
      <c r="D7904" s="29" t="s">
        <v>4156</v>
      </c>
      <c r="E7904" s="29"/>
      <c r="F7904" s="29" t="s">
        <v>2998</v>
      </c>
      <c r="G7904" s="29" t="s">
        <v>2999</v>
      </c>
      <c r="H7904" s="29" t="s">
        <v>3006</v>
      </c>
      <c r="I7904" s="29"/>
      <c r="J7904" s="29" t="s">
        <v>3007</v>
      </c>
      <c r="K7904" s="29"/>
      <c r="L7904" s="29" t="s">
        <v>3008</v>
      </c>
      <c r="M7904" s="29"/>
      <c r="N7904" s="29" t="s">
        <v>3009</v>
      </c>
      <c r="O7904" s="29"/>
      <c r="P7904" s="29" t="s">
        <v>6579</v>
      </c>
      <c r="Q7904" t="s">
        <v>2039</v>
      </c>
      <c r="R7904" t="s">
        <v>2632</v>
      </c>
      <c r="S7904">
        <v>36</v>
      </c>
      <c r="T7904" s="43" t="str">
        <f t="shared" si="342"/>
        <v>2020.026M.R.Jingchuvirales.zip</v>
      </c>
      <c r="U7904" s="43" t="str">
        <f>HYPERLINK("https://ictv.global/taxonomy/taxondetails?taxnode_id=202209725","ictv.global=202209725")</f>
        <v>ictv.global=202209725</v>
      </c>
    </row>
    <row r="7905" spans="1:21">
      <c r="A7905">
        <v>7904</v>
      </c>
      <c r="B7905" s="29" t="s">
        <v>3223</v>
      </c>
      <c r="C7905" s="29"/>
      <c r="D7905" s="29" t="s">
        <v>4156</v>
      </c>
      <c r="E7905" s="29"/>
      <c r="F7905" s="29" t="s">
        <v>2998</v>
      </c>
      <c r="G7905" s="29" t="s">
        <v>2999</v>
      </c>
      <c r="H7905" s="29" t="s">
        <v>3006</v>
      </c>
      <c r="I7905" s="29"/>
      <c r="J7905" s="29" t="s">
        <v>3007</v>
      </c>
      <c r="K7905" s="29"/>
      <c r="L7905" s="29" t="s">
        <v>3008</v>
      </c>
      <c r="M7905" s="29"/>
      <c r="N7905" s="29" t="s">
        <v>3009</v>
      </c>
      <c r="O7905" s="29"/>
      <c r="P7905" s="29" t="s">
        <v>6580</v>
      </c>
      <c r="Q7905" t="s">
        <v>2039</v>
      </c>
      <c r="R7905" t="s">
        <v>2635</v>
      </c>
      <c r="S7905">
        <v>36</v>
      </c>
      <c r="T7905" s="43" t="str">
        <f t="shared" si="342"/>
        <v>2020.026M.R.Jingchuvirales.zip</v>
      </c>
      <c r="U7905" s="43" t="str">
        <f>HYPERLINK("https://ictv.global/taxonomy/taxondetails?taxnode_id=202206067","ictv.global=202206067")</f>
        <v>ictv.global=202206067</v>
      </c>
    </row>
    <row r="7906" spans="1:21">
      <c r="A7906">
        <v>7905</v>
      </c>
      <c r="B7906" s="29" t="s">
        <v>3223</v>
      </c>
      <c r="C7906" s="29"/>
      <c r="D7906" s="29" t="s">
        <v>4156</v>
      </c>
      <c r="E7906" s="29"/>
      <c r="F7906" s="29" t="s">
        <v>2998</v>
      </c>
      <c r="G7906" s="29" t="s">
        <v>2999</v>
      </c>
      <c r="H7906" s="29" t="s">
        <v>3006</v>
      </c>
      <c r="I7906" s="29"/>
      <c r="J7906" s="29" t="s">
        <v>3007</v>
      </c>
      <c r="K7906" s="29"/>
      <c r="L7906" s="29" t="s">
        <v>3008</v>
      </c>
      <c r="M7906" s="29"/>
      <c r="N7906" s="29" t="s">
        <v>3009</v>
      </c>
      <c r="O7906" s="29"/>
      <c r="P7906" s="29" t="s">
        <v>6581</v>
      </c>
      <c r="Q7906" t="s">
        <v>2039</v>
      </c>
      <c r="R7906" t="s">
        <v>2635</v>
      </c>
      <c r="S7906">
        <v>36</v>
      </c>
      <c r="T7906" s="43" t="str">
        <f t="shared" si="342"/>
        <v>2020.026M.R.Jingchuvirales.zip</v>
      </c>
      <c r="U7906" s="43" t="str">
        <f>HYPERLINK("https://ictv.global/taxonomy/taxondetails?taxnode_id=202206069","ictv.global=202206069")</f>
        <v>ictv.global=202206069</v>
      </c>
    </row>
    <row r="7907" spans="1:21">
      <c r="A7907">
        <v>7906</v>
      </c>
      <c r="B7907" s="29" t="s">
        <v>3223</v>
      </c>
      <c r="C7907" s="29"/>
      <c r="D7907" s="29" t="s">
        <v>4156</v>
      </c>
      <c r="E7907" s="29"/>
      <c r="F7907" s="29" t="s">
        <v>2998</v>
      </c>
      <c r="G7907" s="29" t="s">
        <v>2999</v>
      </c>
      <c r="H7907" s="29" t="s">
        <v>3006</v>
      </c>
      <c r="I7907" s="29"/>
      <c r="J7907" s="29" t="s">
        <v>3007</v>
      </c>
      <c r="K7907" s="29"/>
      <c r="L7907" s="29" t="s">
        <v>3008</v>
      </c>
      <c r="M7907" s="29"/>
      <c r="N7907" s="29" t="s">
        <v>6582</v>
      </c>
      <c r="O7907" s="29"/>
      <c r="P7907" s="29" t="s">
        <v>6583</v>
      </c>
      <c r="Q7907" t="s">
        <v>2039</v>
      </c>
      <c r="R7907" t="s">
        <v>2633</v>
      </c>
      <c r="S7907">
        <v>36</v>
      </c>
      <c r="T7907" s="43" t="str">
        <f t="shared" si="342"/>
        <v>2020.026M.R.Jingchuvirales.zip</v>
      </c>
      <c r="U7907" s="43" t="str">
        <f>HYPERLINK("https://ictv.global/taxonomy/taxondetails?taxnode_id=202206041","ictv.global=202206041")</f>
        <v>ictv.global=202206041</v>
      </c>
    </row>
    <row r="7908" spans="1:21">
      <c r="A7908">
        <v>7907</v>
      </c>
      <c r="B7908" s="29" t="s">
        <v>3223</v>
      </c>
      <c r="C7908" s="29"/>
      <c r="D7908" s="29" t="s">
        <v>4156</v>
      </c>
      <c r="E7908" s="29"/>
      <c r="F7908" s="29" t="s">
        <v>2998</v>
      </c>
      <c r="G7908" s="29" t="s">
        <v>2999</v>
      </c>
      <c r="H7908" s="29" t="s">
        <v>3006</v>
      </c>
      <c r="I7908" s="29"/>
      <c r="J7908" s="29" t="s">
        <v>3007</v>
      </c>
      <c r="K7908" s="29"/>
      <c r="L7908" s="29" t="s">
        <v>3008</v>
      </c>
      <c r="M7908" s="29"/>
      <c r="N7908" s="29" t="s">
        <v>6584</v>
      </c>
      <c r="O7908" s="29"/>
      <c r="P7908" s="29" t="s">
        <v>6585</v>
      </c>
      <c r="Q7908" t="s">
        <v>2039</v>
      </c>
      <c r="R7908" t="s">
        <v>2632</v>
      </c>
      <c r="S7908">
        <v>36</v>
      </c>
      <c r="T7908" s="43" t="str">
        <f t="shared" si="342"/>
        <v>2020.026M.R.Jingchuvirales.zip</v>
      </c>
      <c r="U7908" s="43" t="str">
        <f>HYPERLINK("https://ictv.global/taxonomy/taxondetails?taxnode_id=202209728","ictv.global=202209728")</f>
        <v>ictv.global=202209728</v>
      </c>
    </row>
    <row r="7909" spans="1:21">
      <c r="A7909">
        <v>7908</v>
      </c>
      <c r="B7909" s="29" t="s">
        <v>3223</v>
      </c>
      <c r="C7909" s="29"/>
      <c r="D7909" s="29" t="s">
        <v>4156</v>
      </c>
      <c r="E7909" s="29"/>
      <c r="F7909" s="29" t="s">
        <v>2998</v>
      </c>
      <c r="G7909" s="29" t="s">
        <v>2999</v>
      </c>
      <c r="H7909" s="29" t="s">
        <v>3006</v>
      </c>
      <c r="I7909" s="29"/>
      <c r="J7909" s="29" t="s">
        <v>3007</v>
      </c>
      <c r="K7909" s="29"/>
      <c r="L7909" s="29" t="s">
        <v>3008</v>
      </c>
      <c r="M7909" s="29"/>
      <c r="N7909" s="29" t="s">
        <v>6584</v>
      </c>
      <c r="O7909" s="29"/>
      <c r="P7909" s="29" t="s">
        <v>12794</v>
      </c>
      <c r="Q7909" t="s">
        <v>2039</v>
      </c>
      <c r="R7909" t="s">
        <v>2632</v>
      </c>
      <c r="S7909">
        <v>38</v>
      </c>
      <c r="T7909" s="43" t="str">
        <f>HYPERLINK("https://ictv.global/ictv/proposals/2021.015M.Jingchuvirales_2ngen_10nsp.zip","2021.015M.Jingchuvirales_2ngen_10nsp.zip")</f>
        <v>2021.015M.Jingchuvirales_2ngen_10nsp.zip</v>
      </c>
      <c r="U7909" s="43" t="str">
        <f>HYPERLINK("https://ictv.global/taxonomy/taxondetails?taxnode_id=202214137","ictv.global=202214137")</f>
        <v>ictv.global=202214137</v>
      </c>
    </row>
    <row r="7910" spans="1:21">
      <c r="A7910">
        <v>7909</v>
      </c>
      <c r="B7910" s="29" t="s">
        <v>3223</v>
      </c>
      <c r="C7910" s="29"/>
      <c r="D7910" s="29" t="s">
        <v>4156</v>
      </c>
      <c r="E7910" s="29"/>
      <c r="F7910" s="29" t="s">
        <v>2998</v>
      </c>
      <c r="G7910" s="29" t="s">
        <v>2999</v>
      </c>
      <c r="H7910" s="29" t="s">
        <v>3006</v>
      </c>
      <c r="I7910" s="29"/>
      <c r="J7910" s="29" t="s">
        <v>3007</v>
      </c>
      <c r="K7910" s="29"/>
      <c r="L7910" s="29" t="s">
        <v>3008</v>
      </c>
      <c r="M7910" s="29"/>
      <c r="N7910" s="29" t="s">
        <v>6586</v>
      </c>
      <c r="O7910" s="29"/>
      <c r="P7910" s="29" t="s">
        <v>6587</v>
      </c>
      <c r="Q7910" t="s">
        <v>2039</v>
      </c>
      <c r="R7910" t="s">
        <v>2632</v>
      </c>
      <c r="S7910">
        <v>36</v>
      </c>
      <c r="T7910" s="43" t="str">
        <f>HYPERLINK("https://ictv.global/ictv/proposals/2020.026M.R.Jingchuvirales.zip","2020.026M.R.Jingchuvirales.zip")</f>
        <v>2020.026M.R.Jingchuvirales.zip</v>
      </c>
      <c r="U7910" s="43" t="str">
        <f>HYPERLINK("https://ictv.global/taxonomy/taxondetails?taxnode_id=202209730","ictv.global=202209730")</f>
        <v>ictv.global=202209730</v>
      </c>
    </row>
    <row r="7911" spans="1:21">
      <c r="A7911">
        <v>7910</v>
      </c>
      <c r="B7911" s="29" t="s">
        <v>3223</v>
      </c>
      <c r="C7911" s="29"/>
      <c r="D7911" s="29" t="s">
        <v>4156</v>
      </c>
      <c r="E7911" s="29"/>
      <c r="F7911" s="29" t="s">
        <v>2998</v>
      </c>
      <c r="G7911" s="29" t="s">
        <v>2999</v>
      </c>
      <c r="H7911" s="29" t="s">
        <v>3006</v>
      </c>
      <c r="I7911" s="29"/>
      <c r="J7911" s="29" t="s">
        <v>3007</v>
      </c>
      <c r="K7911" s="29"/>
      <c r="L7911" s="29" t="s">
        <v>3008</v>
      </c>
      <c r="M7911" s="29"/>
      <c r="N7911" s="29" t="s">
        <v>6586</v>
      </c>
      <c r="O7911" s="29"/>
      <c r="P7911" s="29" t="s">
        <v>6588</v>
      </c>
      <c r="Q7911" t="s">
        <v>2039</v>
      </c>
      <c r="R7911" t="s">
        <v>2633</v>
      </c>
      <c r="S7911">
        <v>36</v>
      </c>
      <c r="T7911" s="43" t="str">
        <f>HYPERLINK("https://ictv.global/ictv/proposals/2020.026M.R.Jingchuvirales.zip","2020.026M.R.Jingchuvirales.zip")</f>
        <v>2020.026M.R.Jingchuvirales.zip</v>
      </c>
      <c r="U7911" s="43" t="str">
        <f>HYPERLINK("https://ictv.global/taxonomy/taxondetails?taxnode_id=202206064","ictv.global=202206064")</f>
        <v>ictv.global=202206064</v>
      </c>
    </row>
    <row r="7912" spans="1:21">
      <c r="A7912">
        <v>7911</v>
      </c>
      <c r="B7912" s="29" t="s">
        <v>3223</v>
      </c>
      <c r="C7912" s="29"/>
      <c r="D7912" s="29" t="s">
        <v>4156</v>
      </c>
      <c r="E7912" s="29"/>
      <c r="F7912" s="29" t="s">
        <v>2998</v>
      </c>
      <c r="G7912" s="29" t="s">
        <v>2999</v>
      </c>
      <c r="H7912" s="29" t="s">
        <v>3006</v>
      </c>
      <c r="I7912" s="29"/>
      <c r="J7912" s="29" t="s">
        <v>3007</v>
      </c>
      <c r="K7912" s="29"/>
      <c r="L7912" s="29" t="s">
        <v>3008</v>
      </c>
      <c r="M7912" s="29"/>
      <c r="N7912" s="29" t="s">
        <v>6586</v>
      </c>
      <c r="O7912" s="29"/>
      <c r="P7912" s="29" t="s">
        <v>6589</v>
      </c>
      <c r="Q7912" t="s">
        <v>2039</v>
      </c>
      <c r="R7912" t="s">
        <v>2632</v>
      </c>
      <c r="S7912">
        <v>36</v>
      </c>
      <c r="T7912" s="43" t="str">
        <f>HYPERLINK("https://ictv.global/ictv/proposals/2020.026M.R.Jingchuvirales.zip","2020.026M.R.Jingchuvirales.zip")</f>
        <v>2020.026M.R.Jingchuvirales.zip</v>
      </c>
      <c r="U7912" s="43" t="str">
        <f>HYPERLINK("https://ictv.global/taxonomy/taxondetails?taxnode_id=202209731","ictv.global=202209731")</f>
        <v>ictv.global=202209731</v>
      </c>
    </row>
    <row r="7913" spans="1:21">
      <c r="A7913">
        <v>7912</v>
      </c>
      <c r="B7913" s="29" t="s">
        <v>3223</v>
      </c>
      <c r="C7913" s="29"/>
      <c r="D7913" s="29" t="s">
        <v>4156</v>
      </c>
      <c r="E7913" s="29"/>
      <c r="F7913" s="29" t="s">
        <v>2998</v>
      </c>
      <c r="G7913" s="29" t="s">
        <v>2999</v>
      </c>
      <c r="H7913" s="29" t="s">
        <v>3006</v>
      </c>
      <c r="I7913" s="29"/>
      <c r="J7913" s="29" t="s">
        <v>3007</v>
      </c>
      <c r="K7913" s="29"/>
      <c r="L7913" s="29" t="s">
        <v>3008</v>
      </c>
      <c r="M7913" s="29"/>
      <c r="N7913" s="29" t="s">
        <v>6590</v>
      </c>
      <c r="O7913" s="29"/>
      <c r="P7913" s="29" t="s">
        <v>6591</v>
      </c>
      <c r="Q7913" t="s">
        <v>2039</v>
      </c>
      <c r="R7913" t="s">
        <v>6900</v>
      </c>
      <c r="S7913">
        <v>36</v>
      </c>
      <c r="T7913" s="43" t="str">
        <f>HYPERLINK("https://ictv.global/ictv/proposals/2020.026M.R.Jingchuvirales.zip","2020.026M.R.Jingchuvirales.zip;2020.001G.R.Abolish_type_species.pdf")</f>
        <v>2020.026M.R.Jingchuvirales.zip;2020.001G.R.Abolish_type_species.pdf</v>
      </c>
      <c r="U7913" s="43" t="str">
        <f>HYPERLINK("https://ictv.global/taxonomy/taxondetails?taxnode_id=202206042","ictv.global=202206042")</f>
        <v>ictv.global=202206042</v>
      </c>
    </row>
    <row r="7914" spans="1:21">
      <c r="A7914">
        <v>7913</v>
      </c>
      <c r="B7914" s="29" t="s">
        <v>3223</v>
      </c>
      <c r="C7914" s="29"/>
      <c r="D7914" s="29" t="s">
        <v>4156</v>
      </c>
      <c r="E7914" s="29"/>
      <c r="F7914" s="29" t="s">
        <v>2998</v>
      </c>
      <c r="G7914" s="29" t="s">
        <v>2999</v>
      </c>
      <c r="H7914" s="29" t="s">
        <v>3006</v>
      </c>
      <c r="I7914" s="29"/>
      <c r="J7914" s="29" t="s">
        <v>3007</v>
      </c>
      <c r="K7914" s="29"/>
      <c r="L7914" s="29" t="s">
        <v>3008</v>
      </c>
      <c r="M7914" s="29"/>
      <c r="N7914" s="29" t="s">
        <v>6592</v>
      </c>
      <c r="O7914" s="29"/>
      <c r="P7914" s="29" t="s">
        <v>12795</v>
      </c>
      <c r="Q7914" t="s">
        <v>2039</v>
      </c>
      <c r="R7914" t="s">
        <v>2632</v>
      </c>
      <c r="S7914">
        <v>38</v>
      </c>
      <c r="T7914" s="43" t="str">
        <f>HYPERLINK("https://ictv.global/ictv/proposals/2021.015M.Jingchuvirales_2ngen_10nsp.zip","2021.015M.Jingchuvirales_2ngen_10nsp.zip")</f>
        <v>2021.015M.Jingchuvirales_2ngen_10nsp.zip</v>
      </c>
      <c r="U7914" s="43" t="str">
        <f>HYPERLINK("https://ictv.global/taxonomy/taxondetails?taxnode_id=202214138","ictv.global=202214138")</f>
        <v>ictv.global=202214138</v>
      </c>
    </row>
    <row r="7915" spans="1:21">
      <c r="A7915">
        <v>7914</v>
      </c>
      <c r="B7915" s="29" t="s">
        <v>3223</v>
      </c>
      <c r="C7915" s="29"/>
      <c r="D7915" s="29" t="s">
        <v>4156</v>
      </c>
      <c r="E7915" s="29"/>
      <c r="F7915" s="29" t="s">
        <v>2998</v>
      </c>
      <c r="G7915" s="29" t="s">
        <v>2999</v>
      </c>
      <c r="H7915" s="29" t="s">
        <v>3006</v>
      </c>
      <c r="I7915" s="29"/>
      <c r="J7915" s="29" t="s">
        <v>3007</v>
      </c>
      <c r="K7915" s="29"/>
      <c r="L7915" s="29" t="s">
        <v>3008</v>
      </c>
      <c r="M7915" s="29"/>
      <c r="N7915" s="29" t="s">
        <v>6592</v>
      </c>
      <c r="O7915" s="29"/>
      <c r="P7915" s="29" t="s">
        <v>6593</v>
      </c>
      <c r="Q7915" t="s">
        <v>2039</v>
      </c>
      <c r="R7915" t="s">
        <v>2632</v>
      </c>
      <c r="S7915">
        <v>36</v>
      </c>
      <c r="T7915" s="43" t="str">
        <f>HYPERLINK("https://ictv.global/ictv/proposals/2020.026M.R.Jingchuvirales.zip","2020.026M.R.Jingchuvirales.zip")</f>
        <v>2020.026M.R.Jingchuvirales.zip</v>
      </c>
      <c r="U7915" s="43" t="str">
        <f>HYPERLINK("https://ictv.global/taxonomy/taxondetails?taxnode_id=202209734","ictv.global=202209734")</f>
        <v>ictv.global=202209734</v>
      </c>
    </row>
    <row r="7916" spans="1:21">
      <c r="A7916">
        <v>7915</v>
      </c>
      <c r="B7916" s="29" t="s">
        <v>3223</v>
      </c>
      <c r="C7916" s="29"/>
      <c r="D7916" s="29" t="s">
        <v>4156</v>
      </c>
      <c r="E7916" s="29"/>
      <c r="F7916" s="29" t="s">
        <v>2998</v>
      </c>
      <c r="G7916" s="29" t="s">
        <v>2999</v>
      </c>
      <c r="H7916" s="29" t="s">
        <v>3006</v>
      </c>
      <c r="I7916" s="29"/>
      <c r="J7916" s="29" t="s">
        <v>3007</v>
      </c>
      <c r="K7916" s="29"/>
      <c r="L7916" s="29" t="s">
        <v>3008</v>
      </c>
      <c r="M7916" s="29"/>
      <c r="N7916" s="29" t="s">
        <v>6592</v>
      </c>
      <c r="O7916" s="29"/>
      <c r="P7916" s="29" t="s">
        <v>6594</v>
      </c>
      <c r="Q7916" t="s">
        <v>2039</v>
      </c>
      <c r="R7916" t="s">
        <v>2632</v>
      </c>
      <c r="S7916">
        <v>36</v>
      </c>
      <c r="T7916" s="43" t="str">
        <f>HYPERLINK("https://ictv.global/ictv/proposals/2020.026M.R.Jingchuvirales.zip","2020.026M.R.Jingchuvirales.zip")</f>
        <v>2020.026M.R.Jingchuvirales.zip</v>
      </c>
      <c r="U7916" s="43" t="str">
        <f>HYPERLINK("https://ictv.global/taxonomy/taxondetails?taxnode_id=202209735","ictv.global=202209735")</f>
        <v>ictv.global=202209735</v>
      </c>
    </row>
    <row r="7917" spans="1:21">
      <c r="A7917">
        <v>7916</v>
      </c>
      <c r="B7917" s="29" t="s">
        <v>3223</v>
      </c>
      <c r="C7917" s="29"/>
      <c r="D7917" s="29" t="s">
        <v>4156</v>
      </c>
      <c r="E7917" s="29"/>
      <c r="F7917" s="29" t="s">
        <v>2998</v>
      </c>
      <c r="G7917" s="29" t="s">
        <v>2999</v>
      </c>
      <c r="H7917" s="29" t="s">
        <v>3006</v>
      </c>
      <c r="I7917" s="29"/>
      <c r="J7917" s="29" t="s">
        <v>3007</v>
      </c>
      <c r="K7917" s="29"/>
      <c r="L7917" s="29" t="s">
        <v>3008</v>
      </c>
      <c r="M7917" s="29"/>
      <c r="N7917" s="29" t="s">
        <v>6592</v>
      </c>
      <c r="O7917" s="29"/>
      <c r="P7917" s="29" t="s">
        <v>6595</v>
      </c>
      <c r="Q7917" t="s">
        <v>2039</v>
      </c>
      <c r="R7917" t="s">
        <v>2633</v>
      </c>
      <c r="S7917">
        <v>36</v>
      </c>
      <c r="T7917" s="43" t="str">
        <f>HYPERLINK("https://ictv.global/ictv/proposals/2020.026M.R.Jingchuvirales.zip","2020.026M.R.Jingchuvirales.zip")</f>
        <v>2020.026M.R.Jingchuvirales.zip</v>
      </c>
      <c r="U7917" s="43" t="str">
        <f>HYPERLINK("https://ictv.global/taxonomy/taxondetails?taxnode_id=202206065","ictv.global=202206065")</f>
        <v>ictv.global=202206065</v>
      </c>
    </row>
    <row r="7918" spans="1:21">
      <c r="A7918">
        <v>7917</v>
      </c>
      <c r="B7918" s="29" t="s">
        <v>3223</v>
      </c>
      <c r="C7918" s="29"/>
      <c r="D7918" s="29" t="s">
        <v>4156</v>
      </c>
      <c r="E7918" s="29"/>
      <c r="F7918" s="29" t="s">
        <v>2998</v>
      </c>
      <c r="G7918" s="29" t="s">
        <v>2999</v>
      </c>
      <c r="H7918" s="29" t="s">
        <v>3006</v>
      </c>
      <c r="I7918" s="29"/>
      <c r="J7918" s="29" t="s">
        <v>3007</v>
      </c>
      <c r="K7918" s="29"/>
      <c r="L7918" s="29" t="s">
        <v>3008</v>
      </c>
      <c r="M7918" s="29"/>
      <c r="N7918" s="29" t="s">
        <v>6592</v>
      </c>
      <c r="O7918" s="29"/>
      <c r="P7918" s="29" t="s">
        <v>6596</v>
      </c>
      <c r="Q7918" t="s">
        <v>2039</v>
      </c>
      <c r="R7918" t="s">
        <v>2632</v>
      </c>
      <c r="S7918">
        <v>36</v>
      </c>
      <c r="T7918" s="43" t="str">
        <f>HYPERLINK("https://ictv.global/ictv/proposals/2020.026M.R.Jingchuvirales.zip","2020.026M.R.Jingchuvirales.zip")</f>
        <v>2020.026M.R.Jingchuvirales.zip</v>
      </c>
      <c r="U7918" s="43" t="str">
        <f>HYPERLINK("https://ictv.global/taxonomy/taxondetails?taxnode_id=202209736","ictv.global=202209736")</f>
        <v>ictv.global=202209736</v>
      </c>
    </row>
    <row r="7919" spans="1:21">
      <c r="A7919">
        <v>7918</v>
      </c>
      <c r="B7919" s="29" t="s">
        <v>3223</v>
      </c>
      <c r="C7919" s="29"/>
      <c r="D7919" s="29" t="s">
        <v>4156</v>
      </c>
      <c r="E7919" s="29"/>
      <c r="F7919" s="29" t="s">
        <v>2998</v>
      </c>
      <c r="G7919" s="29" t="s">
        <v>2999</v>
      </c>
      <c r="H7919" s="29" t="s">
        <v>3006</v>
      </c>
      <c r="I7919" s="29"/>
      <c r="J7919" s="29" t="s">
        <v>3007</v>
      </c>
      <c r="K7919" s="29"/>
      <c r="L7919" s="29" t="s">
        <v>3008</v>
      </c>
      <c r="M7919" s="29"/>
      <c r="N7919" s="29" t="s">
        <v>6597</v>
      </c>
      <c r="O7919" s="29"/>
      <c r="P7919" s="29" t="s">
        <v>6598</v>
      </c>
      <c r="Q7919" t="s">
        <v>2039</v>
      </c>
      <c r="R7919" t="s">
        <v>2632</v>
      </c>
      <c r="S7919">
        <v>36</v>
      </c>
      <c r="T7919" s="43" t="str">
        <f>HYPERLINK("https://ictv.global/ictv/proposals/2020.026M.R.Jingchuvirales.zip","2020.026M.R.Jingchuvirales.zip")</f>
        <v>2020.026M.R.Jingchuvirales.zip</v>
      </c>
      <c r="U7919" s="43" t="str">
        <f>HYPERLINK("https://ictv.global/taxonomy/taxondetails?taxnode_id=202209738","ictv.global=202209738")</f>
        <v>ictv.global=202209738</v>
      </c>
    </row>
    <row r="7920" spans="1:21">
      <c r="A7920">
        <v>7919</v>
      </c>
      <c r="B7920" s="29" t="s">
        <v>3223</v>
      </c>
      <c r="C7920" s="29"/>
      <c r="D7920" s="29" t="s">
        <v>4156</v>
      </c>
      <c r="E7920" s="29"/>
      <c r="F7920" s="29" t="s">
        <v>2998</v>
      </c>
      <c r="G7920" s="29" t="s">
        <v>2999</v>
      </c>
      <c r="H7920" s="29" t="s">
        <v>3006</v>
      </c>
      <c r="I7920" s="29"/>
      <c r="J7920" s="29" t="s">
        <v>3007</v>
      </c>
      <c r="K7920" s="29"/>
      <c r="L7920" s="29" t="s">
        <v>3008</v>
      </c>
      <c r="M7920" s="29"/>
      <c r="N7920" s="29" t="s">
        <v>12796</v>
      </c>
      <c r="O7920" s="29"/>
      <c r="P7920" s="29" t="s">
        <v>12797</v>
      </c>
      <c r="Q7920" t="s">
        <v>2039</v>
      </c>
      <c r="R7920" t="s">
        <v>2632</v>
      </c>
      <c r="S7920">
        <v>38</v>
      </c>
      <c r="T7920" s="43" t="str">
        <f>HYPERLINK("https://ictv.global/ictv/proposals/2021.015M.Jingchuvirales_2ngen_10nsp.zip","2021.015M.Jingchuvirales_2ngen_10nsp.zip")</f>
        <v>2021.015M.Jingchuvirales_2ngen_10nsp.zip</v>
      </c>
      <c r="U7920" s="43" t="str">
        <f>HYPERLINK("https://ictv.global/taxonomy/taxondetails?taxnode_id=202214132","ictv.global=202214132")</f>
        <v>ictv.global=202214132</v>
      </c>
    </row>
    <row r="7921" spans="1:21">
      <c r="A7921">
        <v>7920</v>
      </c>
      <c r="B7921" s="29" t="s">
        <v>3223</v>
      </c>
      <c r="C7921" s="29"/>
      <c r="D7921" s="29" t="s">
        <v>4156</v>
      </c>
      <c r="E7921" s="29"/>
      <c r="F7921" s="29" t="s">
        <v>2998</v>
      </c>
      <c r="G7921" s="29" t="s">
        <v>2999</v>
      </c>
      <c r="H7921" s="29" t="s">
        <v>3006</v>
      </c>
      <c r="I7921" s="29"/>
      <c r="J7921" s="29" t="s">
        <v>3007</v>
      </c>
      <c r="K7921" s="29"/>
      <c r="L7921" s="29" t="s">
        <v>3008</v>
      </c>
      <c r="M7921" s="29"/>
      <c r="N7921" s="29" t="s">
        <v>6599</v>
      </c>
      <c r="O7921" s="29"/>
      <c r="P7921" s="29" t="s">
        <v>6600</v>
      </c>
      <c r="Q7921" t="s">
        <v>2039</v>
      </c>
      <c r="R7921" t="s">
        <v>2633</v>
      </c>
      <c r="S7921">
        <v>36</v>
      </c>
      <c r="T7921" s="43" t="str">
        <f>HYPERLINK("https://ictv.global/ictv/proposals/2020.026M.R.Jingchuvirales.zip","2020.026M.R.Jingchuvirales.zip")</f>
        <v>2020.026M.R.Jingchuvirales.zip</v>
      </c>
      <c r="U7921" s="43" t="str">
        <f>HYPERLINK("https://ictv.global/taxonomy/taxondetails?taxnode_id=202206048","ictv.global=202206048")</f>
        <v>ictv.global=202206048</v>
      </c>
    </row>
    <row r="7922" spans="1:21">
      <c r="A7922">
        <v>7921</v>
      </c>
      <c r="B7922" s="29" t="s">
        <v>3223</v>
      </c>
      <c r="C7922" s="29"/>
      <c r="D7922" s="29" t="s">
        <v>4156</v>
      </c>
      <c r="E7922" s="29"/>
      <c r="F7922" s="29" t="s">
        <v>2998</v>
      </c>
      <c r="G7922" s="29" t="s">
        <v>2999</v>
      </c>
      <c r="H7922" s="29" t="s">
        <v>3006</v>
      </c>
      <c r="I7922" s="29"/>
      <c r="J7922" s="29" t="s">
        <v>3007</v>
      </c>
      <c r="K7922" s="29"/>
      <c r="L7922" s="29" t="s">
        <v>3008</v>
      </c>
      <c r="M7922" s="29"/>
      <c r="N7922" s="29" t="s">
        <v>6599</v>
      </c>
      <c r="O7922" s="29"/>
      <c r="P7922" s="29" t="s">
        <v>6601</v>
      </c>
      <c r="Q7922" t="s">
        <v>2039</v>
      </c>
      <c r="R7922" t="s">
        <v>2633</v>
      </c>
      <c r="S7922">
        <v>36</v>
      </c>
      <c r="T7922" s="43" t="str">
        <f>HYPERLINK("https://ictv.global/ictv/proposals/2020.026M.R.Jingchuvirales.zip","2020.026M.R.Jingchuvirales.zip")</f>
        <v>2020.026M.R.Jingchuvirales.zip</v>
      </c>
      <c r="U7922" s="43" t="str">
        <f>HYPERLINK("https://ictv.global/taxonomy/taxondetails?taxnode_id=202206056","ictv.global=202206056")</f>
        <v>ictv.global=202206056</v>
      </c>
    </row>
    <row r="7923" spans="1:21">
      <c r="A7923">
        <v>7922</v>
      </c>
      <c r="B7923" s="29" t="s">
        <v>3223</v>
      </c>
      <c r="C7923" s="29"/>
      <c r="D7923" s="29" t="s">
        <v>4156</v>
      </c>
      <c r="E7923" s="29"/>
      <c r="F7923" s="29" t="s">
        <v>2998</v>
      </c>
      <c r="G7923" s="29" t="s">
        <v>2999</v>
      </c>
      <c r="H7923" s="29" t="s">
        <v>3006</v>
      </c>
      <c r="I7923" s="29"/>
      <c r="J7923" s="29" t="s">
        <v>3007</v>
      </c>
      <c r="K7923" s="29"/>
      <c r="L7923" s="29" t="s">
        <v>3008</v>
      </c>
      <c r="M7923" s="29"/>
      <c r="N7923" s="29" t="s">
        <v>6599</v>
      </c>
      <c r="O7923" s="29"/>
      <c r="P7923" s="29" t="s">
        <v>6602</v>
      </c>
      <c r="Q7923" t="s">
        <v>2039</v>
      </c>
      <c r="R7923" t="s">
        <v>2633</v>
      </c>
      <c r="S7923">
        <v>36</v>
      </c>
      <c r="T7923" s="43" t="str">
        <f>HYPERLINK("https://ictv.global/ictv/proposals/2020.026M.R.Jingchuvirales.zip","2020.026M.R.Jingchuvirales.zip")</f>
        <v>2020.026M.R.Jingchuvirales.zip</v>
      </c>
      <c r="U7923" s="43" t="str">
        <f>HYPERLINK("https://ictv.global/taxonomy/taxondetails?taxnode_id=202206055","ictv.global=202206055")</f>
        <v>ictv.global=202206055</v>
      </c>
    </row>
    <row r="7924" spans="1:21">
      <c r="A7924">
        <v>7923</v>
      </c>
      <c r="B7924" s="29" t="s">
        <v>3223</v>
      </c>
      <c r="C7924" s="29"/>
      <c r="D7924" s="29" t="s">
        <v>4156</v>
      </c>
      <c r="E7924" s="29"/>
      <c r="F7924" s="29" t="s">
        <v>2998</v>
      </c>
      <c r="G7924" s="29" t="s">
        <v>2999</v>
      </c>
      <c r="H7924" s="29" t="s">
        <v>3006</v>
      </c>
      <c r="I7924" s="29"/>
      <c r="J7924" s="29" t="s">
        <v>3007</v>
      </c>
      <c r="K7924" s="29"/>
      <c r="L7924" s="29" t="s">
        <v>3008</v>
      </c>
      <c r="M7924" s="29"/>
      <c r="N7924" s="29" t="s">
        <v>6599</v>
      </c>
      <c r="O7924" s="29"/>
      <c r="P7924" s="29" t="s">
        <v>6603</v>
      </c>
      <c r="Q7924" t="s">
        <v>2039</v>
      </c>
      <c r="R7924" t="s">
        <v>2632</v>
      </c>
      <c r="S7924">
        <v>36</v>
      </c>
      <c r="T7924" s="43" t="str">
        <f>HYPERLINK("https://ictv.global/ictv/proposals/2020.026M.R.Jingchuvirales.zip","2020.026M.R.Jingchuvirales.zip")</f>
        <v>2020.026M.R.Jingchuvirales.zip</v>
      </c>
      <c r="U7924" s="43" t="str">
        <f>HYPERLINK("https://ictv.global/taxonomy/taxondetails?taxnode_id=202209740","ictv.global=202209740")</f>
        <v>ictv.global=202209740</v>
      </c>
    </row>
    <row r="7925" spans="1:21">
      <c r="A7925">
        <v>7924</v>
      </c>
      <c r="B7925" s="29" t="s">
        <v>3223</v>
      </c>
      <c r="C7925" s="29"/>
      <c r="D7925" s="29" t="s">
        <v>4156</v>
      </c>
      <c r="E7925" s="29"/>
      <c r="F7925" s="29" t="s">
        <v>2998</v>
      </c>
      <c r="G7925" s="29" t="s">
        <v>2999</v>
      </c>
      <c r="H7925" s="29" t="s">
        <v>3006</v>
      </c>
      <c r="I7925" s="29"/>
      <c r="J7925" s="29" t="s">
        <v>3007</v>
      </c>
      <c r="K7925" s="29"/>
      <c r="L7925" s="29" t="s">
        <v>3008</v>
      </c>
      <c r="M7925" s="29"/>
      <c r="N7925" s="29" t="s">
        <v>6599</v>
      </c>
      <c r="O7925" s="29"/>
      <c r="P7925" s="29" t="s">
        <v>6604</v>
      </c>
      <c r="Q7925" t="s">
        <v>2039</v>
      </c>
      <c r="R7925" t="s">
        <v>2633</v>
      </c>
      <c r="S7925">
        <v>36</v>
      </c>
      <c r="T7925" s="43" t="str">
        <f>HYPERLINK("https://ictv.global/ictv/proposals/2020.026M.R.Jingchuvirales.zip","2020.026M.R.Jingchuvirales.zip")</f>
        <v>2020.026M.R.Jingchuvirales.zip</v>
      </c>
      <c r="U7925" s="43" t="str">
        <f>HYPERLINK("https://ictv.global/taxonomy/taxondetails?taxnode_id=202206059","ictv.global=202206059")</f>
        <v>ictv.global=202206059</v>
      </c>
    </row>
    <row r="7926" spans="1:21">
      <c r="A7926">
        <v>7925</v>
      </c>
      <c r="B7926" s="29" t="s">
        <v>3223</v>
      </c>
      <c r="C7926" s="29"/>
      <c r="D7926" s="29" t="s">
        <v>4156</v>
      </c>
      <c r="E7926" s="29"/>
      <c r="F7926" s="29" t="s">
        <v>2998</v>
      </c>
      <c r="G7926" s="29" t="s">
        <v>2999</v>
      </c>
      <c r="H7926" s="29" t="s">
        <v>3006</v>
      </c>
      <c r="I7926" s="29"/>
      <c r="J7926" s="29" t="s">
        <v>3007</v>
      </c>
      <c r="K7926" s="29"/>
      <c r="L7926" s="29" t="s">
        <v>3008</v>
      </c>
      <c r="M7926" s="29"/>
      <c r="N7926" s="29" t="s">
        <v>6599</v>
      </c>
      <c r="O7926" s="29"/>
      <c r="P7926" s="29" t="s">
        <v>12798</v>
      </c>
      <c r="Q7926" t="s">
        <v>2039</v>
      </c>
      <c r="R7926" t="s">
        <v>2632</v>
      </c>
      <c r="S7926">
        <v>38</v>
      </c>
      <c r="T7926" s="43" t="str">
        <f>HYPERLINK("https://ictv.global/ictv/proposals/2021.015M.Jingchuvirales_2ngen_10nsp.zip","2021.015M.Jingchuvirales_2ngen_10nsp.zip")</f>
        <v>2021.015M.Jingchuvirales_2ngen_10nsp.zip</v>
      </c>
      <c r="U7926" s="43" t="str">
        <f>HYPERLINK("https://ictv.global/taxonomy/taxondetails?taxnode_id=202214133","ictv.global=202214133")</f>
        <v>ictv.global=202214133</v>
      </c>
    </row>
    <row r="7927" spans="1:21">
      <c r="A7927">
        <v>7926</v>
      </c>
      <c r="B7927" s="29" t="s">
        <v>3223</v>
      </c>
      <c r="C7927" s="29"/>
      <c r="D7927" s="29" t="s">
        <v>4156</v>
      </c>
      <c r="E7927" s="29"/>
      <c r="F7927" s="29" t="s">
        <v>2998</v>
      </c>
      <c r="G7927" s="29" t="s">
        <v>2999</v>
      </c>
      <c r="H7927" s="29" t="s">
        <v>3006</v>
      </c>
      <c r="I7927" s="29"/>
      <c r="J7927" s="29" t="s">
        <v>3007</v>
      </c>
      <c r="K7927" s="29"/>
      <c r="L7927" s="29" t="s">
        <v>3008</v>
      </c>
      <c r="M7927" s="29"/>
      <c r="N7927" s="29" t="s">
        <v>6599</v>
      </c>
      <c r="O7927" s="29"/>
      <c r="P7927" s="29" t="s">
        <v>12799</v>
      </c>
      <c r="Q7927" t="s">
        <v>2039</v>
      </c>
      <c r="R7927" t="s">
        <v>2632</v>
      </c>
      <c r="S7927">
        <v>38</v>
      </c>
      <c r="T7927" s="43" t="str">
        <f>HYPERLINK("https://ictv.global/ictv/proposals/2021.015M.Jingchuvirales_2ngen_10nsp.zip","2021.015M.Jingchuvirales_2ngen_10nsp.zip")</f>
        <v>2021.015M.Jingchuvirales_2ngen_10nsp.zip</v>
      </c>
      <c r="U7927" s="43" t="str">
        <f>HYPERLINK("https://ictv.global/taxonomy/taxondetails?taxnode_id=202214135","ictv.global=202214135")</f>
        <v>ictv.global=202214135</v>
      </c>
    </row>
    <row r="7928" spans="1:21">
      <c r="A7928">
        <v>7927</v>
      </c>
      <c r="B7928" s="29" t="s">
        <v>3223</v>
      </c>
      <c r="C7928" s="29"/>
      <c r="D7928" s="29" t="s">
        <v>4156</v>
      </c>
      <c r="E7928" s="29"/>
      <c r="F7928" s="29" t="s">
        <v>2998</v>
      </c>
      <c r="G7928" s="29" t="s">
        <v>2999</v>
      </c>
      <c r="H7928" s="29" t="s">
        <v>3006</v>
      </c>
      <c r="I7928" s="29"/>
      <c r="J7928" s="29" t="s">
        <v>3007</v>
      </c>
      <c r="K7928" s="29"/>
      <c r="L7928" s="29" t="s">
        <v>3008</v>
      </c>
      <c r="M7928" s="29"/>
      <c r="N7928" s="29" t="s">
        <v>6605</v>
      </c>
      <c r="O7928" s="29"/>
      <c r="P7928" s="29" t="s">
        <v>6606</v>
      </c>
      <c r="Q7928" t="s">
        <v>2039</v>
      </c>
      <c r="R7928" t="s">
        <v>2633</v>
      </c>
      <c r="S7928">
        <v>36</v>
      </c>
      <c r="T7928" s="43" t="str">
        <f>HYPERLINK("https://ictv.global/ictv/proposals/2020.026M.R.Jingchuvirales.zip","2020.026M.R.Jingchuvirales.zip")</f>
        <v>2020.026M.R.Jingchuvirales.zip</v>
      </c>
      <c r="U7928" s="43" t="str">
        <f>HYPERLINK("https://ictv.global/taxonomy/taxondetails?taxnode_id=202206068","ictv.global=202206068")</f>
        <v>ictv.global=202206068</v>
      </c>
    </row>
    <row r="7929" spans="1:21">
      <c r="A7929">
        <v>7928</v>
      </c>
      <c r="B7929" s="29" t="s">
        <v>3223</v>
      </c>
      <c r="C7929" s="29"/>
      <c r="D7929" s="29" t="s">
        <v>4156</v>
      </c>
      <c r="E7929" s="29"/>
      <c r="F7929" s="29" t="s">
        <v>2998</v>
      </c>
      <c r="G7929" s="29" t="s">
        <v>2999</v>
      </c>
      <c r="H7929" s="29" t="s">
        <v>3006</v>
      </c>
      <c r="I7929" s="29"/>
      <c r="J7929" s="29" t="s">
        <v>3007</v>
      </c>
      <c r="K7929" s="29"/>
      <c r="L7929" s="29" t="s">
        <v>3008</v>
      </c>
      <c r="M7929" s="29"/>
      <c r="N7929" s="29" t="s">
        <v>12800</v>
      </c>
      <c r="O7929" s="29"/>
      <c r="P7929" s="29" t="s">
        <v>12801</v>
      </c>
      <c r="Q7929" t="s">
        <v>2039</v>
      </c>
      <c r="R7929" t="s">
        <v>2632</v>
      </c>
      <c r="S7929">
        <v>38</v>
      </c>
      <c r="T7929" s="43" t="str">
        <f>HYPERLINK("https://ictv.global/ictv/proposals/2021.015M.Jingchuvirales_2ngen_10nsp.zip","2021.015M.Jingchuvirales_2ngen_10nsp.zip")</f>
        <v>2021.015M.Jingchuvirales_2ngen_10nsp.zip</v>
      </c>
      <c r="U7929" s="43" t="str">
        <f>HYPERLINK("https://ictv.global/taxonomy/taxondetails?taxnode_id=202214134","ictv.global=202214134")</f>
        <v>ictv.global=202214134</v>
      </c>
    </row>
    <row r="7930" spans="1:21">
      <c r="A7930">
        <v>7929</v>
      </c>
      <c r="B7930" s="29" t="s">
        <v>3223</v>
      </c>
      <c r="C7930" s="29"/>
      <c r="D7930" s="29" t="s">
        <v>4156</v>
      </c>
      <c r="E7930" s="29"/>
      <c r="F7930" s="29" t="s">
        <v>2998</v>
      </c>
      <c r="G7930" s="29" t="s">
        <v>2999</v>
      </c>
      <c r="H7930" s="29" t="s">
        <v>3006</v>
      </c>
      <c r="I7930" s="29"/>
      <c r="J7930" s="29" t="s">
        <v>3007</v>
      </c>
      <c r="K7930" s="29"/>
      <c r="L7930" s="29" t="s">
        <v>6607</v>
      </c>
      <c r="M7930" s="29"/>
      <c r="N7930" s="29" t="s">
        <v>6608</v>
      </c>
      <c r="O7930" s="29"/>
      <c r="P7930" s="29" t="s">
        <v>6609</v>
      </c>
      <c r="Q7930" t="s">
        <v>2039</v>
      </c>
      <c r="R7930" t="s">
        <v>2632</v>
      </c>
      <c r="S7930">
        <v>36</v>
      </c>
      <c r="T7930" s="43" t="str">
        <f>HYPERLINK("https://ictv.global/ictv/proposals/2020.026M.R.Jingchuvirales.zip","2020.026M.R.Jingchuvirales.zip")</f>
        <v>2020.026M.R.Jingchuvirales.zip</v>
      </c>
      <c r="U7930" s="43" t="str">
        <f>HYPERLINK("https://ictv.global/taxonomy/taxondetails?taxnode_id=202209711","ictv.global=202209711")</f>
        <v>ictv.global=202209711</v>
      </c>
    </row>
    <row r="7931" spans="1:21">
      <c r="A7931">
        <v>7930</v>
      </c>
      <c r="B7931" s="29" t="s">
        <v>3223</v>
      </c>
      <c r="C7931" s="29"/>
      <c r="D7931" s="29" t="s">
        <v>4156</v>
      </c>
      <c r="E7931" s="29"/>
      <c r="F7931" s="29" t="s">
        <v>2998</v>
      </c>
      <c r="G7931" s="29" t="s">
        <v>2999</v>
      </c>
      <c r="H7931" s="29" t="s">
        <v>3006</v>
      </c>
      <c r="I7931" s="29"/>
      <c r="J7931" s="29" t="s">
        <v>3007</v>
      </c>
      <c r="K7931" s="29"/>
      <c r="L7931" s="29" t="s">
        <v>6610</v>
      </c>
      <c r="M7931" s="29"/>
      <c r="N7931" s="29" t="s">
        <v>6611</v>
      </c>
      <c r="O7931" s="29"/>
      <c r="P7931" s="29" t="s">
        <v>6612</v>
      </c>
      <c r="Q7931" t="s">
        <v>2039</v>
      </c>
      <c r="R7931" t="s">
        <v>2633</v>
      </c>
      <c r="S7931">
        <v>36</v>
      </c>
      <c r="T7931" s="43" t="str">
        <f>HYPERLINK("https://ictv.global/ictv/proposals/2020.026M.R.Jingchuvirales.zip","2020.026M.R.Jingchuvirales.zip")</f>
        <v>2020.026M.R.Jingchuvirales.zip</v>
      </c>
      <c r="U7931" s="43" t="str">
        <f>HYPERLINK("https://ictv.global/taxonomy/taxondetails?taxnode_id=202206063","ictv.global=202206063")</f>
        <v>ictv.global=202206063</v>
      </c>
    </row>
    <row r="7932" spans="1:21">
      <c r="A7932">
        <v>7931</v>
      </c>
      <c r="B7932" s="29" t="s">
        <v>3223</v>
      </c>
      <c r="C7932" s="29"/>
      <c r="D7932" s="29" t="s">
        <v>4156</v>
      </c>
      <c r="E7932" s="29"/>
      <c r="F7932" s="29" t="s">
        <v>2998</v>
      </c>
      <c r="G7932" s="29" t="s">
        <v>2999</v>
      </c>
      <c r="H7932" s="29" t="s">
        <v>3006</v>
      </c>
      <c r="I7932" s="29"/>
      <c r="J7932" s="29" t="s">
        <v>3007</v>
      </c>
      <c r="K7932" s="29"/>
      <c r="L7932" s="29" t="s">
        <v>6613</v>
      </c>
      <c r="M7932" s="29"/>
      <c r="N7932" s="29" t="s">
        <v>6614</v>
      </c>
      <c r="O7932" s="29"/>
      <c r="P7932" s="29" t="s">
        <v>6615</v>
      </c>
      <c r="Q7932" t="s">
        <v>2039</v>
      </c>
      <c r="R7932" t="s">
        <v>2633</v>
      </c>
      <c r="S7932">
        <v>36</v>
      </c>
      <c r="T7932" s="43" t="str">
        <f>HYPERLINK("https://ictv.global/ictv/proposals/2020.026M.R.Jingchuvirales.zip","2020.026M.R.Jingchuvirales.zip")</f>
        <v>2020.026M.R.Jingchuvirales.zip</v>
      </c>
      <c r="U7932" s="43" t="str">
        <f>HYPERLINK("https://ictv.global/taxonomy/taxondetails?taxnode_id=202206047","ictv.global=202206047")</f>
        <v>ictv.global=202206047</v>
      </c>
    </row>
    <row r="7933" spans="1:21">
      <c r="A7933">
        <v>7932</v>
      </c>
      <c r="B7933" s="29" t="s">
        <v>3223</v>
      </c>
      <c r="C7933" s="29"/>
      <c r="D7933" s="29" t="s">
        <v>4156</v>
      </c>
      <c r="E7933" s="29"/>
      <c r="F7933" s="29" t="s">
        <v>2998</v>
      </c>
      <c r="G7933" s="29" t="s">
        <v>2999</v>
      </c>
      <c r="H7933" s="29" t="s">
        <v>3006</v>
      </c>
      <c r="I7933" s="29"/>
      <c r="J7933" s="29" t="s">
        <v>757</v>
      </c>
      <c r="K7933" s="29"/>
      <c r="L7933" s="29" t="s">
        <v>3010</v>
      </c>
      <c r="M7933" s="29"/>
      <c r="N7933" s="29" t="s">
        <v>4210</v>
      </c>
      <c r="O7933" s="29"/>
      <c r="P7933" s="29" t="s">
        <v>12802</v>
      </c>
      <c r="Q7933" t="s">
        <v>2039</v>
      </c>
      <c r="R7933" t="s">
        <v>2635</v>
      </c>
      <c r="S7933">
        <v>37</v>
      </c>
      <c r="T7933" s="43" t="str">
        <f t="shared" ref="T7933:T7939" si="343">HYPERLINK("https://ictv.global/ictv/proposals/2021.009M.R.Artoviridae_sprename.zip","2021.009M.R.Artoviridae_sprename.zip")</f>
        <v>2021.009M.R.Artoviridae_sprename.zip</v>
      </c>
      <c r="U7933" s="43" t="str">
        <f>HYPERLINK("https://ictv.global/taxonomy/taxondetails?taxnode_id=202206269","ictv.global=202206269")</f>
        <v>ictv.global=202206269</v>
      </c>
    </row>
    <row r="7934" spans="1:21">
      <c r="A7934">
        <v>7933</v>
      </c>
      <c r="B7934" s="29" t="s">
        <v>3223</v>
      </c>
      <c r="C7934" s="29"/>
      <c r="D7934" s="29" t="s">
        <v>4156</v>
      </c>
      <c r="E7934" s="29"/>
      <c r="F7934" s="29" t="s">
        <v>2998</v>
      </c>
      <c r="G7934" s="29" t="s">
        <v>2999</v>
      </c>
      <c r="H7934" s="29" t="s">
        <v>3006</v>
      </c>
      <c r="I7934" s="29"/>
      <c r="J7934" s="29" t="s">
        <v>757</v>
      </c>
      <c r="K7934" s="29"/>
      <c r="L7934" s="29" t="s">
        <v>3010</v>
      </c>
      <c r="M7934" s="29"/>
      <c r="N7934" s="29" t="s">
        <v>4210</v>
      </c>
      <c r="O7934" s="29"/>
      <c r="P7934" s="29" t="s">
        <v>12803</v>
      </c>
      <c r="Q7934" t="s">
        <v>2039</v>
      </c>
      <c r="R7934" t="s">
        <v>2635</v>
      </c>
      <c r="S7934">
        <v>37</v>
      </c>
      <c r="T7934" s="43" t="str">
        <f t="shared" si="343"/>
        <v>2021.009M.R.Artoviridae_sprename.zip</v>
      </c>
      <c r="U7934" s="43" t="str">
        <f>HYPERLINK("https://ictv.global/taxonomy/taxondetails?taxnode_id=202207514","ictv.global=202207514")</f>
        <v>ictv.global=202207514</v>
      </c>
    </row>
    <row r="7935" spans="1:21">
      <c r="A7935">
        <v>7934</v>
      </c>
      <c r="B7935" s="29" t="s">
        <v>3223</v>
      </c>
      <c r="C7935" s="29"/>
      <c r="D7935" s="29" t="s">
        <v>4156</v>
      </c>
      <c r="E7935" s="29"/>
      <c r="F7935" s="29" t="s">
        <v>2998</v>
      </c>
      <c r="G7935" s="29" t="s">
        <v>2999</v>
      </c>
      <c r="H7935" s="29" t="s">
        <v>3006</v>
      </c>
      <c r="I7935" s="29"/>
      <c r="J7935" s="29" t="s">
        <v>757</v>
      </c>
      <c r="K7935" s="29"/>
      <c r="L7935" s="29" t="s">
        <v>3010</v>
      </c>
      <c r="M7935" s="29"/>
      <c r="N7935" s="29" t="s">
        <v>2454</v>
      </c>
      <c r="O7935" s="29"/>
      <c r="P7935" s="29" t="s">
        <v>12804</v>
      </c>
      <c r="Q7935" t="s">
        <v>2039</v>
      </c>
      <c r="R7935" t="s">
        <v>2635</v>
      </c>
      <c r="S7935">
        <v>37</v>
      </c>
      <c r="T7935" s="43" t="str">
        <f t="shared" si="343"/>
        <v>2021.009M.R.Artoviridae_sprename.zip</v>
      </c>
      <c r="U7935" s="43" t="str">
        <f>HYPERLINK("https://ictv.global/taxonomy/taxondetails?taxnode_id=202206272","ictv.global=202206272")</f>
        <v>ictv.global=202206272</v>
      </c>
    </row>
    <row r="7936" spans="1:21">
      <c r="A7936">
        <v>7935</v>
      </c>
      <c r="B7936" s="29" t="s">
        <v>3223</v>
      </c>
      <c r="C7936" s="29"/>
      <c r="D7936" s="29" t="s">
        <v>4156</v>
      </c>
      <c r="E7936" s="29"/>
      <c r="F7936" s="29" t="s">
        <v>2998</v>
      </c>
      <c r="G7936" s="29" t="s">
        <v>2999</v>
      </c>
      <c r="H7936" s="29" t="s">
        <v>3006</v>
      </c>
      <c r="I7936" s="29"/>
      <c r="J7936" s="29" t="s">
        <v>757</v>
      </c>
      <c r="K7936" s="29"/>
      <c r="L7936" s="29" t="s">
        <v>3010</v>
      </c>
      <c r="M7936" s="29"/>
      <c r="N7936" s="29" t="s">
        <v>2454</v>
      </c>
      <c r="O7936" s="29"/>
      <c r="P7936" s="29" t="s">
        <v>12805</v>
      </c>
      <c r="Q7936" t="s">
        <v>2039</v>
      </c>
      <c r="R7936" t="s">
        <v>2635</v>
      </c>
      <c r="S7936">
        <v>37</v>
      </c>
      <c r="T7936" s="43" t="str">
        <f t="shared" si="343"/>
        <v>2021.009M.R.Artoviridae_sprename.zip</v>
      </c>
      <c r="U7936" s="43" t="str">
        <f>HYPERLINK("https://ictv.global/taxonomy/taxondetails?taxnode_id=202206270","ictv.global=202206270")</f>
        <v>ictv.global=202206270</v>
      </c>
    </row>
    <row r="7937" spans="1:21">
      <c r="A7937">
        <v>7936</v>
      </c>
      <c r="B7937" s="29" t="s">
        <v>3223</v>
      </c>
      <c r="C7937" s="29"/>
      <c r="D7937" s="29" t="s">
        <v>4156</v>
      </c>
      <c r="E7937" s="29"/>
      <c r="F7937" s="29" t="s">
        <v>2998</v>
      </c>
      <c r="G7937" s="29" t="s">
        <v>2999</v>
      </c>
      <c r="H7937" s="29" t="s">
        <v>3006</v>
      </c>
      <c r="I7937" s="29"/>
      <c r="J7937" s="29" t="s">
        <v>757</v>
      </c>
      <c r="K7937" s="29"/>
      <c r="L7937" s="29" t="s">
        <v>3010</v>
      </c>
      <c r="M7937" s="29"/>
      <c r="N7937" s="29" t="s">
        <v>2454</v>
      </c>
      <c r="O7937" s="29"/>
      <c r="P7937" s="29" t="s">
        <v>12806</v>
      </c>
      <c r="Q7937" t="s">
        <v>2039</v>
      </c>
      <c r="R7937" t="s">
        <v>2635</v>
      </c>
      <c r="S7937">
        <v>37</v>
      </c>
      <c r="T7937" s="43" t="str">
        <f t="shared" si="343"/>
        <v>2021.009M.R.Artoviridae_sprename.zip</v>
      </c>
      <c r="U7937" s="43" t="str">
        <f>HYPERLINK("https://ictv.global/taxonomy/taxondetails?taxnode_id=202206271","ictv.global=202206271")</f>
        <v>ictv.global=202206271</v>
      </c>
    </row>
    <row r="7938" spans="1:21">
      <c r="A7938">
        <v>7937</v>
      </c>
      <c r="B7938" s="29" t="s">
        <v>3223</v>
      </c>
      <c r="C7938" s="29"/>
      <c r="D7938" s="29" t="s">
        <v>4156</v>
      </c>
      <c r="E7938" s="29"/>
      <c r="F7938" s="29" t="s">
        <v>2998</v>
      </c>
      <c r="G7938" s="29" t="s">
        <v>2999</v>
      </c>
      <c r="H7938" s="29" t="s">
        <v>3006</v>
      </c>
      <c r="I7938" s="29"/>
      <c r="J7938" s="29" t="s">
        <v>757</v>
      </c>
      <c r="K7938" s="29"/>
      <c r="L7938" s="29" t="s">
        <v>3010</v>
      </c>
      <c r="M7938" s="29"/>
      <c r="N7938" s="29" t="s">
        <v>2454</v>
      </c>
      <c r="O7938" s="29"/>
      <c r="P7938" s="29" t="s">
        <v>12807</v>
      </c>
      <c r="Q7938" t="s">
        <v>2039</v>
      </c>
      <c r="R7938" t="s">
        <v>2635</v>
      </c>
      <c r="S7938">
        <v>37</v>
      </c>
      <c r="T7938" s="43" t="str">
        <f t="shared" si="343"/>
        <v>2021.009M.R.Artoviridae_sprename.zip</v>
      </c>
      <c r="U7938" s="43" t="str">
        <f>HYPERLINK("https://ictv.global/taxonomy/taxondetails?taxnode_id=202206274","ictv.global=202206274")</f>
        <v>ictv.global=202206274</v>
      </c>
    </row>
    <row r="7939" spans="1:21">
      <c r="A7939">
        <v>7938</v>
      </c>
      <c r="B7939" s="29" t="s">
        <v>3223</v>
      </c>
      <c r="C7939" s="29"/>
      <c r="D7939" s="29" t="s">
        <v>4156</v>
      </c>
      <c r="E7939" s="29"/>
      <c r="F7939" s="29" t="s">
        <v>2998</v>
      </c>
      <c r="G7939" s="29" t="s">
        <v>2999</v>
      </c>
      <c r="H7939" s="29" t="s">
        <v>3006</v>
      </c>
      <c r="I7939" s="29"/>
      <c r="J7939" s="29" t="s">
        <v>757</v>
      </c>
      <c r="K7939" s="29"/>
      <c r="L7939" s="29" t="s">
        <v>3010</v>
      </c>
      <c r="M7939" s="29"/>
      <c r="N7939" s="29" t="s">
        <v>2454</v>
      </c>
      <c r="O7939" s="29"/>
      <c r="P7939" s="29" t="s">
        <v>12808</v>
      </c>
      <c r="Q7939" t="s">
        <v>2039</v>
      </c>
      <c r="R7939" t="s">
        <v>2635</v>
      </c>
      <c r="S7939">
        <v>37</v>
      </c>
      <c r="T7939" s="43" t="str">
        <f t="shared" si="343"/>
        <v>2021.009M.R.Artoviridae_sprename.zip</v>
      </c>
      <c r="U7939" s="43" t="str">
        <f>HYPERLINK("https://ictv.global/taxonomy/taxondetails?taxnode_id=202206273","ictv.global=202206273")</f>
        <v>ictv.global=202206273</v>
      </c>
    </row>
    <row r="7940" spans="1:21">
      <c r="A7940">
        <v>7939</v>
      </c>
      <c r="B7940" s="29" t="s">
        <v>3223</v>
      </c>
      <c r="C7940" s="29"/>
      <c r="D7940" s="29" t="s">
        <v>4156</v>
      </c>
      <c r="E7940" s="29"/>
      <c r="F7940" s="29" t="s">
        <v>2998</v>
      </c>
      <c r="G7940" s="29" t="s">
        <v>2999</v>
      </c>
      <c r="H7940" s="29" t="s">
        <v>3006</v>
      </c>
      <c r="I7940" s="29"/>
      <c r="J7940" s="29" t="s">
        <v>757</v>
      </c>
      <c r="K7940" s="29"/>
      <c r="L7940" s="29" t="s">
        <v>3010</v>
      </c>
      <c r="M7940" s="29"/>
      <c r="N7940" s="29" t="s">
        <v>2454</v>
      </c>
      <c r="O7940" s="29"/>
      <c r="P7940" s="29" t="s">
        <v>12809</v>
      </c>
      <c r="Q7940" t="s">
        <v>2039</v>
      </c>
      <c r="R7940" t="s">
        <v>2632</v>
      </c>
      <c r="S7940">
        <v>37</v>
      </c>
      <c r="T7940" s="43" t="str">
        <f>HYPERLINK("https://ictv.global/ictv/proposals/2021.029M.R.Peropuvirus_1nsp.zip","2021.029M.R.Peropuvirus_1nsp.zip")</f>
        <v>2021.029M.R.Peropuvirus_1nsp.zip</v>
      </c>
      <c r="U7940" s="43" t="str">
        <f>HYPERLINK("https://ictv.global/taxonomy/taxondetails?taxnode_id=202212237","ictv.global=202212237")</f>
        <v>ictv.global=202212237</v>
      </c>
    </row>
    <row r="7941" spans="1:21">
      <c r="A7941">
        <v>7940</v>
      </c>
      <c r="B7941" s="29" t="s">
        <v>3223</v>
      </c>
      <c r="C7941" s="29"/>
      <c r="D7941" s="29" t="s">
        <v>4156</v>
      </c>
      <c r="E7941" s="29"/>
      <c r="F7941" s="29" t="s">
        <v>2998</v>
      </c>
      <c r="G7941" s="29" t="s">
        <v>2999</v>
      </c>
      <c r="H7941" s="29" t="s">
        <v>3006</v>
      </c>
      <c r="I7941" s="29"/>
      <c r="J7941" s="29" t="s">
        <v>757</v>
      </c>
      <c r="K7941" s="29"/>
      <c r="L7941" s="29" t="s">
        <v>3010</v>
      </c>
      <c r="M7941" s="29"/>
      <c r="N7941" s="29" t="s">
        <v>2454</v>
      </c>
      <c r="O7941" s="29"/>
      <c r="P7941" s="29" t="s">
        <v>12810</v>
      </c>
      <c r="Q7941" t="s">
        <v>2039</v>
      </c>
      <c r="R7941" t="s">
        <v>2635</v>
      </c>
      <c r="S7941">
        <v>37</v>
      </c>
      <c r="T7941" s="43" t="str">
        <f>HYPERLINK("https://ictv.global/ictv/proposals/2021.009M.R.Artoviridae_sprename.zip","2021.009M.R.Artoviridae_sprename.zip")</f>
        <v>2021.009M.R.Artoviridae_sprename.zip</v>
      </c>
      <c r="U7941" s="43" t="str">
        <f>HYPERLINK("https://ictv.global/taxonomy/taxondetails?taxnode_id=202201583","ictv.global=202201583")</f>
        <v>ictv.global=202201583</v>
      </c>
    </row>
    <row r="7942" spans="1:21">
      <c r="A7942">
        <v>7941</v>
      </c>
      <c r="B7942" s="29" t="s">
        <v>3223</v>
      </c>
      <c r="C7942" s="29"/>
      <c r="D7942" s="29" t="s">
        <v>4156</v>
      </c>
      <c r="E7942" s="29"/>
      <c r="F7942" s="29" t="s">
        <v>2998</v>
      </c>
      <c r="G7942" s="29" t="s">
        <v>2999</v>
      </c>
      <c r="H7942" s="29" t="s">
        <v>3006</v>
      </c>
      <c r="I7942" s="29"/>
      <c r="J7942" s="29" t="s">
        <v>757</v>
      </c>
      <c r="K7942" s="29"/>
      <c r="L7942" s="29" t="s">
        <v>1047</v>
      </c>
      <c r="M7942" s="29"/>
      <c r="N7942" s="29" t="s">
        <v>2658</v>
      </c>
      <c r="O7942" s="29"/>
      <c r="P7942" s="29" t="s">
        <v>12811</v>
      </c>
      <c r="Q7942" t="s">
        <v>2039</v>
      </c>
      <c r="R7942" t="s">
        <v>2635</v>
      </c>
      <c r="S7942">
        <v>37</v>
      </c>
      <c r="T7942" s="43" t="str">
        <f t="shared" ref="T7942:T7948" si="344">HYPERLINK("https://ictv.global/ictv/proposals/2021.010M.R.Bornaviridae_sprename.zip","2021.010M.R.Bornaviridae_sprename.zip")</f>
        <v>2021.010M.R.Bornaviridae_sprename.zip</v>
      </c>
      <c r="U7942" s="43" t="str">
        <f>HYPERLINK("https://ictv.global/taxonomy/taxondetails?taxnode_id=202205571","ictv.global=202205571")</f>
        <v>ictv.global=202205571</v>
      </c>
    </row>
    <row r="7943" spans="1:21">
      <c r="A7943">
        <v>7942</v>
      </c>
      <c r="B7943" s="29" t="s">
        <v>3223</v>
      </c>
      <c r="C7943" s="29"/>
      <c r="D7943" s="29" t="s">
        <v>4156</v>
      </c>
      <c r="E7943" s="29"/>
      <c r="F7943" s="29" t="s">
        <v>2998</v>
      </c>
      <c r="G7943" s="29" t="s">
        <v>2999</v>
      </c>
      <c r="H7943" s="29" t="s">
        <v>3006</v>
      </c>
      <c r="I7943" s="29"/>
      <c r="J7943" s="29" t="s">
        <v>757</v>
      </c>
      <c r="K7943" s="29"/>
      <c r="L7943" s="29" t="s">
        <v>1047</v>
      </c>
      <c r="M7943" s="29"/>
      <c r="N7943" s="29" t="s">
        <v>2658</v>
      </c>
      <c r="O7943" s="29"/>
      <c r="P7943" s="29" t="s">
        <v>12812</v>
      </c>
      <c r="Q7943" t="s">
        <v>2039</v>
      </c>
      <c r="R7943" t="s">
        <v>2635</v>
      </c>
      <c r="S7943">
        <v>37</v>
      </c>
      <c r="T7943" s="43" t="str">
        <f t="shared" si="344"/>
        <v>2021.010M.R.Bornaviridae_sprename.zip</v>
      </c>
      <c r="U7943" s="43" t="str">
        <f>HYPERLINK("https://ictv.global/taxonomy/taxondetails?taxnode_id=202205572","ictv.global=202205572")</f>
        <v>ictv.global=202205572</v>
      </c>
    </row>
    <row r="7944" spans="1:21">
      <c r="A7944">
        <v>7943</v>
      </c>
      <c r="B7944" s="29" t="s">
        <v>3223</v>
      </c>
      <c r="C7944" s="29"/>
      <c r="D7944" s="29" t="s">
        <v>4156</v>
      </c>
      <c r="E7944" s="29"/>
      <c r="F7944" s="29" t="s">
        <v>2998</v>
      </c>
      <c r="G7944" s="29" t="s">
        <v>2999</v>
      </c>
      <c r="H7944" s="29" t="s">
        <v>3006</v>
      </c>
      <c r="I7944" s="29"/>
      <c r="J7944" s="29" t="s">
        <v>757</v>
      </c>
      <c r="K7944" s="29"/>
      <c r="L7944" s="29" t="s">
        <v>1047</v>
      </c>
      <c r="M7944" s="29"/>
      <c r="N7944" s="29" t="s">
        <v>3224</v>
      </c>
      <c r="O7944" s="29"/>
      <c r="P7944" s="29" t="s">
        <v>12813</v>
      </c>
      <c r="Q7944" t="s">
        <v>2039</v>
      </c>
      <c r="R7944" t="s">
        <v>2635</v>
      </c>
      <c r="S7944">
        <v>37</v>
      </c>
      <c r="T7944" s="43" t="str">
        <f t="shared" si="344"/>
        <v>2021.010M.R.Bornaviridae_sprename.zip</v>
      </c>
      <c r="U7944" s="43" t="str">
        <f>HYPERLINK("https://ictv.global/taxonomy/taxondetails?taxnode_id=202206589","ictv.global=202206589")</f>
        <v>ictv.global=202206589</v>
      </c>
    </row>
    <row r="7945" spans="1:21">
      <c r="A7945">
        <v>7944</v>
      </c>
      <c r="B7945" s="29" t="s">
        <v>3223</v>
      </c>
      <c r="C7945" s="29"/>
      <c r="D7945" s="29" t="s">
        <v>4156</v>
      </c>
      <c r="E7945" s="29"/>
      <c r="F7945" s="29" t="s">
        <v>2998</v>
      </c>
      <c r="G7945" s="29" t="s">
        <v>2999</v>
      </c>
      <c r="H7945" s="29" t="s">
        <v>3006</v>
      </c>
      <c r="I7945" s="29"/>
      <c r="J7945" s="29" t="s">
        <v>757</v>
      </c>
      <c r="K7945" s="29"/>
      <c r="L7945" s="29" t="s">
        <v>1047</v>
      </c>
      <c r="M7945" s="29"/>
      <c r="N7945" s="29" t="s">
        <v>2659</v>
      </c>
      <c r="O7945" s="29"/>
      <c r="P7945" s="29" t="s">
        <v>12814</v>
      </c>
      <c r="Q7945" t="s">
        <v>2039</v>
      </c>
      <c r="R7945" t="s">
        <v>2635</v>
      </c>
      <c r="S7945">
        <v>37</v>
      </c>
      <c r="T7945" s="43" t="str">
        <f t="shared" si="344"/>
        <v>2021.010M.R.Bornaviridae_sprename.zip</v>
      </c>
      <c r="U7945" s="43" t="str">
        <f>HYPERLINK("https://ictv.global/taxonomy/taxondetails?taxnode_id=202201557","ictv.global=202201557")</f>
        <v>ictv.global=202201557</v>
      </c>
    </row>
    <row r="7946" spans="1:21">
      <c r="A7946">
        <v>7945</v>
      </c>
      <c r="B7946" s="29" t="s">
        <v>3223</v>
      </c>
      <c r="C7946" s="29"/>
      <c r="D7946" s="29" t="s">
        <v>4156</v>
      </c>
      <c r="E7946" s="29"/>
      <c r="F7946" s="29" t="s">
        <v>2998</v>
      </c>
      <c r="G7946" s="29" t="s">
        <v>2999</v>
      </c>
      <c r="H7946" s="29" t="s">
        <v>3006</v>
      </c>
      <c r="I7946" s="29"/>
      <c r="J7946" s="29" t="s">
        <v>757</v>
      </c>
      <c r="K7946" s="29"/>
      <c r="L7946" s="29" t="s">
        <v>1047</v>
      </c>
      <c r="M7946" s="29"/>
      <c r="N7946" s="29" t="s">
        <v>2659</v>
      </c>
      <c r="O7946" s="29"/>
      <c r="P7946" s="29" t="s">
        <v>12815</v>
      </c>
      <c r="Q7946" t="s">
        <v>2039</v>
      </c>
      <c r="R7946" t="s">
        <v>2635</v>
      </c>
      <c r="S7946">
        <v>37</v>
      </c>
      <c r="T7946" s="43" t="str">
        <f t="shared" si="344"/>
        <v>2021.010M.R.Bornaviridae_sprename.zip</v>
      </c>
      <c r="U7946" s="43" t="str">
        <f>HYPERLINK("https://ictv.global/taxonomy/taxondetails?taxnode_id=202201559","ictv.global=202201559")</f>
        <v>ictv.global=202201559</v>
      </c>
    </row>
    <row r="7947" spans="1:21">
      <c r="A7947">
        <v>7946</v>
      </c>
      <c r="B7947" s="29" t="s">
        <v>3223</v>
      </c>
      <c r="C7947" s="29"/>
      <c r="D7947" s="29" t="s">
        <v>4156</v>
      </c>
      <c r="E7947" s="29"/>
      <c r="F7947" s="29" t="s">
        <v>2998</v>
      </c>
      <c r="G7947" s="29" t="s">
        <v>2999</v>
      </c>
      <c r="H7947" s="29" t="s">
        <v>3006</v>
      </c>
      <c r="I7947" s="29"/>
      <c r="J7947" s="29" t="s">
        <v>757</v>
      </c>
      <c r="K7947" s="29"/>
      <c r="L7947" s="29" t="s">
        <v>1047</v>
      </c>
      <c r="M7947" s="29"/>
      <c r="N7947" s="29" t="s">
        <v>2659</v>
      </c>
      <c r="O7947" s="29"/>
      <c r="P7947" s="29" t="s">
        <v>12816</v>
      </c>
      <c r="Q7947" t="s">
        <v>2039</v>
      </c>
      <c r="R7947" t="s">
        <v>2635</v>
      </c>
      <c r="S7947">
        <v>37</v>
      </c>
      <c r="T7947" s="43" t="str">
        <f t="shared" si="344"/>
        <v>2021.010M.R.Bornaviridae_sprename.zip</v>
      </c>
      <c r="U7947" s="43" t="str">
        <f>HYPERLINK("https://ictv.global/taxonomy/taxondetails?taxnode_id=202201558","ictv.global=202201558")</f>
        <v>ictv.global=202201558</v>
      </c>
    </row>
    <row r="7948" spans="1:21">
      <c r="A7948">
        <v>7947</v>
      </c>
      <c r="B7948" s="29" t="s">
        <v>3223</v>
      </c>
      <c r="C7948" s="29"/>
      <c r="D7948" s="29" t="s">
        <v>4156</v>
      </c>
      <c r="E7948" s="29"/>
      <c r="F7948" s="29" t="s">
        <v>2998</v>
      </c>
      <c r="G7948" s="29" t="s">
        <v>2999</v>
      </c>
      <c r="H7948" s="29" t="s">
        <v>3006</v>
      </c>
      <c r="I7948" s="29"/>
      <c r="J7948" s="29" t="s">
        <v>757</v>
      </c>
      <c r="K7948" s="29"/>
      <c r="L7948" s="29" t="s">
        <v>1047</v>
      </c>
      <c r="M7948" s="29"/>
      <c r="N7948" s="29" t="s">
        <v>2659</v>
      </c>
      <c r="O7948" s="29"/>
      <c r="P7948" s="29" t="s">
        <v>12817</v>
      </c>
      <c r="Q7948" t="s">
        <v>2039</v>
      </c>
      <c r="R7948" t="s">
        <v>2635</v>
      </c>
      <c r="S7948">
        <v>37</v>
      </c>
      <c r="T7948" s="43" t="str">
        <f t="shared" si="344"/>
        <v>2021.010M.R.Bornaviridae_sprename.zip</v>
      </c>
      <c r="U7948" s="43" t="str">
        <f>HYPERLINK("https://ictv.global/taxonomy/taxondetails?taxnode_id=202201553","ictv.global=202201553")</f>
        <v>ictv.global=202201553</v>
      </c>
    </row>
    <row r="7949" spans="1:21">
      <c r="A7949">
        <v>7948</v>
      </c>
      <c r="B7949" s="29" t="s">
        <v>3223</v>
      </c>
      <c r="C7949" s="29"/>
      <c r="D7949" s="29" t="s">
        <v>4156</v>
      </c>
      <c r="E7949" s="29"/>
      <c r="F7949" s="29" t="s">
        <v>2998</v>
      </c>
      <c r="G7949" s="29" t="s">
        <v>2999</v>
      </c>
      <c r="H7949" s="29" t="s">
        <v>3006</v>
      </c>
      <c r="I7949" s="29"/>
      <c r="J7949" s="29" t="s">
        <v>757</v>
      </c>
      <c r="K7949" s="29"/>
      <c r="L7949" s="29" t="s">
        <v>1047</v>
      </c>
      <c r="M7949" s="29"/>
      <c r="N7949" s="29" t="s">
        <v>2659</v>
      </c>
      <c r="O7949" s="29"/>
      <c r="P7949" s="29" t="s">
        <v>12818</v>
      </c>
      <c r="Q7949" t="s">
        <v>2039</v>
      </c>
      <c r="R7949" t="s">
        <v>2632</v>
      </c>
      <c r="S7949">
        <v>37</v>
      </c>
      <c r="T7949" s="43" t="str">
        <f>HYPERLINK("https://ictv.global/ictv/proposals/2021.021M.R.Orthobornavirus_1nsp.zip","2021.021M.R.Orthobornavirus_1nsp.zip")</f>
        <v>2021.021M.R.Orthobornavirus_1nsp.zip</v>
      </c>
      <c r="U7949" s="43" t="str">
        <f>HYPERLINK("https://ictv.global/taxonomy/taxondetails?taxnode_id=202212226","ictv.global=202212226")</f>
        <v>ictv.global=202212226</v>
      </c>
    </row>
    <row r="7950" spans="1:21">
      <c r="A7950">
        <v>7949</v>
      </c>
      <c r="B7950" s="29" t="s">
        <v>3223</v>
      </c>
      <c r="C7950" s="29"/>
      <c r="D7950" s="29" t="s">
        <v>4156</v>
      </c>
      <c r="E7950" s="29"/>
      <c r="F7950" s="29" t="s">
        <v>2998</v>
      </c>
      <c r="G7950" s="29" t="s">
        <v>2999</v>
      </c>
      <c r="H7950" s="29" t="s">
        <v>3006</v>
      </c>
      <c r="I7950" s="29"/>
      <c r="J7950" s="29" t="s">
        <v>757</v>
      </c>
      <c r="K7950" s="29"/>
      <c r="L7950" s="29" t="s">
        <v>1047</v>
      </c>
      <c r="M7950" s="29"/>
      <c r="N7950" s="29" t="s">
        <v>2659</v>
      </c>
      <c r="O7950" s="29"/>
      <c r="P7950" s="29" t="s">
        <v>12819</v>
      </c>
      <c r="Q7950" t="s">
        <v>2039</v>
      </c>
      <c r="R7950" t="s">
        <v>2635</v>
      </c>
      <c r="S7950">
        <v>37</v>
      </c>
      <c r="T7950" s="43" t="str">
        <f>HYPERLINK("https://ictv.global/ictv/proposals/2021.010M.R.Bornaviridae_sprename.zip","2021.010M.R.Bornaviridae_sprename.zip")</f>
        <v>2021.010M.R.Bornaviridae_sprename.zip</v>
      </c>
      <c r="U7950" s="43" t="str">
        <f>HYPERLINK("https://ictv.global/taxonomy/taxondetails?taxnode_id=202201552","ictv.global=202201552")</f>
        <v>ictv.global=202201552</v>
      </c>
    </row>
    <row r="7951" spans="1:21">
      <c r="A7951">
        <v>7950</v>
      </c>
      <c r="B7951" s="29" t="s">
        <v>3223</v>
      </c>
      <c r="C7951" s="29"/>
      <c r="D7951" s="29" t="s">
        <v>4156</v>
      </c>
      <c r="E7951" s="29"/>
      <c r="F7951" s="29" t="s">
        <v>2998</v>
      </c>
      <c r="G7951" s="29" t="s">
        <v>2999</v>
      </c>
      <c r="H7951" s="29" t="s">
        <v>3006</v>
      </c>
      <c r="I7951" s="29"/>
      <c r="J7951" s="29" t="s">
        <v>757</v>
      </c>
      <c r="K7951" s="29"/>
      <c r="L7951" s="29" t="s">
        <v>1047</v>
      </c>
      <c r="M7951" s="29"/>
      <c r="N7951" s="29" t="s">
        <v>2659</v>
      </c>
      <c r="O7951" s="29"/>
      <c r="P7951" s="29" t="s">
        <v>12820</v>
      </c>
      <c r="Q7951" t="s">
        <v>2039</v>
      </c>
      <c r="R7951" t="s">
        <v>2635</v>
      </c>
      <c r="S7951">
        <v>37</v>
      </c>
      <c r="T7951" s="43" t="str">
        <f>HYPERLINK("https://ictv.global/ictv/proposals/2021.010M.R.Bornaviridae_sprename.zip","2021.010M.R.Bornaviridae_sprename.zip")</f>
        <v>2021.010M.R.Bornaviridae_sprename.zip</v>
      </c>
      <c r="U7951" s="43" t="str">
        <f>HYPERLINK("https://ictv.global/taxonomy/taxondetails?taxnode_id=202201556","ictv.global=202201556")</f>
        <v>ictv.global=202201556</v>
      </c>
    </row>
    <row r="7952" spans="1:21">
      <c r="A7952">
        <v>7951</v>
      </c>
      <c r="B7952" s="29" t="s">
        <v>3223</v>
      </c>
      <c r="C7952" s="29"/>
      <c r="D7952" s="29" t="s">
        <v>4156</v>
      </c>
      <c r="E7952" s="29"/>
      <c r="F7952" s="29" t="s">
        <v>2998</v>
      </c>
      <c r="G7952" s="29" t="s">
        <v>2999</v>
      </c>
      <c r="H7952" s="29" t="s">
        <v>3006</v>
      </c>
      <c r="I7952" s="29"/>
      <c r="J7952" s="29" t="s">
        <v>757</v>
      </c>
      <c r="K7952" s="29"/>
      <c r="L7952" s="29" t="s">
        <v>1047</v>
      </c>
      <c r="M7952" s="29"/>
      <c r="N7952" s="29" t="s">
        <v>2659</v>
      </c>
      <c r="O7952" s="29"/>
      <c r="P7952" s="29" t="s">
        <v>12821</v>
      </c>
      <c r="Q7952" t="s">
        <v>2039</v>
      </c>
      <c r="R7952" t="s">
        <v>2635</v>
      </c>
      <c r="S7952">
        <v>37</v>
      </c>
      <c r="T7952" s="43" t="str">
        <f>HYPERLINK("https://ictv.global/ictv/proposals/2021.010M.R.Bornaviridae_sprename.zip","2021.010M.R.Bornaviridae_sprename.zip")</f>
        <v>2021.010M.R.Bornaviridae_sprename.zip</v>
      </c>
      <c r="U7952" s="43" t="str">
        <f>HYPERLINK("https://ictv.global/taxonomy/taxondetails?taxnode_id=202201554","ictv.global=202201554")</f>
        <v>ictv.global=202201554</v>
      </c>
    </row>
    <row r="7953" spans="1:21">
      <c r="A7953">
        <v>7952</v>
      </c>
      <c r="B7953" s="29" t="s">
        <v>3223</v>
      </c>
      <c r="C7953" s="29"/>
      <c r="D7953" s="29" t="s">
        <v>4156</v>
      </c>
      <c r="E7953" s="29"/>
      <c r="F7953" s="29" t="s">
        <v>2998</v>
      </c>
      <c r="G7953" s="29" t="s">
        <v>2999</v>
      </c>
      <c r="H7953" s="29" t="s">
        <v>3006</v>
      </c>
      <c r="I7953" s="29"/>
      <c r="J7953" s="29" t="s">
        <v>757</v>
      </c>
      <c r="K7953" s="29"/>
      <c r="L7953" s="29" t="s">
        <v>1047</v>
      </c>
      <c r="M7953" s="29"/>
      <c r="N7953" s="29" t="s">
        <v>2659</v>
      </c>
      <c r="O7953" s="29"/>
      <c r="P7953" s="29" t="s">
        <v>12822</v>
      </c>
      <c r="Q7953" t="s">
        <v>2039</v>
      </c>
      <c r="R7953" t="s">
        <v>2635</v>
      </c>
      <c r="S7953">
        <v>37</v>
      </c>
      <c r="T7953" s="43" t="str">
        <f>HYPERLINK("https://ictv.global/ictv/proposals/2021.010M.R.Bornaviridae_sprename.zip","2021.010M.R.Bornaviridae_sprename.zip")</f>
        <v>2021.010M.R.Bornaviridae_sprename.zip</v>
      </c>
      <c r="U7953" s="43" t="str">
        <f>HYPERLINK("https://ictv.global/taxonomy/taxondetails?taxnode_id=202201555","ictv.global=202201555")</f>
        <v>ictv.global=202201555</v>
      </c>
    </row>
    <row r="7954" spans="1:21">
      <c r="A7954">
        <v>7953</v>
      </c>
      <c r="B7954" s="29" t="s">
        <v>3223</v>
      </c>
      <c r="C7954" s="29"/>
      <c r="D7954" s="29" t="s">
        <v>4156</v>
      </c>
      <c r="E7954" s="29"/>
      <c r="F7954" s="29" t="s">
        <v>2998</v>
      </c>
      <c r="G7954" s="29" t="s">
        <v>2999</v>
      </c>
      <c r="H7954" s="29" t="s">
        <v>3006</v>
      </c>
      <c r="I7954" s="29"/>
      <c r="J7954" s="29" t="s">
        <v>757</v>
      </c>
      <c r="K7954" s="29"/>
      <c r="L7954" s="29" t="s">
        <v>1048</v>
      </c>
      <c r="M7954" s="29"/>
      <c r="N7954" s="29" t="s">
        <v>1710</v>
      </c>
      <c r="O7954" s="29"/>
      <c r="P7954" s="29" t="s">
        <v>12823</v>
      </c>
      <c r="Q7954" t="s">
        <v>2039</v>
      </c>
      <c r="R7954" t="s">
        <v>2635</v>
      </c>
      <c r="S7954">
        <v>38</v>
      </c>
      <c r="T7954" s="43" t="str">
        <f>HYPERLINK("https://ictv.global/ictv/proposals/2021.012M.Filoviridae_sprenamed.zip","2021.012M.Filoviridae_sprenamed.zip")</f>
        <v>2021.012M.Filoviridae_sprenamed.zip</v>
      </c>
      <c r="U7954" s="43" t="str">
        <f>HYPERLINK("https://ictv.global/taxonomy/taxondetails?taxnode_id=202201563","ictv.global=202201563")</f>
        <v>ictv.global=202201563</v>
      </c>
    </row>
    <row r="7955" spans="1:21">
      <c r="A7955">
        <v>7954</v>
      </c>
      <c r="B7955" s="29" t="s">
        <v>3223</v>
      </c>
      <c r="C7955" s="29"/>
      <c r="D7955" s="29" t="s">
        <v>4156</v>
      </c>
      <c r="E7955" s="29"/>
      <c r="F7955" s="29" t="s">
        <v>2998</v>
      </c>
      <c r="G7955" s="29" t="s">
        <v>2999</v>
      </c>
      <c r="H7955" s="29" t="s">
        <v>3006</v>
      </c>
      <c r="I7955" s="29"/>
      <c r="J7955" s="29" t="s">
        <v>757</v>
      </c>
      <c r="K7955" s="29"/>
      <c r="L7955" s="29" t="s">
        <v>1048</v>
      </c>
      <c r="M7955" s="29"/>
      <c r="N7955" s="29" t="s">
        <v>4211</v>
      </c>
      <c r="O7955" s="29"/>
      <c r="P7955" s="29" t="s">
        <v>12824</v>
      </c>
      <c r="Q7955" t="s">
        <v>2039</v>
      </c>
      <c r="R7955" t="s">
        <v>2635</v>
      </c>
      <c r="S7955">
        <v>38</v>
      </c>
      <c r="T7955" s="43" t="str">
        <f>HYPERLINK("https://ictv.global/ictv/proposals/2021.012M.Filoviridae_sprenamed.zip","2021.012M.Filoviridae_sprenamed.zip")</f>
        <v>2021.012M.Filoviridae_sprenamed.zip</v>
      </c>
      <c r="U7955" s="43" t="str">
        <f>HYPERLINK("https://ictv.global/taxonomy/taxondetails?taxnode_id=202207367","ictv.global=202207367")</f>
        <v>ictv.global=202207367</v>
      </c>
    </row>
    <row r="7956" spans="1:21">
      <c r="A7956">
        <v>7955</v>
      </c>
      <c r="B7956" s="29" t="s">
        <v>3223</v>
      </c>
      <c r="C7956" s="29"/>
      <c r="D7956" s="29" t="s">
        <v>4156</v>
      </c>
      <c r="E7956" s="29"/>
      <c r="F7956" s="29" t="s">
        <v>2998</v>
      </c>
      <c r="G7956" s="29" t="s">
        <v>2999</v>
      </c>
      <c r="H7956" s="29" t="s">
        <v>3006</v>
      </c>
      <c r="I7956" s="29"/>
      <c r="J7956" s="29" t="s">
        <v>757</v>
      </c>
      <c r="K7956" s="29"/>
      <c r="L7956" s="29" t="s">
        <v>1048</v>
      </c>
      <c r="M7956" s="29"/>
      <c r="N7956" s="29" t="s">
        <v>12825</v>
      </c>
      <c r="O7956" s="29"/>
      <c r="P7956" s="29" t="s">
        <v>12826</v>
      </c>
      <c r="Q7956" t="s">
        <v>2039</v>
      </c>
      <c r="R7956" t="s">
        <v>2632</v>
      </c>
      <c r="S7956">
        <v>37</v>
      </c>
      <c r="T7956" s="43" t="str">
        <f>HYPERLINK("https://ictv.global/ictv/proposals/2021.011M.R.Filoviridae_1ngen_3nsp.zip","2021.011M.R.Filoviridae_1ngen_3nsp.zip")</f>
        <v>2021.011M.R.Filoviridae_1ngen_3nsp.zip</v>
      </c>
      <c r="U7956" s="43" t="str">
        <f>HYPERLINK("https://ictv.global/taxonomy/taxondetails?taxnode_id=202213343","ictv.global=202213343")</f>
        <v>ictv.global=202213343</v>
      </c>
    </row>
    <row r="7957" spans="1:21">
      <c r="A7957">
        <v>7956</v>
      </c>
      <c r="B7957" s="29" t="s">
        <v>3223</v>
      </c>
      <c r="C7957" s="29"/>
      <c r="D7957" s="29" t="s">
        <v>4156</v>
      </c>
      <c r="E7957" s="29"/>
      <c r="F7957" s="29" t="s">
        <v>2998</v>
      </c>
      <c r="G7957" s="29" t="s">
        <v>2999</v>
      </c>
      <c r="H7957" s="29" t="s">
        <v>3006</v>
      </c>
      <c r="I7957" s="29"/>
      <c r="J7957" s="29" t="s">
        <v>757</v>
      </c>
      <c r="K7957" s="29"/>
      <c r="L7957" s="29" t="s">
        <v>1048</v>
      </c>
      <c r="M7957" s="29"/>
      <c r="N7957" s="29" t="s">
        <v>12827</v>
      </c>
      <c r="O7957" s="29"/>
      <c r="P7957" s="29" t="s">
        <v>12828</v>
      </c>
      <c r="Q7957" t="s">
        <v>2039</v>
      </c>
      <c r="R7957" t="s">
        <v>2635</v>
      </c>
      <c r="S7957">
        <v>38</v>
      </c>
      <c r="T7957" s="43" t="str">
        <f t="shared" ref="T7957:T7963" si="345">HYPERLINK("https://ictv.global/ictv/proposals/2022.009M.Filoviridae_2genrenamed.zip","2022.009M.Filoviridae_2genrenamed.zip")</f>
        <v>2022.009M.Filoviridae_2genrenamed.zip</v>
      </c>
      <c r="U7957" s="43" t="str">
        <f>HYPERLINK("https://ictv.global/taxonomy/taxondetails?taxnode_id=202207261","ictv.global=202207261")</f>
        <v>ictv.global=202207261</v>
      </c>
    </row>
    <row r="7958" spans="1:21">
      <c r="A7958">
        <v>7957</v>
      </c>
      <c r="B7958" s="29" t="s">
        <v>3223</v>
      </c>
      <c r="C7958" s="29"/>
      <c r="D7958" s="29" t="s">
        <v>4156</v>
      </c>
      <c r="E7958" s="29"/>
      <c r="F7958" s="29" t="s">
        <v>2998</v>
      </c>
      <c r="G7958" s="29" t="s">
        <v>2999</v>
      </c>
      <c r="H7958" s="29" t="s">
        <v>3006</v>
      </c>
      <c r="I7958" s="29"/>
      <c r="J7958" s="29" t="s">
        <v>757</v>
      </c>
      <c r="K7958" s="29"/>
      <c r="L7958" s="29" t="s">
        <v>1048</v>
      </c>
      <c r="M7958" s="29"/>
      <c r="N7958" s="29" t="s">
        <v>12827</v>
      </c>
      <c r="O7958" s="29"/>
      <c r="P7958" s="29" t="s">
        <v>12829</v>
      </c>
      <c r="Q7958" t="s">
        <v>2039</v>
      </c>
      <c r="R7958" t="s">
        <v>2635</v>
      </c>
      <c r="S7958">
        <v>38</v>
      </c>
      <c r="T7958" s="43" t="str">
        <f t="shared" si="345"/>
        <v>2022.009M.Filoviridae_2genrenamed.zip</v>
      </c>
      <c r="U7958" s="43" t="str">
        <f>HYPERLINK("https://ictv.global/taxonomy/taxondetails?taxnode_id=202201565","ictv.global=202201565")</f>
        <v>ictv.global=202201565</v>
      </c>
    </row>
    <row r="7959" spans="1:21">
      <c r="A7959">
        <v>7958</v>
      </c>
      <c r="B7959" s="29" t="s">
        <v>3223</v>
      </c>
      <c r="C7959" s="29"/>
      <c r="D7959" s="29" t="s">
        <v>4156</v>
      </c>
      <c r="E7959" s="29"/>
      <c r="F7959" s="29" t="s">
        <v>2998</v>
      </c>
      <c r="G7959" s="29" t="s">
        <v>2999</v>
      </c>
      <c r="H7959" s="29" t="s">
        <v>3006</v>
      </c>
      <c r="I7959" s="29"/>
      <c r="J7959" s="29" t="s">
        <v>757</v>
      </c>
      <c r="K7959" s="29"/>
      <c r="L7959" s="29" t="s">
        <v>1048</v>
      </c>
      <c r="M7959" s="29"/>
      <c r="N7959" s="29" t="s">
        <v>12827</v>
      </c>
      <c r="O7959" s="29"/>
      <c r="P7959" s="29" t="s">
        <v>12830</v>
      </c>
      <c r="Q7959" t="s">
        <v>2039</v>
      </c>
      <c r="R7959" t="s">
        <v>2635</v>
      </c>
      <c r="S7959">
        <v>38</v>
      </c>
      <c r="T7959" s="43" t="str">
        <f t="shared" si="345"/>
        <v>2022.009M.Filoviridae_2genrenamed.zip</v>
      </c>
      <c r="U7959" s="43" t="str">
        <f>HYPERLINK("https://ictv.global/taxonomy/taxondetails?taxnode_id=202201566","ictv.global=202201566")</f>
        <v>ictv.global=202201566</v>
      </c>
    </row>
    <row r="7960" spans="1:21">
      <c r="A7960">
        <v>7959</v>
      </c>
      <c r="B7960" s="29" t="s">
        <v>3223</v>
      </c>
      <c r="C7960" s="29"/>
      <c r="D7960" s="29" t="s">
        <v>4156</v>
      </c>
      <c r="E7960" s="29"/>
      <c r="F7960" s="29" t="s">
        <v>2998</v>
      </c>
      <c r="G7960" s="29" t="s">
        <v>2999</v>
      </c>
      <c r="H7960" s="29" t="s">
        <v>3006</v>
      </c>
      <c r="I7960" s="29"/>
      <c r="J7960" s="29" t="s">
        <v>757</v>
      </c>
      <c r="K7960" s="29"/>
      <c r="L7960" s="29" t="s">
        <v>1048</v>
      </c>
      <c r="M7960" s="29"/>
      <c r="N7960" s="29" t="s">
        <v>12827</v>
      </c>
      <c r="O7960" s="29"/>
      <c r="P7960" s="29" t="s">
        <v>12831</v>
      </c>
      <c r="Q7960" t="s">
        <v>2039</v>
      </c>
      <c r="R7960" t="s">
        <v>2635</v>
      </c>
      <c r="S7960">
        <v>38</v>
      </c>
      <c r="T7960" s="43" t="str">
        <f t="shared" si="345"/>
        <v>2022.009M.Filoviridae_2genrenamed.zip</v>
      </c>
      <c r="U7960" s="43" t="str">
        <f>HYPERLINK("https://ictv.global/taxonomy/taxondetails?taxnode_id=202201567","ictv.global=202201567")</f>
        <v>ictv.global=202201567</v>
      </c>
    </row>
    <row r="7961" spans="1:21">
      <c r="A7961">
        <v>7960</v>
      </c>
      <c r="B7961" s="29" t="s">
        <v>3223</v>
      </c>
      <c r="C7961" s="29"/>
      <c r="D7961" s="29" t="s">
        <v>4156</v>
      </c>
      <c r="E7961" s="29"/>
      <c r="F7961" s="29" t="s">
        <v>2998</v>
      </c>
      <c r="G7961" s="29" t="s">
        <v>2999</v>
      </c>
      <c r="H7961" s="29" t="s">
        <v>3006</v>
      </c>
      <c r="I7961" s="29"/>
      <c r="J7961" s="29" t="s">
        <v>757</v>
      </c>
      <c r="K7961" s="29"/>
      <c r="L7961" s="29" t="s">
        <v>1048</v>
      </c>
      <c r="M7961" s="29"/>
      <c r="N7961" s="29" t="s">
        <v>12827</v>
      </c>
      <c r="O7961" s="29"/>
      <c r="P7961" s="29" t="s">
        <v>12832</v>
      </c>
      <c r="Q7961" t="s">
        <v>2039</v>
      </c>
      <c r="R7961" t="s">
        <v>2635</v>
      </c>
      <c r="S7961">
        <v>38</v>
      </c>
      <c r="T7961" s="43" t="str">
        <f t="shared" si="345"/>
        <v>2022.009M.Filoviridae_2genrenamed.zip</v>
      </c>
      <c r="U7961" s="43" t="str">
        <f>HYPERLINK("https://ictv.global/taxonomy/taxondetails?taxnode_id=202201568","ictv.global=202201568")</f>
        <v>ictv.global=202201568</v>
      </c>
    </row>
    <row r="7962" spans="1:21">
      <c r="A7962">
        <v>7961</v>
      </c>
      <c r="B7962" s="29" t="s">
        <v>3223</v>
      </c>
      <c r="C7962" s="29"/>
      <c r="D7962" s="29" t="s">
        <v>4156</v>
      </c>
      <c r="E7962" s="29"/>
      <c r="F7962" s="29" t="s">
        <v>2998</v>
      </c>
      <c r="G7962" s="29" t="s">
        <v>2999</v>
      </c>
      <c r="H7962" s="29" t="s">
        <v>3006</v>
      </c>
      <c r="I7962" s="29"/>
      <c r="J7962" s="29" t="s">
        <v>757</v>
      </c>
      <c r="K7962" s="29"/>
      <c r="L7962" s="29" t="s">
        <v>1048</v>
      </c>
      <c r="M7962" s="29"/>
      <c r="N7962" s="29" t="s">
        <v>12827</v>
      </c>
      <c r="O7962" s="29"/>
      <c r="P7962" s="29" t="s">
        <v>12833</v>
      </c>
      <c r="Q7962" t="s">
        <v>2039</v>
      </c>
      <c r="R7962" t="s">
        <v>2635</v>
      </c>
      <c r="S7962">
        <v>38</v>
      </c>
      <c r="T7962" s="43" t="str">
        <f t="shared" si="345"/>
        <v>2022.009M.Filoviridae_2genrenamed.zip</v>
      </c>
      <c r="U7962" s="43" t="str">
        <f>HYPERLINK("https://ictv.global/taxonomy/taxondetails?taxnode_id=202201569","ictv.global=202201569")</f>
        <v>ictv.global=202201569</v>
      </c>
    </row>
    <row r="7963" spans="1:21">
      <c r="A7963">
        <v>7962</v>
      </c>
      <c r="B7963" s="29" t="s">
        <v>3223</v>
      </c>
      <c r="C7963" s="29"/>
      <c r="D7963" s="29" t="s">
        <v>4156</v>
      </c>
      <c r="E7963" s="29"/>
      <c r="F7963" s="29" t="s">
        <v>2998</v>
      </c>
      <c r="G7963" s="29" t="s">
        <v>2999</v>
      </c>
      <c r="H7963" s="29" t="s">
        <v>3006</v>
      </c>
      <c r="I7963" s="29"/>
      <c r="J7963" s="29" t="s">
        <v>757</v>
      </c>
      <c r="K7963" s="29"/>
      <c r="L7963" s="29" t="s">
        <v>1048</v>
      </c>
      <c r="M7963" s="29"/>
      <c r="N7963" s="29" t="s">
        <v>12834</v>
      </c>
      <c r="O7963" s="29"/>
      <c r="P7963" s="29" t="s">
        <v>12835</v>
      </c>
      <c r="Q7963" t="s">
        <v>2039</v>
      </c>
      <c r="R7963" t="s">
        <v>2635</v>
      </c>
      <c r="S7963">
        <v>38</v>
      </c>
      <c r="T7963" s="43" t="str">
        <f t="shared" si="345"/>
        <v>2022.009M.Filoviridae_2genrenamed.zip</v>
      </c>
      <c r="U7963" s="43" t="str">
        <f>HYPERLINK("https://ictv.global/taxonomy/taxondetails?taxnode_id=202201571","ictv.global=202201571")</f>
        <v>ictv.global=202201571</v>
      </c>
    </row>
    <row r="7964" spans="1:21">
      <c r="A7964">
        <v>7963</v>
      </c>
      <c r="B7964" s="29" t="s">
        <v>3223</v>
      </c>
      <c r="C7964" s="29"/>
      <c r="D7964" s="29" t="s">
        <v>4156</v>
      </c>
      <c r="E7964" s="29"/>
      <c r="F7964" s="29" t="s">
        <v>2998</v>
      </c>
      <c r="G7964" s="29" t="s">
        <v>2999</v>
      </c>
      <c r="H7964" s="29" t="s">
        <v>3006</v>
      </c>
      <c r="I7964" s="29"/>
      <c r="J7964" s="29" t="s">
        <v>757</v>
      </c>
      <c r="K7964" s="29"/>
      <c r="L7964" s="29" t="s">
        <v>1048</v>
      </c>
      <c r="M7964" s="29"/>
      <c r="N7964" s="29" t="s">
        <v>3225</v>
      </c>
      <c r="O7964" s="29"/>
      <c r="P7964" s="29" t="s">
        <v>12836</v>
      </c>
      <c r="Q7964" t="s">
        <v>2039</v>
      </c>
      <c r="R7964" t="s">
        <v>2635</v>
      </c>
      <c r="S7964">
        <v>38</v>
      </c>
      <c r="T7964" s="43" t="str">
        <f>HYPERLINK("https://ictv.global/ictv/proposals/2021.012M.Filoviridae_sprenamed.zip","2021.012M.Filoviridae_sprenamed.zip")</f>
        <v>2021.012M.Filoviridae_sprenamed.zip</v>
      </c>
      <c r="U7964" s="43" t="str">
        <f>HYPERLINK("https://ictv.global/taxonomy/taxondetails?taxnode_id=202206582","ictv.global=202206582")</f>
        <v>ictv.global=202206582</v>
      </c>
    </row>
    <row r="7965" spans="1:21">
      <c r="A7965">
        <v>7964</v>
      </c>
      <c r="B7965" s="29" t="s">
        <v>3223</v>
      </c>
      <c r="C7965" s="29"/>
      <c r="D7965" s="29" t="s">
        <v>4156</v>
      </c>
      <c r="E7965" s="29"/>
      <c r="F7965" s="29" t="s">
        <v>2998</v>
      </c>
      <c r="G7965" s="29" t="s">
        <v>2999</v>
      </c>
      <c r="H7965" s="29" t="s">
        <v>3006</v>
      </c>
      <c r="I7965" s="29"/>
      <c r="J7965" s="29" t="s">
        <v>757</v>
      </c>
      <c r="K7965" s="29"/>
      <c r="L7965" s="29" t="s">
        <v>1048</v>
      </c>
      <c r="M7965" s="29"/>
      <c r="N7965" s="29" t="s">
        <v>12837</v>
      </c>
      <c r="O7965" s="29"/>
      <c r="P7965" s="29" t="s">
        <v>12838</v>
      </c>
      <c r="Q7965" t="s">
        <v>2039</v>
      </c>
      <c r="R7965" t="s">
        <v>2632</v>
      </c>
      <c r="S7965">
        <v>37</v>
      </c>
      <c r="T7965" s="43" t="str">
        <f>HYPERLINK("https://ictv.global/ictv/proposals/2021.005M.R.Filoviridae_1ngen_1nsp.zip","2021.005M.R.Filoviridae_1ngen_1nsp.zip")</f>
        <v>2021.005M.R.Filoviridae_1ngen_1nsp.zip</v>
      </c>
      <c r="U7965" s="43" t="str">
        <f>HYPERLINK("https://ictv.global/taxonomy/taxondetails?taxnode_id=202213337","ictv.global=202213337")</f>
        <v>ictv.global=202213337</v>
      </c>
    </row>
    <row r="7966" spans="1:21">
      <c r="A7966">
        <v>7965</v>
      </c>
      <c r="B7966" s="29" t="s">
        <v>3223</v>
      </c>
      <c r="C7966" s="29"/>
      <c r="D7966" s="29" t="s">
        <v>4156</v>
      </c>
      <c r="E7966" s="29"/>
      <c r="F7966" s="29" t="s">
        <v>2998</v>
      </c>
      <c r="G7966" s="29" t="s">
        <v>2999</v>
      </c>
      <c r="H7966" s="29" t="s">
        <v>3006</v>
      </c>
      <c r="I7966" s="29"/>
      <c r="J7966" s="29" t="s">
        <v>757</v>
      </c>
      <c r="K7966" s="29"/>
      <c r="L7966" s="29" t="s">
        <v>1048</v>
      </c>
      <c r="M7966" s="29"/>
      <c r="N7966" s="29" t="s">
        <v>3226</v>
      </c>
      <c r="O7966" s="29"/>
      <c r="P7966" s="29" t="s">
        <v>12839</v>
      </c>
      <c r="Q7966" t="s">
        <v>2039</v>
      </c>
      <c r="R7966" t="s">
        <v>2632</v>
      </c>
      <c r="S7966">
        <v>37</v>
      </c>
      <c r="T7966" s="43" t="str">
        <f>HYPERLINK("https://ictv.global/ictv/proposals/2021.011M.R.Filoviridae_1ngen_3nsp.zip","2021.011M.R.Filoviridae_1ngen_3nsp.zip")</f>
        <v>2021.011M.R.Filoviridae_1ngen_3nsp.zip</v>
      </c>
      <c r="U7966" s="43" t="str">
        <f>HYPERLINK("https://ictv.global/taxonomy/taxondetails?taxnode_id=202213341","ictv.global=202213341")</f>
        <v>ictv.global=202213341</v>
      </c>
    </row>
    <row r="7967" spans="1:21">
      <c r="A7967">
        <v>7966</v>
      </c>
      <c r="B7967" s="29" t="s">
        <v>3223</v>
      </c>
      <c r="C7967" s="29"/>
      <c r="D7967" s="29" t="s">
        <v>4156</v>
      </c>
      <c r="E7967" s="29"/>
      <c r="F7967" s="29" t="s">
        <v>2998</v>
      </c>
      <c r="G7967" s="29" t="s">
        <v>2999</v>
      </c>
      <c r="H7967" s="29" t="s">
        <v>3006</v>
      </c>
      <c r="I7967" s="29"/>
      <c r="J7967" s="29" t="s">
        <v>757</v>
      </c>
      <c r="K7967" s="29"/>
      <c r="L7967" s="29" t="s">
        <v>1048</v>
      </c>
      <c r="M7967" s="29"/>
      <c r="N7967" s="29" t="s">
        <v>3226</v>
      </c>
      <c r="O7967" s="29"/>
      <c r="P7967" s="29" t="s">
        <v>12840</v>
      </c>
      <c r="Q7967" t="s">
        <v>2039</v>
      </c>
      <c r="R7967" t="s">
        <v>2632</v>
      </c>
      <c r="S7967">
        <v>37</v>
      </c>
      <c r="T7967" s="43" t="str">
        <f>HYPERLINK("https://ictv.global/ictv/proposals/2021.011M.R.Filoviridae_1ngen_3nsp.zip","2021.011M.R.Filoviridae_1ngen_3nsp.zip")</f>
        <v>2021.011M.R.Filoviridae_1ngen_3nsp.zip</v>
      </c>
      <c r="U7967" s="43" t="str">
        <f>HYPERLINK("https://ictv.global/taxonomy/taxondetails?taxnode_id=202213340","ictv.global=202213340")</f>
        <v>ictv.global=202213340</v>
      </c>
    </row>
    <row r="7968" spans="1:21">
      <c r="A7968">
        <v>7967</v>
      </c>
      <c r="B7968" s="29" t="s">
        <v>3223</v>
      </c>
      <c r="C7968" s="29"/>
      <c r="D7968" s="29" t="s">
        <v>4156</v>
      </c>
      <c r="E7968" s="29"/>
      <c r="F7968" s="29" t="s">
        <v>2998</v>
      </c>
      <c r="G7968" s="29" t="s">
        <v>2999</v>
      </c>
      <c r="H7968" s="29" t="s">
        <v>3006</v>
      </c>
      <c r="I7968" s="29"/>
      <c r="J7968" s="29" t="s">
        <v>757</v>
      </c>
      <c r="K7968" s="29"/>
      <c r="L7968" s="29" t="s">
        <v>1048</v>
      </c>
      <c r="M7968" s="29"/>
      <c r="N7968" s="29" t="s">
        <v>3226</v>
      </c>
      <c r="O7968" s="29"/>
      <c r="P7968" s="29" t="s">
        <v>12841</v>
      </c>
      <c r="Q7968" t="s">
        <v>2039</v>
      </c>
      <c r="R7968" t="s">
        <v>2635</v>
      </c>
      <c r="S7968">
        <v>38</v>
      </c>
      <c r="T7968" s="43" t="str">
        <f>HYPERLINK("https://ictv.global/ictv/proposals/2021.012M.Filoviridae_sprenamed.zip","2021.012M.Filoviridae_sprenamed.zip")</f>
        <v>2021.012M.Filoviridae_sprenamed.zip</v>
      </c>
      <c r="U7968" s="43" t="str">
        <f>HYPERLINK("https://ictv.global/taxonomy/taxondetails?taxnode_id=202206584","ictv.global=202206584")</f>
        <v>ictv.global=202206584</v>
      </c>
    </row>
    <row r="7969" spans="1:21">
      <c r="A7969">
        <v>7968</v>
      </c>
      <c r="B7969" s="29" t="s">
        <v>3223</v>
      </c>
      <c r="C7969" s="29"/>
      <c r="D7969" s="29" t="s">
        <v>4156</v>
      </c>
      <c r="E7969" s="29"/>
      <c r="F7969" s="29" t="s">
        <v>2998</v>
      </c>
      <c r="G7969" s="29" t="s">
        <v>2999</v>
      </c>
      <c r="H7969" s="29" t="s">
        <v>3006</v>
      </c>
      <c r="I7969" s="29"/>
      <c r="J7969" s="29" t="s">
        <v>757</v>
      </c>
      <c r="K7969" s="29"/>
      <c r="L7969" s="29" t="s">
        <v>3011</v>
      </c>
      <c r="M7969" s="29"/>
      <c r="N7969" s="29" t="s">
        <v>12842</v>
      </c>
      <c r="O7969" s="29"/>
      <c r="P7969" s="29" t="s">
        <v>12843</v>
      </c>
      <c r="Q7969" t="s">
        <v>2039</v>
      </c>
      <c r="R7969" t="s">
        <v>2632</v>
      </c>
      <c r="S7969">
        <v>38</v>
      </c>
      <c r="T7969" s="43" t="str">
        <f>HYPERLINK("https://ictv.global/ictv/proposals/2022.012M.Lispiviridae_7ngen_11nsp.zip","2022.012M.Lispiviridae_7ngen_11nsp.zip")</f>
        <v>2022.012M.Lispiviridae_7ngen_11nsp.zip</v>
      </c>
      <c r="U7969" s="43" t="str">
        <f>HYPERLINK("https://ictv.global/taxonomy/taxondetails?taxnode_id=202214190","ictv.global=202214190")</f>
        <v>ictv.global=202214190</v>
      </c>
    </row>
    <row r="7970" spans="1:21">
      <c r="A7970">
        <v>7969</v>
      </c>
      <c r="B7970" s="29" t="s">
        <v>3223</v>
      </c>
      <c r="C7970" s="29"/>
      <c r="D7970" s="29" t="s">
        <v>4156</v>
      </c>
      <c r="E7970" s="29"/>
      <c r="F7970" s="29" t="s">
        <v>2998</v>
      </c>
      <c r="G7970" s="29" t="s">
        <v>2999</v>
      </c>
      <c r="H7970" s="29" t="s">
        <v>3006</v>
      </c>
      <c r="I7970" s="29"/>
      <c r="J7970" s="29" t="s">
        <v>757</v>
      </c>
      <c r="K7970" s="29"/>
      <c r="L7970" s="29" t="s">
        <v>3011</v>
      </c>
      <c r="M7970" s="29"/>
      <c r="N7970" s="29" t="s">
        <v>12844</v>
      </c>
      <c r="O7970" s="29"/>
      <c r="P7970" s="29" t="s">
        <v>12845</v>
      </c>
      <c r="Q7970" t="s">
        <v>2039</v>
      </c>
      <c r="R7970" t="s">
        <v>2632</v>
      </c>
      <c r="S7970">
        <v>38</v>
      </c>
      <c r="T7970" s="43" t="str">
        <f>HYPERLINK("https://ictv.global/ictv/proposals/2022.012M.Lispiviridae_7ngen_11nsp.zip","2022.012M.Lispiviridae_7ngen_11nsp.zip")</f>
        <v>2022.012M.Lispiviridae_7ngen_11nsp.zip</v>
      </c>
      <c r="U7970" s="43" t="str">
        <f>HYPERLINK("https://ictv.global/taxonomy/taxondetails?taxnode_id=202214194","ictv.global=202214194")</f>
        <v>ictv.global=202214194</v>
      </c>
    </row>
    <row r="7971" spans="1:21">
      <c r="A7971">
        <v>7970</v>
      </c>
      <c r="B7971" s="29" t="s">
        <v>3223</v>
      </c>
      <c r="C7971" s="29"/>
      <c r="D7971" s="29" t="s">
        <v>4156</v>
      </c>
      <c r="E7971" s="29"/>
      <c r="F7971" s="29" t="s">
        <v>2998</v>
      </c>
      <c r="G7971" s="29" t="s">
        <v>2999</v>
      </c>
      <c r="H7971" s="29" t="s">
        <v>3006</v>
      </c>
      <c r="I7971" s="29"/>
      <c r="J7971" s="29" t="s">
        <v>757</v>
      </c>
      <c r="K7971" s="29"/>
      <c r="L7971" s="29" t="s">
        <v>3011</v>
      </c>
      <c r="M7971" s="29"/>
      <c r="N7971" s="29" t="s">
        <v>12846</v>
      </c>
      <c r="O7971" s="29"/>
      <c r="P7971" s="29" t="s">
        <v>12847</v>
      </c>
      <c r="Q7971" t="s">
        <v>2039</v>
      </c>
      <c r="R7971" t="s">
        <v>2632</v>
      </c>
      <c r="S7971">
        <v>38</v>
      </c>
      <c r="T7971" s="43" t="str">
        <f>HYPERLINK("https://ictv.global/ictv/proposals/2022.012M.Lispiviridae_7ngen_11nsp.zip","2022.012M.Lispiviridae_7ngen_11nsp.zip")</f>
        <v>2022.012M.Lispiviridae_7ngen_11nsp.zip</v>
      </c>
      <c r="U7971" s="43" t="str">
        <f>HYPERLINK("https://ictv.global/taxonomy/taxondetails?taxnode_id=202214195","ictv.global=202214195")</f>
        <v>ictv.global=202214195</v>
      </c>
    </row>
    <row r="7972" spans="1:21">
      <c r="A7972">
        <v>7971</v>
      </c>
      <c r="B7972" s="29" t="s">
        <v>3223</v>
      </c>
      <c r="C7972" s="29"/>
      <c r="D7972" s="29" t="s">
        <v>4156</v>
      </c>
      <c r="E7972" s="29"/>
      <c r="F7972" s="29" t="s">
        <v>2998</v>
      </c>
      <c r="G7972" s="29" t="s">
        <v>2999</v>
      </c>
      <c r="H7972" s="29" t="s">
        <v>3006</v>
      </c>
      <c r="I7972" s="29"/>
      <c r="J7972" s="29" t="s">
        <v>757</v>
      </c>
      <c r="K7972" s="29"/>
      <c r="L7972" s="29" t="s">
        <v>3011</v>
      </c>
      <c r="M7972" s="29"/>
      <c r="N7972" s="29" t="s">
        <v>12848</v>
      </c>
      <c r="O7972" s="29"/>
      <c r="P7972" s="29" t="s">
        <v>12849</v>
      </c>
      <c r="Q7972" t="s">
        <v>2039</v>
      </c>
      <c r="R7972" t="s">
        <v>2632</v>
      </c>
      <c r="S7972">
        <v>37</v>
      </c>
      <c r="T7972" s="43" t="str">
        <f>HYPERLINK("https://ictv.global/ictv/proposals/2021.016M.R.Lispiviridae_16ngen_13nsp.zip","2021.016M.R.Lispiviridae_16ngen_13nsp.zip")</f>
        <v>2021.016M.R.Lispiviridae_16ngen_13nsp.zip</v>
      </c>
      <c r="U7972" s="43" t="str">
        <f>HYPERLINK("https://ictv.global/taxonomy/taxondetails?taxnode_id=202213371","ictv.global=202213371")</f>
        <v>ictv.global=202213371</v>
      </c>
    </row>
    <row r="7973" spans="1:21">
      <c r="A7973">
        <v>7972</v>
      </c>
      <c r="B7973" s="29" t="s">
        <v>3223</v>
      </c>
      <c r="C7973" s="29"/>
      <c r="D7973" s="29" t="s">
        <v>4156</v>
      </c>
      <c r="E7973" s="29"/>
      <c r="F7973" s="29" t="s">
        <v>2998</v>
      </c>
      <c r="G7973" s="29" t="s">
        <v>2999</v>
      </c>
      <c r="H7973" s="29" t="s">
        <v>3006</v>
      </c>
      <c r="I7973" s="29"/>
      <c r="J7973" s="29" t="s">
        <v>757</v>
      </c>
      <c r="K7973" s="29"/>
      <c r="L7973" s="29" t="s">
        <v>3011</v>
      </c>
      <c r="M7973" s="29"/>
      <c r="N7973" s="29" t="s">
        <v>12850</v>
      </c>
      <c r="O7973" s="29"/>
      <c r="P7973" s="29" t="s">
        <v>12851</v>
      </c>
      <c r="Q7973" t="s">
        <v>2039</v>
      </c>
      <c r="R7973" t="s">
        <v>2632</v>
      </c>
      <c r="S7973">
        <v>37</v>
      </c>
      <c r="T7973" s="43" t="str">
        <f>HYPERLINK("https://ictv.global/ictv/proposals/2021.016M.R.Lispiviridae_16ngen_13nsp.zip","2021.016M.R.Lispiviridae_16ngen_13nsp.zip")</f>
        <v>2021.016M.R.Lispiviridae_16ngen_13nsp.zip</v>
      </c>
      <c r="U7973" s="43" t="str">
        <f>HYPERLINK("https://ictv.global/taxonomy/taxondetails?taxnode_id=202213367","ictv.global=202213367")</f>
        <v>ictv.global=202213367</v>
      </c>
    </row>
    <row r="7974" spans="1:21">
      <c r="A7974">
        <v>7973</v>
      </c>
      <c r="B7974" s="29" t="s">
        <v>3223</v>
      </c>
      <c r="C7974" s="29"/>
      <c r="D7974" s="29" t="s">
        <v>4156</v>
      </c>
      <c r="E7974" s="29"/>
      <c r="F7974" s="29" t="s">
        <v>2998</v>
      </c>
      <c r="G7974" s="29" t="s">
        <v>2999</v>
      </c>
      <c r="H7974" s="29" t="s">
        <v>3006</v>
      </c>
      <c r="I7974" s="29"/>
      <c r="J7974" s="29" t="s">
        <v>757</v>
      </c>
      <c r="K7974" s="29"/>
      <c r="L7974" s="29" t="s">
        <v>3011</v>
      </c>
      <c r="M7974" s="29"/>
      <c r="N7974" s="29" t="s">
        <v>12852</v>
      </c>
      <c r="O7974" s="29"/>
      <c r="P7974" s="29" t="s">
        <v>12853</v>
      </c>
      <c r="Q7974" t="s">
        <v>2039</v>
      </c>
      <c r="R7974" t="s">
        <v>2632</v>
      </c>
      <c r="S7974">
        <v>38</v>
      </c>
      <c r="T7974" s="43" t="str">
        <f>HYPERLINK("https://ictv.global/ictv/proposals/2022.012M.Lispiviridae_7ngen_11nsp.zip","2022.012M.Lispiviridae_7ngen_11nsp.zip")</f>
        <v>2022.012M.Lispiviridae_7ngen_11nsp.zip</v>
      </c>
      <c r="U7974" s="43" t="str">
        <f>HYPERLINK("https://ictv.global/taxonomy/taxondetails?taxnode_id=202214191","ictv.global=202214191")</f>
        <v>ictv.global=202214191</v>
      </c>
    </row>
    <row r="7975" spans="1:21">
      <c r="A7975">
        <v>7974</v>
      </c>
      <c r="B7975" s="29" t="s">
        <v>3223</v>
      </c>
      <c r="C7975" s="29"/>
      <c r="D7975" s="29" t="s">
        <v>4156</v>
      </c>
      <c r="E7975" s="29"/>
      <c r="F7975" s="29" t="s">
        <v>2998</v>
      </c>
      <c r="G7975" s="29" t="s">
        <v>2999</v>
      </c>
      <c r="H7975" s="29" t="s">
        <v>3006</v>
      </c>
      <c r="I7975" s="29"/>
      <c r="J7975" s="29" t="s">
        <v>757</v>
      </c>
      <c r="K7975" s="29"/>
      <c r="L7975" s="29" t="s">
        <v>3011</v>
      </c>
      <c r="M7975" s="29"/>
      <c r="N7975" s="29" t="s">
        <v>12854</v>
      </c>
      <c r="O7975" s="29"/>
      <c r="P7975" s="29" t="s">
        <v>12855</v>
      </c>
      <c r="Q7975" t="s">
        <v>2039</v>
      </c>
      <c r="R7975" t="s">
        <v>2632</v>
      </c>
      <c r="S7975">
        <v>38</v>
      </c>
      <c r="T7975" s="43" t="str">
        <f>HYPERLINK("https://ictv.global/ictv/proposals/2022.012M.Lispiviridae_7ngen_11nsp.zip","2022.012M.Lispiviridae_7ngen_11nsp.zip")</f>
        <v>2022.012M.Lispiviridae_7ngen_11nsp.zip</v>
      </c>
      <c r="U7975" s="43" t="str">
        <f>HYPERLINK("https://ictv.global/taxonomy/taxondetails?taxnode_id=202214192","ictv.global=202214192")</f>
        <v>ictv.global=202214192</v>
      </c>
    </row>
    <row r="7976" spans="1:21">
      <c r="A7976">
        <v>7975</v>
      </c>
      <c r="B7976" s="29" t="s">
        <v>3223</v>
      </c>
      <c r="C7976" s="29"/>
      <c r="D7976" s="29" t="s">
        <v>4156</v>
      </c>
      <c r="E7976" s="29"/>
      <c r="F7976" s="29" t="s">
        <v>2998</v>
      </c>
      <c r="G7976" s="29" t="s">
        <v>2999</v>
      </c>
      <c r="H7976" s="29" t="s">
        <v>3006</v>
      </c>
      <c r="I7976" s="29"/>
      <c r="J7976" s="29" t="s">
        <v>757</v>
      </c>
      <c r="K7976" s="29"/>
      <c r="L7976" s="29" t="s">
        <v>3011</v>
      </c>
      <c r="M7976" s="29"/>
      <c r="N7976" s="29" t="s">
        <v>2140</v>
      </c>
      <c r="O7976" s="29"/>
      <c r="P7976" s="29" t="s">
        <v>12856</v>
      </c>
      <c r="Q7976" t="s">
        <v>2039</v>
      </c>
      <c r="R7976" t="s">
        <v>2635</v>
      </c>
      <c r="S7976">
        <v>37</v>
      </c>
      <c r="T7976" s="43" t="str">
        <f>HYPERLINK("https://ictv.global/ictv/proposals/2021.016M.R.Lispiviridae_16ngen_13nsp.zip","2021.016M.R.Lispiviridae_16ngen_13nsp.zip")</f>
        <v>2021.016M.R.Lispiviridae_16ngen_13nsp.zip</v>
      </c>
      <c r="U7976" s="43" t="str">
        <f>HYPERLINK("https://ictv.global/taxonomy/taxondetails?taxnode_id=202201814","ictv.global=202201814")</f>
        <v>ictv.global=202201814</v>
      </c>
    </row>
    <row r="7977" spans="1:21">
      <c r="A7977">
        <v>7976</v>
      </c>
      <c r="B7977" s="29" t="s">
        <v>3223</v>
      </c>
      <c r="C7977" s="29"/>
      <c r="D7977" s="29" t="s">
        <v>4156</v>
      </c>
      <c r="E7977" s="29"/>
      <c r="F7977" s="29" t="s">
        <v>2998</v>
      </c>
      <c r="G7977" s="29" t="s">
        <v>2999</v>
      </c>
      <c r="H7977" s="29" t="s">
        <v>3006</v>
      </c>
      <c r="I7977" s="29"/>
      <c r="J7977" s="29" t="s">
        <v>757</v>
      </c>
      <c r="K7977" s="29"/>
      <c r="L7977" s="29" t="s">
        <v>3011</v>
      </c>
      <c r="M7977" s="29"/>
      <c r="N7977" s="29" t="s">
        <v>2140</v>
      </c>
      <c r="O7977" s="29"/>
      <c r="P7977" s="29" t="s">
        <v>12857</v>
      </c>
      <c r="Q7977" t="s">
        <v>2039</v>
      </c>
      <c r="R7977" t="s">
        <v>2632</v>
      </c>
      <c r="S7977">
        <v>38</v>
      </c>
      <c r="T7977" s="43" t="str">
        <f>HYPERLINK("https://ictv.global/ictv/proposals/2022.012M.Lispiviridae_7ngen_11nsp.zip","2022.012M.Lispiviridae_7ngen_11nsp.zip")</f>
        <v>2022.012M.Lispiviridae_7ngen_11nsp.zip</v>
      </c>
      <c r="U7977" s="43" t="str">
        <f>HYPERLINK("https://ictv.global/taxonomy/taxondetails?taxnode_id=202214200","ictv.global=202214200")</f>
        <v>ictv.global=202214200</v>
      </c>
    </row>
    <row r="7978" spans="1:21">
      <c r="A7978">
        <v>7977</v>
      </c>
      <c r="B7978" s="29" t="s">
        <v>3223</v>
      </c>
      <c r="C7978" s="29"/>
      <c r="D7978" s="29" t="s">
        <v>4156</v>
      </c>
      <c r="E7978" s="29"/>
      <c r="F7978" s="29" t="s">
        <v>2998</v>
      </c>
      <c r="G7978" s="29" t="s">
        <v>2999</v>
      </c>
      <c r="H7978" s="29" t="s">
        <v>3006</v>
      </c>
      <c r="I7978" s="29"/>
      <c r="J7978" s="29" t="s">
        <v>757</v>
      </c>
      <c r="K7978" s="29"/>
      <c r="L7978" s="29" t="s">
        <v>3011</v>
      </c>
      <c r="M7978" s="29"/>
      <c r="N7978" s="29" t="s">
        <v>2140</v>
      </c>
      <c r="O7978" s="29"/>
      <c r="P7978" s="29" t="s">
        <v>12858</v>
      </c>
      <c r="Q7978" t="s">
        <v>2039</v>
      </c>
      <c r="R7978" t="s">
        <v>2632</v>
      </c>
      <c r="S7978">
        <v>38</v>
      </c>
      <c r="T7978" s="43" t="str">
        <f>HYPERLINK("https://ictv.global/ictv/proposals/2022.012M.Lispiviridae_7ngen_11nsp.zip","2022.012M.Lispiviridae_7ngen_11nsp.zip")</f>
        <v>2022.012M.Lispiviridae_7ngen_11nsp.zip</v>
      </c>
      <c r="U7978" s="43" t="str">
        <f>HYPERLINK("https://ictv.global/taxonomy/taxondetails?taxnode_id=202214199","ictv.global=202214199")</f>
        <v>ictv.global=202214199</v>
      </c>
    </row>
    <row r="7979" spans="1:21">
      <c r="A7979">
        <v>7978</v>
      </c>
      <c r="B7979" s="29" t="s">
        <v>3223</v>
      </c>
      <c r="C7979" s="29"/>
      <c r="D7979" s="29" t="s">
        <v>4156</v>
      </c>
      <c r="E7979" s="29"/>
      <c r="F7979" s="29" t="s">
        <v>2998</v>
      </c>
      <c r="G7979" s="29" t="s">
        <v>2999</v>
      </c>
      <c r="H7979" s="29" t="s">
        <v>3006</v>
      </c>
      <c r="I7979" s="29"/>
      <c r="J7979" s="29" t="s">
        <v>757</v>
      </c>
      <c r="K7979" s="29"/>
      <c r="L7979" s="29" t="s">
        <v>3011</v>
      </c>
      <c r="M7979" s="29"/>
      <c r="N7979" s="29" t="s">
        <v>12859</v>
      </c>
      <c r="O7979" s="29"/>
      <c r="P7979" s="29" t="s">
        <v>12860</v>
      </c>
      <c r="Q7979" t="s">
        <v>2039</v>
      </c>
      <c r="R7979" t="s">
        <v>2632</v>
      </c>
      <c r="S7979">
        <v>38</v>
      </c>
      <c r="T7979" s="43" t="str">
        <f>HYPERLINK("https://ictv.global/ictv/proposals/2022.012M.Lispiviridae_7ngen_11nsp.zip","2022.012M.Lispiviridae_7ngen_11nsp.zip")</f>
        <v>2022.012M.Lispiviridae_7ngen_11nsp.zip</v>
      </c>
      <c r="U7979" s="43" t="str">
        <f>HYPERLINK("https://ictv.global/taxonomy/taxondetails?taxnode_id=202214193","ictv.global=202214193")</f>
        <v>ictv.global=202214193</v>
      </c>
    </row>
    <row r="7980" spans="1:21">
      <c r="A7980">
        <v>7979</v>
      </c>
      <c r="B7980" s="29" t="s">
        <v>3223</v>
      </c>
      <c r="C7980" s="29"/>
      <c r="D7980" s="29" t="s">
        <v>4156</v>
      </c>
      <c r="E7980" s="29"/>
      <c r="F7980" s="29" t="s">
        <v>2998</v>
      </c>
      <c r="G7980" s="29" t="s">
        <v>2999</v>
      </c>
      <c r="H7980" s="29" t="s">
        <v>3006</v>
      </c>
      <c r="I7980" s="29"/>
      <c r="J7980" s="29" t="s">
        <v>757</v>
      </c>
      <c r="K7980" s="29"/>
      <c r="L7980" s="29" t="s">
        <v>3011</v>
      </c>
      <c r="M7980" s="29"/>
      <c r="N7980" s="29" t="s">
        <v>12861</v>
      </c>
      <c r="O7980" s="29"/>
      <c r="P7980" s="29" t="s">
        <v>12862</v>
      </c>
      <c r="Q7980" t="s">
        <v>2039</v>
      </c>
      <c r="R7980" t="s">
        <v>2632</v>
      </c>
      <c r="S7980">
        <v>37</v>
      </c>
      <c r="T7980" s="43" t="str">
        <f>HYPERLINK("https://ictv.global/ictv/proposals/2021.016M.R.Lispiviridae_16ngen_13nsp.zip","2021.016M.R.Lispiviridae_16ngen_13nsp.zip")</f>
        <v>2021.016M.R.Lispiviridae_16ngen_13nsp.zip</v>
      </c>
      <c r="U7980" s="43" t="str">
        <f>HYPERLINK("https://ictv.global/taxonomy/taxondetails?taxnode_id=202213359","ictv.global=202213359")</f>
        <v>ictv.global=202213359</v>
      </c>
    </row>
    <row r="7981" spans="1:21">
      <c r="A7981">
        <v>7980</v>
      </c>
      <c r="B7981" s="29" t="s">
        <v>3223</v>
      </c>
      <c r="C7981" s="29"/>
      <c r="D7981" s="29" t="s">
        <v>4156</v>
      </c>
      <c r="E7981" s="29"/>
      <c r="F7981" s="29" t="s">
        <v>2998</v>
      </c>
      <c r="G7981" s="29" t="s">
        <v>2999</v>
      </c>
      <c r="H7981" s="29" t="s">
        <v>3006</v>
      </c>
      <c r="I7981" s="29"/>
      <c r="J7981" s="29" t="s">
        <v>757</v>
      </c>
      <c r="K7981" s="29"/>
      <c r="L7981" s="29" t="s">
        <v>3011</v>
      </c>
      <c r="M7981" s="29"/>
      <c r="N7981" s="29" t="s">
        <v>12861</v>
      </c>
      <c r="O7981" s="29"/>
      <c r="P7981" s="29" t="s">
        <v>12863</v>
      </c>
      <c r="Q7981" t="s">
        <v>2039</v>
      </c>
      <c r="R7981" t="s">
        <v>2632</v>
      </c>
      <c r="S7981">
        <v>37</v>
      </c>
      <c r="T7981" s="43" t="str">
        <f>HYPERLINK("https://ictv.global/ictv/proposals/2021.016M.R.Lispiviridae_16ngen_13nsp.zip","2021.016M.R.Lispiviridae_16ngen_13nsp.zip")</f>
        <v>2021.016M.R.Lispiviridae_16ngen_13nsp.zip</v>
      </c>
      <c r="U7981" s="43" t="str">
        <f>HYPERLINK("https://ictv.global/taxonomy/taxondetails?taxnode_id=202213358","ictv.global=202213358")</f>
        <v>ictv.global=202213358</v>
      </c>
    </row>
    <row r="7982" spans="1:21">
      <c r="A7982">
        <v>7981</v>
      </c>
      <c r="B7982" s="29" t="s">
        <v>3223</v>
      </c>
      <c r="C7982" s="29"/>
      <c r="D7982" s="29" t="s">
        <v>4156</v>
      </c>
      <c r="E7982" s="29"/>
      <c r="F7982" s="29" t="s">
        <v>2998</v>
      </c>
      <c r="G7982" s="29" t="s">
        <v>2999</v>
      </c>
      <c r="H7982" s="29" t="s">
        <v>3006</v>
      </c>
      <c r="I7982" s="29"/>
      <c r="J7982" s="29" t="s">
        <v>757</v>
      </c>
      <c r="K7982" s="29"/>
      <c r="L7982" s="29" t="s">
        <v>3011</v>
      </c>
      <c r="M7982" s="29"/>
      <c r="N7982" s="29" t="s">
        <v>12864</v>
      </c>
      <c r="O7982" s="29"/>
      <c r="P7982" s="29" t="s">
        <v>12865</v>
      </c>
      <c r="Q7982" t="s">
        <v>2039</v>
      </c>
      <c r="R7982" t="s">
        <v>2632</v>
      </c>
      <c r="S7982">
        <v>37</v>
      </c>
      <c r="T7982" s="43" t="str">
        <f>HYPERLINK("https://ictv.global/ictv/proposals/2021.016M.R.Lispiviridae_16ngen_13nsp.zip","2021.016M.R.Lispiviridae_16ngen_13nsp.zip")</f>
        <v>2021.016M.R.Lispiviridae_16ngen_13nsp.zip</v>
      </c>
      <c r="U7982" s="43" t="str">
        <f>HYPERLINK("https://ictv.global/taxonomy/taxondetails?taxnode_id=202213365","ictv.global=202213365")</f>
        <v>ictv.global=202213365</v>
      </c>
    </row>
    <row r="7983" spans="1:21">
      <c r="A7983">
        <v>7982</v>
      </c>
      <c r="B7983" s="29" t="s">
        <v>3223</v>
      </c>
      <c r="C7983" s="29"/>
      <c r="D7983" s="29" t="s">
        <v>4156</v>
      </c>
      <c r="E7983" s="29"/>
      <c r="F7983" s="29" t="s">
        <v>2998</v>
      </c>
      <c r="G7983" s="29" t="s">
        <v>2999</v>
      </c>
      <c r="H7983" s="29" t="s">
        <v>3006</v>
      </c>
      <c r="I7983" s="29"/>
      <c r="J7983" s="29" t="s">
        <v>757</v>
      </c>
      <c r="K7983" s="29"/>
      <c r="L7983" s="29" t="s">
        <v>3011</v>
      </c>
      <c r="M7983" s="29"/>
      <c r="N7983" s="29" t="s">
        <v>12866</v>
      </c>
      <c r="O7983" s="29"/>
      <c r="P7983" s="29" t="s">
        <v>12867</v>
      </c>
      <c r="Q7983" t="s">
        <v>2039</v>
      </c>
      <c r="R7983" t="s">
        <v>2633</v>
      </c>
      <c r="S7983">
        <v>37</v>
      </c>
      <c r="T7983" s="43" t="str">
        <f>HYPERLINK("https://ictv.global/ictv/proposals/2021.016M.R.Lispiviridae_16ngen_13nsp.zip","2021.016M.R.Lispiviridae_16ngen_13nsp.zip")</f>
        <v>2021.016M.R.Lispiviridae_16ngen_13nsp.zip</v>
      </c>
      <c r="U7983" s="43" t="str">
        <f>HYPERLINK("https://ictv.global/taxonomy/taxondetails?taxnode_id=202206268","ictv.global=202206268")</f>
        <v>ictv.global=202206268</v>
      </c>
    </row>
    <row r="7984" spans="1:21">
      <c r="A7984">
        <v>7983</v>
      </c>
      <c r="B7984" s="29" t="s">
        <v>3223</v>
      </c>
      <c r="C7984" s="29"/>
      <c r="D7984" s="29" t="s">
        <v>4156</v>
      </c>
      <c r="E7984" s="29"/>
      <c r="F7984" s="29" t="s">
        <v>2998</v>
      </c>
      <c r="G7984" s="29" t="s">
        <v>2999</v>
      </c>
      <c r="H7984" s="29" t="s">
        <v>3006</v>
      </c>
      <c r="I7984" s="29"/>
      <c r="J7984" s="29" t="s">
        <v>757</v>
      </c>
      <c r="K7984" s="29"/>
      <c r="L7984" s="29" t="s">
        <v>3011</v>
      </c>
      <c r="M7984" s="29"/>
      <c r="N7984" s="29" t="s">
        <v>12866</v>
      </c>
      <c r="O7984" s="29"/>
      <c r="P7984" s="29" t="s">
        <v>12868</v>
      </c>
      <c r="Q7984" t="s">
        <v>2039</v>
      </c>
      <c r="R7984" t="s">
        <v>2632</v>
      </c>
      <c r="S7984">
        <v>38</v>
      </c>
      <c r="T7984" s="43" t="str">
        <f>HYPERLINK("https://ictv.global/ictv/proposals/2022.012M.Lispiviridae_7ngen_11nsp.zip","2022.012M.Lispiviridae_7ngen_11nsp.zip")</f>
        <v>2022.012M.Lispiviridae_7ngen_11nsp.zip</v>
      </c>
      <c r="U7984" s="43" t="str">
        <f>HYPERLINK("https://ictv.global/taxonomy/taxondetails?taxnode_id=202214198","ictv.global=202214198")</f>
        <v>ictv.global=202214198</v>
      </c>
    </row>
    <row r="7985" spans="1:21">
      <c r="A7985">
        <v>7984</v>
      </c>
      <c r="B7985" s="29" t="s">
        <v>3223</v>
      </c>
      <c r="C7985" s="29"/>
      <c r="D7985" s="29" t="s">
        <v>4156</v>
      </c>
      <c r="E7985" s="29"/>
      <c r="F7985" s="29" t="s">
        <v>2998</v>
      </c>
      <c r="G7985" s="29" t="s">
        <v>2999</v>
      </c>
      <c r="H7985" s="29" t="s">
        <v>3006</v>
      </c>
      <c r="I7985" s="29"/>
      <c r="J7985" s="29" t="s">
        <v>757</v>
      </c>
      <c r="K7985" s="29"/>
      <c r="L7985" s="29" t="s">
        <v>3011</v>
      </c>
      <c r="M7985" s="29"/>
      <c r="N7985" s="29" t="s">
        <v>12869</v>
      </c>
      <c r="O7985" s="29"/>
      <c r="P7985" s="29" t="s">
        <v>12870</v>
      </c>
      <c r="Q7985" t="s">
        <v>2039</v>
      </c>
      <c r="R7985" t="s">
        <v>2633</v>
      </c>
      <c r="S7985">
        <v>37</v>
      </c>
      <c r="T7985" s="43" t="str">
        <f>HYPERLINK("https://ictv.global/ictv/proposals/2021.016M.R.Lispiviridae_16ngen_13nsp.zip","2021.016M.R.Lispiviridae_16ngen_13nsp.zip")</f>
        <v>2021.016M.R.Lispiviridae_16ngen_13nsp.zip</v>
      </c>
      <c r="U7985" s="43" t="str">
        <f>HYPERLINK("https://ictv.global/taxonomy/taxondetails?taxnode_id=202201816","ictv.global=202201816")</f>
        <v>ictv.global=202201816</v>
      </c>
    </row>
    <row r="7986" spans="1:21">
      <c r="A7986">
        <v>7985</v>
      </c>
      <c r="B7986" s="29" t="s">
        <v>3223</v>
      </c>
      <c r="C7986" s="29"/>
      <c r="D7986" s="29" t="s">
        <v>4156</v>
      </c>
      <c r="E7986" s="29"/>
      <c r="F7986" s="29" t="s">
        <v>2998</v>
      </c>
      <c r="G7986" s="29" t="s">
        <v>2999</v>
      </c>
      <c r="H7986" s="29" t="s">
        <v>3006</v>
      </c>
      <c r="I7986" s="29"/>
      <c r="J7986" s="29" t="s">
        <v>757</v>
      </c>
      <c r="K7986" s="29"/>
      <c r="L7986" s="29" t="s">
        <v>3011</v>
      </c>
      <c r="M7986" s="29"/>
      <c r="N7986" s="29" t="s">
        <v>12871</v>
      </c>
      <c r="O7986" s="29"/>
      <c r="P7986" s="29" t="s">
        <v>12872</v>
      </c>
      <c r="Q7986" t="s">
        <v>2039</v>
      </c>
      <c r="R7986" t="s">
        <v>2632</v>
      </c>
      <c r="S7986">
        <v>38</v>
      </c>
      <c r="T7986" s="43" t="str">
        <f>HYPERLINK("https://ictv.global/ictv/proposals/2022.012M.Lispiviridae_7ngen_11nsp.zip","2022.012M.Lispiviridae_7ngen_11nsp.zip")</f>
        <v>2022.012M.Lispiviridae_7ngen_11nsp.zip</v>
      </c>
      <c r="U7986" s="43" t="str">
        <f>HYPERLINK("https://ictv.global/taxonomy/taxondetails?taxnode_id=202214196","ictv.global=202214196")</f>
        <v>ictv.global=202214196</v>
      </c>
    </row>
    <row r="7987" spans="1:21">
      <c r="A7987">
        <v>7986</v>
      </c>
      <c r="B7987" s="29" t="s">
        <v>3223</v>
      </c>
      <c r="C7987" s="29"/>
      <c r="D7987" s="29" t="s">
        <v>4156</v>
      </c>
      <c r="E7987" s="29"/>
      <c r="F7987" s="29" t="s">
        <v>2998</v>
      </c>
      <c r="G7987" s="29" t="s">
        <v>2999</v>
      </c>
      <c r="H7987" s="29" t="s">
        <v>3006</v>
      </c>
      <c r="I7987" s="29"/>
      <c r="J7987" s="29" t="s">
        <v>757</v>
      </c>
      <c r="K7987" s="29"/>
      <c r="L7987" s="29" t="s">
        <v>3011</v>
      </c>
      <c r="M7987" s="29"/>
      <c r="N7987" s="29" t="s">
        <v>12871</v>
      </c>
      <c r="O7987" s="29"/>
      <c r="P7987" s="29" t="s">
        <v>12873</v>
      </c>
      <c r="Q7987" t="s">
        <v>2039</v>
      </c>
      <c r="R7987" t="s">
        <v>2632</v>
      </c>
      <c r="S7987">
        <v>38</v>
      </c>
      <c r="T7987" s="43" t="str">
        <f>HYPERLINK("https://ictv.global/ictv/proposals/2022.012M.Lispiviridae_7ngen_11nsp.zip","2022.012M.Lispiviridae_7ngen_11nsp.zip")</f>
        <v>2022.012M.Lispiviridae_7ngen_11nsp.zip</v>
      </c>
      <c r="U7987" s="43" t="str">
        <f>HYPERLINK("https://ictv.global/taxonomy/taxondetails?taxnode_id=202214197","ictv.global=202214197")</f>
        <v>ictv.global=202214197</v>
      </c>
    </row>
    <row r="7988" spans="1:21">
      <c r="A7988">
        <v>7987</v>
      </c>
      <c r="B7988" s="29" t="s">
        <v>3223</v>
      </c>
      <c r="C7988" s="29"/>
      <c r="D7988" s="29" t="s">
        <v>4156</v>
      </c>
      <c r="E7988" s="29"/>
      <c r="F7988" s="29" t="s">
        <v>2998</v>
      </c>
      <c r="G7988" s="29" t="s">
        <v>2999</v>
      </c>
      <c r="H7988" s="29" t="s">
        <v>3006</v>
      </c>
      <c r="I7988" s="29"/>
      <c r="J7988" s="29" t="s">
        <v>757</v>
      </c>
      <c r="K7988" s="29"/>
      <c r="L7988" s="29" t="s">
        <v>3011</v>
      </c>
      <c r="M7988" s="29"/>
      <c r="N7988" s="29" t="s">
        <v>12874</v>
      </c>
      <c r="O7988" s="29"/>
      <c r="P7988" s="29" t="s">
        <v>12875</v>
      </c>
      <c r="Q7988" t="s">
        <v>2039</v>
      </c>
      <c r="R7988" t="s">
        <v>2633</v>
      </c>
      <c r="S7988">
        <v>37</v>
      </c>
      <c r="T7988" s="43" t="str">
        <f t="shared" ref="T7988:T7998" si="346">HYPERLINK("https://ictv.global/ictv/proposals/2021.016M.R.Lispiviridae_16ngen_13nsp.zip","2021.016M.R.Lispiviridae_16ngen_13nsp.zip")</f>
        <v>2021.016M.R.Lispiviridae_16ngen_13nsp.zip</v>
      </c>
      <c r="U7988" s="43" t="str">
        <f>HYPERLINK("https://ictv.global/taxonomy/taxondetails?taxnode_id=202206266","ictv.global=202206266")</f>
        <v>ictv.global=202206266</v>
      </c>
    </row>
    <row r="7989" spans="1:21">
      <c r="A7989">
        <v>7988</v>
      </c>
      <c r="B7989" s="29" t="s">
        <v>3223</v>
      </c>
      <c r="C7989" s="29"/>
      <c r="D7989" s="29" t="s">
        <v>4156</v>
      </c>
      <c r="E7989" s="29"/>
      <c r="F7989" s="29" t="s">
        <v>2998</v>
      </c>
      <c r="G7989" s="29" t="s">
        <v>2999</v>
      </c>
      <c r="H7989" s="29" t="s">
        <v>3006</v>
      </c>
      <c r="I7989" s="29"/>
      <c r="J7989" s="29" t="s">
        <v>757</v>
      </c>
      <c r="K7989" s="29"/>
      <c r="L7989" s="29" t="s">
        <v>3011</v>
      </c>
      <c r="M7989" s="29"/>
      <c r="N7989" s="29" t="s">
        <v>12876</v>
      </c>
      <c r="O7989" s="29"/>
      <c r="P7989" s="29" t="s">
        <v>12877</v>
      </c>
      <c r="Q7989" t="s">
        <v>2039</v>
      </c>
      <c r="R7989" t="s">
        <v>2633</v>
      </c>
      <c r="S7989">
        <v>37</v>
      </c>
      <c r="T7989" s="43" t="str">
        <f t="shared" si="346"/>
        <v>2021.016M.R.Lispiviridae_16ngen_13nsp.zip</v>
      </c>
      <c r="U7989" s="43" t="str">
        <f>HYPERLINK("https://ictv.global/taxonomy/taxondetails?taxnode_id=202206267","ictv.global=202206267")</f>
        <v>ictv.global=202206267</v>
      </c>
    </row>
    <row r="7990" spans="1:21">
      <c r="A7990">
        <v>7989</v>
      </c>
      <c r="B7990" s="29" t="s">
        <v>3223</v>
      </c>
      <c r="C7990" s="29"/>
      <c r="D7990" s="29" t="s">
        <v>4156</v>
      </c>
      <c r="E7990" s="29"/>
      <c r="F7990" s="29" t="s">
        <v>2998</v>
      </c>
      <c r="G7990" s="29" t="s">
        <v>2999</v>
      </c>
      <c r="H7990" s="29" t="s">
        <v>3006</v>
      </c>
      <c r="I7990" s="29"/>
      <c r="J7990" s="29" t="s">
        <v>757</v>
      </c>
      <c r="K7990" s="29"/>
      <c r="L7990" s="29" t="s">
        <v>3011</v>
      </c>
      <c r="M7990" s="29"/>
      <c r="N7990" s="29" t="s">
        <v>12878</v>
      </c>
      <c r="O7990" s="29"/>
      <c r="P7990" s="29" t="s">
        <v>12879</v>
      </c>
      <c r="Q7990" t="s">
        <v>2039</v>
      </c>
      <c r="R7990" t="s">
        <v>2632</v>
      </c>
      <c r="S7990">
        <v>37</v>
      </c>
      <c r="T7990" s="43" t="str">
        <f t="shared" si="346"/>
        <v>2021.016M.R.Lispiviridae_16ngen_13nsp.zip</v>
      </c>
      <c r="U7990" s="43" t="str">
        <f>HYPERLINK("https://ictv.global/taxonomy/taxondetails?taxnode_id=202213369","ictv.global=202213369")</f>
        <v>ictv.global=202213369</v>
      </c>
    </row>
    <row r="7991" spans="1:21">
      <c r="A7991">
        <v>7990</v>
      </c>
      <c r="B7991" s="29" t="s">
        <v>3223</v>
      </c>
      <c r="C7991" s="29"/>
      <c r="D7991" s="29" t="s">
        <v>4156</v>
      </c>
      <c r="E7991" s="29"/>
      <c r="F7991" s="29" t="s">
        <v>2998</v>
      </c>
      <c r="G7991" s="29" t="s">
        <v>2999</v>
      </c>
      <c r="H7991" s="29" t="s">
        <v>3006</v>
      </c>
      <c r="I7991" s="29"/>
      <c r="J7991" s="29" t="s">
        <v>757</v>
      </c>
      <c r="K7991" s="29"/>
      <c r="L7991" s="29" t="s">
        <v>3011</v>
      </c>
      <c r="M7991" s="29"/>
      <c r="N7991" s="29" t="s">
        <v>12880</v>
      </c>
      <c r="O7991" s="29"/>
      <c r="P7991" s="29" t="s">
        <v>12881</v>
      </c>
      <c r="Q7991" t="s">
        <v>2039</v>
      </c>
      <c r="R7991" t="s">
        <v>2632</v>
      </c>
      <c r="S7991">
        <v>37</v>
      </c>
      <c r="T7991" s="43" t="str">
        <f t="shared" si="346"/>
        <v>2021.016M.R.Lispiviridae_16ngen_13nsp.zip</v>
      </c>
      <c r="U7991" s="43" t="str">
        <f>HYPERLINK("https://ictv.global/taxonomy/taxondetails?taxnode_id=202212218","ictv.global=202212218")</f>
        <v>ictv.global=202212218</v>
      </c>
    </row>
    <row r="7992" spans="1:21">
      <c r="A7992">
        <v>7991</v>
      </c>
      <c r="B7992" s="29" t="s">
        <v>3223</v>
      </c>
      <c r="C7992" s="29"/>
      <c r="D7992" s="29" t="s">
        <v>4156</v>
      </c>
      <c r="E7992" s="29"/>
      <c r="F7992" s="29" t="s">
        <v>2998</v>
      </c>
      <c r="G7992" s="29" t="s">
        <v>2999</v>
      </c>
      <c r="H7992" s="29" t="s">
        <v>3006</v>
      </c>
      <c r="I7992" s="29"/>
      <c r="J7992" s="29" t="s">
        <v>757</v>
      </c>
      <c r="K7992" s="29"/>
      <c r="L7992" s="29" t="s">
        <v>3011</v>
      </c>
      <c r="M7992" s="29"/>
      <c r="N7992" s="29" t="s">
        <v>12882</v>
      </c>
      <c r="O7992" s="29"/>
      <c r="P7992" s="29" t="s">
        <v>12883</v>
      </c>
      <c r="Q7992" t="s">
        <v>2039</v>
      </c>
      <c r="R7992" t="s">
        <v>2633</v>
      </c>
      <c r="S7992">
        <v>37</v>
      </c>
      <c r="T7992" s="43" t="str">
        <f t="shared" si="346"/>
        <v>2021.016M.R.Lispiviridae_16ngen_13nsp.zip</v>
      </c>
      <c r="U7992" s="43" t="str">
        <f>HYPERLINK("https://ictv.global/taxonomy/taxondetails?taxnode_id=202201820","ictv.global=202201820")</f>
        <v>ictv.global=202201820</v>
      </c>
    </row>
    <row r="7993" spans="1:21">
      <c r="A7993">
        <v>7992</v>
      </c>
      <c r="B7993" s="29" t="s">
        <v>3223</v>
      </c>
      <c r="C7993" s="29"/>
      <c r="D7993" s="29" t="s">
        <v>4156</v>
      </c>
      <c r="E7993" s="29"/>
      <c r="F7993" s="29" t="s">
        <v>2998</v>
      </c>
      <c r="G7993" s="29" t="s">
        <v>2999</v>
      </c>
      <c r="H7993" s="29" t="s">
        <v>3006</v>
      </c>
      <c r="I7993" s="29"/>
      <c r="J7993" s="29" t="s">
        <v>757</v>
      </c>
      <c r="K7993" s="29"/>
      <c r="L7993" s="29" t="s">
        <v>3011</v>
      </c>
      <c r="M7993" s="29"/>
      <c r="N7993" s="29" t="s">
        <v>12884</v>
      </c>
      <c r="O7993" s="29"/>
      <c r="P7993" s="29" t="s">
        <v>12885</v>
      </c>
      <c r="Q7993" t="s">
        <v>2039</v>
      </c>
      <c r="R7993" t="s">
        <v>2632</v>
      </c>
      <c r="S7993">
        <v>37</v>
      </c>
      <c r="T7993" s="43" t="str">
        <f t="shared" si="346"/>
        <v>2021.016M.R.Lispiviridae_16ngen_13nsp.zip</v>
      </c>
      <c r="U7993" s="43" t="str">
        <f>HYPERLINK("https://ictv.global/taxonomy/taxondetails?taxnode_id=202213363","ictv.global=202213363")</f>
        <v>ictv.global=202213363</v>
      </c>
    </row>
    <row r="7994" spans="1:21">
      <c r="A7994">
        <v>7993</v>
      </c>
      <c r="B7994" s="29" t="s">
        <v>3223</v>
      </c>
      <c r="C7994" s="29"/>
      <c r="D7994" s="29" t="s">
        <v>4156</v>
      </c>
      <c r="E7994" s="29"/>
      <c r="F7994" s="29" t="s">
        <v>2998</v>
      </c>
      <c r="G7994" s="29" t="s">
        <v>2999</v>
      </c>
      <c r="H7994" s="29" t="s">
        <v>3006</v>
      </c>
      <c r="I7994" s="29"/>
      <c r="J7994" s="29" t="s">
        <v>757</v>
      </c>
      <c r="K7994" s="29"/>
      <c r="L7994" s="29" t="s">
        <v>3011</v>
      </c>
      <c r="M7994" s="29"/>
      <c r="N7994" s="29" t="s">
        <v>12886</v>
      </c>
      <c r="O7994" s="29"/>
      <c r="P7994" s="29" t="s">
        <v>12887</v>
      </c>
      <c r="Q7994" t="s">
        <v>2039</v>
      </c>
      <c r="R7994" t="s">
        <v>2632</v>
      </c>
      <c r="S7994">
        <v>37</v>
      </c>
      <c r="T7994" s="43" t="str">
        <f t="shared" si="346"/>
        <v>2021.016M.R.Lispiviridae_16ngen_13nsp.zip</v>
      </c>
      <c r="U7994" s="43" t="str">
        <f>HYPERLINK("https://ictv.global/taxonomy/taxondetails?taxnode_id=202213361","ictv.global=202213361")</f>
        <v>ictv.global=202213361</v>
      </c>
    </row>
    <row r="7995" spans="1:21">
      <c r="A7995">
        <v>7994</v>
      </c>
      <c r="B7995" s="29" t="s">
        <v>3223</v>
      </c>
      <c r="C7995" s="29"/>
      <c r="D7995" s="29" t="s">
        <v>4156</v>
      </c>
      <c r="E7995" s="29"/>
      <c r="F7995" s="29" t="s">
        <v>2998</v>
      </c>
      <c r="G7995" s="29" t="s">
        <v>2999</v>
      </c>
      <c r="H7995" s="29" t="s">
        <v>3006</v>
      </c>
      <c r="I7995" s="29"/>
      <c r="J7995" s="29" t="s">
        <v>757</v>
      </c>
      <c r="K7995" s="29"/>
      <c r="L7995" s="29" t="s">
        <v>3011</v>
      </c>
      <c r="M7995" s="29"/>
      <c r="N7995" s="29" t="s">
        <v>12888</v>
      </c>
      <c r="O7995" s="29"/>
      <c r="P7995" s="29" t="s">
        <v>12889</v>
      </c>
      <c r="Q7995" t="s">
        <v>2039</v>
      </c>
      <c r="R7995" t="s">
        <v>2632</v>
      </c>
      <c r="S7995">
        <v>37</v>
      </c>
      <c r="T7995" s="43" t="str">
        <f t="shared" si="346"/>
        <v>2021.016M.R.Lispiviridae_16ngen_13nsp.zip</v>
      </c>
      <c r="U7995" s="43" t="str">
        <f>HYPERLINK("https://ictv.global/taxonomy/taxondetails?taxnode_id=202212216","ictv.global=202212216")</f>
        <v>ictv.global=202212216</v>
      </c>
    </row>
    <row r="7996" spans="1:21">
      <c r="A7996">
        <v>7995</v>
      </c>
      <c r="B7996" s="29" t="s">
        <v>3223</v>
      </c>
      <c r="C7996" s="29"/>
      <c r="D7996" s="29" t="s">
        <v>4156</v>
      </c>
      <c r="E7996" s="29"/>
      <c r="F7996" s="29" t="s">
        <v>2998</v>
      </c>
      <c r="G7996" s="29" t="s">
        <v>2999</v>
      </c>
      <c r="H7996" s="29" t="s">
        <v>3006</v>
      </c>
      <c r="I7996" s="29"/>
      <c r="J7996" s="29" t="s">
        <v>757</v>
      </c>
      <c r="K7996" s="29"/>
      <c r="L7996" s="29" t="s">
        <v>3011</v>
      </c>
      <c r="M7996" s="29"/>
      <c r="N7996" s="29" t="s">
        <v>12888</v>
      </c>
      <c r="O7996" s="29"/>
      <c r="P7996" s="29" t="s">
        <v>12890</v>
      </c>
      <c r="Q7996" t="s">
        <v>2039</v>
      </c>
      <c r="R7996" t="s">
        <v>2632</v>
      </c>
      <c r="S7996">
        <v>37</v>
      </c>
      <c r="T7996" s="43" t="str">
        <f t="shared" si="346"/>
        <v>2021.016M.R.Lispiviridae_16ngen_13nsp.zip</v>
      </c>
      <c r="U7996" s="43" t="str">
        <f>HYPERLINK("https://ictv.global/taxonomy/taxondetails?taxnode_id=202213373","ictv.global=202213373")</f>
        <v>ictv.global=202213373</v>
      </c>
    </row>
    <row r="7997" spans="1:21">
      <c r="A7997">
        <v>7996</v>
      </c>
      <c r="B7997" s="29" t="s">
        <v>3223</v>
      </c>
      <c r="C7997" s="29"/>
      <c r="D7997" s="29" t="s">
        <v>4156</v>
      </c>
      <c r="E7997" s="29"/>
      <c r="F7997" s="29" t="s">
        <v>2998</v>
      </c>
      <c r="G7997" s="29" t="s">
        <v>2999</v>
      </c>
      <c r="H7997" s="29" t="s">
        <v>3006</v>
      </c>
      <c r="I7997" s="29"/>
      <c r="J7997" s="29" t="s">
        <v>757</v>
      </c>
      <c r="K7997" s="29"/>
      <c r="L7997" s="29" t="s">
        <v>3011</v>
      </c>
      <c r="M7997" s="29"/>
      <c r="N7997" s="29" t="s">
        <v>12891</v>
      </c>
      <c r="O7997" s="29"/>
      <c r="P7997" s="29" t="s">
        <v>12892</v>
      </c>
      <c r="Q7997" t="s">
        <v>2039</v>
      </c>
      <c r="R7997" t="s">
        <v>2632</v>
      </c>
      <c r="S7997">
        <v>37</v>
      </c>
      <c r="T7997" s="43" t="str">
        <f t="shared" si="346"/>
        <v>2021.016M.R.Lispiviridae_16ngen_13nsp.zip</v>
      </c>
      <c r="U7997" s="43" t="str">
        <f>HYPERLINK("https://ictv.global/taxonomy/taxondetails?taxnode_id=202212222","ictv.global=202212222")</f>
        <v>ictv.global=202212222</v>
      </c>
    </row>
    <row r="7998" spans="1:21">
      <c r="A7998">
        <v>7997</v>
      </c>
      <c r="B7998" s="29" t="s">
        <v>3223</v>
      </c>
      <c r="C7998" s="29"/>
      <c r="D7998" s="29" t="s">
        <v>4156</v>
      </c>
      <c r="E7998" s="29"/>
      <c r="F7998" s="29" t="s">
        <v>2998</v>
      </c>
      <c r="G7998" s="29" t="s">
        <v>2999</v>
      </c>
      <c r="H7998" s="29" t="s">
        <v>3006</v>
      </c>
      <c r="I7998" s="29"/>
      <c r="J7998" s="29" t="s">
        <v>757</v>
      </c>
      <c r="K7998" s="29"/>
      <c r="L7998" s="29" t="s">
        <v>3011</v>
      </c>
      <c r="M7998" s="29"/>
      <c r="N7998" s="29" t="s">
        <v>12893</v>
      </c>
      <c r="O7998" s="29"/>
      <c r="P7998" s="29" t="s">
        <v>12894</v>
      </c>
      <c r="Q7998" t="s">
        <v>2039</v>
      </c>
      <c r="R7998" t="s">
        <v>2632</v>
      </c>
      <c r="S7998">
        <v>37</v>
      </c>
      <c r="T7998" s="43" t="str">
        <f t="shared" si="346"/>
        <v>2021.016M.R.Lispiviridae_16ngen_13nsp.zip</v>
      </c>
      <c r="U7998" s="43" t="str">
        <f>HYPERLINK("https://ictv.global/taxonomy/taxondetails?taxnode_id=202212220","ictv.global=202212220")</f>
        <v>ictv.global=202212220</v>
      </c>
    </row>
    <row r="7999" spans="1:21">
      <c r="A7999">
        <v>7998</v>
      </c>
      <c r="B7999" s="29" t="s">
        <v>3223</v>
      </c>
      <c r="C7999" s="29"/>
      <c r="D7999" s="29" t="s">
        <v>4156</v>
      </c>
      <c r="E7999" s="29"/>
      <c r="F7999" s="29" t="s">
        <v>2998</v>
      </c>
      <c r="G7999" s="29" t="s">
        <v>2999</v>
      </c>
      <c r="H7999" s="29" t="s">
        <v>3006</v>
      </c>
      <c r="I7999" s="29"/>
      <c r="J7999" s="29" t="s">
        <v>757</v>
      </c>
      <c r="K7999" s="29"/>
      <c r="L7999" s="29" t="s">
        <v>2131</v>
      </c>
      <c r="M7999" s="29"/>
      <c r="N7999" s="29" t="s">
        <v>6616</v>
      </c>
      <c r="O7999" s="29"/>
      <c r="P7999" s="29" t="s">
        <v>12895</v>
      </c>
      <c r="Q7999" t="s">
        <v>2039</v>
      </c>
      <c r="R7999" t="s">
        <v>2632</v>
      </c>
      <c r="S7999">
        <v>38</v>
      </c>
      <c r="T7999" s="43" t="str">
        <f>HYPERLINK("https://ictv.global/ictv/proposals/2022.014M.Mymonaviridae_13nsp.zip","2022.014M.Mymonaviridae_13nsp.zip")</f>
        <v>2022.014M.Mymonaviridae_13nsp.zip</v>
      </c>
      <c r="U7999" s="43" t="str">
        <f>HYPERLINK("https://ictv.global/taxonomy/taxondetails?taxnode_id=202214202","ictv.global=202214202")</f>
        <v>ictv.global=202214202</v>
      </c>
    </row>
    <row r="8000" spans="1:21">
      <c r="A8000">
        <v>7999</v>
      </c>
      <c r="B8000" s="29" t="s">
        <v>3223</v>
      </c>
      <c r="C8000" s="29"/>
      <c r="D8000" s="29" t="s">
        <v>4156</v>
      </c>
      <c r="E8000" s="29"/>
      <c r="F8000" s="29" t="s">
        <v>2998</v>
      </c>
      <c r="G8000" s="29" t="s">
        <v>2999</v>
      </c>
      <c r="H8000" s="29" t="s">
        <v>3006</v>
      </c>
      <c r="I8000" s="29"/>
      <c r="J8000" s="29" t="s">
        <v>757</v>
      </c>
      <c r="K8000" s="29"/>
      <c r="L8000" s="29" t="s">
        <v>2131</v>
      </c>
      <c r="M8000" s="29"/>
      <c r="N8000" s="29" t="s">
        <v>6616</v>
      </c>
      <c r="O8000" s="29"/>
      <c r="P8000" s="29" t="s">
        <v>6617</v>
      </c>
      <c r="Q8000" t="s">
        <v>2039</v>
      </c>
      <c r="R8000" t="s">
        <v>2632</v>
      </c>
      <c r="S8000">
        <v>36</v>
      </c>
      <c r="T8000" s="43" t="str">
        <f>HYPERLINK("https://ictv.global/ictv/proposals/2020.004F.R.Mymona.zip","2020.004F.R.Mymona.zip")</f>
        <v>2020.004F.R.Mymona.zip</v>
      </c>
      <c r="U8000" s="43" t="str">
        <f>HYPERLINK("https://ictv.global/taxonomy/taxondetails?taxnode_id=202208901","ictv.global=202208901")</f>
        <v>ictv.global=202208901</v>
      </c>
    </row>
    <row r="8001" spans="1:21">
      <c r="A8001">
        <v>8000</v>
      </c>
      <c r="B8001" s="29" t="s">
        <v>3223</v>
      </c>
      <c r="C8001" s="29"/>
      <c r="D8001" s="29" t="s">
        <v>4156</v>
      </c>
      <c r="E8001" s="29"/>
      <c r="F8001" s="29" t="s">
        <v>2998</v>
      </c>
      <c r="G8001" s="29" t="s">
        <v>2999</v>
      </c>
      <c r="H8001" s="29" t="s">
        <v>3006</v>
      </c>
      <c r="I8001" s="29"/>
      <c r="J8001" s="29" t="s">
        <v>757</v>
      </c>
      <c r="K8001" s="29"/>
      <c r="L8001" s="29" t="s">
        <v>2131</v>
      </c>
      <c r="M8001" s="29"/>
      <c r="N8001" s="29" t="s">
        <v>6616</v>
      </c>
      <c r="O8001" s="29"/>
      <c r="P8001" s="29" t="s">
        <v>12896</v>
      </c>
      <c r="Q8001" t="s">
        <v>2039</v>
      </c>
      <c r="R8001" t="s">
        <v>2632</v>
      </c>
      <c r="S8001">
        <v>37</v>
      </c>
      <c r="T8001" s="43" t="str">
        <f>HYPERLINK("https://ictv.global/ictv/proposals/2021.041M.R.Mymonaviridae_5nsp.zip","2021.041M.R.Mymonaviridae_5nsp.zip")</f>
        <v>2021.041M.R.Mymonaviridae_5nsp.zip</v>
      </c>
      <c r="U8001" s="43" t="str">
        <f>HYPERLINK("https://ictv.global/taxonomy/taxondetails?taxnode_id=202212965","ictv.global=202212965")</f>
        <v>ictv.global=202212965</v>
      </c>
    </row>
    <row r="8002" spans="1:21">
      <c r="A8002">
        <v>8001</v>
      </c>
      <c r="B8002" s="29" t="s">
        <v>3223</v>
      </c>
      <c r="C8002" s="29"/>
      <c r="D8002" s="29" t="s">
        <v>4156</v>
      </c>
      <c r="E8002" s="29"/>
      <c r="F8002" s="29" t="s">
        <v>2998</v>
      </c>
      <c r="G8002" s="29" t="s">
        <v>2999</v>
      </c>
      <c r="H8002" s="29" t="s">
        <v>3006</v>
      </c>
      <c r="I8002" s="29"/>
      <c r="J8002" s="29" t="s">
        <v>757</v>
      </c>
      <c r="K8002" s="29"/>
      <c r="L8002" s="29" t="s">
        <v>2131</v>
      </c>
      <c r="M8002" s="29"/>
      <c r="N8002" s="29" t="s">
        <v>6618</v>
      </c>
      <c r="O8002" s="29"/>
      <c r="P8002" s="29" t="s">
        <v>12897</v>
      </c>
      <c r="Q8002" t="s">
        <v>2039</v>
      </c>
      <c r="R8002" t="s">
        <v>2632</v>
      </c>
      <c r="S8002">
        <v>37</v>
      </c>
      <c r="T8002" s="43" t="str">
        <f>HYPERLINK("https://ictv.global/ictv/proposals/2021.041M.R.Mymonaviridae_5nsp.zip","2021.041M.R.Mymonaviridae_5nsp.zip")</f>
        <v>2021.041M.R.Mymonaviridae_5nsp.zip</v>
      </c>
      <c r="U8002" s="43" t="str">
        <f>HYPERLINK("https://ictv.global/taxonomy/taxondetails?taxnode_id=202212966","ictv.global=202212966")</f>
        <v>ictv.global=202212966</v>
      </c>
    </row>
    <row r="8003" spans="1:21">
      <c r="A8003">
        <v>8002</v>
      </c>
      <c r="B8003" s="29" t="s">
        <v>3223</v>
      </c>
      <c r="C8003" s="29"/>
      <c r="D8003" s="29" t="s">
        <v>4156</v>
      </c>
      <c r="E8003" s="29"/>
      <c r="F8003" s="29" t="s">
        <v>2998</v>
      </c>
      <c r="G8003" s="29" t="s">
        <v>2999</v>
      </c>
      <c r="H8003" s="29" t="s">
        <v>3006</v>
      </c>
      <c r="I8003" s="29"/>
      <c r="J8003" s="29" t="s">
        <v>757</v>
      </c>
      <c r="K8003" s="29"/>
      <c r="L8003" s="29" t="s">
        <v>2131</v>
      </c>
      <c r="M8003" s="29"/>
      <c r="N8003" s="29" t="s">
        <v>6618</v>
      </c>
      <c r="O8003" s="29"/>
      <c r="P8003" s="29" t="s">
        <v>6619</v>
      </c>
      <c r="Q8003" t="s">
        <v>2039</v>
      </c>
      <c r="R8003" t="s">
        <v>2632</v>
      </c>
      <c r="S8003">
        <v>36</v>
      </c>
      <c r="T8003" s="43" t="str">
        <f>HYPERLINK("https://ictv.global/ictv/proposals/2020.004F.R.Mymona.zip","2020.004F.R.Mymona.zip")</f>
        <v>2020.004F.R.Mymona.zip</v>
      </c>
      <c r="U8003" s="43" t="str">
        <f>HYPERLINK("https://ictv.global/taxonomy/taxondetails?taxnode_id=202208886","ictv.global=202208886")</f>
        <v>ictv.global=202208886</v>
      </c>
    </row>
    <row r="8004" spans="1:21">
      <c r="A8004">
        <v>8003</v>
      </c>
      <c r="B8004" s="29" t="s">
        <v>3223</v>
      </c>
      <c r="C8004" s="29"/>
      <c r="D8004" s="29" t="s">
        <v>4156</v>
      </c>
      <c r="E8004" s="29"/>
      <c r="F8004" s="29" t="s">
        <v>2998</v>
      </c>
      <c r="G8004" s="29" t="s">
        <v>2999</v>
      </c>
      <c r="H8004" s="29" t="s">
        <v>3006</v>
      </c>
      <c r="I8004" s="29"/>
      <c r="J8004" s="29" t="s">
        <v>757</v>
      </c>
      <c r="K8004" s="29"/>
      <c r="L8004" s="29" t="s">
        <v>2131</v>
      </c>
      <c r="M8004" s="29"/>
      <c r="N8004" s="29" t="s">
        <v>6618</v>
      </c>
      <c r="O8004" s="29"/>
      <c r="P8004" s="29" t="s">
        <v>6620</v>
      </c>
      <c r="Q8004" t="s">
        <v>2039</v>
      </c>
      <c r="R8004" t="s">
        <v>2633</v>
      </c>
      <c r="S8004">
        <v>36</v>
      </c>
      <c r="T8004" s="43" t="str">
        <f>HYPERLINK("https://ictv.global/ictv/proposals/2020.004F.R.Mymona.zip","2020.004F.R.Mymona.zip")</f>
        <v>2020.004F.R.Mymona.zip</v>
      </c>
      <c r="U8004" s="43" t="str">
        <f>HYPERLINK("https://ictv.global/taxonomy/taxondetails?taxnode_id=202206247","ictv.global=202206247")</f>
        <v>ictv.global=202206247</v>
      </c>
    </row>
    <row r="8005" spans="1:21">
      <c r="A8005">
        <v>8004</v>
      </c>
      <c r="B8005" s="29" t="s">
        <v>3223</v>
      </c>
      <c r="C8005" s="29"/>
      <c r="D8005" s="29" t="s">
        <v>4156</v>
      </c>
      <c r="E8005" s="29"/>
      <c r="F8005" s="29" t="s">
        <v>2998</v>
      </c>
      <c r="G8005" s="29" t="s">
        <v>2999</v>
      </c>
      <c r="H8005" s="29" t="s">
        <v>3006</v>
      </c>
      <c r="I8005" s="29"/>
      <c r="J8005" s="29" t="s">
        <v>757</v>
      </c>
      <c r="K8005" s="29"/>
      <c r="L8005" s="29" t="s">
        <v>2131</v>
      </c>
      <c r="M8005" s="29"/>
      <c r="N8005" s="29" t="s">
        <v>6618</v>
      </c>
      <c r="O8005" s="29"/>
      <c r="P8005" s="29" t="s">
        <v>6621</v>
      </c>
      <c r="Q8005" t="s">
        <v>2039</v>
      </c>
      <c r="R8005" t="s">
        <v>2633</v>
      </c>
      <c r="S8005">
        <v>36</v>
      </c>
      <c r="T8005" s="43" t="str">
        <f>HYPERLINK("https://ictv.global/ictv/proposals/2020.004F.R.Mymona.zip","2020.004F.R.Mymona.zip")</f>
        <v>2020.004F.R.Mymona.zip</v>
      </c>
      <c r="U8005" s="43" t="str">
        <f>HYPERLINK("https://ictv.global/taxonomy/taxondetails?taxnode_id=202206248","ictv.global=202206248")</f>
        <v>ictv.global=202206248</v>
      </c>
    </row>
    <row r="8006" spans="1:21">
      <c r="A8006">
        <v>8005</v>
      </c>
      <c r="B8006" s="29" t="s">
        <v>3223</v>
      </c>
      <c r="C8006" s="29"/>
      <c r="D8006" s="29" t="s">
        <v>4156</v>
      </c>
      <c r="E8006" s="29"/>
      <c r="F8006" s="29" t="s">
        <v>2998</v>
      </c>
      <c r="G8006" s="29" t="s">
        <v>2999</v>
      </c>
      <c r="H8006" s="29" t="s">
        <v>3006</v>
      </c>
      <c r="I8006" s="29"/>
      <c r="J8006" s="29" t="s">
        <v>757</v>
      </c>
      <c r="K8006" s="29"/>
      <c r="L8006" s="29" t="s">
        <v>2131</v>
      </c>
      <c r="M8006" s="29"/>
      <c r="N8006" s="29" t="s">
        <v>4212</v>
      </c>
      <c r="O8006" s="29"/>
      <c r="P8006" s="29" t="s">
        <v>12898</v>
      </c>
      <c r="Q8006" t="s">
        <v>2039</v>
      </c>
      <c r="R8006" t="s">
        <v>2632</v>
      </c>
      <c r="S8006">
        <v>38</v>
      </c>
      <c r="T8006" s="43" t="str">
        <f>HYPERLINK("https://ictv.global/ictv/proposals/2022.014M.Mymonaviridae_13nsp.zip","2022.014M.Mymonaviridae_13nsp.zip")</f>
        <v>2022.014M.Mymonaviridae_13nsp.zip</v>
      </c>
      <c r="U8006" s="43" t="str">
        <f>HYPERLINK("https://ictv.global/taxonomy/taxondetails?taxnode_id=202214203","ictv.global=202214203")</f>
        <v>ictv.global=202214203</v>
      </c>
    </row>
    <row r="8007" spans="1:21">
      <c r="A8007">
        <v>8006</v>
      </c>
      <c r="B8007" s="29" t="s">
        <v>3223</v>
      </c>
      <c r="C8007" s="29"/>
      <c r="D8007" s="29" t="s">
        <v>4156</v>
      </c>
      <c r="E8007" s="29"/>
      <c r="F8007" s="29" t="s">
        <v>2998</v>
      </c>
      <c r="G8007" s="29" t="s">
        <v>2999</v>
      </c>
      <c r="H8007" s="29" t="s">
        <v>3006</v>
      </c>
      <c r="I8007" s="29"/>
      <c r="J8007" s="29" t="s">
        <v>757</v>
      </c>
      <c r="K8007" s="29"/>
      <c r="L8007" s="29" t="s">
        <v>2131</v>
      </c>
      <c r="M8007" s="29"/>
      <c r="N8007" s="29" t="s">
        <v>4212</v>
      </c>
      <c r="O8007" s="29"/>
      <c r="P8007" s="29" t="s">
        <v>12899</v>
      </c>
      <c r="Q8007" t="s">
        <v>2039</v>
      </c>
      <c r="R8007" t="s">
        <v>2632</v>
      </c>
      <c r="S8007">
        <v>38</v>
      </c>
      <c r="T8007" s="43" t="str">
        <f>HYPERLINK("https://ictv.global/ictv/proposals/2022.014M.Mymonaviridae_13nsp.zip","2022.014M.Mymonaviridae_13nsp.zip")</f>
        <v>2022.014M.Mymonaviridae_13nsp.zip</v>
      </c>
      <c r="U8007" s="43" t="str">
        <f>HYPERLINK("https://ictv.global/taxonomy/taxondetails?taxnode_id=202214205","ictv.global=202214205")</f>
        <v>ictv.global=202214205</v>
      </c>
    </row>
    <row r="8008" spans="1:21">
      <c r="A8008">
        <v>8007</v>
      </c>
      <c r="B8008" s="29" t="s">
        <v>3223</v>
      </c>
      <c r="C8008" s="29"/>
      <c r="D8008" s="29" t="s">
        <v>4156</v>
      </c>
      <c r="E8008" s="29"/>
      <c r="F8008" s="29" t="s">
        <v>2998</v>
      </c>
      <c r="G8008" s="29" t="s">
        <v>2999</v>
      </c>
      <c r="H8008" s="29" t="s">
        <v>3006</v>
      </c>
      <c r="I8008" s="29"/>
      <c r="J8008" s="29" t="s">
        <v>757</v>
      </c>
      <c r="K8008" s="29"/>
      <c r="L8008" s="29" t="s">
        <v>2131</v>
      </c>
      <c r="M8008" s="29"/>
      <c r="N8008" s="29" t="s">
        <v>4212</v>
      </c>
      <c r="O8008" s="29"/>
      <c r="P8008" s="29" t="s">
        <v>6622</v>
      </c>
      <c r="Q8008" t="s">
        <v>2039</v>
      </c>
      <c r="R8008" t="s">
        <v>6902</v>
      </c>
      <c r="S8008">
        <v>36</v>
      </c>
      <c r="T8008" s="43" t="str">
        <f>HYPERLINK("https://ictv.global/ictv/proposals/2020.004F.R.Mymona.zip","2020.004F.R.Mymona.zip;2020.001G.R.Abolish_type_species.pdf")</f>
        <v>2020.004F.R.Mymona.zip;2020.001G.R.Abolish_type_species.pdf</v>
      </c>
      <c r="U8008" s="43" t="str">
        <f>HYPERLINK("https://ictv.global/taxonomy/taxondetails?taxnode_id=202208670","ictv.global=202208670")</f>
        <v>ictv.global=202208670</v>
      </c>
    </row>
    <row r="8009" spans="1:21">
      <c r="A8009">
        <v>8008</v>
      </c>
      <c r="B8009" s="29" t="s">
        <v>3223</v>
      </c>
      <c r="C8009" s="29"/>
      <c r="D8009" s="29" t="s">
        <v>4156</v>
      </c>
      <c r="E8009" s="29"/>
      <c r="F8009" s="29" t="s">
        <v>2998</v>
      </c>
      <c r="G8009" s="29" t="s">
        <v>2999</v>
      </c>
      <c r="H8009" s="29" t="s">
        <v>3006</v>
      </c>
      <c r="I8009" s="29"/>
      <c r="J8009" s="29" t="s">
        <v>757</v>
      </c>
      <c r="K8009" s="29"/>
      <c r="L8009" s="29" t="s">
        <v>2131</v>
      </c>
      <c r="M8009" s="29"/>
      <c r="N8009" s="29" t="s">
        <v>4212</v>
      </c>
      <c r="O8009" s="29"/>
      <c r="P8009" s="29" t="s">
        <v>6623</v>
      </c>
      <c r="Q8009" t="s">
        <v>2039</v>
      </c>
      <c r="R8009" t="s">
        <v>2632</v>
      </c>
      <c r="S8009">
        <v>36</v>
      </c>
      <c r="T8009" s="43" t="str">
        <f>HYPERLINK("https://ictv.global/ictv/proposals/2020.004F.R.Mymona.zip","2020.004F.R.Mymona.zip")</f>
        <v>2020.004F.R.Mymona.zip</v>
      </c>
      <c r="U8009" s="43" t="str">
        <f>HYPERLINK("https://ictv.global/taxonomy/taxondetails?taxnode_id=202208884","ictv.global=202208884")</f>
        <v>ictv.global=202208884</v>
      </c>
    </row>
    <row r="8010" spans="1:21">
      <c r="A8010">
        <v>8009</v>
      </c>
      <c r="B8010" s="29" t="s">
        <v>3223</v>
      </c>
      <c r="C8010" s="29"/>
      <c r="D8010" s="29" t="s">
        <v>4156</v>
      </c>
      <c r="E8010" s="29"/>
      <c r="F8010" s="29" t="s">
        <v>2998</v>
      </c>
      <c r="G8010" s="29" t="s">
        <v>2999</v>
      </c>
      <c r="H8010" s="29" t="s">
        <v>3006</v>
      </c>
      <c r="I8010" s="29"/>
      <c r="J8010" s="29" t="s">
        <v>757</v>
      </c>
      <c r="K8010" s="29"/>
      <c r="L8010" s="29" t="s">
        <v>2131</v>
      </c>
      <c r="M8010" s="29"/>
      <c r="N8010" s="29" t="s">
        <v>4212</v>
      </c>
      <c r="O8010" s="29"/>
      <c r="P8010" s="29" t="s">
        <v>12900</v>
      </c>
      <c r="Q8010" t="s">
        <v>2039</v>
      </c>
      <c r="R8010" t="s">
        <v>2632</v>
      </c>
      <c r="S8010">
        <v>38</v>
      </c>
      <c r="T8010" s="43" t="str">
        <f>HYPERLINK("https://ictv.global/ictv/proposals/2022.014M.Mymonaviridae_13nsp.zip","2022.014M.Mymonaviridae_13nsp.zip")</f>
        <v>2022.014M.Mymonaviridae_13nsp.zip</v>
      </c>
      <c r="U8010" s="43" t="str">
        <f>HYPERLINK("https://ictv.global/taxonomy/taxondetails?taxnode_id=202214204","ictv.global=202214204")</f>
        <v>ictv.global=202214204</v>
      </c>
    </row>
    <row r="8011" spans="1:21">
      <c r="A8011">
        <v>8010</v>
      </c>
      <c r="B8011" s="29" t="s">
        <v>3223</v>
      </c>
      <c r="C8011" s="29"/>
      <c r="D8011" s="29" t="s">
        <v>4156</v>
      </c>
      <c r="E8011" s="29"/>
      <c r="F8011" s="29" t="s">
        <v>2998</v>
      </c>
      <c r="G8011" s="29" t="s">
        <v>2999</v>
      </c>
      <c r="H8011" s="29" t="s">
        <v>3006</v>
      </c>
      <c r="I8011" s="29"/>
      <c r="J8011" s="29" t="s">
        <v>757</v>
      </c>
      <c r="K8011" s="29"/>
      <c r="L8011" s="29" t="s">
        <v>2131</v>
      </c>
      <c r="M8011" s="29"/>
      <c r="N8011" s="29" t="s">
        <v>6624</v>
      </c>
      <c r="O8011" s="29"/>
      <c r="P8011" s="29" t="s">
        <v>12901</v>
      </c>
      <c r="Q8011" t="s">
        <v>2039</v>
      </c>
      <c r="R8011" t="s">
        <v>2632</v>
      </c>
      <c r="S8011">
        <v>38</v>
      </c>
      <c r="T8011" s="43" t="str">
        <f>HYPERLINK("https://ictv.global/ictv/proposals/2022.014M.Mymonaviridae_13nsp.zip","2022.014M.Mymonaviridae_13nsp.zip")</f>
        <v>2022.014M.Mymonaviridae_13nsp.zip</v>
      </c>
      <c r="U8011" s="43" t="str">
        <f>HYPERLINK("https://ictv.global/taxonomy/taxondetails?taxnode_id=202214206","ictv.global=202214206")</f>
        <v>ictv.global=202214206</v>
      </c>
    </row>
    <row r="8012" spans="1:21">
      <c r="A8012">
        <v>8011</v>
      </c>
      <c r="B8012" s="29" t="s">
        <v>3223</v>
      </c>
      <c r="C8012" s="29"/>
      <c r="D8012" s="29" t="s">
        <v>4156</v>
      </c>
      <c r="E8012" s="29"/>
      <c r="F8012" s="29" t="s">
        <v>2998</v>
      </c>
      <c r="G8012" s="29" t="s">
        <v>2999</v>
      </c>
      <c r="H8012" s="29" t="s">
        <v>3006</v>
      </c>
      <c r="I8012" s="29"/>
      <c r="J8012" s="29" t="s">
        <v>757</v>
      </c>
      <c r="K8012" s="29"/>
      <c r="L8012" s="29" t="s">
        <v>2131</v>
      </c>
      <c r="M8012" s="29"/>
      <c r="N8012" s="29" t="s">
        <v>6624</v>
      </c>
      <c r="O8012" s="29"/>
      <c r="P8012" s="29" t="s">
        <v>6625</v>
      </c>
      <c r="Q8012" t="s">
        <v>2039</v>
      </c>
      <c r="R8012" t="s">
        <v>2633</v>
      </c>
      <c r="S8012">
        <v>36</v>
      </c>
      <c r="T8012" s="43" t="str">
        <f>HYPERLINK("https://ictv.global/ictv/proposals/2020.004F.R.Mymona.zip","2020.004F.R.Mymona.zip")</f>
        <v>2020.004F.R.Mymona.zip</v>
      </c>
      <c r="U8012" s="43" t="str">
        <f>HYPERLINK("https://ictv.global/taxonomy/taxondetails?taxnode_id=202208671","ictv.global=202208671")</f>
        <v>ictv.global=202208671</v>
      </c>
    </row>
    <row r="8013" spans="1:21">
      <c r="A8013">
        <v>8012</v>
      </c>
      <c r="B8013" s="29" t="s">
        <v>3223</v>
      </c>
      <c r="C8013" s="29"/>
      <c r="D8013" s="29" t="s">
        <v>4156</v>
      </c>
      <c r="E8013" s="29"/>
      <c r="F8013" s="29" t="s">
        <v>2998</v>
      </c>
      <c r="G8013" s="29" t="s">
        <v>2999</v>
      </c>
      <c r="H8013" s="29" t="s">
        <v>3006</v>
      </c>
      <c r="I8013" s="29"/>
      <c r="J8013" s="29" t="s">
        <v>757</v>
      </c>
      <c r="K8013" s="29"/>
      <c r="L8013" s="29" t="s">
        <v>2131</v>
      </c>
      <c r="M8013" s="29"/>
      <c r="N8013" s="29" t="s">
        <v>6626</v>
      </c>
      <c r="O8013" s="29"/>
      <c r="P8013" s="29" t="s">
        <v>12902</v>
      </c>
      <c r="Q8013" t="s">
        <v>2039</v>
      </c>
      <c r="R8013" t="s">
        <v>2632</v>
      </c>
      <c r="S8013">
        <v>38</v>
      </c>
      <c r="T8013" s="43" t="str">
        <f>HYPERLINK("https://ictv.global/ictv/proposals/2022.014M.Mymonaviridae_13nsp.zip","2022.014M.Mymonaviridae_13nsp.zip")</f>
        <v>2022.014M.Mymonaviridae_13nsp.zip</v>
      </c>
      <c r="U8013" s="43" t="str">
        <f>HYPERLINK("https://ictv.global/taxonomy/taxondetails?taxnode_id=202214208","ictv.global=202214208")</f>
        <v>ictv.global=202214208</v>
      </c>
    </row>
    <row r="8014" spans="1:21">
      <c r="A8014">
        <v>8013</v>
      </c>
      <c r="B8014" s="29" t="s">
        <v>3223</v>
      </c>
      <c r="C8014" s="29"/>
      <c r="D8014" s="29" t="s">
        <v>4156</v>
      </c>
      <c r="E8014" s="29"/>
      <c r="F8014" s="29" t="s">
        <v>2998</v>
      </c>
      <c r="G8014" s="29" t="s">
        <v>2999</v>
      </c>
      <c r="H8014" s="29" t="s">
        <v>3006</v>
      </c>
      <c r="I8014" s="29"/>
      <c r="J8014" s="29" t="s">
        <v>757</v>
      </c>
      <c r="K8014" s="29"/>
      <c r="L8014" s="29" t="s">
        <v>2131</v>
      </c>
      <c r="M8014" s="29"/>
      <c r="N8014" s="29" t="s">
        <v>6626</v>
      </c>
      <c r="O8014" s="29"/>
      <c r="P8014" s="29" t="s">
        <v>6627</v>
      </c>
      <c r="Q8014" t="s">
        <v>2039</v>
      </c>
      <c r="R8014" t="s">
        <v>2632</v>
      </c>
      <c r="S8014">
        <v>36</v>
      </c>
      <c r="T8014" s="43" t="str">
        <f>HYPERLINK("https://ictv.global/ictv/proposals/2020.004F.R.Mymona.zip","2020.004F.R.Mymona.zip")</f>
        <v>2020.004F.R.Mymona.zip</v>
      </c>
      <c r="U8014" s="43" t="str">
        <f>HYPERLINK("https://ictv.global/taxonomy/taxondetails?taxnode_id=202208888","ictv.global=202208888")</f>
        <v>ictv.global=202208888</v>
      </c>
    </row>
    <row r="8015" spans="1:21">
      <c r="A8015">
        <v>8014</v>
      </c>
      <c r="B8015" s="29" t="s">
        <v>3223</v>
      </c>
      <c r="C8015" s="29"/>
      <c r="D8015" s="29" t="s">
        <v>4156</v>
      </c>
      <c r="E8015" s="29"/>
      <c r="F8015" s="29" t="s">
        <v>2998</v>
      </c>
      <c r="G8015" s="29" t="s">
        <v>2999</v>
      </c>
      <c r="H8015" s="29" t="s">
        <v>3006</v>
      </c>
      <c r="I8015" s="29"/>
      <c r="J8015" s="29" t="s">
        <v>757</v>
      </c>
      <c r="K8015" s="29"/>
      <c r="L8015" s="29" t="s">
        <v>2131</v>
      </c>
      <c r="M8015" s="29"/>
      <c r="N8015" s="29" t="s">
        <v>6626</v>
      </c>
      <c r="O8015" s="29"/>
      <c r="P8015" s="29" t="s">
        <v>6628</v>
      </c>
      <c r="Q8015" t="s">
        <v>2039</v>
      </c>
      <c r="R8015" t="s">
        <v>2632</v>
      </c>
      <c r="S8015">
        <v>36</v>
      </c>
      <c r="T8015" s="43" t="str">
        <f>HYPERLINK("https://ictv.global/ictv/proposals/2020.004F.R.Mymona.zip","2020.004F.R.Mymona.zip")</f>
        <v>2020.004F.R.Mymona.zip</v>
      </c>
      <c r="U8015" s="43" t="str">
        <f>HYPERLINK("https://ictv.global/taxonomy/taxondetails?taxnode_id=202208890","ictv.global=202208890")</f>
        <v>ictv.global=202208890</v>
      </c>
    </row>
    <row r="8016" spans="1:21">
      <c r="A8016">
        <v>8015</v>
      </c>
      <c r="B8016" s="29" t="s">
        <v>3223</v>
      </c>
      <c r="C8016" s="29"/>
      <c r="D8016" s="29" t="s">
        <v>4156</v>
      </c>
      <c r="E8016" s="29"/>
      <c r="F8016" s="29" t="s">
        <v>2998</v>
      </c>
      <c r="G8016" s="29" t="s">
        <v>2999</v>
      </c>
      <c r="H8016" s="29" t="s">
        <v>3006</v>
      </c>
      <c r="I8016" s="29"/>
      <c r="J8016" s="29" t="s">
        <v>757</v>
      </c>
      <c r="K8016" s="29"/>
      <c r="L8016" s="29" t="s">
        <v>2131</v>
      </c>
      <c r="M8016" s="29"/>
      <c r="N8016" s="29" t="s">
        <v>6626</v>
      </c>
      <c r="O8016" s="29"/>
      <c r="P8016" s="29" t="s">
        <v>12903</v>
      </c>
      <c r="Q8016" t="s">
        <v>2039</v>
      </c>
      <c r="R8016" t="s">
        <v>2632</v>
      </c>
      <c r="S8016">
        <v>38</v>
      </c>
      <c r="T8016" s="43" t="str">
        <f>HYPERLINK("https://ictv.global/ictv/proposals/2022.014M.Mymonaviridae_13nsp.zip","2022.014M.Mymonaviridae_13nsp.zip")</f>
        <v>2022.014M.Mymonaviridae_13nsp.zip</v>
      </c>
      <c r="U8016" s="43" t="str">
        <f>HYPERLINK("https://ictv.global/taxonomy/taxondetails?taxnode_id=202214209","ictv.global=202214209")</f>
        <v>ictv.global=202214209</v>
      </c>
    </row>
    <row r="8017" spans="1:21">
      <c r="A8017">
        <v>8016</v>
      </c>
      <c r="B8017" s="29" t="s">
        <v>3223</v>
      </c>
      <c r="C8017" s="29"/>
      <c r="D8017" s="29" t="s">
        <v>4156</v>
      </c>
      <c r="E8017" s="29"/>
      <c r="F8017" s="29" t="s">
        <v>2998</v>
      </c>
      <c r="G8017" s="29" t="s">
        <v>2999</v>
      </c>
      <c r="H8017" s="29" t="s">
        <v>3006</v>
      </c>
      <c r="I8017" s="29"/>
      <c r="J8017" s="29" t="s">
        <v>757</v>
      </c>
      <c r="K8017" s="29"/>
      <c r="L8017" s="29" t="s">
        <v>2131</v>
      </c>
      <c r="M8017" s="29"/>
      <c r="N8017" s="29" t="s">
        <v>6626</v>
      </c>
      <c r="O8017" s="29"/>
      <c r="P8017" s="29" t="s">
        <v>6629</v>
      </c>
      <c r="Q8017" t="s">
        <v>2039</v>
      </c>
      <c r="R8017" t="s">
        <v>2632</v>
      </c>
      <c r="S8017">
        <v>36</v>
      </c>
      <c r="T8017" s="43" t="str">
        <f>HYPERLINK("https://ictv.global/ictv/proposals/2020.004F.R.Mymona.zip","2020.004F.R.Mymona.zip")</f>
        <v>2020.004F.R.Mymona.zip</v>
      </c>
      <c r="U8017" s="43" t="str">
        <f>HYPERLINK("https://ictv.global/taxonomy/taxondetails?taxnode_id=202208889","ictv.global=202208889")</f>
        <v>ictv.global=202208889</v>
      </c>
    </row>
    <row r="8018" spans="1:21">
      <c r="A8018">
        <v>8017</v>
      </c>
      <c r="B8018" s="29" t="s">
        <v>3223</v>
      </c>
      <c r="C8018" s="29"/>
      <c r="D8018" s="29" t="s">
        <v>4156</v>
      </c>
      <c r="E8018" s="29"/>
      <c r="F8018" s="29" t="s">
        <v>2998</v>
      </c>
      <c r="G8018" s="29" t="s">
        <v>2999</v>
      </c>
      <c r="H8018" s="29" t="s">
        <v>3006</v>
      </c>
      <c r="I8018" s="29"/>
      <c r="J8018" s="29" t="s">
        <v>757</v>
      </c>
      <c r="K8018" s="29"/>
      <c r="L8018" s="29" t="s">
        <v>2131</v>
      </c>
      <c r="M8018" s="29"/>
      <c r="N8018" s="29" t="s">
        <v>6626</v>
      </c>
      <c r="O8018" s="29"/>
      <c r="P8018" s="29" t="s">
        <v>6630</v>
      </c>
      <c r="Q8018" t="s">
        <v>2039</v>
      </c>
      <c r="R8018" t="s">
        <v>2632</v>
      </c>
      <c r="S8018">
        <v>36</v>
      </c>
      <c r="T8018" s="43" t="str">
        <f>HYPERLINK("https://ictv.global/ictv/proposals/2020.004F.R.Mymona.zip","2020.004F.R.Mymona.zip")</f>
        <v>2020.004F.R.Mymona.zip</v>
      </c>
      <c r="U8018" s="43" t="str">
        <f>HYPERLINK("https://ictv.global/taxonomy/taxondetails?taxnode_id=202208891","ictv.global=202208891")</f>
        <v>ictv.global=202208891</v>
      </c>
    </row>
    <row r="8019" spans="1:21">
      <c r="A8019">
        <v>8018</v>
      </c>
      <c r="B8019" s="29" t="s">
        <v>3223</v>
      </c>
      <c r="C8019" s="29"/>
      <c r="D8019" s="29" t="s">
        <v>4156</v>
      </c>
      <c r="E8019" s="29"/>
      <c r="F8019" s="29" t="s">
        <v>2998</v>
      </c>
      <c r="G8019" s="29" t="s">
        <v>2999</v>
      </c>
      <c r="H8019" s="29" t="s">
        <v>3006</v>
      </c>
      <c r="I8019" s="29"/>
      <c r="J8019" s="29" t="s">
        <v>757</v>
      </c>
      <c r="K8019" s="29"/>
      <c r="L8019" s="29" t="s">
        <v>2131</v>
      </c>
      <c r="M8019" s="29"/>
      <c r="N8019" s="29" t="s">
        <v>6626</v>
      </c>
      <c r="O8019" s="29"/>
      <c r="P8019" s="29" t="s">
        <v>6631</v>
      </c>
      <c r="Q8019" t="s">
        <v>2039</v>
      </c>
      <c r="R8019" t="s">
        <v>2632</v>
      </c>
      <c r="S8019">
        <v>36</v>
      </c>
      <c r="T8019" s="43" t="str">
        <f>HYPERLINK("https://ictv.global/ictv/proposals/2020.004F.R.Mymona.zip","2020.004F.R.Mymona.zip")</f>
        <v>2020.004F.R.Mymona.zip</v>
      </c>
      <c r="U8019" s="43" t="str">
        <f>HYPERLINK("https://ictv.global/taxonomy/taxondetails?taxnode_id=202208893","ictv.global=202208893")</f>
        <v>ictv.global=202208893</v>
      </c>
    </row>
    <row r="8020" spans="1:21">
      <c r="A8020">
        <v>8019</v>
      </c>
      <c r="B8020" s="29" t="s">
        <v>3223</v>
      </c>
      <c r="C8020" s="29"/>
      <c r="D8020" s="29" t="s">
        <v>4156</v>
      </c>
      <c r="E8020" s="29"/>
      <c r="F8020" s="29" t="s">
        <v>2998</v>
      </c>
      <c r="G8020" s="29" t="s">
        <v>2999</v>
      </c>
      <c r="H8020" s="29" t="s">
        <v>3006</v>
      </c>
      <c r="I8020" s="29"/>
      <c r="J8020" s="29" t="s">
        <v>757</v>
      </c>
      <c r="K8020" s="29"/>
      <c r="L8020" s="29" t="s">
        <v>2131</v>
      </c>
      <c r="M8020" s="29"/>
      <c r="N8020" s="29" t="s">
        <v>6626</v>
      </c>
      <c r="O8020" s="29"/>
      <c r="P8020" s="29" t="s">
        <v>6632</v>
      </c>
      <c r="Q8020" t="s">
        <v>2039</v>
      </c>
      <c r="R8020" t="s">
        <v>2632</v>
      </c>
      <c r="S8020">
        <v>36</v>
      </c>
      <c r="T8020" s="43" t="str">
        <f>HYPERLINK("https://ictv.global/ictv/proposals/2020.004F.R.Mymona.zip","2020.004F.R.Mymona.zip")</f>
        <v>2020.004F.R.Mymona.zip</v>
      </c>
      <c r="U8020" s="43" t="str">
        <f>HYPERLINK("https://ictv.global/taxonomy/taxondetails?taxnode_id=202208894","ictv.global=202208894")</f>
        <v>ictv.global=202208894</v>
      </c>
    </row>
    <row r="8021" spans="1:21">
      <c r="A8021">
        <v>8020</v>
      </c>
      <c r="B8021" s="29" t="s">
        <v>3223</v>
      </c>
      <c r="C8021" s="29"/>
      <c r="D8021" s="29" t="s">
        <v>4156</v>
      </c>
      <c r="E8021" s="29"/>
      <c r="F8021" s="29" t="s">
        <v>2998</v>
      </c>
      <c r="G8021" s="29" t="s">
        <v>2999</v>
      </c>
      <c r="H8021" s="29" t="s">
        <v>3006</v>
      </c>
      <c r="I8021" s="29"/>
      <c r="J8021" s="29" t="s">
        <v>757</v>
      </c>
      <c r="K8021" s="29"/>
      <c r="L8021" s="29" t="s">
        <v>2131</v>
      </c>
      <c r="M8021" s="29"/>
      <c r="N8021" s="29" t="s">
        <v>6626</v>
      </c>
      <c r="O8021" s="29"/>
      <c r="P8021" s="29" t="s">
        <v>6633</v>
      </c>
      <c r="Q8021" t="s">
        <v>2039</v>
      </c>
      <c r="R8021" t="s">
        <v>2632</v>
      </c>
      <c r="S8021">
        <v>36</v>
      </c>
      <c r="T8021" s="43" t="str">
        <f>HYPERLINK("https://ictv.global/ictv/proposals/2020.004F.R.Mymona.zip","2020.004F.R.Mymona.zip")</f>
        <v>2020.004F.R.Mymona.zip</v>
      </c>
      <c r="U8021" s="43" t="str">
        <f>HYPERLINK("https://ictv.global/taxonomy/taxondetails?taxnode_id=202208896","ictv.global=202208896")</f>
        <v>ictv.global=202208896</v>
      </c>
    </row>
    <row r="8022" spans="1:21">
      <c r="A8022">
        <v>8021</v>
      </c>
      <c r="B8022" s="29" t="s">
        <v>3223</v>
      </c>
      <c r="C8022" s="29"/>
      <c r="D8022" s="29" t="s">
        <v>4156</v>
      </c>
      <c r="E8022" s="29"/>
      <c r="F8022" s="29" t="s">
        <v>2998</v>
      </c>
      <c r="G8022" s="29" t="s">
        <v>2999</v>
      </c>
      <c r="H8022" s="29" t="s">
        <v>3006</v>
      </c>
      <c r="I8022" s="29"/>
      <c r="J8022" s="29" t="s">
        <v>757</v>
      </c>
      <c r="K8022" s="29"/>
      <c r="L8022" s="29" t="s">
        <v>2131</v>
      </c>
      <c r="M8022" s="29"/>
      <c r="N8022" s="29" t="s">
        <v>6626</v>
      </c>
      <c r="O8022" s="29"/>
      <c r="P8022" s="29" t="s">
        <v>12904</v>
      </c>
      <c r="Q8022" t="s">
        <v>2039</v>
      </c>
      <c r="R8022" t="s">
        <v>2632</v>
      </c>
      <c r="S8022">
        <v>38</v>
      </c>
      <c r="T8022" s="43" t="str">
        <f>HYPERLINK("https://ictv.global/ictv/proposals/2022.014M.Mymonaviridae_13nsp.zip","2022.014M.Mymonaviridae_13nsp.zip")</f>
        <v>2022.014M.Mymonaviridae_13nsp.zip</v>
      </c>
      <c r="U8022" s="43" t="str">
        <f>HYPERLINK("https://ictv.global/taxonomy/taxondetails?taxnode_id=202214210","ictv.global=202214210")</f>
        <v>ictv.global=202214210</v>
      </c>
    </row>
    <row r="8023" spans="1:21">
      <c r="A8023">
        <v>8022</v>
      </c>
      <c r="B8023" s="29" t="s">
        <v>3223</v>
      </c>
      <c r="C8023" s="29"/>
      <c r="D8023" s="29" t="s">
        <v>4156</v>
      </c>
      <c r="E8023" s="29"/>
      <c r="F8023" s="29" t="s">
        <v>2998</v>
      </c>
      <c r="G8023" s="29" t="s">
        <v>2999</v>
      </c>
      <c r="H8023" s="29" t="s">
        <v>3006</v>
      </c>
      <c r="I8023" s="29"/>
      <c r="J8023" s="29" t="s">
        <v>757</v>
      </c>
      <c r="K8023" s="29"/>
      <c r="L8023" s="29" t="s">
        <v>2131</v>
      </c>
      <c r="M8023" s="29"/>
      <c r="N8023" s="29" t="s">
        <v>6626</v>
      </c>
      <c r="O8023" s="29"/>
      <c r="P8023" s="29" t="s">
        <v>6634</v>
      </c>
      <c r="Q8023" t="s">
        <v>2039</v>
      </c>
      <c r="R8023" t="s">
        <v>2632</v>
      </c>
      <c r="S8023">
        <v>36</v>
      </c>
      <c r="T8023" s="43" t="str">
        <f>HYPERLINK("https://ictv.global/ictv/proposals/2020.004F.R.Mymona.zip","2020.004F.R.Mymona.zip")</f>
        <v>2020.004F.R.Mymona.zip</v>
      </c>
      <c r="U8023" s="43" t="str">
        <f>HYPERLINK("https://ictv.global/taxonomy/taxondetails?taxnode_id=202208892","ictv.global=202208892")</f>
        <v>ictv.global=202208892</v>
      </c>
    </row>
    <row r="8024" spans="1:21">
      <c r="A8024">
        <v>8023</v>
      </c>
      <c r="B8024" s="29" t="s">
        <v>3223</v>
      </c>
      <c r="C8024" s="29"/>
      <c r="D8024" s="29" t="s">
        <v>4156</v>
      </c>
      <c r="E8024" s="29"/>
      <c r="F8024" s="29" t="s">
        <v>2998</v>
      </c>
      <c r="G8024" s="29" t="s">
        <v>2999</v>
      </c>
      <c r="H8024" s="29" t="s">
        <v>3006</v>
      </c>
      <c r="I8024" s="29"/>
      <c r="J8024" s="29" t="s">
        <v>757</v>
      </c>
      <c r="K8024" s="29"/>
      <c r="L8024" s="29" t="s">
        <v>2131</v>
      </c>
      <c r="M8024" s="29"/>
      <c r="N8024" s="29" t="s">
        <v>6626</v>
      </c>
      <c r="O8024" s="29"/>
      <c r="P8024" s="29" t="s">
        <v>6635</v>
      </c>
      <c r="Q8024" t="s">
        <v>2039</v>
      </c>
      <c r="R8024" t="s">
        <v>2632</v>
      </c>
      <c r="S8024">
        <v>36</v>
      </c>
      <c r="T8024" s="43" t="str">
        <f>HYPERLINK("https://ictv.global/ictv/proposals/2020.004F.R.Mymona.zip","2020.004F.R.Mymona.zip")</f>
        <v>2020.004F.R.Mymona.zip</v>
      </c>
      <c r="U8024" s="43" t="str">
        <f>HYPERLINK("https://ictv.global/taxonomy/taxondetails?taxnode_id=202208897","ictv.global=202208897")</f>
        <v>ictv.global=202208897</v>
      </c>
    </row>
    <row r="8025" spans="1:21">
      <c r="A8025">
        <v>8024</v>
      </c>
      <c r="B8025" s="29" t="s">
        <v>3223</v>
      </c>
      <c r="C8025" s="29"/>
      <c r="D8025" s="29" t="s">
        <v>4156</v>
      </c>
      <c r="E8025" s="29"/>
      <c r="F8025" s="29" t="s">
        <v>2998</v>
      </c>
      <c r="G8025" s="29" t="s">
        <v>2999</v>
      </c>
      <c r="H8025" s="29" t="s">
        <v>3006</v>
      </c>
      <c r="I8025" s="29"/>
      <c r="J8025" s="29" t="s">
        <v>757</v>
      </c>
      <c r="K8025" s="29"/>
      <c r="L8025" s="29" t="s">
        <v>2131</v>
      </c>
      <c r="M8025" s="29"/>
      <c r="N8025" s="29" t="s">
        <v>6626</v>
      </c>
      <c r="O8025" s="29"/>
      <c r="P8025" s="29" t="s">
        <v>12905</v>
      </c>
      <c r="Q8025" t="s">
        <v>2039</v>
      </c>
      <c r="R8025" t="s">
        <v>2632</v>
      </c>
      <c r="S8025">
        <v>38</v>
      </c>
      <c r="T8025" s="43" t="str">
        <f>HYPERLINK("https://ictv.global/ictv/proposals/2022.014M.Mymonaviridae_13nsp.zip","2022.014M.Mymonaviridae_13nsp.zip")</f>
        <v>2022.014M.Mymonaviridae_13nsp.zip</v>
      </c>
      <c r="U8025" s="43" t="str">
        <f>HYPERLINK("https://ictv.global/taxonomy/taxondetails?taxnode_id=202214207","ictv.global=202214207")</f>
        <v>ictv.global=202214207</v>
      </c>
    </row>
    <row r="8026" spans="1:21">
      <c r="A8026">
        <v>8025</v>
      </c>
      <c r="B8026" s="29" t="s">
        <v>3223</v>
      </c>
      <c r="C8026" s="29"/>
      <c r="D8026" s="29" t="s">
        <v>4156</v>
      </c>
      <c r="E8026" s="29"/>
      <c r="F8026" s="29" t="s">
        <v>2998</v>
      </c>
      <c r="G8026" s="29" t="s">
        <v>2999</v>
      </c>
      <c r="H8026" s="29" t="s">
        <v>3006</v>
      </c>
      <c r="I8026" s="29"/>
      <c r="J8026" s="29" t="s">
        <v>757</v>
      </c>
      <c r="K8026" s="29"/>
      <c r="L8026" s="29" t="s">
        <v>2131</v>
      </c>
      <c r="M8026" s="29"/>
      <c r="N8026" s="29" t="s">
        <v>6626</v>
      </c>
      <c r="O8026" s="29"/>
      <c r="P8026" s="29" t="s">
        <v>6636</v>
      </c>
      <c r="Q8026" t="s">
        <v>2039</v>
      </c>
      <c r="R8026" t="s">
        <v>2632</v>
      </c>
      <c r="S8026">
        <v>36</v>
      </c>
      <c r="T8026" s="43" t="str">
        <f>HYPERLINK("https://ictv.global/ictv/proposals/2020.004F.R.Mymona.zip","2020.004F.R.Mymona.zip")</f>
        <v>2020.004F.R.Mymona.zip</v>
      </c>
      <c r="U8026" s="43" t="str">
        <f>HYPERLINK("https://ictv.global/taxonomy/taxondetails?taxnode_id=202208895","ictv.global=202208895")</f>
        <v>ictv.global=202208895</v>
      </c>
    </row>
    <row r="8027" spans="1:21">
      <c r="A8027">
        <v>8026</v>
      </c>
      <c r="B8027" s="29" t="s">
        <v>3223</v>
      </c>
      <c r="C8027" s="29"/>
      <c r="D8027" s="29" t="s">
        <v>4156</v>
      </c>
      <c r="E8027" s="29"/>
      <c r="F8027" s="29" t="s">
        <v>2998</v>
      </c>
      <c r="G8027" s="29" t="s">
        <v>2999</v>
      </c>
      <c r="H8027" s="29" t="s">
        <v>3006</v>
      </c>
      <c r="I8027" s="29"/>
      <c r="J8027" s="29" t="s">
        <v>757</v>
      </c>
      <c r="K8027" s="29"/>
      <c r="L8027" s="29" t="s">
        <v>2131</v>
      </c>
      <c r="M8027" s="29"/>
      <c r="N8027" s="29" t="s">
        <v>6637</v>
      </c>
      <c r="O8027" s="29"/>
      <c r="P8027" s="29" t="s">
        <v>6638</v>
      </c>
      <c r="Q8027" t="s">
        <v>2039</v>
      </c>
      <c r="R8027" t="s">
        <v>2632</v>
      </c>
      <c r="S8027">
        <v>36</v>
      </c>
      <c r="T8027" s="43" t="str">
        <f>HYPERLINK("https://ictv.global/ictv/proposals/2020.004F.R.Mymona.zip","2020.004F.R.Mymona.zip")</f>
        <v>2020.004F.R.Mymona.zip</v>
      </c>
      <c r="U8027" s="43" t="str">
        <f>HYPERLINK("https://ictv.global/taxonomy/taxondetails?taxnode_id=202208903","ictv.global=202208903")</f>
        <v>ictv.global=202208903</v>
      </c>
    </row>
    <row r="8028" spans="1:21">
      <c r="A8028">
        <v>8027</v>
      </c>
      <c r="B8028" s="29" t="s">
        <v>3223</v>
      </c>
      <c r="C8028" s="29"/>
      <c r="D8028" s="29" t="s">
        <v>4156</v>
      </c>
      <c r="E8028" s="29"/>
      <c r="F8028" s="29" t="s">
        <v>2998</v>
      </c>
      <c r="G8028" s="29" t="s">
        <v>2999</v>
      </c>
      <c r="H8028" s="29" t="s">
        <v>3006</v>
      </c>
      <c r="I8028" s="29"/>
      <c r="J8028" s="29" t="s">
        <v>757</v>
      </c>
      <c r="K8028" s="29"/>
      <c r="L8028" s="29" t="s">
        <v>2131</v>
      </c>
      <c r="M8028" s="29"/>
      <c r="N8028" s="29" t="s">
        <v>6637</v>
      </c>
      <c r="O8028" s="29"/>
      <c r="P8028" s="29" t="s">
        <v>6639</v>
      </c>
      <c r="Q8028" t="s">
        <v>2039</v>
      </c>
      <c r="R8028" t="s">
        <v>2633</v>
      </c>
      <c r="S8028">
        <v>36</v>
      </c>
      <c r="T8028" s="43" t="str">
        <f>HYPERLINK("https://ictv.global/ictv/proposals/2020.004F.R.Mymona.zip","2020.004F.R.Mymona.zip")</f>
        <v>2020.004F.R.Mymona.zip</v>
      </c>
      <c r="U8028" s="43" t="str">
        <f>HYPERLINK("https://ictv.global/taxonomy/taxondetails?taxnode_id=202206245","ictv.global=202206245")</f>
        <v>ictv.global=202206245</v>
      </c>
    </row>
    <row r="8029" spans="1:21">
      <c r="A8029">
        <v>8028</v>
      </c>
      <c r="B8029" s="29" t="s">
        <v>3223</v>
      </c>
      <c r="C8029" s="29"/>
      <c r="D8029" s="29" t="s">
        <v>4156</v>
      </c>
      <c r="E8029" s="29"/>
      <c r="F8029" s="29" t="s">
        <v>2998</v>
      </c>
      <c r="G8029" s="29" t="s">
        <v>2999</v>
      </c>
      <c r="H8029" s="29" t="s">
        <v>3006</v>
      </c>
      <c r="I8029" s="29"/>
      <c r="J8029" s="29" t="s">
        <v>757</v>
      </c>
      <c r="K8029" s="29"/>
      <c r="L8029" s="29" t="s">
        <v>2131</v>
      </c>
      <c r="M8029" s="29"/>
      <c r="N8029" s="29" t="s">
        <v>6640</v>
      </c>
      <c r="O8029" s="29"/>
      <c r="P8029" s="29" t="s">
        <v>12906</v>
      </c>
      <c r="Q8029" t="s">
        <v>2039</v>
      </c>
      <c r="R8029" t="s">
        <v>2632</v>
      </c>
      <c r="S8029">
        <v>38</v>
      </c>
      <c r="T8029" s="43" t="str">
        <f>HYPERLINK("https://ictv.global/ictv/proposals/2022.014M.Mymonaviridae_13nsp.zip","2022.014M.Mymonaviridae_13nsp.zip")</f>
        <v>2022.014M.Mymonaviridae_13nsp.zip</v>
      </c>
      <c r="U8029" s="43" t="str">
        <f>HYPERLINK("https://ictv.global/taxonomy/taxondetails?taxnode_id=202214211","ictv.global=202214211")</f>
        <v>ictv.global=202214211</v>
      </c>
    </row>
    <row r="8030" spans="1:21">
      <c r="A8030">
        <v>8029</v>
      </c>
      <c r="B8030" s="29" t="s">
        <v>3223</v>
      </c>
      <c r="C8030" s="29"/>
      <c r="D8030" s="29" t="s">
        <v>4156</v>
      </c>
      <c r="E8030" s="29"/>
      <c r="F8030" s="29" t="s">
        <v>2998</v>
      </c>
      <c r="G8030" s="29" t="s">
        <v>2999</v>
      </c>
      <c r="H8030" s="29" t="s">
        <v>3006</v>
      </c>
      <c r="I8030" s="29"/>
      <c r="J8030" s="29" t="s">
        <v>757</v>
      </c>
      <c r="K8030" s="29"/>
      <c r="L8030" s="29" t="s">
        <v>2131</v>
      </c>
      <c r="M8030" s="29"/>
      <c r="N8030" s="29" t="s">
        <v>6640</v>
      </c>
      <c r="O8030" s="29"/>
      <c r="P8030" s="29" t="s">
        <v>6641</v>
      </c>
      <c r="Q8030" t="s">
        <v>2039</v>
      </c>
      <c r="R8030" t="s">
        <v>2632</v>
      </c>
      <c r="S8030">
        <v>36</v>
      </c>
      <c r="T8030" s="43" t="str">
        <f>HYPERLINK("https://ictv.global/ictv/proposals/2020.004F.R.Mymona.zip","2020.004F.R.Mymona.zip")</f>
        <v>2020.004F.R.Mymona.zip</v>
      </c>
      <c r="U8030" s="43" t="str">
        <f>HYPERLINK("https://ictv.global/taxonomy/taxondetails?taxnode_id=202208899","ictv.global=202208899")</f>
        <v>ictv.global=202208899</v>
      </c>
    </row>
    <row r="8031" spans="1:21">
      <c r="A8031">
        <v>8030</v>
      </c>
      <c r="B8031" s="29" t="s">
        <v>3223</v>
      </c>
      <c r="C8031" s="29"/>
      <c r="D8031" s="29" t="s">
        <v>4156</v>
      </c>
      <c r="E8031" s="29"/>
      <c r="F8031" s="29" t="s">
        <v>2998</v>
      </c>
      <c r="G8031" s="29" t="s">
        <v>2999</v>
      </c>
      <c r="H8031" s="29" t="s">
        <v>3006</v>
      </c>
      <c r="I8031" s="29"/>
      <c r="J8031" s="29" t="s">
        <v>757</v>
      </c>
      <c r="K8031" s="29"/>
      <c r="L8031" s="29" t="s">
        <v>2131</v>
      </c>
      <c r="M8031" s="29"/>
      <c r="N8031" s="29" t="s">
        <v>6642</v>
      </c>
      <c r="O8031" s="29"/>
      <c r="P8031" s="29" t="s">
        <v>6643</v>
      </c>
      <c r="Q8031" t="s">
        <v>2039</v>
      </c>
      <c r="R8031" t="s">
        <v>2632</v>
      </c>
      <c r="S8031">
        <v>36</v>
      </c>
      <c r="T8031" s="43" t="str">
        <f>HYPERLINK("https://ictv.global/ictv/proposals/2020.004F.R.Mymona.zip","2020.004F.R.Mymona.zip")</f>
        <v>2020.004F.R.Mymona.zip</v>
      </c>
      <c r="U8031" s="43" t="str">
        <f>HYPERLINK("https://ictv.global/taxonomy/taxondetails?taxnode_id=202208905","ictv.global=202208905")</f>
        <v>ictv.global=202208905</v>
      </c>
    </row>
    <row r="8032" spans="1:21">
      <c r="A8032">
        <v>8031</v>
      </c>
      <c r="B8032" s="29" t="s">
        <v>3223</v>
      </c>
      <c r="C8032" s="29"/>
      <c r="D8032" s="29" t="s">
        <v>4156</v>
      </c>
      <c r="E8032" s="29"/>
      <c r="F8032" s="29" t="s">
        <v>2998</v>
      </c>
      <c r="G8032" s="29" t="s">
        <v>2999</v>
      </c>
      <c r="H8032" s="29" t="s">
        <v>3006</v>
      </c>
      <c r="I8032" s="29"/>
      <c r="J8032" s="29" t="s">
        <v>757</v>
      </c>
      <c r="K8032" s="29"/>
      <c r="L8032" s="29" t="s">
        <v>2131</v>
      </c>
      <c r="M8032" s="29"/>
      <c r="N8032" s="29" t="s">
        <v>2132</v>
      </c>
      <c r="O8032" s="29"/>
      <c r="P8032" s="29" t="s">
        <v>12907</v>
      </c>
      <c r="Q8032" t="s">
        <v>2039</v>
      </c>
      <c r="R8032" t="s">
        <v>2632</v>
      </c>
      <c r="S8032">
        <v>37</v>
      </c>
      <c r="T8032" s="43" t="str">
        <f>HYPERLINK("https://ictv.global/ictv/proposals/2021.041M.R.Mymonaviridae_5nsp.zip","2021.041M.R.Mymonaviridae_5nsp.zip")</f>
        <v>2021.041M.R.Mymonaviridae_5nsp.zip</v>
      </c>
      <c r="U8032" s="43" t="str">
        <f>HYPERLINK("https://ictv.global/taxonomy/taxondetails?taxnode_id=202212962","ictv.global=202212962")</f>
        <v>ictv.global=202212962</v>
      </c>
    </row>
    <row r="8033" spans="1:21">
      <c r="A8033">
        <v>8032</v>
      </c>
      <c r="B8033" s="29" t="s">
        <v>3223</v>
      </c>
      <c r="C8033" s="29"/>
      <c r="D8033" s="29" t="s">
        <v>4156</v>
      </c>
      <c r="E8033" s="29"/>
      <c r="F8033" s="29" t="s">
        <v>2998</v>
      </c>
      <c r="G8033" s="29" t="s">
        <v>2999</v>
      </c>
      <c r="H8033" s="29" t="s">
        <v>3006</v>
      </c>
      <c r="I8033" s="29"/>
      <c r="J8033" s="29" t="s">
        <v>757</v>
      </c>
      <c r="K8033" s="29"/>
      <c r="L8033" s="29" t="s">
        <v>2131</v>
      </c>
      <c r="M8033" s="29"/>
      <c r="N8033" s="29" t="s">
        <v>2132</v>
      </c>
      <c r="O8033" s="29"/>
      <c r="P8033" s="29" t="s">
        <v>6644</v>
      </c>
      <c r="Q8033" t="s">
        <v>2039</v>
      </c>
      <c r="R8033" t="s">
        <v>2632</v>
      </c>
      <c r="S8033">
        <v>36</v>
      </c>
      <c r="T8033" s="43" t="str">
        <f>HYPERLINK("https://ictv.global/ictv/proposals/2020.004F.R.Mymona.zip","2020.004F.R.Mymona.zip")</f>
        <v>2020.004F.R.Mymona.zip</v>
      </c>
      <c r="U8033" s="43" t="str">
        <f>HYPERLINK("https://ictv.global/taxonomy/taxondetails?taxnode_id=202208882","ictv.global=202208882")</f>
        <v>ictv.global=202208882</v>
      </c>
    </row>
    <row r="8034" spans="1:21">
      <c r="A8034">
        <v>8033</v>
      </c>
      <c r="B8034" s="29" t="s">
        <v>3223</v>
      </c>
      <c r="C8034" s="29"/>
      <c r="D8034" s="29" t="s">
        <v>4156</v>
      </c>
      <c r="E8034" s="29"/>
      <c r="F8034" s="29" t="s">
        <v>2998</v>
      </c>
      <c r="G8034" s="29" t="s">
        <v>2999</v>
      </c>
      <c r="H8034" s="29" t="s">
        <v>3006</v>
      </c>
      <c r="I8034" s="29"/>
      <c r="J8034" s="29" t="s">
        <v>757</v>
      </c>
      <c r="K8034" s="29"/>
      <c r="L8034" s="29" t="s">
        <v>2131</v>
      </c>
      <c r="M8034" s="29"/>
      <c r="N8034" s="29" t="s">
        <v>2132</v>
      </c>
      <c r="O8034" s="29"/>
      <c r="P8034" s="29" t="s">
        <v>6645</v>
      </c>
      <c r="Q8034" t="s">
        <v>2039</v>
      </c>
      <c r="R8034" t="s">
        <v>2632</v>
      </c>
      <c r="S8034">
        <v>36</v>
      </c>
      <c r="T8034" s="43" t="str">
        <f>HYPERLINK("https://ictv.global/ictv/proposals/2020.004F.R.Mymona.zip","2020.004F.R.Mymona.zip")</f>
        <v>2020.004F.R.Mymona.zip</v>
      </c>
      <c r="U8034" s="43" t="str">
        <f>HYPERLINK("https://ictv.global/taxonomy/taxondetails?taxnode_id=202208879","ictv.global=202208879")</f>
        <v>ictv.global=202208879</v>
      </c>
    </row>
    <row r="8035" spans="1:21">
      <c r="A8035">
        <v>8034</v>
      </c>
      <c r="B8035" s="29" t="s">
        <v>3223</v>
      </c>
      <c r="C8035" s="29"/>
      <c r="D8035" s="29" t="s">
        <v>4156</v>
      </c>
      <c r="E8035" s="29"/>
      <c r="F8035" s="29" t="s">
        <v>2998</v>
      </c>
      <c r="G8035" s="29" t="s">
        <v>2999</v>
      </c>
      <c r="H8035" s="29" t="s">
        <v>3006</v>
      </c>
      <c r="I8035" s="29"/>
      <c r="J8035" s="29" t="s">
        <v>757</v>
      </c>
      <c r="K8035" s="29"/>
      <c r="L8035" s="29" t="s">
        <v>2131</v>
      </c>
      <c r="M8035" s="29"/>
      <c r="N8035" s="29" t="s">
        <v>2132</v>
      </c>
      <c r="O8035" s="29"/>
      <c r="P8035" s="29" t="s">
        <v>6646</v>
      </c>
      <c r="Q8035" t="s">
        <v>2039</v>
      </c>
      <c r="R8035" t="s">
        <v>2632</v>
      </c>
      <c r="S8035">
        <v>36</v>
      </c>
      <c r="T8035" s="43" t="str">
        <f>HYPERLINK("https://ictv.global/ictv/proposals/2020.004F.R.Mymona.zip","2020.004F.R.Mymona.zip")</f>
        <v>2020.004F.R.Mymona.zip</v>
      </c>
      <c r="U8035" s="43" t="str">
        <f>HYPERLINK("https://ictv.global/taxonomy/taxondetails?taxnode_id=202208876","ictv.global=202208876")</f>
        <v>ictv.global=202208876</v>
      </c>
    </row>
    <row r="8036" spans="1:21">
      <c r="A8036">
        <v>8035</v>
      </c>
      <c r="B8036" s="29" t="s">
        <v>3223</v>
      </c>
      <c r="C8036" s="29"/>
      <c r="D8036" s="29" t="s">
        <v>4156</v>
      </c>
      <c r="E8036" s="29"/>
      <c r="F8036" s="29" t="s">
        <v>2998</v>
      </c>
      <c r="G8036" s="29" t="s">
        <v>2999</v>
      </c>
      <c r="H8036" s="29" t="s">
        <v>3006</v>
      </c>
      <c r="I8036" s="29"/>
      <c r="J8036" s="29" t="s">
        <v>757</v>
      </c>
      <c r="K8036" s="29"/>
      <c r="L8036" s="29" t="s">
        <v>2131</v>
      </c>
      <c r="M8036" s="29"/>
      <c r="N8036" s="29" t="s">
        <v>2132</v>
      </c>
      <c r="O8036" s="29"/>
      <c r="P8036" s="29" t="s">
        <v>12908</v>
      </c>
      <c r="Q8036" t="s">
        <v>2039</v>
      </c>
      <c r="R8036" t="s">
        <v>2632</v>
      </c>
      <c r="S8036">
        <v>38</v>
      </c>
      <c r="T8036" s="43" t="str">
        <f>HYPERLINK("https://ictv.global/ictv/proposals/2022.014M.Mymonaviridae_13nsp.zip","2022.014M.Mymonaviridae_13nsp.zip")</f>
        <v>2022.014M.Mymonaviridae_13nsp.zip</v>
      </c>
      <c r="U8036" s="43" t="str">
        <f>HYPERLINK("https://ictv.global/taxonomy/taxondetails?taxnode_id=202214212","ictv.global=202214212")</f>
        <v>ictv.global=202214212</v>
      </c>
    </row>
    <row r="8037" spans="1:21">
      <c r="A8037">
        <v>8036</v>
      </c>
      <c r="B8037" s="29" t="s">
        <v>3223</v>
      </c>
      <c r="C8037" s="29"/>
      <c r="D8037" s="29" t="s">
        <v>4156</v>
      </c>
      <c r="E8037" s="29"/>
      <c r="F8037" s="29" t="s">
        <v>2998</v>
      </c>
      <c r="G8037" s="29" t="s">
        <v>2999</v>
      </c>
      <c r="H8037" s="29" t="s">
        <v>3006</v>
      </c>
      <c r="I8037" s="29"/>
      <c r="J8037" s="29" t="s">
        <v>757</v>
      </c>
      <c r="K8037" s="29"/>
      <c r="L8037" s="29" t="s">
        <v>2131</v>
      </c>
      <c r="M8037" s="29"/>
      <c r="N8037" s="29" t="s">
        <v>2132</v>
      </c>
      <c r="O8037" s="29"/>
      <c r="P8037" s="29" t="s">
        <v>12909</v>
      </c>
      <c r="Q8037" t="s">
        <v>2039</v>
      </c>
      <c r="R8037" t="s">
        <v>2632</v>
      </c>
      <c r="S8037">
        <v>37</v>
      </c>
      <c r="T8037" s="43" t="str">
        <f>HYPERLINK("https://ictv.global/ictv/proposals/2021.041M.R.Mymonaviridae_5nsp.zip","2021.041M.R.Mymonaviridae_5nsp.zip")</f>
        <v>2021.041M.R.Mymonaviridae_5nsp.zip</v>
      </c>
      <c r="U8037" s="43" t="str">
        <f>HYPERLINK("https://ictv.global/taxonomy/taxondetails?taxnode_id=202212963","ictv.global=202212963")</f>
        <v>ictv.global=202212963</v>
      </c>
    </row>
    <row r="8038" spans="1:21">
      <c r="A8038">
        <v>8037</v>
      </c>
      <c r="B8038" s="29" t="s">
        <v>3223</v>
      </c>
      <c r="C8038" s="29"/>
      <c r="D8038" s="29" t="s">
        <v>4156</v>
      </c>
      <c r="E8038" s="29"/>
      <c r="F8038" s="29" t="s">
        <v>2998</v>
      </c>
      <c r="G8038" s="29" t="s">
        <v>2999</v>
      </c>
      <c r="H8038" s="29" t="s">
        <v>3006</v>
      </c>
      <c r="I8038" s="29"/>
      <c r="J8038" s="29" t="s">
        <v>757</v>
      </c>
      <c r="K8038" s="29"/>
      <c r="L8038" s="29" t="s">
        <v>2131</v>
      </c>
      <c r="M8038" s="29"/>
      <c r="N8038" s="29" t="s">
        <v>2132</v>
      </c>
      <c r="O8038" s="29"/>
      <c r="P8038" s="29" t="s">
        <v>6647</v>
      </c>
      <c r="Q8038" t="s">
        <v>2039</v>
      </c>
      <c r="R8038" t="s">
        <v>2632</v>
      </c>
      <c r="S8038">
        <v>36</v>
      </c>
      <c r="T8038" s="43" t="str">
        <f>HYPERLINK("https://ictv.global/ictv/proposals/2020.004F.R.Mymona.zip","2020.004F.R.Mymona.zip")</f>
        <v>2020.004F.R.Mymona.zip</v>
      </c>
      <c r="U8038" s="43" t="str">
        <f>HYPERLINK("https://ictv.global/taxonomy/taxondetails?taxnode_id=202208883","ictv.global=202208883")</f>
        <v>ictv.global=202208883</v>
      </c>
    </row>
    <row r="8039" spans="1:21">
      <c r="A8039">
        <v>8038</v>
      </c>
      <c r="B8039" s="29" t="s">
        <v>3223</v>
      </c>
      <c r="C8039" s="29"/>
      <c r="D8039" s="29" t="s">
        <v>4156</v>
      </c>
      <c r="E8039" s="29"/>
      <c r="F8039" s="29" t="s">
        <v>2998</v>
      </c>
      <c r="G8039" s="29" t="s">
        <v>2999</v>
      </c>
      <c r="H8039" s="29" t="s">
        <v>3006</v>
      </c>
      <c r="I8039" s="29"/>
      <c r="J8039" s="29" t="s">
        <v>757</v>
      </c>
      <c r="K8039" s="29"/>
      <c r="L8039" s="29" t="s">
        <v>2131</v>
      </c>
      <c r="M8039" s="29"/>
      <c r="N8039" s="29" t="s">
        <v>2132</v>
      </c>
      <c r="O8039" s="29"/>
      <c r="P8039" s="29" t="s">
        <v>6648</v>
      </c>
      <c r="Q8039" t="s">
        <v>2039</v>
      </c>
      <c r="R8039" t="s">
        <v>2632</v>
      </c>
      <c r="S8039">
        <v>36</v>
      </c>
      <c r="T8039" s="43" t="str">
        <f>HYPERLINK("https://ictv.global/ictv/proposals/2020.004F.R.Mymona.zip","2020.004F.R.Mymona.zip")</f>
        <v>2020.004F.R.Mymona.zip</v>
      </c>
      <c r="U8039" s="43" t="str">
        <f>HYPERLINK("https://ictv.global/taxonomy/taxondetails?taxnode_id=202208880","ictv.global=202208880")</f>
        <v>ictv.global=202208880</v>
      </c>
    </row>
    <row r="8040" spans="1:21">
      <c r="A8040">
        <v>8039</v>
      </c>
      <c r="B8040" s="29" t="s">
        <v>3223</v>
      </c>
      <c r="C8040" s="29"/>
      <c r="D8040" s="29" t="s">
        <v>4156</v>
      </c>
      <c r="E8040" s="29"/>
      <c r="F8040" s="29" t="s">
        <v>2998</v>
      </c>
      <c r="G8040" s="29" t="s">
        <v>2999</v>
      </c>
      <c r="H8040" s="29" t="s">
        <v>3006</v>
      </c>
      <c r="I8040" s="29"/>
      <c r="J8040" s="29" t="s">
        <v>757</v>
      </c>
      <c r="K8040" s="29"/>
      <c r="L8040" s="29" t="s">
        <v>2131</v>
      </c>
      <c r="M8040" s="29"/>
      <c r="N8040" s="29" t="s">
        <v>2132</v>
      </c>
      <c r="O8040" s="29"/>
      <c r="P8040" s="29" t="s">
        <v>6649</v>
      </c>
      <c r="Q8040" t="s">
        <v>2039</v>
      </c>
      <c r="R8040" t="s">
        <v>2632</v>
      </c>
      <c r="S8040">
        <v>36</v>
      </c>
      <c r="T8040" s="43" t="str">
        <f>HYPERLINK("https://ictv.global/ictv/proposals/2020.004F.R.Mymona.zip","2020.004F.R.Mymona.zip")</f>
        <v>2020.004F.R.Mymona.zip</v>
      </c>
      <c r="U8040" s="43" t="str">
        <f>HYPERLINK("https://ictv.global/taxonomy/taxondetails?taxnode_id=202208881","ictv.global=202208881")</f>
        <v>ictv.global=202208881</v>
      </c>
    </row>
    <row r="8041" spans="1:21">
      <c r="A8041">
        <v>8040</v>
      </c>
      <c r="B8041" s="29" t="s">
        <v>3223</v>
      </c>
      <c r="C8041" s="29"/>
      <c r="D8041" s="29" t="s">
        <v>4156</v>
      </c>
      <c r="E8041" s="29"/>
      <c r="F8041" s="29" t="s">
        <v>2998</v>
      </c>
      <c r="G8041" s="29" t="s">
        <v>2999</v>
      </c>
      <c r="H8041" s="29" t="s">
        <v>3006</v>
      </c>
      <c r="I8041" s="29"/>
      <c r="J8041" s="29" t="s">
        <v>757</v>
      </c>
      <c r="K8041" s="29"/>
      <c r="L8041" s="29" t="s">
        <v>2131</v>
      </c>
      <c r="M8041" s="29"/>
      <c r="N8041" s="29" t="s">
        <v>2132</v>
      </c>
      <c r="O8041" s="29"/>
      <c r="P8041" s="29" t="s">
        <v>12910</v>
      </c>
      <c r="Q8041" t="s">
        <v>2039</v>
      </c>
      <c r="R8041" t="s">
        <v>2632</v>
      </c>
      <c r="S8041">
        <v>37</v>
      </c>
      <c r="T8041" s="43" t="str">
        <f>HYPERLINK("https://ictv.global/ictv/proposals/2021.041M.R.Mymonaviridae_5nsp.zip","2021.041M.R.Mymonaviridae_5nsp.zip")</f>
        <v>2021.041M.R.Mymonaviridae_5nsp.zip</v>
      </c>
      <c r="U8041" s="43" t="str">
        <f>HYPERLINK("https://ictv.global/taxonomy/taxondetails?taxnode_id=202212964","ictv.global=202212964")</f>
        <v>ictv.global=202212964</v>
      </c>
    </row>
    <row r="8042" spans="1:21">
      <c r="A8042">
        <v>8041</v>
      </c>
      <c r="B8042" s="29" t="s">
        <v>3223</v>
      </c>
      <c r="C8042" s="29"/>
      <c r="D8042" s="29" t="s">
        <v>4156</v>
      </c>
      <c r="E8042" s="29"/>
      <c r="F8042" s="29" t="s">
        <v>2998</v>
      </c>
      <c r="G8042" s="29" t="s">
        <v>2999</v>
      </c>
      <c r="H8042" s="29" t="s">
        <v>3006</v>
      </c>
      <c r="I8042" s="29"/>
      <c r="J8042" s="29" t="s">
        <v>757</v>
      </c>
      <c r="K8042" s="29"/>
      <c r="L8042" s="29" t="s">
        <v>2131</v>
      </c>
      <c r="M8042" s="29"/>
      <c r="N8042" s="29" t="s">
        <v>2132</v>
      </c>
      <c r="O8042" s="29"/>
      <c r="P8042" s="29" t="s">
        <v>6650</v>
      </c>
      <c r="Q8042" t="s">
        <v>2039</v>
      </c>
      <c r="R8042" t="s">
        <v>2635</v>
      </c>
      <c r="S8042">
        <v>36</v>
      </c>
      <c r="T8042" s="43" t="str">
        <f>HYPERLINK("https://ictv.global/ictv/proposals/2020.004F.R.Mymona.zip","2020.004F.R.Mymona.zip")</f>
        <v>2020.004F.R.Mymona.zip</v>
      </c>
      <c r="U8042" s="43" t="str">
        <f>HYPERLINK("https://ictv.global/taxonomy/taxondetails?taxnode_id=202206243","ictv.global=202206243")</f>
        <v>ictv.global=202206243</v>
      </c>
    </row>
    <row r="8043" spans="1:21">
      <c r="A8043">
        <v>8042</v>
      </c>
      <c r="B8043" s="29" t="s">
        <v>3223</v>
      </c>
      <c r="C8043" s="29"/>
      <c r="D8043" s="29" t="s">
        <v>4156</v>
      </c>
      <c r="E8043" s="29"/>
      <c r="F8043" s="29" t="s">
        <v>2998</v>
      </c>
      <c r="G8043" s="29" t="s">
        <v>2999</v>
      </c>
      <c r="H8043" s="29" t="s">
        <v>3006</v>
      </c>
      <c r="I8043" s="29"/>
      <c r="J8043" s="29" t="s">
        <v>757</v>
      </c>
      <c r="K8043" s="29"/>
      <c r="L8043" s="29" t="s">
        <v>2131</v>
      </c>
      <c r="M8043" s="29"/>
      <c r="N8043" s="29" t="s">
        <v>2132</v>
      </c>
      <c r="O8043" s="29"/>
      <c r="P8043" s="29" t="s">
        <v>6651</v>
      </c>
      <c r="Q8043" t="s">
        <v>2039</v>
      </c>
      <c r="R8043" t="s">
        <v>2635</v>
      </c>
      <c r="S8043">
        <v>36</v>
      </c>
      <c r="T8043" s="43" t="str">
        <f>HYPERLINK("https://ictv.global/ictv/proposals/2020.004F.R.Mymona.zip","2020.004F.R.Mymona.zip")</f>
        <v>2020.004F.R.Mymona.zip</v>
      </c>
      <c r="U8043" s="43" t="str">
        <f>HYPERLINK("https://ictv.global/taxonomy/taxondetails?taxnode_id=202206244","ictv.global=202206244")</f>
        <v>ictv.global=202206244</v>
      </c>
    </row>
    <row r="8044" spans="1:21">
      <c r="A8044">
        <v>8043</v>
      </c>
      <c r="B8044" s="29" t="s">
        <v>3223</v>
      </c>
      <c r="C8044" s="29"/>
      <c r="D8044" s="29" t="s">
        <v>4156</v>
      </c>
      <c r="E8044" s="29"/>
      <c r="F8044" s="29" t="s">
        <v>2998</v>
      </c>
      <c r="G8044" s="29" t="s">
        <v>2999</v>
      </c>
      <c r="H8044" s="29" t="s">
        <v>3006</v>
      </c>
      <c r="I8044" s="29"/>
      <c r="J8044" s="29" t="s">
        <v>757</v>
      </c>
      <c r="K8044" s="29"/>
      <c r="L8044" s="29" t="s">
        <v>2131</v>
      </c>
      <c r="M8044" s="29"/>
      <c r="N8044" s="29" t="s">
        <v>2132</v>
      </c>
      <c r="O8044" s="29"/>
      <c r="P8044" s="29" t="s">
        <v>6652</v>
      </c>
      <c r="Q8044" t="s">
        <v>2039</v>
      </c>
      <c r="R8044" t="s">
        <v>2632</v>
      </c>
      <c r="S8044">
        <v>36</v>
      </c>
      <c r="T8044" s="43" t="str">
        <f>HYPERLINK("https://ictv.global/ictv/proposals/2020.004F.R.Mymona.zip","2020.004F.R.Mymona.zip")</f>
        <v>2020.004F.R.Mymona.zip</v>
      </c>
      <c r="U8044" s="43" t="str">
        <f>HYPERLINK("https://ictv.global/taxonomy/taxondetails?taxnode_id=202208878","ictv.global=202208878")</f>
        <v>ictv.global=202208878</v>
      </c>
    </row>
    <row r="8045" spans="1:21">
      <c r="A8045">
        <v>8044</v>
      </c>
      <c r="B8045" s="29" t="s">
        <v>3223</v>
      </c>
      <c r="C8045" s="29"/>
      <c r="D8045" s="29" t="s">
        <v>4156</v>
      </c>
      <c r="E8045" s="29"/>
      <c r="F8045" s="29" t="s">
        <v>2998</v>
      </c>
      <c r="G8045" s="29" t="s">
        <v>2999</v>
      </c>
      <c r="H8045" s="29" t="s">
        <v>3006</v>
      </c>
      <c r="I8045" s="29"/>
      <c r="J8045" s="29" t="s">
        <v>757</v>
      </c>
      <c r="K8045" s="29"/>
      <c r="L8045" s="29" t="s">
        <v>2131</v>
      </c>
      <c r="M8045" s="29"/>
      <c r="N8045" s="29" t="s">
        <v>2132</v>
      </c>
      <c r="O8045" s="29"/>
      <c r="P8045" s="29" t="s">
        <v>6653</v>
      </c>
      <c r="Q8045" t="s">
        <v>2039</v>
      </c>
      <c r="R8045" t="s">
        <v>6902</v>
      </c>
      <c r="S8045">
        <v>36</v>
      </c>
      <c r="T8045" s="43" t="str">
        <f>HYPERLINK("https://ictv.global/ictv/proposals/2020.004F.R.Mymona.zip","2020.004F.R.Mymona.zip;2020.001G.R.Abolish_type_species.pdf")</f>
        <v>2020.004F.R.Mymona.zip;2020.001G.R.Abolish_type_species.pdf</v>
      </c>
      <c r="U8045" s="43" t="str">
        <f>HYPERLINK("https://ictv.global/taxonomy/taxondetails?taxnode_id=202201575","ictv.global=202201575")</f>
        <v>ictv.global=202201575</v>
      </c>
    </row>
    <row r="8046" spans="1:21">
      <c r="A8046">
        <v>8045</v>
      </c>
      <c r="B8046" s="29" t="s">
        <v>3223</v>
      </c>
      <c r="C8046" s="29"/>
      <c r="D8046" s="29" t="s">
        <v>4156</v>
      </c>
      <c r="E8046" s="29"/>
      <c r="F8046" s="29" t="s">
        <v>2998</v>
      </c>
      <c r="G8046" s="29" t="s">
        <v>2999</v>
      </c>
      <c r="H8046" s="29" t="s">
        <v>3006</v>
      </c>
      <c r="I8046" s="29"/>
      <c r="J8046" s="29" t="s">
        <v>757</v>
      </c>
      <c r="K8046" s="29"/>
      <c r="L8046" s="29" t="s">
        <v>2131</v>
      </c>
      <c r="M8046" s="29"/>
      <c r="N8046" s="29" t="s">
        <v>2132</v>
      </c>
      <c r="O8046" s="29"/>
      <c r="P8046" s="29" t="s">
        <v>6654</v>
      </c>
      <c r="Q8046" t="s">
        <v>2039</v>
      </c>
      <c r="R8046" t="s">
        <v>2632</v>
      </c>
      <c r="S8046">
        <v>36</v>
      </c>
      <c r="T8046" s="43" t="str">
        <f>HYPERLINK("https://ictv.global/ictv/proposals/2020.004F.R.Mymona.zip","2020.004F.R.Mymona.zip")</f>
        <v>2020.004F.R.Mymona.zip</v>
      </c>
      <c r="U8046" s="43" t="str">
        <f>HYPERLINK("https://ictv.global/taxonomy/taxondetails?taxnode_id=202208877","ictv.global=202208877")</f>
        <v>ictv.global=202208877</v>
      </c>
    </row>
    <row r="8047" spans="1:21">
      <c r="A8047">
        <v>8046</v>
      </c>
      <c r="B8047" s="29" t="s">
        <v>3223</v>
      </c>
      <c r="C8047" s="29"/>
      <c r="D8047" s="29" t="s">
        <v>4156</v>
      </c>
      <c r="E8047" s="29"/>
      <c r="F8047" s="29" t="s">
        <v>2998</v>
      </c>
      <c r="G8047" s="29" t="s">
        <v>2999</v>
      </c>
      <c r="H8047" s="29" t="s">
        <v>3006</v>
      </c>
      <c r="I8047" s="29"/>
      <c r="J8047" s="29" t="s">
        <v>757</v>
      </c>
      <c r="K8047" s="29"/>
      <c r="L8047" s="29" t="s">
        <v>2131</v>
      </c>
      <c r="M8047" s="29"/>
      <c r="N8047" s="29" t="s">
        <v>2132</v>
      </c>
      <c r="O8047" s="29"/>
      <c r="P8047" s="29" t="s">
        <v>12911</v>
      </c>
      <c r="Q8047" t="s">
        <v>2039</v>
      </c>
      <c r="R8047" t="s">
        <v>2632</v>
      </c>
      <c r="S8047">
        <v>38</v>
      </c>
      <c r="T8047" s="43" t="str">
        <f>HYPERLINK("https://ictv.global/ictv/proposals/2022.014M.Mymonaviridae_13nsp.zip","2022.014M.Mymonaviridae_13nsp.zip")</f>
        <v>2022.014M.Mymonaviridae_13nsp.zip</v>
      </c>
      <c r="U8047" s="43" t="str">
        <f>HYPERLINK("https://ictv.global/taxonomy/taxondetails?taxnode_id=202214213","ictv.global=202214213")</f>
        <v>ictv.global=202214213</v>
      </c>
    </row>
    <row r="8048" spans="1:21">
      <c r="A8048">
        <v>8047</v>
      </c>
      <c r="B8048" s="29" t="s">
        <v>3223</v>
      </c>
      <c r="C8048" s="29"/>
      <c r="D8048" s="29" t="s">
        <v>4156</v>
      </c>
      <c r="E8048" s="29"/>
      <c r="F8048" s="29" t="s">
        <v>2998</v>
      </c>
      <c r="G8048" s="29" t="s">
        <v>2999</v>
      </c>
      <c r="H8048" s="29" t="s">
        <v>3006</v>
      </c>
      <c r="I8048" s="29"/>
      <c r="J8048" s="29" t="s">
        <v>757</v>
      </c>
      <c r="K8048" s="29"/>
      <c r="L8048" s="29" t="s">
        <v>2131</v>
      </c>
      <c r="M8048" s="29"/>
      <c r="N8048" s="29" t="s">
        <v>2132</v>
      </c>
      <c r="O8048" s="29"/>
      <c r="P8048" s="29" t="s">
        <v>12912</v>
      </c>
      <c r="Q8048" t="s">
        <v>2039</v>
      </c>
      <c r="R8048" t="s">
        <v>2632</v>
      </c>
      <c r="S8048">
        <v>38</v>
      </c>
      <c r="T8048" s="43" t="str">
        <f>HYPERLINK("https://ictv.global/ictv/proposals/2022.014M.Mymonaviridae_13nsp.zip","2022.014M.Mymonaviridae_13nsp.zip")</f>
        <v>2022.014M.Mymonaviridae_13nsp.zip</v>
      </c>
      <c r="U8048" s="43" t="str">
        <f>HYPERLINK("https://ictv.global/taxonomy/taxondetails?taxnode_id=202214214","ictv.global=202214214")</f>
        <v>ictv.global=202214214</v>
      </c>
    </row>
    <row r="8049" spans="1:21">
      <c r="A8049">
        <v>8048</v>
      </c>
      <c r="B8049" s="29" t="s">
        <v>3223</v>
      </c>
      <c r="C8049" s="29"/>
      <c r="D8049" s="29" t="s">
        <v>4156</v>
      </c>
      <c r="E8049" s="29"/>
      <c r="F8049" s="29" t="s">
        <v>2998</v>
      </c>
      <c r="G8049" s="29" t="s">
        <v>2999</v>
      </c>
      <c r="H8049" s="29" t="s">
        <v>3006</v>
      </c>
      <c r="I8049" s="29"/>
      <c r="J8049" s="29" t="s">
        <v>757</v>
      </c>
      <c r="K8049" s="29"/>
      <c r="L8049" s="29" t="s">
        <v>1711</v>
      </c>
      <c r="M8049" s="29"/>
      <c r="N8049" s="29" t="s">
        <v>3012</v>
      </c>
      <c r="O8049" s="29"/>
      <c r="P8049" s="29" t="s">
        <v>12913</v>
      </c>
      <c r="Q8049" t="s">
        <v>2039</v>
      </c>
      <c r="R8049" t="s">
        <v>2635</v>
      </c>
      <c r="S8049">
        <v>37</v>
      </c>
      <c r="T8049" s="43" t="str">
        <f t="shared" ref="T8049:T8058" si="347">HYPERLINK("https://ictv.global/ictv/proposals/2021.020M.R.Nyamiviridae_sprename.zip","2021.020M.R.Nyamiviridae_sprename.zip")</f>
        <v>2021.020M.R.Nyamiviridae_sprename.zip</v>
      </c>
      <c r="U8049" s="43" t="str">
        <f>HYPERLINK("https://ictv.global/taxonomy/taxondetails?taxnode_id=202206257","ictv.global=202206257")</f>
        <v>ictv.global=202206257</v>
      </c>
    </row>
    <row r="8050" spans="1:21">
      <c r="A8050">
        <v>8049</v>
      </c>
      <c r="B8050" s="29" t="s">
        <v>3223</v>
      </c>
      <c r="C8050" s="29"/>
      <c r="D8050" s="29" t="s">
        <v>4156</v>
      </c>
      <c r="E8050" s="29"/>
      <c r="F8050" s="29" t="s">
        <v>2998</v>
      </c>
      <c r="G8050" s="29" t="s">
        <v>2999</v>
      </c>
      <c r="H8050" s="29" t="s">
        <v>3006</v>
      </c>
      <c r="I8050" s="29"/>
      <c r="J8050" s="29" t="s">
        <v>757</v>
      </c>
      <c r="K8050" s="29"/>
      <c r="L8050" s="29" t="s">
        <v>1711</v>
      </c>
      <c r="M8050" s="29"/>
      <c r="N8050" s="29" t="s">
        <v>3012</v>
      </c>
      <c r="O8050" s="29"/>
      <c r="P8050" s="29" t="s">
        <v>12914</v>
      </c>
      <c r="Q8050" t="s">
        <v>2039</v>
      </c>
      <c r="R8050" t="s">
        <v>2635</v>
      </c>
      <c r="S8050">
        <v>37</v>
      </c>
      <c r="T8050" s="43" t="str">
        <f t="shared" si="347"/>
        <v>2021.020M.R.Nyamiviridae_sprename.zip</v>
      </c>
      <c r="U8050" s="43" t="str">
        <f>HYPERLINK("https://ictv.global/taxonomy/taxondetails?taxnode_id=202206258","ictv.global=202206258")</f>
        <v>ictv.global=202206258</v>
      </c>
    </row>
    <row r="8051" spans="1:21">
      <c r="A8051">
        <v>8050</v>
      </c>
      <c r="B8051" s="29" t="s">
        <v>3223</v>
      </c>
      <c r="C8051" s="29"/>
      <c r="D8051" s="29" t="s">
        <v>4156</v>
      </c>
      <c r="E8051" s="29"/>
      <c r="F8051" s="29" t="s">
        <v>2998</v>
      </c>
      <c r="G8051" s="29" t="s">
        <v>2999</v>
      </c>
      <c r="H8051" s="29" t="s">
        <v>3006</v>
      </c>
      <c r="I8051" s="29"/>
      <c r="J8051" s="29" t="s">
        <v>757</v>
      </c>
      <c r="K8051" s="29"/>
      <c r="L8051" s="29" t="s">
        <v>1711</v>
      </c>
      <c r="M8051" s="29"/>
      <c r="N8051" s="29" t="s">
        <v>3012</v>
      </c>
      <c r="O8051" s="29"/>
      <c r="P8051" s="29" t="s">
        <v>12915</v>
      </c>
      <c r="Q8051" t="s">
        <v>2039</v>
      </c>
      <c r="R8051" t="s">
        <v>2635</v>
      </c>
      <c r="S8051">
        <v>37</v>
      </c>
      <c r="T8051" s="43" t="str">
        <f t="shared" si="347"/>
        <v>2021.020M.R.Nyamiviridae_sprename.zip</v>
      </c>
      <c r="U8051" s="43" t="str">
        <f>HYPERLINK("https://ictv.global/taxonomy/taxondetails?taxnode_id=202206256","ictv.global=202206256")</f>
        <v>ictv.global=202206256</v>
      </c>
    </row>
    <row r="8052" spans="1:21">
      <c r="A8052">
        <v>8051</v>
      </c>
      <c r="B8052" s="29" t="s">
        <v>3223</v>
      </c>
      <c r="C8052" s="29"/>
      <c r="D8052" s="29" t="s">
        <v>4156</v>
      </c>
      <c r="E8052" s="29"/>
      <c r="F8052" s="29" t="s">
        <v>2998</v>
      </c>
      <c r="G8052" s="29" t="s">
        <v>2999</v>
      </c>
      <c r="H8052" s="29" t="s">
        <v>3006</v>
      </c>
      <c r="I8052" s="29"/>
      <c r="J8052" s="29" t="s">
        <v>757</v>
      </c>
      <c r="K8052" s="29"/>
      <c r="L8052" s="29" t="s">
        <v>1711</v>
      </c>
      <c r="M8052" s="29"/>
      <c r="N8052" s="29" t="s">
        <v>2141</v>
      </c>
      <c r="O8052" s="29"/>
      <c r="P8052" s="29" t="s">
        <v>12916</v>
      </c>
      <c r="Q8052" t="s">
        <v>2039</v>
      </c>
      <c r="R8052" t="s">
        <v>2635</v>
      </c>
      <c r="S8052">
        <v>37</v>
      </c>
      <c r="T8052" s="43" t="str">
        <f t="shared" si="347"/>
        <v>2021.020M.R.Nyamiviridae_sprename.zip</v>
      </c>
      <c r="U8052" s="43" t="str">
        <f>HYPERLINK("https://ictv.global/taxonomy/taxondetails?taxnode_id=202206250","ictv.global=202206250")</f>
        <v>ictv.global=202206250</v>
      </c>
    </row>
    <row r="8053" spans="1:21">
      <c r="A8053">
        <v>8052</v>
      </c>
      <c r="B8053" s="29" t="s">
        <v>3223</v>
      </c>
      <c r="C8053" s="29"/>
      <c r="D8053" s="29" t="s">
        <v>4156</v>
      </c>
      <c r="E8053" s="29"/>
      <c r="F8053" s="29" t="s">
        <v>2998</v>
      </c>
      <c r="G8053" s="29" t="s">
        <v>2999</v>
      </c>
      <c r="H8053" s="29" t="s">
        <v>3006</v>
      </c>
      <c r="I8053" s="29"/>
      <c r="J8053" s="29" t="s">
        <v>757</v>
      </c>
      <c r="K8053" s="29"/>
      <c r="L8053" s="29" t="s">
        <v>1711</v>
      </c>
      <c r="M8053" s="29"/>
      <c r="N8053" s="29" t="s">
        <v>2141</v>
      </c>
      <c r="O8053" s="29"/>
      <c r="P8053" s="29" t="s">
        <v>12917</v>
      </c>
      <c r="Q8053" t="s">
        <v>2039</v>
      </c>
      <c r="R8053" t="s">
        <v>2635</v>
      </c>
      <c r="S8053">
        <v>37</v>
      </c>
      <c r="T8053" s="43" t="str">
        <f t="shared" si="347"/>
        <v>2021.020M.R.Nyamiviridae_sprename.zip</v>
      </c>
      <c r="U8053" s="43" t="str">
        <f>HYPERLINK("https://ictv.global/taxonomy/taxondetails?taxnode_id=202206249","ictv.global=202206249")</f>
        <v>ictv.global=202206249</v>
      </c>
    </row>
    <row r="8054" spans="1:21">
      <c r="A8054">
        <v>8053</v>
      </c>
      <c r="B8054" s="29" t="s">
        <v>3223</v>
      </c>
      <c r="C8054" s="29"/>
      <c r="D8054" s="29" t="s">
        <v>4156</v>
      </c>
      <c r="E8054" s="29"/>
      <c r="F8054" s="29" t="s">
        <v>2998</v>
      </c>
      <c r="G8054" s="29" t="s">
        <v>2999</v>
      </c>
      <c r="H8054" s="29" t="s">
        <v>3006</v>
      </c>
      <c r="I8054" s="29"/>
      <c r="J8054" s="29" t="s">
        <v>757</v>
      </c>
      <c r="K8054" s="29"/>
      <c r="L8054" s="29" t="s">
        <v>1711</v>
      </c>
      <c r="M8054" s="29"/>
      <c r="N8054" s="29" t="s">
        <v>2141</v>
      </c>
      <c r="O8054" s="29"/>
      <c r="P8054" s="29" t="s">
        <v>12918</v>
      </c>
      <c r="Q8054" t="s">
        <v>2039</v>
      </c>
      <c r="R8054" t="s">
        <v>2635</v>
      </c>
      <c r="S8054">
        <v>37</v>
      </c>
      <c r="T8054" s="43" t="str">
        <f t="shared" si="347"/>
        <v>2021.020M.R.Nyamiviridae_sprename.zip</v>
      </c>
      <c r="U8054" s="43" t="str">
        <f>HYPERLINK("https://ictv.global/taxonomy/taxondetails?taxnode_id=202201818","ictv.global=202201818")</f>
        <v>ictv.global=202201818</v>
      </c>
    </row>
    <row r="8055" spans="1:21">
      <c r="A8055">
        <v>8054</v>
      </c>
      <c r="B8055" s="29" t="s">
        <v>3223</v>
      </c>
      <c r="C8055" s="29"/>
      <c r="D8055" s="29" t="s">
        <v>4156</v>
      </c>
      <c r="E8055" s="29"/>
      <c r="F8055" s="29" t="s">
        <v>2998</v>
      </c>
      <c r="G8055" s="29" t="s">
        <v>2999</v>
      </c>
      <c r="H8055" s="29" t="s">
        <v>3006</v>
      </c>
      <c r="I8055" s="29"/>
      <c r="J8055" s="29" t="s">
        <v>757</v>
      </c>
      <c r="K8055" s="29"/>
      <c r="L8055" s="29" t="s">
        <v>1711</v>
      </c>
      <c r="M8055" s="29"/>
      <c r="N8055" s="29" t="s">
        <v>6655</v>
      </c>
      <c r="O8055" s="29"/>
      <c r="P8055" s="29" t="s">
        <v>12919</v>
      </c>
      <c r="Q8055" t="s">
        <v>2039</v>
      </c>
      <c r="R8055" t="s">
        <v>2635</v>
      </c>
      <c r="S8055">
        <v>37</v>
      </c>
      <c r="T8055" s="43" t="str">
        <f t="shared" si="347"/>
        <v>2021.020M.R.Nyamiviridae_sprename.zip</v>
      </c>
      <c r="U8055" s="43" t="str">
        <f>HYPERLINK("https://ictv.global/taxonomy/taxondetails?taxnode_id=202209665","ictv.global=202209665")</f>
        <v>ictv.global=202209665</v>
      </c>
    </row>
    <row r="8056" spans="1:21">
      <c r="A8056">
        <v>8055</v>
      </c>
      <c r="B8056" s="29" t="s">
        <v>3223</v>
      </c>
      <c r="C8056" s="29"/>
      <c r="D8056" s="29" t="s">
        <v>4156</v>
      </c>
      <c r="E8056" s="29"/>
      <c r="F8056" s="29" t="s">
        <v>2998</v>
      </c>
      <c r="G8056" s="29" t="s">
        <v>2999</v>
      </c>
      <c r="H8056" s="29" t="s">
        <v>3006</v>
      </c>
      <c r="I8056" s="29"/>
      <c r="J8056" s="29" t="s">
        <v>757</v>
      </c>
      <c r="K8056" s="29"/>
      <c r="L8056" s="29" t="s">
        <v>1711</v>
      </c>
      <c r="M8056" s="29"/>
      <c r="N8056" s="29" t="s">
        <v>6655</v>
      </c>
      <c r="O8056" s="29"/>
      <c r="P8056" s="29" t="s">
        <v>12920</v>
      </c>
      <c r="Q8056" t="s">
        <v>2039</v>
      </c>
      <c r="R8056" t="s">
        <v>2635</v>
      </c>
      <c r="S8056">
        <v>37</v>
      </c>
      <c r="T8056" s="43" t="str">
        <f t="shared" si="347"/>
        <v>2021.020M.R.Nyamiviridae_sprename.zip</v>
      </c>
      <c r="U8056" s="43" t="str">
        <f>HYPERLINK("https://ictv.global/taxonomy/taxondetails?taxnode_id=202209668","ictv.global=202209668")</f>
        <v>ictv.global=202209668</v>
      </c>
    </row>
    <row r="8057" spans="1:21">
      <c r="A8057">
        <v>8056</v>
      </c>
      <c r="B8057" s="29" t="s">
        <v>3223</v>
      </c>
      <c r="C8057" s="29"/>
      <c r="D8057" s="29" t="s">
        <v>4156</v>
      </c>
      <c r="E8057" s="29"/>
      <c r="F8057" s="29" t="s">
        <v>2998</v>
      </c>
      <c r="G8057" s="29" t="s">
        <v>2999</v>
      </c>
      <c r="H8057" s="29" t="s">
        <v>3006</v>
      </c>
      <c r="I8057" s="29"/>
      <c r="J8057" s="29" t="s">
        <v>757</v>
      </c>
      <c r="K8057" s="29"/>
      <c r="L8057" s="29" t="s">
        <v>1711</v>
      </c>
      <c r="M8057" s="29"/>
      <c r="N8057" s="29" t="s">
        <v>6655</v>
      </c>
      <c r="O8057" s="29"/>
      <c r="P8057" s="29" t="s">
        <v>12921</v>
      </c>
      <c r="Q8057" t="s">
        <v>2039</v>
      </c>
      <c r="R8057" t="s">
        <v>2635</v>
      </c>
      <c r="S8057">
        <v>37</v>
      </c>
      <c r="T8057" s="43" t="str">
        <f t="shared" si="347"/>
        <v>2021.020M.R.Nyamiviridae_sprename.zip</v>
      </c>
      <c r="U8057" s="43" t="str">
        <f>HYPERLINK("https://ictv.global/taxonomy/taxondetails?taxnode_id=202209666","ictv.global=202209666")</f>
        <v>ictv.global=202209666</v>
      </c>
    </row>
    <row r="8058" spans="1:21">
      <c r="A8058">
        <v>8057</v>
      </c>
      <c r="B8058" s="29" t="s">
        <v>3223</v>
      </c>
      <c r="C8058" s="29"/>
      <c r="D8058" s="29" t="s">
        <v>4156</v>
      </c>
      <c r="E8058" s="29"/>
      <c r="F8058" s="29" t="s">
        <v>2998</v>
      </c>
      <c r="G8058" s="29" t="s">
        <v>2999</v>
      </c>
      <c r="H8058" s="29" t="s">
        <v>3006</v>
      </c>
      <c r="I8058" s="29"/>
      <c r="J8058" s="29" t="s">
        <v>757</v>
      </c>
      <c r="K8058" s="29"/>
      <c r="L8058" s="29" t="s">
        <v>1711</v>
      </c>
      <c r="M8058" s="29"/>
      <c r="N8058" s="29" t="s">
        <v>6655</v>
      </c>
      <c r="O8058" s="29"/>
      <c r="P8058" s="29" t="s">
        <v>12922</v>
      </c>
      <c r="Q8058" t="s">
        <v>2039</v>
      </c>
      <c r="R8058" t="s">
        <v>2635</v>
      </c>
      <c r="S8058">
        <v>37</v>
      </c>
      <c r="T8058" s="43" t="str">
        <f t="shared" si="347"/>
        <v>2021.020M.R.Nyamiviridae_sprename.zip</v>
      </c>
      <c r="U8058" s="43" t="str">
        <f>HYPERLINK("https://ictv.global/taxonomy/taxondetails?taxnode_id=202209667","ictv.global=202209667")</f>
        <v>ictv.global=202209667</v>
      </c>
    </row>
    <row r="8059" spans="1:21">
      <c r="A8059">
        <v>8058</v>
      </c>
      <c r="B8059" s="29" t="s">
        <v>3223</v>
      </c>
      <c r="C8059" s="29"/>
      <c r="D8059" s="29" t="s">
        <v>4156</v>
      </c>
      <c r="E8059" s="29"/>
      <c r="F8059" s="29" t="s">
        <v>2998</v>
      </c>
      <c r="G8059" s="29" t="s">
        <v>2999</v>
      </c>
      <c r="H8059" s="29" t="s">
        <v>3006</v>
      </c>
      <c r="I8059" s="29"/>
      <c r="J8059" s="29" t="s">
        <v>757</v>
      </c>
      <c r="K8059" s="29"/>
      <c r="L8059" s="29" t="s">
        <v>1711</v>
      </c>
      <c r="M8059" s="29"/>
      <c r="N8059" s="29" t="s">
        <v>6655</v>
      </c>
      <c r="O8059" s="29"/>
      <c r="P8059" s="29" t="s">
        <v>12923</v>
      </c>
      <c r="Q8059" t="s">
        <v>2039</v>
      </c>
      <c r="R8059" t="s">
        <v>2632</v>
      </c>
      <c r="S8059">
        <v>38</v>
      </c>
      <c r="T8059" s="43" t="str">
        <f>HYPERLINK("https://ictv.global/ictv/proposals/2022.016M.Nyamiviridae_2nsp.zip","2022.016M.Nyamiviridae_2nsp.zip")</f>
        <v>2022.016M.Nyamiviridae_2nsp.zip</v>
      </c>
      <c r="U8059" s="43" t="str">
        <f>HYPERLINK("https://ictv.global/taxonomy/taxondetails?taxnode_id=202214220","ictv.global=202214220")</f>
        <v>ictv.global=202214220</v>
      </c>
    </row>
    <row r="8060" spans="1:21">
      <c r="A8060">
        <v>8059</v>
      </c>
      <c r="B8060" s="29" t="s">
        <v>3223</v>
      </c>
      <c r="C8060" s="29"/>
      <c r="D8060" s="29" t="s">
        <v>4156</v>
      </c>
      <c r="E8060" s="29"/>
      <c r="F8060" s="29" t="s">
        <v>2998</v>
      </c>
      <c r="G8060" s="29" t="s">
        <v>2999</v>
      </c>
      <c r="H8060" s="29" t="s">
        <v>3006</v>
      </c>
      <c r="I8060" s="29"/>
      <c r="J8060" s="29" t="s">
        <v>757</v>
      </c>
      <c r="K8060" s="29"/>
      <c r="L8060" s="29" t="s">
        <v>1711</v>
      </c>
      <c r="M8060" s="29"/>
      <c r="N8060" s="29" t="s">
        <v>6655</v>
      </c>
      <c r="O8060" s="29"/>
      <c r="P8060" s="29" t="s">
        <v>12924</v>
      </c>
      <c r="Q8060" t="s">
        <v>2039</v>
      </c>
      <c r="R8060" t="s">
        <v>2632</v>
      </c>
      <c r="S8060">
        <v>37</v>
      </c>
      <c r="T8060" s="43" t="str">
        <f>HYPERLINK("https://ictv.global/ictv/proposals/2021.019M.R.Nyamiviridae_3nsp.zip","2021.019M.R.Nyamiviridae_3nsp.zip")</f>
        <v>2021.019M.R.Nyamiviridae_3nsp.zip</v>
      </c>
      <c r="U8060" s="43" t="str">
        <f>HYPERLINK("https://ictv.global/taxonomy/taxondetails?taxnode_id=202212225","ictv.global=202212225")</f>
        <v>ictv.global=202212225</v>
      </c>
    </row>
    <row r="8061" spans="1:21">
      <c r="A8061">
        <v>8060</v>
      </c>
      <c r="B8061" s="29" t="s">
        <v>3223</v>
      </c>
      <c r="C8061" s="29"/>
      <c r="D8061" s="29" t="s">
        <v>4156</v>
      </c>
      <c r="E8061" s="29"/>
      <c r="F8061" s="29" t="s">
        <v>2998</v>
      </c>
      <c r="G8061" s="29" t="s">
        <v>2999</v>
      </c>
      <c r="H8061" s="29" t="s">
        <v>3006</v>
      </c>
      <c r="I8061" s="29"/>
      <c r="J8061" s="29" t="s">
        <v>757</v>
      </c>
      <c r="K8061" s="29"/>
      <c r="L8061" s="29" t="s">
        <v>1711</v>
      </c>
      <c r="M8061" s="29"/>
      <c r="N8061" s="29" t="s">
        <v>1712</v>
      </c>
      <c r="O8061" s="29"/>
      <c r="P8061" s="29" t="s">
        <v>12925</v>
      </c>
      <c r="Q8061" t="s">
        <v>2039</v>
      </c>
      <c r="R8061" t="s">
        <v>2632</v>
      </c>
      <c r="S8061">
        <v>37</v>
      </c>
      <c r="T8061" s="43" t="str">
        <f>HYPERLINK("https://ictv.global/ictv/proposals/2021.019M.R.Nyamiviridae_3nsp.zip","2021.019M.R.Nyamiviridae_3nsp.zip")</f>
        <v>2021.019M.R.Nyamiviridae_3nsp.zip</v>
      </c>
      <c r="U8061" s="43" t="str">
        <f>HYPERLINK("https://ictv.global/taxonomy/taxondetails?taxnode_id=202212223","ictv.global=202212223")</f>
        <v>ictv.global=202212223</v>
      </c>
    </row>
    <row r="8062" spans="1:21">
      <c r="A8062">
        <v>8061</v>
      </c>
      <c r="B8062" s="29" t="s">
        <v>3223</v>
      </c>
      <c r="C8062" s="29"/>
      <c r="D8062" s="29" t="s">
        <v>4156</v>
      </c>
      <c r="E8062" s="29"/>
      <c r="F8062" s="29" t="s">
        <v>2998</v>
      </c>
      <c r="G8062" s="29" t="s">
        <v>2999</v>
      </c>
      <c r="H8062" s="29" t="s">
        <v>3006</v>
      </c>
      <c r="I8062" s="29"/>
      <c r="J8062" s="29" t="s">
        <v>757</v>
      </c>
      <c r="K8062" s="29"/>
      <c r="L8062" s="29" t="s">
        <v>1711</v>
      </c>
      <c r="M8062" s="29"/>
      <c r="N8062" s="29" t="s">
        <v>1712</v>
      </c>
      <c r="O8062" s="29"/>
      <c r="P8062" s="29" t="s">
        <v>12926</v>
      </c>
      <c r="Q8062" t="s">
        <v>2039</v>
      </c>
      <c r="R8062" t="s">
        <v>2635</v>
      </c>
      <c r="S8062">
        <v>37</v>
      </c>
      <c r="T8062" s="43" t="str">
        <f>HYPERLINK("https://ictv.global/ictv/proposals/2021.020M.R.Nyamiviridae_sprename.zip","2021.020M.R.Nyamiviridae_sprename.zip")</f>
        <v>2021.020M.R.Nyamiviridae_sprename.zip</v>
      </c>
      <c r="U8062" s="43" t="str">
        <f>HYPERLINK("https://ictv.global/taxonomy/taxondetails?taxnode_id=202201579","ictv.global=202201579")</f>
        <v>ictv.global=202201579</v>
      </c>
    </row>
    <row r="8063" spans="1:21">
      <c r="A8063">
        <v>8062</v>
      </c>
      <c r="B8063" s="29" t="s">
        <v>3223</v>
      </c>
      <c r="C8063" s="29"/>
      <c r="D8063" s="29" t="s">
        <v>4156</v>
      </c>
      <c r="E8063" s="29"/>
      <c r="F8063" s="29" t="s">
        <v>2998</v>
      </c>
      <c r="G8063" s="29" t="s">
        <v>2999</v>
      </c>
      <c r="H8063" s="29" t="s">
        <v>3006</v>
      </c>
      <c r="I8063" s="29"/>
      <c r="J8063" s="29" t="s">
        <v>757</v>
      </c>
      <c r="K8063" s="29"/>
      <c r="L8063" s="29" t="s">
        <v>1711</v>
      </c>
      <c r="M8063" s="29"/>
      <c r="N8063" s="29" t="s">
        <v>1712</v>
      </c>
      <c r="O8063" s="29"/>
      <c r="P8063" s="29" t="s">
        <v>12927</v>
      </c>
      <c r="Q8063" t="s">
        <v>2039</v>
      </c>
      <c r="R8063" t="s">
        <v>2635</v>
      </c>
      <c r="S8063">
        <v>37</v>
      </c>
      <c r="T8063" s="43" t="str">
        <f>HYPERLINK("https://ictv.global/ictv/proposals/2021.020M.R.Nyamiviridae_sprename.zip","2021.020M.R.Nyamiviridae_sprename.zip")</f>
        <v>2021.020M.R.Nyamiviridae_sprename.zip</v>
      </c>
      <c r="U8063" s="43" t="str">
        <f>HYPERLINK("https://ictv.global/taxonomy/taxondetails?taxnode_id=202201580","ictv.global=202201580")</f>
        <v>ictv.global=202201580</v>
      </c>
    </row>
    <row r="8064" spans="1:21">
      <c r="A8064">
        <v>8063</v>
      </c>
      <c r="B8064" s="29" t="s">
        <v>3223</v>
      </c>
      <c r="C8064" s="29"/>
      <c r="D8064" s="29" t="s">
        <v>4156</v>
      </c>
      <c r="E8064" s="29"/>
      <c r="F8064" s="29" t="s">
        <v>2998</v>
      </c>
      <c r="G8064" s="29" t="s">
        <v>2999</v>
      </c>
      <c r="H8064" s="29" t="s">
        <v>3006</v>
      </c>
      <c r="I8064" s="29"/>
      <c r="J8064" s="29" t="s">
        <v>757</v>
      </c>
      <c r="K8064" s="29"/>
      <c r="L8064" s="29" t="s">
        <v>1711</v>
      </c>
      <c r="M8064" s="29"/>
      <c r="N8064" s="29" t="s">
        <v>1712</v>
      </c>
      <c r="O8064" s="29"/>
      <c r="P8064" s="29" t="s">
        <v>12928</v>
      </c>
      <c r="Q8064" t="s">
        <v>2039</v>
      </c>
      <c r="R8064" t="s">
        <v>2635</v>
      </c>
      <c r="S8064">
        <v>37</v>
      </c>
      <c r="T8064" s="43" t="str">
        <f>HYPERLINK("https://ictv.global/ictv/proposals/2021.020M.R.Nyamiviridae_sprename.zip","2021.020M.R.Nyamiviridae_sprename.zip")</f>
        <v>2021.020M.R.Nyamiviridae_sprename.zip</v>
      </c>
      <c r="U8064" s="43" t="str">
        <f>HYPERLINK("https://ictv.global/taxonomy/taxondetails?taxnode_id=202209663","ictv.global=202209663")</f>
        <v>ictv.global=202209663</v>
      </c>
    </row>
    <row r="8065" spans="1:21">
      <c r="A8065">
        <v>8064</v>
      </c>
      <c r="B8065" s="29" t="s">
        <v>3223</v>
      </c>
      <c r="C8065" s="29"/>
      <c r="D8065" s="29" t="s">
        <v>4156</v>
      </c>
      <c r="E8065" s="29"/>
      <c r="F8065" s="29" t="s">
        <v>2998</v>
      </c>
      <c r="G8065" s="29" t="s">
        <v>2999</v>
      </c>
      <c r="H8065" s="29" t="s">
        <v>3006</v>
      </c>
      <c r="I8065" s="29"/>
      <c r="J8065" s="29" t="s">
        <v>757</v>
      </c>
      <c r="K8065" s="29"/>
      <c r="L8065" s="29" t="s">
        <v>1711</v>
      </c>
      <c r="M8065" s="29"/>
      <c r="N8065" s="29" t="s">
        <v>1712</v>
      </c>
      <c r="O8065" s="29"/>
      <c r="P8065" s="29" t="s">
        <v>12929</v>
      </c>
      <c r="Q8065" t="s">
        <v>2039</v>
      </c>
      <c r="R8065" t="s">
        <v>2635</v>
      </c>
      <c r="S8065">
        <v>37</v>
      </c>
      <c r="T8065" s="43" t="str">
        <f>HYPERLINK("https://ictv.global/ictv/proposals/2021.020M.R.Nyamiviridae_sprename.zip","2021.020M.R.Nyamiviridae_sprename.zip")</f>
        <v>2021.020M.R.Nyamiviridae_sprename.zip</v>
      </c>
      <c r="U8065" s="43" t="str">
        <f>HYPERLINK("https://ictv.global/taxonomy/taxondetails?taxnode_id=202201581","ictv.global=202201581")</f>
        <v>ictv.global=202201581</v>
      </c>
    </row>
    <row r="8066" spans="1:21">
      <c r="A8066">
        <v>8065</v>
      </c>
      <c r="B8066" s="29" t="s">
        <v>3223</v>
      </c>
      <c r="C8066" s="29"/>
      <c r="D8066" s="29" t="s">
        <v>4156</v>
      </c>
      <c r="E8066" s="29"/>
      <c r="F8066" s="29" t="s">
        <v>2998</v>
      </c>
      <c r="G8066" s="29" t="s">
        <v>2999</v>
      </c>
      <c r="H8066" s="29" t="s">
        <v>3006</v>
      </c>
      <c r="I8066" s="29"/>
      <c r="J8066" s="29" t="s">
        <v>757</v>
      </c>
      <c r="K8066" s="29"/>
      <c r="L8066" s="29" t="s">
        <v>1711</v>
      </c>
      <c r="M8066" s="29"/>
      <c r="N8066" s="29" t="s">
        <v>1712</v>
      </c>
      <c r="O8066" s="29"/>
      <c r="P8066" s="29" t="s">
        <v>12930</v>
      </c>
      <c r="Q8066" t="s">
        <v>2039</v>
      </c>
      <c r="R8066" t="s">
        <v>2632</v>
      </c>
      <c r="S8066">
        <v>37</v>
      </c>
      <c r="T8066" s="43" t="str">
        <f>HYPERLINK("https://ictv.global/ictv/proposals/2021.019M.R.Nyamiviridae_3nsp.zip","2021.019M.R.Nyamiviridae_3nsp.zip")</f>
        <v>2021.019M.R.Nyamiviridae_3nsp.zip</v>
      </c>
      <c r="U8066" s="43" t="str">
        <f>HYPERLINK("https://ictv.global/taxonomy/taxondetails?taxnode_id=202212224","ictv.global=202212224")</f>
        <v>ictv.global=202212224</v>
      </c>
    </row>
    <row r="8067" spans="1:21">
      <c r="A8067">
        <v>8066</v>
      </c>
      <c r="B8067" s="29" t="s">
        <v>3223</v>
      </c>
      <c r="C8067" s="29"/>
      <c r="D8067" s="29" t="s">
        <v>4156</v>
      </c>
      <c r="E8067" s="29"/>
      <c r="F8067" s="29" t="s">
        <v>2998</v>
      </c>
      <c r="G8067" s="29" t="s">
        <v>2999</v>
      </c>
      <c r="H8067" s="29" t="s">
        <v>3006</v>
      </c>
      <c r="I8067" s="29"/>
      <c r="J8067" s="29" t="s">
        <v>757</v>
      </c>
      <c r="K8067" s="29"/>
      <c r="L8067" s="29" t="s">
        <v>1711</v>
      </c>
      <c r="M8067" s="29"/>
      <c r="N8067" s="29" t="s">
        <v>3013</v>
      </c>
      <c r="O8067" s="29"/>
      <c r="P8067" s="29" t="s">
        <v>12931</v>
      </c>
      <c r="Q8067" t="s">
        <v>2039</v>
      </c>
      <c r="R8067" t="s">
        <v>2635</v>
      </c>
      <c r="S8067">
        <v>37</v>
      </c>
      <c r="T8067" s="43" t="str">
        <f>HYPERLINK("https://ictv.global/ictv/proposals/2021.020M.R.Nyamiviridae_sprename.zip","2021.020M.R.Nyamiviridae_sprename.zip")</f>
        <v>2021.020M.R.Nyamiviridae_sprename.zip</v>
      </c>
      <c r="U8067" s="43" t="str">
        <f>HYPERLINK("https://ictv.global/taxonomy/taxondetails?taxnode_id=202206252","ictv.global=202206252")</f>
        <v>ictv.global=202206252</v>
      </c>
    </row>
    <row r="8068" spans="1:21">
      <c r="A8068">
        <v>8067</v>
      </c>
      <c r="B8068" s="29" t="s">
        <v>3223</v>
      </c>
      <c r="C8068" s="29"/>
      <c r="D8068" s="29" t="s">
        <v>4156</v>
      </c>
      <c r="E8068" s="29"/>
      <c r="F8068" s="29" t="s">
        <v>2998</v>
      </c>
      <c r="G8068" s="29" t="s">
        <v>2999</v>
      </c>
      <c r="H8068" s="29" t="s">
        <v>3006</v>
      </c>
      <c r="I8068" s="29"/>
      <c r="J8068" s="29" t="s">
        <v>757</v>
      </c>
      <c r="K8068" s="29"/>
      <c r="L8068" s="29" t="s">
        <v>1711</v>
      </c>
      <c r="M8068" s="29"/>
      <c r="N8068" s="29" t="s">
        <v>3013</v>
      </c>
      <c r="O8068" s="29"/>
      <c r="P8068" s="29" t="s">
        <v>12932</v>
      </c>
      <c r="Q8068" t="s">
        <v>2039</v>
      </c>
      <c r="R8068" t="s">
        <v>2632</v>
      </c>
      <c r="S8068">
        <v>38</v>
      </c>
      <c r="T8068" s="43" t="str">
        <f>HYPERLINK("https://ictv.global/ictv/proposals/2022.016M.Nyamiviridae_2nsp.zip","2022.016M.Nyamiviridae_2nsp.zip")</f>
        <v>2022.016M.Nyamiviridae_2nsp.zip</v>
      </c>
      <c r="U8068" s="43" t="str">
        <f>HYPERLINK("https://ictv.global/taxonomy/taxondetails?taxnode_id=202214219","ictv.global=202214219")</f>
        <v>ictv.global=202214219</v>
      </c>
    </row>
    <row r="8069" spans="1:21">
      <c r="A8069">
        <v>8068</v>
      </c>
      <c r="B8069" s="29" t="s">
        <v>3223</v>
      </c>
      <c r="C8069" s="29"/>
      <c r="D8069" s="29" t="s">
        <v>4156</v>
      </c>
      <c r="E8069" s="29"/>
      <c r="F8069" s="29" t="s">
        <v>2998</v>
      </c>
      <c r="G8069" s="29" t="s">
        <v>2999</v>
      </c>
      <c r="H8069" s="29" t="s">
        <v>3006</v>
      </c>
      <c r="I8069" s="29"/>
      <c r="J8069" s="29" t="s">
        <v>757</v>
      </c>
      <c r="K8069" s="29"/>
      <c r="L8069" s="29" t="s">
        <v>1711</v>
      </c>
      <c r="M8069" s="29"/>
      <c r="N8069" s="29" t="s">
        <v>2133</v>
      </c>
      <c r="O8069" s="29"/>
      <c r="P8069" s="29" t="s">
        <v>12933</v>
      </c>
      <c r="Q8069" t="s">
        <v>2039</v>
      </c>
      <c r="R8069" t="s">
        <v>2635</v>
      </c>
      <c r="S8069">
        <v>37</v>
      </c>
      <c r="T8069" s="43" t="str">
        <f>HYPERLINK("https://ictv.global/ictv/proposals/2021.020M.R.Nyamiviridae_sprename.zip","2021.020M.R.Nyamiviridae_sprename.zip")</f>
        <v>2021.020M.R.Nyamiviridae_sprename.zip</v>
      </c>
      <c r="U8069" s="43" t="str">
        <f>HYPERLINK("https://ictv.global/taxonomy/taxondetails?taxnode_id=202201585","ictv.global=202201585")</f>
        <v>ictv.global=202201585</v>
      </c>
    </row>
    <row r="8070" spans="1:21">
      <c r="A8070">
        <v>8069</v>
      </c>
      <c r="B8070" s="29" t="s">
        <v>3223</v>
      </c>
      <c r="C8070" s="29"/>
      <c r="D8070" s="29" t="s">
        <v>4156</v>
      </c>
      <c r="E8070" s="29"/>
      <c r="F8070" s="29" t="s">
        <v>2998</v>
      </c>
      <c r="G8070" s="29" t="s">
        <v>2999</v>
      </c>
      <c r="H8070" s="29" t="s">
        <v>3006</v>
      </c>
      <c r="I8070" s="29"/>
      <c r="J8070" s="29" t="s">
        <v>757</v>
      </c>
      <c r="K8070" s="29"/>
      <c r="L8070" s="29" t="s">
        <v>1711</v>
      </c>
      <c r="M8070" s="29"/>
      <c r="N8070" s="29" t="s">
        <v>3014</v>
      </c>
      <c r="O8070" s="29"/>
      <c r="P8070" s="29" t="s">
        <v>12934</v>
      </c>
      <c r="Q8070" t="s">
        <v>2039</v>
      </c>
      <c r="R8070" t="s">
        <v>2635</v>
      </c>
      <c r="S8070">
        <v>37</v>
      </c>
      <c r="T8070" s="43" t="str">
        <f>HYPERLINK("https://ictv.global/ictv/proposals/2021.020M.R.Nyamiviridae_sprename.zip","2021.020M.R.Nyamiviridae_sprename.zip")</f>
        <v>2021.020M.R.Nyamiviridae_sprename.zip</v>
      </c>
      <c r="U8070" s="43" t="str">
        <f>HYPERLINK("https://ictv.global/taxonomy/taxondetails?taxnode_id=202206254","ictv.global=202206254")</f>
        <v>ictv.global=202206254</v>
      </c>
    </row>
    <row r="8071" spans="1:21">
      <c r="A8071">
        <v>8070</v>
      </c>
      <c r="B8071" s="29" t="s">
        <v>3223</v>
      </c>
      <c r="C8071" s="29"/>
      <c r="D8071" s="29" t="s">
        <v>4156</v>
      </c>
      <c r="E8071" s="29"/>
      <c r="F8071" s="29" t="s">
        <v>2998</v>
      </c>
      <c r="G8071" s="29" t="s">
        <v>2999</v>
      </c>
      <c r="H8071" s="29" t="s">
        <v>3006</v>
      </c>
      <c r="I8071" s="29"/>
      <c r="J8071" s="29" t="s">
        <v>757</v>
      </c>
      <c r="K8071" s="29"/>
      <c r="L8071" s="29" t="s">
        <v>1049</v>
      </c>
      <c r="M8071" s="29" t="s">
        <v>3227</v>
      </c>
      <c r="N8071" s="29" t="s">
        <v>3228</v>
      </c>
      <c r="O8071" s="29"/>
      <c r="P8071" s="29" t="s">
        <v>12935</v>
      </c>
      <c r="Q8071" t="s">
        <v>2039</v>
      </c>
      <c r="R8071" t="s">
        <v>2635</v>
      </c>
      <c r="S8071">
        <v>38</v>
      </c>
      <c r="T8071" s="43" t="str">
        <f t="shared" ref="T8071:T8101" si="348">HYPERLINK("https://ictv.global/ictv/proposals/2021.026M.Paramyxoviridae_sprename.zip","2021.026M.Paramyxoviridae_sprename.zip")</f>
        <v>2021.026M.Paramyxoviridae_sprename.zip</v>
      </c>
      <c r="U8071" s="43" t="str">
        <f>HYPERLINK("https://ictv.global/taxonomy/taxondetails?taxnode_id=202201598","ictv.global=202201598")</f>
        <v>ictv.global=202201598</v>
      </c>
    </row>
    <row r="8072" spans="1:21">
      <c r="A8072">
        <v>8071</v>
      </c>
      <c r="B8072" s="29" t="s">
        <v>3223</v>
      </c>
      <c r="C8072" s="29"/>
      <c r="D8072" s="29" t="s">
        <v>4156</v>
      </c>
      <c r="E8072" s="29"/>
      <c r="F8072" s="29" t="s">
        <v>2998</v>
      </c>
      <c r="G8072" s="29" t="s">
        <v>2999</v>
      </c>
      <c r="H8072" s="29" t="s">
        <v>3006</v>
      </c>
      <c r="I8072" s="29"/>
      <c r="J8072" s="29" t="s">
        <v>757</v>
      </c>
      <c r="K8072" s="29"/>
      <c r="L8072" s="29" t="s">
        <v>1049</v>
      </c>
      <c r="M8072" s="29" t="s">
        <v>3227</v>
      </c>
      <c r="N8072" s="29" t="s">
        <v>3228</v>
      </c>
      <c r="O8072" s="29"/>
      <c r="P8072" s="29" t="s">
        <v>12936</v>
      </c>
      <c r="Q8072" t="s">
        <v>2039</v>
      </c>
      <c r="R8072" t="s">
        <v>2635</v>
      </c>
      <c r="S8072">
        <v>38</v>
      </c>
      <c r="T8072" s="43" t="str">
        <f t="shared" si="348"/>
        <v>2021.026M.Paramyxoviridae_sprename.zip</v>
      </c>
      <c r="U8072" s="43" t="str">
        <f>HYPERLINK("https://ictv.global/taxonomy/taxondetails?taxnode_id=202201600","ictv.global=202201600")</f>
        <v>ictv.global=202201600</v>
      </c>
    </row>
    <row r="8073" spans="1:21">
      <c r="A8073">
        <v>8072</v>
      </c>
      <c r="B8073" s="29" t="s">
        <v>3223</v>
      </c>
      <c r="C8073" s="29"/>
      <c r="D8073" s="29" t="s">
        <v>4156</v>
      </c>
      <c r="E8073" s="29"/>
      <c r="F8073" s="29" t="s">
        <v>2998</v>
      </c>
      <c r="G8073" s="29" t="s">
        <v>2999</v>
      </c>
      <c r="H8073" s="29" t="s">
        <v>3006</v>
      </c>
      <c r="I8073" s="29"/>
      <c r="J8073" s="29" t="s">
        <v>757</v>
      </c>
      <c r="K8073" s="29"/>
      <c r="L8073" s="29" t="s">
        <v>1049</v>
      </c>
      <c r="M8073" s="29" t="s">
        <v>3227</v>
      </c>
      <c r="N8073" s="29" t="s">
        <v>3228</v>
      </c>
      <c r="O8073" s="29"/>
      <c r="P8073" s="29" t="s">
        <v>12937</v>
      </c>
      <c r="Q8073" t="s">
        <v>2039</v>
      </c>
      <c r="R8073" t="s">
        <v>2635</v>
      </c>
      <c r="S8073">
        <v>38</v>
      </c>
      <c r="T8073" s="43" t="str">
        <f t="shared" si="348"/>
        <v>2021.026M.Paramyxoviridae_sprename.zip</v>
      </c>
      <c r="U8073" s="43" t="str">
        <f>HYPERLINK("https://ictv.global/taxonomy/taxondetails?taxnode_id=202201601","ictv.global=202201601")</f>
        <v>ictv.global=202201601</v>
      </c>
    </row>
    <row r="8074" spans="1:21">
      <c r="A8074">
        <v>8073</v>
      </c>
      <c r="B8074" s="29" t="s">
        <v>3223</v>
      </c>
      <c r="C8074" s="29"/>
      <c r="D8074" s="29" t="s">
        <v>4156</v>
      </c>
      <c r="E8074" s="29"/>
      <c r="F8074" s="29" t="s">
        <v>2998</v>
      </c>
      <c r="G8074" s="29" t="s">
        <v>2999</v>
      </c>
      <c r="H8074" s="29" t="s">
        <v>3006</v>
      </c>
      <c r="I8074" s="29"/>
      <c r="J8074" s="29" t="s">
        <v>757</v>
      </c>
      <c r="K8074" s="29"/>
      <c r="L8074" s="29" t="s">
        <v>1049</v>
      </c>
      <c r="M8074" s="29" t="s">
        <v>3227</v>
      </c>
      <c r="N8074" s="29" t="s">
        <v>3228</v>
      </c>
      <c r="O8074" s="29"/>
      <c r="P8074" s="29" t="s">
        <v>12938</v>
      </c>
      <c r="Q8074" t="s">
        <v>2039</v>
      </c>
      <c r="R8074" t="s">
        <v>2635</v>
      </c>
      <c r="S8074">
        <v>38</v>
      </c>
      <c r="T8074" s="43" t="str">
        <f t="shared" si="348"/>
        <v>2021.026M.Paramyxoviridae_sprename.zip</v>
      </c>
      <c r="U8074" s="43" t="str">
        <f>HYPERLINK("https://ictv.global/taxonomy/taxondetails?taxnode_id=202201596","ictv.global=202201596")</f>
        <v>ictv.global=202201596</v>
      </c>
    </row>
    <row r="8075" spans="1:21">
      <c r="A8075">
        <v>8074</v>
      </c>
      <c r="B8075" s="29" t="s">
        <v>3223</v>
      </c>
      <c r="C8075" s="29"/>
      <c r="D8075" s="29" t="s">
        <v>4156</v>
      </c>
      <c r="E8075" s="29"/>
      <c r="F8075" s="29" t="s">
        <v>2998</v>
      </c>
      <c r="G8075" s="29" t="s">
        <v>2999</v>
      </c>
      <c r="H8075" s="29" t="s">
        <v>3006</v>
      </c>
      <c r="I8075" s="29"/>
      <c r="J8075" s="29" t="s">
        <v>757</v>
      </c>
      <c r="K8075" s="29"/>
      <c r="L8075" s="29" t="s">
        <v>1049</v>
      </c>
      <c r="M8075" s="29" t="s">
        <v>3227</v>
      </c>
      <c r="N8075" s="29" t="s">
        <v>3228</v>
      </c>
      <c r="O8075" s="29"/>
      <c r="P8075" s="29" t="s">
        <v>12939</v>
      </c>
      <c r="Q8075" t="s">
        <v>2039</v>
      </c>
      <c r="R8075" t="s">
        <v>2635</v>
      </c>
      <c r="S8075">
        <v>38</v>
      </c>
      <c r="T8075" s="43" t="str">
        <f t="shared" si="348"/>
        <v>2021.026M.Paramyxoviridae_sprename.zip</v>
      </c>
      <c r="U8075" s="43" t="str">
        <f>HYPERLINK("https://ictv.global/taxonomy/taxondetails?taxnode_id=202205574","ictv.global=202205574")</f>
        <v>ictv.global=202205574</v>
      </c>
    </row>
    <row r="8076" spans="1:21">
      <c r="A8076">
        <v>8075</v>
      </c>
      <c r="B8076" s="29" t="s">
        <v>3223</v>
      </c>
      <c r="C8076" s="29"/>
      <c r="D8076" s="29" t="s">
        <v>4156</v>
      </c>
      <c r="E8076" s="29"/>
      <c r="F8076" s="29" t="s">
        <v>2998</v>
      </c>
      <c r="G8076" s="29" t="s">
        <v>2999</v>
      </c>
      <c r="H8076" s="29" t="s">
        <v>3006</v>
      </c>
      <c r="I8076" s="29"/>
      <c r="J8076" s="29" t="s">
        <v>757</v>
      </c>
      <c r="K8076" s="29"/>
      <c r="L8076" s="29" t="s">
        <v>1049</v>
      </c>
      <c r="M8076" s="29" t="s">
        <v>3227</v>
      </c>
      <c r="N8076" s="29" t="s">
        <v>3228</v>
      </c>
      <c r="O8076" s="29"/>
      <c r="P8076" s="29" t="s">
        <v>12940</v>
      </c>
      <c r="Q8076" t="s">
        <v>2039</v>
      </c>
      <c r="R8076" t="s">
        <v>2635</v>
      </c>
      <c r="S8076">
        <v>38</v>
      </c>
      <c r="T8076" s="43" t="str">
        <f t="shared" si="348"/>
        <v>2021.026M.Paramyxoviridae_sprename.zip</v>
      </c>
      <c r="U8076" s="43" t="str">
        <f>HYPERLINK("https://ictv.global/taxonomy/taxondetails?taxnode_id=202206448","ictv.global=202206448")</f>
        <v>ictv.global=202206448</v>
      </c>
    </row>
    <row r="8077" spans="1:21">
      <c r="A8077">
        <v>8076</v>
      </c>
      <c r="B8077" s="29" t="s">
        <v>3223</v>
      </c>
      <c r="C8077" s="29"/>
      <c r="D8077" s="29" t="s">
        <v>4156</v>
      </c>
      <c r="E8077" s="29"/>
      <c r="F8077" s="29" t="s">
        <v>2998</v>
      </c>
      <c r="G8077" s="29" t="s">
        <v>2999</v>
      </c>
      <c r="H8077" s="29" t="s">
        <v>3006</v>
      </c>
      <c r="I8077" s="29"/>
      <c r="J8077" s="29" t="s">
        <v>757</v>
      </c>
      <c r="K8077" s="29"/>
      <c r="L8077" s="29" t="s">
        <v>1049</v>
      </c>
      <c r="M8077" s="29" t="s">
        <v>3227</v>
      </c>
      <c r="N8077" s="29" t="s">
        <v>3228</v>
      </c>
      <c r="O8077" s="29"/>
      <c r="P8077" s="29" t="s">
        <v>12941</v>
      </c>
      <c r="Q8077" t="s">
        <v>2039</v>
      </c>
      <c r="R8077" t="s">
        <v>2635</v>
      </c>
      <c r="S8077">
        <v>38</v>
      </c>
      <c r="T8077" s="43" t="str">
        <f t="shared" si="348"/>
        <v>2021.026M.Paramyxoviridae_sprename.zip</v>
      </c>
      <c r="U8077" s="43" t="str">
        <f>HYPERLINK("https://ictv.global/taxonomy/taxondetails?taxnode_id=202201595","ictv.global=202201595")</f>
        <v>ictv.global=202201595</v>
      </c>
    </row>
    <row r="8078" spans="1:21">
      <c r="A8078">
        <v>8077</v>
      </c>
      <c r="B8078" s="29" t="s">
        <v>3223</v>
      </c>
      <c r="C8078" s="29"/>
      <c r="D8078" s="29" t="s">
        <v>4156</v>
      </c>
      <c r="E8078" s="29"/>
      <c r="F8078" s="29" t="s">
        <v>2998</v>
      </c>
      <c r="G8078" s="29" t="s">
        <v>2999</v>
      </c>
      <c r="H8078" s="29" t="s">
        <v>3006</v>
      </c>
      <c r="I8078" s="29"/>
      <c r="J8078" s="29" t="s">
        <v>757</v>
      </c>
      <c r="K8078" s="29"/>
      <c r="L8078" s="29" t="s">
        <v>1049</v>
      </c>
      <c r="M8078" s="29" t="s">
        <v>3227</v>
      </c>
      <c r="N8078" s="29" t="s">
        <v>3228</v>
      </c>
      <c r="O8078" s="29"/>
      <c r="P8078" s="29" t="s">
        <v>12942</v>
      </c>
      <c r="Q8078" t="s">
        <v>2039</v>
      </c>
      <c r="R8078" t="s">
        <v>2635</v>
      </c>
      <c r="S8078">
        <v>38</v>
      </c>
      <c r="T8078" s="43" t="str">
        <f t="shared" si="348"/>
        <v>2021.026M.Paramyxoviridae_sprename.zip</v>
      </c>
      <c r="U8078" s="43" t="str">
        <f>HYPERLINK("https://ictv.global/taxonomy/taxondetails?taxnode_id=202205575","ictv.global=202205575")</f>
        <v>ictv.global=202205575</v>
      </c>
    </row>
    <row r="8079" spans="1:21">
      <c r="A8079">
        <v>8078</v>
      </c>
      <c r="B8079" s="29" t="s">
        <v>3223</v>
      </c>
      <c r="C8079" s="29"/>
      <c r="D8079" s="29" t="s">
        <v>4156</v>
      </c>
      <c r="E8079" s="29"/>
      <c r="F8079" s="29" t="s">
        <v>2998</v>
      </c>
      <c r="G8079" s="29" t="s">
        <v>2999</v>
      </c>
      <c r="H8079" s="29" t="s">
        <v>3006</v>
      </c>
      <c r="I8079" s="29"/>
      <c r="J8079" s="29" t="s">
        <v>757</v>
      </c>
      <c r="K8079" s="29"/>
      <c r="L8079" s="29" t="s">
        <v>1049</v>
      </c>
      <c r="M8079" s="29" t="s">
        <v>3227</v>
      </c>
      <c r="N8079" s="29" t="s">
        <v>3228</v>
      </c>
      <c r="O8079" s="29"/>
      <c r="P8079" s="29" t="s">
        <v>12943</v>
      </c>
      <c r="Q8079" t="s">
        <v>2039</v>
      </c>
      <c r="R8079" t="s">
        <v>2635</v>
      </c>
      <c r="S8079">
        <v>38</v>
      </c>
      <c r="T8079" s="43" t="str">
        <f t="shared" si="348"/>
        <v>2021.026M.Paramyxoviridae_sprename.zip</v>
      </c>
      <c r="U8079" s="43" t="str">
        <f>HYPERLINK("https://ictv.global/taxonomy/taxondetails?taxnode_id=202209286","ictv.global=202209286")</f>
        <v>ictv.global=202209286</v>
      </c>
    </row>
    <row r="8080" spans="1:21">
      <c r="A8080">
        <v>8079</v>
      </c>
      <c r="B8080" s="29" t="s">
        <v>3223</v>
      </c>
      <c r="C8080" s="29"/>
      <c r="D8080" s="29" t="s">
        <v>4156</v>
      </c>
      <c r="E8080" s="29"/>
      <c r="F8080" s="29" t="s">
        <v>2998</v>
      </c>
      <c r="G8080" s="29" t="s">
        <v>2999</v>
      </c>
      <c r="H8080" s="29" t="s">
        <v>3006</v>
      </c>
      <c r="I8080" s="29"/>
      <c r="J8080" s="29" t="s">
        <v>757</v>
      </c>
      <c r="K8080" s="29"/>
      <c r="L8080" s="29" t="s">
        <v>1049</v>
      </c>
      <c r="M8080" s="29" t="s">
        <v>3227</v>
      </c>
      <c r="N8080" s="29" t="s">
        <v>3228</v>
      </c>
      <c r="O8080" s="29"/>
      <c r="P8080" s="29" t="s">
        <v>12944</v>
      </c>
      <c r="Q8080" t="s">
        <v>2039</v>
      </c>
      <c r="R8080" t="s">
        <v>2635</v>
      </c>
      <c r="S8080">
        <v>38</v>
      </c>
      <c r="T8080" s="43" t="str">
        <f t="shared" si="348"/>
        <v>2021.026M.Paramyxoviridae_sprename.zip</v>
      </c>
      <c r="U8080" s="43" t="str">
        <f>HYPERLINK("https://ictv.global/taxonomy/taxondetails?taxnode_id=202201597","ictv.global=202201597")</f>
        <v>ictv.global=202201597</v>
      </c>
    </row>
    <row r="8081" spans="1:21">
      <c r="A8081">
        <v>8080</v>
      </c>
      <c r="B8081" s="29" t="s">
        <v>3223</v>
      </c>
      <c r="C8081" s="29"/>
      <c r="D8081" s="29" t="s">
        <v>4156</v>
      </c>
      <c r="E8081" s="29"/>
      <c r="F8081" s="29" t="s">
        <v>2998</v>
      </c>
      <c r="G8081" s="29" t="s">
        <v>2999</v>
      </c>
      <c r="H8081" s="29" t="s">
        <v>3006</v>
      </c>
      <c r="I8081" s="29"/>
      <c r="J8081" s="29" t="s">
        <v>757</v>
      </c>
      <c r="K8081" s="29"/>
      <c r="L8081" s="29" t="s">
        <v>1049</v>
      </c>
      <c r="M8081" s="29" t="s">
        <v>3227</v>
      </c>
      <c r="N8081" s="29" t="s">
        <v>3228</v>
      </c>
      <c r="O8081" s="29"/>
      <c r="P8081" s="29" t="s">
        <v>12945</v>
      </c>
      <c r="Q8081" t="s">
        <v>2039</v>
      </c>
      <c r="R8081" t="s">
        <v>2635</v>
      </c>
      <c r="S8081">
        <v>38</v>
      </c>
      <c r="T8081" s="43" t="str">
        <f t="shared" si="348"/>
        <v>2021.026M.Paramyxoviridae_sprename.zip</v>
      </c>
      <c r="U8081" s="43" t="str">
        <f>HYPERLINK("https://ictv.global/taxonomy/taxondetails?taxnode_id=202201592","ictv.global=202201592")</f>
        <v>ictv.global=202201592</v>
      </c>
    </row>
    <row r="8082" spans="1:21">
      <c r="A8082">
        <v>8081</v>
      </c>
      <c r="B8082" s="29" t="s">
        <v>3223</v>
      </c>
      <c r="C8082" s="29"/>
      <c r="D8082" s="29" t="s">
        <v>4156</v>
      </c>
      <c r="E8082" s="29"/>
      <c r="F8082" s="29" t="s">
        <v>2998</v>
      </c>
      <c r="G8082" s="29" t="s">
        <v>2999</v>
      </c>
      <c r="H8082" s="29" t="s">
        <v>3006</v>
      </c>
      <c r="I8082" s="29"/>
      <c r="J8082" s="29" t="s">
        <v>757</v>
      </c>
      <c r="K8082" s="29"/>
      <c r="L8082" s="29" t="s">
        <v>1049</v>
      </c>
      <c r="M8082" s="29" t="s">
        <v>3227</v>
      </c>
      <c r="N8082" s="29" t="s">
        <v>3229</v>
      </c>
      <c r="O8082" s="29"/>
      <c r="P8082" s="29" t="s">
        <v>12946</v>
      </c>
      <c r="Q8082" t="s">
        <v>2039</v>
      </c>
      <c r="R8082" t="s">
        <v>2635</v>
      </c>
      <c r="S8082">
        <v>38</v>
      </c>
      <c r="T8082" s="43" t="str">
        <f t="shared" si="348"/>
        <v>2021.026M.Paramyxoviridae_sprename.zip</v>
      </c>
      <c r="U8082" s="43" t="str">
        <f>HYPERLINK("https://ictv.global/taxonomy/taxondetails?taxnode_id=202205577","ictv.global=202205577")</f>
        <v>ictv.global=202205577</v>
      </c>
    </row>
    <row r="8083" spans="1:21">
      <c r="A8083">
        <v>8082</v>
      </c>
      <c r="B8083" s="29" t="s">
        <v>3223</v>
      </c>
      <c r="C8083" s="29"/>
      <c r="D8083" s="29" t="s">
        <v>4156</v>
      </c>
      <c r="E8083" s="29"/>
      <c r="F8083" s="29" t="s">
        <v>2998</v>
      </c>
      <c r="G8083" s="29" t="s">
        <v>2999</v>
      </c>
      <c r="H8083" s="29" t="s">
        <v>3006</v>
      </c>
      <c r="I8083" s="29"/>
      <c r="J8083" s="29" t="s">
        <v>757</v>
      </c>
      <c r="K8083" s="29"/>
      <c r="L8083" s="29" t="s">
        <v>1049</v>
      </c>
      <c r="M8083" s="29" t="s">
        <v>3227</v>
      </c>
      <c r="N8083" s="29" t="s">
        <v>3229</v>
      </c>
      <c r="O8083" s="29"/>
      <c r="P8083" s="29" t="s">
        <v>12947</v>
      </c>
      <c r="Q8083" t="s">
        <v>2039</v>
      </c>
      <c r="R8083" t="s">
        <v>2635</v>
      </c>
      <c r="S8083">
        <v>38</v>
      </c>
      <c r="T8083" s="43" t="str">
        <f t="shared" si="348"/>
        <v>2021.026M.Paramyxoviridae_sprename.zip</v>
      </c>
      <c r="U8083" s="43" t="str">
        <f>HYPERLINK("https://ictv.global/taxonomy/taxondetails?taxnode_id=202201602","ictv.global=202201602")</f>
        <v>ictv.global=202201602</v>
      </c>
    </row>
    <row r="8084" spans="1:21">
      <c r="A8084">
        <v>8083</v>
      </c>
      <c r="B8084" s="29" t="s">
        <v>3223</v>
      </c>
      <c r="C8084" s="29"/>
      <c r="D8084" s="29" t="s">
        <v>4156</v>
      </c>
      <c r="E8084" s="29"/>
      <c r="F8084" s="29" t="s">
        <v>2998</v>
      </c>
      <c r="G8084" s="29" t="s">
        <v>2999</v>
      </c>
      <c r="H8084" s="29" t="s">
        <v>3006</v>
      </c>
      <c r="I8084" s="29"/>
      <c r="J8084" s="29" t="s">
        <v>757</v>
      </c>
      <c r="K8084" s="29"/>
      <c r="L8084" s="29" t="s">
        <v>1049</v>
      </c>
      <c r="M8084" s="29" t="s">
        <v>3227</v>
      </c>
      <c r="N8084" s="29" t="s">
        <v>3229</v>
      </c>
      <c r="O8084" s="29"/>
      <c r="P8084" s="29" t="s">
        <v>12948</v>
      </c>
      <c r="Q8084" t="s">
        <v>2039</v>
      </c>
      <c r="R8084" t="s">
        <v>2635</v>
      </c>
      <c r="S8084">
        <v>38</v>
      </c>
      <c r="T8084" s="43" t="str">
        <f t="shared" si="348"/>
        <v>2021.026M.Paramyxoviridae_sprename.zip</v>
      </c>
      <c r="U8084" s="43" t="str">
        <f>HYPERLINK("https://ictv.global/taxonomy/taxondetails?taxnode_id=202201603","ictv.global=202201603")</f>
        <v>ictv.global=202201603</v>
      </c>
    </row>
    <row r="8085" spans="1:21">
      <c r="A8085">
        <v>8084</v>
      </c>
      <c r="B8085" s="29" t="s">
        <v>3223</v>
      </c>
      <c r="C8085" s="29"/>
      <c r="D8085" s="29" t="s">
        <v>4156</v>
      </c>
      <c r="E8085" s="29"/>
      <c r="F8085" s="29" t="s">
        <v>2998</v>
      </c>
      <c r="G8085" s="29" t="s">
        <v>2999</v>
      </c>
      <c r="H8085" s="29" t="s">
        <v>3006</v>
      </c>
      <c r="I8085" s="29"/>
      <c r="J8085" s="29" t="s">
        <v>757</v>
      </c>
      <c r="K8085" s="29"/>
      <c r="L8085" s="29" t="s">
        <v>1049</v>
      </c>
      <c r="M8085" s="29" t="s">
        <v>3227</v>
      </c>
      <c r="N8085" s="29" t="s">
        <v>3229</v>
      </c>
      <c r="O8085" s="29"/>
      <c r="P8085" s="29" t="s">
        <v>12949</v>
      </c>
      <c r="Q8085" t="s">
        <v>2039</v>
      </c>
      <c r="R8085" t="s">
        <v>2635</v>
      </c>
      <c r="S8085">
        <v>38</v>
      </c>
      <c r="T8085" s="43" t="str">
        <f t="shared" si="348"/>
        <v>2021.026M.Paramyxoviridae_sprename.zip</v>
      </c>
      <c r="U8085" s="43" t="str">
        <f>HYPERLINK("https://ictv.global/taxonomy/taxondetails?taxnode_id=202201591","ictv.global=202201591")</f>
        <v>ictv.global=202201591</v>
      </c>
    </row>
    <row r="8086" spans="1:21">
      <c r="A8086">
        <v>8085</v>
      </c>
      <c r="B8086" s="29" t="s">
        <v>3223</v>
      </c>
      <c r="C8086" s="29"/>
      <c r="D8086" s="29" t="s">
        <v>4156</v>
      </c>
      <c r="E8086" s="29"/>
      <c r="F8086" s="29" t="s">
        <v>2998</v>
      </c>
      <c r="G8086" s="29" t="s">
        <v>2999</v>
      </c>
      <c r="H8086" s="29" t="s">
        <v>3006</v>
      </c>
      <c r="I8086" s="29"/>
      <c r="J8086" s="29" t="s">
        <v>757</v>
      </c>
      <c r="K8086" s="29"/>
      <c r="L8086" s="29" t="s">
        <v>1049</v>
      </c>
      <c r="M8086" s="29" t="s">
        <v>3227</v>
      </c>
      <c r="N8086" s="29" t="s">
        <v>3229</v>
      </c>
      <c r="O8086" s="29"/>
      <c r="P8086" s="29" t="s">
        <v>12950</v>
      </c>
      <c r="Q8086" t="s">
        <v>2039</v>
      </c>
      <c r="R8086" t="s">
        <v>2635</v>
      </c>
      <c r="S8086">
        <v>38</v>
      </c>
      <c r="T8086" s="43" t="str">
        <f t="shared" si="348"/>
        <v>2021.026M.Paramyxoviridae_sprename.zip</v>
      </c>
      <c r="U8086" s="43" t="str">
        <f>HYPERLINK("https://ictv.global/taxonomy/taxondetails?taxnode_id=202205578","ictv.global=202205578")</f>
        <v>ictv.global=202205578</v>
      </c>
    </row>
    <row r="8087" spans="1:21">
      <c r="A8087">
        <v>8086</v>
      </c>
      <c r="B8087" s="29" t="s">
        <v>3223</v>
      </c>
      <c r="C8087" s="29"/>
      <c r="D8087" s="29" t="s">
        <v>4156</v>
      </c>
      <c r="E8087" s="29"/>
      <c r="F8087" s="29" t="s">
        <v>2998</v>
      </c>
      <c r="G8087" s="29" t="s">
        <v>2999</v>
      </c>
      <c r="H8087" s="29" t="s">
        <v>3006</v>
      </c>
      <c r="I8087" s="29"/>
      <c r="J8087" s="29" t="s">
        <v>757</v>
      </c>
      <c r="K8087" s="29"/>
      <c r="L8087" s="29" t="s">
        <v>1049</v>
      </c>
      <c r="M8087" s="29" t="s">
        <v>3227</v>
      </c>
      <c r="N8087" s="29" t="s">
        <v>3229</v>
      </c>
      <c r="O8087" s="29"/>
      <c r="P8087" s="29" t="s">
        <v>12951</v>
      </c>
      <c r="Q8087" t="s">
        <v>2039</v>
      </c>
      <c r="R8087" t="s">
        <v>2635</v>
      </c>
      <c r="S8087">
        <v>38</v>
      </c>
      <c r="T8087" s="43" t="str">
        <f t="shared" si="348"/>
        <v>2021.026M.Paramyxoviridae_sprename.zip</v>
      </c>
      <c r="U8087" s="43" t="str">
        <f>HYPERLINK("https://ictv.global/taxonomy/taxondetails?taxnode_id=202207416","ictv.global=202207416")</f>
        <v>ictv.global=202207416</v>
      </c>
    </row>
    <row r="8088" spans="1:21">
      <c r="A8088">
        <v>8087</v>
      </c>
      <c r="B8088" s="29" t="s">
        <v>3223</v>
      </c>
      <c r="C8088" s="29"/>
      <c r="D8088" s="29" t="s">
        <v>4156</v>
      </c>
      <c r="E8088" s="29"/>
      <c r="F8088" s="29" t="s">
        <v>2998</v>
      </c>
      <c r="G8088" s="29" t="s">
        <v>2999</v>
      </c>
      <c r="H8088" s="29" t="s">
        <v>3006</v>
      </c>
      <c r="I8088" s="29"/>
      <c r="J8088" s="29" t="s">
        <v>757</v>
      </c>
      <c r="K8088" s="29"/>
      <c r="L8088" s="29" t="s">
        <v>1049</v>
      </c>
      <c r="M8088" s="29" t="s">
        <v>3227</v>
      </c>
      <c r="N8088" s="29" t="s">
        <v>3229</v>
      </c>
      <c r="O8088" s="29"/>
      <c r="P8088" s="29" t="s">
        <v>12952</v>
      </c>
      <c r="Q8088" t="s">
        <v>2039</v>
      </c>
      <c r="R8088" t="s">
        <v>2635</v>
      </c>
      <c r="S8088">
        <v>38</v>
      </c>
      <c r="T8088" s="43" t="str">
        <f t="shared" si="348"/>
        <v>2021.026M.Paramyxoviridae_sprename.zip</v>
      </c>
      <c r="U8088" s="43" t="str">
        <f>HYPERLINK("https://ictv.global/taxonomy/taxondetails?taxnode_id=202201599","ictv.global=202201599")</f>
        <v>ictv.global=202201599</v>
      </c>
    </row>
    <row r="8089" spans="1:21">
      <c r="A8089">
        <v>8088</v>
      </c>
      <c r="B8089" s="29" t="s">
        <v>3223</v>
      </c>
      <c r="C8089" s="29"/>
      <c r="D8089" s="29" t="s">
        <v>4156</v>
      </c>
      <c r="E8089" s="29"/>
      <c r="F8089" s="29" t="s">
        <v>2998</v>
      </c>
      <c r="G8089" s="29" t="s">
        <v>2999</v>
      </c>
      <c r="H8089" s="29" t="s">
        <v>3006</v>
      </c>
      <c r="I8089" s="29"/>
      <c r="J8089" s="29" t="s">
        <v>757</v>
      </c>
      <c r="K8089" s="29"/>
      <c r="L8089" s="29" t="s">
        <v>1049</v>
      </c>
      <c r="M8089" s="29" t="s">
        <v>3227</v>
      </c>
      <c r="N8089" s="29" t="s">
        <v>3229</v>
      </c>
      <c r="O8089" s="29"/>
      <c r="P8089" s="29" t="s">
        <v>12953</v>
      </c>
      <c r="Q8089" t="s">
        <v>2039</v>
      </c>
      <c r="R8089" t="s">
        <v>2635</v>
      </c>
      <c r="S8089">
        <v>38</v>
      </c>
      <c r="T8089" s="43" t="str">
        <f t="shared" si="348"/>
        <v>2021.026M.Paramyxoviridae_sprename.zip</v>
      </c>
      <c r="U8089" s="43" t="str">
        <f>HYPERLINK("https://ictv.global/taxonomy/taxondetails?taxnode_id=202205579","ictv.global=202205579")</f>
        <v>ictv.global=202205579</v>
      </c>
    </row>
    <row r="8090" spans="1:21">
      <c r="A8090">
        <v>8089</v>
      </c>
      <c r="B8090" s="29" t="s">
        <v>3223</v>
      </c>
      <c r="C8090" s="29"/>
      <c r="D8090" s="29" t="s">
        <v>4156</v>
      </c>
      <c r="E8090" s="29"/>
      <c r="F8090" s="29" t="s">
        <v>2998</v>
      </c>
      <c r="G8090" s="29" t="s">
        <v>2999</v>
      </c>
      <c r="H8090" s="29" t="s">
        <v>3006</v>
      </c>
      <c r="I8090" s="29"/>
      <c r="J8090" s="29" t="s">
        <v>757</v>
      </c>
      <c r="K8090" s="29"/>
      <c r="L8090" s="29" t="s">
        <v>1049</v>
      </c>
      <c r="M8090" s="29" t="s">
        <v>3227</v>
      </c>
      <c r="N8090" s="29" t="s">
        <v>3229</v>
      </c>
      <c r="O8090" s="29"/>
      <c r="P8090" s="29" t="s">
        <v>12954</v>
      </c>
      <c r="Q8090" t="s">
        <v>2039</v>
      </c>
      <c r="R8090" t="s">
        <v>2635</v>
      </c>
      <c r="S8090">
        <v>38</v>
      </c>
      <c r="T8090" s="43" t="str">
        <f t="shared" si="348"/>
        <v>2021.026M.Paramyxoviridae_sprename.zip</v>
      </c>
      <c r="U8090" s="43" t="str">
        <f>HYPERLINK("https://ictv.global/taxonomy/taxondetails?taxnode_id=202205576","ictv.global=202205576")</f>
        <v>ictv.global=202205576</v>
      </c>
    </row>
    <row r="8091" spans="1:21">
      <c r="A8091">
        <v>8090</v>
      </c>
      <c r="B8091" s="29" t="s">
        <v>3223</v>
      </c>
      <c r="C8091" s="29"/>
      <c r="D8091" s="29" t="s">
        <v>4156</v>
      </c>
      <c r="E8091" s="29"/>
      <c r="F8091" s="29" t="s">
        <v>2998</v>
      </c>
      <c r="G8091" s="29" t="s">
        <v>2999</v>
      </c>
      <c r="H8091" s="29" t="s">
        <v>3006</v>
      </c>
      <c r="I8091" s="29"/>
      <c r="J8091" s="29" t="s">
        <v>757</v>
      </c>
      <c r="K8091" s="29"/>
      <c r="L8091" s="29" t="s">
        <v>1049</v>
      </c>
      <c r="M8091" s="29" t="s">
        <v>3227</v>
      </c>
      <c r="N8091" s="29" t="s">
        <v>3230</v>
      </c>
      <c r="O8091" s="29"/>
      <c r="P8091" s="29" t="s">
        <v>12955</v>
      </c>
      <c r="Q8091" t="s">
        <v>2039</v>
      </c>
      <c r="R8091" t="s">
        <v>2635</v>
      </c>
      <c r="S8091">
        <v>38</v>
      </c>
      <c r="T8091" s="43" t="str">
        <f t="shared" si="348"/>
        <v>2021.026M.Paramyxoviridae_sprename.zip</v>
      </c>
      <c r="U8091" s="43" t="str">
        <f>HYPERLINK("https://ictv.global/taxonomy/taxondetails?taxnode_id=202201594","ictv.global=202201594")</f>
        <v>ictv.global=202201594</v>
      </c>
    </row>
    <row r="8092" spans="1:21">
      <c r="A8092">
        <v>8091</v>
      </c>
      <c r="B8092" s="29" t="s">
        <v>3223</v>
      </c>
      <c r="C8092" s="29"/>
      <c r="D8092" s="29" t="s">
        <v>4156</v>
      </c>
      <c r="E8092" s="29"/>
      <c r="F8092" s="29" t="s">
        <v>2998</v>
      </c>
      <c r="G8092" s="29" t="s">
        <v>2999</v>
      </c>
      <c r="H8092" s="29" t="s">
        <v>3006</v>
      </c>
      <c r="I8092" s="29"/>
      <c r="J8092" s="29" t="s">
        <v>757</v>
      </c>
      <c r="K8092" s="29"/>
      <c r="L8092" s="29" t="s">
        <v>1049</v>
      </c>
      <c r="M8092" s="29" t="s">
        <v>3227</v>
      </c>
      <c r="N8092" s="29" t="s">
        <v>3230</v>
      </c>
      <c r="O8092" s="29"/>
      <c r="P8092" s="29" t="s">
        <v>12956</v>
      </c>
      <c r="Q8092" t="s">
        <v>2039</v>
      </c>
      <c r="R8092" t="s">
        <v>2635</v>
      </c>
      <c r="S8092">
        <v>38</v>
      </c>
      <c r="T8092" s="43" t="str">
        <f t="shared" si="348"/>
        <v>2021.026M.Paramyxoviridae_sprename.zip</v>
      </c>
      <c r="U8092" s="43" t="str">
        <f>HYPERLINK("https://ictv.global/taxonomy/taxondetails?taxnode_id=202201593","ictv.global=202201593")</f>
        <v>ictv.global=202201593</v>
      </c>
    </row>
    <row r="8093" spans="1:21">
      <c r="A8093">
        <v>8092</v>
      </c>
      <c r="B8093" s="29" t="s">
        <v>3223</v>
      </c>
      <c r="C8093" s="29"/>
      <c r="D8093" s="29" t="s">
        <v>4156</v>
      </c>
      <c r="E8093" s="29"/>
      <c r="F8093" s="29" t="s">
        <v>2998</v>
      </c>
      <c r="G8093" s="29" t="s">
        <v>2999</v>
      </c>
      <c r="H8093" s="29" t="s">
        <v>3006</v>
      </c>
      <c r="I8093" s="29"/>
      <c r="J8093" s="29" t="s">
        <v>757</v>
      </c>
      <c r="K8093" s="29"/>
      <c r="L8093" s="29" t="s">
        <v>1049</v>
      </c>
      <c r="M8093" s="29" t="s">
        <v>3231</v>
      </c>
      <c r="N8093" s="29" t="s">
        <v>3232</v>
      </c>
      <c r="O8093" s="29"/>
      <c r="P8093" s="29" t="s">
        <v>12957</v>
      </c>
      <c r="Q8093" t="s">
        <v>2039</v>
      </c>
      <c r="R8093" t="s">
        <v>2635</v>
      </c>
      <c r="S8093">
        <v>38</v>
      </c>
      <c r="T8093" s="43" t="str">
        <f t="shared" si="348"/>
        <v>2021.026M.Paramyxoviridae_sprename.zip</v>
      </c>
      <c r="U8093" s="43" t="str">
        <f>HYPERLINK("https://ictv.global/taxonomy/taxondetails?taxnode_id=202206472","ictv.global=202206472")</f>
        <v>ictv.global=202206472</v>
      </c>
    </row>
    <row r="8094" spans="1:21">
      <c r="A8094">
        <v>8093</v>
      </c>
      <c r="B8094" s="29" t="s">
        <v>3223</v>
      </c>
      <c r="C8094" s="29"/>
      <c r="D8094" s="29" t="s">
        <v>4156</v>
      </c>
      <c r="E8094" s="29"/>
      <c r="F8094" s="29" t="s">
        <v>2998</v>
      </c>
      <c r="G8094" s="29" t="s">
        <v>2999</v>
      </c>
      <c r="H8094" s="29" t="s">
        <v>3006</v>
      </c>
      <c r="I8094" s="29"/>
      <c r="J8094" s="29" t="s">
        <v>757</v>
      </c>
      <c r="K8094" s="29"/>
      <c r="L8094" s="29" t="s">
        <v>1049</v>
      </c>
      <c r="M8094" s="29" t="s">
        <v>3233</v>
      </c>
      <c r="N8094" s="29" t="s">
        <v>1001</v>
      </c>
      <c r="O8094" s="29"/>
      <c r="P8094" s="29" t="s">
        <v>12958</v>
      </c>
      <c r="Q8094" t="s">
        <v>2039</v>
      </c>
      <c r="R8094" t="s">
        <v>2635</v>
      </c>
      <c r="S8094">
        <v>38</v>
      </c>
      <c r="T8094" s="43" t="str">
        <f t="shared" si="348"/>
        <v>2021.026M.Paramyxoviridae_sprename.zip</v>
      </c>
      <c r="U8094" s="43" t="str">
        <f>HYPERLINK("https://ictv.global/taxonomy/taxondetails?taxnode_id=202207559","ictv.global=202207559")</f>
        <v>ictv.global=202207559</v>
      </c>
    </row>
    <row r="8095" spans="1:21">
      <c r="A8095">
        <v>8094</v>
      </c>
      <c r="B8095" s="29" t="s">
        <v>3223</v>
      </c>
      <c r="C8095" s="29"/>
      <c r="D8095" s="29" t="s">
        <v>4156</v>
      </c>
      <c r="E8095" s="29"/>
      <c r="F8095" s="29" t="s">
        <v>2998</v>
      </c>
      <c r="G8095" s="29" t="s">
        <v>2999</v>
      </c>
      <c r="H8095" s="29" t="s">
        <v>3006</v>
      </c>
      <c r="I8095" s="29"/>
      <c r="J8095" s="29" t="s">
        <v>757</v>
      </c>
      <c r="K8095" s="29"/>
      <c r="L8095" s="29" t="s">
        <v>1049</v>
      </c>
      <c r="M8095" s="29" t="s">
        <v>3233</v>
      </c>
      <c r="N8095" s="29" t="s">
        <v>1001</v>
      </c>
      <c r="O8095" s="29"/>
      <c r="P8095" s="29" t="s">
        <v>12959</v>
      </c>
      <c r="Q8095" t="s">
        <v>2039</v>
      </c>
      <c r="R8095" t="s">
        <v>2635</v>
      </c>
      <c r="S8095">
        <v>38</v>
      </c>
      <c r="T8095" s="43" t="str">
        <f t="shared" si="348"/>
        <v>2021.026M.Paramyxoviridae_sprename.zip</v>
      </c>
      <c r="U8095" s="43" t="str">
        <f>HYPERLINK("https://ictv.global/taxonomy/taxondetails?taxnode_id=202201589","ictv.global=202201589")</f>
        <v>ictv.global=202201589</v>
      </c>
    </row>
    <row r="8096" spans="1:21">
      <c r="A8096">
        <v>8095</v>
      </c>
      <c r="B8096" s="29" t="s">
        <v>3223</v>
      </c>
      <c r="C8096" s="29"/>
      <c r="D8096" s="29" t="s">
        <v>4156</v>
      </c>
      <c r="E8096" s="29"/>
      <c r="F8096" s="29" t="s">
        <v>2998</v>
      </c>
      <c r="G8096" s="29" t="s">
        <v>2999</v>
      </c>
      <c r="H8096" s="29" t="s">
        <v>3006</v>
      </c>
      <c r="I8096" s="29"/>
      <c r="J8096" s="29" t="s">
        <v>757</v>
      </c>
      <c r="K8096" s="29"/>
      <c r="L8096" s="29" t="s">
        <v>1049</v>
      </c>
      <c r="M8096" s="29" t="s">
        <v>3233</v>
      </c>
      <c r="N8096" s="29" t="s">
        <v>1002</v>
      </c>
      <c r="O8096" s="29"/>
      <c r="P8096" s="29" t="s">
        <v>12960</v>
      </c>
      <c r="Q8096" t="s">
        <v>2039</v>
      </c>
      <c r="R8096" t="s">
        <v>2635</v>
      </c>
      <c r="S8096">
        <v>38</v>
      </c>
      <c r="T8096" s="43" t="str">
        <f t="shared" si="348"/>
        <v>2021.026M.Paramyxoviridae_sprename.zip</v>
      </c>
      <c r="U8096" s="43" t="str">
        <f>HYPERLINK("https://ictv.global/taxonomy/taxondetails?taxnode_id=202201605","ictv.global=202201605")</f>
        <v>ictv.global=202201605</v>
      </c>
    </row>
    <row r="8097" spans="1:21">
      <c r="A8097">
        <v>8096</v>
      </c>
      <c r="B8097" s="29" t="s">
        <v>3223</v>
      </c>
      <c r="C8097" s="29"/>
      <c r="D8097" s="29" t="s">
        <v>4156</v>
      </c>
      <c r="E8097" s="29"/>
      <c r="F8097" s="29" t="s">
        <v>2998</v>
      </c>
      <c r="G8097" s="29" t="s">
        <v>2999</v>
      </c>
      <c r="H8097" s="29" t="s">
        <v>3006</v>
      </c>
      <c r="I8097" s="29"/>
      <c r="J8097" s="29" t="s">
        <v>757</v>
      </c>
      <c r="K8097" s="29"/>
      <c r="L8097" s="29" t="s">
        <v>1049</v>
      </c>
      <c r="M8097" s="29" t="s">
        <v>3233</v>
      </c>
      <c r="N8097" s="29" t="s">
        <v>989</v>
      </c>
      <c r="O8097" s="29"/>
      <c r="P8097" s="29" t="s">
        <v>12961</v>
      </c>
      <c r="Q8097" t="s">
        <v>2039</v>
      </c>
      <c r="R8097" t="s">
        <v>2635</v>
      </c>
      <c r="S8097">
        <v>38</v>
      </c>
      <c r="T8097" s="43" t="str">
        <f t="shared" si="348"/>
        <v>2021.026M.Paramyxoviridae_sprename.zip</v>
      </c>
      <c r="U8097" s="43" t="str">
        <f>HYPERLINK("https://ictv.global/taxonomy/taxondetails?taxnode_id=202201607","ictv.global=202201607")</f>
        <v>ictv.global=202201607</v>
      </c>
    </row>
    <row r="8098" spans="1:21">
      <c r="A8098">
        <v>8097</v>
      </c>
      <c r="B8098" s="29" t="s">
        <v>3223</v>
      </c>
      <c r="C8098" s="29"/>
      <c r="D8098" s="29" t="s">
        <v>4156</v>
      </c>
      <c r="E8098" s="29"/>
      <c r="F8098" s="29" t="s">
        <v>2998</v>
      </c>
      <c r="G8098" s="29" t="s">
        <v>2999</v>
      </c>
      <c r="H8098" s="29" t="s">
        <v>3006</v>
      </c>
      <c r="I8098" s="29"/>
      <c r="J8098" s="29" t="s">
        <v>757</v>
      </c>
      <c r="K8098" s="29"/>
      <c r="L8098" s="29" t="s">
        <v>1049</v>
      </c>
      <c r="M8098" s="29" t="s">
        <v>3233</v>
      </c>
      <c r="N8098" s="29" t="s">
        <v>989</v>
      </c>
      <c r="O8098" s="29"/>
      <c r="P8098" s="29" t="s">
        <v>12962</v>
      </c>
      <c r="Q8098" t="s">
        <v>2039</v>
      </c>
      <c r="R8098" t="s">
        <v>2635</v>
      </c>
      <c r="S8098">
        <v>38</v>
      </c>
      <c r="T8098" s="43" t="str">
        <f t="shared" si="348"/>
        <v>2021.026M.Paramyxoviridae_sprename.zip</v>
      </c>
      <c r="U8098" s="43" t="str">
        <f>HYPERLINK("https://ictv.global/taxonomy/taxondetails?taxnode_id=202201608","ictv.global=202201608")</f>
        <v>ictv.global=202201608</v>
      </c>
    </row>
    <row r="8099" spans="1:21">
      <c r="A8099">
        <v>8098</v>
      </c>
      <c r="B8099" s="29" t="s">
        <v>3223</v>
      </c>
      <c r="C8099" s="29"/>
      <c r="D8099" s="29" t="s">
        <v>4156</v>
      </c>
      <c r="E8099" s="29"/>
      <c r="F8099" s="29" t="s">
        <v>2998</v>
      </c>
      <c r="G8099" s="29" t="s">
        <v>2999</v>
      </c>
      <c r="H8099" s="29" t="s">
        <v>3006</v>
      </c>
      <c r="I8099" s="29"/>
      <c r="J8099" s="29" t="s">
        <v>757</v>
      </c>
      <c r="K8099" s="29"/>
      <c r="L8099" s="29" t="s">
        <v>1049</v>
      </c>
      <c r="M8099" s="29" t="s">
        <v>3233</v>
      </c>
      <c r="N8099" s="29" t="s">
        <v>989</v>
      </c>
      <c r="O8099" s="29"/>
      <c r="P8099" s="29" t="s">
        <v>12963</v>
      </c>
      <c r="Q8099" t="s">
        <v>2039</v>
      </c>
      <c r="R8099" t="s">
        <v>2635</v>
      </c>
      <c r="S8099">
        <v>38</v>
      </c>
      <c r="T8099" s="43" t="str">
        <f t="shared" si="348"/>
        <v>2021.026M.Paramyxoviridae_sprename.zip</v>
      </c>
      <c r="U8099" s="43" t="str">
        <f>HYPERLINK("https://ictv.global/taxonomy/taxondetails?taxnode_id=202201609","ictv.global=202201609")</f>
        <v>ictv.global=202201609</v>
      </c>
    </row>
    <row r="8100" spans="1:21">
      <c r="A8100">
        <v>8099</v>
      </c>
      <c r="B8100" s="29" t="s">
        <v>3223</v>
      </c>
      <c r="C8100" s="29"/>
      <c r="D8100" s="29" t="s">
        <v>4156</v>
      </c>
      <c r="E8100" s="29"/>
      <c r="F8100" s="29" t="s">
        <v>2998</v>
      </c>
      <c r="G8100" s="29" t="s">
        <v>2999</v>
      </c>
      <c r="H8100" s="29" t="s">
        <v>3006</v>
      </c>
      <c r="I8100" s="29"/>
      <c r="J8100" s="29" t="s">
        <v>757</v>
      </c>
      <c r="K8100" s="29"/>
      <c r="L8100" s="29" t="s">
        <v>1049</v>
      </c>
      <c r="M8100" s="29" t="s">
        <v>3233</v>
      </c>
      <c r="N8100" s="29" t="s">
        <v>989</v>
      </c>
      <c r="O8100" s="29"/>
      <c r="P8100" s="29" t="s">
        <v>12964</v>
      </c>
      <c r="Q8100" t="s">
        <v>2039</v>
      </c>
      <c r="R8100" t="s">
        <v>2635</v>
      </c>
      <c r="S8100">
        <v>38</v>
      </c>
      <c r="T8100" s="43" t="str">
        <f t="shared" si="348"/>
        <v>2021.026M.Paramyxoviridae_sprename.zip</v>
      </c>
      <c r="U8100" s="43" t="str">
        <f>HYPERLINK("https://ictv.global/taxonomy/taxondetails?taxnode_id=202201610","ictv.global=202201610")</f>
        <v>ictv.global=202201610</v>
      </c>
    </row>
    <row r="8101" spans="1:21">
      <c r="A8101">
        <v>8100</v>
      </c>
      <c r="B8101" s="29" t="s">
        <v>3223</v>
      </c>
      <c r="C8101" s="29"/>
      <c r="D8101" s="29" t="s">
        <v>4156</v>
      </c>
      <c r="E8101" s="29"/>
      <c r="F8101" s="29" t="s">
        <v>2998</v>
      </c>
      <c r="G8101" s="29" t="s">
        <v>2999</v>
      </c>
      <c r="H8101" s="29" t="s">
        <v>3006</v>
      </c>
      <c r="I8101" s="29"/>
      <c r="J8101" s="29" t="s">
        <v>757</v>
      </c>
      <c r="K8101" s="29"/>
      <c r="L8101" s="29" t="s">
        <v>1049</v>
      </c>
      <c r="M8101" s="29" t="s">
        <v>3233</v>
      </c>
      <c r="N8101" s="29" t="s">
        <v>989</v>
      </c>
      <c r="O8101" s="29"/>
      <c r="P8101" s="29" t="s">
        <v>12965</v>
      </c>
      <c r="Q8101" t="s">
        <v>2039</v>
      </c>
      <c r="R8101" t="s">
        <v>2635</v>
      </c>
      <c r="S8101">
        <v>38</v>
      </c>
      <c r="T8101" s="43" t="str">
        <f t="shared" si="348"/>
        <v>2021.026M.Paramyxoviridae_sprename.zip</v>
      </c>
      <c r="U8101" s="43" t="str">
        <f>HYPERLINK("https://ictv.global/taxonomy/taxondetails?taxnode_id=202201611","ictv.global=202201611")</f>
        <v>ictv.global=202201611</v>
      </c>
    </row>
    <row r="8102" spans="1:21">
      <c r="A8102">
        <v>8101</v>
      </c>
      <c r="B8102" s="29" t="s">
        <v>3223</v>
      </c>
      <c r="C8102" s="29"/>
      <c r="D8102" s="29" t="s">
        <v>4156</v>
      </c>
      <c r="E8102" s="29"/>
      <c r="F8102" s="29" t="s">
        <v>2998</v>
      </c>
      <c r="G8102" s="29" t="s">
        <v>2999</v>
      </c>
      <c r="H8102" s="29" t="s">
        <v>3006</v>
      </c>
      <c r="I8102" s="29"/>
      <c r="J8102" s="29" t="s">
        <v>757</v>
      </c>
      <c r="K8102" s="29"/>
      <c r="L8102" s="29" t="s">
        <v>1049</v>
      </c>
      <c r="M8102" s="29" t="s">
        <v>3233</v>
      </c>
      <c r="N8102" s="29" t="s">
        <v>3234</v>
      </c>
      <c r="O8102" s="29"/>
      <c r="P8102" s="29" t="s">
        <v>12966</v>
      </c>
      <c r="Q8102" t="s">
        <v>2039</v>
      </c>
      <c r="R8102" t="s">
        <v>2632</v>
      </c>
      <c r="S8102">
        <v>37</v>
      </c>
      <c r="T8102" s="43" t="str">
        <f>HYPERLINK("https://ictv.global/ictv/proposals/2021.014M.R.Jeilongvirus_2nsp.zip","2021.014M.R.Jeilongvirus_2nsp.zip")</f>
        <v>2021.014M.R.Jeilongvirus_2nsp.zip</v>
      </c>
      <c r="U8102" s="43" t="str">
        <f>HYPERLINK("https://ictv.global/taxonomy/taxondetails?taxnode_id=202213350","ictv.global=202213350")</f>
        <v>ictv.global=202213350</v>
      </c>
    </row>
    <row r="8103" spans="1:21">
      <c r="A8103">
        <v>8102</v>
      </c>
      <c r="B8103" s="29" t="s">
        <v>3223</v>
      </c>
      <c r="C8103" s="29"/>
      <c r="D8103" s="29" t="s">
        <v>4156</v>
      </c>
      <c r="E8103" s="29"/>
      <c r="F8103" s="29" t="s">
        <v>2998</v>
      </c>
      <c r="G8103" s="29" t="s">
        <v>2999</v>
      </c>
      <c r="H8103" s="29" t="s">
        <v>3006</v>
      </c>
      <c r="I8103" s="29"/>
      <c r="J8103" s="29" t="s">
        <v>757</v>
      </c>
      <c r="K8103" s="29"/>
      <c r="L8103" s="29" t="s">
        <v>1049</v>
      </c>
      <c r="M8103" s="29" t="s">
        <v>3233</v>
      </c>
      <c r="N8103" s="29" t="s">
        <v>3234</v>
      </c>
      <c r="O8103" s="29"/>
      <c r="P8103" s="29" t="s">
        <v>12967</v>
      </c>
      <c r="Q8103" t="s">
        <v>2039</v>
      </c>
      <c r="R8103" t="s">
        <v>2632</v>
      </c>
      <c r="S8103">
        <v>37</v>
      </c>
      <c r="T8103" s="43" t="str">
        <f>HYPERLINK("https://ictv.global/ictv/proposals/2021.014M.R.Jeilongvirus_2nsp.zip","2021.014M.R.Jeilongvirus_2nsp.zip")</f>
        <v>2021.014M.R.Jeilongvirus_2nsp.zip</v>
      </c>
      <c r="U8103" s="43" t="str">
        <f>HYPERLINK("https://ictv.global/taxonomy/taxondetails?taxnode_id=202213346","ictv.global=202213346")</f>
        <v>ictv.global=202213346</v>
      </c>
    </row>
    <row r="8104" spans="1:21">
      <c r="A8104">
        <v>8103</v>
      </c>
      <c r="B8104" s="29" t="s">
        <v>3223</v>
      </c>
      <c r="C8104" s="29"/>
      <c r="D8104" s="29" t="s">
        <v>4156</v>
      </c>
      <c r="E8104" s="29"/>
      <c r="F8104" s="29" t="s">
        <v>2998</v>
      </c>
      <c r="G8104" s="29" t="s">
        <v>2999</v>
      </c>
      <c r="H8104" s="29" t="s">
        <v>3006</v>
      </c>
      <c r="I8104" s="29"/>
      <c r="J8104" s="29" t="s">
        <v>757</v>
      </c>
      <c r="K8104" s="29"/>
      <c r="L8104" s="29" t="s">
        <v>1049</v>
      </c>
      <c r="M8104" s="29" t="s">
        <v>3233</v>
      </c>
      <c r="N8104" s="29" t="s">
        <v>3234</v>
      </c>
      <c r="O8104" s="29"/>
      <c r="P8104" s="29" t="s">
        <v>12968</v>
      </c>
      <c r="Q8104" t="s">
        <v>2039</v>
      </c>
      <c r="R8104" t="s">
        <v>2635</v>
      </c>
      <c r="S8104">
        <v>38</v>
      </c>
      <c r="T8104" s="43" t="str">
        <f>HYPERLINK("https://ictv.global/ictv/proposals/2021.026M.Paramyxoviridae_sprename.zip","2021.026M.Paramyxoviridae_sprename.zip")</f>
        <v>2021.026M.Paramyxoviridae_sprename.zip</v>
      </c>
      <c r="U8104" s="43" t="str">
        <f>HYPERLINK("https://ictv.global/taxonomy/taxondetails?taxnode_id=202206453","ictv.global=202206453")</f>
        <v>ictv.global=202206453</v>
      </c>
    </row>
    <row r="8105" spans="1:21">
      <c r="A8105">
        <v>8104</v>
      </c>
      <c r="B8105" s="29" t="s">
        <v>3223</v>
      </c>
      <c r="C8105" s="29"/>
      <c r="D8105" s="29" t="s">
        <v>4156</v>
      </c>
      <c r="E8105" s="29"/>
      <c r="F8105" s="29" t="s">
        <v>2998</v>
      </c>
      <c r="G8105" s="29" t="s">
        <v>2999</v>
      </c>
      <c r="H8105" s="29" t="s">
        <v>3006</v>
      </c>
      <c r="I8105" s="29"/>
      <c r="J8105" s="29" t="s">
        <v>757</v>
      </c>
      <c r="K8105" s="29"/>
      <c r="L8105" s="29" t="s">
        <v>1049</v>
      </c>
      <c r="M8105" s="29" t="s">
        <v>3233</v>
      </c>
      <c r="N8105" s="29" t="s">
        <v>3234</v>
      </c>
      <c r="O8105" s="29"/>
      <c r="P8105" s="29" t="s">
        <v>12969</v>
      </c>
      <c r="Q8105" t="s">
        <v>2039</v>
      </c>
      <c r="R8105" t="s">
        <v>2632</v>
      </c>
      <c r="S8105">
        <v>37</v>
      </c>
      <c r="T8105" s="43" t="str">
        <f>HYPERLINK("https://ictv.global/ictv/proposals/2021.014M.R.Jeilongvirus_2nsp.zip","2021.014M.R.Jeilongvirus_2nsp.zip")</f>
        <v>2021.014M.R.Jeilongvirus_2nsp.zip</v>
      </c>
      <c r="U8105" s="43" t="str">
        <f>HYPERLINK("https://ictv.global/taxonomy/taxondetails?taxnode_id=202213347","ictv.global=202213347")</f>
        <v>ictv.global=202213347</v>
      </c>
    </row>
    <row r="8106" spans="1:21">
      <c r="A8106">
        <v>8105</v>
      </c>
      <c r="B8106" s="29" t="s">
        <v>3223</v>
      </c>
      <c r="C8106" s="29"/>
      <c r="D8106" s="29" t="s">
        <v>4156</v>
      </c>
      <c r="E8106" s="29"/>
      <c r="F8106" s="29" t="s">
        <v>2998</v>
      </c>
      <c r="G8106" s="29" t="s">
        <v>2999</v>
      </c>
      <c r="H8106" s="29" t="s">
        <v>3006</v>
      </c>
      <c r="I8106" s="29"/>
      <c r="J8106" s="29" t="s">
        <v>757</v>
      </c>
      <c r="K8106" s="29"/>
      <c r="L8106" s="29" t="s">
        <v>1049</v>
      </c>
      <c r="M8106" s="29" t="s">
        <v>3233</v>
      </c>
      <c r="N8106" s="29" t="s">
        <v>3234</v>
      </c>
      <c r="O8106" s="29"/>
      <c r="P8106" s="29" t="s">
        <v>12970</v>
      </c>
      <c r="Q8106" t="s">
        <v>2039</v>
      </c>
      <c r="R8106" t="s">
        <v>2632</v>
      </c>
      <c r="S8106">
        <v>37</v>
      </c>
      <c r="T8106" s="43" t="str">
        <f>HYPERLINK("https://ictv.global/ictv/proposals/2021.014M.R.Jeilongvirus_2nsp.zip","2021.014M.R.Jeilongvirus_2nsp.zip")</f>
        <v>2021.014M.R.Jeilongvirus_2nsp.zip</v>
      </c>
      <c r="U8106" s="43" t="str">
        <f>HYPERLINK("https://ictv.global/taxonomy/taxondetails?taxnode_id=202213345","ictv.global=202213345")</f>
        <v>ictv.global=202213345</v>
      </c>
    </row>
    <row r="8107" spans="1:21">
      <c r="A8107">
        <v>8106</v>
      </c>
      <c r="B8107" s="29" t="s">
        <v>3223</v>
      </c>
      <c r="C8107" s="29"/>
      <c r="D8107" s="29" t="s">
        <v>4156</v>
      </c>
      <c r="E8107" s="29"/>
      <c r="F8107" s="29" t="s">
        <v>2998</v>
      </c>
      <c r="G8107" s="29" t="s">
        <v>2999</v>
      </c>
      <c r="H8107" s="29" t="s">
        <v>3006</v>
      </c>
      <c r="I8107" s="29"/>
      <c r="J8107" s="29" t="s">
        <v>757</v>
      </c>
      <c r="K8107" s="29"/>
      <c r="L8107" s="29" t="s">
        <v>1049</v>
      </c>
      <c r="M8107" s="29" t="s">
        <v>3233</v>
      </c>
      <c r="N8107" s="29" t="s">
        <v>3234</v>
      </c>
      <c r="O8107" s="29"/>
      <c r="P8107" s="29" t="s">
        <v>12971</v>
      </c>
      <c r="Q8107" t="s">
        <v>2039</v>
      </c>
      <c r="R8107" t="s">
        <v>2632</v>
      </c>
      <c r="S8107">
        <v>37</v>
      </c>
      <c r="T8107" s="43" t="str">
        <f>HYPERLINK("https://ictv.global/ictv/proposals/2021.014M.R.Jeilongvirus_2nsp.zip","2021.014M.R.Jeilongvirus_2nsp.zip")</f>
        <v>2021.014M.R.Jeilongvirus_2nsp.zip</v>
      </c>
      <c r="U8107" s="43" t="str">
        <f>HYPERLINK("https://ictv.global/taxonomy/taxondetails?taxnode_id=202213349","ictv.global=202213349")</f>
        <v>ictv.global=202213349</v>
      </c>
    </row>
    <row r="8108" spans="1:21">
      <c r="A8108">
        <v>8107</v>
      </c>
      <c r="B8108" s="29" t="s">
        <v>3223</v>
      </c>
      <c r="C8108" s="29"/>
      <c r="D8108" s="29" t="s">
        <v>4156</v>
      </c>
      <c r="E8108" s="29"/>
      <c r="F8108" s="29" t="s">
        <v>2998</v>
      </c>
      <c r="G8108" s="29" t="s">
        <v>2999</v>
      </c>
      <c r="H8108" s="29" t="s">
        <v>3006</v>
      </c>
      <c r="I8108" s="29"/>
      <c r="J8108" s="29" t="s">
        <v>757</v>
      </c>
      <c r="K8108" s="29"/>
      <c r="L8108" s="29" t="s">
        <v>1049</v>
      </c>
      <c r="M8108" s="29" t="s">
        <v>3233</v>
      </c>
      <c r="N8108" s="29" t="s">
        <v>3234</v>
      </c>
      <c r="O8108" s="29"/>
      <c r="P8108" s="29" t="s">
        <v>12972</v>
      </c>
      <c r="Q8108" t="s">
        <v>2039</v>
      </c>
      <c r="R8108" t="s">
        <v>2635</v>
      </c>
      <c r="S8108">
        <v>38</v>
      </c>
      <c r="T8108" s="43" t="str">
        <f>HYPERLINK("https://ictv.global/ictv/proposals/2021.026M.Paramyxoviridae_sprename.zip","2021.026M.Paramyxoviridae_sprename.zip")</f>
        <v>2021.026M.Paramyxoviridae_sprename.zip</v>
      </c>
      <c r="U8108" s="43" t="str">
        <f>HYPERLINK("https://ictv.global/taxonomy/taxondetails?taxnode_id=202206455","ictv.global=202206455")</f>
        <v>ictv.global=202206455</v>
      </c>
    </row>
    <row r="8109" spans="1:21">
      <c r="A8109">
        <v>8108</v>
      </c>
      <c r="B8109" s="29" t="s">
        <v>3223</v>
      </c>
      <c r="C8109" s="29"/>
      <c r="D8109" s="29" t="s">
        <v>4156</v>
      </c>
      <c r="E8109" s="29"/>
      <c r="F8109" s="29" t="s">
        <v>2998</v>
      </c>
      <c r="G8109" s="29" t="s">
        <v>2999</v>
      </c>
      <c r="H8109" s="29" t="s">
        <v>3006</v>
      </c>
      <c r="I8109" s="29"/>
      <c r="J8109" s="29" t="s">
        <v>757</v>
      </c>
      <c r="K8109" s="29"/>
      <c r="L8109" s="29" t="s">
        <v>1049</v>
      </c>
      <c r="M8109" s="29" t="s">
        <v>3233</v>
      </c>
      <c r="N8109" s="29" t="s">
        <v>3234</v>
      </c>
      <c r="O8109" s="29"/>
      <c r="P8109" s="29" t="s">
        <v>12973</v>
      </c>
      <c r="Q8109" t="s">
        <v>2039</v>
      </c>
      <c r="R8109" t="s">
        <v>2635</v>
      </c>
      <c r="S8109">
        <v>38</v>
      </c>
      <c r="T8109" s="43" t="str">
        <f>HYPERLINK("https://ictv.global/ictv/proposals/2021.026M.Paramyxoviridae_sprename.zip","2021.026M.Paramyxoviridae_sprename.zip")</f>
        <v>2021.026M.Paramyxoviridae_sprename.zip</v>
      </c>
      <c r="U8109" s="43" t="str">
        <f>HYPERLINK("https://ictv.global/taxonomy/taxondetails?taxnode_id=202206456","ictv.global=202206456")</f>
        <v>ictv.global=202206456</v>
      </c>
    </row>
    <row r="8110" spans="1:21">
      <c r="A8110">
        <v>8109</v>
      </c>
      <c r="B8110" s="29" t="s">
        <v>3223</v>
      </c>
      <c r="C8110" s="29"/>
      <c r="D8110" s="29" t="s">
        <v>4156</v>
      </c>
      <c r="E8110" s="29"/>
      <c r="F8110" s="29" t="s">
        <v>2998</v>
      </c>
      <c r="G8110" s="29" t="s">
        <v>2999</v>
      </c>
      <c r="H8110" s="29" t="s">
        <v>3006</v>
      </c>
      <c r="I8110" s="29"/>
      <c r="J8110" s="29" t="s">
        <v>757</v>
      </c>
      <c r="K8110" s="29"/>
      <c r="L8110" s="29" t="s">
        <v>1049</v>
      </c>
      <c r="M8110" s="29" t="s">
        <v>3233</v>
      </c>
      <c r="N8110" s="29" t="s">
        <v>3234</v>
      </c>
      <c r="O8110" s="29"/>
      <c r="P8110" s="29" t="s">
        <v>12974</v>
      </c>
      <c r="Q8110" t="s">
        <v>2039</v>
      </c>
      <c r="R8110" t="s">
        <v>2632</v>
      </c>
      <c r="S8110">
        <v>37</v>
      </c>
      <c r="T8110" s="43" t="str">
        <f>HYPERLINK("https://ictv.global/ictv/proposals/2021.014M.R.Jeilongvirus_2nsp.zip","2021.014M.R.Jeilongvirus_2nsp.zip")</f>
        <v>2021.014M.R.Jeilongvirus_2nsp.zip</v>
      </c>
      <c r="U8110" s="43" t="str">
        <f>HYPERLINK("https://ictv.global/taxonomy/taxondetails?taxnode_id=202213348","ictv.global=202213348")</f>
        <v>ictv.global=202213348</v>
      </c>
    </row>
    <row r="8111" spans="1:21">
      <c r="A8111">
        <v>8110</v>
      </c>
      <c r="B8111" s="29" t="s">
        <v>3223</v>
      </c>
      <c r="C8111" s="29"/>
      <c r="D8111" s="29" t="s">
        <v>4156</v>
      </c>
      <c r="E8111" s="29"/>
      <c r="F8111" s="29" t="s">
        <v>2998</v>
      </c>
      <c r="G8111" s="29" t="s">
        <v>2999</v>
      </c>
      <c r="H8111" s="29" t="s">
        <v>3006</v>
      </c>
      <c r="I8111" s="29"/>
      <c r="J8111" s="29" t="s">
        <v>757</v>
      </c>
      <c r="K8111" s="29"/>
      <c r="L8111" s="29" t="s">
        <v>1049</v>
      </c>
      <c r="M8111" s="29" t="s">
        <v>3233</v>
      </c>
      <c r="N8111" s="29" t="s">
        <v>3234</v>
      </c>
      <c r="O8111" s="29"/>
      <c r="P8111" s="29" t="s">
        <v>12975</v>
      </c>
      <c r="Q8111" t="s">
        <v>2039</v>
      </c>
      <c r="R8111" t="s">
        <v>2635</v>
      </c>
      <c r="S8111">
        <v>38</v>
      </c>
      <c r="T8111" s="43" t="str">
        <f>HYPERLINK("https://ictv.global/ictv/proposals/2021.026M.Paramyxoviridae_sprename.zip","2021.026M.Paramyxoviridae_sprename.zip")</f>
        <v>2021.026M.Paramyxoviridae_sprename.zip</v>
      </c>
      <c r="U8111" s="43" t="str">
        <f>HYPERLINK("https://ictv.global/taxonomy/taxondetails?taxnode_id=202207560","ictv.global=202207560")</f>
        <v>ictv.global=202207560</v>
      </c>
    </row>
    <row r="8112" spans="1:21">
      <c r="A8112">
        <v>8111</v>
      </c>
      <c r="B8112" s="29" t="s">
        <v>3223</v>
      </c>
      <c r="C8112" s="29"/>
      <c r="D8112" s="29" t="s">
        <v>4156</v>
      </c>
      <c r="E8112" s="29"/>
      <c r="F8112" s="29" t="s">
        <v>2998</v>
      </c>
      <c r="G8112" s="29" t="s">
        <v>2999</v>
      </c>
      <c r="H8112" s="29" t="s">
        <v>3006</v>
      </c>
      <c r="I8112" s="29"/>
      <c r="J8112" s="29" t="s">
        <v>757</v>
      </c>
      <c r="K8112" s="29"/>
      <c r="L8112" s="29" t="s">
        <v>1049</v>
      </c>
      <c r="M8112" s="29" t="s">
        <v>3233</v>
      </c>
      <c r="N8112" s="29" t="s">
        <v>3234</v>
      </c>
      <c r="O8112" s="29"/>
      <c r="P8112" s="29" t="s">
        <v>12976</v>
      </c>
      <c r="Q8112" t="s">
        <v>2039</v>
      </c>
      <c r="R8112" t="s">
        <v>2632</v>
      </c>
      <c r="S8112">
        <v>37</v>
      </c>
      <c r="T8112" s="43" t="str">
        <f>HYPERLINK("https://ictv.global/ictv/proposals/2021.014M.R.Jeilongvirus_2nsp.zip","2021.014M.R.Jeilongvirus_2nsp.zip")</f>
        <v>2021.014M.R.Jeilongvirus_2nsp.zip</v>
      </c>
      <c r="U8112" s="43" t="str">
        <f>HYPERLINK("https://ictv.global/taxonomy/taxondetails?taxnode_id=202213351","ictv.global=202213351")</f>
        <v>ictv.global=202213351</v>
      </c>
    </row>
    <row r="8113" spans="1:21">
      <c r="A8113">
        <v>8112</v>
      </c>
      <c r="B8113" s="29" t="s">
        <v>3223</v>
      </c>
      <c r="C8113" s="29"/>
      <c r="D8113" s="29" t="s">
        <v>4156</v>
      </c>
      <c r="E8113" s="29"/>
      <c r="F8113" s="29" t="s">
        <v>2998</v>
      </c>
      <c r="G8113" s="29" t="s">
        <v>2999</v>
      </c>
      <c r="H8113" s="29" t="s">
        <v>3006</v>
      </c>
      <c r="I8113" s="29"/>
      <c r="J8113" s="29" t="s">
        <v>757</v>
      </c>
      <c r="K8113" s="29"/>
      <c r="L8113" s="29" t="s">
        <v>1049</v>
      </c>
      <c r="M8113" s="29" t="s">
        <v>3233</v>
      </c>
      <c r="N8113" s="29" t="s">
        <v>3234</v>
      </c>
      <c r="O8113" s="29"/>
      <c r="P8113" s="29" t="s">
        <v>12977</v>
      </c>
      <c r="Q8113" t="s">
        <v>2039</v>
      </c>
      <c r="R8113" t="s">
        <v>2635</v>
      </c>
      <c r="S8113">
        <v>38</v>
      </c>
      <c r="T8113" s="43" t="str">
        <f>HYPERLINK("https://ictv.global/ictv/proposals/2021.026M.Paramyxoviridae_sprename.zip","2021.026M.Paramyxoviridae_sprename.zip")</f>
        <v>2021.026M.Paramyxoviridae_sprename.zip</v>
      </c>
      <c r="U8113" s="43" t="str">
        <f>HYPERLINK("https://ictv.global/taxonomy/taxondetails?taxnode_id=202206457","ictv.global=202206457")</f>
        <v>ictv.global=202206457</v>
      </c>
    </row>
    <row r="8114" spans="1:21">
      <c r="A8114">
        <v>8113</v>
      </c>
      <c r="B8114" s="29" t="s">
        <v>3223</v>
      </c>
      <c r="C8114" s="29"/>
      <c r="D8114" s="29" t="s">
        <v>4156</v>
      </c>
      <c r="E8114" s="29"/>
      <c r="F8114" s="29" t="s">
        <v>2998</v>
      </c>
      <c r="G8114" s="29" t="s">
        <v>2999</v>
      </c>
      <c r="H8114" s="29" t="s">
        <v>3006</v>
      </c>
      <c r="I8114" s="29"/>
      <c r="J8114" s="29" t="s">
        <v>757</v>
      </c>
      <c r="K8114" s="29"/>
      <c r="L8114" s="29" t="s">
        <v>1049</v>
      </c>
      <c r="M8114" s="29" t="s">
        <v>3233</v>
      </c>
      <c r="N8114" s="29" t="s">
        <v>3234</v>
      </c>
      <c r="O8114" s="29"/>
      <c r="P8114" s="29" t="s">
        <v>12978</v>
      </c>
      <c r="Q8114" t="s">
        <v>2039</v>
      </c>
      <c r="R8114" t="s">
        <v>2635</v>
      </c>
      <c r="S8114">
        <v>38</v>
      </c>
      <c r="T8114" s="43" t="str">
        <f>HYPERLINK("https://ictv.global/ictv/proposals/2021.026M.Paramyxoviridae_sprename.zip","2021.026M.Paramyxoviridae_sprename.zip")</f>
        <v>2021.026M.Paramyxoviridae_sprename.zip</v>
      </c>
      <c r="U8114" s="43" t="str">
        <f>HYPERLINK("https://ictv.global/taxonomy/taxondetails?taxnode_id=202206454","ictv.global=202206454")</f>
        <v>ictv.global=202206454</v>
      </c>
    </row>
    <row r="8115" spans="1:21">
      <c r="A8115">
        <v>8114</v>
      </c>
      <c r="B8115" s="29" t="s">
        <v>3223</v>
      </c>
      <c r="C8115" s="29"/>
      <c r="D8115" s="29" t="s">
        <v>4156</v>
      </c>
      <c r="E8115" s="29"/>
      <c r="F8115" s="29" t="s">
        <v>2998</v>
      </c>
      <c r="G8115" s="29" t="s">
        <v>2999</v>
      </c>
      <c r="H8115" s="29" t="s">
        <v>3006</v>
      </c>
      <c r="I8115" s="29"/>
      <c r="J8115" s="29" t="s">
        <v>757</v>
      </c>
      <c r="K8115" s="29"/>
      <c r="L8115" s="29" t="s">
        <v>1049</v>
      </c>
      <c r="M8115" s="29" t="s">
        <v>3233</v>
      </c>
      <c r="N8115" s="29" t="s">
        <v>3234</v>
      </c>
      <c r="O8115" s="29"/>
      <c r="P8115" s="29" t="s">
        <v>12979</v>
      </c>
      <c r="Q8115" t="s">
        <v>2039</v>
      </c>
      <c r="R8115" t="s">
        <v>2632</v>
      </c>
      <c r="S8115">
        <v>37</v>
      </c>
      <c r="T8115" s="43" t="str">
        <f>HYPERLINK("https://ictv.global/ictv/proposals/2021.014M.R.Jeilongvirus_2nsp.zip","2021.014M.R.Jeilongvirus_2nsp.zip")</f>
        <v>2021.014M.R.Jeilongvirus_2nsp.zip</v>
      </c>
      <c r="U8115" s="43" t="str">
        <f>HYPERLINK("https://ictv.global/taxonomy/taxondetails?taxnode_id=202213344","ictv.global=202213344")</f>
        <v>ictv.global=202213344</v>
      </c>
    </row>
    <row r="8116" spans="1:21">
      <c r="A8116">
        <v>8115</v>
      </c>
      <c r="B8116" s="29" t="s">
        <v>3223</v>
      </c>
      <c r="C8116" s="29"/>
      <c r="D8116" s="29" t="s">
        <v>4156</v>
      </c>
      <c r="E8116" s="29"/>
      <c r="F8116" s="29" t="s">
        <v>2998</v>
      </c>
      <c r="G8116" s="29" t="s">
        <v>2999</v>
      </c>
      <c r="H8116" s="29" t="s">
        <v>3006</v>
      </c>
      <c r="I8116" s="29"/>
      <c r="J8116" s="29" t="s">
        <v>757</v>
      </c>
      <c r="K8116" s="29"/>
      <c r="L8116" s="29" t="s">
        <v>1049</v>
      </c>
      <c r="M8116" s="29" t="s">
        <v>3233</v>
      </c>
      <c r="N8116" s="29" t="s">
        <v>3234</v>
      </c>
      <c r="O8116" s="29"/>
      <c r="P8116" s="29" t="s">
        <v>12980</v>
      </c>
      <c r="Q8116" t="s">
        <v>2039</v>
      </c>
      <c r="R8116" t="s">
        <v>2635</v>
      </c>
      <c r="S8116">
        <v>38</v>
      </c>
      <c r="T8116" s="43" t="str">
        <f t="shared" ref="T8116:T8156" si="349">HYPERLINK("https://ictv.global/ictv/proposals/2021.026M.Paramyxoviridae_sprename.zip","2021.026M.Paramyxoviridae_sprename.zip")</f>
        <v>2021.026M.Paramyxoviridae_sprename.zip</v>
      </c>
      <c r="U8116" s="43" t="str">
        <f>HYPERLINK("https://ictv.global/taxonomy/taxondetails?taxnode_id=202206458","ictv.global=202206458")</f>
        <v>ictv.global=202206458</v>
      </c>
    </row>
    <row r="8117" spans="1:21">
      <c r="A8117">
        <v>8116</v>
      </c>
      <c r="B8117" s="29" t="s">
        <v>3223</v>
      </c>
      <c r="C8117" s="29"/>
      <c r="D8117" s="29" t="s">
        <v>4156</v>
      </c>
      <c r="E8117" s="29"/>
      <c r="F8117" s="29" t="s">
        <v>2998</v>
      </c>
      <c r="G8117" s="29" t="s">
        <v>2999</v>
      </c>
      <c r="H8117" s="29" t="s">
        <v>3006</v>
      </c>
      <c r="I8117" s="29"/>
      <c r="J8117" s="29" t="s">
        <v>757</v>
      </c>
      <c r="K8117" s="29"/>
      <c r="L8117" s="29" t="s">
        <v>1049</v>
      </c>
      <c r="M8117" s="29" t="s">
        <v>3233</v>
      </c>
      <c r="N8117" s="29" t="s">
        <v>990</v>
      </c>
      <c r="O8117" s="29"/>
      <c r="P8117" s="29" t="s">
        <v>12981</v>
      </c>
      <c r="Q8117" t="s">
        <v>2039</v>
      </c>
      <c r="R8117" t="s">
        <v>2635</v>
      </c>
      <c r="S8117">
        <v>38</v>
      </c>
      <c r="T8117" s="43" t="str">
        <f t="shared" si="349"/>
        <v>2021.026M.Paramyxoviridae_sprename.zip</v>
      </c>
      <c r="U8117" s="43" t="str">
        <f>HYPERLINK("https://ictv.global/taxonomy/taxondetails?taxnode_id=202201613","ictv.global=202201613")</f>
        <v>ictv.global=202201613</v>
      </c>
    </row>
    <row r="8118" spans="1:21">
      <c r="A8118">
        <v>8117</v>
      </c>
      <c r="B8118" s="29" t="s">
        <v>3223</v>
      </c>
      <c r="C8118" s="29"/>
      <c r="D8118" s="29" t="s">
        <v>4156</v>
      </c>
      <c r="E8118" s="29"/>
      <c r="F8118" s="29" t="s">
        <v>2998</v>
      </c>
      <c r="G8118" s="29" t="s">
        <v>2999</v>
      </c>
      <c r="H8118" s="29" t="s">
        <v>3006</v>
      </c>
      <c r="I8118" s="29"/>
      <c r="J8118" s="29" t="s">
        <v>757</v>
      </c>
      <c r="K8118" s="29"/>
      <c r="L8118" s="29" t="s">
        <v>1049</v>
      </c>
      <c r="M8118" s="29" t="s">
        <v>3233</v>
      </c>
      <c r="N8118" s="29" t="s">
        <v>990</v>
      </c>
      <c r="O8118" s="29"/>
      <c r="P8118" s="29" t="s">
        <v>12982</v>
      </c>
      <c r="Q8118" t="s">
        <v>2039</v>
      </c>
      <c r="R8118" t="s">
        <v>2635</v>
      </c>
      <c r="S8118">
        <v>38</v>
      </c>
      <c r="T8118" s="43" t="str">
        <f t="shared" si="349"/>
        <v>2021.026M.Paramyxoviridae_sprename.zip</v>
      </c>
      <c r="U8118" s="43" t="str">
        <f>HYPERLINK("https://ictv.global/taxonomy/taxondetails?taxnode_id=202201619","ictv.global=202201619")</f>
        <v>ictv.global=202201619</v>
      </c>
    </row>
    <row r="8119" spans="1:21">
      <c r="A8119">
        <v>8118</v>
      </c>
      <c r="B8119" s="29" t="s">
        <v>3223</v>
      </c>
      <c r="C8119" s="29"/>
      <c r="D8119" s="29" t="s">
        <v>4156</v>
      </c>
      <c r="E8119" s="29"/>
      <c r="F8119" s="29" t="s">
        <v>2998</v>
      </c>
      <c r="G8119" s="29" t="s">
        <v>2999</v>
      </c>
      <c r="H8119" s="29" t="s">
        <v>3006</v>
      </c>
      <c r="I8119" s="29"/>
      <c r="J8119" s="29" t="s">
        <v>757</v>
      </c>
      <c r="K8119" s="29"/>
      <c r="L8119" s="29" t="s">
        <v>1049</v>
      </c>
      <c r="M8119" s="29" t="s">
        <v>3233</v>
      </c>
      <c r="N8119" s="29" t="s">
        <v>990</v>
      </c>
      <c r="O8119" s="29"/>
      <c r="P8119" s="29" t="s">
        <v>12983</v>
      </c>
      <c r="Q8119" t="s">
        <v>2039</v>
      </c>
      <c r="R8119" t="s">
        <v>2635</v>
      </c>
      <c r="S8119">
        <v>38</v>
      </c>
      <c r="T8119" s="43" t="str">
        <f t="shared" si="349"/>
        <v>2021.026M.Paramyxoviridae_sprename.zip</v>
      </c>
      <c r="U8119" s="43" t="str">
        <f>HYPERLINK("https://ictv.global/taxonomy/taxondetails?taxnode_id=202201614","ictv.global=202201614")</f>
        <v>ictv.global=202201614</v>
      </c>
    </row>
    <row r="8120" spans="1:21">
      <c r="A8120">
        <v>8119</v>
      </c>
      <c r="B8120" s="29" t="s">
        <v>3223</v>
      </c>
      <c r="C8120" s="29"/>
      <c r="D8120" s="29" t="s">
        <v>4156</v>
      </c>
      <c r="E8120" s="29"/>
      <c r="F8120" s="29" t="s">
        <v>2998</v>
      </c>
      <c r="G8120" s="29" t="s">
        <v>2999</v>
      </c>
      <c r="H8120" s="29" t="s">
        <v>3006</v>
      </c>
      <c r="I8120" s="29"/>
      <c r="J8120" s="29" t="s">
        <v>757</v>
      </c>
      <c r="K8120" s="29"/>
      <c r="L8120" s="29" t="s">
        <v>1049</v>
      </c>
      <c r="M8120" s="29" t="s">
        <v>3233</v>
      </c>
      <c r="N8120" s="29" t="s">
        <v>990</v>
      </c>
      <c r="O8120" s="29"/>
      <c r="P8120" s="29" t="s">
        <v>12984</v>
      </c>
      <c r="Q8120" t="s">
        <v>2039</v>
      </c>
      <c r="R8120" t="s">
        <v>2635</v>
      </c>
      <c r="S8120">
        <v>38</v>
      </c>
      <c r="T8120" s="43" t="str">
        <f t="shared" si="349"/>
        <v>2021.026M.Paramyxoviridae_sprename.zip</v>
      </c>
      <c r="U8120" s="43" t="str">
        <f>HYPERLINK("https://ictv.global/taxonomy/taxondetails?taxnode_id=202201615","ictv.global=202201615")</f>
        <v>ictv.global=202201615</v>
      </c>
    </row>
    <row r="8121" spans="1:21">
      <c r="A8121">
        <v>8120</v>
      </c>
      <c r="B8121" s="29" t="s">
        <v>3223</v>
      </c>
      <c r="C8121" s="29"/>
      <c r="D8121" s="29" t="s">
        <v>4156</v>
      </c>
      <c r="E8121" s="29"/>
      <c r="F8121" s="29" t="s">
        <v>2998</v>
      </c>
      <c r="G8121" s="29" t="s">
        <v>2999</v>
      </c>
      <c r="H8121" s="29" t="s">
        <v>3006</v>
      </c>
      <c r="I8121" s="29"/>
      <c r="J8121" s="29" t="s">
        <v>757</v>
      </c>
      <c r="K8121" s="29"/>
      <c r="L8121" s="29" t="s">
        <v>1049</v>
      </c>
      <c r="M8121" s="29" t="s">
        <v>3233</v>
      </c>
      <c r="N8121" s="29" t="s">
        <v>990</v>
      </c>
      <c r="O8121" s="29"/>
      <c r="P8121" s="29" t="s">
        <v>12985</v>
      </c>
      <c r="Q8121" t="s">
        <v>2039</v>
      </c>
      <c r="R8121" t="s">
        <v>2635</v>
      </c>
      <c r="S8121">
        <v>38</v>
      </c>
      <c r="T8121" s="43" t="str">
        <f t="shared" si="349"/>
        <v>2021.026M.Paramyxoviridae_sprename.zip</v>
      </c>
      <c r="U8121" s="43" t="str">
        <f>HYPERLINK("https://ictv.global/taxonomy/taxondetails?taxnode_id=202201616","ictv.global=202201616")</f>
        <v>ictv.global=202201616</v>
      </c>
    </row>
    <row r="8122" spans="1:21">
      <c r="A8122">
        <v>8121</v>
      </c>
      <c r="B8122" s="29" t="s">
        <v>3223</v>
      </c>
      <c r="C8122" s="29"/>
      <c r="D8122" s="29" t="s">
        <v>4156</v>
      </c>
      <c r="E8122" s="29"/>
      <c r="F8122" s="29" t="s">
        <v>2998</v>
      </c>
      <c r="G8122" s="29" t="s">
        <v>2999</v>
      </c>
      <c r="H8122" s="29" t="s">
        <v>3006</v>
      </c>
      <c r="I8122" s="29"/>
      <c r="J8122" s="29" t="s">
        <v>757</v>
      </c>
      <c r="K8122" s="29"/>
      <c r="L8122" s="29" t="s">
        <v>1049</v>
      </c>
      <c r="M8122" s="29" t="s">
        <v>3233</v>
      </c>
      <c r="N8122" s="29" t="s">
        <v>990</v>
      </c>
      <c r="O8122" s="29"/>
      <c r="P8122" s="29" t="s">
        <v>12986</v>
      </c>
      <c r="Q8122" t="s">
        <v>2039</v>
      </c>
      <c r="R8122" t="s">
        <v>2635</v>
      </c>
      <c r="S8122">
        <v>38</v>
      </c>
      <c r="T8122" s="43" t="str">
        <f t="shared" si="349"/>
        <v>2021.026M.Paramyxoviridae_sprename.zip</v>
      </c>
      <c r="U8122" s="43" t="str">
        <f>HYPERLINK("https://ictv.global/taxonomy/taxondetails?taxnode_id=202201618","ictv.global=202201618")</f>
        <v>ictv.global=202201618</v>
      </c>
    </row>
    <row r="8123" spans="1:21">
      <c r="A8123">
        <v>8122</v>
      </c>
      <c r="B8123" s="29" t="s">
        <v>3223</v>
      </c>
      <c r="C8123" s="29"/>
      <c r="D8123" s="29" t="s">
        <v>4156</v>
      </c>
      <c r="E8123" s="29"/>
      <c r="F8123" s="29" t="s">
        <v>2998</v>
      </c>
      <c r="G8123" s="29" t="s">
        <v>2999</v>
      </c>
      <c r="H8123" s="29" t="s">
        <v>3006</v>
      </c>
      <c r="I8123" s="29"/>
      <c r="J8123" s="29" t="s">
        <v>757</v>
      </c>
      <c r="K8123" s="29"/>
      <c r="L8123" s="29" t="s">
        <v>1049</v>
      </c>
      <c r="M8123" s="29" t="s">
        <v>3233</v>
      </c>
      <c r="N8123" s="29" t="s">
        <v>990</v>
      </c>
      <c r="O8123" s="29"/>
      <c r="P8123" s="29" t="s">
        <v>12987</v>
      </c>
      <c r="Q8123" t="s">
        <v>2039</v>
      </c>
      <c r="R8123" t="s">
        <v>2635</v>
      </c>
      <c r="S8123">
        <v>38</v>
      </c>
      <c r="T8123" s="43" t="str">
        <f t="shared" si="349"/>
        <v>2021.026M.Paramyxoviridae_sprename.zip</v>
      </c>
      <c r="U8123" s="43" t="str">
        <f>HYPERLINK("https://ictv.global/taxonomy/taxondetails?taxnode_id=202201617","ictv.global=202201617")</f>
        <v>ictv.global=202201617</v>
      </c>
    </row>
    <row r="8124" spans="1:21">
      <c r="A8124">
        <v>8123</v>
      </c>
      <c r="B8124" s="29" t="s">
        <v>3223</v>
      </c>
      <c r="C8124" s="29"/>
      <c r="D8124" s="29" t="s">
        <v>4156</v>
      </c>
      <c r="E8124" s="29"/>
      <c r="F8124" s="29" t="s">
        <v>2998</v>
      </c>
      <c r="G8124" s="29" t="s">
        <v>2999</v>
      </c>
      <c r="H8124" s="29" t="s">
        <v>3006</v>
      </c>
      <c r="I8124" s="29"/>
      <c r="J8124" s="29" t="s">
        <v>757</v>
      </c>
      <c r="K8124" s="29"/>
      <c r="L8124" s="29" t="s">
        <v>1049</v>
      </c>
      <c r="M8124" s="29" t="s">
        <v>3233</v>
      </c>
      <c r="N8124" s="29" t="s">
        <v>3235</v>
      </c>
      <c r="O8124" s="29"/>
      <c r="P8124" s="29" t="s">
        <v>12988</v>
      </c>
      <c r="Q8124" t="s">
        <v>2039</v>
      </c>
      <c r="R8124" t="s">
        <v>2635</v>
      </c>
      <c r="S8124">
        <v>38</v>
      </c>
      <c r="T8124" s="43" t="str">
        <f t="shared" si="349"/>
        <v>2021.026M.Paramyxoviridae_sprename.zip</v>
      </c>
      <c r="U8124" s="43" t="str">
        <f>HYPERLINK("https://ictv.global/taxonomy/taxondetails?taxnode_id=202206460","ictv.global=202206460")</f>
        <v>ictv.global=202206460</v>
      </c>
    </row>
    <row r="8125" spans="1:21">
      <c r="A8125">
        <v>8124</v>
      </c>
      <c r="B8125" s="29" t="s">
        <v>3223</v>
      </c>
      <c r="C8125" s="29"/>
      <c r="D8125" s="29" t="s">
        <v>4156</v>
      </c>
      <c r="E8125" s="29"/>
      <c r="F8125" s="29" t="s">
        <v>2998</v>
      </c>
      <c r="G8125" s="29" t="s">
        <v>2999</v>
      </c>
      <c r="H8125" s="29" t="s">
        <v>3006</v>
      </c>
      <c r="I8125" s="29"/>
      <c r="J8125" s="29" t="s">
        <v>757</v>
      </c>
      <c r="K8125" s="29"/>
      <c r="L8125" s="29" t="s">
        <v>1049</v>
      </c>
      <c r="M8125" s="29" t="s">
        <v>3233</v>
      </c>
      <c r="N8125" s="29" t="s">
        <v>3235</v>
      </c>
      <c r="O8125" s="29"/>
      <c r="P8125" s="29" t="s">
        <v>12989</v>
      </c>
      <c r="Q8125" t="s">
        <v>2039</v>
      </c>
      <c r="R8125" t="s">
        <v>2635</v>
      </c>
      <c r="S8125">
        <v>38</v>
      </c>
      <c r="T8125" s="43" t="str">
        <f t="shared" si="349"/>
        <v>2021.026M.Paramyxoviridae_sprename.zip</v>
      </c>
      <c r="U8125" s="43" t="str">
        <f>HYPERLINK("https://ictv.global/taxonomy/taxondetails?taxnode_id=202206461","ictv.global=202206461")</f>
        <v>ictv.global=202206461</v>
      </c>
    </row>
    <row r="8126" spans="1:21">
      <c r="A8126">
        <v>8125</v>
      </c>
      <c r="B8126" s="29" t="s">
        <v>3223</v>
      </c>
      <c r="C8126" s="29"/>
      <c r="D8126" s="29" t="s">
        <v>4156</v>
      </c>
      <c r="E8126" s="29"/>
      <c r="F8126" s="29" t="s">
        <v>2998</v>
      </c>
      <c r="G8126" s="29" t="s">
        <v>2999</v>
      </c>
      <c r="H8126" s="29" t="s">
        <v>3006</v>
      </c>
      <c r="I8126" s="29"/>
      <c r="J8126" s="29" t="s">
        <v>757</v>
      </c>
      <c r="K8126" s="29"/>
      <c r="L8126" s="29" t="s">
        <v>1049</v>
      </c>
      <c r="M8126" s="29" t="s">
        <v>3233</v>
      </c>
      <c r="N8126" s="29" t="s">
        <v>3235</v>
      </c>
      <c r="O8126" s="29"/>
      <c r="P8126" s="29" t="s">
        <v>12990</v>
      </c>
      <c r="Q8126" t="s">
        <v>2039</v>
      </c>
      <c r="R8126" t="s">
        <v>2635</v>
      </c>
      <c r="S8126">
        <v>38</v>
      </c>
      <c r="T8126" s="43" t="str">
        <f t="shared" si="349"/>
        <v>2021.026M.Paramyxoviridae_sprename.zip</v>
      </c>
      <c r="U8126" s="43" t="str">
        <f>HYPERLINK("https://ictv.global/taxonomy/taxondetails?taxnode_id=202206462","ictv.global=202206462")</f>
        <v>ictv.global=202206462</v>
      </c>
    </row>
    <row r="8127" spans="1:21">
      <c r="A8127">
        <v>8126</v>
      </c>
      <c r="B8127" s="29" t="s">
        <v>3223</v>
      </c>
      <c r="C8127" s="29"/>
      <c r="D8127" s="29" t="s">
        <v>4156</v>
      </c>
      <c r="E8127" s="29"/>
      <c r="F8127" s="29" t="s">
        <v>2998</v>
      </c>
      <c r="G8127" s="29" t="s">
        <v>2999</v>
      </c>
      <c r="H8127" s="29" t="s">
        <v>3006</v>
      </c>
      <c r="I8127" s="29"/>
      <c r="J8127" s="29" t="s">
        <v>757</v>
      </c>
      <c r="K8127" s="29"/>
      <c r="L8127" s="29" t="s">
        <v>1049</v>
      </c>
      <c r="M8127" s="29" t="s">
        <v>3233</v>
      </c>
      <c r="N8127" s="29" t="s">
        <v>3235</v>
      </c>
      <c r="O8127" s="29"/>
      <c r="P8127" s="29" t="s">
        <v>12991</v>
      </c>
      <c r="Q8127" t="s">
        <v>2039</v>
      </c>
      <c r="R8127" t="s">
        <v>2635</v>
      </c>
      <c r="S8127">
        <v>38</v>
      </c>
      <c r="T8127" s="43" t="str">
        <f t="shared" si="349"/>
        <v>2021.026M.Paramyxoviridae_sprename.zip</v>
      </c>
      <c r="U8127" s="43" t="str">
        <f>HYPERLINK("https://ictv.global/taxonomy/taxondetails?taxnode_id=202206463","ictv.global=202206463")</f>
        <v>ictv.global=202206463</v>
      </c>
    </row>
    <row r="8128" spans="1:21">
      <c r="A8128">
        <v>8127</v>
      </c>
      <c r="B8128" s="29" t="s">
        <v>3223</v>
      </c>
      <c r="C8128" s="29"/>
      <c r="D8128" s="29" t="s">
        <v>4156</v>
      </c>
      <c r="E8128" s="29"/>
      <c r="F8128" s="29" t="s">
        <v>2998</v>
      </c>
      <c r="G8128" s="29" t="s">
        <v>2999</v>
      </c>
      <c r="H8128" s="29" t="s">
        <v>3006</v>
      </c>
      <c r="I8128" s="29"/>
      <c r="J8128" s="29" t="s">
        <v>757</v>
      </c>
      <c r="K8128" s="29"/>
      <c r="L8128" s="29" t="s">
        <v>1049</v>
      </c>
      <c r="M8128" s="29" t="s">
        <v>3233</v>
      </c>
      <c r="N8128" s="29" t="s">
        <v>991</v>
      </c>
      <c r="O8128" s="29"/>
      <c r="P8128" s="29" t="s">
        <v>12992</v>
      </c>
      <c r="Q8128" t="s">
        <v>2039</v>
      </c>
      <c r="R8128" t="s">
        <v>2635</v>
      </c>
      <c r="S8128">
        <v>38</v>
      </c>
      <c r="T8128" s="43" t="str">
        <f t="shared" si="349"/>
        <v>2021.026M.Paramyxoviridae_sprename.zip</v>
      </c>
      <c r="U8128" s="43" t="str">
        <f>HYPERLINK("https://ictv.global/taxonomy/taxondetails?taxnode_id=202201621","ictv.global=202201621")</f>
        <v>ictv.global=202201621</v>
      </c>
    </row>
    <row r="8129" spans="1:21">
      <c r="A8129">
        <v>8128</v>
      </c>
      <c r="B8129" s="29" t="s">
        <v>3223</v>
      </c>
      <c r="C8129" s="29"/>
      <c r="D8129" s="29" t="s">
        <v>4156</v>
      </c>
      <c r="E8129" s="29"/>
      <c r="F8129" s="29" t="s">
        <v>2998</v>
      </c>
      <c r="G8129" s="29" t="s">
        <v>2999</v>
      </c>
      <c r="H8129" s="29" t="s">
        <v>3006</v>
      </c>
      <c r="I8129" s="29"/>
      <c r="J8129" s="29" t="s">
        <v>757</v>
      </c>
      <c r="K8129" s="29"/>
      <c r="L8129" s="29" t="s">
        <v>1049</v>
      </c>
      <c r="M8129" s="29" t="s">
        <v>3233</v>
      </c>
      <c r="N8129" s="29" t="s">
        <v>991</v>
      </c>
      <c r="O8129" s="29"/>
      <c r="P8129" s="29" t="s">
        <v>12993</v>
      </c>
      <c r="Q8129" t="s">
        <v>2039</v>
      </c>
      <c r="R8129" t="s">
        <v>2635</v>
      </c>
      <c r="S8129">
        <v>38</v>
      </c>
      <c r="T8129" s="43" t="str">
        <f t="shared" si="349"/>
        <v>2021.026M.Paramyxoviridae_sprename.zip</v>
      </c>
      <c r="U8129" s="43" t="str">
        <f>HYPERLINK("https://ictv.global/taxonomy/taxondetails?taxnode_id=202206464","ictv.global=202206464")</f>
        <v>ictv.global=202206464</v>
      </c>
    </row>
    <row r="8130" spans="1:21">
      <c r="A8130">
        <v>8129</v>
      </c>
      <c r="B8130" s="29" t="s">
        <v>3223</v>
      </c>
      <c r="C8130" s="29"/>
      <c r="D8130" s="29" t="s">
        <v>4156</v>
      </c>
      <c r="E8130" s="29"/>
      <c r="F8130" s="29" t="s">
        <v>2998</v>
      </c>
      <c r="G8130" s="29" t="s">
        <v>2999</v>
      </c>
      <c r="H8130" s="29" t="s">
        <v>3006</v>
      </c>
      <c r="I8130" s="29"/>
      <c r="J8130" s="29" t="s">
        <v>757</v>
      </c>
      <c r="K8130" s="29"/>
      <c r="L8130" s="29" t="s">
        <v>1049</v>
      </c>
      <c r="M8130" s="29" t="s">
        <v>3233</v>
      </c>
      <c r="N8130" s="29" t="s">
        <v>991</v>
      </c>
      <c r="O8130" s="29"/>
      <c r="P8130" s="29" t="s">
        <v>12994</v>
      </c>
      <c r="Q8130" t="s">
        <v>2039</v>
      </c>
      <c r="R8130" t="s">
        <v>2635</v>
      </c>
      <c r="S8130">
        <v>38</v>
      </c>
      <c r="T8130" s="43" t="str">
        <f t="shared" si="349"/>
        <v>2021.026M.Paramyxoviridae_sprename.zip</v>
      </c>
      <c r="U8130" s="43" t="str">
        <f>HYPERLINK("https://ictv.global/taxonomy/taxondetails?taxnode_id=202201622","ictv.global=202201622")</f>
        <v>ictv.global=202201622</v>
      </c>
    </row>
    <row r="8131" spans="1:21">
      <c r="A8131">
        <v>8130</v>
      </c>
      <c r="B8131" s="29" t="s">
        <v>3223</v>
      </c>
      <c r="C8131" s="29"/>
      <c r="D8131" s="29" t="s">
        <v>4156</v>
      </c>
      <c r="E8131" s="29"/>
      <c r="F8131" s="29" t="s">
        <v>2998</v>
      </c>
      <c r="G8131" s="29" t="s">
        <v>2999</v>
      </c>
      <c r="H8131" s="29" t="s">
        <v>3006</v>
      </c>
      <c r="I8131" s="29"/>
      <c r="J8131" s="29" t="s">
        <v>757</v>
      </c>
      <c r="K8131" s="29"/>
      <c r="L8131" s="29" t="s">
        <v>1049</v>
      </c>
      <c r="M8131" s="29" t="s">
        <v>3233</v>
      </c>
      <c r="N8131" s="29" t="s">
        <v>991</v>
      </c>
      <c r="O8131" s="29"/>
      <c r="P8131" s="29" t="s">
        <v>12995</v>
      </c>
      <c r="Q8131" t="s">
        <v>2039</v>
      </c>
      <c r="R8131" t="s">
        <v>2635</v>
      </c>
      <c r="S8131">
        <v>38</v>
      </c>
      <c r="T8131" s="43" t="str">
        <f t="shared" si="349"/>
        <v>2021.026M.Paramyxoviridae_sprename.zip</v>
      </c>
      <c r="U8131" s="43" t="str">
        <f>HYPERLINK("https://ictv.global/taxonomy/taxondetails?taxnode_id=202201624","ictv.global=202201624")</f>
        <v>ictv.global=202201624</v>
      </c>
    </row>
    <row r="8132" spans="1:21">
      <c r="A8132">
        <v>8131</v>
      </c>
      <c r="B8132" s="29" t="s">
        <v>3223</v>
      </c>
      <c r="C8132" s="29"/>
      <c r="D8132" s="29" t="s">
        <v>4156</v>
      </c>
      <c r="E8132" s="29"/>
      <c r="F8132" s="29" t="s">
        <v>2998</v>
      </c>
      <c r="G8132" s="29" t="s">
        <v>2999</v>
      </c>
      <c r="H8132" s="29" t="s">
        <v>3006</v>
      </c>
      <c r="I8132" s="29"/>
      <c r="J8132" s="29" t="s">
        <v>757</v>
      </c>
      <c r="K8132" s="29"/>
      <c r="L8132" s="29" t="s">
        <v>1049</v>
      </c>
      <c r="M8132" s="29" t="s">
        <v>3233</v>
      </c>
      <c r="N8132" s="29" t="s">
        <v>991</v>
      </c>
      <c r="O8132" s="29"/>
      <c r="P8132" s="29" t="s">
        <v>12996</v>
      </c>
      <c r="Q8132" t="s">
        <v>2039</v>
      </c>
      <c r="R8132" t="s">
        <v>2635</v>
      </c>
      <c r="S8132">
        <v>38</v>
      </c>
      <c r="T8132" s="43" t="str">
        <f t="shared" si="349"/>
        <v>2021.026M.Paramyxoviridae_sprename.zip</v>
      </c>
      <c r="U8132" s="43" t="str">
        <f>HYPERLINK("https://ictv.global/taxonomy/taxondetails?taxnode_id=202201623","ictv.global=202201623")</f>
        <v>ictv.global=202201623</v>
      </c>
    </row>
    <row r="8133" spans="1:21">
      <c r="A8133">
        <v>8132</v>
      </c>
      <c r="B8133" s="29" t="s">
        <v>3223</v>
      </c>
      <c r="C8133" s="29"/>
      <c r="D8133" s="29" t="s">
        <v>4156</v>
      </c>
      <c r="E8133" s="29"/>
      <c r="F8133" s="29" t="s">
        <v>2998</v>
      </c>
      <c r="G8133" s="29" t="s">
        <v>2999</v>
      </c>
      <c r="H8133" s="29" t="s">
        <v>3006</v>
      </c>
      <c r="I8133" s="29"/>
      <c r="J8133" s="29" t="s">
        <v>757</v>
      </c>
      <c r="K8133" s="29"/>
      <c r="L8133" s="29" t="s">
        <v>1049</v>
      </c>
      <c r="M8133" s="29" t="s">
        <v>3233</v>
      </c>
      <c r="N8133" s="29" t="s">
        <v>991</v>
      </c>
      <c r="O8133" s="29"/>
      <c r="P8133" s="29" t="s">
        <v>12997</v>
      </c>
      <c r="Q8133" t="s">
        <v>2039</v>
      </c>
      <c r="R8133" t="s">
        <v>2635</v>
      </c>
      <c r="S8133">
        <v>38</v>
      </c>
      <c r="T8133" s="43" t="str">
        <f t="shared" si="349"/>
        <v>2021.026M.Paramyxoviridae_sprename.zip</v>
      </c>
      <c r="U8133" s="43" t="str">
        <f>HYPERLINK("https://ictv.global/taxonomy/taxondetails?taxnode_id=202207454","ictv.global=202207454")</f>
        <v>ictv.global=202207454</v>
      </c>
    </row>
    <row r="8134" spans="1:21">
      <c r="A8134">
        <v>8133</v>
      </c>
      <c r="B8134" s="29" t="s">
        <v>3223</v>
      </c>
      <c r="C8134" s="29"/>
      <c r="D8134" s="29" t="s">
        <v>4156</v>
      </c>
      <c r="E8134" s="29"/>
      <c r="F8134" s="29" t="s">
        <v>2998</v>
      </c>
      <c r="G8134" s="29" t="s">
        <v>2999</v>
      </c>
      <c r="H8134" s="29" t="s">
        <v>3006</v>
      </c>
      <c r="I8134" s="29"/>
      <c r="J8134" s="29" t="s">
        <v>757</v>
      </c>
      <c r="K8134" s="29"/>
      <c r="L8134" s="29" t="s">
        <v>1049</v>
      </c>
      <c r="M8134" s="29" t="s">
        <v>3233</v>
      </c>
      <c r="N8134" s="29" t="s">
        <v>991</v>
      </c>
      <c r="O8134" s="29"/>
      <c r="P8134" s="29" t="s">
        <v>12998</v>
      </c>
      <c r="Q8134" t="s">
        <v>2039</v>
      </c>
      <c r="R8134" t="s">
        <v>2635</v>
      </c>
      <c r="S8134">
        <v>38</v>
      </c>
      <c r="T8134" s="43" t="str">
        <f t="shared" si="349"/>
        <v>2021.026M.Paramyxoviridae_sprename.zip</v>
      </c>
      <c r="U8134" s="43" t="str">
        <f>HYPERLINK("https://ictv.global/taxonomy/taxondetails?taxnode_id=202201625","ictv.global=202201625")</f>
        <v>ictv.global=202201625</v>
      </c>
    </row>
    <row r="8135" spans="1:21">
      <c r="A8135">
        <v>8134</v>
      </c>
      <c r="B8135" s="29" t="s">
        <v>3223</v>
      </c>
      <c r="C8135" s="29"/>
      <c r="D8135" s="29" t="s">
        <v>4156</v>
      </c>
      <c r="E8135" s="29"/>
      <c r="F8135" s="29" t="s">
        <v>2998</v>
      </c>
      <c r="G8135" s="29" t="s">
        <v>2999</v>
      </c>
      <c r="H8135" s="29" t="s">
        <v>3006</v>
      </c>
      <c r="I8135" s="29"/>
      <c r="J8135" s="29" t="s">
        <v>757</v>
      </c>
      <c r="K8135" s="29"/>
      <c r="L8135" s="29" t="s">
        <v>1049</v>
      </c>
      <c r="M8135" s="29" t="s">
        <v>3233</v>
      </c>
      <c r="N8135" s="29" t="s">
        <v>3236</v>
      </c>
      <c r="O8135" s="29"/>
      <c r="P8135" s="29" t="s">
        <v>12999</v>
      </c>
      <c r="Q8135" t="s">
        <v>2039</v>
      </c>
      <c r="R8135" t="s">
        <v>2635</v>
      </c>
      <c r="S8135">
        <v>38</v>
      </c>
      <c r="T8135" s="43" t="str">
        <f t="shared" si="349"/>
        <v>2021.026M.Paramyxoviridae_sprename.zip</v>
      </c>
      <c r="U8135" s="43" t="str">
        <f>HYPERLINK("https://ictv.global/taxonomy/taxondetails?taxnode_id=202206466","ictv.global=202206466")</f>
        <v>ictv.global=202206466</v>
      </c>
    </row>
    <row r="8136" spans="1:21">
      <c r="A8136">
        <v>8135</v>
      </c>
      <c r="B8136" s="29" t="s">
        <v>3223</v>
      </c>
      <c r="C8136" s="29"/>
      <c r="D8136" s="29" t="s">
        <v>4156</v>
      </c>
      <c r="E8136" s="29"/>
      <c r="F8136" s="29" t="s">
        <v>2998</v>
      </c>
      <c r="G8136" s="29" t="s">
        <v>2999</v>
      </c>
      <c r="H8136" s="29" t="s">
        <v>3006</v>
      </c>
      <c r="I8136" s="29"/>
      <c r="J8136" s="29" t="s">
        <v>757</v>
      </c>
      <c r="K8136" s="29"/>
      <c r="L8136" s="29" t="s">
        <v>1049</v>
      </c>
      <c r="M8136" s="29" t="s">
        <v>3237</v>
      </c>
      <c r="N8136" s="29" t="s">
        <v>3238</v>
      </c>
      <c r="O8136" s="29"/>
      <c r="P8136" s="29" t="s">
        <v>13000</v>
      </c>
      <c r="Q8136" t="s">
        <v>2039</v>
      </c>
      <c r="R8136" t="s">
        <v>2635</v>
      </c>
      <c r="S8136">
        <v>38</v>
      </c>
      <c r="T8136" s="43" t="str">
        <f t="shared" si="349"/>
        <v>2021.026M.Paramyxoviridae_sprename.zip</v>
      </c>
      <c r="U8136" s="43" t="str">
        <f>HYPERLINK("https://ictv.global/taxonomy/taxondetails?taxnode_id=202207557","ictv.global=202207557")</f>
        <v>ictv.global=202207557</v>
      </c>
    </row>
    <row r="8137" spans="1:21">
      <c r="A8137">
        <v>8136</v>
      </c>
      <c r="B8137" s="29" t="s">
        <v>3223</v>
      </c>
      <c r="C8137" s="29"/>
      <c r="D8137" s="29" t="s">
        <v>4156</v>
      </c>
      <c r="E8137" s="29"/>
      <c r="F8137" s="29" t="s">
        <v>2998</v>
      </c>
      <c r="G8137" s="29" t="s">
        <v>2999</v>
      </c>
      <c r="H8137" s="29" t="s">
        <v>3006</v>
      </c>
      <c r="I8137" s="29"/>
      <c r="J8137" s="29" t="s">
        <v>757</v>
      </c>
      <c r="K8137" s="29"/>
      <c r="L8137" s="29" t="s">
        <v>1049</v>
      </c>
      <c r="M8137" s="29" t="s">
        <v>3237</v>
      </c>
      <c r="N8137" s="29" t="s">
        <v>3238</v>
      </c>
      <c r="O8137" s="29"/>
      <c r="P8137" s="29" t="s">
        <v>13001</v>
      </c>
      <c r="Q8137" t="s">
        <v>2039</v>
      </c>
      <c r="R8137" t="s">
        <v>2635</v>
      </c>
      <c r="S8137">
        <v>38</v>
      </c>
      <c r="T8137" s="43" t="str">
        <f t="shared" si="349"/>
        <v>2021.026M.Paramyxoviridae_sprename.zip</v>
      </c>
      <c r="U8137" s="43" t="str">
        <f>HYPERLINK("https://ictv.global/taxonomy/taxondetails?taxnode_id=202201631","ictv.global=202201631")</f>
        <v>ictv.global=202201631</v>
      </c>
    </row>
    <row r="8138" spans="1:21">
      <c r="A8138">
        <v>8137</v>
      </c>
      <c r="B8138" s="29" t="s">
        <v>3223</v>
      </c>
      <c r="C8138" s="29"/>
      <c r="D8138" s="29" t="s">
        <v>4156</v>
      </c>
      <c r="E8138" s="29"/>
      <c r="F8138" s="29" t="s">
        <v>2998</v>
      </c>
      <c r="G8138" s="29" t="s">
        <v>2999</v>
      </c>
      <c r="H8138" s="29" t="s">
        <v>3006</v>
      </c>
      <c r="I8138" s="29"/>
      <c r="J8138" s="29" t="s">
        <v>757</v>
      </c>
      <c r="K8138" s="29"/>
      <c r="L8138" s="29" t="s">
        <v>1049</v>
      </c>
      <c r="M8138" s="29" t="s">
        <v>3237</v>
      </c>
      <c r="N8138" s="29" t="s">
        <v>3238</v>
      </c>
      <c r="O8138" s="29"/>
      <c r="P8138" s="29" t="s">
        <v>13002</v>
      </c>
      <c r="Q8138" t="s">
        <v>2039</v>
      </c>
      <c r="R8138" t="s">
        <v>2635</v>
      </c>
      <c r="S8138">
        <v>38</v>
      </c>
      <c r="T8138" s="43" t="str">
        <f t="shared" si="349"/>
        <v>2021.026M.Paramyxoviridae_sprename.zip</v>
      </c>
      <c r="U8138" s="43" t="str">
        <f>HYPERLINK("https://ictv.global/taxonomy/taxondetails?taxnode_id=202201630","ictv.global=202201630")</f>
        <v>ictv.global=202201630</v>
      </c>
    </row>
    <row r="8139" spans="1:21">
      <c r="A8139">
        <v>8138</v>
      </c>
      <c r="B8139" s="29" t="s">
        <v>3223</v>
      </c>
      <c r="C8139" s="29"/>
      <c r="D8139" s="29" t="s">
        <v>4156</v>
      </c>
      <c r="E8139" s="29"/>
      <c r="F8139" s="29" t="s">
        <v>2998</v>
      </c>
      <c r="G8139" s="29" t="s">
        <v>2999</v>
      </c>
      <c r="H8139" s="29" t="s">
        <v>3006</v>
      </c>
      <c r="I8139" s="29"/>
      <c r="J8139" s="29" t="s">
        <v>757</v>
      </c>
      <c r="K8139" s="29"/>
      <c r="L8139" s="29" t="s">
        <v>1049</v>
      </c>
      <c r="M8139" s="29" t="s">
        <v>3237</v>
      </c>
      <c r="N8139" s="29" t="s">
        <v>3238</v>
      </c>
      <c r="O8139" s="29"/>
      <c r="P8139" s="29" t="s">
        <v>13003</v>
      </c>
      <c r="Q8139" t="s">
        <v>2039</v>
      </c>
      <c r="R8139" t="s">
        <v>2635</v>
      </c>
      <c r="S8139">
        <v>38</v>
      </c>
      <c r="T8139" s="43" t="str">
        <f t="shared" si="349"/>
        <v>2021.026M.Paramyxoviridae_sprename.zip</v>
      </c>
      <c r="U8139" s="43" t="str">
        <f>HYPERLINK("https://ictv.global/taxonomy/taxondetails?taxnode_id=202201632","ictv.global=202201632")</f>
        <v>ictv.global=202201632</v>
      </c>
    </row>
    <row r="8140" spans="1:21">
      <c r="A8140">
        <v>8139</v>
      </c>
      <c r="B8140" s="29" t="s">
        <v>3223</v>
      </c>
      <c r="C8140" s="29"/>
      <c r="D8140" s="29" t="s">
        <v>4156</v>
      </c>
      <c r="E8140" s="29"/>
      <c r="F8140" s="29" t="s">
        <v>2998</v>
      </c>
      <c r="G8140" s="29" t="s">
        <v>2999</v>
      </c>
      <c r="H8140" s="29" t="s">
        <v>3006</v>
      </c>
      <c r="I8140" s="29"/>
      <c r="J8140" s="29" t="s">
        <v>757</v>
      </c>
      <c r="K8140" s="29"/>
      <c r="L8140" s="29" t="s">
        <v>1049</v>
      </c>
      <c r="M8140" s="29" t="s">
        <v>3237</v>
      </c>
      <c r="N8140" s="29" t="s">
        <v>3238</v>
      </c>
      <c r="O8140" s="29"/>
      <c r="P8140" s="29" t="s">
        <v>13004</v>
      </c>
      <c r="Q8140" t="s">
        <v>2039</v>
      </c>
      <c r="R8140" t="s">
        <v>2635</v>
      </c>
      <c r="S8140">
        <v>38</v>
      </c>
      <c r="T8140" s="43" t="str">
        <f t="shared" si="349"/>
        <v>2021.026M.Paramyxoviridae_sprename.zip</v>
      </c>
      <c r="U8140" s="43" t="str">
        <f>HYPERLINK("https://ictv.global/taxonomy/taxondetails?taxnode_id=202201633","ictv.global=202201633")</f>
        <v>ictv.global=202201633</v>
      </c>
    </row>
    <row r="8141" spans="1:21">
      <c r="A8141">
        <v>8140</v>
      </c>
      <c r="B8141" s="29" t="s">
        <v>3223</v>
      </c>
      <c r="C8141" s="29"/>
      <c r="D8141" s="29" t="s">
        <v>4156</v>
      </c>
      <c r="E8141" s="29"/>
      <c r="F8141" s="29" t="s">
        <v>2998</v>
      </c>
      <c r="G8141" s="29" t="s">
        <v>2999</v>
      </c>
      <c r="H8141" s="29" t="s">
        <v>3006</v>
      </c>
      <c r="I8141" s="29"/>
      <c r="J8141" s="29" t="s">
        <v>757</v>
      </c>
      <c r="K8141" s="29"/>
      <c r="L8141" s="29" t="s">
        <v>1049</v>
      </c>
      <c r="M8141" s="29" t="s">
        <v>3237</v>
      </c>
      <c r="N8141" s="29" t="s">
        <v>3238</v>
      </c>
      <c r="O8141" s="29"/>
      <c r="P8141" s="29" t="s">
        <v>13005</v>
      </c>
      <c r="Q8141" t="s">
        <v>2039</v>
      </c>
      <c r="R8141" t="s">
        <v>2635</v>
      </c>
      <c r="S8141">
        <v>38</v>
      </c>
      <c r="T8141" s="43" t="str">
        <f t="shared" si="349"/>
        <v>2021.026M.Paramyxoviridae_sprename.zip</v>
      </c>
      <c r="U8141" s="43" t="str">
        <f>HYPERLINK("https://ictv.global/taxonomy/taxondetails?taxnode_id=202201635","ictv.global=202201635")</f>
        <v>ictv.global=202201635</v>
      </c>
    </row>
    <row r="8142" spans="1:21">
      <c r="A8142">
        <v>8141</v>
      </c>
      <c r="B8142" s="29" t="s">
        <v>3223</v>
      </c>
      <c r="C8142" s="29"/>
      <c r="D8142" s="29" t="s">
        <v>4156</v>
      </c>
      <c r="E8142" s="29"/>
      <c r="F8142" s="29" t="s">
        <v>2998</v>
      </c>
      <c r="G8142" s="29" t="s">
        <v>2999</v>
      </c>
      <c r="H8142" s="29" t="s">
        <v>3006</v>
      </c>
      <c r="I8142" s="29"/>
      <c r="J8142" s="29" t="s">
        <v>757</v>
      </c>
      <c r="K8142" s="29"/>
      <c r="L8142" s="29" t="s">
        <v>1049</v>
      </c>
      <c r="M8142" s="29" t="s">
        <v>3237</v>
      </c>
      <c r="N8142" s="29" t="s">
        <v>3238</v>
      </c>
      <c r="O8142" s="29"/>
      <c r="P8142" s="29" t="s">
        <v>13006</v>
      </c>
      <c r="Q8142" t="s">
        <v>2039</v>
      </c>
      <c r="R8142" t="s">
        <v>2635</v>
      </c>
      <c r="S8142">
        <v>38</v>
      </c>
      <c r="T8142" s="43" t="str">
        <f t="shared" si="349"/>
        <v>2021.026M.Paramyxoviridae_sprename.zip</v>
      </c>
      <c r="U8142" s="43" t="str">
        <f>HYPERLINK("https://ictv.global/taxonomy/taxondetails?taxnode_id=202201637","ictv.global=202201637")</f>
        <v>ictv.global=202201637</v>
      </c>
    </row>
    <row r="8143" spans="1:21">
      <c r="A8143">
        <v>8142</v>
      </c>
      <c r="B8143" s="29" t="s">
        <v>3223</v>
      </c>
      <c r="C8143" s="29"/>
      <c r="D8143" s="29" t="s">
        <v>4156</v>
      </c>
      <c r="E8143" s="29"/>
      <c r="F8143" s="29" t="s">
        <v>2998</v>
      </c>
      <c r="G8143" s="29" t="s">
        <v>2999</v>
      </c>
      <c r="H8143" s="29" t="s">
        <v>3006</v>
      </c>
      <c r="I8143" s="29"/>
      <c r="J8143" s="29" t="s">
        <v>757</v>
      </c>
      <c r="K8143" s="29"/>
      <c r="L8143" s="29" t="s">
        <v>1049</v>
      </c>
      <c r="M8143" s="29" t="s">
        <v>3237</v>
      </c>
      <c r="N8143" s="29" t="s">
        <v>3238</v>
      </c>
      <c r="O8143" s="29"/>
      <c r="P8143" s="29" t="s">
        <v>13007</v>
      </c>
      <c r="Q8143" t="s">
        <v>2039</v>
      </c>
      <c r="R8143" t="s">
        <v>2635</v>
      </c>
      <c r="S8143">
        <v>38</v>
      </c>
      <c r="T8143" s="43" t="str">
        <f t="shared" si="349"/>
        <v>2021.026M.Paramyxoviridae_sprename.zip</v>
      </c>
      <c r="U8143" s="43" t="str">
        <f>HYPERLINK("https://ictv.global/taxonomy/taxondetails?taxnode_id=202201636","ictv.global=202201636")</f>
        <v>ictv.global=202201636</v>
      </c>
    </row>
    <row r="8144" spans="1:21">
      <c r="A8144">
        <v>8143</v>
      </c>
      <c r="B8144" s="29" t="s">
        <v>3223</v>
      </c>
      <c r="C8144" s="29"/>
      <c r="D8144" s="29" t="s">
        <v>4156</v>
      </c>
      <c r="E8144" s="29"/>
      <c r="F8144" s="29" t="s">
        <v>2998</v>
      </c>
      <c r="G8144" s="29" t="s">
        <v>2999</v>
      </c>
      <c r="H8144" s="29" t="s">
        <v>3006</v>
      </c>
      <c r="I8144" s="29"/>
      <c r="J8144" s="29" t="s">
        <v>757</v>
      </c>
      <c r="K8144" s="29"/>
      <c r="L8144" s="29" t="s">
        <v>1049</v>
      </c>
      <c r="M8144" s="29" t="s">
        <v>3237</v>
      </c>
      <c r="N8144" s="29" t="s">
        <v>3239</v>
      </c>
      <c r="O8144" s="29"/>
      <c r="P8144" s="29" t="s">
        <v>13008</v>
      </c>
      <c r="Q8144" t="s">
        <v>2039</v>
      </c>
      <c r="R8144" t="s">
        <v>2635</v>
      </c>
      <c r="S8144">
        <v>38</v>
      </c>
      <c r="T8144" s="43" t="str">
        <f t="shared" si="349"/>
        <v>2021.026M.Paramyxoviridae_sprename.zip</v>
      </c>
      <c r="U8144" s="43" t="str">
        <f>HYPERLINK("https://ictv.global/taxonomy/taxondetails?taxnode_id=202201628","ictv.global=202201628")</f>
        <v>ictv.global=202201628</v>
      </c>
    </row>
    <row r="8145" spans="1:21">
      <c r="A8145">
        <v>8144</v>
      </c>
      <c r="B8145" s="29" t="s">
        <v>3223</v>
      </c>
      <c r="C8145" s="29"/>
      <c r="D8145" s="29" t="s">
        <v>4156</v>
      </c>
      <c r="E8145" s="29"/>
      <c r="F8145" s="29" t="s">
        <v>2998</v>
      </c>
      <c r="G8145" s="29" t="s">
        <v>2999</v>
      </c>
      <c r="H8145" s="29" t="s">
        <v>3006</v>
      </c>
      <c r="I8145" s="29"/>
      <c r="J8145" s="29" t="s">
        <v>757</v>
      </c>
      <c r="K8145" s="29"/>
      <c r="L8145" s="29" t="s">
        <v>1049</v>
      </c>
      <c r="M8145" s="29" t="s">
        <v>3237</v>
      </c>
      <c r="N8145" s="29" t="s">
        <v>3239</v>
      </c>
      <c r="O8145" s="29"/>
      <c r="P8145" s="29" t="s">
        <v>13009</v>
      </c>
      <c r="Q8145" t="s">
        <v>2039</v>
      </c>
      <c r="R8145" t="s">
        <v>2635</v>
      </c>
      <c r="S8145">
        <v>38</v>
      </c>
      <c r="T8145" s="43" t="str">
        <f t="shared" si="349"/>
        <v>2021.026M.Paramyxoviridae_sprename.zip</v>
      </c>
      <c r="U8145" s="43" t="str">
        <f>HYPERLINK("https://ictv.global/taxonomy/taxondetails?taxnode_id=202201627","ictv.global=202201627")</f>
        <v>ictv.global=202201627</v>
      </c>
    </row>
    <row r="8146" spans="1:21">
      <c r="A8146">
        <v>8145</v>
      </c>
      <c r="B8146" s="29" t="s">
        <v>3223</v>
      </c>
      <c r="C8146" s="29"/>
      <c r="D8146" s="29" t="s">
        <v>4156</v>
      </c>
      <c r="E8146" s="29"/>
      <c r="F8146" s="29" t="s">
        <v>2998</v>
      </c>
      <c r="G8146" s="29" t="s">
        <v>2999</v>
      </c>
      <c r="H8146" s="29" t="s">
        <v>3006</v>
      </c>
      <c r="I8146" s="29"/>
      <c r="J8146" s="29" t="s">
        <v>757</v>
      </c>
      <c r="K8146" s="29"/>
      <c r="L8146" s="29" t="s">
        <v>1049</v>
      </c>
      <c r="M8146" s="29" t="s">
        <v>3237</v>
      </c>
      <c r="N8146" s="29" t="s">
        <v>3239</v>
      </c>
      <c r="O8146" s="29"/>
      <c r="P8146" s="29" t="s">
        <v>13010</v>
      </c>
      <c r="Q8146" t="s">
        <v>2039</v>
      </c>
      <c r="R8146" t="s">
        <v>2635</v>
      </c>
      <c r="S8146">
        <v>38</v>
      </c>
      <c r="T8146" s="43" t="str">
        <f t="shared" si="349"/>
        <v>2021.026M.Paramyxoviridae_sprename.zip</v>
      </c>
      <c r="U8146" s="43" t="str">
        <f>HYPERLINK("https://ictv.global/taxonomy/taxondetails?taxnode_id=202201642","ictv.global=202201642")</f>
        <v>ictv.global=202201642</v>
      </c>
    </row>
    <row r="8147" spans="1:21">
      <c r="A8147">
        <v>8146</v>
      </c>
      <c r="B8147" s="29" t="s">
        <v>3223</v>
      </c>
      <c r="C8147" s="29"/>
      <c r="D8147" s="29" t="s">
        <v>4156</v>
      </c>
      <c r="E8147" s="29"/>
      <c r="F8147" s="29" t="s">
        <v>2998</v>
      </c>
      <c r="G8147" s="29" t="s">
        <v>2999</v>
      </c>
      <c r="H8147" s="29" t="s">
        <v>3006</v>
      </c>
      <c r="I8147" s="29"/>
      <c r="J8147" s="29" t="s">
        <v>757</v>
      </c>
      <c r="K8147" s="29"/>
      <c r="L8147" s="29" t="s">
        <v>1049</v>
      </c>
      <c r="M8147" s="29" t="s">
        <v>3237</v>
      </c>
      <c r="N8147" s="29" t="s">
        <v>3239</v>
      </c>
      <c r="O8147" s="29"/>
      <c r="P8147" s="29" t="s">
        <v>13011</v>
      </c>
      <c r="Q8147" t="s">
        <v>2039</v>
      </c>
      <c r="R8147" t="s">
        <v>2635</v>
      </c>
      <c r="S8147">
        <v>38</v>
      </c>
      <c r="T8147" s="43" t="str">
        <f t="shared" si="349"/>
        <v>2021.026M.Paramyxoviridae_sprename.zip</v>
      </c>
      <c r="U8147" s="43" t="str">
        <f>HYPERLINK("https://ictv.global/taxonomy/taxondetails?taxnode_id=202201641","ictv.global=202201641")</f>
        <v>ictv.global=202201641</v>
      </c>
    </row>
    <row r="8148" spans="1:21">
      <c r="A8148">
        <v>8147</v>
      </c>
      <c r="B8148" s="29" t="s">
        <v>3223</v>
      </c>
      <c r="C8148" s="29"/>
      <c r="D8148" s="29" t="s">
        <v>4156</v>
      </c>
      <c r="E8148" s="29"/>
      <c r="F8148" s="29" t="s">
        <v>2998</v>
      </c>
      <c r="G8148" s="29" t="s">
        <v>2999</v>
      </c>
      <c r="H8148" s="29" t="s">
        <v>3006</v>
      </c>
      <c r="I8148" s="29"/>
      <c r="J8148" s="29" t="s">
        <v>757</v>
      </c>
      <c r="K8148" s="29"/>
      <c r="L8148" s="29" t="s">
        <v>1049</v>
      </c>
      <c r="M8148" s="29" t="s">
        <v>3237</v>
      </c>
      <c r="N8148" s="29" t="s">
        <v>3239</v>
      </c>
      <c r="O8148" s="29"/>
      <c r="P8148" s="29" t="s">
        <v>13012</v>
      </c>
      <c r="Q8148" t="s">
        <v>2039</v>
      </c>
      <c r="R8148" t="s">
        <v>2635</v>
      </c>
      <c r="S8148">
        <v>38</v>
      </c>
      <c r="T8148" s="43" t="str">
        <f t="shared" si="349"/>
        <v>2021.026M.Paramyxoviridae_sprename.zip</v>
      </c>
      <c r="U8148" s="43" t="str">
        <f>HYPERLINK("https://ictv.global/taxonomy/taxondetails?taxnode_id=202207558","ictv.global=202207558")</f>
        <v>ictv.global=202207558</v>
      </c>
    </row>
    <row r="8149" spans="1:21">
      <c r="A8149">
        <v>8148</v>
      </c>
      <c r="B8149" s="29" t="s">
        <v>3223</v>
      </c>
      <c r="C8149" s="29"/>
      <c r="D8149" s="29" t="s">
        <v>4156</v>
      </c>
      <c r="E8149" s="29"/>
      <c r="F8149" s="29" t="s">
        <v>2998</v>
      </c>
      <c r="G8149" s="29" t="s">
        <v>2999</v>
      </c>
      <c r="H8149" s="29" t="s">
        <v>3006</v>
      </c>
      <c r="I8149" s="29"/>
      <c r="J8149" s="29" t="s">
        <v>757</v>
      </c>
      <c r="K8149" s="29"/>
      <c r="L8149" s="29" t="s">
        <v>1049</v>
      </c>
      <c r="M8149" s="29" t="s">
        <v>3237</v>
      </c>
      <c r="N8149" s="29" t="s">
        <v>3239</v>
      </c>
      <c r="O8149" s="29"/>
      <c r="P8149" s="29" t="s">
        <v>13013</v>
      </c>
      <c r="Q8149" t="s">
        <v>2039</v>
      </c>
      <c r="R8149" t="s">
        <v>2635</v>
      </c>
      <c r="S8149">
        <v>38</v>
      </c>
      <c r="T8149" s="43" t="str">
        <f t="shared" si="349"/>
        <v>2021.026M.Paramyxoviridae_sprename.zip</v>
      </c>
      <c r="U8149" s="43" t="str">
        <f>HYPERLINK("https://ictv.global/taxonomy/taxondetails?taxnode_id=202201643","ictv.global=202201643")</f>
        <v>ictv.global=202201643</v>
      </c>
    </row>
    <row r="8150" spans="1:21">
      <c r="A8150">
        <v>8149</v>
      </c>
      <c r="B8150" s="29" t="s">
        <v>3223</v>
      </c>
      <c r="C8150" s="29"/>
      <c r="D8150" s="29" t="s">
        <v>4156</v>
      </c>
      <c r="E8150" s="29"/>
      <c r="F8150" s="29" t="s">
        <v>2998</v>
      </c>
      <c r="G8150" s="29" t="s">
        <v>2999</v>
      </c>
      <c r="H8150" s="29" t="s">
        <v>3006</v>
      </c>
      <c r="I8150" s="29"/>
      <c r="J8150" s="29" t="s">
        <v>757</v>
      </c>
      <c r="K8150" s="29"/>
      <c r="L8150" s="29" t="s">
        <v>1049</v>
      </c>
      <c r="M8150" s="29" t="s">
        <v>3237</v>
      </c>
      <c r="N8150" s="29" t="s">
        <v>3239</v>
      </c>
      <c r="O8150" s="29"/>
      <c r="P8150" s="29" t="s">
        <v>13014</v>
      </c>
      <c r="Q8150" t="s">
        <v>2039</v>
      </c>
      <c r="R8150" t="s">
        <v>2635</v>
      </c>
      <c r="S8150">
        <v>38</v>
      </c>
      <c r="T8150" s="43" t="str">
        <f t="shared" si="349"/>
        <v>2021.026M.Paramyxoviridae_sprename.zip</v>
      </c>
      <c r="U8150" s="43" t="str">
        <f>HYPERLINK("https://ictv.global/taxonomy/taxondetails?taxnode_id=202201634","ictv.global=202201634")</f>
        <v>ictv.global=202201634</v>
      </c>
    </row>
    <row r="8151" spans="1:21">
      <c r="A8151">
        <v>8150</v>
      </c>
      <c r="B8151" s="29" t="s">
        <v>3223</v>
      </c>
      <c r="C8151" s="29"/>
      <c r="D8151" s="29" t="s">
        <v>4156</v>
      </c>
      <c r="E8151" s="29"/>
      <c r="F8151" s="29" t="s">
        <v>2998</v>
      </c>
      <c r="G8151" s="29" t="s">
        <v>2999</v>
      </c>
      <c r="H8151" s="29" t="s">
        <v>3006</v>
      </c>
      <c r="I8151" s="29"/>
      <c r="J8151" s="29" t="s">
        <v>757</v>
      </c>
      <c r="K8151" s="29"/>
      <c r="L8151" s="29" t="s">
        <v>1049</v>
      </c>
      <c r="M8151" s="29" t="s">
        <v>3237</v>
      </c>
      <c r="N8151" s="29" t="s">
        <v>3239</v>
      </c>
      <c r="O8151" s="29"/>
      <c r="P8151" s="29" t="s">
        <v>13015</v>
      </c>
      <c r="Q8151" t="s">
        <v>2039</v>
      </c>
      <c r="R8151" t="s">
        <v>2635</v>
      </c>
      <c r="S8151">
        <v>38</v>
      </c>
      <c r="T8151" s="43" t="str">
        <f t="shared" si="349"/>
        <v>2021.026M.Paramyxoviridae_sprename.zip</v>
      </c>
      <c r="U8151" s="43" t="str">
        <f>HYPERLINK("https://ictv.global/taxonomy/taxondetails?taxnode_id=202201638","ictv.global=202201638")</f>
        <v>ictv.global=202201638</v>
      </c>
    </row>
    <row r="8152" spans="1:21">
      <c r="A8152">
        <v>8151</v>
      </c>
      <c r="B8152" s="29" t="s">
        <v>3223</v>
      </c>
      <c r="C8152" s="29"/>
      <c r="D8152" s="29" t="s">
        <v>4156</v>
      </c>
      <c r="E8152" s="29"/>
      <c r="F8152" s="29" t="s">
        <v>2998</v>
      </c>
      <c r="G8152" s="29" t="s">
        <v>2999</v>
      </c>
      <c r="H8152" s="29" t="s">
        <v>3006</v>
      </c>
      <c r="I8152" s="29"/>
      <c r="J8152" s="29" t="s">
        <v>757</v>
      </c>
      <c r="K8152" s="29"/>
      <c r="L8152" s="29" t="s">
        <v>1049</v>
      </c>
      <c r="M8152" s="29" t="s">
        <v>3237</v>
      </c>
      <c r="N8152" s="29" t="s">
        <v>3239</v>
      </c>
      <c r="O8152" s="29"/>
      <c r="P8152" s="29" t="s">
        <v>13016</v>
      </c>
      <c r="Q8152" t="s">
        <v>2039</v>
      </c>
      <c r="R8152" t="s">
        <v>2635</v>
      </c>
      <c r="S8152">
        <v>38</v>
      </c>
      <c r="T8152" s="43" t="str">
        <f t="shared" si="349"/>
        <v>2021.026M.Paramyxoviridae_sprename.zip</v>
      </c>
      <c r="U8152" s="43" t="str">
        <f>HYPERLINK("https://ictv.global/taxonomy/taxondetails?taxnode_id=202201639","ictv.global=202201639")</f>
        <v>ictv.global=202201639</v>
      </c>
    </row>
    <row r="8153" spans="1:21">
      <c r="A8153">
        <v>8152</v>
      </c>
      <c r="B8153" s="29" t="s">
        <v>3223</v>
      </c>
      <c r="C8153" s="29"/>
      <c r="D8153" s="29" t="s">
        <v>4156</v>
      </c>
      <c r="E8153" s="29"/>
      <c r="F8153" s="29" t="s">
        <v>2998</v>
      </c>
      <c r="G8153" s="29" t="s">
        <v>2999</v>
      </c>
      <c r="H8153" s="29" t="s">
        <v>3006</v>
      </c>
      <c r="I8153" s="29"/>
      <c r="J8153" s="29" t="s">
        <v>757</v>
      </c>
      <c r="K8153" s="29"/>
      <c r="L8153" s="29" t="s">
        <v>1049</v>
      </c>
      <c r="M8153" s="29" t="s">
        <v>3237</v>
      </c>
      <c r="N8153" s="29" t="s">
        <v>3239</v>
      </c>
      <c r="O8153" s="29"/>
      <c r="P8153" s="29" t="s">
        <v>13017</v>
      </c>
      <c r="Q8153" t="s">
        <v>2039</v>
      </c>
      <c r="R8153" t="s">
        <v>2635</v>
      </c>
      <c r="S8153">
        <v>38</v>
      </c>
      <c r="T8153" s="43" t="str">
        <f t="shared" si="349"/>
        <v>2021.026M.Paramyxoviridae_sprename.zip</v>
      </c>
      <c r="U8153" s="43" t="str">
        <f>HYPERLINK("https://ictv.global/taxonomy/taxondetails?taxnode_id=202201640","ictv.global=202201640")</f>
        <v>ictv.global=202201640</v>
      </c>
    </row>
    <row r="8154" spans="1:21">
      <c r="A8154">
        <v>8153</v>
      </c>
      <c r="B8154" s="29" t="s">
        <v>3223</v>
      </c>
      <c r="C8154" s="29"/>
      <c r="D8154" s="29" t="s">
        <v>4156</v>
      </c>
      <c r="E8154" s="29"/>
      <c r="F8154" s="29" t="s">
        <v>2998</v>
      </c>
      <c r="G8154" s="29" t="s">
        <v>2999</v>
      </c>
      <c r="H8154" s="29" t="s">
        <v>3006</v>
      </c>
      <c r="I8154" s="29"/>
      <c r="J8154" s="29" t="s">
        <v>757</v>
      </c>
      <c r="K8154" s="29"/>
      <c r="L8154" s="29" t="s">
        <v>1049</v>
      </c>
      <c r="M8154" s="29"/>
      <c r="N8154" s="29" t="s">
        <v>4213</v>
      </c>
      <c r="O8154" s="29"/>
      <c r="P8154" s="29" t="s">
        <v>13018</v>
      </c>
      <c r="Q8154" t="s">
        <v>2039</v>
      </c>
      <c r="R8154" t="s">
        <v>2635</v>
      </c>
      <c r="S8154">
        <v>38</v>
      </c>
      <c r="T8154" s="43" t="str">
        <f t="shared" si="349"/>
        <v>2021.026M.Paramyxoviridae_sprename.zip</v>
      </c>
      <c r="U8154" s="43" t="str">
        <f>HYPERLINK("https://ictv.global/taxonomy/taxondetails?taxnode_id=202206473","ictv.global=202206473")</f>
        <v>ictv.global=202206473</v>
      </c>
    </row>
    <row r="8155" spans="1:21">
      <c r="A8155">
        <v>8154</v>
      </c>
      <c r="B8155" s="29" t="s">
        <v>3223</v>
      </c>
      <c r="C8155" s="29"/>
      <c r="D8155" s="29" t="s">
        <v>4156</v>
      </c>
      <c r="E8155" s="29"/>
      <c r="F8155" s="29" t="s">
        <v>2998</v>
      </c>
      <c r="G8155" s="29" t="s">
        <v>2999</v>
      </c>
      <c r="H8155" s="29" t="s">
        <v>3006</v>
      </c>
      <c r="I8155" s="29"/>
      <c r="J8155" s="29" t="s">
        <v>757</v>
      </c>
      <c r="K8155" s="29"/>
      <c r="L8155" s="29" t="s">
        <v>1049</v>
      </c>
      <c r="M8155" s="29"/>
      <c r="N8155" s="29" t="s">
        <v>4214</v>
      </c>
      <c r="O8155" s="29"/>
      <c r="P8155" s="29" t="s">
        <v>13019</v>
      </c>
      <c r="Q8155" t="s">
        <v>2039</v>
      </c>
      <c r="R8155" t="s">
        <v>2635</v>
      </c>
      <c r="S8155">
        <v>38</v>
      </c>
      <c r="T8155" s="43" t="str">
        <f t="shared" si="349"/>
        <v>2021.026M.Paramyxoviridae_sprename.zip</v>
      </c>
      <c r="U8155" s="43" t="str">
        <f>HYPERLINK("https://ictv.global/taxonomy/taxondetails?taxnode_id=202206474","ictv.global=202206474")</f>
        <v>ictv.global=202206474</v>
      </c>
    </row>
    <row r="8156" spans="1:21">
      <c r="A8156">
        <v>8155</v>
      </c>
      <c r="B8156" s="29" t="s">
        <v>3223</v>
      </c>
      <c r="C8156" s="29"/>
      <c r="D8156" s="29" t="s">
        <v>4156</v>
      </c>
      <c r="E8156" s="29"/>
      <c r="F8156" s="29" t="s">
        <v>2998</v>
      </c>
      <c r="G8156" s="29" t="s">
        <v>2999</v>
      </c>
      <c r="H8156" s="29" t="s">
        <v>3006</v>
      </c>
      <c r="I8156" s="29"/>
      <c r="J8156" s="29" t="s">
        <v>757</v>
      </c>
      <c r="K8156" s="29"/>
      <c r="L8156" s="29" t="s">
        <v>1049</v>
      </c>
      <c r="M8156" s="29"/>
      <c r="N8156" s="29" t="s">
        <v>4215</v>
      </c>
      <c r="O8156" s="29"/>
      <c r="P8156" s="29" t="s">
        <v>13020</v>
      </c>
      <c r="Q8156" t="s">
        <v>2039</v>
      </c>
      <c r="R8156" t="s">
        <v>2635</v>
      </c>
      <c r="S8156">
        <v>38</v>
      </c>
      <c r="T8156" s="43" t="str">
        <f t="shared" si="349"/>
        <v>2021.026M.Paramyxoviridae_sprename.zip</v>
      </c>
      <c r="U8156" s="43" t="str">
        <f>HYPERLINK("https://ictv.global/taxonomy/taxondetails?taxnode_id=202206475","ictv.global=202206475")</f>
        <v>ictv.global=202206475</v>
      </c>
    </row>
    <row r="8157" spans="1:21">
      <c r="A8157">
        <v>8156</v>
      </c>
      <c r="B8157" s="29" t="s">
        <v>3223</v>
      </c>
      <c r="C8157" s="29"/>
      <c r="D8157" s="29" t="s">
        <v>4156</v>
      </c>
      <c r="E8157" s="29"/>
      <c r="F8157" s="29" t="s">
        <v>2998</v>
      </c>
      <c r="G8157" s="29" t="s">
        <v>2999</v>
      </c>
      <c r="H8157" s="29" t="s">
        <v>3006</v>
      </c>
      <c r="I8157" s="29"/>
      <c r="J8157" s="29" t="s">
        <v>757</v>
      </c>
      <c r="K8157" s="29"/>
      <c r="L8157" s="29" t="s">
        <v>2134</v>
      </c>
      <c r="M8157" s="29"/>
      <c r="N8157" s="29" t="s">
        <v>2356</v>
      </c>
      <c r="O8157" s="29"/>
      <c r="P8157" s="29" t="s">
        <v>13021</v>
      </c>
      <c r="Q8157" t="s">
        <v>2039</v>
      </c>
      <c r="R8157" t="s">
        <v>2635</v>
      </c>
      <c r="S8157">
        <v>38</v>
      </c>
      <c r="T8157" s="43" t="str">
        <f>HYPERLINK("https://ictv.global/ictv/proposals/2021.033M.Pneumoviridae_sprename.zip","2021.033M.Pneumoviridae_sprename.zip")</f>
        <v>2021.033M.Pneumoviridae_sprename.zip</v>
      </c>
      <c r="U8157" s="43" t="str">
        <f>HYPERLINK("https://ictv.global/taxonomy/taxondetails?taxnode_id=202201647","ictv.global=202201647")</f>
        <v>ictv.global=202201647</v>
      </c>
    </row>
    <row r="8158" spans="1:21">
      <c r="A8158">
        <v>8157</v>
      </c>
      <c r="B8158" s="29" t="s">
        <v>3223</v>
      </c>
      <c r="C8158" s="29"/>
      <c r="D8158" s="29" t="s">
        <v>4156</v>
      </c>
      <c r="E8158" s="29"/>
      <c r="F8158" s="29" t="s">
        <v>2998</v>
      </c>
      <c r="G8158" s="29" t="s">
        <v>2999</v>
      </c>
      <c r="H8158" s="29" t="s">
        <v>3006</v>
      </c>
      <c r="I8158" s="29"/>
      <c r="J8158" s="29" t="s">
        <v>757</v>
      </c>
      <c r="K8158" s="29"/>
      <c r="L8158" s="29" t="s">
        <v>2134</v>
      </c>
      <c r="M8158" s="29"/>
      <c r="N8158" s="29" t="s">
        <v>2356</v>
      </c>
      <c r="O8158" s="29"/>
      <c r="P8158" s="29" t="s">
        <v>13022</v>
      </c>
      <c r="Q8158" t="s">
        <v>2039</v>
      </c>
      <c r="R8158" t="s">
        <v>2635</v>
      </c>
      <c r="S8158">
        <v>38</v>
      </c>
      <c r="T8158" s="43" t="str">
        <f>HYPERLINK("https://ictv.global/ictv/proposals/2021.033M.Pneumoviridae_sprename.zip","2021.033M.Pneumoviridae_sprename.zip")</f>
        <v>2021.033M.Pneumoviridae_sprename.zip</v>
      </c>
      <c r="U8158" s="43" t="str">
        <f>HYPERLINK("https://ictv.global/taxonomy/taxondetails?taxnode_id=202201648","ictv.global=202201648")</f>
        <v>ictv.global=202201648</v>
      </c>
    </row>
    <row r="8159" spans="1:21">
      <c r="A8159">
        <v>8158</v>
      </c>
      <c r="B8159" s="29" t="s">
        <v>3223</v>
      </c>
      <c r="C8159" s="29"/>
      <c r="D8159" s="29" t="s">
        <v>4156</v>
      </c>
      <c r="E8159" s="29"/>
      <c r="F8159" s="29" t="s">
        <v>2998</v>
      </c>
      <c r="G8159" s="29" t="s">
        <v>2999</v>
      </c>
      <c r="H8159" s="29" t="s">
        <v>3006</v>
      </c>
      <c r="I8159" s="29"/>
      <c r="J8159" s="29" t="s">
        <v>757</v>
      </c>
      <c r="K8159" s="29"/>
      <c r="L8159" s="29" t="s">
        <v>2134</v>
      </c>
      <c r="M8159" s="29"/>
      <c r="N8159" s="29" t="s">
        <v>2135</v>
      </c>
      <c r="O8159" s="29"/>
      <c r="P8159" s="29" t="s">
        <v>13023</v>
      </c>
      <c r="Q8159" t="s">
        <v>2039</v>
      </c>
      <c r="R8159" t="s">
        <v>2635</v>
      </c>
      <c r="S8159">
        <v>38</v>
      </c>
      <c r="T8159" s="43" t="str">
        <f>HYPERLINK("https://ictv.global/ictv/proposals/2021.033M.Pneumoviridae_sprename.zip","2021.033M.Pneumoviridae_sprename.zip")</f>
        <v>2021.033M.Pneumoviridae_sprename.zip</v>
      </c>
      <c r="U8159" s="43" t="str">
        <f>HYPERLINK("https://ictv.global/taxonomy/taxondetails?taxnode_id=202201650","ictv.global=202201650")</f>
        <v>ictv.global=202201650</v>
      </c>
    </row>
    <row r="8160" spans="1:21">
      <c r="A8160">
        <v>8159</v>
      </c>
      <c r="B8160" s="29" t="s">
        <v>3223</v>
      </c>
      <c r="C8160" s="29"/>
      <c r="D8160" s="29" t="s">
        <v>4156</v>
      </c>
      <c r="E8160" s="29"/>
      <c r="F8160" s="29" t="s">
        <v>2998</v>
      </c>
      <c r="G8160" s="29" t="s">
        <v>2999</v>
      </c>
      <c r="H8160" s="29" t="s">
        <v>3006</v>
      </c>
      <c r="I8160" s="29"/>
      <c r="J8160" s="29" t="s">
        <v>757</v>
      </c>
      <c r="K8160" s="29"/>
      <c r="L8160" s="29" t="s">
        <v>2134</v>
      </c>
      <c r="M8160" s="29"/>
      <c r="N8160" s="29" t="s">
        <v>2135</v>
      </c>
      <c r="O8160" s="29"/>
      <c r="P8160" s="29" t="s">
        <v>13024</v>
      </c>
      <c r="Q8160" t="s">
        <v>2039</v>
      </c>
      <c r="R8160" t="s">
        <v>2635</v>
      </c>
      <c r="S8160">
        <v>38</v>
      </c>
      <c r="T8160" s="43" t="str">
        <f>HYPERLINK("https://ictv.global/ictv/proposals/2021.033M.Pneumoviridae_sprename.zip","2021.033M.Pneumoviridae_sprename.zip")</f>
        <v>2021.033M.Pneumoviridae_sprename.zip</v>
      </c>
      <c r="U8160" s="43" t="str">
        <f>HYPERLINK("https://ictv.global/taxonomy/taxondetails?taxnode_id=202201651","ictv.global=202201651")</f>
        <v>ictv.global=202201651</v>
      </c>
    </row>
    <row r="8161" spans="1:21">
      <c r="A8161">
        <v>8160</v>
      </c>
      <c r="B8161" s="29" t="s">
        <v>3223</v>
      </c>
      <c r="C8161" s="29"/>
      <c r="D8161" s="29" t="s">
        <v>4156</v>
      </c>
      <c r="E8161" s="29"/>
      <c r="F8161" s="29" t="s">
        <v>2998</v>
      </c>
      <c r="G8161" s="29" t="s">
        <v>2999</v>
      </c>
      <c r="H8161" s="29" t="s">
        <v>3006</v>
      </c>
      <c r="I8161" s="29"/>
      <c r="J8161" s="29" t="s">
        <v>757</v>
      </c>
      <c r="K8161" s="29"/>
      <c r="L8161" s="29" t="s">
        <v>2134</v>
      </c>
      <c r="M8161" s="29"/>
      <c r="N8161" s="29" t="s">
        <v>2135</v>
      </c>
      <c r="O8161" s="29"/>
      <c r="P8161" s="29" t="s">
        <v>13025</v>
      </c>
      <c r="Q8161" t="s">
        <v>2039</v>
      </c>
      <c r="R8161" t="s">
        <v>2635</v>
      </c>
      <c r="S8161">
        <v>38</v>
      </c>
      <c r="T8161" s="43" t="str">
        <f>HYPERLINK("https://ictv.global/ictv/proposals/2021.033M.Pneumoviridae_sprename.zip","2021.033M.Pneumoviridae_sprename.zip")</f>
        <v>2021.033M.Pneumoviridae_sprename.zip</v>
      </c>
      <c r="U8161" s="43" t="str">
        <f>HYPERLINK("https://ictv.global/taxonomy/taxondetails?taxnode_id=202201652","ictv.global=202201652")</f>
        <v>ictv.global=202201652</v>
      </c>
    </row>
    <row r="8162" spans="1:21">
      <c r="A8162">
        <v>8161</v>
      </c>
      <c r="B8162" s="29" t="s">
        <v>3223</v>
      </c>
      <c r="C8162" s="29"/>
      <c r="D8162" s="29" t="s">
        <v>4156</v>
      </c>
      <c r="E8162" s="29"/>
      <c r="F8162" s="29" t="s">
        <v>2998</v>
      </c>
      <c r="G8162" s="29" t="s">
        <v>2999</v>
      </c>
      <c r="H8162" s="29" t="s">
        <v>3006</v>
      </c>
      <c r="I8162" s="29"/>
      <c r="J8162" s="29" t="s">
        <v>757</v>
      </c>
      <c r="K8162" s="29"/>
      <c r="L8162" s="29" t="s">
        <v>1062</v>
      </c>
      <c r="M8162" s="29" t="s">
        <v>6656</v>
      </c>
      <c r="N8162" s="29" t="s">
        <v>2455</v>
      </c>
      <c r="O8162" s="29"/>
      <c r="P8162" s="29" t="s">
        <v>13026</v>
      </c>
      <c r="Q8162" t="s">
        <v>2039</v>
      </c>
      <c r="R8162" t="s">
        <v>2635</v>
      </c>
      <c r="S8162">
        <v>37</v>
      </c>
      <c r="T8162" s="43" t="str">
        <f t="shared" ref="T8162:T8167" si="350">HYPERLINK("https://ictv.global/ictv/proposals/2021.036M.R.Rhabdoviridae_sprename.zip","2021.036M.R.Rhabdoviridae_sprename.zip")</f>
        <v>2021.036M.R.Rhabdoviridae_sprename.zip</v>
      </c>
      <c r="U8162" s="43" t="str">
        <f>HYPERLINK("https://ictv.global/taxonomy/taxondetails?taxnode_id=202201659","ictv.global=202201659")</f>
        <v>ictv.global=202201659</v>
      </c>
    </row>
    <row r="8163" spans="1:21">
      <c r="A8163">
        <v>8162</v>
      </c>
      <c r="B8163" s="29" t="s">
        <v>3223</v>
      </c>
      <c r="C8163" s="29"/>
      <c r="D8163" s="29" t="s">
        <v>4156</v>
      </c>
      <c r="E8163" s="29"/>
      <c r="F8163" s="29" t="s">
        <v>2998</v>
      </c>
      <c r="G8163" s="29" t="s">
        <v>2999</v>
      </c>
      <c r="H8163" s="29" t="s">
        <v>3006</v>
      </c>
      <c r="I8163" s="29"/>
      <c r="J8163" s="29" t="s">
        <v>757</v>
      </c>
      <c r="K8163" s="29"/>
      <c r="L8163" s="29" t="s">
        <v>1062</v>
      </c>
      <c r="M8163" s="29" t="s">
        <v>6656</v>
      </c>
      <c r="N8163" s="29" t="s">
        <v>2455</v>
      </c>
      <c r="O8163" s="29"/>
      <c r="P8163" s="29" t="s">
        <v>13027</v>
      </c>
      <c r="Q8163" t="s">
        <v>2039</v>
      </c>
      <c r="R8163" t="s">
        <v>2635</v>
      </c>
      <c r="S8163">
        <v>37</v>
      </c>
      <c r="T8163" s="43" t="str">
        <f t="shared" si="350"/>
        <v>2021.036M.R.Rhabdoviridae_sprename.zip</v>
      </c>
      <c r="U8163" s="43" t="str">
        <f>HYPERLINK("https://ictv.global/taxonomy/taxondetails?taxnode_id=202201656","ictv.global=202201656")</f>
        <v>ictv.global=202201656</v>
      </c>
    </row>
    <row r="8164" spans="1:21">
      <c r="A8164">
        <v>8163</v>
      </c>
      <c r="B8164" s="29" t="s">
        <v>3223</v>
      </c>
      <c r="C8164" s="29"/>
      <c r="D8164" s="29" t="s">
        <v>4156</v>
      </c>
      <c r="E8164" s="29"/>
      <c r="F8164" s="29" t="s">
        <v>2998</v>
      </c>
      <c r="G8164" s="29" t="s">
        <v>2999</v>
      </c>
      <c r="H8164" s="29" t="s">
        <v>3006</v>
      </c>
      <c r="I8164" s="29"/>
      <c r="J8164" s="29" t="s">
        <v>757</v>
      </c>
      <c r="K8164" s="29"/>
      <c r="L8164" s="29" t="s">
        <v>1062</v>
      </c>
      <c r="M8164" s="29" t="s">
        <v>6656</v>
      </c>
      <c r="N8164" s="29" t="s">
        <v>2455</v>
      </c>
      <c r="O8164" s="29"/>
      <c r="P8164" s="29" t="s">
        <v>13028</v>
      </c>
      <c r="Q8164" t="s">
        <v>2039</v>
      </c>
      <c r="R8164" t="s">
        <v>2635</v>
      </c>
      <c r="S8164">
        <v>37</v>
      </c>
      <c r="T8164" s="43" t="str">
        <f t="shared" si="350"/>
        <v>2021.036M.R.Rhabdoviridae_sprename.zip</v>
      </c>
      <c r="U8164" s="43" t="str">
        <f>HYPERLINK("https://ictv.global/taxonomy/taxondetails?taxnode_id=202201657","ictv.global=202201657")</f>
        <v>ictv.global=202201657</v>
      </c>
    </row>
    <row r="8165" spans="1:21">
      <c r="A8165">
        <v>8164</v>
      </c>
      <c r="B8165" s="29" t="s">
        <v>3223</v>
      </c>
      <c r="C8165" s="29"/>
      <c r="D8165" s="29" t="s">
        <v>4156</v>
      </c>
      <c r="E8165" s="29"/>
      <c r="F8165" s="29" t="s">
        <v>2998</v>
      </c>
      <c r="G8165" s="29" t="s">
        <v>2999</v>
      </c>
      <c r="H8165" s="29" t="s">
        <v>3006</v>
      </c>
      <c r="I8165" s="29"/>
      <c r="J8165" s="29" t="s">
        <v>757</v>
      </c>
      <c r="K8165" s="29"/>
      <c r="L8165" s="29" t="s">
        <v>1062</v>
      </c>
      <c r="M8165" s="29" t="s">
        <v>6656</v>
      </c>
      <c r="N8165" s="29" t="s">
        <v>2455</v>
      </c>
      <c r="O8165" s="29"/>
      <c r="P8165" s="29" t="s">
        <v>13029</v>
      </c>
      <c r="Q8165" t="s">
        <v>2039</v>
      </c>
      <c r="R8165" t="s">
        <v>2635</v>
      </c>
      <c r="S8165">
        <v>37</v>
      </c>
      <c r="T8165" s="43" t="str">
        <f t="shared" si="350"/>
        <v>2021.036M.R.Rhabdoviridae_sprename.zip</v>
      </c>
      <c r="U8165" s="43" t="str">
        <f>HYPERLINK("https://ictv.global/taxonomy/taxondetails?taxnode_id=202201660","ictv.global=202201660")</f>
        <v>ictv.global=202201660</v>
      </c>
    </row>
    <row r="8166" spans="1:21">
      <c r="A8166">
        <v>8165</v>
      </c>
      <c r="B8166" s="29" t="s">
        <v>3223</v>
      </c>
      <c r="C8166" s="29"/>
      <c r="D8166" s="29" t="s">
        <v>4156</v>
      </c>
      <c r="E8166" s="29"/>
      <c r="F8166" s="29" t="s">
        <v>2998</v>
      </c>
      <c r="G8166" s="29" t="s">
        <v>2999</v>
      </c>
      <c r="H8166" s="29" t="s">
        <v>3006</v>
      </c>
      <c r="I8166" s="29"/>
      <c r="J8166" s="29" t="s">
        <v>757</v>
      </c>
      <c r="K8166" s="29"/>
      <c r="L8166" s="29" t="s">
        <v>1062</v>
      </c>
      <c r="M8166" s="29" t="s">
        <v>6656</v>
      </c>
      <c r="N8166" s="29" t="s">
        <v>2455</v>
      </c>
      <c r="O8166" s="29"/>
      <c r="P8166" s="29" t="s">
        <v>13030</v>
      </c>
      <c r="Q8166" t="s">
        <v>2039</v>
      </c>
      <c r="R8166" t="s">
        <v>2635</v>
      </c>
      <c r="S8166">
        <v>37</v>
      </c>
      <c r="T8166" s="43" t="str">
        <f t="shared" si="350"/>
        <v>2021.036M.R.Rhabdoviridae_sprename.zip</v>
      </c>
      <c r="U8166" s="43" t="str">
        <f>HYPERLINK("https://ictv.global/taxonomy/taxondetails?taxnode_id=202201658","ictv.global=202201658")</f>
        <v>ictv.global=202201658</v>
      </c>
    </row>
    <row r="8167" spans="1:21">
      <c r="A8167">
        <v>8166</v>
      </c>
      <c r="B8167" s="29" t="s">
        <v>3223</v>
      </c>
      <c r="C8167" s="29"/>
      <c r="D8167" s="29" t="s">
        <v>4156</v>
      </c>
      <c r="E8167" s="29"/>
      <c r="F8167" s="29" t="s">
        <v>2998</v>
      </c>
      <c r="G8167" s="29" t="s">
        <v>2999</v>
      </c>
      <c r="H8167" s="29" t="s">
        <v>3006</v>
      </c>
      <c r="I8167" s="29"/>
      <c r="J8167" s="29" t="s">
        <v>757</v>
      </c>
      <c r="K8167" s="29"/>
      <c r="L8167" s="29" t="s">
        <v>1062</v>
      </c>
      <c r="M8167" s="29" t="s">
        <v>6656</v>
      </c>
      <c r="N8167" s="29" t="s">
        <v>2455</v>
      </c>
      <c r="O8167" s="29"/>
      <c r="P8167" s="29" t="s">
        <v>13031</v>
      </c>
      <c r="Q8167" t="s">
        <v>2039</v>
      </c>
      <c r="R8167" t="s">
        <v>2635</v>
      </c>
      <c r="S8167">
        <v>37</v>
      </c>
      <c r="T8167" s="43" t="str">
        <f t="shared" si="350"/>
        <v>2021.036M.R.Rhabdoviridae_sprename.zip</v>
      </c>
      <c r="U8167" s="43" t="str">
        <f>HYPERLINK("https://ictv.global/taxonomy/taxondetails?taxnode_id=202207700","ictv.global=202207700")</f>
        <v>ictv.global=202207700</v>
      </c>
    </row>
    <row r="8168" spans="1:21">
      <c r="A8168">
        <v>8167</v>
      </c>
      <c r="B8168" s="29" t="s">
        <v>3223</v>
      </c>
      <c r="C8168" s="29"/>
      <c r="D8168" s="29" t="s">
        <v>4156</v>
      </c>
      <c r="E8168" s="29"/>
      <c r="F8168" s="29" t="s">
        <v>2998</v>
      </c>
      <c r="G8168" s="29" t="s">
        <v>2999</v>
      </c>
      <c r="H8168" s="29" t="s">
        <v>3006</v>
      </c>
      <c r="I8168" s="29"/>
      <c r="J8168" s="29" t="s">
        <v>757</v>
      </c>
      <c r="K8168" s="29"/>
      <c r="L8168" s="29" t="s">
        <v>1062</v>
      </c>
      <c r="M8168" s="29" t="s">
        <v>6656</v>
      </c>
      <c r="N8168" s="29" t="s">
        <v>2455</v>
      </c>
      <c r="O8168" s="29"/>
      <c r="P8168" s="29" t="s">
        <v>13032</v>
      </c>
      <c r="Q8168" t="s">
        <v>2039</v>
      </c>
      <c r="R8168" t="s">
        <v>2632</v>
      </c>
      <c r="S8168">
        <v>38</v>
      </c>
      <c r="T8168" s="43" t="str">
        <f>HYPERLINK("https://ictv.global/ictv/proposals/2022.002M.Alpharhabdovirinae_1ngen14nsp.zip","2022.002M.Alpharhabdovirinae_1ngen14nsp.zip")</f>
        <v>2022.002M.Alpharhabdovirinae_1ngen14nsp.zip</v>
      </c>
      <c r="U8168" s="43" t="str">
        <f>HYPERLINK("https://ictv.global/taxonomy/taxondetails?taxnode_id=202214154","ictv.global=202214154")</f>
        <v>ictv.global=202214154</v>
      </c>
    </row>
    <row r="8169" spans="1:21">
      <c r="A8169">
        <v>8168</v>
      </c>
      <c r="B8169" s="29" t="s">
        <v>3223</v>
      </c>
      <c r="C8169" s="29"/>
      <c r="D8169" s="29" t="s">
        <v>4156</v>
      </c>
      <c r="E8169" s="29"/>
      <c r="F8169" s="29" t="s">
        <v>2998</v>
      </c>
      <c r="G8169" s="29" t="s">
        <v>2999</v>
      </c>
      <c r="H8169" s="29" t="s">
        <v>3006</v>
      </c>
      <c r="I8169" s="29"/>
      <c r="J8169" s="29" t="s">
        <v>757</v>
      </c>
      <c r="K8169" s="29"/>
      <c r="L8169" s="29" t="s">
        <v>1062</v>
      </c>
      <c r="M8169" s="29" t="s">
        <v>6656</v>
      </c>
      <c r="N8169" s="29" t="s">
        <v>3240</v>
      </c>
      <c r="O8169" s="29"/>
      <c r="P8169" s="29" t="s">
        <v>13033</v>
      </c>
      <c r="Q8169" t="s">
        <v>2039</v>
      </c>
      <c r="R8169" t="s">
        <v>2632</v>
      </c>
      <c r="S8169">
        <v>38</v>
      </c>
      <c r="T8169" s="43" t="str">
        <f>HYPERLINK("https://ictv.global/ictv/proposals/2022.002M.Alpharhabdovirinae_1ngen14nsp.zip","2022.002M.Alpharhabdovirinae_1ngen14nsp.zip")</f>
        <v>2022.002M.Alpharhabdovirinae_1ngen14nsp.zip</v>
      </c>
      <c r="U8169" s="43" t="str">
        <f>HYPERLINK("https://ictv.global/taxonomy/taxondetails?taxnode_id=202214151","ictv.global=202214151")</f>
        <v>ictv.global=202214151</v>
      </c>
    </row>
    <row r="8170" spans="1:21">
      <c r="A8170">
        <v>8169</v>
      </c>
      <c r="B8170" s="29" t="s">
        <v>3223</v>
      </c>
      <c r="C8170" s="29"/>
      <c r="D8170" s="29" t="s">
        <v>4156</v>
      </c>
      <c r="E8170" s="29"/>
      <c r="F8170" s="29" t="s">
        <v>2998</v>
      </c>
      <c r="G8170" s="29" t="s">
        <v>2999</v>
      </c>
      <c r="H8170" s="29" t="s">
        <v>3006</v>
      </c>
      <c r="I8170" s="29"/>
      <c r="J8170" s="29" t="s">
        <v>757</v>
      </c>
      <c r="K8170" s="29"/>
      <c r="L8170" s="29" t="s">
        <v>1062</v>
      </c>
      <c r="M8170" s="29" t="s">
        <v>6656</v>
      </c>
      <c r="N8170" s="29" t="s">
        <v>3240</v>
      </c>
      <c r="O8170" s="29"/>
      <c r="P8170" s="29" t="s">
        <v>13034</v>
      </c>
      <c r="Q8170" t="s">
        <v>2039</v>
      </c>
      <c r="R8170" t="s">
        <v>2632</v>
      </c>
      <c r="S8170">
        <v>38</v>
      </c>
      <c r="T8170" s="43" t="str">
        <f>HYPERLINK("https://ictv.global/ictv/proposals/2022.002M.Alpharhabdovirinae_1ngen14nsp.zip","2022.002M.Alpharhabdovirinae_1ngen14nsp.zip")</f>
        <v>2022.002M.Alpharhabdovirinae_1ngen14nsp.zip</v>
      </c>
      <c r="U8170" s="43" t="str">
        <f>HYPERLINK("https://ictv.global/taxonomy/taxondetails?taxnode_id=202214150","ictv.global=202214150")</f>
        <v>ictv.global=202214150</v>
      </c>
    </row>
    <row r="8171" spans="1:21">
      <c r="A8171">
        <v>8170</v>
      </c>
      <c r="B8171" s="29" t="s">
        <v>3223</v>
      </c>
      <c r="C8171" s="29"/>
      <c r="D8171" s="29" t="s">
        <v>4156</v>
      </c>
      <c r="E8171" s="29"/>
      <c r="F8171" s="29" t="s">
        <v>2998</v>
      </c>
      <c r="G8171" s="29" t="s">
        <v>2999</v>
      </c>
      <c r="H8171" s="29" t="s">
        <v>3006</v>
      </c>
      <c r="I8171" s="29"/>
      <c r="J8171" s="29" t="s">
        <v>757</v>
      </c>
      <c r="K8171" s="29"/>
      <c r="L8171" s="29" t="s">
        <v>1062</v>
      </c>
      <c r="M8171" s="29" t="s">
        <v>6656</v>
      </c>
      <c r="N8171" s="29" t="s">
        <v>3240</v>
      </c>
      <c r="O8171" s="29"/>
      <c r="P8171" s="29" t="s">
        <v>13035</v>
      </c>
      <c r="Q8171" t="s">
        <v>2039</v>
      </c>
      <c r="R8171" t="s">
        <v>2635</v>
      </c>
      <c r="S8171">
        <v>37</v>
      </c>
      <c r="T8171" s="43" t="str">
        <f>HYPERLINK("https://ictv.global/ictv/proposals/2021.036M.R.Rhabdoviridae_sprename.zip","2021.036M.R.Rhabdoviridae_sprename.zip")</f>
        <v>2021.036M.R.Rhabdoviridae_sprename.zip</v>
      </c>
      <c r="U8171" s="43" t="str">
        <f>HYPERLINK("https://ictv.global/taxonomy/taxondetails?taxnode_id=202206519","ictv.global=202206519")</f>
        <v>ictv.global=202206519</v>
      </c>
    </row>
    <row r="8172" spans="1:21">
      <c r="A8172">
        <v>8171</v>
      </c>
      <c r="B8172" s="29" t="s">
        <v>3223</v>
      </c>
      <c r="C8172" s="29"/>
      <c r="D8172" s="29" t="s">
        <v>4156</v>
      </c>
      <c r="E8172" s="29"/>
      <c r="F8172" s="29" t="s">
        <v>2998</v>
      </c>
      <c r="G8172" s="29" t="s">
        <v>2999</v>
      </c>
      <c r="H8172" s="29" t="s">
        <v>3006</v>
      </c>
      <c r="I8172" s="29"/>
      <c r="J8172" s="29" t="s">
        <v>757</v>
      </c>
      <c r="K8172" s="29"/>
      <c r="L8172" s="29" t="s">
        <v>1062</v>
      </c>
      <c r="M8172" s="29" t="s">
        <v>6656</v>
      </c>
      <c r="N8172" s="29" t="s">
        <v>3240</v>
      </c>
      <c r="O8172" s="29"/>
      <c r="P8172" s="29" t="s">
        <v>13036</v>
      </c>
      <c r="Q8172" t="s">
        <v>2039</v>
      </c>
      <c r="R8172" t="s">
        <v>2635</v>
      </c>
      <c r="S8172">
        <v>37</v>
      </c>
      <c r="T8172" s="43" t="str">
        <f>HYPERLINK("https://ictv.global/ictv/proposals/2021.036M.R.Rhabdoviridae_sprename.zip","2021.036M.R.Rhabdoviridae_sprename.zip")</f>
        <v>2021.036M.R.Rhabdoviridae_sprename.zip</v>
      </c>
      <c r="U8172" s="43" t="str">
        <f>HYPERLINK("https://ictv.global/taxonomy/taxondetails?taxnode_id=202206520","ictv.global=202206520")</f>
        <v>ictv.global=202206520</v>
      </c>
    </row>
    <row r="8173" spans="1:21">
      <c r="A8173">
        <v>8172</v>
      </c>
      <c r="B8173" s="29" t="s">
        <v>3223</v>
      </c>
      <c r="C8173" s="29"/>
      <c r="D8173" s="29" t="s">
        <v>4156</v>
      </c>
      <c r="E8173" s="29"/>
      <c r="F8173" s="29" t="s">
        <v>2998</v>
      </c>
      <c r="G8173" s="29" t="s">
        <v>2999</v>
      </c>
      <c r="H8173" s="29" t="s">
        <v>3006</v>
      </c>
      <c r="I8173" s="29"/>
      <c r="J8173" s="29" t="s">
        <v>757</v>
      </c>
      <c r="K8173" s="29"/>
      <c r="L8173" s="29" t="s">
        <v>1062</v>
      </c>
      <c r="M8173" s="29" t="s">
        <v>6656</v>
      </c>
      <c r="N8173" s="29" t="s">
        <v>6657</v>
      </c>
      <c r="O8173" s="29"/>
      <c r="P8173" s="29" t="s">
        <v>13037</v>
      </c>
      <c r="Q8173" t="s">
        <v>2039</v>
      </c>
      <c r="R8173" t="s">
        <v>2635</v>
      </c>
      <c r="S8173">
        <v>37</v>
      </c>
      <c r="T8173" s="43" t="str">
        <f>HYPERLINK("https://ictv.global/ictv/proposals/2021.036M.R.Rhabdoviridae_sprename.zip","2021.036M.R.Rhabdoviridae_sprename.zip")</f>
        <v>2021.036M.R.Rhabdoviridae_sprename.zip</v>
      </c>
      <c r="U8173" s="43" t="str">
        <f>HYPERLINK("https://ictv.global/taxonomy/taxondetails?taxnode_id=202208751","ictv.global=202208751")</f>
        <v>ictv.global=202208751</v>
      </c>
    </row>
    <row r="8174" spans="1:21">
      <c r="A8174">
        <v>8173</v>
      </c>
      <c r="B8174" s="29" t="s">
        <v>3223</v>
      </c>
      <c r="C8174" s="29"/>
      <c r="D8174" s="29" t="s">
        <v>4156</v>
      </c>
      <c r="E8174" s="29"/>
      <c r="F8174" s="29" t="s">
        <v>2998</v>
      </c>
      <c r="G8174" s="29" t="s">
        <v>2999</v>
      </c>
      <c r="H8174" s="29" t="s">
        <v>3006</v>
      </c>
      <c r="I8174" s="29"/>
      <c r="J8174" s="29" t="s">
        <v>757</v>
      </c>
      <c r="K8174" s="29"/>
      <c r="L8174" s="29" t="s">
        <v>1062</v>
      </c>
      <c r="M8174" s="29" t="s">
        <v>6656</v>
      </c>
      <c r="N8174" s="29" t="s">
        <v>6657</v>
      </c>
      <c r="O8174" s="29"/>
      <c r="P8174" s="29" t="s">
        <v>13038</v>
      </c>
      <c r="Q8174" t="s">
        <v>2039</v>
      </c>
      <c r="R8174" t="s">
        <v>2635</v>
      </c>
      <c r="S8174">
        <v>37</v>
      </c>
      <c r="T8174" s="43" t="str">
        <f>HYPERLINK("https://ictv.global/ictv/proposals/2021.036M.R.Rhabdoviridae_sprename.zip","2021.036M.R.Rhabdoviridae_sprename.zip")</f>
        <v>2021.036M.R.Rhabdoviridae_sprename.zip</v>
      </c>
      <c r="U8174" s="43" t="str">
        <f>HYPERLINK("https://ictv.global/taxonomy/taxondetails?taxnode_id=202208750","ictv.global=202208750")</f>
        <v>ictv.global=202208750</v>
      </c>
    </row>
    <row r="8175" spans="1:21">
      <c r="A8175">
        <v>8174</v>
      </c>
      <c r="B8175" s="29" t="s">
        <v>3223</v>
      </c>
      <c r="C8175" s="29"/>
      <c r="D8175" s="29" t="s">
        <v>4156</v>
      </c>
      <c r="E8175" s="29"/>
      <c r="F8175" s="29" t="s">
        <v>2998</v>
      </c>
      <c r="G8175" s="29" t="s">
        <v>2999</v>
      </c>
      <c r="H8175" s="29" t="s">
        <v>3006</v>
      </c>
      <c r="I8175" s="29"/>
      <c r="J8175" s="29" t="s">
        <v>757</v>
      </c>
      <c r="K8175" s="29"/>
      <c r="L8175" s="29" t="s">
        <v>1062</v>
      </c>
      <c r="M8175" s="29" t="s">
        <v>6656</v>
      </c>
      <c r="N8175" s="29" t="s">
        <v>6658</v>
      </c>
      <c r="O8175" s="29"/>
      <c r="P8175" s="29" t="s">
        <v>13039</v>
      </c>
      <c r="Q8175" t="s">
        <v>2039</v>
      </c>
      <c r="R8175" t="s">
        <v>2635</v>
      </c>
      <c r="S8175">
        <v>37</v>
      </c>
      <c r="T8175" s="43" t="str">
        <f>HYPERLINK("https://ictv.global/ictv/proposals/2021.036M.R.Rhabdoviridae_sprename.zip","2021.036M.R.Rhabdoviridae_sprename.zip;2021.043M.R.Corrections_Mononegavirales_Bunyavirales.zip")</f>
        <v>2021.036M.R.Rhabdoviridae_sprename.zip;2021.043M.R.Corrections_Mononegavirales_Bunyavirales.zip</v>
      </c>
      <c r="U8175" s="43" t="str">
        <f>HYPERLINK("https://ictv.global/taxonomy/taxondetails?taxnode_id=202208755","ictv.global=202208755")</f>
        <v>ictv.global=202208755</v>
      </c>
    </row>
    <row r="8176" spans="1:21">
      <c r="A8176">
        <v>8175</v>
      </c>
      <c r="B8176" s="29" t="s">
        <v>3223</v>
      </c>
      <c r="C8176" s="29"/>
      <c r="D8176" s="29" t="s">
        <v>4156</v>
      </c>
      <c r="E8176" s="29"/>
      <c r="F8176" s="29" t="s">
        <v>2998</v>
      </c>
      <c r="G8176" s="29" t="s">
        <v>2999</v>
      </c>
      <c r="H8176" s="29" t="s">
        <v>3006</v>
      </c>
      <c r="I8176" s="29"/>
      <c r="J8176" s="29" t="s">
        <v>757</v>
      </c>
      <c r="K8176" s="29"/>
      <c r="L8176" s="29" t="s">
        <v>1062</v>
      </c>
      <c r="M8176" s="29" t="s">
        <v>6656</v>
      </c>
      <c r="N8176" s="29" t="s">
        <v>6658</v>
      </c>
      <c r="O8176" s="29"/>
      <c r="P8176" s="29" t="s">
        <v>13040</v>
      </c>
      <c r="Q8176" t="s">
        <v>2039</v>
      </c>
      <c r="R8176" t="s">
        <v>2635</v>
      </c>
      <c r="S8176">
        <v>37</v>
      </c>
      <c r="T8176" s="43" t="str">
        <f>HYPERLINK("https://ictv.global/ictv/proposals/2021.036M.R.Rhabdoviridae_sprename.zip","2021.036M.R.Rhabdoviridae_sprename.zip")</f>
        <v>2021.036M.R.Rhabdoviridae_sprename.zip</v>
      </c>
      <c r="U8176" s="43" t="str">
        <f>HYPERLINK("https://ictv.global/taxonomy/taxondetails?taxnode_id=202208753","ictv.global=202208753")</f>
        <v>ictv.global=202208753</v>
      </c>
    </row>
    <row r="8177" spans="1:21">
      <c r="A8177">
        <v>8176</v>
      </c>
      <c r="B8177" s="29" t="s">
        <v>3223</v>
      </c>
      <c r="C8177" s="29"/>
      <c r="D8177" s="29" t="s">
        <v>4156</v>
      </c>
      <c r="E8177" s="29"/>
      <c r="F8177" s="29" t="s">
        <v>2998</v>
      </c>
      <c r="G8177" s="29" t="s">
        <v>2999</v>
      </c>
      <c r="H8177" s="29" t="s">
        <v>3006</v>
      </c>
      <c r="I8177" s="29"/>
      <c r="J8177" s="29" t="s">
        <v>757</v>
      </c>
      <c r="K8177" s="29"/>
      <c r="L8177" s="29" t="s">
        <v>1062</v>
      </c>
      <c r="M8177" s="29" t="s">
        <v>6656</v>
      </c>
      <c r="N8177" s="29" t="s">
        <v>6658</v>
      </c>
      <c r="O8177" s="29"/>
      <c r="P8177" s="29" t="s">
        <v>13041</v>
      </c>
      <c r="Q8177" t="s">
        <v>2039</v>
      </c>
      <c r="R8177" t="s">
        <v>2632</v>
      </c>
      <c r="S8177">
        <v>38</v>
      </c>
      <c r="T8177" s="43" t="str">
        <f>HYPERLINK("https://ictv.global/ictv/proposals/2022.002M.Alpharhabdovirinae_1ngen14nsp.zip","2022.002M.Alpharhabdovirinae_1ngen14nsp.zip")</f>
        <v>2022.002M.Alpharhabdovirinae_1ngen14nsp.zip</v>
      </c>
      <c r="U8177" s="43" t="str">
        <f>HYPERLINK("https://ictv.global/taxonomy/taxondetails?taxnode_id=202214153","ictv.global=202214153")</f>
        <v>ictv.global=202214153</v>
      </c>
    </row>
    <row r="8178" spans="1:21">
      <c r="A8178">
        <v>8177</v>
      </c>
      <c r="B8178" s="29" t="s">
        <v>3223</v>
      </c>
      <c r="C8178" s="29"/>
      <c r="D8178" s="29" t="s">
        <v>4156</v>
      </c>
      <c r="E8178" s="29"/>
      <c r="F8178" s="29" t="s">
        <v>2998</v>
      </c>
      <c r="G8178" s="29" t="s">
        <v>2999</v>
      </c>
      <c r="H8178" s="29" t="s">
        <v>3006</v>
      </c>
      <c r="I8178" s="29"/>
      <c r="J8178" s="29" t="s">
        <v>757</v>
      </c>
      <c r="K8178" s="29"/>
      <c r="L8178" s="29" t="s">
        <v>1062</v>
      </c>
      <c r="M8178" s="29" t="s">
        <v>6656</v>
      </c>
      <c r="N8178" s="29" t="s">
        <v>6658</v>
      </c>
      <c r="O8178" s="29"/>
      <c r="P8178" s="29" t="s">
        <v>13042</v>
      </c>
      <c r="Q8178" t="s">
        <v>2039</v>
      </c>
      <c r="R8178" t="s">
        <v>2635</v>
      </c>
      <c r="S8178">
        <v>37</v>
      </c>
      <c r="T8178" s="43" t="str">
        <f>HYPERLINK("https://ictv.global/ictv/proposals/2021.036M.R.Rhabdoviridae_sprename.zip","2021.036M.R.Rhabdoviridae_sprename.zip")</f>
        <v>2021.036M.R.Rhabdoviridae_sprename.zip</v>
      </c>
      <c r="U8178" s="43" t="str">
        <f>HYPERLINK("https://ictv.global/taxonomy/taxondetails?taxnode_id=202208754","ictv.global=202208754")</f>
        <v>ictv.global=202208754</v>
      </c>
    </row>
    <row r="8179" spans="1:21">
      <c r="A8179">
        <v>8178</v>
      </c>
      <c r="B8179" s="29" t="s">
        <v>3223</v>
      </c>
      <c r="C8179" s="29"/>
      <c r="D8179" s="29" t="s">
        <v>4156</v>
      </c>
      <c r="E8179" s="29"/>
      <c r="F8179" s="29" t="s">
        <v>2998</v>
      </c>
      <c r="G8179" s="29" t="s">
        <v>2999</v>
      </c>
      <c r="H8179" s="29" t="s">
        <v>3006</v>
      </c>
      <c r="I8179" s="29"/>
      <c r="J8179" s="29" t="s">
        <v>757</v>
      </c>
      <c r="K8179" s="29"/>
      <c r="L8179" s="29" t="s">
        <v>1062</v>
      </c>
      <c r="M8179" s="29" t="s">
        <v>6656</v>
      </c>
      <c r="N8179" s="29" t="s">
        <v>13043</v>
      </c>
      <c r="O8179" s="29"/>
      <c r="P8179" s="29" t="s">
        <v>13044</v>
      </c>
      <c r="Q8179" t="s">
        <v>2039</v>
      </c>
      <c r="R8179" t="s">
        <v>2632</v>
      </c>
      <c r="S8179">
        <v>37</v>
      </c>
      <c r="T8179" s="43" t="str">
        <f>HYPERLINK("https://ictv.global/ictv/proposals/2021.035M.R.Rhabdoviridae_2ngen_2nsp.zip","2021.035M.R.Rhabdoviridae_2ngen_2nsp.zip")</f>
        <v>2021.035M.R.Rhabdoviridae_2ngen_2nsp.zip</v>
      </c>
      <c r="U8179" s="43" t="str">
        <f>HYPERLINK("https://ictv.global/taxonomy/taxondetails?taxnode_id=202212249","ictv.global=202212249")</f>
        <v>ictv.global=202212249</v>
      </c>
    </row>
    <row r="8180" spans="1:21">
      <c r="A8180">
        <v>8179</v>
      </c>
      <c r="B8180" s="29" t="s">
        <v>3223</v>
      </c>
      <c r="C8180" s="29"/>
      <c r="D8180" s="29" t="s">
        <v>4156</v>
      </c>
      <c r="E8180" s="29"/>
      <c r="F8180" s="29" t="s">
        <v>2998</v>
      </c>
      <c r="G8180" s="29" t="s">
        <v>2999</v>
      </c>
      <c r="H8180" s="29" t="s">
        <v>3006</v>
      </c>
      <c r="I8180" s="29"/>
      <c r="J8180" s="29" t="s">
        <v>757</v>
      </c>
      <c r="K8180" s="29"/>
      <c r="L8180" s="29" t="s">
        <v>1062</v>
      </c>
      <c r="M8180" s="29" t="s">
        <v>6656</v>
      </c>
      <c r="N8180" s="29" t="s">
        <v>4217</v>
      </c>
      <c r="O8180" s="29"/>
      <c r="P8180" s="29" t="s">
        <v>13045</v>
      </c>
      <c r="Q8180" t="s">
        <v>2039</v>
      </c>
      <c r="R8180" t="s">
        <v>2635</v>
      </c>
      <c r="S8180">
        <v>37</v>
      </c>
      <c r="T8180" s="43" t="str">
        <f t="shared" ref="T8180:T8188" si="351">HYPERLINK("https://ictv.global/ictv/proposals/2021.036M.R.Rhabdoviridae_sprename.zip","2021.036M.R.Rhabdoviridae_sprename.zip")</f>
        <v>2021.036M.R.Rhabdoviridae_sprename.zip</v>
      </c>
      <c r="U8180" s="43" t="str">
        <f>HYPERLINK("https://ictv.global/taxonomy/taxondetails?taxnode_id=202207241","ictv.global=202207241")</f>
        <v>ictv.global=202207241</v>
      </c>
    </row>
    <row r="8181" spans="1:21">
      <c r="A8181">
        <v>8180</v>
      </c>
      <c r="B8181" s="29" t="s">
        <v>3223</v>
      </c>
      <c r="C8181" s="29"/>
      <c r="D8181" s="29" t="s">
        <v>4156</v>
      </c>
      <c r="E8181" s="29"/>
      <c r="F8181" s="29" t="s">
        <v>2998</v>
      </c>
      <c r="G8181" s="29" t="s">
        <v>2999</v>
      </c>
      <c r="H8181" s="29" t="s">
        <v>3006</v>
      </c>
      <c r="I8181" s="29"/>
      <c r="J8181" s="29" t="s">
        <v>757</v>
      </c>
      <c r="K8181" s="29"/>
      <c r="L8181" s="29" t="s">
        <v>1062</v>
      </c>
      <c r="M8181" s="29" t="s">
        <v>6656</v>
      </c>
      <c r="N8181" s="29" t="s">
        <v>4217</v>
      </c>
      <c r="O8181" s="29"/>
      <c r="P8181" s="29" t="s">
        <v>13046</v>
      </c>
      <c r="Q8181" t="s">
        <v>2039</v>
      </c>
      <c r="R8181" t="s">
        <v>2635</v>
      </c>
      <c r="S8181">
        <v>37</v>
      </c>
      <c r="T8181" s="43" t="str">
        <f t="shared" si="351"/>
        <v>2021.036M.R.Rhabdoviridae_sprename.zip</v>
      </c>
      <c r="U8181" s="43" t="str">
        <f>HYPERLINK("https://ictv.global/taxonomy/taxondetails?taxnode_id=202207243","ictv.global=202207243")</f>
        <v>ictv.global=202207243</v>
      </c>
    </row>
    <row r="8182" spans="1:21">
      <c r="A8182">
        <v>8181</v>
      </c>
      <c r="B8182" s="29" t="s">
        <v>3223</v>
      </c>
      <c r="C8182" s="29"/>
      <c r="D8182" s="29" t="s">
        <v>4156</v>
      </c>
      <c r="E8182" s="29"/>
      <c r="F8182" s="29" t="s">
        <v>2998</v>
      </c>
      <c r="G8182" s="29" t="s">
        <v>2999</v>
      </c>
      <c r="H8182" s="29" t="s">
        <v>3006</v>
      </c>
      <c r="I8182" s="29"/>
      <c r="J8182" s="29" t="s">
        <v>757</v>
      </c>
      <c r="K8182" s="29"/>
      <c r="L8182" s="29" t="s">
        <v>1062</v>
      </c>
      <c r="M8182" s="29" t="s">
        <v>6656</v>
      </c>
      <c r="N8182" s="29" t="s">
        <v>4217</v>
      </c>
      <c r="O8182" s="29"/>
      <c r="P8182" s="29" t="s">
        <v>13047</v>
      </c>
      <c r="Q8182" t="s">
        <v>2039</v>
      </c>
      <c r="R8182" t="s">
        <v>2635</v>
      </c>
      <c r="S8182">
        <v>37</v>
      </c>
      <c r="T8182" s="43" t="str">
        <f t="shared" si="351"/>
        <v>2021.036M.R.Rhabdoviridae_sprename.zip</v>
      </c>
      <c r="U8182" s="43" t="str">
        <f>HYPERLINK("https://ictv.global/taxonomy/taxondetails?taxnode_id=202207244","ictv.global=202207244")</f>
        <v>ictv.global=202207244</v>
      </c>
    </row>
    <row r="8183" spans="1:21">
      <c r="A8183">
        <v>8182</v>
      </c>
      <c r="B8183" s="29" t="s">
        <v>3223</v>
      </c>
      <c r="C8183" s="29"/>
      <c r="D8183" s="29" t="s">
        <v>4156</v>
      </c>
      <c r="E8183" s="29"/>
      <c r="F8183" s="29" t="s">
        <v>2998</v>
      </c>
      <c r="G8183" s="29" t="s">
        <v>2999</v>
      </c>
      <c r="H8183" s="29" t="s">
        <v>3006</v>
      </c>
      <c r="I8183" s="29"/>
      <c r="J8183" s="29" t="s">
        <v>757</v>
      </c>
      <c r="K8183" s="29"/>
      <c r="L8183" s="29" t="s">
        <v>1062</v>
      </c>
      <c r="M8183" s="29" t="s">
        <v>6656</v>
      </c>
      <c r="N8183" s="29" t="s">
        <v>4217</v>
      </c>
      <c r="O8183" s="29"/>
      <c r="P8183" s="29" t="s">
        <v>13048</v>
      </c>
      <c r="Q8183" t="s">
        <v>2039</v>
      </c>
      <c r="R8183" t="s">
        <v>2635</v>
      </c>
      <c r="S8183">
        <v>37</v>
      </c>
      <c r="T8183" s="43" t="str">
        <f t="shared" si="351"/>
        <v>2021.036M.R.Rhabdoviridae_sprename.zip</v>
      </c>
      <c r="U8183" s="43" t="str">
        <f>HYPERLINK("https://ictv.global/taxonomy/taxondetails?taxnode_id=202207242","ictv.global=202207242")</f>
        <v>ictv.global=202207242</v>
      </c>
    </row>
    <row r="8184" spans="1:21">
      <c r="A8184">
        <v>8183</v>
      </c>
      <c r="B8184" s="29" t="s">
        <v>3223</v>
      </c>
      <c r="C8184" s="29"/>
      <c r="D8184" s="29" t="s">
        <v>4156</v>
      </c>
      <c r="E8184" s="29"/>
      <c r="F8184" s="29" t="s">
        <v>2998</v>
      </c>
      <c r="G8184" s="29" t="s">
        <v>2999</v>
      </c>
      <c r="H8184" s="29" t="s">
        <v>3006</v>
      </c>
      <c r="I8184" s="29"/>
      <c r="J8184" s="29" t="s">
        <v>757</v>
      </c>
      <c r="K8184" s="29"/>
      <c r="L8184" s="29" t="s">
        <v>1062</v>
      </c>
      <c r="M8184" s="29" t="s">
        <v>6656</v>
      </c>
      <c r="N8184" s="29" t="s">
        <v>4453</v>
      </c>
      <c r="O8184" s="29"/>
      <c r="P8184" s="29" t="s">
        <v>13049</v>
      </c>
      <c r="Q8184" t="s">
        <v>2039</v>
      </c>
      <c r="R8184" t="s">
        <v>2635</v>
      </c>
      <c r="S8184">
        <v>37</v>
      </c>
      <c r="T8184" s="43" t="str">
        <f t="shared" si="351"/>
        <v>2021.036M.R.Rhabdoviridae_sprename.zip</v>
      </c>
      <c r="U8184" s="43" t="str">
        <f>HYPERLINK("https://ictv.global/taxonomy/taxondetails?taxnode_id=202207393","ictv.global=202207393")</f>
        <v>ictv.global=202207393</v>
      </c>
    </row>
    <row r="8185" spans="1:21">
      <c r="A8185">
        <v>8184</v>
      </c>
      <c r="B8185" s="29" t="s">
        <v>3223</v>
      </c>
      <c r="C8185" s="29"/>
      <c r="D8185" s="29" t="s">
        <v>4156</v>
      </c>
      <c r="E8185" s="29"/>
      <c r="F8185" s="29" t="s">
        <v>2998</v>
      </c>
      <c r="G8185" s="29" t="s">
        <v>2999</v>
      </c>
      <c r="H8185" s="29" t="s">
        <v>3006</v>
      </c>
      <c r="I8185" s="29"/>
      <c r="J8185" s="29" t="s">
        <v>757</v>
      </c>
      <c r="K8185" s="29"/>
      <c r="L8185" s="29" t="s">
        <v>1062</v>
      </c>
      <c r="M8185" s="29" t="s">
        <v>6656</v>
      </c>
      <c r="N8185" s="29" t="s">
        <v>4453</v>
      </c>
      <c r="O8185" s="29"/>
      <c r="P8185" s="29" t="s">
        <v>13050</v>
      </c>
      <c r="Q8185" t="s">
        <v>2039</v>
      </c>
      <c r="R8185" t="s">
        <v>2635</v>
      </c>
      <c r="S8185">
        <v>37</v>
      </c>
      <c r="T8185" s="43" t="str">
        <f t="shared" si="351"/>
        <v>2021.036M.R.Rhabdoviridae_sprename.zip</v>
      </c>
      <c r="U8185" s="43" t="str">
        <f>HYPERLINK("https://ictv.global/taxonomy/taxondetails?taxnode_id=202207394","ictv.global=202207394")</f>
        <v>ictv.global=202207394</v>
      </c>
    </row>
    <row r="8186" spans="1:21">
      <c r="A8186">
        <v>8185</v>
      </c>
      <c r="B8186" s="29" t="s">
        <v>3223</v>
      </c>
      <c r="C8186" s="29"/>
      <c r="D8186" s="29" t="s">
        <v>4156</v>
      </c>
      <c r="E8186" s="29"/>
      <c r="F8186" s="29" t="s">
        <v>2998</v>
      </c>
      <c r="G8186" s="29" t="s">
        <v>2999</v>
      </c>
      <c r="H8186" s="29" t="s">
        <v>3006</v>
      </c>
      <c r="I8186" s="29"/>
      <c r="J8186" s="29" t="s">
        <v>757</v>
      </c>
      <c r="K8186" s="29"/>
      <c r="L8186" s="29" t="s">
        <v>1062</v>
      </c>
      <c r="M8186" s="29" t="s">
        <v>6656</v>
      </c>
      <c r="N8186" s="29" t="s">
        <v>3241</v>
      </c>
      <c r="O8186" s="29"/>
      <c r="P8186" s="29" t="s">
        <v>13051</v>
      </c>
      <c r="Q8186" t="s">
        <v>2039</v>
      </c>
      <c r="R8186" t="s">
        <v>2635</v>
      </c>
      <c r="S8186">
        <v>37</v>
      </c>
      <c r="T8186" s="43" t="str">
        <f t="shared" si="351"/>
        <v>2021.036M.R.Rhabdoviridae_sprename.zip</v>
      </c>
      <c r="U8186" s="43" t="str">
        <f>HYPERLINK("https://ictv.global/taxonomy/taxondetails?taxnode_id=202206556","ictv.global=202206556")</f>
        <v>ictv.global=202206556</v>
      </c>
    </row>
    <row r="8187" spans="1:21">
      <c r="A8187">
        <v>8186</v>
      </c>
      <c r="B8187" s="29" t="s">
        <v>3223</v>
      </c>
      <c r="C8187" s="29"/>
      <c r="D8187" s="29" t="s">
        <v>4156</v>
      </c>
      <c r="E8187" s="29"/>
      <c r="F8187" s="29" t="s">
        <v>2998</v>
      </c>
      <c r="G8187" s="29" t="s">
        <v>2999</v>
      </c>
      <c r="H8187" s="29" t="s">
        <v>3006</v>
      </c>
      <c r="I8187" s="29"/>
      <c r="J8187" s="29" t="s">
        <v>757</v>
      </c>
      <c r="K8187" s="29"/>
      <c r="L8187" s="29" t="s">
        <v>1062</v>
      </c>
      <c r="M8187" s="29" t="s">
        <v>6656</v>
      </c>
      <c r="N8187" s="29" t="s">
        <v>3241</v>
      </c>
      <c r="O8187" s="29"/>
      <c r="P8187" s="29" t="s">
        <v>13052</v>
      </c>
      <c r="Q8187" t="s">
        <v>2039</v>
      </c>
      <c r="R8187" t="s">
        <v>2635</v>
      </c>
      <c r="S8187">
        <v>37</v>
      </c>
      <c r="T8187" s="43" t="str">
        <f t="shared" si="351"/>
        <v>2021.036M.R.Rhabdoviridae_sprename.zip</v>
      </c>
      <c r="U8187" s="43" t="str">
        <f>HYPERLINK("https://ictv.global/taxonomy/taxondetails?taxnode_id=202206554","ictv.global=202206554")</f>
        <v>ictv.global=202206554</v>
      </c>
    </row>
    <row r="8188" spans="1:21">
      <c r="A8188">
        <v>8187</v>
      </c>
      <c r="B8188" s="29" t="s">
        <v>3223</v>
      </c>
      <c r="C8188" s="29"/>
      <c r="D8188" s="29" t="s">
        <v>4156</v>
      </c>
      <c r="E8188" s="29"/>
      <c r="F8188" s="29" t="s">
        <v>2998</v>
      </c>
      <c r="G8188" s="29" t="s">
        <v>2999</v>
      </c>
      <c r="H8188" s="29" t="s">
        <v>3006</v>
      </c>
      <c r="I8188" s="29"/>
      <c r="J8188" s="29" t="s">
        <v>757</v>
      </c>
      <c r="K8188" s="29"/>
      <c r="L8188" s="29" t="s">
        <v>1062</v>
      </c>
      <c r="M8188" s="29" t="s">
        <v>6656</v>
      </c>
      <c r="N8188" s="29" t="s">
        <v>3241</v>
      </c>
      <c r="O8188" s="29"/>
      <c r="P8188" s="29" t="s">
        <v>13053</v>
      </c>
      <c r="Q8188" t="s">
        <v>2039</v>
      </c>
      <c r="R8188" t="s">
        <v>2635</v>
      </c>
      <c r="S8188">
        <v>37</v>
      </c>
      <c r="T8188" s="43" t="str">
        <f t="shared" si="351"/>
        <v>2021.036M.R.Rhabdoviridae_sprename.zip</v>
      </c>
      <c r="U8188" s="43" t="str">
        <f>HYPERLINK("https://ictv.global/taxonomy/taxondetails?taxnode_id=202206555","ictv.global=202206555")</f>
        <v>ictv.global=202206555</v>
      </c>
    </row>
    <row r="8189" spans="1:21">
      <c r="A8189">
        <v>8188</v>
      </c>
      <c r="B8189" s="29" t="s">
        <v>3223</v>
      </c>
      <c r="C8189" s="29"/>
      <c r="D8189" s="29" t="s">
        <v>4156</v>
      </c>
      <c r="E8189" s="29"/>
      <c r="F8189" s="29" t="s">
        <v>2998</v>
      </c>
      <c r="G8189" s="29" t="s">
        <v>2999</v>
      </c>
      <c r="H8189" s="29" t="s">
        <v>3006</v>
      </c>
      <c r="I8189" s="29"/>
      <c r="J8189" s="29" t="s">
        <v>757</v>
      </c>
      <c r="K8189" s="29"/>
      <c r="L8189" s="29" t="s">
        <v>1062</v>
      </c>
      <c r="M8189" s="29" t="s">
        <v>6656</v>
      </c>
      <c r="N8189" s="29" t="s">
        <v>13054</v>
      </c>
      <c r="O8189" s="29"/>
      <c r="P8189" s="29" t="s">
        <v>13055</v>
      </c>
      <c r="Q8189" t="s">
        <v>2039</v>
      </c>
      <c r="R8189" t="s">
        <v>2632</v>
      </c>
      <c r="S8189">
        <v>37</v>
      </c>
      <c r="T8189" s="43" t="str">
        <f>HYPERLINK("https://ictv.global/ictv/proposals/2021.003M.R.Alpharhabdovirinae_3ngen_7nsp.zip","2021.003M.R.Alpharhabdovirinae_3ngen_7nsp.zip")</f>
        <v>2021.003M.R.Alpharhabdovirinae_3ngen_7nsp.zip</v>
      </c>
      <c r="U8189" s="43" t="str">
        <f>HYPERLINK("https://ictv.global/taxonomy/taxondetails?taxnode_id=202213315","ictv.global=202213315")</f>
        <v>ictv.global=202213315</v>
      </c>
    </row>
    <row r="8190" spans="1:21">
      <c r="A8190">
        <v>8189</v>
      </c>
      <c r="B8190" s="29" t="s">
        <v>3223</v>
      </c>
      <c r="C8190" s="29"/>
      <c r="D8190" s="29" t="s">
        <v>4156</v>
      </c>
      <c r="E8190" s="29"/>
      <c r="F8190" s="29" t="s">
        <v>2998</v>
      </c>
      <c r="G8190" s="29" t="s">
        <v>2999</v>
      </c>
      <c r="H8190" s="29" t="s">
        <v>3006</v>
      </c>
      <c r="I8190" s="29"/>
      <c r="J8190" s="29" t="s">
        <v>757</v>
      </c>
      <c r="K8190" s="29"/>
      <c r="L8190" s="29" t="s">
        <v>1062</v>
      </c>
      <c r="M8190" s="29" t="s">
        <v>6656</v>
      </c>
      <c r="N8190" s="29" t="s">
        <v>13054</v>
      </c>
      <c r="O8190" s="29"/>
      <c r="P8190" s="29" t="s">
        <v>13056</v>
      </c>
      <c r="Q8190" t="s">
        <v>2039</v>
      </c>
      <c r="R8190" t="s">
        <v>2632</v>
      </c>
      <c r="S8190">
        <v>37</v>
      </c>
      <c r="T8190" s="43" t="str">
        <f>HYPERLINK("https://ictv.global/ictv/proposals/2021.003M.R.Alpharhabdovirinae_3ngen_7nsp.zip","2021.003M.R.Alpharhabdovirinae_3ngen_7nsp.zip")</f>
        <v>2021.003M.R.Alpharhabdovirinae_3ngen_7nsp.zip</v>
      </c>
      <c r="U8190" s="43" t="str">
        <f>HYPERLINK("https://ictv.global/taxonomy/taxondetails?taxnode_id=202213316","ictv.global=202213316")</f>
        <v>ictv.global=202213316</v>
      </c>
    </row>
    <row r="8191" spans="1:21">
      <c r="A8191">
        <v>8190</v>
      </c>
      <c r="B8191" s="29" t="s">
        <v>3223</v>
      </c>
      <c r="C8191" s="29"/>
      <c r="D8191" s="29" t="s">
        <v>4156</v>
      </c>
      <c r="E8191" s="29"/>
      <c r="F8191" s="29" t="s">
        <v>2998</v>
      </c>
      <c r="G8191" s="29" t="s">
        <v>2999</v>
      </c>
      <c r="H8191" s="29" t="s">
        <v>3006</v>
      </c>
      <c r="I8191" s="29"/>
      <c r="J8191" s="29" t="s">
        <v>757</v>
      </c>
      <c r="K8191" s="29"/>
      <c r="L8191" s="29" t="s">
        <v>1062</v>
      </c>
      <c r="M8191" s="29" t="s">
        <v>6656</v>
      </c>
      <c r="N8191" s="29" t="s">
        <v>2456</v>
      </c>
      <c r="O8191" s="29"/>
      <c r="P8191" s="29" t="s">
        <v>13057</v>
      </c>
      <c r="Q8191" t="s">
        <v>2039</v>
      </c>
      <c r="R8191" t="s">
        <v>2635</v>
      </c>
      <c r="S8191">
        <v>37</v>
      </c>
      <c r="T8191" s="43" t="str">
        <f t="shared" ref="T8191:T8197" si="352">HYPERLINK("https://ictv.global/ictv/proposals/2021.036M.R.Rhabdoviridae_sprename.zip","2021.036M.R.Rhabdoviridae_sprename.zip")</f>
        <v>2021.036M.R.Rhabdoviridae_sprename.zip</v>
      </c>
      <c r="U8191" s="43" t="str">
        <f>HYPERLINK("https://ictv.global/taxonomy/taxondetails?taxnode_id=202201662","ictv.global=202201662")</f>
        <v>ictv.global=202201662</v>
      </c>
    </row>
    <row r="8192" spans="1:21">
      <c r="A8192">
        <v>8191</v>
      </c>
      <c r="B8192" s="29" t="s">
        <v>3223</v>
      </c>
      <c r="C8192" s="29"/>
      <c r="D8192" s="29" t="s">
        <v>4156</v>
      </c>
      <c r="E8192" s="29"/>
      <c r="F8192" s="29" t="s">
        <v>2998</v>
      </c>
      <c r="G8192" s="29" t="s">
        <v>2999</v>
      </c>
      <c r="H8192" s="29" t="s">
        <v>3006</v>
      </c>
      <c r="I8192" s="29"/>
      <c r="J8192" s="29" t="s">
        <v>757</v>
      </c>
      <c r="K8192" s="29"/>
      <c r="L8192" s="29" t="s">
        <v>1062</v>
      </c>
      <c r="M8192" s="29" t="s">
        <v>6656</v>
      </c>
      <c r="N8192" s="29" t="s">
        <v>2456</v>
      </c>
      <c r="O8192" s="29"/>
      <c r="P8192" s="29" t="s">
        <v>13058</v>
      </c>
      <c r="Q8192" t="s">
        <v>2039</v>
      </c>
      <c r="R8192" t="s">
        <v>2635</v>
      </c>
      <c r="S8192">
        <v>37</v>
      </c>
      <c r="T8192" s="43" t="str">
        <f t="shared" si="352"/>
        <v>2021.036M.R.Rhabdoviridae_sprename.zip</v>
      </c>
      <c r="U8192" s="43" t="str">
        <f>HYPERLINK("https://ictv.global/taxonomy/taxondetails?taxnode_id=202201663","ictv.global=202201663")</f>
        <v>ictv.global=202201663</v>
      </c>
    </row>
    <row r="8193" spans="1:21">
      <c r="A8193">
        <v>8192</v>
      </c>
      <c r="B8193" s="29" t="s">
        <v>3223</v>
      </c>
      <c r="C8193" s="29"/>
      <c r="D8193" s="29" t="s">
        <v>4156</v>
      </c>
      <c r="E8193" s="29"/>
      <c r="F8193" s="29" t="s">
        <v>2998</v>
      </c>
      <c r="G8193" s="29" t="s">
        <v>2999</v>
      </c>
      <c r="H8193" s="29" t="s">
        <v>3006</v>
      </c>
      <c r="I8193" s="29"/>
      <c r="J8193" s="29" t="s">
        <v>757</v>
      </c>
      <c r="K8193" s="29"/>
      <c r="L8193" s="29" t="s">
        <v>1062</v>
      </c>
      <c r="M8193" s="29" t="s">
        <v>6656</v>
      </c>
      <c r="N8193" s="29" t="s">
        <v>2456</v>
      </c>
      <c r="O8193" s="29"/>
      <c r="P8193" s="29" t="s">
        <v>13059</v>
      </c>
      <c r="Q8193" t="s">
        <v>2039</v>
      </c>
      <c r="R8193" t="s">
        <v>2635</v>
      </c>
      <c r="S8193">
        <v>37</v>
      </c>
      <c r="T8193" s="43" t="str">
        <f t="shared" si="352"/>
        <v>2021.036M.R.Rhabdoviridae_sprename.zip</v>
      </c>
      <c r="U8193" s="43" t="str">
        <f>HYPERLINK("https://ictv.global/taxonomy/taxondetails?taxnode_id=202201664","ictv.global=202201664")</f>
        <v>ictv.global=202201664</v>
      </c>
    </row>
    <row r="8194" spans="1:21">
      <c r="A8194">
        <v>8193</v>
      </c>
      <c r="B8194" s="29" t="s">
        <v>3223</v>
      </c>
      <c r="C8194" s="29"/>
      <c r="D8194" s="29" t="s">
        <v>4156</v>
      </c>
      <c r="E8194" s="29"/>
      <c r="F8194" s="29" t="s">
        <v>2998</v>
      </c>
      <c r="G8194" s="29" t="s">
        <v>2999</v>
      </c>
      <c r="H8194" s="29" t="s">
        <v>3006</v>
      </c>
      <c r="I8194" s="29"/>
      <c r="J8194" s="29" t="s">
        <v>757</v>
      </c>
      <c r="K8194" s="29"/>
      <c r="L8194" s="29" t="s">
        <v>1062</v>
      </c>
      <c r="M8194" s="29" t="s">
        <v>6656</v>
      </c>
      <c r="N8194" s="29" t="s">
        <v>2456</v>
      </c>
      <c r="O8194" s="29"/>
      <c r="P8194" s="29" t="s">
        <v>13060</v>
      </c>
      <c r="Q8194" t="s">
        <v>2039</v>
      </c>
      <c r="R8194" t="s">
        <v>2635</v>
      </c>
      <c r="S8194">
        <v>37</v>
      </c>
      <c r="T8194" s="43" t="str">
        <f t="shared" si="352"/>
        <v>2021.036M.R.Rhabdoviridae_sprename.zip</v>
      </c>
      <c r="U8194" s="43" t="str">
        <f>HYPERLINK("https://ictv.global/taxonomy/taxondetails?taxnode_id=202201665","ictv.global=202201665")</f>
        <v>ictv.global=202201665</v>
      </c>
    </row>
    <row r="8195" spans="1:21">
      <c r="A8195">
        <v>8194</v>
      </c>
      <c r="B8195" s="29" t="s">
        <v>3223</v>
      </c>
      <c r="C8195" s="29"/>
      <c r="D8195" s="29" t="s">
        <v>4156</v>
      </c>
      <c r="E8195" s="29"/>
      <c r="F8195" s="29" t="s">
        <v>2998</v>
      </c>
      <c r="G8195" s="29" t="s">
        <v>2999</v>
      </c>
      <c r="H8195" s="29" t="s">
        <v>3006</v>
      </c>
      <c r="I8195" s="29"/>
      <c r="J8195" s="29" t="s">
        <v>757</v>
      </c>
      <c r="K8195" s="29"/>
      <c r="L8195" s="29" t="s">
        <v>1062</v>
      </c>
      <c r="M8195" s="29" t="s">
        <v>6656</v>
      </c>
      <c r="N8195" s="29" t="s">
        <v>1026</v>
      </c>
      <c r="O8195" s="29"/>
      <c r="P8195" s="29" t="s">
        <v>13061</v>
      </c>
      <c r="Q8195" t="s">
        <v>2039</v>
      </c>
      <c r="R8195" t="s">
        <v>2635</v>
      </c>
      <c r="S8195">
        <v>37</v>
      </c>
      <c r="T8195" s="43" t="str">
        <f t="shared" si="352"/>
        <v>2021.036M.R.Rhabdoviridae_sprename.zip</v>
      </c>
      <c r="U8195" s="43" t="str">
        <f>HYPERLINK("https://ictv.global/taxonomy/taxondetails?taxnode_id=202201682","ictv.global=202201682")</f>
        <v>ictv.global=202201682</v>
      </c>
    </row>
    <row r="8196" spans="1:21">
      <c r="A8196">
        <v>8195</v>
      </c>
      <c r="B8196" s="29" t="s">
        <v>3223</v>
      </c>
      <c r="C8196" s="29"/>
      <c r="D8196" s="29" t="s">
        <v>4156</v>
      </c>
      <c r="E8196" s="29"/>
      <c r="F8196" s="29" t="s">
        <v>2998</v>
      </c>
      <c r="G8196" s="29" t="s">
        <v>2999</v>
      </c>
      <c r="H8196" s="29" t="s">
        <v>3006</v>
      </c>
      <c r="I8196" s="29"/>
      <c r="J8196" s="29" t="s">
        <v>757</v>
      </c>
      <c r="K8196" s="29"/>
      <c r="L8196" s="29" t="s">
        <v>1062</v>
      </c>
      <c r="M8196" s="29" t="s">
        <v>6656</v>
      </c>
      <c r="N8196" s="29" t="s">
        <v>1026</v>
      </c>
      <c r="O8196" s="29"/>
      <c r="P8196" s="29" t="s">
        <v>13062</v>
      </c>
      <c r="Q8196" t="s">
        <v>2039</v>
      </c>
      <c r="R8196" t="s">
        <v>2635</v>
      </c>
      <c r="S8196">
        <v>37</v>
      </c>
      <c r="T8196" s="43" t="str">
        <f t="shared" si="352"/>
        <v>2021.036M.R.Rhabdoviridae_sprename.zip</v>
      </c>
      <c r="U8196" s="43" t="str">
        <f>HYPERLINK("https://ictv.global/taxonomy/taxondetails?taxnode_id=202201683","ictv.global=202201683")</f>
        <v>ictv.global=202201683</v>
      </c>
    </row>
    <row r="8197" spans="1:21">
      <c r="A8197">
        <v>8196</v>
      </c>
      <c r="B8197" s="29" t="s">
        <v>3223</v>
      </c>
      <c r="C8197" s="29"/>
      <c r="D8197" s="29" t="s">
        <v>4156</v>
      </c>
      <c r="E8197" s="29"/>
      <c r="F8197" s="29" t="s">
        <v>2998</v>
      </c>
      <c r="G8197" s="29" t="s">
        <v>2999</v>
      </c>
      <c r="H8197" s="29" t="s">
        <v>3006</v>
      </c>
      <c r="I8197" s="29"/>
      <c r="J8197" s="29" t="s">
        <v>757</v>
      </c>
      <c r="K8197" s="29"/>
      <c r="L8197" s="29" t="s">
        <v>1062</v>
      </c>
      <c r="M8197" s="29" t="s">
        <v>6656</v>
      </c>
      <c r="N8197" s="29" t="s">
        <v>1026</v>
      </c>
      <c r="O8197" s="29"/>
      <c r="P8197" s="29" t="s">
        <v>13063</v>
      </c>
      <c r="Q8197" t="s">
        <v>2039</v>
      </c>
      <c r="R8197" t="s">
        <v>2635</v>
      </c>
      <c r="S8197">
        <v>37</v>
      </c>
      <c r="T8197" s="43" t="str">
        <f t="shared" si="352"/>
        <v>2021.036M.R.Rhabdoviridae_sprename.zip</v>
      </c>
      <c r="U8197" s="43" t="str">
        <f>HYPERLINK("https://ictv.global/taxonomy/taxondetails?taxnode_id=202201684","ictv.global=202201684")</f>
        <v>ictv.global=202201684</v>
      </c>
    </row>
    <row r="8198" spans="1:21">
      <c r="A8198">
        <v>8197</v>
      </c>
      <c r="B8198" s="29" t="s">
        <v>3223</v>
      </c>
      <c r="C8198" s="29"/>
      <c r="D8198" s="29" t="s">
        <v>4156</v>
      </c>
      <c r="E8198" s="29"/>
      <c r="F8198" s="29" t="s">
        <v>2998</v>
      </c>
      <c r="G8198" s="29" t="s">
        <v>2999</v>
      </c>
      <c r="H8198" s="29" t="s">
        <v>3006</v>
      </c>
      <c r="I8198" s="29"/>
      <c r="J8198" s="29" t="s">
        <v>757</v>
      </c>
      <c r="K8198" s="29"/>
      <c r="L8198" s="29" t="s">
        <v>1062</v>
      </c>
      <c r="M8198" s="29" t="s">
        <v>6656</v>
      </c>
      <c r="N8198" s="29" t="s">
        <v>1026</v>
      </c>
      <c r="O8198" s="29"/>
      <c r="P8198" s="29" t="s">
        <v>13064</v>
      </c>
      <c r="Q8198" t="s">
        <v>2039</v>
      </c>
      <c r="R8198" t="s">
        <v>2632</v>
      </c>
      <c r="S8198">
        <v>38</v>
      </c>
      <c r="T8198" s="43" t="str">
        <f>HYPERLINK("https://ictv.global/ictv/proposals/2022.008M.Ephemerovirus_2nsp.zip","2022.008M.Ephemerovirus_2nsp.zip")</f>
        <v>2022.008M.Ephemerovirus_2nsp.zip</v>
      </c>
      <c r="U8198" s="43" t="str">
        <f>HYPERLINK("https://ictv.global/taxonomy/taxondetails?taxnode_id=202214177","ictv.global=202214177")</f>
        <v>ictv.global=202214177</v>
      </c>
    </row>
    <row r="8199" spans="1:21">
      <c r="A8199">
        <v>8198</v>
      </c>
      <c r="B8199" s="29" t="s">
        <v>3223</v>
      </c>
      <c r="C8199" s="29"/>
      <c r="D8199" s="29" t="s">
        <v>4156</v>
      </c>
      <c r="E8199" s="29"/>
      <c r="F8199" s="29" t="s">
        <v>2998</v>
      </c>
      <c r="G8199" s="29" t="s">
        <v>2999</v>
      </c>
      <c r="H8199" s="29" t="s">
        <v>3006</v>
      </c>
      <c r="I8199" s="29"/>
      <c r="J8199" s="29" t="s">
        <v>757</v>
      </c>
      <c r="K8199" s="29"/>
      <c r="L8199" s="29" t="s">
        <v>1062</v>
      </c>
      <c r="M8199" s="29" t="s">
        <v>6656</v>
      </c>
      <c r="N8199" s="29" t="s">
        <v>1026</v>
      </c>
      <c r="O8199" s="29"/>
      <c r="P8199" s="29" t="s">
        <v>13065</v>
      </c>
      <c r="Q8199" t="s">
        <v>2039</v>
      </c>
      <c r="R8199" t="s">
        <v>2635</v>
      </c>
      <c r="S8199">
        <v>37</v>
      </c>
      <c r="T8199" s="43" t="str">
        <f>HYPERLINK("https://ictv.global/ictv/proposals/2021.036M.R.Rhabdoviridae_sprename.zip","2021.036M.R.Rhabdoviridae_sprename.zip")</f>
        <v>2021.036M.R.Rhabdoviridae_sprename.zip</v>
      </c>
      <c r="U8199" s="43" t="str">
        <f>HYPERLINK("https://ictv.global/taxonomy/taxondetails?taxnode_id=202209101","ictv.global=202209101")</f>
        <v>ictv.global=202209101</v>
      </c>
    </row>
    <row r="8200" spans="1:21">
      <c r="A8200">
        <v>8199</v>
      </c>
      <c r="B8200" s="29" t="s">
        <v>3223</v>
      </c>
      <c r="C8200" s="29"/>
      <c r="D8200" s="29" t="s">
        <v>4156</v>
      </c>
      <c r="E8200" s="29"/>
      <c r="F8200" s="29" t="s">
        <v>2998</v>
      </c>
      <c r="G8200" s="29" t="s">
        <v>2999</v>
      </c>
      <c r="H8200" s="29" t="s">
        <v>3006</v>
      </c>
      <c r="I8200" s="29"/>
      <c r="J8200" s="29" t="s">
        <v>757</v>
      </c>
      <c r="K8200" s="29"/>
      <c r="L8200" s="29" t="s">
        <v>1062</v>
      </c>
      <c r="M8200" s="29" t="s">
        <v>6656</v>
      </c>
      <c r="N8200" s="29" t="s">
        <v>1026</v>
      </c>
      <c r="O8200" s="29"/>
      <c r="P8200" s="29" t="s">
        <v>13066</v>
      </c>
      <c r="Q8200" t="s">
        <v>2039</v>
      </c>
      <c r="R8200" t="s">
        <v>2632</v>
      </c>
      <c r="S8200">
        <v>38</v>
      </c>
      <c r="T8200" s="43" t="str">
        <f>HYPERLINK("https://ictv.global/ictv/proposals/2022.008M.Ephemerovirus_2nsp.zip","2022.008M.Ephemerovirus_2nsp.zip")</f>
        <v>2022.008M.Ephemerovirus_2nsp.zip</v>
      </c>
      <c r="U8200" s="43" t="str">
        <f>HYPERLINK("https://ictv.global/taxonomy/taxondetails?taxnode_id=202214176","ictv.global=202214176")</f>
        <v>ictv.global=202214176</v>
      </c>
    </row>
    <row r="8201" spans="1:21">
      <c r="A8201">
        <v>8200</v>
      </c>
      <c r="B8201" s="29" t="s">
        <v>3223</v>
      </c>
      <c r="C8201" s="29"/>
      <c r="D8201" s="29" t="s">
        <v>4156</v>
      </c>
      <c r="E8201" s="29"/>
      <c r="F8201" s="29" t="s">
        <v>2998</v>
      </c>
      <c r="G8201" s="29" t="s">
        <v>2999</v>
      </c>
      <c r="H8201" s="29" t="s">
        <v>3006</v>
      </c>
      <c r="I8201" s="29"/>
      <c r="J8201" s="29" t="s">
        <v>757</v>
      </c>
      <c r="K8201" s="29"/>
      <c r="L8201" s="29" t="s">
        <v>1062</v>
      </c>
      <c r="M8201" s="29" t="s">
        <v>6656</v>
      </c>
      <c r="N8201" s="29" t="s">
        <v>1026</v>
      </c>
      <c r="O8201" s="29"/>
      <c r="P8201" s="29" t="s">
        <v>13067</v>
      </c>
      <c r="Q8201" t="s">
        <v>2039</v>
      </c>
      <c r="R8201" t="s">
        <v>2635</v>
      </c>
      <c r="S8201">
        <v>37</v>
      </c>
      <c r="T8201" s="43" t="str">
        <f t="shared" ref="T8201:T8207" si="353">HYPERLINK("https://ictv.global/ictv/proposals/2021.036M.R.Rhabdoviridae_sprename.zip","2021.036M.R.Rhabdoviridae_sprename.zip")</f>
        <v>2021.036M.R.Rhabdoviridae_sprename.zip</v>
      </c>
      <c r="U8201" s="43" t="str">
        <f>HYPERLINK("https://ictv.global/taxonomy/taxondetails?taxnode_id=202209103","ictv.global=202209103")</f>
        <v>ictv.global=202209103</v>
      </c>
    </row>
    <row r="8202" spans="1:21">
      <c r="A8202">
        <v>8201</v>
      </c>
      <c r="B8202" s="29" t="s">
        <v>3223</v>
      </c>
      <c r="C8202" s="29"/>
      <c r="D8202" s="29" t="s">
        <v>4156</v>
      </c>
      <c r="E8202" s="29"/>
      <c r="F8202" s="29" t="s">
        <v>2998</v>
      </c>
      <c r="G8202" s="29" t="s">
        <v>2999</v>
      </c>
      <c r="H8202" s="29" t="s">
        <v>3006</v>
      </c>
      <c r="I8202" s="29"/>
      <c r="J8202" s="29" t="s">
        <v>757</v>
      </c>
      <c r="K8202" s="29"/>
      <c r="L8202" s="29" t="s">
        <v>1062</v>
      </c>
      <c r="M8202" s="29" t="s">
        <v>6656</v>
      </c>
      <c r="N8202" s="29" t="s">
        <v>1026</v>
      </c>
      <c r="O8202" s="29"/>
      <c r="P8202" s="29" t="s">
        <v>13068</v>
      </c>
      <c r="Q8202" t="s">
        <v>2039</v>
      </c>
      <c r="R8202" t="s">
        <v>2635</v>
      </c>
      <c r="S8202">
        <v>37</v>
      </c>
      <c r="T8202" s="43" t="str">
        <f t="shared" si="353"/>
        <v>2021.036M.R.Rhabdoviridae_sprename.zip</v>
      </c>
      <c r="U8202" s="43" t="str">
        <f>HYPERLINK("https://ictv.global/taxonomy/taxondetails?taxnode_id=202201685","ictv.global=202201685")</f>
        <v>ictv.global=202201685</v>
      </c>
    </row>
    <row r="8203" spans="1:21">
      <c r="A8203">
        <v>8202</v>
      </c>
      <c r="B8203" s="29" t="s">
        <v>3223</v>
      </c>
      <c r="C8203" s="29"/>
      <c r="D8203" s="29" t="s">
        <v>4156</v>
      </c>
      <c r="E8203" s="29"/>
      <c r="F8203" s="29" t="s">
        <v>2998</v>
      </c>
      <c r="G8203" s="29" t="s">
        <v>2999</v>
      </c>
      <c r="H8203" s="29" t="s">
        <v>3006</v>
      </c>
      <c r="I8203" s="29"/>
      <c r="J8203" s="29" t="s">
        <v>757</v>
      </c>
      <c r="K8203" s="29"/>
      <c r="L8203" s="29" t="s">
        <v>1062</v>
      </c>
      <c r="M8203" s="29" t="s">
        <v>6656</v>
      </c>
      <c r="N8203" s="29" t="s">
        <v>1026</v>
      </c>
      <c r="O8203" s="29"/>
      <c r="P8203" s="29" t="s">
        <v>13069</v>
      </c>
      <c r="Q8203" t="s">
        <v>2039</v>
      </c>
      <c r="R8203" t="s">
        <v>2635</v>
      </c>
      <c r="S8203">
        <v>37</v>
      </c>
      <c r="T8203" s="43" t="str">
        <f t="shared" si="353"/>
        <v>2021.036M.R.Rhabdoviridae_sprename.zip</v>
      </c>
      <c r="U8203" s="43" t="str">
        <f>HYPERLINK("https://ictv.global/taxonomy/taxondetails?taxnode_id=202201686","ictv.global=202201686")</f>
        <v>ictv.global=202201686</v>
      </c>
    </row>
    <row r="8204" spans="1:21">
      <c r="A8204">
        <v>8203</v>
      </c>
      <c r="B8204" s="29" t="s">
        <v>3223</v>
      </c>
      <c r="C8204" s="29"/>
      <c r="D8204" s="29" t="s">
        <v>4156</v>
      </c>
      <c r="E8204" s="29"/>
      <c r="F8204" s="29" t="s">
        <v>2998</v>
      </c>
      <c r="G8204" s="29" t="s">
        <v>2999</v>
      </c>
      <c r="H8204" s="29" t="s">
        <v>3006</v>
      </c>
      <c r="I8204" s="29"/>
      <c r="J8204" s="29" t="s">
        <v>757</v>
      </c>
      <c r="K8204" s="29"/>
      <c r="L8204" s="29" t="s">
        <v>1062</v>
      </c>
      <c r="M8204" s="29" t="s">
        <v>6656</v>
      </c>
      <c r="N8204" s="29" t="s">
        <v>1026</v>
      </c>
      <c r="O8204" s="29"/>
      <c r="P8204" s="29" t="s">
        <v>13070</v>
      </c>
      <c r="Q8204" t="s">
        <v>2039</v>
      </c>
      <c r="R8204" t="s">
        <v>2635</v>
      </c>
      <c r="S8204">
        <v>37</v>
      </c>
      <c r="T8204" s="43" t="str">
        <f t="shared" si="353"/>
        <v>2021.036M.R.Rhabdoviridae_sprename.zip</v>
      </c>
      <c r="U8204" s="43" t="str">
        <f>HYPERLINK("https://ictv.global/taxonomy/taxondetails?taxnode_id=202201687","ictv.global=202201687")</f>
        <v>ictv.global=202201687</v>
      </c>
    </row>
    <row r="8205" spans="1:21">
      <c r="A8205">
        <v>8204</v>
      </c>
      <c r="B8205" s="29" t="s">
        <v>3223</v>
      </c>
      <c r="C8205" s="29"/>
      <c r="D8205" s="29" t="s">
        <v>4156</v>
      </c>
      <c r="E8205" s="29"/>
      <c r="F8205" s="29" t="s">
        <v>2998</v>
      </c>
      <c r="G8205" s="29" t="s">
        <v>2999</v>
      </c>
      <c r="H8205" s="29" t="s">
        <v>3006</v>
      </c>
      <c r="I8205" s="29"/>
      <c r="J8205" s="29" t="s">
        <v>757</v>
      </c>
      <c r="K8205" s="29"/>
      <c r="L8205" s="29" t="s">
        <v>1062</v>
      </c>
      <c r="M8205" s="29" t="s">
        <v>6656</v>
      </c>
      <c r="N8205" s="29" t="s">
        <v>1026</v>
      </c>
      <c r="O8205" s="29"/>
      <c r="P8205" s="29" t="s">
        <v>13071</v>
      </c>
      <c r="Q8205" t="s">
        <v>2039</v>
      </c>
      <c r="R8205" t="s">
        <v>2635</v>
      </c>
      <c r="S8205">
        <v>37</v>
      </c>
      <c r="T8205" s="43" t="str">
        <f t="shared" si="353"/>
        <v>2021.036M.R.Rhabdoviridae_sprename.zip</v>
      </c>
      <c r="U8205" s="43" t="str">
        <f>HYPERLINK("https://ictv.global/taxonomy/taxondetails?taxnode_id=202201688","ictv.global=202201688")</f>
        <v>ictv.global=202201688</v>
      </c>
    </row>
    <row r="8206" spans="1:21">
      <c r="A8206">
        <v>8205</v>
      </c>
      <c r="B8206" s="29" t="s">
        <v>3223</v>
      </c>
      <c r="C8206" s="29"/>
      <c r="D8206" s="29" t="s">
        <v>4156</v>
      </c>
      <c r="E8206" s="29"/>
      <c r="F8206" s="29" t="s">
        <v>2998</v>
      </c>
      <c r="G8206" s="29" t="s">
        <v>2999</v>
      </c>
      <c r="H8206" s="29" t="s">
        <v>3006</v>
      </c>
      <c r="I8206" s="29"/>
      <c r="J8206" s="29" t="s">
        <v>757</v>
      </c>
      <c r="K8206" s="29"/>
      <c r="L8206" s="29" t="s">
        <v>1062</v>
      </c>
      <c r="M8206" s="29" t="s">
        <v>6656</v>
      </c>
      <c r="N8206" s="29" t="s">
        <v>1026</v>
      </c>
      <c r="O8206" s="29"/>
      <c r="P8206" s="29" t="s">
        <v>13072</v>
      </c>
      <c r="Q8206" t="s">
        <v>2039</v>
      </c>
      <c r="R8206" t="s">
        <v>2635</v>
      </c>
      <c r="S8206">
        <v>37</v>
      </c>
      <c r="T8206" s="43" t="str">
        <f t="shared" si="353"/>
        <v>2021.036M.R.Rhabdoviridae_sprename.zip</v>
      </c>
      <c r="U8206" s="43" t="str">
        <f>HYPERLINK("https://ictv.global/taxonomy/taxondetails?taxnode_id=202209102","ictv.global=202209102")</f>
        <v>ictv.global=202209102</v>
      </c>
    </row>
    <row r="8207" spans="1:21">
      <c r="A8207">
        <v>8206</v>
      </c>
      <c r="B8207" s="29" t="s">
        <v>3223</v>
      </c>
      <c r="C8207" s="29"/>
      <c r="D8207" s="29" t="s">
        <v>4156</v>
      </c>
      <c r="E8207" s="29"/>
      <c r="F8207" s="29" t="s">
        <v>2998</v>
      </c>
      <c r="G8207" s="29" t="s">
        <v>2999</v>
      </c>
      <c r="H8207" s="29" t="s">
        <v>3006</v>
      </c>
      <c r="I8207" s="29"/>
      <c r="J8207" s="29" t="s">
        <v>757</v>
      </c>
      <c r="K8207" s="29"/>
      <c r="L8207" s="29" t="s">
        <v>1062</v>
      </c>
      <c r="M8207" s="29" t="s">
        <v>6656</v>
      </c>
      <c r="N8207" s="29" t="s">
        <v>1026</v>
      </c>
      <c r="O8207" s="29"/>
      <c r="P8207" s="29" t="s">
        <v>13073</v>
      </c>
      <c r="Q8207" t="s">
        <v>2039</v>
      </c>
      <c r="R8207" t="s">
        <v>2635</v>
      </c>
      <c r="S8207">
        <v>37</v>
      </c>
      <c r="T8207" s="43" t="str">
        <f t="shared" si="353"/>
        <v>2021.036M.R.Rhabdoviridae_sprename.zip</v>
      </c>
      <c r="U8207" s="43" t="str">
        <f>HYPERLINK("https://ictv.global/taxonomy/taxondetails?taxnode_id=202201689","ictv.global=202201689")</f>
        <v>ictv.global=202201689</v>
      </c>
    </row>
    <row r="8208" spans="1:21">
      <c r="A8208">
        <v>8207</v>
      </c>
      <c r="B8208" s="29" t="s">
        <v>3223</v>
      </c>
      <c r="C8208" s="29"/>
      <c r="D8208" s="29" t="s">
        <v>4156</v>
      </c>
      <c r="E8208" s="29"/>
      <c r="F8208" s="29" t="s">
        <v>2998</v>
      </c>
      <c r="G8208" s="29" t="s">
        <v>2999</v>
      </c>
      <c r="H8208" s="29" t="s">
        <v>3006</v>
      </c>
      <c r="I8208" s="29"/>
      <c r="J8208" s="29" t="s">
        <v>757</v>
      </c>
      <c r="K8208" s="29"/>
      <c r="L8208" s="29" t="s">
        <v>1062</v>
      </c>
      <c r="M8208" s="29" t="s">
        <v>6656</v>
      </c>
      <c r="N8208" s="29" t="s">
        <v>2394</v>
      </c>
      <c r="O8208" s="29"/>
      <c r="P8208" s="29" t="s">
        <v>13074</v>
      </c>
      <c r="Q8208" t="s">
        <v>2039</v>
      </c>
      <c r="R8208" t="s">
        <v>2632</v>
      </c>
      <c r="S8208">
        <v>37</v>
      </c>
      <c r="T8208" s="43" t="str">
        <f>HYPERLINK("https://ictv.global/ictv/proposals/2021.004M.R.Alpharhabdovirinae_13nsp.zip","2021.004M.R.Alpharhabdovirinae_13nsp.zip")</f>
        <v>2021.004M.R.Alpharhabdovirinae_13nsp.zip</v>
      </c>
      <c r="U8208" s="43" t="str">
        <f>HYPERLINK("https://ictv.global/taxonomy/taxondetails?taxnode_id=202213335","ictv.global=202213335")</f>
        <v>ictv.global=202213335</v>
      </c>
    </row>
    <row r="8209" spans="1:21">
      <c r="A8209">
        <v>8208</v>
      </c>
      <c r="B8209" s="29" t="s">
        <v>3223</v>
      </c>
      <c r="C8209" s="29"/>
      <c r="D8209" s="29" t="s">
        <v>4156</v>
      </c>
      <c r="E8209" s="29"/>
      <c r="F8209" s="29" t="s">
        <v>2998</v>
      </c>
      <c r="G8209" s="29" t="s">
        <v>2999</v>
      </c>
      <c r="H8209" s="29" t="s">
        <v>3006</v>
      </c>
      <c r="I8209" s="29"/>
      <c r="J8209" s="29" t="s">
        <v>757</v>
      </c>
      <c r="K8209" s="29"/>
      <c r="L8209" s="29" t="s">
        <v>1062</v>
      </c>
      <c r="M8209" s="29" t="s">
        <v>6656</v>
      </c>
      <c r="N8209" s="29" t="s">
        <v>2394</v>
      </c>
      <c r="O8209" s="29"/>
      <c r="P8209" s="29" t="s">
        <v>13075</v>
      </c>
      <c r="Q8209" t="s">
        <v>2039</v>
      </c>
      <c r="R8209" t="s">
        <v>2635</v>
      </c>
      <c r="S8209">
        <v>37</v>
      </c>
      <c r="T8209" s="43" t="str">
        <f t="shared" ref="T8209:T8223" si="354">HYPERLINK("https://ictv.global/ictv/proposals/2021.036M.R.Rhabdoviridae_sprename.zip","2021.036M.R.Rhabdoviridae_sprename.zip")</f>
        <v>2021.036M.R.Rhabdoviridae_sprename.zip</v>
      </c>
      <c r="U8209" s="43" t="str">
        <f>HYPERLINK("https://ictv.global/taxonomy/taxondetails?taxnode_id=202201691","ictv.global=202201691")</f>
        <v>ictv.global=202201691</v>
      </c>
    </row>
    <row r="8210" spans="1:21">
      <c r="A8210">
        <v>8209</v>
      </c>
      <c r="B8210" s="29" t="s">
        <v>3223</v>
      </c>
      <c r="C8210" s="29"/>
      <c r="D8210" s="29" t="s">
        <v>4156</v>
      </c>
      <c r="E8210" s="29"/>
      <c r="F8210" s="29" t="s">
        <v>2998</v>
      </c>
      <c r="G8210" s="29" t="s">
        <v>2999</v>
      </c>
      <c r="H8210" s="29" t="s">
        <v>3006</v>
      </c>
      <c r="I8210" s="29"/>
      <c r="J8210" s="29" t="s">
        <v>757</v>
      </c>
      <c r="K8210" s="29"/>
      <c r="L8210" s="29" t="s">
        <v>1062</v>
      </c>
      <c r="M8210" s="29" t="s">
        <v>6656</v>
      </c>
      <c r="N8210" s="29" t="s">
        <v>2394</v>
      </c>
      <c r="O8210" s="29"/>
      <c r="P8210" s="29" t="s">
        <v>13076</v>
      </c>
      <c r="Q8210" t="s">
        <v>2039</v>
      </c>
      <c r="R8210" t="s">
        <v>2635</v>
      </c>
      <c r="S8210">
        <v>37</v>
      </c>
      <c r="T8210" s="43" t="str">
        <f t="shared" si="354"/>
        <v>2021.036M.R.Rhabdoviridae_sprename.zip</v>
      </c>
      <c r="U8210" s="43" t="str">
        <f>HYPERLINK("https://ictv.global/taxonomy/taxondetails?taxnode_id=202201692","ictv.global=202201692")</f>
        <v>ictv.global=202201692</v>
      </c>
    </row>
    <row r="8211" spans="1:21">
      <c r="A8211">
        <v>8210</v>
      </c>
      <c r="B8211" s="29" t="s">
        <v>3223</v>
      </c>
      <c r="C8211" s="29"/>
      <c r="D8211" s="29" t="s">
        <v>4156</v>
      </c>
      <c r="E8211" s="29"/>
      <c r="F8211" s="29" t="s">
        <v>2998</v>
      </c>
      <c r="G8211" s="29" t="s">
        <v>2999</v>
      </c>
      <c r="H8211" s="29" t="s">
        <v>3006</v>
      </c>
      <c r="I8211" s="29"/>
      <c r="J8211" s="29" t="s">
        <v>757</v>
      </c>
      <c r="K8211" s="29"/>
      <c r="L8211" s="29" t="s">
        <v>1062</v>
      </c>
      <c r="M8211" s="29" t="s">
        <v>6656</v>
      </c>
      <c r="N8211" s="29" t="s">
        <v>2394</v>
      </c>
      <c r="O8211" s="29"/>
      <c r="P8211" s="29" t="s">
        <v>13077</v>
      </c>
      <c r="Q8211" t="s">
        <v>2039</v>
      </c>
      <c r="R8211" t="s">
        <v>2635</v>
      </c>
      <c r="S8211">
        <v>37</v>
      </c>
      <c r="T8211" s="43" t="str">
        <f t="shared" si="354"/>
        <v>2021.036M.R.Rhabdoviridae_sprename.zip</v>
      </c>
      <c r="U8211" s="43" t="str">
        <f>HYPERLINK("https://ictv.global/taxonomy/taxondetails?taxnode_id=202201693","ictv.global=202201693")</f>
        <v>ictv.global=202201693</v>
      </c>
    </row>
    <row r="8212" spans="1:21">
      <c r="A8212">
        <v>8211</v>
      </c>
      <c r="B8212" s="29" t="s">
        <v>3223</v>
      </c>
      <c r="C8212" s="29"/>
      <c r="D8212" s="29" t="s">
        <v>4156</v>
      </c>
      <c r="E8212" s="29"/>
      <c r="F8212" s="29" t="s">
        <v>2998</v>
      </c>
      <c r="G8212" s="29" t="s">
        <v>2999</v>
      </c>
      <c r="H8212" s="29" t="s">
        <v>3006</v>
      </c>
      <c r="I8212" s="29"/>
      <c r="J8212" s="29" t="s">
        <v>757</v>
      </c>
      <c r="K8212" s="29"/>
      <c r="L8212" s="29" t="s">
        <v>1062</v>
      </c>
      <c r="M8212" s="29" t="s">
        <v>6656</v>
      </c>
      <c r="N8212" s="29" t="s">
        <v>2394</v>
      </c>
      <c r="O8212" s="29"/>
      <c r="P8212" s="29" t="s">
        <v>13078</v>
      </c>
      <c r="Q8212" t="s">
        <v>2039</v>
      </c>
      <c r="R8212" t="s">
        <v>2635</v>
      </c>
      <c r="S8212">
        <v>37</v>
      </c>
      <c r="T8212" s="43" t="str">
        <f t="shared" si="354"/>
        <v>2021.036M.R.Rhabdoviridae_sprename.zip</v>
      </c>
      <c r="U8212" s="43" t="str">
        <f>HYPERLINK("https://ictv.global/taxonomy/taxondetails?taxnode_id=202207103","ictv.global=202207103")</f>
        <v>ictv.global=202207103</v>
      </c>
    </row>
    <row r="8213" spans="1:21">
      <c r="A8213">
        <v>8212</v>
      </c>
      <c r="B8213" s="29" t="s">
        <v>3223</v>
      </c>
      <c r="C8213" s="29"/>
      <c r="D8213" s="29" t="s">
        <v>4156</v>
      </c>
      <c r="E8213" s="29"/>
      <c r="F8213" s="29" t="s">
        <v>2998</v>
      </c>
      <c r="G8213" s="29" t="s">
        <v>2999</v>
      </c>
      <c r="H8213" s="29" t="s">
        <v>3006</v>
      </c>
      <c r="I8213" s="29"/>
      <c r="J8213" s="29" t="s">
        <v>757</v>
      </c>
      <c r="K8213" s="29"/>
      <c r="L8213" s="29" t="s">
        <v>1062</v>
      </c>
      <c r="M8213" s="29" t="s">
        <v>6656</v>
      </c>
      <c r="N8213" s="29" t="s">
        <v>2394</v>
      </c>
      <c r="O8213" s="29"/>
      <c r="P8213" s="29" t="s">
        <v>13079</v>
      </c>
      <c r="Q8213" t="s">
        <v>2039</v>
      </c>
      <c r="R8213" t="s">
        <v>2635</v>
      </c>
      <c r="S8213">
        <v>37</v>
      </c>
      <c r="T8213" s="43" t="str">
        <f t="shared" si="354"/>
        <v>2021.036M.R.Rhabdoviridae_sprename.zip</v>
      </c>
      <c r="U8213" s="43" t="str">
        <f>HYPERLINK("https://ictv.global/taxonomy/taxondetails?taxnode_id=202201694","ictv.global=202201694")</f>
        <v>ictv.global=202201694</v>
      </c>
    </row>
    <row r="8214" spans="1:21">
      <c r="A8214">
        <v>8213</v>
      </c>
      <c r="B8214" s="29" t="s">
        <v>3223</v>
      </c>
      <c r="C8214" s="29"/>
      <c r="D8214" s="29" t="s">
        <v>4156</v>
      </c>
      <c r="E8214" s="29"/>
      <c r="F8214" s="29" t="s">
        <v>2998</v>
      </c>
      <c r="G8214" s="29" t="s">
        <v>2999</v>
      </c>
      <c r="H8214" s="29" t="s">
        <v>3006</v>
      </c>
      <c r="I8214" s="29"/>
      <c r="J8214" s="29" t="s">
        <v>757</v>
      </c>
      <c r="K8214" s="29"/>
      <c r="L8214" s="29" t="s">
        <v>1062</v>
      </c>
      <c r="M8214" s="29" t="s">
        <v>6656</v>
      </c>
      <c r="N8214" s="29" t="s">
        <v>2394</v>
      </c>
      <c r="O8214" s="29"/>
      <c r="P8214" s="29" t="s">
        <v>13080</v>
      </c>
      <c r="Q8214" t="s">
        <v>2039</v>
      </c>
      <c r="R8214" t="s">
        <v>2635</v>
      </c>
      <c r="S8214">
        <v>37</v>
      </c>
      <c r="T8214" s="43" t="str">
        <f t="shared" si="354"/>
        <v>2021.036M.R.Rhabdoviridae_sprename.zip</v>
      </c>
      <c r="U8214" s="43" t="str">
        <f>HYPERLINK("https://ictv.global/taxonomy/taxondetails?taxnode_id=202201695","ictv.global=202201695")</f>
        <v>ictv.global=202201695</v>
      </c>
    </row>
    <row r="8215" spans="1:21">
      <c r="A8215">
        <v>8214</v>
      </c>
      <c r="B8215" s="29" t="s">
        <v>3223</v>
      </c>
      <c r="C8215" s="29"/>
      <c r="D8215" s="29" t="s">
        <v>4156</v>
      </c>
      <c r="E8215" s="29"/>
      <c r="F8215" s="29" t="s">
        <v>2998</v>
      </c>
      <c r="G8215" s="29" t="s">
        <v>2999</v>
      </c>
      <c r="H8215" s="29" t="s">
        <v>3006</v>
      </c>
      <c r="I8215" s="29"/>
      <c r="J8215" s="29" t="s">
        <v>757</v>
      </c>
      <c r="K8215" s="29"/>
      <c r="L8215" s="29" t="s">
        <v>1062</v>
      </c>
      <c r="M8215" s="29" t="s">
        <v>6656</v>
      </c>
      <c r="N8215" s="29" t="s">
        <v>2394</v>
      </c>
      <c r="O8215" s="29"/>
      <c r="P8215" s="29" t="s">
        <v>13081</v>
      </c>
      <c r="Q8215" t="s">
        <v>2039</v>
      </c>
      <c r="R8215" t="s">
        <v>2635</v>
      </c>
      <c r="S8215">
        <v>37</v>
      </c>
      <c r="T8215" s="43" t="str">
        <f t="shared" si="354"/>
        <v>2021.036M.R.Rhabdoviridae_sprename.zip</v>
      </c>
      <c r="U8215" s="43" t="str">
        <f>HYPERLINK("https://ictv.global/taxonomy/taxondetails?taxnode_id=202201696","ictv.global=202201696")</f>
        <v>ictv.global=202201696</v>
      </c>
    </row>
    <row r="8216" spans="1:21">
      <c r="A8216">
        <v>8215</v>
      </c>
      <c r="B8216" s="29" t="s">
        <v>3223</v>
      </c>
      <c r="C8216" s="29"/>
      <c r="D8216" s="29" t="s">
        <v>4156</v>
      </c>
      <c r="E8216" s="29"/>
      <c r="F8216" s="29" t="s">
        <v>2998</v>
      </c>
      <c r="G8216" s="29" t="s">
        <v>2999</v>
      </c>
      <c r="H8216" s="29" t="s">
        <v>3006</v>
      </c>
      <c r="I8216" s="29"/>
      <c r="J8216" s="29" t="s">
        <v>757</v>
      </c>
      <c r="K8216" s="29"/>
      <c r="L8216" s="29" t="s">
        <v>1062</v>
      </c>
      <c r="M8216" s="29" t="s">
        <v>6656</v>
      </c>
      <c r="N8216" s="29" t="s">
        <v>2394</v>
      </c>
      <c r="O8216" s="29"/>
      <c r="P8216" s="29" t="s">
        <v>13082</v>
      </c>
      <c r="Q8216" t="s">
        <v>2039</v>
      </c>
      <c r="R8216" t="s">
        <v>2635</v>
      </c>
      <c r="S8216">
        <v>37</v>
      </c>
      <c r="T8216" s="43" t="str">
        <f t="shared" si="354"/>
        <v>2021.036M.R.Rhabdoviridae_sprename.zip</v>
      </c>
      <c r="U8216" s="43" t="str">
        <f>HYPERLINK("https://ictv.global/taxonomy/taxondetails?taxnode_id=202201697","ictv.global=202201697")</f>
        <v>ictv.global=202201697</v>
      </c>
    </row>
    <row r="8217" spans="1:21">
      <c r="A8217">
        <v>8216</v>
      </c>
      <c r="B8217" s="29" t="s">
        <v>3223</v>
      </c>
      <c r="C8217" s="29"/>
      <c r="D8217" s="29" t="s">
        <v>4156</v>
      </c>
      <c r="E8217" s="29"/>
      <c r="F8217" s="29" t="s">
        <v>2998</v>
      </c>
      <c r="G8217" s="29" t="s">
        <v>2999</v>
      </c>
      <c r="H8217" s="29" t="s">
        <v>3006</v>
      </c>
      <c r="I8217" s="29"/>
      <c r="J8217" s="29" t="s">
        <v>757</v>
      </c>
      <c r="K8217" s="29"/>
      <c r="L8217" s="29" t="s">
        <v>1062</v>
      </c>
      <c r="M8217" s="29" t="s">
        <v>6656</v>
      </c>
      <c r="N8217" s="29" t="s">
        <v>2394</v>
      </c>
      <c r="O8217" s="29"/>
      <c r="P8217" s="29" t="s">
        <v>13083</v>
      </c>
      <c r="Q8217" t="s">
        <v>2039</v>
      </c>
      <c r="R8217" t="s">
        <v>2635</v>
      </c>
      <c r="S8217">
        <v>37</v>
      </c>
      <c r="T8217" s="43" t="str">
        <f t="shared" si="354"/>
        <v>2021.036M.R.Rhabdoviridae_sprename.zip</v>
      </c>
      <c r="U8217" s="43" t="str">
        <f>HYPERLINK("https://ictv.global/taxonomy/taxondetails?taxnode_id=202201698","ictv.global=202201698")</f>
        <v>ictv.global=202201698</v>
      </c>
    </row>
    <row r="8218" spans="1:21">
      <c r="A8218">
        <v>8217</v>
      </c>
      <c r="B8218" s="29" t="s">
        <v>3223</v>
      </c>
      <c r="C8218" s="29"/>
      <c r="D8218" s="29" t="s">
        <v>4156</v>
      </c>
      <c r="E8218" s="29"/>
      <c r="F8218" s="29" t="s">
        <v>2998</v>
      </c>
      <c r="G8218" s="29" t="s">
        <v>2999</v>
      </c>
      <c r="H8218" s="29" t="s">
        <v>3006</v>
      </c>
      <c r="I8218" s="29"/>
      <c r="J8218" s="29" t="s">
        <v>757</v>
      </c>
      <c r="K8218" s="29"/>
      <c r="L8218" s="29" t="s">
        <v>1062</v>
      </c>
      <c r="M8218" s="29" t="s">
        <v>6656</v>
      </c>
      <c r="N8218" s="29" t="s">
        <v>2394</v>
      </c>
      <c r="O8218" s="29"/>
      <c r="P8218" s="29" t="s">
        <v>13084</v>
      </c>
      <c r="Q8218" t="s">
        <v>2039</v>
      </c>
      <c r="R8218" t="s">
        <v>2635</v>
      </c>
      <c r="S8218">
        <v>37</v>
      </c>
      <c r="T8218" s="43" t="str">
        <f t="shared" si="354"/>
        <v>2021.036M.R.Rhabdoviridae_sprename.zip</v>
      </c>
      <c r="U8218" s="43" t="str">
        <f>HYPERLINK("https://ictv.global/taxonomy/taxondetails?taxnode_id=202201699","ictv.global=202201699")</f>
        <v>ictv.global=202201699</v>
      </c>
    </row>
    <row r="8219" spans="1:21">
      <c r="A8219">
        <v>8218</v>
      </c>
      <c r="B8219" s="29" t="s">
        <v>3223</v>
      </c>
      <c r="C8219" s="29"/>
      <c r="D8219" s="29" t="s">
        <v>4156</v>
      </c>
      <c r="E8219" s="29"/>
      <c r="F8219" s="29" t="s">
        <v>2998</v>
      </c>
      <c r="G8219" s="29" t="s">
        <v>2999</v>
      </c>
      <c r="H8219" s="29" t="s">
        <v>3006</v>
      </c>
      <c r="I8219" s="29"/>
      <c r="J8219" s="29" t="s">
        <v>757</v>
      </c>
      <c r="K8219" s="29"/>
      <c r="L8219" s="29" t="s">
        <v>1062</v>
      </c>
      <c r="M8219" s="29" t="s">
        <v>6656</v>
      </c>
      <c r="N8219" s="29" t="s">
        <v>2394</v>
      </c>
      <c r="O8219" s="29"/>
      <c r="P8219" s="29" t="s">
        <v>13085</v>
      </c>
      <c r="Q8219" t="s">
        <v>2039</v>
      </c>
      <c r="R8219" t="s">
        <v>2635</v>
      </c>
      <c r="S8219">
        <v>37</v>
      </c>
      <c r="T8219" s="43" t="str">
        <f t="shared" si="354"/>
        <v>2021.036M.R.Rhabdoviridae_sprename.zip</v>
      </c>
      <c r="U8219" s="43" t="str">
        <f>HYPERLINK("https://ictv.global/taxonomy/taxondetails?taxnode_id=202201700","ictv.global=202201700")</f>
        <v>ictv.global=202201700</v>
      </c>
    </row>
    <row r="8220" spans="1:21">
      <c r="A8220">
        <v>8219</v>
      </c>
      <c r="B8220" s="29" t="s">
        <v>3223</v>
      </c>
      <c r="C8220" s="29"/>
      <c r="D8220" s="29" t="s">
        <v>4156</v>
      </c>
      <c r="E8220" s="29"/>
      <c r="F8220" s="29" t="s">
        <v>2998</v>
      </c>
      <c r="G8220" s="29" t="s">
        <v>2999</v>
      </c>
      <c r="H8220" s="29" t="s">
        <v>3006</v>
      </c>
      <c r="I8220" s="29"/>
      <c r="J8220" s="29" t="s">
        <v>757</v>
      </c>
      <c r="K8220" s="29"/>
      <c r="L8220" s="29" t="s">
        <v>1062</v>
      </c>
      <c r="M8220" s="29" t="s">
        <v>6656</v>
      </c>
      <c r="N8220" s="29" t="s">
        <v>2394</v>
      </c>
      <c r="O8220" s="29"/>
      <c r="P8220" s="29" t="s">
        <v>13086</v>
      </c>
      <c r="Q8220" t="s">
        <v>2039</v>
      </c>
      <c r="R8220" t="s">
        <v>2635</v>
      </c>
      <c r="S8220">
        <v>37</v>
      </c>
      <c r="T8220" s="43" t="str">
        <f t="shared" si="354"/>
        <v>2021.036M.R.Rhabdoviridae_sprename.zip</v>
      </c>
      <c r="U8220" s="43" t="str">
        <f>HYPERLINK("https://ictv.global/taxonomy/taxondetails?taxnode_id=202201701","ictv.global=202201701")</f>
        <v>ictv.global=202201701</v>
      </c>
    </row>
    <row r="8221" spans="1:21">
      <c r="A8221">
        <v>8220</v>
      </c>
      <c r="B8221" s="29" t="s">
        <v>3223</v>
      </c>
      <c r="C8221" s="29"/>
      <c r="D8221" s="29" t="s">
        <v>4156</v>
      </c>
      <c r="E8221" s="29"/>
      <c r="F8221" s="29" t="s">
        <v>2998</v>
      </c>
      <c r="G8221" s="29" t="s">
        <v>2999</v>
      </c>
      <c r="H8221" s="29" t="s">
        <v>3006</v>
      </c>
      <c r="I8221" s="29"/>
      <c r="J8221" s="29" t="s">
        <v>757</v>
      </c>
      <c r="K8221" s="29"/>
      <c r="L8221" s="29" t="s">
        <v>1062</v>
      </c>
      <c r="M8221" s="29" t="s">
        <v>6656</v>
      </c>
      <c r="N8221" s="29" t="s">
        <v>2394</v>
      </c>
      <c r="O8221" s="29"/>
      <c r="P8221" s="29" t="s">
        <v>13087</v>
      </c>
      <c r="Q8221" t="s">
        <v>2039</v>
      </c>
      <c r="R8221" t="s">
        <v>2635</v>
      </c>
      <c r="S8221">
        <v>37</v>
      </c>
      <c r="T8221" s="43" t="str">
        <f t="shared" si="354"/>
        <v>2021.036M.R.Rhabdoviridae_sprename.zip</v>
      </c>
      <c r="U8221" s="43" t="str">
        <f>HYPERLINK("https://ictv.global/taxonomy/taxondetails?taxnode_id=202201702","ictv.global=202201702")</f>
        <v>ictv.global=202201702</v>
      </c>
    </row>
    <row r="8222" spans="1:21">
      <c r="A8222">
        <v>8221</v>
      </c>
      <c r="B8222" s="29" t="s">
        <v>3223</v>
      </c>
      <c r="C8222" s="29"/>
      <c r="D8222" s="29" t="s">
        <v>4156</v>
      </c>
      <c r="E8222" s="29"/>
      <c r="F8222" s="29" t="s">
        <v>2998</v>
      </c>
      <c r="G8222" s="29" t="s">
        <v>2999</v>
      </c>
      <c r="H8222" s="29" t="s">
        <v>3006</v>
      </c>
      <c r="I8222" s="29"/>
      <c r="J8222" s="29" t="s">
        <v>757</v>
      </c>
      <c r="K8222" s="29"/>
      <c r="L8222" s="29" t="s">
        <v>1062</v>
      </c>
      <c r="M8222" s="29" t="s">
        <v>6656</v>
      </c>
      <c r="N8222" s="29" t="s">
        <v>2394</v>
      </c>
      <c r="O8222" s="29"/>
      <c r="P8222" s="29" t="s">
        <v>13088</v>
      </c>
      <c r="Q8222" t="s">
        <v>2039</v>
      </c>
      <c r="R8222" t="s">
        <v>2635</v>
      </c>
      <c r="S8222">
        <v>37</v>
      </c>
      <c r="T8222" s="43" t="str">
        <f t="shared" si="354"/>
        <v>2021.036M.R.Rhabdoviridae_sprename.zip</v>
      </c>
      <c r="U8222" s="43" t="str">
        <f>HYPERLINK("https://ictv.global/taxonomy/taxondetails?taxnode_id=202201703","ictv.global=202201703")</f>
        <v>ictv.global=202201703</v>
      </c>
    </row>
    <row r="8223" spans="1:21">
      <c r="A8223">
        <v>8222</v>
      </c>
      <c r="B8223" s="29" t="s">
        <v>3223</v>
      </c>
      <c r="C8223" s="29"/>
      <c r="D8223" s="29" t="s">
        <v>4156</v>
      </c>
      <c r="E8223" s="29"/>
      <c r="F8223" s="29" t="s">
        <v>2998</v>
      </c>
      <c r="G8223" s="29" t="s">
        <v>2999</v>
      </c>
      <c r="H8223" s="29" t="s">
        <v>3006</v>
      </c>
      <c r="I8223" s="29"/>
      <c r="J8223" s="29" t="s">
        <v>757</v>
      </c>
      <c r="K8223" s="29"/>
      <c r="L8223" s="29" t="s">
        <v>1062</v>
      </c>
      <c r="M8223" s="29" t="s">
        <v>6656</v>
      </c>
      <c r="N8223" s="29" t="s">
        <v>2394</v>
      </c>
      <c r="O8223" s="29"/>
      <c r="P8223" s="29" t="s">
        <v>13089</v>
      </c>
      <c r="Q8223" t="s">
        <v>2039</v>
      </c>
      <c r="R8223" t="s">
        <v>2635</v>
      </c>
      <c r="S8223">
        <v>37</v>
      </c>
      <c r="T8223" s="43" t="str">
        <f t="shared" si="354"/>
        <v>2021.036M.R.Rhabdoviridae_sprename.zip</v>
      </c>
      <c r="U8223" s="43" t="str">
        <f>HYPERLINK("https://ictv.global/taxonomy/taxondetails?taxnode_id=202201704","ictv.global=202201704")</f>
        <v>ictv.global=202201704</v>
      </c>
    </row>
    <row r="8224" spans="1:21">
      <c r="A8224">
        <v>8223</v>
      </c>
      <c r="B8224" s="29" t="s">
        <v>3223</v>
      </c>
      <c r="C8224" s="29"/>
      <c r="D8224" s="29" t="s">
        <v>4156</v>
      </c>
      <c r="E8224" s="29"/>
      <c r="F8224" s="29" t="s">
        <v>2998</v>
      </c>
      <c r="G8224" s="29" t="s">
        <v>2999</v>
      </c>
      <c r="H8224" s="29" t="s">
        <v>3006</v>
      </c>
      <c r="I8224" s="29"/>
      <c r="J8224" s="29" t="s">
        <v>757</v>
      </c>
      <c r="K8224" s="29"/>
      <c r="L8224" s="29" t="s">
        <v>1062</v>
      </c>
      <c r="M8224" s="29" t="s">
        <v>6656</v>
      </c>
      <c r="N8224" s="29" t="s">
        <v>2394</v>
      </c>
      <c r="O8224" s="29"/>
      <c r="P8224" s="29" t="s">
        <v>13090</v>
      </c>
      <c r="Q8224" t="s">
        <v>2039</v>
      </c>
      <c r="R8224" t="s">
        <v>2632</v>
      </c>
      <c r="S8224">
        <v>37</v>
      </c>
      <c r="T8224" s="43" t="str">
        <f>HYPERLINK("https://ictv.global/ictv/proposals/2021.004M.R.Alpharhabdovirinae_13nsp.zip","2021.004M.R.Alpharhabdovirinae_13nsp.zip")</f>
        <v>2021.004M.R.Alpharhabdovirinae_13nsp.zip</v>
      </c>
      <c r="U8224" s="43" t="str">
        <f>HYPERLINK("https://ictv.global/taxonomy/taxondetails?taxnode_id=202213334","ictv.global=202213334")</f>
        <v>ictv.global=202213334</v>
      </c>
    </row>
    <row r="8225" spans="1:21">
      <c r="A8225">
        <v>8224</v>
      </c>
      <c r="B8225" s="29" t="s">
        <v>3223</v>
      </c>
      <c r="C8225" s="29"/>
      <c r="D8225" s="29" t="s">
        <v>4156</v>
      </c>
      <c r="E8225" s="29"/>
      <c r="F8225" s="29" t="s">
        <v>2998</v>
      </c>
      <c r="G8225" s="29" t="s">
        <v>2999</v>
      </c>
      <c r="H8225" s="29" t="s">
        <v>3006</v>
      </c>
      <c r="I8225" s="29"/>
      <c r="J8225" s="29" t="s">
        <v>757</v>
      </c>
      <c r="K8225" s="29"/>
      <c r="L8225" s="29" t="s">
        <v>1062</v>
      </c>
      <c r="M8225" s="29" t="s">
        <v>6656</v>
      </c>
      <c r="N8225" s="29" t="s">
        <v>2394</v>
      </c>
      <c r="O8225" s="29"/>
      <c r="P8225" s="29" t="s">
        <v>13091</v>
      </c>
      <c r="Q8225" t="s">
        <v>2039</v>
      </c>
      <c r="R8225" t="s">
        <v>2635</v>
      </c>
      <c r="S8225">
        <v>37</v>
      </c>
      <c r="T8225" s="43" t="str">
        <f t="shared" ref="T8225:T8236" si="355">HYPERLINK("https://ictv.global/ictv/proposals/2021.036M.R.Rhabdoviridae_sprename.zip","2021.036M.R.Rhabdoviridae_sprename.zip")</f>
        <v>2021.036M.R.Rhabdoviridae_sprename.zip</v>
      </c>
      <c r="U8225" s="43" t="str">
        <f>HYPERLINK("https://ictv.global/taxonomy/taxondetails?taxnode_id=202201705","ictv.global=202201705")</f>
        <v>ictv.global=202201705</v>
      </c>
    </row>
    <row r="8226" spans="1:21">
      <c r="A8226">
        <v>8225</v>
      </c>
      <c r="B8226" s="29" t="s">
        <v>3223</v>
      </c>
      <c r="C8226" s="29"/>
      <c r="D8226" s="29" t="s">
        <v>4156</v>
      </c>
      <c r="E8226" s="29"/>
      <c r="F8226" s="29" t="s">
        <v>2998</v>
      </c>
      <c r="G8226" s="29" t="s">
        <v>2999</v>
      </c>
      <c r="H8226" s="29" t="s">
        <v>3006</v>
      </c>
      <c r="I8226" s="29"/>
      <c r="J8226" s="29" t="s">
        <v>757</v>
      </c>
      <c r="K8226" s="29"/>
      <c r="L8226" s="29" t="s">
        <v>1062</v>
      </c>
      <c r="M8226" s="29" t="s">
        <v>6656</v>
      </c>
      <c r="N8226" s="29" t="s">
        <v>2457</v>
      </c>
      <c r="O8226" s="29"/>
      <c r="P8226" s="29" t="s">
        <v>13092</v>
      </c>
      <c r="Q8226" t="s">
        <v>2039</v>
      </c>
      <c r="R8226" t="s">
        <v>2635</v>
      </c>
      <c r="S8226">
        <v>37</v>
      </c>
      <c r="T8226" s="43" t="str">
        <f t="shared" si="355"/>
        <v>2021.036M.R.Rhabdoviridae_sprename.zip</v>
      </c>
      <c r="U8226" s="43" t="str">
        <f>HYPERLINK("https://ictv.global/taxonomy/taxondetails?taxnode_id=202201707","ictv.global=202201707")</f>
        <v>ictv.global=202201707</v>
      </c>
    </row>
    <row r="8227" spans="1:21">
      <c r="A8227">
        <v>8226</v>
      </c>
      <c r="B8227" s="29" t="s">
        <v>3223</v>
      </c>
      <c r="C8227" s="29"/>
      <c r="D8227" s="29" t="s">
        <v>4156</v>
      </c>
      <c r="E8227" s="29"/>
      <c r="F8227" s="29" t="s">
        <v>2998</v>
      </c>
      <c r="G8227" s="29" t="s">
        <v>2999</v>
      </c>
      <c r="H8227" s="29" t="s">
        <v>3006</v>
      </c>
      <c r="I8227" s="29"/>
      <c r="J8227" s="29" t="s">
        <v>757</v>
      </c>
      <c r="K8227" s="29"/>
      <c r="L8227" s="29" t="s">
        <v>1062</v>
      </c>
      <c r="M8227" s="29" t="s">
        <v>6656</v>
      </c>
      <c r="N8227" s="29" t="s">
        <v>2457</v>
      </c>
      <c r="O8227" s="29"/>
      <c r="P8227" s="29" t="s">
        <v>13093</v>
      </c>
      <c r="Q8227" t="s">
        <v>2039</v>
      </c>
      <c r="R8227" t="s">
        <v>2635</v>
      </c>
      <c r="S8227">
        <v>37</v>
      </c>
      <c r="T8227" s="43" t="str">
        <f t="shared" si="355"/>
        <v>2021.036M.R.Rhabdoviridae_sprename.zip</v>
      </c>
      <c r="U8227" s="43" t="str">
        <f>HYPERLINK("https://ictv.global/taxonomy/taxondetails?taxnode_id=202209617","ictv.global=202209617")</f>
        <v>ictv.global=202209617</v>
      </c>
    </row>
    <row r="8228" spans="1:21">
      <c r="A8228">
        <v>8227</v>
      </c>
      <c r="B8228" s="29" t="s">
        <v>3223</v>
      </c>
      <c r="C8228" s="29"/>
      <c r="D8228" s="29" t="s">
        <v>4156</v>
      </c>
      <c r="E8228" s="29"/>
      <c r="F8228" s="29" t="s">
        <v>2998</v>
      </c>
      <c r="G8228" s="29" t="s">
        <v>2999</v>
      </c>
      <c r="H8228" s="29" t="s">
        <v>3006</v>
      </c>
      <c r="I8228" s="29"/>
      <c r="J8228" s="29" t="s">
        <v>757</v>
      </c>
      <c r="K8228" s="29"/>
      <c r="L8228" s="29" t="s">
        <v>1062</v>
      </c>
      <c r="M8228" s="29" t="s">
        <v>6656</v>
      </c>
      <c r="N8228" s="29" t="s">
        <v>2457</v>
      </c>
      <c r="O8228" s="29"/>
      <c r="P8228" s="29" t="s">
        <v>13094</v>
      </c>
      <c r="Q8228" t="s">
        <v>2039</v>
      </c>
      <c r="R8228" t="s">
        <v>2635</v>
      </c>
      <c r="S8228">
        <v>37</v>
      </c>
      <c r="T8228" s="43" t="str">
        <f t="shared" si="355"/>
        <v>2021.036M.R.Rhabdoviridae_sprename.zip</v>
      </c>
      <c r="U8228" s="43" t="str">
        <f>HYPERLINK("https://ictv.global/taxonomy/taxondetails?taxnode_id=202201715","ictv.global=202201715")</f>
        <v>ictv.global=202201715</v>
      </c>
    </row>
    <row r="8229" spans="1:21">
      <c r="A8229">
        <v>8228</v>
      </c>
      <c r="B8229" s="29" t="s">
        <v>3223</v>
      </c>
      <c r="C8229" s="29"/>
      <c r="D8229" s="29" t="s">
        <v>4156</v>
      </c>
      <c r="E8229" s="29"/>
      <c r="F8229" s="29" t="s">
        <v>2998</v>
      </c>
      <c r="G8229" s="29" t="s">
        <v>2999</v>
      </c>
      <c r="H8229" s="29" t="s">
        <v>3006</v>
      </c>
      <c r="I8229" s="29"/>
      <c r="J8229" s="29" t="s">
        <v>757</v>
      </c>
      <c r="K8229" s="29"/>
      <c r="L8229" s="29" t="s">
        <v>1062</v>
      </c>
      <c r="M8229" s="29" t="s">
        <v>6656</v>
      </c>
      <c r="N8229" s="29" t="s">
        <v>2457</v>
      </c>
      <c r="O8229" s="29"/>
      <c r="P8229" s="29" t="s">
        <v>13095</v>
      </c>
      <c r="Q8229" t="s">
        <v>2039</v>
      </c>
      <c r="R8229" t="s">
        <v>2635</v>
      </c>
      <c r="S8229">
        <v>37</v>
      </c>
      <c r="T8229" s="43" t="str">
        <f t="shared" si="355"/>
        <v>2021.036M.R.Rhabdoviridae_sprename.zip</v>
      </c>
      <c r="U8229" s="43" t="str">
        <f>HYPERLINK("https://ictv.global/taxonomy/taxondetails?taxnode_id=202201708","ictv.global=202201708")</f>
        <v>ictv.global=202201708</v>
      </c>
    </row>
    <row r="8230" spans="1:21">
      <c r="A8230">
        <v>8229</v>
      </c>
      <c r="B8230" s="29" t="s">
        <v>3223</v>
      </c>
      <c r="C8230" s="29"/>
      <c r="D8230" s="29" t="s">
        <v>4156</v>
      </c>
      <c r="E8230" s="29"/>
      <c r="F8230" s="29" t="s">
        <v>2998</v>
      </c>
      <c r="G8230" s="29" t="s">
        <v>2999</v>
      </c>
      <c r="H8230" s="29" t="s">
        <v>3006</v>
      </c>
      <c r="I8230" s="29"/>
      <c r="J8230" s="29" t="s">
        <v>757</v>
      </c>
      <c r="K8230" s="29"/>
      <c r="L8230" s="29" t="s">
        <v>1062</v>
      </c>
      <c r="M8230" s="29" t="s">
        <v>6656</v>
      </c>
      <c r="N8230" s="29" t="s">
        <v>2457</v>
      </c>
      <c r="O8230" s="29"/>
      <c r="P8230" s="29" t="s">
        <v>13096</v>
      </c>
      <c r="Q8230" t="s">
        <v>2039</v>
      </c>
      <c r="R8230" t="s">
        <v>2635</v>
      </c>
      <c r="S8230">
        <v>37</v>
      </c>
      <c r="T8230" s="43" t="str">
        <f t="shared" si="355"/>
        <v>2021.036M.R.Rhabdoviridae_sprename.zip</v>
      </c>
      <c r="U8230" s="43" t="str">
        <f>HYPERLINK("https://ictv.global/taxonomy/taxondetails?taxnode_id=202201709","ictv.global=202201709")</f>
        <v>ictv.global=202201709</v>
      </c>
    </row>
    <row r="8231" spans="1:21">
      <c r="A8231">
        <v>8230</v>
      </c>
      <c r="B8231" s="29" t="s">
        <v>3223</v>
      </c>
      <c r="C8231" s="29"/>
      <c r="D8231" s="29" t="s">
        <v>4156</v>
      </c>
      <c r="E8231" s="29"/>
      <c r="F8231" s="29" t="s">
        <v>2998</v>
      </c>
      <c r="G8231" s="29" t="s">
        <v>2999</v>
      </c>
      <c r="H8231" s="29" t="s">
        <v>3006</v>
      </c>
      <c r="I8231" s="29"/>
      <c r="J8231" s="29" t="s">
        <v>757</v>
      </c>
      <c r="K8231" s="29"/>
      <c r="L8231" s="29" t="s">
        <v>1062</v>
      </c>
      <c r="M8231" s="29" t="s">
        <v>6656</v>
      </c>
      <c r="N8231" s="29" t="s">
        <v>2457</v>
      </c>
      <c r="O8231" s="29"/>
      <c r="P8231" s="29" t="s">
        <v>13097</v>
      </c>
      <c r="Q8231" t="s">
        <v>2039</v>
      </c>
      <c r="R8231" t="s">
        <v>2635</v>
      </c>
      <c r="S8231">
        <v>37</v>
      </c>
      <c r="T8231" s="43" t="str">
        <f t="shared" si="355"/>
        <v>2021.036M.R.Rhabdoviridae_sprename.zip</v>
      </c>
      <c r="U8231" s="43" t="str">
        <f>HYPERLINK("https://ictv.global/taxonomy/taxondetails?taxnode_id=202205580","ictv.global=202205580")</f>
        <v>ictv.global=202205580</v>
      </c>
    </row>
    <row r="8232" spans="1:21">
      <c r="A8232">
        <v>8231</v>
      </c>
      <c r="B8232" s="29" t="s">
        <v>3223</v>
      </c>
      <c r="C8232" s="29"/>
      <c r="D8232" s="29" t="s">
        <v>4156</v>
      </c>
      <c r="E8232" s="29"/>
      <c r="F8232" s="29" t="s">
        <v>2998</v>
      </c>
      <c r="G8232" s="29" t="s">
        <v>2999</v>
      </c>
      <c r="H8232" s="29" t="s">
        <v>3006</v>
      </c>
      <c r="I8232" s="29"/>
      <c r="J8232" s="29" t="s">
        <v>757</v>
      </c>
      <c r="K8232" s="29"/>
      <c r="L8232" s="29" t="s">
        <v>1062</v>
      </c>
      <c r="M8232" s="29" t="s">
        <v>6656</v>
      </c>
      <c r="N8232" s="29" t="s">
        <v>2457</v>
      </c>
      <c r="O8232" s="29"/>
      <c r="P8232" s="29" t="s">
        <v>13098</v>
      </c>
      <c r="Q8232" t="s">
        <v>2039</v>
      </c>
      <c r="R8232" t="s">
        <v>2635</v>
      </c>
      <c r="S8232">
        <v>37</v>
      </c>
      <c r="T8232" s="43" t="str">
        <f t="shared" si="355"/>
        <v>2021.036M.R.Rhabdoviridae_sprename.zip</v>
      </c>
      <c r="U8232" s="43" t="str">
        <f>HYPERLINK("https://ictv.global/taxonomy/taxondetails?taxnode_id=202201710","ictv.global=202201710")</f>
        <v>ictv.global=202201710</v>
      </c>
    </row>
    <row r="8233" spans="1:21">
      <c r="A8233">
        <v>8232</v>
      </c>
      <c r="B8233" s="29" t="s">
        <v>3223</v>
      </c>
      <c r="C8233" s="29"/>
      <c r="D8233" s="29" t="s">
        <v>4156</v>
      </c>
      <c r="E8233" s="29"/>
      <c r="F8233" s="29" t="s">
        <v>2998</v>
      </c>
      <c r="G8233" s="29" t="s">
        <v>2999</v>
      </c>
      <c r="H8233" s="29" t="s">
        <v>3006</v>
      </c>
      <c r="I8233" s="29"/>
      <c r="J8233" s="29" t="s">
        <v>757</v>
      </c>
      <c r="K8233" s="29"/>
      <c r="L8233" s="29" t="s">
        <v>1062</v>
      </c>
      <c r="M8233" s="29" t="s">
        <v>6656</v>
      </c>
      <c r="N8233" s="29" t="s">
        <v>2457</v>
      </c>
      <c r="O8233" s="29"/>
      <c r="P8233" s="29" t="s">
        <v>13099</v>
      </c>
      <c r="Q8233" t="s">
        <v>2039</v>
      </c>
      <c r="R8233" t="s">
        <v>2635</v>
      </c>
      <c r="S8233">
        <v>37</v>
      </c>
      <c r="T8233" s="43" t="str">
        <f t="shared" si="355"/>
        <v>2021.036M.R.Rhabdoviridae_sprename.zip</v>
      </c>
      <c r="U8233" s="43" t="str">
        <f>HYPERLINK("https://ictv.global/taxonomy/taxondetails?taxnode_id=202201711","ictv.global=202201711")</f>
        <v>ictv.global=202201711</v>
      </c>
    </row>
    <row r="8234" spans="1:21">
      <c r="A8234">
        <v>8233</v>
      </c>
      <c r="B8234" s="29" t="s">
        <v>3223</v>
      </c>
      <c r="C8234" s="29"/>
      <c r="D8234" s="29" t="s">
        <v>4156</v>
      </c>
      <c r="E8234" s="29"/>
      <c r="F8234" s="29" t="s">
        <v>2998</v>
      </c>
      <c r="G8234" s="29" t="s">
        <v>2999</v>
      </c>
      <c r="H8234" s="29" t="s">
        <v>3006</v>
      </c>
      <c r="I8234" s="29"/>
      <c r="J8234" s="29" t="s">
        <v>757</v>
      </c>
      <c r="K8234" s="29"/>
      <c r="L8234" s="29" t="s">
        <v>1062</v>
      </c>
      <c r="M8234" s="29" t="s">
        <v>6656</v>
      </c>
      <c r="N8234" s="29" t="s">
        <v>2457</v>
      </c>
      <c r="O8234" s="29"/>
      <c r="P8234" s="29" t="s">
        <v>13100</v>
      </c>
      <c r="Q8234" t="s">
        <v>2039</v>
      </c>
      <c r="R8234" t="s">
        <v>2635</v>
      </c>
      <c r="S8234">
        <v>37</v>
      </c>
      <c r="T8234" s="43" t="str">
        <f t="shared" si="355"/>
        <v>2021.036M.R.Rhabdoviridae_sprename.zip</v>
      </c>
      <c r="U8234" s="43" t="str">
        <f>HYPERLINK("https://ictv.global/taxonomy/taxondetails?taxnode_id=202201712","ictv.global=202201712")</f>
        <v>ictv.global=202201712</v>
      </c>
    </row>
    <row r="8235" spans="1:21">
      <c r="A8235">
        <v>8234</v>
      </c>
      <c r="B8235" s="29" t="s">
        <v>3223</v>
      </c>
      <c r="C8235" s="29"/>
      <c r="D8235" s="29" t="s">
        <v>4156</v>
      </c>
      <c r="E8235" s="29"/>
      <c r="F8235" s="29" t="s">
        <v>2998</v>
      </c>
      <c r="G8235" s="29" t="s">
        <v>2999</v>
      </c>
      <c r="H8235" s="29" t="s">
        <v>3006</v>
      </c>
      <c r="I8235" s="29"/>
      <c r="J8235" s="29" t="s">
        <v>757</v>
      </c>
      <c r="K8235" s="29"/>
      <c r="L8235" s="29" t="s">
        <v>1062</v>
      </c>
      <c r="M8235" s="29" t="s">
        <v>6656</v>
      </c>
      <c r="N8235" s="29" t="s">
        <v>2457</v>
      </c>
      <c r="O8235" s="29"/>
      <c r="P8235" s="29" t="s">
        <v>13101</v>
      </c>
      <c r="Q8235" t="s">
        <v>2039</v>
      </c>
      <c r="R8235" t="s">
        <v>2635</v>
      </c>
      <c r="S8235">
        <v>37</v>
      </c>
      <c r="T8235" s="43" t="str">
        <f t="shared" si="355"/>
        <v>2021.036M.R.Rhabdoviridae_sprename.zip</v>
      </c>
      <c r="U8235" s="43" t="str">
        <f>HYPERLINK("https://ictv.global/taxonomy/taxondetails?taxnode_id=202201713","ictv.global=202201713")</f>
        <v>ictv.global=202201713</v>
      </c>
    </row>
    <row r="8236" spans="1:21">
      <c r="A8236">
        <v>8235</v>
      </c>
      <c r="B8236" s="29" t="s">
        <v>3223</v>
      </c>
      <c r="C8236" s="29"/>
      <c r="D8236" s="29" t="s">
        <v>4156</v>
      </c>
      <c r="E8236" s="29"/>
      <c r="F8236" s="29" t="s">
        <v>2998</v>
      </c>
      <c r="G8236" s="29" t="s">
        <v>2999</v>
      </c>
      <c r="H8236" s="29" t="s">
        <v>3006</v>
      </c>
      <c r="I8236" s="29"/>
      <c r="J8236" s="29" t="s">
        <v>757</v>
      </c>
      <c r="K8236" s="29"/>
      <c r="L8236" s="29" t="s">
        <v>1062</v>
      </c>
      <c r="M8236" s="29" t="s">
        <v>6656</v>
      </c>
      <c r="N8236" s="29" t="s">
        <v>2457</v>
      </c>
      <c r="O8236" s="29"/>
      <c r="P8236" s="29" t="s">
        <v>13102</v>
      </c>
      <c r="Q8236" t="s">
        <v>2039</v>
      </c>
      <c r="R8236" t="s">
        <v>2635</v>
      </c>
      <c r="S8236">
        <v>37</v>
      </c>
      <c r="T8236" s="43" t="str">
        <f t="shared" si="355"/>
        <v>2021.036M.R.Rhabdoviridae_sprename.zip</v>
      </c>
      <c r="U8236" s="43" t="str">
        <f>HYPERLINK("https://ictv.global/taxonomy/taxondetails?taxnode_id=202201714","ictv.global=202201714")</f>
        <v>ictv.global=202201714</v>
      </c>
    </row>
    <row r="8237" spans="1:21">
      <c r="A8237">
        <v>8236</v>
      </c>
      <c r="B8237" s="29" t="s">
        <v>3223</v>
      </c>
      <c r="C8237" s="29"/>
      <c r="D8237" s="29" t="s">
        <v>4156</v>
      </c>
      <c r="E8237" s="29"/>
      <c r="F8237" s="29" t="s">
        <v>2998</v>
      </c>
      <c r="G8237" s="29" t="s">
        <v>2999</v>
      </c>
      <c r="H8237" s="29" t="s">
        <v>3006</v>
      </c>
      <c r="I8237" s="29"/>
      <c r="J8237" s="29" t="s">
        <v>757</v>
      </c>
      <c r="K8237" s="29"/>
      <c r="L8237" s="29" t="s">
        <v>1062</v>
      </c>
      <c r="M8237" s="29" t="s">
        <v>6656</v>
      </c>
      <c r="N8237" s="29" t="s">
        <v>2457</v>
      </c>
      <c r="O8237" s="29"/>
      <c r="P8237" s="29" t="s">
        <v>13103</v>
      </c>
      <c r="Q8237" t="s">
        <v>2039</v>
      </c>
      <c r="R8237" t="s">
        <v>2632</v>
      </c>
      <c r="S8237">
        <v>38</v>
      </c>
      <c r="T8237" s="43" t="str">
        <f>HYPERLINK("https://ictv.global/ictv/proposals/2022.002M.Alpharhabdovirinae_1ngen14nsp.zip","2022.002M.Alpharhabdovirinae_1ngen14nsp.zip")</f>
        <v>2022.002M.Alpharhabdovirinae_1ngen14nsp.zip</v>
      </c>
      <c r="U8237" s="43" t="str">
        <f>HYPERLINK("https://ictv.global/taxonomy/taxondetails?taxnode_id=202214156","ictv.global=202214156")</f>
        <v>ictv.global=202214156</v>
      </c>
    </row>
    <row r="8238" spans="1:21">
      <c r="A8238">
        <v>8237</v>
      </c>
      <c r="B8238" s="29" t="s">
        <v>3223</v>
      </c>
      <c r="C8238" s="29"/>
      <c r="D8238" s="29" t="s">
        <v>4156</v>
      </c>
      <c r="E8238" s="29"/>
      <c r="F8238" s="29" t="s">
        <v>2998</v>
      </c>
      <c r="G8238" s="29" t="s">
        <v>2999</v>
      </c>
      <c r="H8238" s="29" t="s">
        <v>3006</v>
      </c>
      <c r="I8238" s="29"/>
      <c r="J8238" s="29" t="s">
        <v>757</v>
      </c>
      <c r="K8238" s="29"/>
      <c r="L8238" s="29" t="s">
        <v>1062</v>
      </c>
      <c r="M8238" s="29" t="s">
        <v>6656</v>
      </c>
      <c r="N8238" s="29" t="s">
        <v>2457</v>
      </c>
      <c r="O8238" s="29"/>
      <c r="P8238" s="29" t="s">
        <v>13104</v>
      </c>
      <c r="Q8238" t="s">
        <v>2039</v>
      </c>
      <c r="R8238" t="s">
        <v>2635</v>
      </c>
      <c r="S8238">
        <v>37</v>
      </c>
      <c r="T8238" s="43" t="str">
        <f>HYPERLINK("https://ictv.global/ictv/proposals/2021.036M.R.Rhabdoviridae_sprename.zip","2021.036M.R.Rhabdoviridae_sprename.zip")</f>
        <v>2021.036M.R.Rhabdoviridae_sprename.zip</v>
      </c>
      <c r="U8238" s="43" t="str">
        <f>HYPERLINK("https://ictv.global/taxonomy/taxondetails?taxnode_id=202201716","ictv.global=202201716")</f>
        <v>ictv.global=202201716</v>
      </c>
    </row>
    <row r="8239" spans="1:21">
      <c r="A8239">
        <v>8238</v>
      </c>
      <c r="B8239" s="29" t="s">
        <v>3223</v>
      </c>
      <c r="C8239" s="29"/>
      <c r="D8239" s="29" t="s">
        <v>4156</v>
      </c>
      <c r="E8239" s="29"/>
      <c r="F8239" s="29" t="s">
        <v>2998</v>
      </c>
      <c r="G8239" s="29" t="s">
        <v>2999</v>
      </c>
      <c r="H8239" s="29" t="s">
        <v>3006</v>
      </c>
      <c r="I8239" s="29"/>
      <c r="J8239" s="29" t="s">
        <v>757</v>
      </c>
      <c r="K8239" s="29"/>
      <c r="L8239" s="29" t="s">
        <v>1062</v>
      </c>
      <c r="M8239" s="29" t="s">
        <v>6656</v>
      </c>
      <c r="N8239" s="29" t="s">
        <v>2457</v>
      </c>
      <c r="O8239" s="29"/>
      <c r="P8239" s="29" t="s">
        <v>13105</v>
      </c>
      <c r="Q8239" t="s">
        <v>2039</v>
      </c>
      <c r="R8239" t="s">
        <v>2635</v>
      </c>
      <c r="S8239">
        <v>37</v>
      </c>
      <c r="T8239" s="43" t="str">
        <f>HYPERLINK("https://ictv.global/ictv/proposals/2021.036M.R.Rhabdoviridae_sprename.zip","2021.036M.R.Rhabdoviridae_sprename.zip")</f>
        <v>2021.036M.R.Rhabdoviridae_sprename.zip</v>
      </c>
      <c r="U8239" s="43" t="str">
        <f>HYPERLINK("https://ictv.global/taxonomy/taxondetails?taxnode_id=202201717","ictv.global=202201717")</f>
        <v>ictv.global=202201717</v>
      </c>
    </row>
    <row r="8240" spans="1:21">
      <c r="A8240">
        <v>8239</v>
      </c>
      <c r="B8240" s="29" t="s">
        <v>3223</v>
      </c>
      <c r="C8240" s="29"/>
      <c r="D8240" s="29" t="s">
        <v>4156</v>
      </c>
      <c r="E8240" s="29"/>
      <c r="F8240" s="29" t="s">
        <v>2998</v>
      </c>
      <c r="G8240" s="29" t="s">
        <v>2999</v>
      </c>
      <c r="H8240" s="29" t="s">
        <v>3006</v>
      </c>
      <c r="I8240" s="29"/>
      <c r="J8240" s="29" t="s">
        <v>757</v>
      </c>
      <c r="K8240" s="29"/>
      <c r="L8240" s="29" t="s">
        <v>1062</v>
      </c>
      <c r="M8240" s="29" t="s">
        <v>6656</v>
      </c>
      <c r="N8240" s="29" t="s">
        <v>2457</v>
      </c>
      <c r="O8240" s="29"/>
      <c r="P8240" s="29" t="s">
        <v>13106</v>
      </c>
      <c r="Q8240" t="s">
        <v>2039</v>
      </c>
      <c r="R8240" t="s">
        <v>2635</v>
      </c>
      <c r="S8240">
        <v>37</v>
      </c>
      <c r="T8240" s="43" t="str">
        <f>HYPERLINK("https://ictv.global/ictv/proposals/2021.036M.R.Rhabdoviridae_sprename.zip","2021.036M.R.Rhabdoviridae_sprename.zip")</f>
        <v>2021.036M.R.Rhabdoviridae_sprename.zip</v>
      </c>
      <c r="U8240" s="43" t="str">
        <f>HYPERLINK("https://ictv.global/taxonomy/taxondetails?taxnode_id=202201718","ictv.global=202201718")</f>
        <v>ictv.global=202201718</v>
      </c>
    </row>
    <row r="8241" spans="1:21">
      <c r="A8241">
        <v>8240</v>
      </c>
      <c r="B8241" s="29" t="s">
        <v>3223</v>
      </c>
      <c r="C8241" s="29"/>
      <c r="D8241" s="29" t="s">
        <v>4156</v>
      </c>
      <c r="E8241" s="29"/>
      <c r="F8241" s="29" t="s">
        <v>2998</v>
      </c>
      <c r="G8241" s="29" t="s">
        <v>2999</v>
      </c>
      <c r="H8241" s="29" t="s">
        <v>3006</v>
      </c>
      <c r="I8241" s="29"/>
      <c r="J8241" s="29" t="s">
        <v>757</v>
      </c>
      <c r="K8241" s="29"/>
      <c r="L8241" s="29" t="s">
        <v>1062</v>
      </c>
      <c r="M8241" s="29" t="s">
        <v>6656</v>
      </c>
      <c r="N8241" s="29" t="s">
        <v>2457</v>
      </c>
      <c r="O8241" s="29"/>
      <c r="P8241" s="29" t="s">
        <v>13107</v>
      </c>
      <c r="Q8241" t="s">
        <v>2039</v>
      </c>
      <c r="R8241" t="s">
        <v>2632</v>
      </c>
      <c r="S8241">
        <v>37</v>
      </c>
      <c r="T8241" s="43" t="str">
        <f>HYPERLINK("https://ictv.global/ictv/proposals/2021.004M.R.Alpharhabdovirinae_13nsp.zip","2021.004M.R.Alpharhabdovirinae_13nsp.zip")</f>
        <v>2021.004M.R.Alpharhabdovirinae_13nsp.zip</v>
      </c>
      <c r="U8241" s="43" t="str">
        <f>HYPERLINK("https://ictv.global/taxonomy/taxondetails?taxnode_id=202213325","ictv.global=202213325")</f>
        <v>ictv.global=202213325</v>
      </c>
    </row>
    <row r="8242" spans="1:21">
      <c r="A8242">
        <v>8241</v>
      </c>
      <c r="B8242" s="29" t="s">
        <v>3223</v>
      </c>
      <c r="C8242" s="29"/>
      <c r="D8242" s="29" t="s">
        <v>4156</v>
      </c>
      <c r="E8242" s="29"/>
      <c r="F8242" s="29" t="s">
        <v>2998</v>
      </c>
      <c r="G8242" s="29" t="s">
        <v>2999</v>
      </c>
      <c r="H8242" s="29" t="s">
        <v>3006</v>
      </c>
      <c r="I8242" s="29"/>
      <c r="J8242" s="29" t="s">
        <v>757</v>
      </c>
      <c r="K8242" s="29"/>
      <c r="L8242" s="29" t="s">
        <v>1062</v>
      </c>
      <c r="M8242" s="29" t="s">
        <v>6656</v>
      </c>
      <c r="N8242" s="29" t="s">
        <v>2457</v>
      </c>
      <c r="O8242" s="29"/>
      <c r="P8242" s="29" t="s">
        <v>13108</v>
      </c>
      <c r="Q8242" t="s">
        <v>2039</v>
      </c>
      <c r="R8242" t="s">
        <v>2635</v>
      </c>
      <c r="S8242">
        <v>37</v>
      </c>
      <c r="T8242" s="43" t="str">
        <f>HYPERLINK("https://ictv.global/ictv/proposals/2021.036M.R.Rhabdoviridae_sprename.zip","2021.036M.R.Rhabdoviridae_sprename.zip")</f>
        <v>2021.036M.R.Rhabdoviridae_sprename.zip</v>
      </c>
      <c r="U8242" s="43" t="str">
        <f>HYPERLINK("https://ictv.global/taxonomy/taxondetails?taxnode_id=202206313","ictv.global=202206313")</f>
        <v>ictv.global=202206313</v>
      </c>
    </row>
    <row r="8243" spans="1:21">
      <c r="A8243">
        <v>8242</v>
      </c>
      <c r="B8243" s="29" t="s">
        <v>3223</v>
      </c>
      <c r="C8243" s="29"/>
      <c r="D8243" s="29" t="s">
        <v>4156</v>
      </c>
      <c r="E8243" s="29"/>
      <c r="F8243" s="29" t="s">
        <v>2998</v>
      </c>
      <c r="G8243" s="29" t="s">
        <v>2999</v>
      </c>
      <c r="H8243" s="29" t="s">
        <v>3006</v>
      </c>
      <c r="I8243" s="29"/>
      <c r="J8243" s="29" t="s">
        <v>757</v>
      </c>
      <c r="K8243" s="29"/>
      <c r="L8243" s="29" t="s">
        <v>1062</v>
      </c>
      <c r="M8243" s="29" t="s">
        <v>6656</v>
      </c>
      <c r="N8243" s="29" t="s">
        <v>2457</v>
      </c>
      <c r="O8243" s="29"/>
      <c r="P8243" s="29" t="s">
        <v>13109</v>
      </c>
      <c r="Q8243" t="s">
        <v>2039</v>
      </c>
      <c r="R8243" t="s">
        <v>2632</v>
      </c>
      <c r="S8243">
        <v>38</v>
      </c>
      <c r="T8243" s="43" t="str">
        <f>HYPERLINK("https://ictv.global/ictv/proposals/2022.002M.Alpharhabdovirinae_1ngen14nsp.zip","2022.002M.Alpharhabdovirinae_1ngen14nsp.zip")</f>
        <v>2022.002M.Alpharhabdovirinae_1ngen14nsp.zip</v>
      </c>
      <c r="U8243" s="43" t="str">
        <f>HYPERLINK("https://ictv.global/taxonomy/taxondetails?taxnode_id=202214155","ictv.global=202214155")</f>
        <v>ictv.global=202214155</v>
      </c>
    </row>
    <row r="8244" spans="1:21">
      <c r="A8244">
        <v>8243</v>
      </c>
      <c r="B8244" s="29" t="s">
        <v>3223</v>
      </c>
      <c r="C8244" s="29"/>
      <c r="D8244" s="29" t="s">
        <v>4156</v>
      </c>
      <c r="E8244" s="29"/>
      <c r="F8244" s="29" t="s">
        <v>2998</v>
      </c>
      <c r="G8244" s="29" t="s">
        <v>2999</v>
      </c>
      <c r="H8244" s="29" t="s">
        <v>3006</v>
      </c>
      <c r="I8244" s="29"/>
      <c r="J8244" s="29" t="s">
        <v>757</v>
      </c>
      <c r="K8244" s="29"/>
      <c r="L8244" s="29" t="s">
        <v>1062</v>
      </c>
      <c r="M8244" s="29" t="s">
        <v>6656</v>
      </c>
      <c r="N8244" s="29" t="s">
        <v>2457</v>
      </c>
      <c r="O8244" s="29"/>
      <c r="P8244" s="29" t="s">
        <v>13110</v>
      </c>
      <c r="Q8244" t="s">
        <v>2039</v>
      </c>
      <c r="R8244" t="s">
        <v>2635</v>
      </c>
      <c r="S8244">
        <v>37</v>
      </c>
      <c r="T8244" s="43" t="str">
        <f t="shared" ref="T8244:T8276" si="356">HYPERLINK("https://ictv.global/ictv/proposals/2021.036M.R.Rhabdoviridae_sprename.zip","2021.036M.R.Rhabdoviridae_sprename.zip")</f>
        <v>2021.036M.R.Rhabdoviridae_sprename.zip</v>
      </c>
      <c r="U8244" s="43" t="str">
        <f>HYPERLINK("https://ictv.global/taxonomy/taxondetails?taxnode_id=202201719","ictv.global=202201719")</f>
        <v>ictv.global=202201719</v>
      </c>
    </row>
    <row r="8245" spans="1:21">
      <c r="A8245">
        <v>8244</v>
      </c>
      <c r="B8245" s="29" t="s">
        <v>3223</v>
      </c>
      <c r="C8245" s="29"/>
      <c r="D8245" s="29" t="s">
        <v>4156</v>
      </c>
      <c r="E8245" s="29"/>
      <c r="F8245" s="29" t="s">
        <v>2998</v>
      </c>
      <c r="G8245" s="29" t="s">
        <v>2999</v>
      </c>
      <c r="H8245" s="29" t="s">
        <v>3006</v>
      </c>
      <c r="I8245" s="29"/>
      <c r="J8245" s="29" t="s">
        <v>757</v>
      </c>
      <c r="K8245" s="29"/>
      <c r="L8245" s="29" t="s">
        <v>1062</v>
      </c>
      <c r="M8245" s="29" t="s">
        <v>6656</v>
      </c>
      <c r="N8245" s="29" t="s">
        <v>2457</v>
      </c>
      <c r="O8245" s="29"/>
      <c r="P8245" s="29" t="s">
        <v>13111</v>
      </c>
      <c r="Q8245" t="s">
        <v>2039</v>
      </c>
      <c r="R8245" t="s">
        <v>2635</v>
      </c>
      <c r="S8245">
        <v>37</v>
      </c>
      <c r="T8245" s="43" t="str">
        <f t="shared" si="356"/>
        <v>2021.036M.R.Rhabdoviridae_sprename.zip</v>
      </c>
      <c r="U8245" s="43" t="str">
        <f>HYPERLINK("https://ictv.global/taxonomy/taxondetails?taxnode_id=202201720","ictv.global=202201720")</f>
        <v>ictv.global=202201720</v>
      </c>
    </row>
    <row r="8246" spans="1:21">
      <c r="A8246">
        <v>8245</v>
      </c>
      <c r="B8246" s="29" t="s">
        <v>3223</v>
      </c>
      <c r="C8246" s="29"/>
      <c r="D8246" s="29" t="s">
        <v>4156</v>
      </c>
      <c r="E8246" s="29"/>
      <c r="F8246" s="29" t="s">
        <v>2998</v>
      </c>
      <c r="G8246" s="29" t="s">
        <v>2999</v>
      </c>
      <c r="H8246" s="29" t="s">
        <v>3006</v>
      </c>
      <c r="I8246" s="29"/>
      <c r="J8246" s="29" t="s">
        <v>757</v>
      </c>
      <c r="K8246" s="29"/>
      <c r="L8246" s="29" t="s">
        <v>1062</v>
      </c>
      <c r="M8246" s="29" t="s">
        <v>6656</v>
      </c>
      <c r="N8246" s="29" t="s">
        <v>4454</v>
      </c>
      <c r="O8246" s="29"/>
      <c r="P8246" s="29" t="s">
        <v>13112</v>
      </c>
      <c r="Q8246" t="s">
        <v>2039</v>
      </c>
      <c r="R8246" t="s">
        <v>2635</v>
      </c>
      <c r="S8246">
        <v>37</v>
      </c>
      <c r="T8246" s="43" t="str">
        <f t="shared" si="356"/>
        <v>2021.036M.R.Rhabdoviridae_sprename.zip</v>
      </c>
      <c r="U8246" s="43" t="str">
        <f>HYPERLINK("https://ictv.global/taxonomy/taxondetails?taxnode_id=202209258","ictv.global=202209258")</f>
        <v>ictv.global=202209258</v>
      </c>
    </row>
    <row r="8247" spans="1:21">
      <c r="A8247">
        <v>8246</v>
      </c>
      <c r="B8247" s="29" t="s">
        <v>3223</v>
      </c>
      <c r="C8247" s="29"/>
      <c r="D8247" s="29" t="s">
        <v>4156</v>
      </c>
      <c r="E8247" s="29"/>
      <c r="F8247" s="29" t="s">
        <v>2998</v>
      </c>
      <c r="G8247" s="29" t="s">
        <v>2999</v>
      </c>
      <c r="H8247" s="29" t="s">
        <v>3006</v>
      </c>
      <c r="I8247" s="29"/>
      <c r="J8247" s="29" t="s">
        <v>757</v>
      </c>
      <c r="K8247" s="29"/>
      <c r="L8247" s="29" t="s">
        <v>1062</v>
      </c>
      <c r="M8247" s="29" t="s">
        <v>6656</v>
      </c>
      <c r="N8247" s="29" t="s">
        <v>4454</v>
      </c>
      <c r="O8247" s="29"/>
      <c r="P8247" s="29" t="s">
        <v>13113</v>
      </c>
      <c r="Q8247" t="s">
        <v>2039</v>
      </c>
      <c r="R8247" t="s">
        <v>2635</v>
      </c>
      <c r="S8247">
        <v>37</v>
      </c>
      <c r="T8247" s="43" t="str">
        <f t="shared" si="356"/>
        <v>2021.036M.R.Rhabdoviridae_sprename.zip</v>
      </c>
      <c r="U8247" s="43" t="str">
        <f>HYPERLINK("https://ictv.global/taxonomy/taxondetails?taxnode_id=202207391","ictv.global=202207391")</f>
        <v>ictv.global=202207391</v>
      </c>
    </row>
    <row r="8248" spans="1:21">
      <c r="A8248">
        <v>8247</v>
      </c>
      <c r="B8248" s="29" t="s">
        <v>3223</v>
      </c>
      <c r="C8248" s="29"/>
      <c r="D8248" s="29" t="s">
        <v>4156</v>
      </c>
      <c r="E8248" s="29"/>
      <c r="F8248" s="29" t="s">
        <v>2998</v>
      </c>
      <c r="G8248" s="29" t="s">
        <v>2999</v>
      </c>
      <c r="H8248" s="29" t="s">
        <v>3006</v>
      </c>
      <c r="I8248" s="29"/>
      <c r="J8248" s="29" t="s">
        <v>757</v>
      </c>
      <c r="K8248" s="29"/>
      <c r="L8248" s="29" t="s">
        <v>1062</v>
      </c>
      <c r="M8248" s="29" t="s">
        <v>6656</v>
      </c>
      <c r="N8248" s="29" t="s">
        <v>1027</v>
      </c>
      <c r="O8248" s="29"/>
      <c r="P8248" s="29" t="s">
        <v>13114</v>
      </c>
      <c r="Q8248" t="s">
        <v>2039</v>
      </c>
      <c r="R8248" t="s">
        <v>2635</v>
      </c>
      <c r="S8248">
        <v>37</v>
      </c>
      <c r="T8248" s="43" t="str">
        <f t="shared" si="356"/>
        <v>2021.036M.R.Rhabdoviridae_sprename.zip</v>
      </c>
      <c r="U8248" s="43" t="str">
        <f>HYPERLINK("https://ictv.global/taxonomy/taxondetails?taxnode_id=202201722","ictv.global=202201722")</f>
        <v>ictv.global=202201722</v>
      </c>
    </row>
    <row r="8249" spans="1:21">
      <c r="A8249">
        <v>8248</v>
      </c>
      <c r="B8249" s="29" t="s">
        <v>3223</v>
      </c>
      <c r="C8249" s="29"/>
      <c r="D8249" s="29" t="s">
        <v>4156</v>
      </c>
      <c r="E8249" s="29"/>
      <c r="F8249" s="29" t="s">
        <v>2998</v>
      </c>
      <c r="G8249" s="29" t="s">
        <v>2999</v>
      </c>
      <c r="H8249" s="29" t="s">
        <v>3006</v>
      </c>
      <c r="I8249" s="29"/>
      <c r="J8249" s="29" t="s">
        <v>757</v>
      </c>
      <c r="K8249" s="29"/>
      <c r="L8249" s="29" t="s">
        <v>1062</v>
      </c>
      <c r="M8249" s="29" t="s">
        <v>6656</v>
      </c>
      <c r="N8249" s="29" t="s">
        <v>1027</v>
      </c>
      <c r="O8249" s="29"/>
      <c r="P8249" s="29" t="s">
        <v>13115</v>
      </c>
      <c r="Q8249" t="s">
        <v>2039</v>
      </c>
      <c r="R8249" t="s">
        <v>2635</v>
      </c>
      <c r="S8249">
        <v>37</v>
      </c>
      <c r="T8249" s="43" t="str">
        <f t="shared" si="356"/>
        <v>2021.036M.R.Rhabdoviridae_sprename.zip</v>
      </c>
      <c r="U8249" s="43" t="str">
        <f>HYPERLINK("https://ictv.global/taxonomy/taxondetails?taxnode_id=202201723","ictv.global=202201723")</f>
        <v>ictv.global=202201723</v>
      </c>
    </row>
    <row r="8250" spans="1:21">
      <c r="A8250">
        <v>8249</v>
      </c>
      <c r="B8250" s="29" t="s">
        <v>3223</v>
      </c>
      <c r="C8250" s="29"/>
      <c r="D8250" s="29" t="s">
        <v>4156</v>
      </c>
      <c r="E8250" s="29"/>
      <c r="F8250" s="29" t="s">
        <v>2998</v>
      </c>
      <c r="G8250" s="29" t="s">
        <v>2999</v>
      </c>
      <c r="H8250" s="29" t="s">
        <v>3006</v>
      </c>
      <c r="I8250" s="29"/>
      <c r="J8250" s="29" t="s">
        <v>757</v>
      </c>
      <c r="K8250" s="29"/>
      <c r="L8250" s="29" t="s">
        <v>1062</v>
      </c>
      <c r="M8250" s="29" t="s">
        <v>6656</v>
      </c>
      <c r="N8250" s="29" t="s">
        <v>1027</v>
      </c>
      <c r="O8250" s="29"/>
      <c r="P8250" s="29" t="s">
        <v>13116</v>
      </c>
      <c r="Q8250" t="s">
        <v>2039</v>
      </c>
      <c r="R8250" t="s">
        <v>2635</v>
      </c>
      <c r="S8250">
        <v>37</v>
      </c>
      <c r="T8250" s="43" t="str">
        <f t="shared" si="356"/>
        <v>2021.036M.R.Rhabdoviridae_sprename.zip</v>
      </c>
      <c r="U8250" s="43" t="str">
        <f>HYPERLINK("https://ictv.global/taxonomy/taxondetails?taxnode_id=202201724","ictv.global=202201724")</f>
        <v>ictv.global=202201724</v>
      </c>
    </row>
    <row r="8251" spans="1:21">
      <c r="A8251">
        <v>8250</v>
      </c>
      <c r="B8251" s="29" t="s">
        <v>3223</v>
      </c>
      <c r="C8251" s="29"/>
      <c r="D8251" s="29" t="s">
        <v>4156</v>
      </c>
      <c r="E8251" s="29"/>
      <c r="F8251" s="29" t="s">
        <v>2998</v>
      </c>
      <c r="G8251" s="29" t="s">
        <v>2999</v>
      </c>
      <c r="H8251" s="29" t="s">
        <v>3006</v>
      </c>
      <c r="I8251" s="29"/>
      <c r="J8251" s="29" t="s">
        <v>757</v>
      </c>
      <c r="K8251" s="29"/>
      <c r="L8251" s="29" t="s">
        <v>1062</v>
      </c>
      <c r="M8251" s="29" t="s">
        <v>6656</v>
      </c>
      <c r="N8251" s="29" t="s">
        <v>1027</v>
      </c>
      <c r="O8251" s="29"/>
      <c r="P8251" s="29" t="s">
        <v>13117</v>
      </c>
      <c r="Q8251" t="s">
        <v>2039</v>
      </c>
      <c r="R8251" t="s">
        <v>2635</v>
      </c>
      <c r="S8251">
        <v>37</v>
      </c>
      <c r="T8251" s="43" t="str">
        <f t="shared" si="356"/>
        <v>2021.036M.R.Rhabdoviridae_sprename.zip</v>
      </c>
      <c r="U8251" s="43" t="str">
        <f>HYPERLINK("https://ictv.global/taxonomy/taxondetails?taxnode_id=202201735","ictv.global=202201735")</f>
        <v>ictv.global=202201735</v>
      </c>
    </row>
    <row r="8252" spans="1:21">
      <c r="A8252">
        <v>8251</v>
      </c>
      <c r="B8252" s="29" t="s">
        <v>3223</v>
      </c>
      <c r="C8252" s="29"/>
      <c r="D8252" s="29" t="s">
        <v>4156</v>
      </c>
      <c r="E8252" s="29"/>
      <c r="F8252" s="29" t="s">
        <v>2998</v>
      </c>
      <c r="G8252" s="29" t="s">
        <v>2999</v>
      </c>
      <c r="H8252" s="29" t="s">
        <v>3006</v>
      </c>
      <c r="I8252" s="29"/>
      <c r="J8252" s="29" t="s">
        <v>757</v>
      </c>
      <c r="K8252" s="29"/>
      <c r="L8252" s="29" t="s">
        <v>1062</v>
      </c>
      <c r="M8252" s="29" t="s">
        <v>6656</v>
      </c>
      <c r="N8252" s="29" t="s">
        <v>1027</v>
      </c>
      <c r="O8252" s="29"/>
      <c r="P8252" s="29" t="s">
        <v>13118</v>
      </c>
      <c r="Q8252" t="s">
        <v>2039</v>
      </c>
      <c r="R8252" t="s">
        <v>2635</v>
      </c>
      <c r="S8252">
        <v>37</v>
      </c>
      <c r="T8252" s="43" t="str">
        <f t="shared" si="356"/>
        <v>2021.036M.R.Rhabdoviridae_sprename.zip</v>
      </c>
      <c r="U8252" s="43" t="str">
        <f>HYPERLINK("https://ictv.global/taxonomy/taxondetails?taxnode_id=202201725","ictv.global=202201725")</f>
        <v>ictv.global=202201725</v>
      </c>
    </row>
    <row r="8253" spans="1:21">
      <c r="A8253">
        <v>8252</v>
      </c>
      <c r="B8253" s="29" t="s">
        <v>3223</v>
      </c>
      <c r="C8253" s="29"/>
      <c r="D8253" s="29" t="s">
        <v>4156</v>
      </c>
      <c r="E8253" s="29"/>
      <c r="F8253" s="29" t="s">
        <v>2998</v>
      </c>
      <c r="G8253" s="29" t="s">
        <v>2999</v>
      </c>
      <c r="H8253" s="29" t="s">
        <v>3006</v>
      </c>
      <c r="I8253" s="29"/>
      <c r="J8253" s="29" t="s">
        <v>757</v>
      </c>
      <c r="K8253" s="29"/>
      <c r="L8253" s="29" t="s">
        <v>1062</v>
      </c>
      <c r="M8253" s="29" t="s">
        <v>6656</v>
      </c>
      <c r="N8253" s="29" t="s">
        <v>1027</v>
      </c>
      <c r="O8253" s="29"/>
      <c r="P8253" s="29" t="s">
        <v>13119</v>
      </c>
      <c r="Q8253" t="s">
        <v>2039</v>
      </c>
      <c r="R8253" t="s">
        <v>2635</v>
      </c>
      <c r="S8253">
        <v>37</v>
      </c>
      <c r="T8253" s="43" t="str">
        <f t="shared" si="356"/>
        <v>2021.036M.R.Rhabdoviridae_sprename.zip</v>
      </c>
      <c r="U8253" s="43" t="str">
        <f>HYPERLINK("https://ictv.global/taxonomy/taxondetails?taxnode_id=202208672","ictv.global=202208672")</f>
        <v>ictv.global=202208672</v>
      </c>
    </row>
    <row r="8254" spans="1:21">
      <c r="A8254">
        <v>8253</v>
      </c>
      <c r="B8254" s="29" t="s">
        <v>3223</v>
      </c>
      <c r="C8254" s="29"/>
      <c r="D8254" s="29" t="s">
        <v>4156</v>
      </c>
      <c r="E8254" s="29"/>
      <c r="F8254" s="29" t="s">
        <v>2998</v>
      </c>
      <c r="G8254" s="29" t="s">
        <v>2999</v>
      </c>
      <c r="H8254" s="29" t="s">
        <v>3006</v>
      </c>
      <c r="I8254" s="29"/>
      <c r="J8254" s="29" t="s">
        <v>757</v>
      </c>
      <c r="K8254" s="29"/>
      <c r="L8254" s="29" t="s">
        <v>1062</v>
      </c>
      <c r="M8254" s="29" t="s">
        <v>6656</v>
      </c>
      <c r="N8254" s="29" t="s">
        <v>1027</v>
      </c>
      <c r="O8254" s="29"/>
      <c r="P8254" s="29" t="s">
        <v>13120</v>
      </c>
      <c r="Q8254" t="s">
        <v>2039</v>
      </c>
      <c r="R8254" t="s">
        <v>2635</v>
      </c>
      <c r="S8254">
        <v>37</v>
      </c>
      <c r="T8254" s="43" t="str">
        <f t="shared" si="356"/>
        <v>2021.036M.R.Rhabdoviridae_sprename.zip</v>
      </c>
      <c r="U8254" s="43" t="str">
        <f>HYPERLINK("https://ictv.global/taxonomy/taxondetails?taxnode_id=202205581","ictv.global=202205581")</f>
        <v>ictv.global=202205581</v>
      </c>
    </row>
    <row r="8255" spans="1:21">
      <c r="A8255">
        <v>8254</v>
      </c>
      <c r="B8255" s="29" t="s">
        <v>3223</v>
      </c>
      <c r="C8255" s="29"/>
      <c r="D8255" s="29" t="s">
        <v>4156</v>
      </c>
      <c r="E8255" s="29"/>
      <c r="F8255" s="29" t="s">
        <v>2998</v>
      </c>
      <c r="G8255" s="29" t="s">
        <v>2999</v>
      </c>
      <c r="H8255" s="29" t="s">
        <v>3006</v>
      </c>
      <c r="I8255" s="29"/>
      <c r="J8255" s="29" t="s">
        <v>757</v>
      </c>
      <c r="K8255" s="29"/>
      <c r="L8255" s="29" t="s">
        <v>1062</v>
      </c>
      <c r="M8255" s="29" t="s">
        <v>6656</v>
      </c>
      <c r="N8255" s="29" t="s">
        <v>1027</v>
      </c>
      <c r="O8255" s="29"/>
      <c r="P8255" s="29" t="s">
        <v>13121</v>
      </c>
      <c r="Q8255" t="s">
        <v>2039</v>
      </c>
      <c r="R8255" t="s">
        <v>2635</v>
      </c>
      <c r="S8255">
        <v>37</v>
      </c>
      <c r="T8255" s="43" t="str">
        <f t="shared" si="356"/>
        <v>2021.036M.R.Rhabdoviridae_sprename.zip</v>
      </c>
      <c r="U8255" s="43" t="str">
        <f>HYPERLINK("https://ictv.global/taxonomy/taxondetails?taxnode_id=202201726","ictv.global=202201726")</f>
        <v>ictv.global=202201726</v>
      </c>
    </row>
    <row r="8256" spans="1:21">
      <c r="A8256">
        <v>8255</v>
      </c>
      <c r="B8256" s="29" t="s">
        <v>3223</v>
      </c>
      <c r="C8256" s="29"/>
      <c r="D8256" s="29" t="s">
        <v>4156</v>
      </c>
      <c r="E8256" s="29"/>
      <c r="F8256" s="29" t="s">
        <v>2998</v>
      </c>
      <c r="G8256" s="29" t="s">
        <v>2999</v>
      </c>
      <c r="H8256" s="29" t="s">
        <v>3006</v>
      </c>
      <c r="I8256" s="29"/>
      <c r="J8256" s="29" t="s">
        <v>757</v>
      </c>
      <c r="K8256" s="29"/>
      <c r="L8256" s="29" t="s">
        <v>1062</v>
      </c>
      <c r="M8256" s="29" t="s">
        <v>6656</v>
      </c>
      <c r="N8256" s="29" t="s">
        <v>1027</v>
      </c>
      <c r="O8256" s="29"/>
      <c r="P8256" s="29" t="s">
        <v>13122</v>
      </c>
      <c r="Q8256" t="s">
        <v>2039</v>
      </c>
      <c r="R8256" t="s">
        <v>2635</v>
      </c>
      <c r="S8256">
        <v>37</v>
      </c>
      <c r="T8256" s="43" t="str">
        <f t="shared" si="356"/>
        <v>2021.036M.R.Rhabdoviridae_sprename.zip</v>
      </c>
      <c r="U8256" s="43" t="str">
        <f>HYPERLINK("https://ictv.global/taxonomy/taxondetails?taxnode_id=202201727","ictv.global=202201727")</f>
        <v>ictv.global=202201727</v>
      </c>
    </row>
    <row r="8257" spans="1:21">
      <c r="A8257">
        <v>8256</v>
      </c>
      <c r="B8257" s="29" t="s">
        <v>3223</v>
      </c>
      <c r="C8257" s="29"/>
      <c r="D8257" s="29" t="s">
        <v>4156</v>
      </c>
      <c r="E8257" s="29"/>
      <c r="F8257" s="29" t="s">
        <v>2998</v>
      </c>
      <c r="G8257" s="29" t="s">
        <v>2999</v>
      </c>
      <c r="H8257" s="29" t="s">
        <v>3006</v>
      </c>
      <c r="I8257" s="29"/>
      <c r="J8257" s="29" t="s">
        <v>757</v>
      </c>
      <c r="K8257" s="29"/>
      <c r="L8257" s="29" t="s">
        <v>1062</v>
      </c>
      <c r="M8257" s="29" t="s">
        <v>6656</v>
      </c>
      <c r="N8257" s="29" t="s">
        <v>1027</v>
      </c>
      <c r="O8257" s="29"/>
      <c r="P8257" s="29" t="s">
        <v>13123</v>
      </c>
      <c r="Q8257" t="s">
        <v>2039</v>
      </c>
      <c r="R8257" t="s">
        <v>2635</v>
      </c>
      <c r="S8257">
        <v>37</v>
      </c>
      <c r="T8257" s="43" t="str">
        <f t="shared" si="356"/>
        <v>2021.036M.R.Rhabdoviridae_sprename.zip</v>
      </c>
      <c r="U8257" s="43" t="str">
        <f>HYPERLINK("https://ictv.global/taxonomy/taxondetails?taxnode_id=202201728","ictv.global=202201728")</f>
        <v>ictv.global=202201728</v>
      </c>
    </row>
    <row r="8258" spans="1:21">
      <c r="A8258">
        <v>8257</v>
      </c>
      <c r="B8258" s="29" t="s">
        <v>3223</v>
      </c>
      <c r="C8258" s="29"/>
      <c r="D8258" s="29" t="s">
        <v>4156</v>
      </c>
      <c r="E8258" s="29"/>
      <c r="F8258" s="29" t="s">
        <v>2998</v>
      </c>
      <c r="G8258" s="29" t="s">
        <v>2999</v>
      </c>
      <c r="H8258" s="29" t="s">
        <v>3006</v>
      </c>
      <c r="I8258" s="29"/>
      <c r="J8258" s="29" t="s">
        <v>757</v>
      </c>
      <c r="K8258" s="29"/>
      <c r="L8258" s="29" t="s">
        <v>1062</v>
      </c>
      <c r="M8258" s="29" t="s">
        <v>6656</v>
      </c>
      <c r="N8258" s="29" t="s">
        <v>1027</v>
      </c>
      <c r="O8258" s="29"/>
      <c r="P8258" s="29" t="s">
        <v>13124</v>
      </c>
      <c r="Q8258" t="s">
        <v>2039</v>
      </c>
      <c r="R8258" t="s">
        <v>2635</v>
      </c>
      <c r="S8258">
        <v>37</v>
      </c>
      <c r="T8258" s="43" t="str">
        <f t="shared" si="356"/>
        <v>2021.036M.R.Rhabdoviridae_sprename.zip</v>
      </c>
      <c r="U8258" s="43" t="str">
        <f>HYPERLINK("https://ictv.global/taxonomy/taxondetails?taxnode_id=202201729","ictv.global=202201729")</f>
        <v>ictv.global=202201729</v>
      </c>
    </row>
    <row r="8259" spans="1:21">
      <c r="A8259">
        <v>8258</v>
      </c>
      <c r="B8259" s="29" t="s">
        <v>3223</v>
      </c>
      <c r="C8259" s="29"/>
      <c r="D8259" s="29" t="s">
        <v>4156</v>
      </c>
      <c r="E8259" s="29"/>
      <c r="F8259" s="29" t="s">
        <v>2998</v>
      </c>
      <c r="G8259" s="29" t="s">
        <v>2999</v>
      </c>
      <c r="H8259" s="29" t="s">
        <v>3006</v>
      </c>
      <c r="I8259" s="29"/>
      <c r="J8259" s="29" t="s">
        <v>757</v>
      </c>
      <c r="K8259" s="29"/>
      <c r="L8259" s="29" t="s">
        <v>1062</v>
      </c>
      <c r="M8259" s="29" t="s">
        <v>6656</v>
      </c>
      <c r="N8259" s="29" t="s">
        <v>1027</v>
      </c>
      <c r="O8259" s="29"/>
      <c r="P8259" s="29" t="s">
        <v>13125</v>
      </c>
      <c r="Q8259" t="s">
        <v>2039</v>
      </c>
      <c r="R8259" t="s">
        <v>2635</v>
      </c>
      <c r="S8259">
        <v>37</v>
      </c>
      <c r="T8259" s="43" t="str">
        <f t="shared" si="356"/>
        <v>2021.036M.R.Rhabdoviridae_sprename.zip</v>
      </c>
      <c r="U8259" s="43" t="str">
        <f>HYPERLINK("https://ictv.global/taxonomy/taxondetails?taxnode_id=202201730","ictv.global=202201730")</f>
        <v>ictv.global=202201730</v>
      </c>
    </row>
    <row r="8260" spans="1:21">
      <c r="A8260">
        <v>8259</v>
      </c>
      <c r="B8260" s="29" t="s">
        <v>3223</v>
      </c>
      <c r="C8260" s="29"/>
      <c r="D8260" s="29" t="s">
        <v>4156</v>
      </c>
      <c r="E8260" s="29"/>
      <c r="F8260" s="29" t="s">
        <v>2998</v>
      </c>
      <c r="G8260" s="29" t="s">
        <v>2999</v>
      </c>
      <c r="H8260" s="29" t="s">
        <v>3006</v>
      </c>
      <c r="I8260" s="29"/>
      <c r="J8260" s="29" t="s">
        <v>757</v>
      </c>
      <c r="K8260" s="29"/>
      <c r="L8260" s="29" t="s">
        <v>1062</v>
      </c>
      <c r="M8260" s="29" t="s">
        <v>6656</v>
      </c>
      <c r="N8260" s="29" t="s">
        <v>1027</v>
      </c>
      <c r="O8260" s="29"/>
      <c r="P8260" s="29" t="s">
        <v>13126</v>
      </c>
      <c r="Q8260" t="s">
        <v>2039</v>
      </c>
      <c r="R8260" t="s">
        <v>2635</v>
      </c>
      <c r="S8260">
        <v>37</v>
      </c>
      <c r="T8260" s="43" t="str">
        <f t="shared" si="356"/>
        <v>2021.036M.R.Rhabdoviridae_sprename.zip</v>
      </c>
      <c r="U8260" s="43" t="str">
        <f>HYPERLINK("https://ictv.global/taxonomy/taxondetails?taxnode_id=202201731","ictv.global=202201731")</f>
        <v>ictv.global=202201731</v>
      </c>
    </row>
    <row r="8261" spans="1:21">
      <c r="A8261">
        <v>8260</v>
      </c>
      <c r="B8261" s="29" t="s">
        <v>3223</v>
      </c>
      <c r="C8261" s="29"/>
      <c r="D8261" s="29" t="s">
        <v>4156</v>
      </c>
      <c r="E8261" s="29"/>
      <c r="F8261" s="29" t="s">
        <v>2998</v>
      </c>
      <c r="G8261" s="29" t="s">
        <v>2999</v>
      </c>
      <c r="H8261" s="29" t="s">
        <v>3006</v>
      </c>
      <c r="I8261" s="29"/>
      <c r="J8261" s="29" t="s">
        <v>757</v>
      </c>
      <c r="K8261" s="29"/>
      <c r="L8261" s="29" t="s">
        <v>1062</v>
      </c>
      <c r="M8261" s="29" t="s">
        <v>6656</v>
      </c>
      <c r="N8261" s="29" t="s">
        <v>1027</v>
      </c>
      <c r="O8261" s="29"/>
      <c r="P8261" s="29" t="s">
        <v>13127</v>
      </c>
      <c r="Q8261" t="s">
        <v>2039</v>
      </c>
      <c r="R8261" t="s">
        <v>2635</v>
      </c>
      <c r="S8261">
        <v>37</v>
      </c>
      <c r="T8261" s="43" t="str">
        <f t="shared" si="356"/>
        <v>2021.036M.R.Rhabdoviridae_sprename.zip</v>
      </c>
      <c r="U8261" s="43" t="str">
        <f>HYPERLINK("https://ictv.global/taxonomy/taxondetails?taxnode_id=202205582","ictv.global=202205582")</f>
        <v>ictv.global=202205582</v>
      </c>
    </row>
    <row r="8262" spans="1:21">
      <c r="A8262">
        <v>8261</v>
      </c>
      <c r="B8262" s="29" t="s">
        <v>3223</v>
      </c>
      <c r="C8262" s="29"/>
      <c r="D8262" s="29" t="s">
        <v>4156</v>
      </c>
      <c r="E8262" s="29"/>
      <c r="F8262" s="29" t="s">
        <v>2998</v>
      </c>
      <c r="G8262" s="29" t="s">
        <v>2999</v>
      </c>
      <c r="H8262" s="29" t="s">
        <v>3006</v>
      </c>
      <c r="I8262" s="29"/>
      <c r="J8262" s="29" t="s">
        <v>757</v>
      </c>
      <c r="K8262" s="29"/>
      <c r="L8262" s="29" t="s">
        <v>1062</v>
      </c>
      <c r="M8262" s="29" t="s">
        <v>6656</v>
      </c>
      <c r="N8262" s="29" t="s">
        <v>1027</v>
      </c>
      <c r="O8262" s="29"/>
      <c r="P8262" s="29" t="s">
        <v>13128</v>
      </c>
      <c r="Q8262" t="s">
        <v>2039</v>
      </c>
      <c r="R8262" t="s">
        <v>2635</v>
      </c>
      <c r="S8262">
        <v>37</v>
      </c>
      <c r="T8262" s="43" t="str">
        <f t="shared" si="356"/>
        <v>2021.036M.R.Rhabdoviridae_sprename.zip</v>
      </c>
      <c r="U8262" s="43" t="str">
        <f>HYPERLINK("https://ictv.global/taxonomy/taxondetails?taxnode_id=202201732","ictv.global=202201732")</f>
        <v>ictv.global=202201732</v>
      </c>
    </row>
    <row r="8263" spans="1:21">
      <c r="A8263">
        <v>8262</v>
      </c>
      <c r="B8263" s="29" t="s">
        <v>3223</v>
      </c>
      <c r="C8263" s="29"/>
      <c r="D8263" s="29" t="s">
        <v>4156</v>
      </c>
      <c r="E8263" s="29"/>
      <c r="F8263" s="29" t="s">
        <v>2998</v>
      </c>
      <c r="G8263" s="29" t="s">
        <v>2999</v>
      </c>
      <c r="H8263" s="29" t="s">
        <v>3006</v>
      </c>
      <c r="I8263" s="29"/>
      <c r="J8263" s="29" t="s">
        <v>757</v>
      </c>
      <c r="K8263" s="29"/>
      <c r="L8263" s="29" t="s">
        <v>1062</v>
      </c>
      <c r="M8263" s="29" t="s">
        <v>6656</v>
      </c>
      <c r="N8263" s="29" t="s">
        <v>1027</v>
      </c>
      <c r="O8263" s="29"/>
      <c r="P8263" s="29" t="s">
        <v>13129</v>
      </c>
      <c r="Q8263" t="s">
        <v>2039</v>
      </c>
      <c r="R8263" t="s">
        <v>2635</v>
      </c>
      <c r="S8263">
        <v>37</v>
      </c>
      <c r="T8263" s="43" t="str">
        <f t="shared" si="356"/>
        <v>2021.036M.R.Rhabdoviridae_sprename.zip</v>
      </c>
      <c r="U8263" s="43" t="str">
        <f>HYPERLINK("https://ictv.global/taxonomy/taxondetails?taxnode_id=202201733","ictv.global=202201733")</f>
        <v>ictv.global=202201733</v>
      </c>
    </row>
    <row r="8264" spans="1:21">
      <c r="A8264">
        <v>8263</v>
      </c>
      <c r="B8264" s="29" t="s">
        <v>3223</v>
      </c>
      <c r="C8264" s="29"/>
      <c r="D8264" s="29" t="s">
        <v>4156</v>
      </c>
      <c r="E8264" s="29"/>
      <c r="F8264" s="29" t="s">
        <v>2998</v>
      </c>
      <c r="G8264" s="29" t="s">
        <v>2999</v>
      </c>
      <c r="H8264" s="29" t="s">
        <v>3006</v>
      </c>
      <c r="I8264" s="29"/>
      <c r="J8264" s="29" t="s">
        <v>757</v>
      </c>
      <c r="K8264" s="29"/>
      <c r="L8264" s="29" t="s">
        <v>1062</v>
      </c>
      <c r="M8264" s="29" t="s">
        <v>6656</v>
      </c>
      <c r="N8264" s="29" t="s">
        <v>1027</v>
      </c>
      <c r="O8264" s="29"/>
      <c r="P8264" s="29" t="s">
        <v>13130</v>
      </c>
      <c r="Q8264" t="s">
        <v>2039</v>
      </c>
      <c r="R8264" t="s">
        <v>2635</v>
      </c>
      <c r="S8264">
        <v>37</v>
      </c>
      <c r="T8264" s="43" t="str">
        <f t="shared" si="356"/>
        <v>2021.036M.R.Rhabdoviridae_sprename.zip</v>
      </c>
      <c r="U8264" s="43" t="str">
        <f>HYPERLINK("https://ictv.global/taxonomy/taxondetails?taxnode_id=202201734","ictv.global=202201734")</f>
        <v>ictv.global=202201734</v>
      </c>
    </row>
    <row r="8265" spans="1:21">
      <c r="A8265">
        <v>8264</v>
      </c>
      <c r="B8265" s="29" t="s">
        <v>3223</v>
      </c>
      <c r="C8265" s="29"/>
      <c r="D8265" s="29" t="s">
        <v>4156</v>
      </c>
      <c r="E8265" s="29"/>
      <c r="F8265" s="29" t="s">
        <v>2998</v>
      </c>
      <c r="G8265" s="29" t="s">
        <v>2999</v>
      </c>
      <c r="H8265" s="29" t="s">
        <v>3006</v>
      </c>
      <c r="I8265" s="29"/>
      <c r="J8265" s="29" t="s">
        <v>757</v>
      </c>
      <c r="K8265" s="29"/>
      <c r="L8265" s="29" t="s">
        <v>1062</v>
      </c>
      <c r="M8265" s="29" t="s">
        <v>6656</v>
      </c>
      <c r="N8265" s="29" t="s">
        <v>6659</v>
      </c>
      <c r="O8265" s="29"/>
      <c r="P8265" s="29" t="s">
        <v>13131</v>
      </c>
      <c r="Q8265" t="s">
        <v>2039</v>
      </c>
      <c r="R8265" t="s">
        <v>2635</v>
      </c>
      <c r="S8265">
        <v>37</v>
      </c>
      <c r="T8265" s="43" t="str">
        <f t="shared" si="356"/>
        <v>2021.036M.R.Rhabdoviridae_sprename.zip</v>
      </c>
      <c r="U8265" s="43" t="str">
        <f>HYPERLINK("https://ictv.global/taxonomy/taxondetails?taxnode_id=202208757","ictv.global=202208757")</f>
        <v>ictv.global=202208757</v>
      </c>
    </row>
    <row r="8266" spans="1:21">
      <c r="A8266">
        <v>8265</v>
      </c>
      <c r="B8266" s="29" t="s">
        <v>3223</v>
      </c>
      <c r="C8266" s="29"/>
      <c r="D8266" s="29" t="s">
        <v>4156</v>
      </c>
      <c r="E8266" s="29"/>
      <c r="F8266" s="29" t="s">
        <v>2998</v>
      </c>
      <c r="G8266" s="29" t="s">
        <v>2999</v>
      </c>
      <c r="H8266" s="29" t="s">
        <v>3006</v>
      </c>
      <c r="I8266" s="29"/>
      <c r="J8266" s="29" t="s">
        <v>757</v>
      </c>
      <c r="K8266" s="29"/>
      <c r="L8266" s="29" t="s">
        <v>1062</v>
      </c>
      <c r="M8266" s="29" t="s">
        <v>6656</v>
      </c>
      <c r="N8266" s="29" t="s">
        <v>6659</v>
      </c>
      <c r="O8266" s="29"/>
      <c r="P8266" s="29" t="s">
        <v>13132</v>
      </c>
      <c r="Q8266" t="s">
        <v>2039</v>
      </c>
      <c r="R8266" t="s">
        <v>2635</v>
      </c>
      <c r="S8266">
        <v>37</v>
      </c>
      <c r="T8266" s="43" t="str">
        <f t="shared" si="356"/>
        <v>2021.036M.R.Rhabdoviridae_sprename.zip</v>
      </c>
      <c r="U8266" s="43" t="str">
        <f>HYPERLINK("https://ictv.global/taxonomy/taxondetails?taxnode_id=202208758","ictv.global=202208758")</f>
        <v>ictv.global=202208758</v>
      </c>
    </row>
    <row r="8267" spans="1:21">
      <c r="A8267">
        <v>8266</v>
      </c>
      <c r="B8267" s="29" t="s">
        <v>3223</v>
      </c>
      <c r="C8267" s="29"/>
      <c r="D8267" s="29" t="s">
        <v>4156</v>
      </c>
      <c r="E8267" s="29"/>
      <c r="F8267" s="29" t="s">
        <v>2998</v>
      </c>
      <c r="G8267" s="29" t="s">
        <v>2999</v>
      </c>
      <c r="H8267" s="29" t="s">
        <v>3006</v>
      </c>
      <c r="I8267" s="29"/>
      <c r="J8267" s="29" t="s">
        <v>757</v>
      </c>
      <c r="K8267" s="29"/>
      <c r="L8267" s="29" t="s">
        <v>1062</v>
      </c>
      <c r="M8267" s="29" t="s">
        <v>6656</v>
      </c>
      <c r="N8267" s="29" t="s">
        <v>4220</v>
      </c>
      <c r="O8267" s="29"/>
      <c r="P8267" s="29" t="s">
        <v>13133</v>
      </c>
      <c r="Q8267" t="s">
        <v>2039</v>
      </c>
      <c r="R8267" t="s">
        <v>2635</v>
      </c>
      <c r="S8267">
        <v>37</v>
      </c>
      <c r="T8267" s="43" t="str">
        <f t="shared" si="356"/>
        <v>2021.036M.R.Rhabdoviridae_sprename.zip</v>
      </c>
      <c r="U8267" s="43" t="str">
        <f>HYPERLINK("https://ictv.global/taxonomy/taxondetails?taxnode_id=202201785","ictv.global=202201785")</f>
        <v>ictv.global=202201785</v>
      </c>
    </row>
    <row r="8268" spans="1:21">
      <c r="A8268">
        <v>8267</v>
      </c>
      <c r="B8268" s="29" t="s">
        <v>3223</v>
      </c>
      <c r="C8268" s="29"/>
      <c r="D8268" s="29" t="s">
        <v>4156</v>
      </c>
      <c r="E8268" s="29"/>
      <c r="F8268" s="29" t="s">
        <v>2998</v>
      </c>
      <c r="G8268" s="29" t="s">
        <v>2999</v>
      </c>
      <c r="H8268" s="29" t="s">
        <v>3006</v>
      </c>
      <c r="I8268" s="29"/>
      <c r="J8268" s="29" t="s">
        <v>757</v>
      </c>
      <c r="K8268" s="29"/>
      <c r="L8268" s="29" t="s">
        <v>1062</v>
      </c>
      <c r="M8268" s="29" t="s">
        <v>6656</v>
      </c>
      <c r="N8268" s="29" t="s">
        <v>4221</v>
      </c>
      <c r="O8268" s="29"/>
      <c r="P8268" s="29" t="s">
        <v>13134</v>
      </c>
      <c r="Q8268" t="s">
        <v>2039</v>
      </c>
      <c r="R8268" t="s">
        <v>2635</v>
      </c>
      <c r="S8268">
        <v>37</v>
      </c>
      <c r="T8268" s="43" t="str">
        <f t="shared" si="356"/>
        <v>2021.036M.R.Rhabdoviridae_sprename.zip</v>
      </c>
      <c r="U8268" s="43" t="str">
        <f>HYPERLINK("https://ictv.global/taxonomy/taxondetails?taxnode_id=202209154","ictv.global=202209154")</f>
        <v>ictv.global=202209154</v>
      </c>
    </row>
    <row r="8269" spans="1:21">
      <c r="A8269">
        <v>8268</v>
      </c>
      <c r="B8269" s="29" t="s">
        <v>3223</v>
      </c>
      <c r="C8269" s="29"/>
      <c r="D8269" s="29" t="s">
        <v>4156</v>
      </c>
      <c r="E8269" s="29"/>
      <c r="F8269" s="29" t="s">
        <v>2998</v>
      </c>
      <c r="G8269" s="29" t="s">
        <v>2999</v>
      </c>
      <c r="H8269" s="29" t="s">
        <v>3006</v>
      </c>
      <c r="I8269" s="29"/>
      <c r="J8269" s="29" t="s">
        <v>757</v>
      </c>
      <c r="K8269" s="29"/>
      <c r="L8269" s="29" t="s">
        <v>1062</v>
      </c>
      <c r="M8269" s="29" t="s">
        <v>6656</v>
      </c>
      <c r="N8269" s="29" t="s">
        <v>4221</v>
      </c>
      <c r="O8269" s="29"/>
      <c r="P8269" s="29" t="s">
        <v>13135</v>
      </c>
      <c r="Q8269" t="s">
        <v>2039</v>
      </c>
      <c r="R8269" t="s">
        <v>2635</v>
      </c>
      <c r="S8269">
        <v>37</v>
      </c>
      <c r="T8269" s="43" t="str">
        <f t="shared" si="356"/>
        <v>2021.036M.R.Rhabdoviridae_sprename.zip</v>
      </c>
      <c r="U8269" s="43" t="str">
        <f>HYPERLINK("https://ictv.global/taxonomy/taxondetails?taxnode_id=202207696","ictv.global=202207696")</f>
        <v>ictv.global=202207696</v>
      </c>
    </row>
    <row r="8270" spans="1:21">
      <c r="A8270">
        <v>8269</v>
      </c>
      <c r="B8270" s="29" t="s">
        <v>3223</v>
      </c>
      <c r="C8270" s="29"/>
      <c r="D8270" s="29" t="s">
        <v>4156</v>
      </c>
      <c r="E8270" s="29"/>
      <c r="F8270" s="29" t="s">
        <v>2998</v>
      </c>
      <c r="G8270" s="29" t="s">
        <v>2999</v>
      </c>
      <c r="H8270" s="29" t="s">
        <v>3006</v>
      </c>
      <c r="I8270" s="29"/>
      <c r="J8270" s="29" t="s">
        <v>757</v>
      </c>
      <c r="K8270" s="29"/>
      <c r="L8270" s="29" t="s">
        <v>1062</v>
      </c>
      <c r="M8270" s="29" t="s">
        <v>6656</v>
      </c>
      <c r="N8270" s="29" t="s">
        <v>4221</v>
      </c>
      <c r="O8270" s="29"/>
      <c r="P8270" s="29" t="s">
        <v>13136</v>
      </c>
      <c r="Q8270" t="s">
        <v>2039</v>
      </c>
      <c r="R8270" t="s">
        <v>2635</v>
      </c>
      <c r="S8270">
        <v>37</v>
      </c>
      <c r="T8270" s="43" t="str">
        <f t="shared" si="356"/>
        <v>2021.036M.R.Rhabdoviridae_sprename.zip</v>
      </c>
      <c r="U8270" s="43" t="str">
        <f>HYPERLINK("https://ictv.global/taxonomy/taxondetails?taxnode_id=202209155","ictv.global=202209155")</f>
        <v>ictv.global=202209155</v>
      </c>
    </row>
    <row r="8271" spans="1:21">
      <c r="A8271">
        <v>8270</v>
      </c>
      <c r="B8271" s="29" t="s">
        <v>3223</v>
      </c>
      <c r="C8271" s="29"/>
      <c r="D8271" s="29" t="s">
        <v>4156</v>
      </c>
      <c r="E8271" s="29"/>
      <c r="F8271" s="29" t="s">
        <v>2998</v>
      </c>
      <c r="G8271" s="29" t="s">
        <v>2999</v>
      </c>
      <c r="H8271" s="29" t="s">
        <v>3006</v>
      </c>
      <c r="I8271" s="29"/>
      <c r="J8271" s="29" t="s">
        <v>757</v>
      </c>
      <c r="K8271" s="29"/>
      <c r="L8271" s="29" t="s">
        <v>1062</v>
      </c>
      <c r="M8271" s="29" t="s">
        <v>6656</v>
      </c>
      <c r="N8271" s="29" t="s">
        <v>4221</v>
      </c>
      <c r="O8271" s="29"/>
      <c r="P8271" s="29" t="s">
        <v>13137</v>
      </c>
      <c r="Q8271" t="s">
        <v>2039</v>
      </c>
      <c r="R8271" t="s">
        <v>2635</v>
      </c>
      <c r="S8271">
        <v>37</v>
      </c>
      <c r="T8271" s="43" t="str">
        <f t="shared" si="356"/>
        <v>2021.036M.R.Rhabdoviridae_sprename.zip</v>
      </c>
      <c r="U8271" s="43" t="str">
        <f>HYPERLINK("https://ictv.global/taxonomy/taxondetails?taxnode_id=202207697","ictv.global=202207697")</f>
        <v>ictv.global=202207697</v>
      </c>
    </row>
    <row r="8272" spans="1:21">
      <c r="A8272">
        <v>8271</v>
      </c>
      <c r="B8272" s="29" t="s">
        <v>3223</v>
      </c>
      <c r="C8272" s="29"/>
      <c r="D8272" s="29" t="s">
        <v>4156</v>
      </c>
      <c r="E8272" s="29"/>
      <c r="F8272" s="29" t="s">
        <v>2998</v>
      </c>
      <c r="G8272" s="29" t="s">
        <v>2999</v>
      </c>
      <c r="H8272" s="29" t="s">
        <v>3006</v>
      </c>
      <c r="I8272" s="29"/>
      <c r="J8272" s="29" t="s">
        <v>757</v>
      </c>
      <c r="K8272" s="29"/>
      <c r="L8272" s="29" t="s">
        <v>1062</v>
      </c>
      <c r="M8272" s="29" t="s">
        <v>6656</v>
      </c>
      <c r="N8272" s="29" t="s">
        <v>4221</v>
      </c>
      <c r="O8272" s="29"/>
      <c r="P8272" s="29" t="s">
        <v>13138</v>
      </c>
      <c r="Q8272" t="s">
        <v>2039</v>
      </c>
      <c r="R8272" t="s">
        <v>2635</v>
      </c>
      <c r="S8272">
        <v>37</v>
      </c>
      <c r="T8272" s="43" t="str">
        <f t="shared" si="356"/>
        <v>2021.036M.R.Rhabdoviridae_sprename.zip</v>
      </c>
      <c r="U8272" s="43" t="str">
        <f>HYPERLINK("https://ictv.global/taxonomy/taxondetails?taxnode_id=202207693","ictv.global=202207693")</f>
        <v>ictv.global=202207693</v>
      </c>
    </row>
    <row r="8273" spans="1:21">
      <c r="A8273">
        <v>8272</v>
      </c>
      <c r="B8273" s="29" t="s">
        <v>3223</v>
      </c>
      <c r="C8273" s="29"/>
      <c r="D8273" s="29" t="s">
        <v>4156</v>
      </c>
      <c r="E8273" s="29"/>
      <c r="F8273" s="29" t="s">
        <v>2998</v>
      </c>
      <c r="G8273" s="29" t="s">
        <v>2999</v>
      </c>
      <c r="H8273" s="29" t="s">
        <v>3006</v>
      </c>
      <c r="I8273" s="29"/>
      <c r="J8273" s="29" t="s">
        <v>757</v>
      </c>
      <c r="K8273" s="29"/>
      <c r="L8273" s="29" t="s">
        <v>1062</v>
      </c>
      <c r="M8273" s="29" t="s">
        <v>6656</v>
      </c>
      <c r="N8273" s="29" t="s">
        <v>4221</v>
      </c>
      <c r="O8273" s="29"/>
      <c r="P8273" s="29" t="s">
        <v>13139</v>
      </c>
      <c r="Q8273" t="s">
        <v>2039</v>
      </c>
      <c r="R8273" t="s">
        <v>2635</v>
      </c>
      <c r="S8273">
        <v>37</v>
      </c>
      <c r="T8273" s="43" t="str">
        <f t="shared" si="356"/>
        <v>2021.036M.R.Rhabdoviridae_sprename.zip</v>
      </c>
      <c r="U8273" s="43" t="str">
        <f>HYPERLINK("https://ictv.global/taxonomy/taxondetails?taxnode_id=202209153","ictv.global=202209153")</f>
        <v>ictv.global=202209153</v>
      </c>
    </row>
    <row r="8274" spans="1:21">
      <c r="A8274">
        <v>8273</v>
      </c>
      <c r="B8274" s="29" t="s">
        <v>3223</v>
      </c>
      <c r="C8274" s="29"/>
      <c r="D8274" s="29" t="s">
        <v>4156</v>
      </c>
      <c r="E8274" s="29"/>
      <c r="F8274" s="29" t="s">
        <v>2998</v>
      </c>
      <c r="G8274" s="29" t="s">
        <v>2999</v>
      </c>
      <c r="H8274" s="29" t="s">
        <v>3006</v>
      </c>
      <c r="I8274" s="29"/>
      <c r="J8274" s="29" t="s">
        <v>757</v>
      </c>
      <c r="K8274" s="29"/>
      <c r="L8274" s="29" t="s">
        <v>1062</v>
      </c>
      <c r="M8274" s="29" t="s">
        <v>6656</v>
      </c>
      <c r="N8274" s="29" t="s">
        <v>4221</v>
      </c>
      <c r="O8274" s="29"/>
      <c r="P8274" s="29" t="s">
        <v>13140</v>
      </c>
      <c r="Q8274" t="s">
        <v>2039</v>
      </c>
      <c r="R8274" t="s">
        <v>2635</v>
      </c>
      <c r="S8274">
        <v>37</v>
      </c>
      <c r="T8274" s="43" t="str">
        <f t="shared" si="356"/>
        <v>2021.036M.R.Rhabdoviridae_sprename.zip</v>
      </c>
      <c r="U8274" s="43" t="str">
        <f>HYPERLINK("https://ictv.global/taxonomy/taxondetails?taxnode_id=202207695","ictv.global=202207695")</f>
        <v>ictv.global=202207695</v>
      </c>
    </row>
    <row r="8275" spans="1:21">
      <c r="A8275">
        <v>8274</v>
      </c>
      <c r="B8275" s="29" t="s">
        <v>3223</v>
      </c>
      <c r="C8275" s="29"/>
      <c r="D8275" s="29" t="s">
        <v>4156</v>
      </c>
      <c r="E8275" s="29"/>
      <c r="F8275" s="29" t="s">
        <v>2998</v>
      </c>
      <c r="G8275" s="29" t="s">
        <v>2999</v>
      </c>
      <c r="H8275" s="29" t="s">
        <v>3006</v>
      </c>
      <c r="I8275" s="29"/>
      <c r="J8275" s="29" t="s">
        <v>757</v>
      </c>
      <c r="K8275" s="29"/>
      <c r="L8275" s="29" t="s">
        <v>1062</v>
      </c>
      <c r="M8275" s="29" t="s">
        <v>6656</v>
      </c>
      <c r="N8275" s="29" t="s">
        <v>4221</v>
      </c>
      <c r="O8275" s="29"/>
      <c r="P8275" s="29" t="s">
        <v>13141</v>
      </c>
      <c r="Q8275" t="s">
        <v>2039</v>
      </c>
      <c r="R8275" t="s">
        <v>2635</v>
      </c>
      <c r="S8275">
        <v>37</v>
      </c>
      <c r="T8275" s="43" t="str">
        <f t="shared" si="356"/>
        <v>2021.036M.R.Rhabdoviridae_sprename.zip</v>
      </c>
      <c r="U8275" s="43" t="str">
        <f>HYPERLINK("https://ictv.global/taxonomy/taxondetails?taxnode_id=202207694","ictv.global=202207694")</f>
        <v>ictv.global=202207694</v>
      </c>
    </row>
    <row r="8276" spans="1:21">
      <c r="A8276">
        <v>8275</v>
      </c>
      <c r="B8276" s="29" t="s">
        <v>3223</v>
      </c>
      <c r="C8276" s="29"/>
      <c r="D8276" s="29" t="s">
        <v>4156</v>
      </c>
      <c r="E8276" s="29"/>
      <c r="F8276" s="29" t="s">
        <v>2998</v>
      </c>
      <c r="G8276" s="29" t="s">
        <v>2999</v>
      </c>
      <c r="H8276" s="29" t="s">
        <v>3006</v>
      </c>
      <c r="I8276" s="29"/>
      <c r="J8276" s="29" t="s">
        <v>757</v>
      </c>
      <c r="K8276" s="29"/>
      <c r="L8276" s="29" t="s">
        <v>1062</v>
      </c>
      <c r="M8276" s="29" t="s">
        <v>6656</v>
      </c>
      <c r="N8276" s="29" t="s">
        <v>1603</v>
      </c>
      <c r="O8276" s="29"/>
      <c r="P8276" s="29" t="s">
        <v>13142</v>
      </c>
      <c r="Q8276" t="s">
        <v>2039</v>
      </c>
      <c r="R8276" t="s">
        <v>2635</v>
      </c>
      <c r="S8276">
        <v>37</v>
      </c>
      <c r="T8276" s="43" t="str">
        <f t="shared" si="356"/>
        <v>2021.036M.R.Rhabdoviridae_sprename.zip</v>
      </c>
      <c r="U8276" s="43" t="str">
        <f>HYPERLINK("https://ictv.global/taxonomy/taxondetails?taxnode_id=202201753","ictv.global=202201753")</f>
        <v>ictv.global=202201753</v>
      </c>
    </row>
    <row r="8277" spans="1:21">
      <c r="A8277">
        <v>8276</v>
      </c>
      <c r="B8277" s="29" t="s">
        <v>3223</v>
      </c>
      <c r="C8277" s="29"/>
      <c r="D8277" s="29" t="s">
        <v>4156</v>
      </c>
      <c r="E8277" s="29"/>
      <c r="F8277" s="29" t="s">
        <v>2998</v>
      </c>
      <c r="G8277" s="29" t="s">
        <v>2999</v>
      </c>
      <c r="H8277" s="29" t="s">
        <v>3006</v>
      </c>
      <c r="I8277" s="29"/>
      <c r="J8277" s="29" t="s">
        <v>757</v>
      </c>
      <c r="K8277" s="29"/>
      <c r="L8277" s="29" t="s">
        <v>1062</v>
      </c>
      <c r="M8277" s="29" t="s">
        <v>6656</v>
      </c>
      <c r="N8277" s="29" t="s">
        <v>1603</v>
      </c>
      <c r="O8277" s="29"/>
      <c r="P8277" s="29" t="s">
        <v>13143</v>
      </c>
      <c r="Q8277" t="s">
        <v>2039</v>
      </c>
      <c r="R8277" t="s">
        <v>2632</v>
      </c>
      <c r="S8277">
        <v>37</v>
      </c>
      <c r="T8277" s="43" t="str">
        <f>HYPERLINK("https://ictv.global/ictv/proposals/2021.003M.R.Alpharhabdovirinae_3ngen_7nsp.zip","2021.003M.R.Alpharhabdovirinae_3ngen_7nsp.zip")</f>
        <v>2021.003M.R.Alpharhabdovirinae_3ngen_7nsp.zip</v>
      </c>
      <c r="U8277" s="43" t="str">
        <f>HYPERLINK("https://ictv.global/taxonomy/taxondetails?taxnode_id=202213313","ictv.global=202213313")</f>
        <v>ictv.global=202213313</v>
      </c>
    </row>
    <row r="8278" spans="1:21">
      <c r="A8278">
        <v>8277</v>
      </c>
      <c r="B8278" s="29" t="s">
        <v>3223</v>
      </c>
      <c r="C8278" s="29"/>
      <c r="D8278" s="29" t="s">
        <v>4156</v>
      </c>
      <c r="E8278" s="29"/>
      <c r="F8278" s="29" t="s">
        <v>2998</v>
      </c>
      <c r="G8278" s="29" t="s">
        <v>2999</v>
      </c>
      <c r="H8278" s="29" t="s">
        <v>3006</v>
      </c>
      <c r="I8278" s="29"/>
      <c r="J8278" s="29" t="s">
        <v>757</v>
      </c>
      <c r="K8278" s="29"/>
      <c r="L8278" s="29" t="s">
        <v>1062</v>
      </c>
      <c r="M8278" s="29" t="s">
        <v>6656</v>
      </c>
      <c r="N8278" s="29" t="s">
        <v>1603</v>
      </c>
      <c r="O8278" s="29"/>
      <c r="P8278" s="29" t="s">
        <v>13144</v>
      </c>
      <c r="Q8278" t="s">
        <v>2039</v>
      </c>
      <c r="R8278" t="s">
        <v>2635</v>
      </c>
      <c r="S8278">
        <v>37</v>
      </c>
      <c r="T8278" s="43" t="str">
        <f>HYPERLINK("https://ictv.global/ictv/proposals/2021.036M.R.Rhabdoviridae_sprename.zip","2021.036M.R.Rhabdoviridae_sprename.zip")</f>
        <v>2021.036M.R.Rhabdoviridae_sprename.zip</v>
      </c>
      <c r="U8278" s="43" t="str">
        <f>HYPERLINK("https://ictv.global/taxonomy/taxondetails?taxnode_id=202201754","ictv.global=202201754")</f>
        <v>ictv.global=202201754</v>
      </c>
    </row>
    <row r="8279" spans="1:21">
      <c r="A8279">
        <v>8278</v>
      </c>
      <c r="B8279" s="29" t="s">
        <v>3223</v>
      </c>
      <c r="C8279" s="29"/>
      <c r="D8279" s="29" t="s">
        <v>4156</v>
      </c>
      <c r="E8279" s="29"/>
      <c r="F8279" s="29" t="s">
        <v>2998</v>
      </c>
      <c r="G8279" s="29" t="s">
        <v>2999</v>
      </c>
      <c r="H8279" s="29" t="s">
        <v>3006</v>
      </c>
      <c r="I8279" s="29"/>
      <c r="J8279" s="29" t="s">
        <v>757</v>
      </c>
      <c r="K8279" s="29"/>
      <c r="L8279" s="29" t="s">
        <v>1062</v>
      </c>
      <c r="M8279" s="29" t="s">
        <v>6656</v>
      </c>
      <c r="N8279" s="29" t="s">
        <v>1603</v>
      </c>
      <c r="O8279" s="29"/>
      <c r="P8279" s="29" t="s">
        <v>13145</v>
      </c>
      <c r="Q8279" t="s">
        <v>2039</v>
      </c>
      <c r="R8279" t="s">
        <v>2635</v>
      </c>
      <c r="S8279">
        <v>37</v>
      </c>
      <c r="T8279" s="43" t="str">
        <f>HYPERLINK("https://ictv.global/ictv/proposals/2021.036M.R.Rhabdoviridae_sprename.zip","2021.036M.R.Rhabdoviridae_sprename.zip")</f>
        <v>2021.036M.R.Rhabdoviridae_sprename.zip</v>
      </c>
      <c r="U8279" s="43" t="str">
        <f>HYPERLINK("https://ictv.global/taxonomy/taxondetails?taxnode_id=202201755","ictv.global=202201755")</f>
        <v>ictv.global=202201755</v>
      </c>
    </row>
    <row r="8280" spans="1:21">
      <c r="A8280">
        <v>8279</v>
      </c>
      <c r="B8280" s="29" t="s">
        <v>3223</v>
      </c>
      <c r="C8280" s="29"/>
      <c r="D8280" s="29" t="s">
        <v>4156</v>
      </c>
      <c r="E8280" s="29"/>
      <c r="F8280" s="29" t="s">
        <v>2998</v>
      </c>
      <c r="G8280" s="29" t="s">
        <v>2999</v>
      </c>
      <c r="H8280" s="29" t="s">
        <v>3006</v>
      </c>
      <c r="I8280" s="29"/>
      <c r="J8280" s="29" t="s">
        <v>757</v>
      </c>
      <c r="K8280" s="29"/>
      <c r="L8280" s="29" t="s">
        <v>1062</v>
      </c>
      <c r="M8280" s="29" t="s">
        <v>6656</v>
      </c>
      <c r="N8280" s="29" t="s">
        <v>13146</v>
      </c>
      <c r="O8280" s="29"/>
      <c r="P8280" s="29" t="s">
        <v>13147</v>
      </c>
      <c r="Q8280" t="s">
        <v>2039</v>
      </c>
      <c r="R8280" t="s">
        <v>2632</v>
      </c>
      <c r="S8280">
        <v>37</v>
      </c>
      <c r="T8280" s="43" t="str">
        <f>HYPERLINK("https://ictv.global/ictv/proposals/2021.035M.R.Rhabdoviridae_2ngen_2nsp.zip","2021.035M.R.Rhabdoviridae_2ngen_2nsp.zip")</f>
        <v>2021.035M.R.Rhabdoviridae_2ngen_2nsp.zip</v>
      </c>
      <c r="U8280" s="43" t="str">
        <f>HYPERLINK("https://ictv.global/taxonomy/taxondetails?taxnode_id=202212251","ictv.global=202212251")</f>
        <v>ictv.global=202212251</v>
      </c>
    </row>
    <row r="8281" spans="1:21">
      <c r="A8281">
        <v>8280</v>
      </c>
      <c r="B8281" s="29" t="s">
        <v>3223</v>
      </c>
      <c r="C8281" s="29"/>
      <c r="D8281" s="29" t="s">
        <v>4156</v>
      </c>
      <c r="E8281" s="29"/>
      <c r="F8281" s="29" t="s">
        <v>2998</v>
      </c>
      <c r="G8281" s="29" t="s">
        <v>2999</v>
      </c>
      <c r="H8281" s="29" t="s">
        <v>3006</v>
      </c>
      <c r="I8281" s="29"/>
      <c r="J8281" s="29" t="s">
        <v>757</v>
      </c>
      <c r="K8281" s="29"/>
      <c r="L8281" s="29" t="s">
        <v>1062</v>
      </c>
      <c r="M8281" s="29" t="s">
        <v>6656</v>
      </c>
      <c r="N8281" s="29" t="s">
        <v>4455</v>
      </c>
      <c r="O8281" s="29"/>
      <c r="P8281" s="29" t="s">
        <v>13148</v>
      </c>
      <c r="Q8281" t="s">
        <v>2039</v>
      </c>
      <c r="R8281" t="s">
        <v>2635</v>
      </c>
      <c r="S8281">
        <v>37</v>
      </c>
      <c r="T8281" s="43" t="str">
        <f>HYPERLINK("https://ictv.global/ictv/proposals/2021.036M.R.Rhabdoviridae_sprename.zip","2021.036M.R.Rhabdoviridae_sprename.zip")</f>
        <v>2021.036M.R.Rhabdoviridae_sprename.zip</v>
      </c>
      <c r="U8281" s="43" t="str">
        <f>HYPERLINK("https://ictv.global/taxonomy/taxondetails?taxnode_id=202207386","ictv.global=202207386")</f>
        <v>ictv.global=202207386</v>
      </c>
    </row>
    <row r="8282" spans="1:21">
      <c r="A8282">
        <v>8281</v>
      </c>
      <c r="B8282" s="29" t="s">
        <v>3223</v>
      </c>
      <c r="C8282" s="29"/>
      <c r="D8282" s="29" t="s">
        <v>4156</v>
      </c>
      <c r="E8282" s="29"/>
      <c r="F8282" s="29" t="s">
        <v>2998</v>
      </c>
      <c r="G8282" s="29" t="s">
        <v>2999</v>
      </c>
      <c r="H8282" s="29" t="s">
        <v>3006</v>
      </c>
      <c r="I8282" s="29"/>
      <c r="J8282" s="29" t="s">
        <v>757</v>
      </c>
      <c r="K8282" s="29"/>
      <c r="L8282" s="29" t="s">
        <v>1062</v>
      </c>
      <c r="M8282" s="29" t="s">
        <v>6656</v>
      </c>
      <c r="N8282" s="29" t="s">
        <v>4455</v>
      </c>
      <c r="O8282" s="29"/>
      <c r="P8282" s="29" t="s">
        <v>13149</v>
      </c>
      <c r="Q8282" t="s">
        <v>2039</v>
      </c>
      <c r="R8282" t="s">
        <v>2635</v>
      </c>
      <c r="S8282">
        <v>37</v>
      </c>
      <c r="T8282" s="43" t="str">
        <f>HYPERLINK("https://ictv.global/ictv/proposals/2021.036M.R.Rhabdoviridae_sprename.zip","2021.036M.R.Rhabdoviridae_sprename.zip")</f>
        <v>2021.036M.R.Rhabdoviridae_sprename.zip</v>
      </c>
      <c r="U8282" s="43" t="str">
        <f>HYPERLINK("https://ictv.global/taxonomy/taxondetails?taxnode_id=202207387","ictv.global=202207387")</f>
        <v>ictv.global=202207387</v>
      </c>
    </row>
    <row r="8283" spans="1:21">
      <c r="A8283">
        <v>8282</v>
      </c>
      <c r="B8283" s="29" t="s">
        <v>3223</v>
      </c>
      <c r="C8283" s="29"/>
      <c r="D8283" s="29" t="s">
        <v>4156</v>
      </c>
      <c r="E8283" s="29"/>
      <c r="F8283" s="29" t="s">
        <v>2998</v>
      </c>
      <c r="G8283" s="29" t="s">
        <v>2999</v>
      </c>
      <c r="H8283" s="29" t="s">
        <v>3006</v>
      </c>
      <c r="I8283" s="29"/>
      <c r="J8283" s="29" t="s">
        <v>757</v>
      </c>
      <c r="K8283" s="29"/>
      <c r="L8283" s="29" t="s">
        <v>1062</v>
      </c>
      <c r="M8283" s="29" t="s">
        <v>6656</v>
      </c>
      <c r="N8283" s="29" t="s">
        <v>4455</v>
      </c>
      <c r="O8283" s="29"/>
      <c r="P8283" s="29" t="s">
        <v>13150</v>
      </c>
      <c r="Q8283" t="s">
        <v>2039</v>
      </c>
      <c r="R8283" t="s">
        <v>2635</v>
      </c>
      <c r="S8283">
        <v>37</v>
      </c>
      <c r="T8283" s="43" t="str">
        <f>HYPERLINK("https://ictv.global/ictv/proposals/2021.036M.R.Rhabdoviridae_sprename.zip","2021.036M.R.Rhabdoviridae_sprename.zip")</f>
        <v>2021.036M.R.Rhabdoviridae_sprename.zip</v>
      </c>
      <c r="U8283" s="43" t="str">
        <f>HYPERLINK("https://ictv.global/taxonomy/taxondetails?taxnode_id=202207385","ictv.global=202207385")</f>
        <v>ictv.global=202207385</v>
      </c>
    </row>
    <row r="8284" spans="1:21">
      <c r="A8284">
        <v>8283</v>
      </c>
      <c r="B8284" s="29" t="s">
        <v>3223</v>
      </c>
      <c r="C8284" s="29"/>
      <c r="D8284" s="29" t="s">
        <v>4156</v>
      </c>
      <c r="E8284" s="29"/>
      <c r="F8284" s="29" t="s">
        <v>2998</v>
      </c>
      <c r="G8284" s="29" t="s">
        <v>2999</v>
      </c>
      <c r="H8284" s="29" t="s">
        <v>3006</v>
      </c>
      <c r="I8284" s="29"/>
      <c r="J8284" s="29" t="s">
        <v>757</v>
      </c>
      <c r="K8284" s="29"/>
      <c r="L8284" s="29" t="s">
        <v>1062</v>
      </c>
      <c r="M8284" s="29" t="s">
        <v>6656</v>
      </c>
      <c r="N8284" s="29" t="s">
        <v>4455</v>
      </c>
      <c r="O8284" s="29"/>
      <c r="P8284" s="29" t="s">
        <v>13151</v>
      </c>
      <c r="Q8284" t="s">
        <v>2039</v>
      </c>
      <c r="R8284" t="s">
        <v>2635</v>
      </c>
      <c r="S8284">
        <v>37</v>
      </c>
      <c r="T8284" s="43" t="str">
        <f>HYPERLINK("https://ictv.global/ictv/proposals/2021.036M.R.Rhabdoviridae_sprename.zip","2021.036M.R.Rhabdoviridae_sprename.zip")</f>
        <v>2021.036M.R.Rhabdoviridae_sprename.zip</v>
      </c>
      <c r="U8284" s="43" t="str">
        <f>HYPERLINK("https://ictv.global/taxonomy/taxondetails?taxnode_id=202207384","ictv.global=202207384")</f>
        <v>ictv.global=202207384</v>
      </c>
    </row>
    <row r="8285" spans="1:21">
      <c r="A8285">
        <v>8284</v>
      </c>
      <c r="B8285" s="29" t="s">
        <v>3223</v>
      </c>
      <c r="C8285" s="29"/>
      <c r="D8285" s="29" t="s">
        <v>4156</v>
      </c>
      <c r="E8285" s="29"/>
      <c r="F8285" s="29" t="s">
        <v>2998</v>
      </c>
      <c r="G8285" s="29" t="s">
        <v>2999</v>
      </c>
      <c r="H8285" s="29" t="s">
        <v>3006</v>
      </c>
      <c r="I8285" s="29"/>
      <c r="J8285" s="29" t="s">
        <v>757</v>
      </c>
      <c r="K8285" s="29"/>
      <c r="L8285" s="29" t="s">
        <v>1062</v>
      </c>
      <c r="M8285" s="29" t="s">
        <v>6656</v>
      </c>
      <c r="N8285" s="29" t="s">
        <v>13152</v>
      </c>
      <c r="O8285" s="29"/>
      <c r="P8285" s="29" t="s">
        <v>13153</v>
      </c>
      <c r="Q8285" t="s">
        <v>2039</v>
      </c>
      <c r="R8285" t="s">
        <v>2632</v>
      </c>
      <c r="S8285">
        <v>37</v>
      </c>
      <c r="T8285" s="43" t="str">
        <f>HYPERLINK("https://ictv.global/ictv/proposals/2021.003M.R.Alpharhabdovirinae_3ngen_7nsp.zip","2021.003M.R.Alpharhabdovirinae_3ngen_7nsp.zip")</f>
        <v>2021.003M.R.Alpharhabdovirinae_3ngen_7nsp.zip</v>
      </c>
      <c r="U8285" s="43" t="str">
        <f>HYPERLINK("https://ictv.global/taxonomy/taxondetails?taxnode_id=202213322","ictv.global=202213322")</f>
        <v>ictv.global=202213322</v>
      </c>
    </row>
    <row r="8286" spans="1:21">
      <c r="A8286">
        <v>8285</v>
      </c>
      <c r="B8286" s="29" t="s">
        <v>3223</v>
      </c>
      <c r="C8286" s="29"/>
      <c r="D8286" s="29" t="s">
        <v>4156</v>
      </c>
      <c r="E8286" s="29"/>
      <c r="F8286" s="29" t="s">
        <v>2998</v>
      </c>
      <c r="G8286" s="29" t="s">
        <v>2999</v>
      </c>
      <c r="H8286" s="29" t="s">
        <v>3006</v>
      </c>
      <c r="I8286" s="29"/>
      <c r="J8286" s="29" t="s">
        <v>757</v>
      </c>
      <c r="K8286" s="29"/>
      <c r="L8286" s="29" t="s">
        <v>1062</v>
      </c>
      <c r="M8286" s="29" t="s">
        <v>6656</v>
      </c>
      <c r="N8286" s="29" t="s">
        <v>13152</v>
      </c>
      <c r="O8286" s="29"/>
      <c r="P8286" s="29" t="s">
        <v>13154</v>
      </c>
      <c r="Q8286" t="s">
        <v>2039</v>
      </c>
      <c r="R8286" t="s">
        <v>2632</v>
      </c>
      <c r="S8286">
        <v>37</v>
      </c>
      <c r="T8286" s="43" t="str">
        <f>HYPERLINK("https://ictv.global/ictv/proposals/2021.003M.R.Alpharhabdovirinae_3ngen_7nsp.zip","2021.003M.R.Alpharhabdovirinae_3ngen_7nsp.zip")</f>
        <v>2021.003M.R.Alpharhabdovirinae_3ngen_7nsp.zip</v>
      </c>
      <c r="U8286" s="43" t="str">
        <f>HYPERLINK("https://ictv.global/taxonomy/taxondetails?taxnode_id=202213321","ictv.global=202213321")</f>
        <v>ictv.global=202213321</v>
      </c>
    </row>
    <row r="8287" spans="1:21">
      <c r="A8287">
        <v>8286</v>
      </c>
      <c r="B8287" s="29" t="s">
        <v>3223</v>
      </c>
      <c r="C8287" s="29"/>
      <c r="D8287" s="29" t="s">
        <v>4156</v>
      </c>
      <c r="E8287" s="29"/>
      <c r="F8287" s="29" t="s">
        <v>2998</v>
      </c>
      <c r="G8287" s="29" t="s">
        <v>2999</v>
      </c>
      <c r="H8287" s="29" t="s">
        <v>3006</v>
      </c>
      <c r="I8287" s="29"/>
      <c r="J8287" s="29" t="s">
        <v>757</v>
      </c>
      <c r="K8287" s="29"/>
      <c r="L8287" s="29" t="s">
        <v>1062</v>
      </c>
      <c r="M8287" s="29" t="s">
        <v>6656</v>
      </c>
      <c r="N8287" s="29" t="s">
        <v>1604</v>
      </c>
      <c r="O8287" s="29"/>
      <c r="P8287" s="29" t="s">
        <v>13155</v>
      </c>
      <c r="Q8287" t="s">
        <v>2039</v>
      </c>
      <c r="R8287" t="s">
        <v>2635</v>
      </c>
      <c r="S8287">
        <v>37</v>
      </c>
      <c r="T8287" s="43" t="str">
        <f t="shared" ref="T8287:T8299" si="357">HYPERLINK("https://ictv.global/ictv/proposals/2021.036M.R.Rhabdoviridae_sprename.zip","2021.036M.R.Rhabdoviridae_sprename.zip")</f>
        <v>2021.036M.R.Rhabdoviridae_sprename.zip</v>
      </c>
      <c r="U8287" s="43" t="str">
        <f>HYPERLINK("https://ictv.global/taxonomy/taxondetails?taxnode_id=202201757","ictv.global=202201757")</f>
        <v>ictv.global=202201757</v>
      </c>
    </row>
    <row r="8288" spans="1:21">
      <c r="A8288">
        <v>8287</v>
      </c>
      <c r="B8288" s="29" t="s">
        <v>3223</v>
      </c>
      <c r="C8288" s="29"/>
      <c r="D8288" s="29" t="s">
        <v>4156</v>
      </c>
      <c r="E8288" s="29"/>
      <c r="F8288" s="29" t="s">
        <v>2998</v>
      </c>
      <c r="G8288" s="29" t="s">
        <v>2999</v>
      </c>
      <c r="H8288" s="29" t="s">
        <v>3006</v>
      </c>
      <c r="I8288" s="29"/>
      <c r="J8288" s="29" t="s">
        <v>757</v>
      </c>
      <c r="K8288" s="29"/>
      <c r="L8288" s="29" t="s">
        <v>1062</v>
      </c>
      <c r="M8288" s="29" t="s">
        <v>6656</v>
      </c>
      <c r="N8288" s="29" t="s">
        <v>1604</v>
      </c>
      <c r="O8288" s="29"/>
      <c r="P8288" s="29" t="s">
        <v>13156</v>
      </c>
      <c r="Q8288" t="s">
        <v>2039</v>
      </c>
      <c r="R8288" t="s">
        <v>2635</v>
      </c>
      <c r="S8288">
        <v>37</v>
      </c>
      <c r="T8288" s="43" t="str">
        <f t="shared" si="357"/>
        <v>2021.036M.R.Rhabdoviridae_sprename.zip</v>
      </c>
      <c r="U8288" s="43" t="str">
        <f>HYPERLINK("https://ictv.global/taxonomy/taxondetails?taxnode_id=202201758","ictv.global=202201758")</f>
        <v>ictv.global=202201758</v>
      </c>
    </row>
    <row r="8289" spans="1:21">
      <c r="A8289">
        <v>8288</v>
      </c>
      <c r="B8289" s="29" t="s">
        <v>3223</v>
      </c>
      <c r="C8289" s="29"/>
      <c r="D8289" s="29" t="s">
        <v>4156</v>
      </c>
      <c r="E8289" s="29"/>
      <c r="F8289" s="29" t="s">
        <v>2998</v>
      </c>
      <c r="G8289" s="29" t="s">
        <v>2999</v>
      </c>
      <c r="H8289" s="29" t="s">
        <v>3006</v>
      </c>
      <c r="I8289" s="29"/>
      <c r="J8289" s="29" t="s">
        <v>757</v>
      </c>
      <c r="K8289" s="29"/>
      <c r="L8289" s="29" t="s">
        <v>1062</v>
      </c>
      <c r="M8289" s="29" t="s">
        <v>6656</v>
      </c>
      <c r="N8289" s="29" t="s">
        <v>1604</v>
      </c>
      <c r="O8289" s="29"/>
      <c r="P8289" s="29" t="s">
        <v>13157</v>
      </c>
      <c r="Q8289" t="s">
        <v>2039</v>
      </c>
      <c r="R8289" t="s">
        <v>2635</v>
      </c>
      <c r="S8289">
        <v>37</v>
      </c>
      <c r="T8289" s="43" t="str">
        <f t="shared" si="357"/>
        <v>2021.036M.R.Rhabdoviridae_sprename.zip</v>
      </c>
      <c r="U8289" s="43" t="str">
        <f>HYPERLINK("https://ictv.global/taxonomy/taxondetails?taxnode_id=202208829","ictv.global=202208829")</f>
        <v>ictv.global=202208829</v>
      </c>
    </row>
    <row r="8290" spans="1:21">
      <c r="A8290">
        <v>8289</v>
      </c>
      <c r="B8290" s="29" t="s">
        <v>3223</v>
      </c>
      <c r="C8290" s="29"/>
      <c r="D8290" s="29" t="s">
        <v>4156</v>
      </c>
      <c r="E8290" s="29"/>
      <c r="F8290" s="29" t="s">
        <v>2998</v>
      </c>
      <c r="G8290" s="29" t="s">
        <v>2999</v>
      </c>
      <c r="H8290" s="29" t="s">
        <v>3006</v>
      </c>
      <c r="I8290" s="29"/>
      <c r="J8290" s="29" t="s">
        <v>757</v>
      </c>
      <c r="K8290" s="29"/>
      <c r="L8290" s="29" t="s">
        <v>1062</v>
      </c>
      <c r="M8290" s="29" t="s">
        <v>6656</v>
      </c>
      <c r="N8290" s="29" t="s">
        <v>1604</v>
      </c>
      <c r="O8290" s="29"/>
      <c r="P8290" s="29" t="s">
        <v>13158</v>
      </c>
      <c r="Q8290" t="s">
        <v>2039</v>
      </c>
      <c r="R8290" t="s">
        <v>2635</v>
      </c>
      <c r="S8290">
        <v>37</v>
      </c>
      <c r="T8290" s="43" t="str">
        <f t="shared" si="357"/>
        <v>2021.036M.R.Rhabdoviridae_sprename.zip</v>
      </c>
      <c r="U8290" s="43" t="str">
        <f>HYPERLINK("https://ictv.global/taxonomy/taxondetails?taxnode_id=202208833","ictv.global=202208833")</f>
        <v>ictv.global=202208833</v>
      </c>
    </row>
    <row r="8291" spans="1:21">
      <c r="A8291">
        <v>8290</v>
      </c>
      <c r="B8291" s="29" t="s">
        <v>3223</v>
      </c>
      <c r="C8291" s="29"/>
      <c r="D8291" s="29" t="s">
        <v>4156</v>
      </c>
      <c r="E8291" s="29"/>
      <c r="F8291" s="29" t="s">
        <v>2998</v>
      </c>
      <c r="G8291" s="29" t="s">
        <v>2999</v>
      </c>
      <c r="H8291" s="29" t="s">
        <v>3006</v>
      </c>
      <c r="I8291" s="29"/>
      <c r="J8291" s="29" t="s">
        <v>757</v>
      </c>
      <c r="K8291" s="29"/>
      <c r="L8291" s="29" t="s">
        <v>1062</v>
      </c>
      <c r="M8291" s="29" t="s">
        <v>6656</v>
      </c>
      <c r="N8291" s="29" t="s">
        <v>1604</v>
      </c>
      <c r="O8291" s="29"/>
      <c r="P8291" s="29" t="s">
        <v>13159</v>
      </c>
      <c r="Q8291" t="s">
        <v>2039</v>
      </c>
      <c r="R8291" t="s">
        <v>2635</v>
      </c>
      <c r="S8291">
        <v>37</v>
      </c>
      <c r="T8291" s="43" t="str">
        <f t="shared" si="357"/>
        <v>2021.036M.R.Rhabdoviridae_sprename.zip</v>
      </c>
      <c r="U8291" s="43" t="str">
        <f>HYPERLINK("https://ictv.global/taxonomy/taxondetails?taxnode_id=202208824","ictv.global=202208824")</f>
        <v>ictv.global=202208824</v>
      </c>
    </row>
    <row r="8292" spans="1:21">
      <c r="A8292">
        <v>8291</v>
      </c>
      <c r="B8292" s="29" t="s">
        <v>3223</v>
      </c>
      <c r="C8292" s="29"/>
      <c r="D8292" s="29" t="s">
        <v>4156</v>
      </c>
      <c r="E8292" s="29"/>
      <c r="F8292" s="29" t="s">
        <v>2998</v>
      </c>
      <c r="G8292" s="29" t="s">
        <v>2999</v>
      </c>
      <c r="H8292" s="29" t="s">
        <v>3006</v>
      </c>
      <c r="I8292" s="29"/>
      <c r="J8292" s="29" t="s">
        <v>757</v>
      </c>
      <c r="K8292" s="29"/>
      <c r="L8292" s="29" t="s">
        <v>1062</v>
      </c>
      <c r="M8292" s="29" t="s">
        <v>6656</v>
      </c>
      <c r="N8292" s="29" t="s">
        <v>1604</v>
      </c>
      <c r="O8292" s="29"/>
      <c r="P8292" s="29" t="s">
        <v>13160</v>
      </c>
      <c r="Q8292" t="s">
        <v>2039</v>
      </c>
      <c r="R8292" t="s">
        <v>2635</v>
      </c>
      <c r="S8292">
        <v>37</v>
      </c>
      <c r="T8292" s="43" t="str">
        <f t="shared" si="357"/>
        <v>2021.036M.R.Rhabdoviridae_sprename.zip</v>
      </c>
      <c r="U8292" s="43" t="str">
        <f>HYPERLINK("https://ictv.global/taxonomy/taxondetails?taxnode_id=202208827","ictv.global=202208827")</f>
        <v>ictv.global=202208827</v>
      </c>
    </row>
    <row r="8293" spans="1:21">
      <c r="A8293">
        <v>8292</v>
      </c>
      <c r="B8293" s="29" t="s">
        <v>3223</v>
      </c>
      <c r="C8293" s="29"/>
      <c r="D8293" s="29" t="s">
        <v>4156</v>
      </c>
      <c r="E8293" s="29"/>
      <c r="F8293" s="29" t="s">
        <v>2998</v>
      </c>
      <c r="G8293" s="29" t="s">
        <v>2999</v>
      </c>
      <c r="H8293" s="29" t="s">
        <v>3006</v>
      </c>
      <c r="I8293" s="29"/>
      <c r="J8293" s="29" t="s">
        <v>757</v>
      </c>
      <c r="K8293" s="29"/>
      <c r="L8293" s="29" t="s">
        <v>1062</v>
      </c>
      <c r="M8293" s="29" t="s">
        <v>6656</v>
      </c>
      <c r="N8293" s="29" t="s">
        <v>1604</v>
      </c>
      <c r="O8293" s="29"/>
      <c r="P8293" s="29" t="s">
        <v>13161</v>
      </c>
      <c r="Q8293" t="s">
        <v>2039</v>
      </c>
      <c r="R8293" t="s">
        <v>2635</v>
      </c>
      <c r="S8293">
        <v>37</v>
      </c>
      <c r="T8293" s="43" t="str">
        <f t="shared" si="357"/>
        <v>2021.036M.R.Rhabdoviridae_sprename.zip</v>
      </c>
      <c r="U8293" s="43" t="str">
        <f>HYPERLINK("https://ictv.global/taxonomy/taxondetails?taxnode_id=202201759","ictv.global=202201759")</f>
        <v>ictv.global=202201759</v>
      </c>
    </row>
    <row r="8294" spans="1:21">
      <c r="A8294">
        <v>8293</v>
      </c>
      <c r="B8294" s="29" t="s">
        <v>3223</v>
      </c>
      <c r="C8294" s="29"/>
      <c r="D8294" s="29" t="s">
        <v>4156</v>
      </c>
      <c r="E8294" s="29"/>
      <c r="F8294" s="29" t="s">
        <v>2998</v>
      </c>
      <c r="G8294" s="29" t="s">
        <v>2999</v>
      </c>
      <c r="H8294" s="29" t="s">
        <v>3006</v>
      </c>
      <c r="I8294" s="29"/>
      <c r="J8294" s="29" t="s">
        <v>757</v>
      </c>
      <c r="K8294" s="29"/>
      <c r="L8294" s="29" t="s">
        <v>1062</v>
      </c>
      <c r="M8294" s="29" t="s">
        <v>6656</v>
      </c>
      <c r="N8294" s="29" t="s">
        <v>1604</v>
      </c>
      <c r="O8294" s="29"/>
      <c r="P8294" s="29" t="s">
        <v>13162</v>
      </c>
      <c r="Q8294" t="s">
        <v>2039</v>
      </c>
      <c r="R8294" t="s">
        <v>2635</v>
      </c>
      <c r="S8294">
        <v>37</v>
      </c>
      <c r="T8294" s="43" t="str">
        <f t="shared" si="357"/>
        <v>2021.036M.R.Rhabdoviridae_sprename.zip</v>
      </c>
      <c r="U8294" s="43" t="str">
        <f>HYPERLINK("https://ictv.global/taxonomy/taxondetails?taxnode_id=202208825","ictv.global=202208825")</f>
        <v>ictv.global=202208825</v>
      </c>
    </row>
    <row r="8295" spans="1:21">
      <c r="A8295">
        <v>8294</v>
      </c>
      <c r="B8295" s="29" t="s">
        <v>3223</v>
      </c>
      <c r="C8295" s="29"/>
      <c r="D8295" s="29" t="s">
        <v>4156</v>
      </c>
      <c r="E8295" s="29"/>
      <c r="F8295" s="29" t="s">
        <v>2998</v>
      </c>
      <c r="G8295" s="29" t="s">
        <v>2999</v>
      </c>
      <c r="H8295" s="29" t="s">
        <v>3006</v>
      </c>
      <c r="I8295" s="29"/>
      <c r="J8295" s="29" t="s">
        <v>757</v>
      </c>
      <c r="K8295" s="29"/>
      <c r="L8295" s="29" t="s">
        <v>1062</v>
      </c>
      <c r="M8295" s="29" t="s">
        <v>6656</v>
      </c>
      <c r="N8295" s="29" t="s">
        <v>1604</v>
      </c>
      <c r="O8295" s="29"/>
      <c r="P8295" s="29" t="s">
        <v>13163</v>
      </c>
      <c r="Q8295" t="s">
        <v>2039</v>
      </c>
      <c r="R8295" t="s">
        <v>2635</v>
      </c>
      <c r="S8295">
        <v>37</v>
      </c>
      <c r="T8295" s="43" t="str">
        <f t="shared" si="357"/>
        <v>2021.036M.R.Rhabdoviridae_sprename.zip</v>
      </c>
      <c r="U8295" s="43" t="str">
        <f>HYPERLINK("https://ictv.global/taxonomy/taxondetails?taxnode_id=202201760","ictv.global=202201760")</f>
        <v>ictv.global=202201760</v>
      </c>
    </row>
    <row r="8296" spans="1:21">
      <c r="A8296">
        <v>8295</v>
      </c>
      <c r="B8296" s="29" t="s">
        <v>3223</v>
      </c>
      <c r="C8296" s="29"/>
      <c r="D8296" s="29" t="s">
        <v>4156</v>
      </c>
      <c r="E8296" s="29"/>
      <c r="F8296" s="29" t="s">
        <v>2998</v>
      </c>
      <c r="G8296" s="29" t="s">
        <v>2999</v>
      </c>
      <c r="H8296" s="29" t="s">
        <v>3006</v>
      </c>
      <c r="I8296" s="29"/>
      <c r="J8296" s="29" t="s">
        <v>757</v>
      </c>
      <c r="K8296" s="29"/>
      <c r="L8296" s="29" t="s">
        <v>1062</v>
      </c>
      <c r="M8296" s="29" t="s">
        <v>6656</v>
      </c>
      <c r="N8296" s="29" t="s">
        <v>1604</v>
      </c>
      <c r="O8296" s="29"/>
      <c r="P8296" s="29" t="s">
        <v>13164</v>
      </c>
      <c r="Q8296" t="s">
        <v>2039</v>
      </c>
      <c r="R8296" t="s">
        <v>2635</v>
      </c>
      <c r="S8296">
        <v>37</v>
      </c>
      <c r="T8296" s="43" t="str">
        <f t="shared" si="357"/>
        <v>2021.036M.R.Rhabdoviridae_sprename.zip</v>
      </c>
      <c r="U8296" s="43" t="str">
        <f>HYPERLINK("https://ictv.global/taxonomy/taxondetails?taxnode_id=202201763","ictv.global=202201763")</f>
        <v>ictv.global=202201763</v>
      </c>
    </row>
    <row r="8297" spans="1:21">
      <c r="A8297">
        <v>8296</v>
      </c>
      <c r="B8297" s="29" t="s">
        <v>3223</v>
      </c>
      <c r="C8297" s="29"/>
      <c r="D8297" s="29" t="s">
        <v>4156</v>
      </c>
      <c r="E8297" s="29"/>
      <c r="F8297" s="29" t="s">
        <v>2998</v>
      </c>
      <c r="G8297" s="29" t="s">
        <v>2999</v>
      </c>
      <c r="H8297" s="29" t="s">
        <v>3006</v>
      </c>
      <c r="I8297" s="29"/>
      <c r="J8297" s="29" t="s">
        <v>757</v>
      </c>
      <c r="K8297" s="29"/>
      <c r="L8297" s="29" t="s">
        <v>1062</v>
      </c>
      <c r="M8297" s="29" t="s">
        <v>6656</v>
      </c>
      <c r="N8297" s="29" t="s">
        <v>1604</v>
      </c>
      <c r="O8297" s="29"/>
      <c r="P8297" s="29" t="s">
        <v>13165</v>
      </c>
      <c r="Q8297" t="s">
        <v>2039</v>
      </c>
      <c r="R8297" t="s">
        <v>2635</v>
      </c>
      <c r="S8297">
        <v>37</v>
      </c>
      <c r="T8297" s="43" t="str">
        <f t="shared" si="357"/>
        <v>2021.036M.R.Rhabdoviridae_sprename.zip</v>
      </c>
      <c r="U8297" s="43" t="str">
        <f>HYPERLINK("https://ictv.global/taxonomy/taxondetails?taxnode_id=202208828","ictv.global=202208828")</f>
        <v>ictv.global=202208828</v>
      </c>
    </row>
    <row r="8298" spans="1:21">
      <c r="A8298">
        <v>8297</v>
      </c>
      <c r="B8298" s="29" t="s">
        <v>3223</v>
      </c>
      <c r="C8298" s="29"/>
      <c r="D8298" s="29" t="s">
        <v>4156</v>
      </c>
      <c r="E8298" s="29"/>
      <c r="F8298" s="29" t="s">
        <v>2998</v>
      </c>
      <c r="G8298" s="29" t="s">
        <v>2999</v>
      </c>
      <c r="H8298" s="29" t="s">
        <v>3006</v>
      </c>
      <c r="I8298" s="29"/>
      <c r="J8298" s="29" t="s">
        <v>757</v>
      </c>
      <c r="K8298" s="29"/>
      <c r="L8298" s="29" t="s">
        <v>1062</v>
      </c>
      <c r="M8298" s="29" t="s">
        <v>6656</v>
      </c>
      <c r="N8298" s="29" t="s">
        <v>1604</v>
      </c>
      <c r="O8298" s="29"/>
      <c r="P8298" s="29" t="s">
        <v>13166</v>
      </c>
      <c r="Q8298" t="s">
        <v>2039</v>
      </c>
      <c r="R8298" t="s">
        <v>2635</v>
      </c>
      <c r="S8298">
        <v>37</v>
      </c>
      <c r="T8298" s="43" t="str">
        <f t="shared" si="357"/>
        <v>2021.036M.R.Rhabdoviridae_sprename.zip</v>
      </c>
      <c r="U8298" s="43" t="str">
        <f>HYPERLINK("https://ictv.global/taxonomy/taxondetails?taxnode_id=202201761","ictv.global=202201761")</f>
        <v>ictv.global=202201761</v>
      </c>
    </row>
    <row r="8299" spans="1:21">
      <c r="A8299">
        <v>8298</v>
      </c>
      <c r="B8299" s="29" t="s">
        <v>3223</v>
      </c>
      <c r="C8299" s="29"/>
      <c r="D8299" s="29" t="s">
        <v>4156</v>
      </c>
      <c r="E8299" s="29"/>
      <c r="F8299" s="29" t="s">
        <v>2998</v>
      </c>
      <c r="G8299" s="29" t="s">
        <v>2999</v>
      </c>
      <c r="H8299" s="29" t="s">
        <v>3006</v>
      </c>
      <c r="I8299" s="29"/>
      <c r="J8299" s="29" t="s">
        <v>757</v>
      </c>
      <c r="K8299" s="29"/>
      <c r="L8299" s="29" t="s">
        <v>1062</v>
      </c>
      <c r="M8299" s="29" t="s">
        <v>6656</v>
      </c>
      <c r="N8299" s="29" t="s">
        <v>1604</v>
      </c>
      <c r="O8299" s="29"/>
      <c r="P8299" s="29" t="s">
        <v>13167</v>
      </c>
      <c r="Q8299" t="s">
        <v>2039</v>
      </c>
      <c r="R8299" t="s">
        <v>2635</v>
      </c>
      <c r="S8299">
        <v>37</v>
      </c>
      <c r="T8299" s="43" t="str">
        <f t="shared" si="357"/>
        <v>2021.036M.R.Rhabdoviridae_sprename.zip</v>
      </c>
      <c r="U8299" s="43" t="str">
        <f>HYPERLINK("https://ictv.global/taxonomy/taxondetails?taxnode_id=202208831","ictv.global=202208831")</f>
        <v>ictv.global=202208831</v>
      </c>
    </row>
    <row r="8300" spans="1:21">
      <c r="A8300">
        <v>8299</v>
      </c>
      <c r="B8300" s="29" t="s">
        <v>3223</v>
      </c>
      <c r="C8300" s="29"/>
      <c r="D8300" s="29" t="s">
        <v>4156</v>
      </c>
      <c r="E8300" s="29"/>
      <c r="F8300" s="29" t="s">
        <v>2998</v>
      </c>
      <c r="G8300" s="29" t="s">
        <v>2999</v>
      </c>
      <c r="H8300" s="29" t="s">
        <v>3006</v>
      </c>
      <c r="I8300" s="29"/>
      <c r="J8300" s="29" t="s">
        <v>757</v>
      </c>
      <c r="K8300" s="29"/>
      <c r="L8300" s="29" t="s">
        <v>1062</v>
      </c>
      <c r="M8300" s="29" t="s">
        <v>6656</v>
      </c>
      <c r="N8300" s="29" t="s">
        <v>1604</v>
      </c>
      <c r="O8300" s="29"/>
      <c r="P8300" s="29" t="s">
        <v>13168</v>
      </c>
      <c r="Q8300" t="s">
        <v>2039</v>
      </c>
      <c r="R8300" t="s">
        <v>2632</v>
      </c>
      <c r="S8300">
        <v>38</v>
      </c>
      <c r="T8300" s="43" t="str">
        <f>HYPERLINK("https://ictv.global/ictv/proposals/2022.002M.Alpharhabdovirinae_1ngen14nsp.zip","2022.002M.Alpharhabdovirinae_1ngen14nsp.zip")</f>
        <v>2022.002M.Alpharhabdovirinae_1ngen14nsp.zip</v>
      </c>
      <c r="U8300" s="43" t="str">
        <f>HYPERLINK("https://ictv.global/taxonomy/taxondetails?taxnode_id=202214158","ictv.global=202214158")</f>
        <v>ictv.global=202214158</v>
      </c>
    </row>
    <row r="8301" spans="1:21">
      <c r="A8301">
        <v>8300</v>
      </c>
      <c r="B8301" s="29" t="s">
        <v>3223</v>
      </c>
      <c r="C8301" s="29"/>
      <c r="D8301" s="29" t="s">
        <v>4156</v>
      </c>
      <c r="E8301" s="29"/>
      <c r="F8301" s="29" t="s">
        <v>2998</v>
      </c>
      <c r="G8301" s="29" t="s">
        <v>2999</v>
      </c>
      <c r="H8301" s="29" t="s">
        <v>3006</v>
      </c>
      <c r="I8301" s="29"/>
      <c r="J8301" s="29" t="s">
        <v>757</v>
      </c>
      <c r="K8301" s="29"/>
      <c r="L8301" s="29" t="s">
        <v>1062</v>
      </c>
      <c r="M8301" s="29" t="s">
        <v>6656</v>
      </c>
      <c r="N8301" s="29" t="s">
        <v>1604</v>
      </c>
      <c r="O8301" s="29"/>
      <c r="P8301" s="29" t="s">
        <v>13169</v>
      </c>
      <c r="Q8301" t="s">
        <v>2039</v>
      </c>
      <c r="R8301" t="s">
        <v>2635</v>
      </c>
      <c r="S8301">
        <v>37</v>
      </c>
      <c r="T8301" s="43" t="str">
        <f>HYPERLINK("https://ictv.global/ictv/proposals/2021.036M.R.Rhabdoviridae_sprename.zip","2021.036M.R.Rhabdoviridae_sprename.zip")</f>
        <v>2021.036M.R.Rhabdoviridae_sprename.zip</v>
      </c>
      <c r="U8301" s="43" t="str">
        <f>HYPERLINK("https://ictv.global/taxonomy/taxondetails?taxnode_id=202208830","ictv.global=202208830")</f>
        <v>ictv.global=202208830</v>
      </c>
    </row>
    <row r="8302" spans="1:21">
      <c r="A8302">
        <v>8301</v>
      </c>
      <c r="B8302" s="29" t="s">
        <v>3223</v>
      </c>
      <c r="C8302" s="29"/>
      <c r="D8302" s="29" t="s">
        <v>4156</v>
      </c>
      <c r="E8302" s="29"/>
      <c r="F8302" s="29" t="s">
        <v>2998</v>
      </c>
      <c r="G8302" s="29" t="s">
        <v>2999</v>
      </c>
      <c r="H8302" s="29" t="s">
        <v>3006</v>
      </c>
      <c r="I8302" s="29"/>
      <c r="J8302" s="29" t="s">
        <v>757</v>
      </c>
      <c r="K8302" s="29"/>
      <c r="L8302" s="29" t="s">
        <v>1062</v>
      </c>
      <c r="M8302" s="29" t="s">
        <v>6656</v>
      </c>
      <c r="N8302" s="29" t="s">
        <v>1604</v>
      </c>
      <c r="O8302" s="29"/>
      <c r="P8302" s="29" t="s">
        <v>13170</v>
      </c>
      <c r="Q8302" t="s">
        <v>2039</v>
      </c>
      <c r="R8302" t="s">
        <v>2635</v>
      </c>
      <c r="S8302">
        <v>37</v>
      </c>
      <c r="T8302" s="43" t="str">
        <f>HYPERLINK("https://ictv.global/ictv/proposals/2021.036M.R.Rhabdoviridae_sprename.zip","2021.036M.R.Rhabdoviridae_sprename.zip")</f>
        <v>2021.036M.R.Rhabdoviridae_sprename.zip</v>
      </c>
      <c r="U8302" s="43" t="str">
        <f>HYPERLINK("https://ictv.global/taxonomy/taxondetails?taxnode_id=202201762","ictv.global=202201762")</f>
        <v>ictv.global=202201762</v>
      </c>
    </row>
    <row r="8303" spans="1:21">
      <c r="A8303">
        <v>8302</v>
      </c>
      <c r="B8303" s="29" t="s">
        <v>3223</v>
      </c>
      <c r="C8303" s="29"/>
      <c r="D8303" s="29" t="s">
        <v>4156</v>
      </c>
      <c r="E8303" s="29"/>
      <c r="F8303" s="29" t="s">
        <v>2998</v>
      </c>
      <c r="G8303" s="29" t="s">
        <v>2999</v>
      </c>
      <c r="H8303" s="29" t="s">
        <v>3006</v>
      </c>
      <c r="I8303" s="29"/>
      <c r="J8303" s="29" t="s">
        <v>757</v>
      </c>
      <c r="K8303" s="29"/>
      <c r="L8303" s="29" t="s">
        <v>1062</v>
      </c>
      <c r="M8303" s="29" t="s">
        <v>6656</v>
      </c>
      <c r="N8303" s="29" t="s">
        <v>1604</v>
      </c>
      <c r="O8303" s="29"/>
      <c r="P8303" s="29" t="s">
        <v>13171</v>
      </c>
      <c r="Q8303" t="s">
        <v>2039</v>
      </c>
      <c r="R8303" t="s">
        <v>2632</v>
      </c>
      <c r="S8303">
        <v>38</v>
      </c>
      <c r="T8303" s="43" t="str">
        <f>HYPERLINK("https://ictv.global/ictv/proposals/2022.002M.Alpharhabdovirinae_1ngen14nsp.zip","2022.002M.Alpharhabdovirinae_1ngen14nsp.zip")</f>
        <v>2022.002M.Alpharhabdovirinae_1ngen14nsp.zip</v>
      </c>
      <c r="U8303" s="43" t="str">
        <f>HYPERLINK("https://ictv.global/taxonomy/taxondetails?taxnode_id=202214159","ictv.global=202214159")</f>
        <v>ictv.global=202214159</v>
      </c>
    </row>
    <row r="8304" spans="1:21">
      <c r="A8304">
        <v>8303</v>
      </c>
      <c r="B8304" s="29" t="s">
        <v>3223</v>
      </c>
      <c r="C8304" s="29"/>
      <c r="D8304" s="29" t="s">
        <v>4156</v>
      </c>
      <c r="E8304" s="29"/>
      <c r="F8304" s="29" t="s">
        <v>2998</v>
      </c>
      <c r="G8304" s="29" t="s">
        <v>2999</v>
      </c>
      <c r="H8304" s="29" t="s">
        <v>3006</v>
      </c>
      <c r="I8304" s="29"/>
      <c r="J8304" s="29" t="s">
        <v>757</v>
      </c>
      <c r="K8304" s="29"/>
      <c r="L8304" s="29" t="s">
        <v>1062</v>
      </c>
      <c r="M8304" s="29" t="s">
        <v>6656</v>
      </c>
      <c r="N8304" s="29" t="s">
        <v>1604</v>
      </c>
      <c r="O8304" s="29"/>
      <c r="P8304" s="29" t="s">
        <v>13172</v>
      </c>
      <c r="Q8304" t="s">
        <v>2039</v>
      </c>
      <c r="R8304" t="s">
        <v>2635</v>
      </c>
      <c r="S8304">
        <v>37</v>
      </c>
      <c r="T8304" s="43" t="str">
        <f>HYPERLINK("https://ictv.global/ictv/proposals/2021.036M.R.Rhabdoviridae_sprename.zip","2021.036M.R.Rhabdoviridae_sprename.zip")</f>
        <v>2021.036M.R.Rhabdoviridae_sprename.zip</v>
      </c>
      <c r="U8304" s="43" t="str">
        <f>HYPERLINK("https://ictv.global/taxonomy/taxondetails?taxnode_id=202208832","ictv.global=202208832")</f>
        <v>ictv.global=202208832</v>
      </c>
    </row>
    <row r="8305" spans="1:21">
      <c r="A8305">
        <v>8304</v>
      </c>
      <c r="B8305" s="29" t="s">
        <v>3223</v>
      </c>
      <c r="C8305" s="29"/>
      <c r="D8305" s="29" t="s">
        <v>4156</v>
      </c>
      <c r="E8305" s="29"/>
      <c r="F8305" s="29" t="s">
        <v>2998</v>
      </c>
      <c r="G8305" s="29" t="s">
        <v>2999</v>
      </c>
      <c r="H8305" s="29" t="s">
        <v>3006</v>
      </c>
      <c r="I8305" s="29"/>
      <c r="J8305" s="29" t="s">
        <v>757</v>
      </c>
      <c r="K8305" s="29"/>
      <c r="L8305" s="29" t="s">
        <v>1062</v>
      </c>
      <c r="M8305" s="29" t="s">
        <v>6656</v>
      </c>
      <c r="N8305" s="29" t="s">
        <v>1604</v>
      </c>
      <c r="O8305" s="29"/>
      <c r="P8305" s="29" t="s">
        <v>13173</v>
      </c>
      <c r="Q8305" t="s">
        <v>2039</v>
      </c>
      <c r="R8305" t="s">
        <v>2635</v>
      </c>
      <c r="S8305">
        <v>37</v>
      </c>
      <c r="T8305" s="43" t="str">
        <f>HYPERLINK("https://ictv.global/ictv/proposals/2021.036M.R.Rhabdoviridae_sprename.zip","2021.036M.R.Rhabdoviridae_sprename.zip")</f>
        <v>2021.036M.R.Rhabdoviridae_sprename.zip</v>
      </c>
      <c r="U8305" s="43" t="str">
        <f>HYPERLINK("https://ictv.global/taxonomy/taxondetails?taxnode_id=202208826","ictv.global=202208826")</f>
        <v>ictv.global=202208826</v>
      </c>
    </row>
    <row r="8306" spans="1:21">
      <c r="A8306">
        <v>8305</v>
      </c>
      <c r="B8306" s="29" t="s">
        <v>3223</v>
      </c>
      <c r="C8306" s="29"/>
      <c r="D8306" s="29" t="s">
        <v>4156</v>
      </c>
      <c r="E8306" s="29"/>
      <c r="F8306" s="29" t="s">
        <v>2998</v>
      </c>
      <c r="G8306" s="29" t="s">
        <v>2999</v>
      </c>
      <c r="H8306" s="29" t="s">
        <v>3006</v>
      </c>
      <c r="I8306" s="29"/>
      <c r="J8306" s="29" t="s">
        <v>757</v>
      </c>
      <c r="K8306" s="29"/>
      <c r="L8306" s="29" t="s">
        <v>1062</v>
      </c>
      <c r="M8306" s="29" t="s">
        <v>6656</v>
      </c>
      <c r="N8306" s="29" t="s">
        <v>1604</v>
      </c>
      <c r="O8306" s="29"/>
      <c r="P8306" s="29" t="s">
        <v>13174</v>
      </c>
      <c r="Q8306" t="s">
        <v>2039</v>
      </c>
      <c r="R8306" t="s">
        <v>2632</v>
      </c>
      <c r="S8306">
        <v>38</v>
      </c>
      <c r="T8306" s="43" t="str">
        <f>HYPERLINK("https://ictv.global/ictv/proposals/2022.002M.Alpharhabdovirinae_1ngen14nsp.zip","2022.002M.Alpharhabdovirinae_1ngen14nsp.zip")</f>
        <v>2022.002M.Alpharhabdovirinae_1ngen14nsp.zip</v>
      </c>
      <c r="U8306" s="43" t="str">
        <f>HYPERLINK("https://ictv.global/taxonomy/taxondetails?taxnode_id=202214157","ictv.global=202214157")</f>
        <v>ictv.global=202214157</v>
      </c>
    </row>
    <row r="8307" spans="1:21">
      <c r="A8307">
        <v>8306</v>
      </c>
      <c r="B8307" s="29" t="s">
        <v>3223</v>
      </c>
      <c r="C8307" s="29"/>
      <c r="D8307" s="29" t="s">
        <v>4156</v>
      </c>
      <c r="E8307" s="29"/>
      <c r="F8307" s="29" t="s">
        <v>2998</v>
      </c>
      <c r="G8307" s="29" t="s">
        <v>2999</v>
      </c>
      <c r="H8307" s="29" t="s">
        <v>3006</v>
      </c>
      <c r="I8307" s="29"/>
      <c r="J8307" s="29" t="s">
        <v>757</v>
      </c>
      <c r="K8307" s="29"/>
      <c r="L8307" s="29" t="s">
        <v>1062</v>
      </c>
      <c r="M8307" s="29" t="s">
        <v>6656</v>
      </c>
      <c r="N8307" s="29" t="s">
        <v>13175</v>
      </c>
      <c r="O8307" s="29"/>
      <c r="P8307" s="29" t="s">
        <v>13176</v>
      </c>
      <c r="Q8307" t="s">
        <v>2039</v>
      </c>
      <c r="R8307" t="s">
        <v>2632</v>
      </c>
      <c r="S8307">
        <v>37</v>
      </c>
      <c r="T8307" s="43" t="str">
        <f>HYPERLINK("https://ictv.global/ictv/proposals/2021.003M.R.Alpharhabdovirinae_3ngen_7nsp.zip","2021.003M.R.Alpharhabdovirinae_3ngen_7nsp.zip")</f>
        <v>2021.003M.R.Alpharhabdovirinae_3ngen_7nsp.zip</v>
      </c>
      <c r="U8307" s="43" t="str">
        <f>HYPERLINK("https://ictv.global/taxonomy/taxondetails?taxnode_id=202213319","ictv.global=202213319")</f>
        <v>ictv.global=202213319</v>
      </c>
    </row>
    <row r="8308" spans="1:21">
      <c r="A8308">
        <v>8307</v>
      </c>
      <c r="B8308" s="29" t="s">
        <v>3223</v>
      </c>
      <c r="C8308" s="29"/>
      <c r="D8308" s="29" t="s">
        <v>4156</v>
      </c>
      <c r="E8308" s="29"/>
      <c r="F8308" s="29" t="s">
        <v>2998</v>
      </c>
      <c r="G8308" s="29" t="s">
        <v>2999</v>
      </c>
      <c r="H8308" s="29" t="s">
        <v>3006</v>
      </c>
      <c r="I8308" s="29"/>
      <c r="J8308" s="29" t="s">
        <v>757</v>
      </c>
      <c r="K8308" s="29"/>
      <c r="L8308" s="29" t="s">
        <v>1062</v>
      </c>
      <c r="M8308" s="29" t="s">
        <v>6656</v>
      </c>
      <c r="N8308" s="29" t="s">
        <v>13175</v>
      </c>
      <c r="O8308" s="29"/>
      <c r="P8308" s="29" t="s">
        <v>13177</v>
      </c>
      <c r="Q8308" t="s">
        <v>2039</v>
      </c>
      <c r="R8308" t="s">
        <v>2632</v>
      </c>
      <c r="S8308">
        <v>37</v>
      </c>
      <c r="T8308" s="43" t="str">
        <f>HYPERLINK("https://ictv.global/ictv/proposals/2021.003M.R.Alpharhabdovirinae_3ngen_7nsp.zip","2021.003M.R.Alpharhabdovirinae_3ngen_7nsp.zip")</f>
        <v>2021.003M.R.Alpharhabdovirinae_3ngen_7nsp.zip</v>
      </c>
      <c r="U8308" s="43" t="str">
        <f>HYPERLINK("https://ictv.global/taxonomy/taxondetails?taxnode_id=202213318","ictv.global=202213318")</f>
        <v>ictv.global=202213318</v>
      </c>
    </row>
    <row r="8309" spans="1:21">
      <c r="A8309">
        <v>8308</v>
      </c>
      <c r="B8309" s="29" t="s">
        <v>3223</v>
      </c>
      <c r="C8309" s="29"/>
      <c r="D8309" s="29" t="s">
        <v>4156</v>
      </c>
      <c r="E8309" s="29"/>
      <c r="F8309" s="29" t="s">
        <v>2998</v>
      </c>
      <c r="G8309" s="29" t="s">
        <v>2999</v>
      </c>
      <c r="H8309" s="29" t="s">
        <v>3006</v>
      </c>
      <c r="I8309" s="29"/>
      <c r="J8309" s="29" t="s">
        <v>757</v>
      </c>
      <c r="K8309" s="29"/>
      <c r="L8309" s="29" t="s">
        <v>1062</v>
      </c>
      <c r="M8309" s="29" t="s">
        <v>6656</v>
      </c>
      <c r="N8309" s="29" t="s">
        <v>1713</v>
      </c>
      <c r="O8309" s="29"/>
      <c r="P8309" s="29" t="s">
        <v>13178</v>
      </c>
      <c r="Q8309" t="s">
        <v>2039</v>
      </c>
      <c r="R8309" t="s">
        <v>2635</v>
      </c>
      <c r="S8309">
        <v>37</v>
      </c>
      <c r="T8309" s="43" t="str">
        <f>HYPERLINK("https://ictv.global/ictv/proposals/2021.036M.R.Rhabdoviridae_sprename.zip","2021.036M.R.Rhabdoviridae_sprename.zip;2021.042M.R.Corrections_Riboviria_Duplodnaviria.zip")</f>
        <v>2021.036M.R.Rhabdoviridae_sprename.zip;2021.042M.R.Corrections_Riboviria_Duplodnaviria.zip</v>
      </c>
      <c r="U8309" s="43" t="str">
        <f>HYPERLINK("https://ictv.global/taxonomy/taxondetails?taxnode_id=202201765","ictv.global=202201765")</f>
        <v>ictv.global=202201765</v>
      </c>
    </row>
    <row r="8310" spans="1:21">
      <c r="A8310">
        <v>8309</v>
      </c>
      <c r="B8310" s="29" t="s">
        <v>3223</v>
      </c>
      <c r="C8310" s="29"/>
      <c r="D8310" s="29" t="s">
        <v>4156</v>
      </c>
      <c r="E8310" s="29"/>
      <c r="F8310" s="29" t="s">
        <v>2998</v>
      </c>
      <c r="G8310" s="29" t="s">
        <v>2999</v>
      </c>
      <c r="H8310" s="29" t="s">
        <v>3006</v>
      </c>
      <c r="I8310" s="29"/>
      <c r="J8310" s="29" t="s">
        <v>757</v>
      </c>
      <c r="K8310" s="29"/>
      <c r="L8310" s="29" t="s">
        <v>1062</v>
      </c>
      <c r="M8310" s="29" t="s">
        <v>6656</v>
      </c>
      <c r="N8310" s="29" t="s">
        <v>1713</v>
      </c>
      <c r="O8310" s="29"/>
      <c r="P8310" s="29" t="s">
        <v>13179</v>
      </c>
      <c r="Q8310" t="s">
        <v>2039</v>
      </c>
      <c r="R8310" t="s">
        <v>2635</v>
      </c>
      <c r="S8310">
        <v>37</v>
      </c>
      <c r="T8310" s="43" t="str">
        <f>HYPERLINK("https://ictv.global/ictv/proposals/2021.036M.R.Rhabdoviridae_sprename.zip","2021.036M.R.Rhabdoviridae_sprename.zip;2021.042M.R.Corrections_Riboviria_Duplodnaviria.zip")</f>
        <v>2021.036M.R.Rhabdoviridae_sprename.zip;2021.042M.R.Corrections_Riboviria_Duplodnaviria.zip</v>
      </c>
      <c r="U8310" s="43" t="str">
        <f>HYPERLINK("https://ictv.global/taxonomy/taxondetails?taxnode_id=202201766","ictv.global=202201766")</f>
        <v>ictv.global=202201766</v>
      </c>
    </row>
    <row r="8311" spans="1:21">
      <c r="A8311">
        <v>8310</v>
      </c>
      <c r="B8311" s="29" t="s">
        <v>3223</v>
      </c>
      <c r="C8311" s="29"/>
      <c r="D8311" s="29" t="s">
        <v>4156</v>
      </c>
      <c r="E8311" s="29"/>
      <c r="F8311" s="29" t="s">
        <v>2998</v>
      </c>
      <c r="G8311" s="29" t="s">
        <v>2999</v>
      </c>
      <c r="H8311" s="29" t="s">
        <v>3006</v>
      </c>
      <c r="I8311" s="29"/>
      <c r="J8311" s="29" t="s">
        <v>757</v>
      </c>
      <c r="K8311" s="29"/>
      <c r="L8311" s="29" t="s">
        <v>1062</v>
      </c>
      <c r="M8311" s="29" t="s">
        <v>6656</v>
      </c>
      <c r="N8311" s="29" t="s">
        <v>2458</v>
      </c>
      <c r="O8311" s="29"/>
      <c r="P8311" s="29" t="s">
        <v>13180</v>
      </c>
      <c r="Q8311" t="s">
        <v>2039</v>
      </c>
      <c r="R8311" t="s">
        <v>2635</v>
      </c>
      <c r="S8311">
        <v>37</v>
      </c>
      <c r="T8311" s="43" t="str">
        <f t="shared" ref="T8311:T8318" si="358">HYPERLINK("https://ictv.global/ictv/proposals/2021.036M.R.Rhabdoviridae_sprename.zip","2021.036M.R.Rhabdoviridae_sprename.zip")</f>
        <v>2021.036M.R.Rhabdoviridae_sprename.zip</v>
      </c>
      <c r="U8311" s="43" t="str">
        <f>HYPERLINK("https://ictv.global/taxonomy/taxondetails?taxnode_id=202201768","ictv.global=202201768")</f>
        <v>ictv.global=202201768</v>
      </c>
    </row>
    <row r="8312" spans="1:21">
      <c r="A8312">
        <v>8311</v>
      </c>
      <c r="B8312" s="29" t="s">
        <v>3223</v>
      </c>
      <c r="C8312" s="29"/>
      <c r="D8312" s="29" t="s">
        <v>4156</v>
      </c>
      <c r="E8312" s="29"/>
      <c r="F8312" s="29" t="s">
        <v>2998</v>
      </c>
      <c r="G8312" s="29" t="s">
        <v>2999</v>
      </c>
      <c r="H8312" s="29" t="s">
        <v>3006</v>
      </c>
      <c r="I8312" s="29"/>
      <c r="J8312" s="29" t="s">
        <v>757</v>
      </c>
      <c r="K8312" s="29"/>
      <c r="L8312" s="29" t="s">
        <v>1062</v>
      </c>
      <c r="M8312" s="29" t="s">
        <v>6656</v>
      </c>
      <c r="N8312" s="29" t="s">
        <v>2458</v>
      </c>
      <c r="O8312" s="29"/>
      <c r="P8312" s="29" t="s">
        <v>13181</v>
      </c>
      <c r="Q8312" t="s">
        <v>2039</v>
      </c>
      <c r="R8312" t="s">
        <v>2635</v>
      </c>
      <c r="S8312">
        <v>37</v>
      </c>
      <c r="T8312" s="43" t="str">
        <f t="shared" si="358"/>
        <v>2021.036M.R.Rhabdoviridae_sprename.zip</v>
      </c>
      <c r="U8312" s="43" t="str">
        <f>HYPERLINK("https://ictv.global/taxonomy/taxondetails?taxnode_id=202201769","ictv.global=202201769")</f>
        <v>ictv.global=202201769</v>
      </c>
    </row>
    <row r="8313" spans="1:21">
      <c r="A8313">
        <v>8312</v>
      </c>
      <c r="B8313" s="29" t="s">
        <v>3223</v>
      </c>
      <c r="C8313" s="29"/>
      <c r="D8313" s="29" t="s">
        <v>4156</v>
      </c>
      <c r="E8313" s="29"/>
      <c r="F8313" s="29" t="s">
        <v>2998</v>
      </c>
      <c r="G8313" s="29" t="s">
        <v>2999</v>
      </c>
      <c r="H8313" s="29" t="s">
        <v>3006</v>
      </c>
      <c r="I8313" s="29"/>
      <c r="J8313" s="29" t="s">
        <v>757</v>
      </c>
      <c r="K8313" s="29"/>
      <c r="L8313" s="29" t="s">
        <v>1062</v>
      </c>
      <c r="M8313" s="29" t="s">
        <v>6656</v>
      </c>
      <c r="N8313" s="29" t="s">
        <v>2458</v>
      </c>
      <c r="O8313" s="29"/>
      <c r="P8313" s="29" t="s">
        <v>13182</v>
      </c>
      <c r="Q8313" t="s">
        <v>2039</v>
      </c>
      <c r="R8313" t="s">
        <v>2635</v>
      </c>
      <c r="S8313">
        <v>37</v>
      </c>
      <c r="T8313" s="43" t="str">
        <f t="shared" si="358"/>
        <v>2021.036M.R.Rhabdoviridae_sprename.zip</v>
      </c>
      <c r="U8313" s="43" t="str">
        <f>HYPERLINK("https://ictv.global/taxonomy/taxondetails?taxnode_id=202207405","ictv.global=202207405")</f>
        <v>ictv.global=202207405</v>
      </c>
    </row>
    <row r="8314" spans="1:21">
      <c r="A8314">
        <v>8313</v>
      </c>
      <c r="B8314" s="29" t="s">
        <v>3223</v>
      </c>
      <c r="C8314" s="29"/>
      <c r="D8314" s="29" t="s">
        <v>4156</v>
      </c>
      <c r="E8314" s="29"/>
      <c r="F8314" s="29" t="s">
        <v>2998</v>
      </c>
      <c r="G8314" s="29" t="s">
        <v>2999</v>
      </c>
      <c r="H8314" s="29" t="s">
        <v>3006</v>
      </c>
      <c r="I8314" s="29"/>
      <c r="J8314" s="29" t="s">
        <v>757</v>
      </c>
      <c r="K8314" s="29"/>
      <c r="L8314" s="29" t="s">
        <v>1062</v>
      </c>
      <c r="M8314" s="29" t="s">
        <v>6656</v>
      </c>
      <c r="N8314" s="29" t="s">
        <v>2458</v>
      </c>
      <c r="O8314" s="29"/>
      <c r="P8314" s="29" t="s">
        <v>13183</v>
      </c>
      <c r="Q8314" t="s">
        <v>2039</v>
      </c>
      <c r="R8314" t="s">
        <v>2635</v>
      </c>
      <c r="S8314">
        <v>37</v>
      </c>
      <c r="T8314" s="43" t="str">
        <f t="shared" si="358"/>
        <v>2021.036M.R.Rhabdoviridae_sprename.zip</v>
      </c>
      <c r="U8314" s="43" t="str">
        <f>HYPERLINK("https://ictv.global/taxonomy/taxondetails?taxnode_id=202207406","ictv.global=202207406")</f>
        <v>ictv.global=202207406</v>
      </c>
    </row>
    <row r="8315" spans="1:21">
      <c r="A8315">
        <v>8314</v>
      </c>
      <c r="B8315" s="29" t="s">
        <v>3223</v>
      </c>
      <c r="C8315" s="29"/>
      <c r="D8315" s="29" t="s">
        <v>4156</v>
      </c>
      <c r="E8315" s="29"/>
      <c r="F8315" s="29" t="s">
        <v>2998</v>
      </c>
      <c r="G8315" s="29" t="s">
        <v>2999</v>
      </c>
      <c r="H8315" s="29" t="s">
        <v>3006</v>
      </c>
      <c r="I8315" s="29"/>
      <c r="J8315" s="29" t="s">
        <v>757</v>
      </c>
      <c r="K8315" s="29"/>
      <c r="L8315" s="29" t="s">
        <v>1062</v>
      </c>
      <c r="M8315" s="29" t="s">
        <v>6656</v>
      </c>
      <c r="N8315" s="29" t="s">
        <v>2458</v>
      </c>
      <c r="O8315" s="29"/>
      <c r="P8315" s="29" t="s">
        <v>13184</v>
      </c>
      <c r="Q8315" t="s">
        <v>2039</v>
      </c>
      <c r="R8315" t="s">
        <v>2635</v>
      </c>
      <c r="S8315">
        <v>37</v>
      </c>
      <c r="T8315" s="43" t="str">
        <f t="shared" si="358"/>
        <v>2021.036M.R.Rhabdoviridae_sprename.zip</v>
      </c>
      <c r="U8315" s="43" t="str">
        <f>HYPERLINK("https://ictv.global/taxonomy/taxondetails?taxnode_id=202207407","ictv.global=202207407")</f>
        <v>ictv.global=202207407</v>
      </c>
    </row>
    <row r="8316" spans="1:21">
      <c r="A8316">
        <v>8315</v>
      </c>
      <c r="B8316" s="29" t="s">
        <v>3223</v>
      </c>
      <c r="C8316" s="29"/>
      <c r="D8316" s="29" t="s">
        <v>4156</v>
      </c>
      <c r="E8316" s="29"/>
      <c r="F8316" s="29" t="s">
        <v>2998</v>
      </c>
      <c r="G8316" s="29" t="s">
        <v>2999</v>
      </c>
      <c r="H8316" s="29" t="s">
        <v>3006</v>
      </c>
      <c r="I8316" s="29"/>
      <c r="J8316" s="29" t="s">
        <v>757</v>
      </c>
      <c r="K8316" s="29"/>
      <c r="L8316" s="29" t="s">
        <v>1062</v>
      </c>
      <c r="M8316" s="29" t="s">
        <v>6656</v>
      </c>
      <c r="N8316" s="29" t="s">
        <v>2458</v>
      </c>
      <c r="O8316" s="29"/>
      <c r="P8316" s="29" t="s">
        <v>13185</v>
      </c>
      <c r="Q8316" t="s">
        <v>2039</v>
      </c>
      <c r="R8316" t="s">
        <v>2635</v>
      </c>
      <c r="S8316">
        <v>37</v>
      </c>
      <c r="T8316" s="43" t="str">
        <f t="shared" si="358"/>
        <v>2021.036M.R.Rhabdoviridae_sprename.zip</v>
      </c>
      <c r="U8316" s="43" t="str">
        <f>HYPERLINK("https://ictv.global/taxonomy/taxondetails?taxnode_id=202201771","ictv.global=202201771")</f>
        <v>ictv.global=202201771</v>
      </c>
    </row>
    <row r="8317" spans="1:21">
      <c r="A8317">
        <v>8316</v>
      </c>
      <c r="B8317" s="29" t="s">
        <v>3223</v>
      </c>
      <c r="C8317" s="29"/>
      <c r="D8317" s="29" t="s">
        <v>4156</v>
      </c>
      <c r="E8317" s="29"/>
      <c r="F8317" s="29" t="s">
        <v>2998</v>
      </c>
      <c r="G8317" s="29" t="s">
        <v>2999</v>
      </c>
      <c r="H8317" s="29" t="s">
        <v>3006</v>
      </c>
      <c r="I8317" s="29"/>
      <c r="J8317" s="29" t="s">
        <v>757</v>
      </c>
      <c r="K8317" s="29"/>
      <c r="L8317" s="29" t="s">
        <v>1062</v>
      </c>
      <c r="M8317" s="29" t="s">
        <v>6656</v>
      </c>
      <c r="N8317" s="29" t="s">
        <v>2458</v>
      </c>
      <c r="O8317" s="29"/>
      <c r="P8317" s="29" t="s">
        <v>13186</v>
      </c>
      <c r="Q8317" t="s">
        <v>2039</v>
      </c>
      <c r="R8317" t="s">
        <v>2635</v>
      </c>
      <c r="S8317">
        <v>37</v>
      </c>
      <c r="T8317" s="43" t="str">
        <f t="shared" si="358"/>
        <v>2021.036M.R.Rhabdoviridae_sprename.zip</v>
      </c>
      <c r="U8317" s="43" t="str">
        <f>HYPERLINK("https://ictv.global/taxonomy/taxondetails?taxnode_id=202201770","ictv.global=202201770")</f>
        <v>ictv.global=202201770</v>
      </c>
    </row>
    <row r="8318" spans="1:21">
      <c r="A8318">
        <v>8317</v>
      </c>
      <c r="B8318" s="29" t="s">
        <v>3223</v>
      </c>
      <c r="C8318" s="29"/>
      <c r="D8318" s="29" t="s">
        <v>4156</v>
      </c>
      <c r="E8318" s="29"/>
      <c r="F8318" s="29" t="s">
        <v>2998</v>
      </c>
      <c r="G8318" s="29" t="s">
        <v>2999</v>
      </c>
      <c r="H8318" s="29" t="s">
        <v>3006</v>
      </c>
      <c r="I8318" s="29"/>
      <c r="J8318" s="29" t="s">
        <v>757</v>
      </c>
      <c r="K8318" s="29"/>
      <c r="L8318" s="29" t="s">
        <v>1062</v>
      </c>
      <c r="M8318" s="29" t="s">
        <v>6656</v>
      </c>
      <c r="N8318" s="29" t="s">
        <v>2458</v>
      </c>
      <c r="O8318" s="29"/>
      <c r="P8318" s="29" t="s">
        <v>13187</v>
      </c>
      <c r="Q8318" t="s">
        <v>2039</v>
      </c>
      <c r="R8318" t="s">
        <v>2635</v>
      </c>
      <c r="S8318">
        <v>37</v>
      </c>
      <c r="T8318" s="43" t="str">
        <f t="shared" si="358"/>
        <v>2021.036M.R.Rhabdoviridae_sprename.zip</v>
      </c>
      <c r="U8318" s="43" t="str">
        <f>HYPERLINK("https://ictv.global/taxonomy/taxondetails?taxnode_id=202201772","ictv.global=202201772")</f>
        <v>ictv.global=202201772</v>
      </c>
    </row>
    <row r="8319" spans="1:21">
      <c r="A8319">
        <v>8318</v>
      </c>
      <c r="B8319" s="29" t="s">
        <v>3223</v>
      </c>
      <c r="C8319" s="29"/>
      <c r="D8319" s="29" t="s">
        <v>4156</v>
      </c>
      <c r="E8319" s="29"/>
      <c r="F8319" s="29" t="s">
        <v>2998</v>
      </c>
      <c r="G8319" s="29" t="s">
        <v>2999</v>
      </c>
      <c r="H8319" s="29" t="s">
        <v>3006</v>
      </c>
      <c r="I8319" s="29"/>
      <c r="J8319" s="29" t="s">
        <v>757</v>
      </c>
      <c r="K8319" s="29"/>
      <c r="L8319" s="29" t="s">
        <v>1062</v>
      </c>
      <c r="M8319" s="29" t="s">
        <v>6656</v>
      </c>
      <c r="N8319" s="29" t="s">
        <v>4222</v>
      </c>
      <c r="O8319" s="29"/>
      <c r="P8319" s="29" t="s">
        <v>13188</v>
      </c>
      <c r="Q8319" t="s">
        <v>2039</v>
      </c>
      <c r="R8319" t="s">
        <v>2632</v>
      </c>
      <c r="S8319">
        <v>37</v>
      </c>
      <c r="T8319" s="43" t="str">
        <f>HYPERLINK("https://ictv.global/ictv/proposals/2021.004M.R.Alpharhabdovirinae_13nsp.zip","2021.004M.R.Alpharhabdovirinae_13nsp.zip")</f>
        <v>2021.004M.R.Alpharhabdovirinae_13nsp.zip</v>
      </c>
      <c r="U8319" s="43" t="str">
        <f>HYPERLINK("https://ictv.global/taxonomy/taxondetails?taxnode_id=202213332","ictv.global=202213332")</f>
        <v>ictv.global=202213332</v>
      </c>
    </row>
    <row r="8320" spans="1:21">
      <c r="A8320">
        <v>8319</v>
      </c>
      <c r="B8320" s="29" t="s">
        <v>3223</v>
      </c>
      <c r="C8320" s="29"/>
      <c r="D8320" s="29" t="s">
        <v>4156</v>
      </c>
      <c r="E8320" s="29"/>
      <c r="F8320" s="29" t="s">
        <v>2998</v>
      </c>
      <c r="G8320" s="29" t="s">
        <v>2999</v>
      </c>
      <c r="H8320" s="29" t="s">
        <v>3006</v>
      </c>
      <c r="I8320" s="29"/>
      <c r="J8320" s="29" t="s">
        <v>757</v>
      </c>
      <c r="K8320" s="29"/>
      <c r="L8320" s="29" t="s">
        <v>1062</v>
      </c>
      <c r="M8320" s="29" t="s">
        <v>6656</v>
      </c>
      <c r="N8320" s="29" t="s">
        <v>4222</v>
      </c>
      <c r="O8320" s="29"/>
      <c r="P8320" s="29" t="s">
        <v>13189</v>
      </c>
      <c r="Q8320" t="s">
        <v>2039</v>
      </c>
      <c r="R8320" t="s">
        <v>2632</v>
      </c>
      <c r="S8320">
        <v>37</v>
      </c>
      <c r="T8320" s="43" t="str">
        <f>HYPERLINK("https://ictv.global/ictv/proposals/2021.004M.R.Alpharhabdovirinae_13nsp.zip","2021.004M.R.Alpharhabdovirinae_13nsp.zip")</f>
        <v>2021.004M.R.Alpharhabdovirinae_13nsp.zip</v>
      </c>
      <c r="U8320" s="43" t="str">
        <f>HYPERLINK("https://ictv.global/taxonomy/taxondetails?taxnode_id=202213329","ictv.global=202213329")</f>
        <v>ictv.global=202213329</v>
      </c>
    </row>
    <row r="8321" spans="1:21">
      <c r="A8321">
        <v>8320</v>
      </c>
      <c r="B8321" s="29" t="s">
        <v>3223</v>
      </c>
      <c r="C8321" s="29"/>
      <c r="D8321" s="29" t="s">
        <v>4156</v>
      </c>
      <c r="E8321" s="29"/>
      <c r="F8321" s="29" t="s">
        <v>2998</v>
      </c>
      <c r="G8321" s="29" t="s">
        <v>2999</v>
      </c>
      <c r="H8321" s="29" t="s">
        <v>3006</v>
      </c>
      <c r="I8321" s="29"/>
      <c r="J8321" s="29" t="s">
        <v>757</v>
      </c>
      <c r="K8321" s="29"/>
      <c r="L8321" s="29" t="s">
        <v>1062</v>
      </c>
      <c r="M8321" s="29" t="s">
        <v>6656</v>
      </c>
      <c r="N8321" s="29" t="s">
        <v>4222</v>
      </c>
      <c r="O8321" s="29"/>
      <c r="P8321" s="29" t="s">
        <v>13190</v>
      </c>
      <c r="Q8321" t="s">
        <v>2039</v>
      </c>
      <c r="R8321" t="s">
        <v>2632</v>
      </c>
      <c r="S8321">
        <v>37</v>
      </c>
      <c r="T8321" s="43" t="str">
        <f>HYPERLINK("https://ictv.global/ictv/proposals/2021.004M.R.Alpharhabdovirinae_13nsp.zip","2021.004M.R.Alpharhabdovirinae_13nsp.zip")</f>
        <v>2021.004M.R.Alpharhabdovirinae_13nsp.zip</v>
      </c>
      <c r="U8321" s="43" t="str">
        <f>HYPERLINK("https://ictv.global/taxonomy/taxondetails?taxnode_id=202213328","ictv.global=202213328")</f>
        <v>ictv.global=202213328</v>
      </c>
    </row>
    <row r="8322" spans="1:21">
      <c r="A8322">
        <v>8321</v>
      </c>
      <c r="B8322" s="29" t="s">
        <v>3223</v>
      </c>
      <c r="C8322" s="29"/>
      <c r="D8322" s="29" t="s">
        <v>4156</v>
      </c>
      <c r="E8322" s="29"/>
      <c r="F8322" s="29" t="s">
        <v>2998</v>
      </c>
      <c r="G8322" s="29" t="s">
        <v>2999</v>
      </c>
      <c r="H8322" s="29" t="s">
        <v>3006</v>
      </c>
      <c r="I8322" s="29"/>
      <c r="J8322" s="29" t="s">
        <v>757</v>
      </c>
      <c r="K8322" s="29"/>
      <c r="L8322" s="29" t="s">
        <v>1062</v>
      </c>
      <c r="M8322" s="29" t="s">
        <v>6656</v>
      </c>
      <c r="N8322" s="29" t="s">
        <v>4222</v>
      </c>
      <c r="O8322" s="29"/>
      <c r="P8322" s="29" t="s">
        <v>13191</v>
      </c>
      <c r="Q8322" t="s">
        <v>2039</v>
      </c>
      <c r="R8322" t="s">
        <v>2635</v>
      </c>
      <c r="S8322">
        <v>37</v>
      </c>
      <c r="T8322" s="43" t="str">
        <f>HYPERLINK("https://ictv.global/ictv/proposals/2021.036M.R.Rhabdoviridae_sprename.zip","2021.036M.R.Rhabdoviridae_sprename.zip")</f>
        <v>2021.036M.R.Rhabdoviridae_sprename.zip</v>
      </c>
      <c r="U8322" s="43" t="str">
        <f>HYPERLINK("https://ictv.global/taxonomy/taxondetails?taxnode_id=202209167","ictv.global=202209167")</f>
        <v>ictv.global=202209167</v>
      </c>
    </row>
    <row r="8323" spans="1:21">
      <c r="A8323">
        <v>8322</v>
      </c>
      <c r="B8323" s="29" t="s">
        <v>3223</v>
      </c>
      <c r="C8323" s="29"/>
      <c r="D8323" s="29" t="s">
        <v>4156</v>
      </c>
      <c r="E8323" s="29"/>
      <c r="F8323" s="29" t="s">
        <v>2998</v>
      </c>
      <c r="G8323" s="29" t="s">
        <v>2999</v>
      </c>
      <c r="H8323" s="29" t="s">
        <v>3006</v>
      </c>
      <c r="I8323" s="29"/>
      <c r="J8323" s="29" t="s">
        <v>757</v>
      </c>
      <c r="K8323" s="29"/>
      <c r="L8323" s="29" t="s">
        <v>1062</v>
      </c>
      <c r="M8323" s="29" t="s">
        <v>6656</v>
      </c>
      <c r="N8323" s="29" t="s">
        <v>4222</v>
      </c>
      <c r="O8323" s="29"/>
      <c r="P8323" s="29" t="s">
        <v>13192</v>
      </c>
      <c r="Q8323" t="s">
        <v>2039</v>
      </c>
      <c r="R8323" t="s">
        <v>2635</v>
      </c>
      <c r="S8323">
        <v>37</v>
      </c>
      <c r="T8323" s="43" t="str">
        <f>HYPERLINK("https://ictv.global/ictv/proposals/2021.036M.R.Rhabdoviridae_sprename.zip","2021.036M.R.Rhabdoviridae_sprename.zip")</f>
        <v>2021.036M.R.Rhabdoviridae_sprename.zip</v>
      </c>
      <c r="U8323" s="43" t="str">
        <f>HYPERLINK("https://ictv.global/taxonomy/taxondetails?taxnode_id=202207125","ictv.global=202207125")</f>
        <v>ictv.global=202207125</v>
      </c>
    </row>
    <row r="8324" spans="1:21">
      <c r="A8324">
        <v>8323</v>
      </c>
      <c r="B8324" s="29" t="s">
        <v>3223</v>
      </c>
      <c r="C8324" s="29"/>
      <c r="D8324" s="29" t="s">
        <v>4156</v>
      </c>
      <c r="E8324" s="29"/>
      <c r="F8324" s="29" t="s">
        <v>2998</v>
      </c>
      <c r="G8324" s="29" t="s">
        <v>2999</v>
      </c>
      <c r="H8324" s="29" t="s">
        <v>3006</v>
      </c>
      <c r="I8324" s="29"/>
      <c r="J8324" s="29" t="s">
        <v>757</v>
      </c>
      <c r="K8324" s="29"/>
      <c r="L8324" s="29" t="s">
        <v>1062</v>
      </c>
      <c r="M8324" s="29" t="s">
        <v>6656</v>
      </c>
      <c r="N8324" s="29" t="s">
        <v>4222</v>
      </c>
      <c r="O8324" s="29"/>
      <c r="P8324" s="29" t="s">
        <v>13193</v>
      </c>
      <c r="Q8324" t="s">
        <v>2039</v>
      </c>
      <c r="R8324" t="s">
        <v>2635</v>
      </c>
      <c r="S8324">
        <v>37</v>
      </c>
      <c r="T8324" s="43" t="str">
        <f>HYPERLINK("https://ictv.global/ictv/proposals/2021.036M.R.Rhabdoviridae_sprename.zip","2021.036M.R.Rhabdoviridae_sprename.zip")</f>
        <v>2021.036M.R.Rhabdoviridae_sprename.zip</v>
      </c>
      <c r="U8324" s="43" t="str">
        <f>HYPERLINK("https://ictv.global/taxonomy/taxondetails?taxnode_id=202207126","ictv.global=202207126")</f>
        <v>ictv.global=202207126</v>
      </c>
    </row>
    <row r="8325" spans="1:21">
      <c r="A8325">
        <v>8324</v>
      </c>
      <c r="B8325" s="29" t="s">
        <v>3223</v>
      </c>
      <c r="C8325" s="29"/>
      <c r="D8325" s="29" t="s">
        <v>4156</v>
      </c>
      <c r="E8325" s="29"/>
      <c r="F8325" s="29" t="s">
        <v>2998</v>
      </c>
      <c r="G8325" s="29" t="s">
        <v>2999</v>
      </c>
      <c r="H8325" s="29" t="s">
        <v>3006</v>
      </c>
      <c r="I8325" s="29"/>
      <c r="J8325" s="29" t="s">
        <v>757</v>
      </c>
      <c r="K8325" s="29"/>
      <c r="L8325" s="29" t="s">
        <v>1062</v>
      </c>
      <c r="M8325" s="29" t="s">
        <v>6656</v>
      </c>
      <c r="N8325" s="29" t="s">
        <v>4222</v>
      </c>
      <c r="O8325" s="29"/>
      <c r="P8325" s="29" t="s">
        <v>13194</v>
      </c>
      <c r="Q8325" t="s">
        <v>2039</v>
      </c>
      <c r="R8325" t="s">
        <v>2632</v>
      </c>
      <c r="S8325">
        <v>37</v>
      </c>
      <c r="T8325" s="43" t="str">
        <f>HYPERLINK("https://ictv.global/ictv/proposals/2021.004M.R.Alpharhabdovirinae_13nsp.zip","2021.004M.R.Alpharhabdovirinae_13nsp.zip")</f>
        <v>2021.004M.R.Alpharhabdovirinae_13nsp.zip</v>
      </c>
      <c r="U8325" s="43" t="str">
        <f>HYPERLINK("https://ictv.global/taxonomy/taxondetails?taxnode_id=202213330","ictv.global=202213330")</f>
        <v>ictv.global=202213330</v>
      </c>
    </row>
    <row r="8326" spans="1:21">
      <c r="A8326">
        <v>8325</v>
      </c>
      <c r="B8326" s="29" t="s">
        <v>3223</v>
      </c>
      <c r="C8326" s="29"/>
      <c r="D8326" s="29" t="s">
        <v>4156</v>
      </c>
      <c r="E8326" s="29"/>
      <c r="F8326" s="29" t="s">
        <v>2998</v>
      </c>
      <c r="G8326" s="29" t="s">
        <v>2999</v>
      </c>
      <c r="H8326" s="29" t="s">
        <v>3006</v>
      </c>
      <c r="I8326" s="29"/>
      <c r="J8326" s="29" t="s">
        <v>757</v>
      </c>
      <c r="K8326" s="29"/>
      <c r="L8326" s="29" t="s">
        <v>1062</v>
      </c>
      <c r="M8326" s="29" t="s">
        <v>6656</v>
      </c>
      <c r="N8326" s="29" t="s">
        <v>4222</v>
      </c>
      <c r="O8326" s="29"/>
      <c r="P8326" s="29" t="s">
        <v>13195</v>
      </c>
      <c r="Q8326" t="s">
        <v>2039</v>
      </c>
      <c r="R8326" t="s">
        <v>2635</v>
      </c>
      <c r="S8326">
        <v>37</v>
      </c>
      <c r="T8326" s="43" t="str">
        <f>HYPERLINK("https://ictv.global/ictv/proposals/2021.036M.R.Rhabdoviridae_sprename.zip","2021.036M.R.Rhabdoviridae_sprename.zip")</f>
        <v>2021.036M.R.Rhabdoviridae_sprename.zip</v>
      </c>
      <c r="U8326" s="43" t="str">
        <f>HYPERLINK("https://ictv.global/taxonomy/taxondetails?taxnode_id=202207128","ictv.global=202207128")</f>
        <v>ictv.global=202207128</v>
      </c>
    </row>
    <row r="8327" spans="1:21">
      <c r="A8327">
        <v>8326</v>
      </c>
      <c r="B8327" s="29" t="s">
        <v>3223</v>
      </c>
      <c r="C8327" s="29"/>
      <c r="D8327" s="29" t="s">
        <v>4156</v>
      </c>
      <c r="E8327" s="29"/>
      <c r="F8327" s="29" t="s">
        <v>2998</v>
      </c>
      <c r="G8327" s="29" t="s">
        <v>2999</v>
      </c>
      <c r="H8327" s="29" t="s">
        <v>3006</v>
      </c>
      <c r="I8327" s="29"/>
      <c r="J8327" s="29" t="s">
        <v>757</v>
      </c>
      <c r="K8327" s="29"/>
      <c r="L8327" s="29" t="s">
        <v>1062</v>
      </c>
      <c r="M8327" s="29" t="s">
        <v>6656</v>
      </c>
      <c r="N8327" s="29" t="s">
        <v>4222</v>
      </c>
      <c r="O8327" s="29"/>
      <c r="P8327" s="29" t="s">
        <v>13196</v>
      </c>
      <c r="Q8327" t="s">
        <v>2039</v>
      </c>
      <c r="R8327" t="s">
        <v>2632</v>
      </c>
      <c r="S8327">
        <v>37</v>
      </c>
      <c r="T8327" s="43" t="str">
        <f>HYPERLINK("https://ictv.global/ictv/proposals/2021.004M.R.Alpharhabdovirinae_13nsp.zip","2021.004M.R.Alpharhabdovirinae_13nsp.zip")</f>
        <v>2021.004M.R.Alpharhabdovirinae_13nsp.zip</v>
      </c>
      <c r="U8327" s="43" t="str">
        <f>HYPERLINK("https://ictv.global/taxonomy/taxondetails?taxnode_id=202213333","ictv.global=202213333")</f>
        <v>ictv.global=202213333</v>
      </c>
    </row>
    <row r="8328" spans="1:21">
      <c r="A8328">
        <v>8327</v>
      </c>
      <c r="B8328" s="29" t="s">
        <v>3223</v>
      </c>
      <c r="C8328" s="29"/>
      <c r="D8328" s="29" t="s">
        <v>4156</v>
      </c>
      <c r="E8328" s="29"/>
      <c r="F8328" s="29" t="s">
        <v>2998</v>
      </c>
      <c r="G8328" s="29" t="s">
        <v>2999</v>
      </c>
      <c r="H8328" s="29" t="s">
        <v>3006</v>
      </c>
      <c r="I8328" s="29"/>
      <c r="J8328" s="29" t="s">
        <v>757</v>
      </c>
      <c r="K8328" s="29"/>
      <c r="L8328" s="29" t="s">
        <v>1062</v>
      </c>
      <c r="M8328" s="29" t="s">
        <v>6656</v>
      </c>
      <c r="N8328" s="29" t="s">
        <v>4222</v>
      </c>
      <c r="O8328" s="29"/>
      <c r="P8328" s="29" t="s">
        <v>13197</v>
      </c>
      <c r="Q8328" t="s">
        <v>2039</v>
      </c>
      <c r="R8328" t="s">
        <v>2632</v>
      </c>
      <c r="S8328">
        <v>37</v>
      </c>
      <c r="T8328" s="43" t="str">
        <f>HYPERLINK("https://ictv.global/ictv/proposals/2021.004M.R.Alpharhabdovirinae_13nsp.zip","2021.004M.R.Alpharhabdovirinae_13nsp.zip;2021.042M.R.Corrections_Riboviria_Duplodnaviria.zip")</f>
        <v>2021.004M.R.Alpharhabdovirinae_13nsp.zip;2021.042M.R.Corrections_Riboviria_Duplodnaviria.zip</v>
      </c>
      <c r="U8328" s="43" t="str">
        <f>HYPERLINK("https://ictv.global/taxonomy/taxondetails?taxnode_id=202213327","ictv.global=202213327")</f>
        <v>ictv.global=202213327</v>
      </c>
    </row>
    <row r="8329" spans="1:21">
      <c r="A8329">
        <v>8328</v>
      </c>
      <c r="B8329" s="29" t="s">
        <v>3223</v>
      </c>
      <c r="C8329" s="29"/>
      <c r="D8329" s="29" t="s">
        <v>4156</v>
      </c>
      <c r="E8329" s="29"/>
      <c r="F8329" s="29" t="s">
        <v>2998</v>
      </c>
      <c r="G8329" s="29" t="s">
        <v>2999</v>
      </c>
      <c r="H8329" s="29" t="s">
        <v>3006</v>
      </c>
      <c r="I8329" s="29"/>
      <c r="J8329" s="29" t="s">
        <v>757</v>
      </c>
      <c r="K8329" s="29"/>
      <c r="L8329" s="29" t="s">
        <v>1062</v>
      </c>
      <c r="M8329" s="29" t="s">
        <v>6656</v>
      </c>
      <c r="N8329" s="29" t="s">
        <v>4222</v>
      </c>
      <c r="O8329" s="29"/>
      <c r="P8329" s="29" t="s">
        <v>13198</v>
      </c>
      <c r="Q8329" t="s">
        <v>2039</v>
      </c>
      <c r="R8329" t="s">
        <v>2635</v>
      </c>
      <c r="S8329">
        <v>37</v>
      </c>
      <c r="T8329" s="43" t="str">
        <f>HYPERLINK("https://ictv.global/ictv/proposals/2021.036M.R.Rhabdoviridae_sprename.zip","2021.036M.R.Rhabdoviridae_sprename.zip")</f>
        <v>2021.036M.R.Rhabdoviridae_sprename.zip</v>
      </c>
      <c r="U8329" s="43" t="str">
        <f>HYPERLINK("https://ictv.global/taxonomy/taxondetails?taxnode_id=202207129","ictv.global=202207129")</f>
        <v>ictv.global=202207129</v>
      </c>
    </row>
    <row r="8330" spans="1:21">
      <c r="A8330">
        <v>8329</v>
      </c>
      <c r="B8330" s="29" t="s">
        <v>3223</v>
      </c>
      <c r="C8330" s="29"/>
      <c r="D8330" s="29" t="s">
        <v>4156</v>
      </c>
      <c r="E8330" s="29"/>
      <c r="F8330" s="29" t="s">
        <v>2998</v>
      </c>
      <c r="G8330" s="29" t="s">
        <v>2999</v>
      </c>
      <c r="H8330" s="29" t="s">
        <v>3006</v>
      </c>
      <c r="I8330" s="29"/>
      <c r="J8330" s="29" t="s">
        <v>757</v>
      </c>
      <c r="K8330" s="29"/>
      <c r="L8330" s="29" t="s">
        <v>1062</v>
      </c>
      <c r="M8330" s="29" t="s">
        <v>6656</v>
      </c>
      <c r="N8330" s="29" t="s">
        <v>4222</v>
      </c>
      <c r="O8330" s="29"/>
      <c r="P8330" s="29" t="s">
        <v>13199</v>
      </c>
      <c r="Q8330" t="s">
        <v>2039</v>
      </c>
      <c r="R8330" t="s">
        <v>2632</v>
      </c>
      <c r="S8330">
        <v>37</v>
      </c>
      <c r="T8330" s="43" t="str">
        <f>HYPERLINK("https://ictv.global/ictv/proposals/2021.004M.R.Alpharhabdovirinae_13nsp.zip","2021.004M.R.Alpharhabdovirinae_13nsp.zip")</f>
        <v>2021.004M.R.Alpharhabdovirinae_13nsp.zip</v>
      </c>
      <c r="U8330" s="43" t="str">
        <f>HYPERLINK("https://ictv.global/taxonomy/taxondetails?taxnode_id=202213331","ictv.global=202213331")</f>
        <v>ictv.global=202213331</v>
      </c>
    </row>
    <row r="8331" spans="1:21">
      <c r="A8331">
        <v>8330</v>
      </c>
      <c r="B8331" s="29" t="s">
        <v>3223</v>
      </c>
      <c r="C8331" s="29"/>
      <c r="D8331" s="29" t="s">
        <v>4156</v>
      </c>
      <c r="E8331" s="29"/>
      <c r="F8331" s="29" t="s">
        <v>2998</v>
      </c>
      <c r="G8331" s="29" t="s">
        <v>2999</v>
      </c>
      <c r="H8331" s="29" t="s">
        <v>3006</v>
      </c>
      <c r="I8331" s="29"/>
      <c r="J8331" s="29" t="s">
        <v>757</v>
      </c>
      <c r="K8331" s="29"/>
      <c r="L8331" s="29" t="s">
        <v>1062</v>
      </c>
      <c r="M8331" s="29" t="s">
        <v>6656</v>
      </c>
      <c r="N8331" s="29" t="s">
        <v>4222</v>
      </c>
      <c r="O8331" s="29"/>
      <c r="P8331" s="29" t="s">
        <v>13200</v>
      </c>
      <c r="Q8331" t="s">
        <v>2039</v>
      </c>
      <c r="R8331" t="s">
        <v>2632</v>
      </c>
      <c r="S8331">
        <v>37</v>
      </c>
      <c r="T8331" s="43" t="str">
        <f>HYPERLINK("https://ictv.global/ictv/proposals/2021.004M.R.Alpharhabdovirinae_13nsp.zip","2021.004M.R.Alpharhabdovirinae_13nsp.zip")</f>
        <v>2021.004M.R.Alpharhabdovirinae_13nsp.zip</v>
      </c>
      <c r="U8331" s="43" t="str">
        <f>HYPERLINK("https://ictv.global/taxonomy/taxondetails?taxnode_id=202213326","ictv.global=202213326")</f>
        <v>ictv.global=202213326</v>
      </c>
    </row>
    <row r="8332" spans="1:21">
      <c r="A8332">
        <v>8331</v>
      </c>
      <c r="B8332" s="29" t="s">
        <v>3223</v>
      </c>
      <c r="C8332" s="29"/>
      <c r="D8332" s="29" t="s">
        <v>4156</v>
      </c>
      <c r="E8332" s="29"/>
      <c r="F8332" s="29" t="s">
        <v>2998</v>
      </c>
      <c r="G8332" s="29" t="s">
        <v>2999</v>
      </c>
      <c r="H8332" s="29" t="s">
        <v>3006</v>
      </c>
      <c r="I8332" s="29"/>
      <c r="J8332" s="29" t="s">
        <v>757</v>
      </c>
      <c r="K8332" s="29"/>
      <c r="L8332" s="29" t="s">
        <v>1062</v>
      </c>
      <c r="M8332" s="29" t="s">
        <v>6656</v>
      </c>
      <c r="N8332" s="29" t="s">
        <v>4222</v>
      </c>
      <c r="O8332" s="29"/>
      <c r="P8332" s="29" t="s">
        <v>13201</v>
      </c>
      <c r="Q8332" t="s">
        <v>2039</v>
      </c>
      <c r="R8332" t="s">
        <v>2635</v>
      </c>
      <c r="S8332">
        <v>37</v>
      </c>
      <c r="T8332" s="43" t="str">
        <f>HYPERLINK("https://ictv.global/ictv/proposals/2021.036M.R.Rhabdoviridae_sprename.zip","2021.036M.R.Rhabdoviridae_sprename.zip")</f>
        <v>2021.036M.R.Rhabdoviridae_sprename.zip</v>
      </c>
      <c r="U8332" s="43" t="str">
        <f>HYPERLINK("https://ictv.global/taxonomy/taxondetails?taxnode_id=202207124","ictv.global=202207124")</f>
        <v>ictv.global=202207124</v>
      </c>
    </row>
    <row r="8333" spans="1:21">
      <c r="A8333">
        <v>8332</v>
      </c>
      <c r="B8333" s="29" t="s">
        <v>3223</v>
      </c>
      <c r="C8333" s="29"/>
      <c r="D8333" s="29" t="s">
        <v>4156</v>
      </c>
      <c r="E8333" s="29"/>
      <c r="F8333" s="29" t="s">
        <v>2998</v>
      </c>
      <c r="G8333" s="29" t="s">
        <v>2999</v>
      </c>
      <c r="H8333" s="29" t="s">
        <v>3006</v>
      </c>
      <c r="I8333" s="29"/>
      <c r="J8333" s="29" t="s">
        <v>757</v>
      </c>
      <c r="K8333" s="29"/>
      <c r="L8333" s="29" t="s">
        <v>1062</v>
      </c>
      <c r="M8333" s="29" t="s">
        <v>6656</v>
      </c>
      <c r="N8333" s="29" t="s">
        <v>4222</v>
      </c>
      <c r="O8333" s="29"/>
      <c r="P8333" s="29" t="s">
        <v>13202</v>
      </c>
      <c r="Q8333" t="s">
        <v>2039</v>
      </c>
      <c r="R8333" t="s">
        <v>2635</v>
      </c>
      <c r="S8333">
        <v>37</v>
      </c>
      <c r="T8333" s="43" t="str">
        <f>HYPERLINK("https://ictv.global/ictv/proposals/2021.036M.R.Rhabdoviridae_sprename.zip","2021.036M.R.Rhabdoviridae_sprename.zip")</f>
        <v>2021.036M.R.Rhabdoviridae_sprename.zip</v>
      </c>
      <c r="U8333" s="43" t="str">
        <f>HYPERLINK("https://ictv.global/taxonomy/taxondetails?taxnode_id=202207127","ictv.global=202207127")</f>
        <v>ictv.global=202207127</v>
      </c>
    </row>
    <row r="8334" spans="1:21">
      <c r="A8334">
        <v>8333</v>
      </c>
      <c r="B8334" s="29" t="s">
        <v>3223</v>
      </c>
      <c r="C8334" s="29"/>
      <c r="D8334" s="29" t="s">
        <v>4156</v>
      </c>
      <c r="E8334" s="29"/>
      <c r="F8334" s="29" t="s">
        <v>2998</v>
      </c>
      <c r="G8334" s="29" t="s">
        <v>2999</v>
      </c>
      <c r="H8334" s="29" t="s">
        <v>3006</v>
      </c>
      <c r="I8334" s="29"/>
      <c r="J8334" s="29" t="s">
        <v>757</v>
      </c>
      <c r="K8334" s="29"/>
      <c r="L8334" s="29" t="s">
        <v>1062</v>
      </c>
      <c r="M8334" s="29" t="s">
        <v>6656</v>
      </c>
      <c r="N8334" s="29" t="s">
        <v>13203</v>
      </c>
      <c r="O8334" s="29"/>
      <c r="P8334" s="29" t="s">
        <v>13204</v>
      </c>
      <c r="Q8334" t="s">
        <v>2039</v>
      </c>
      <c r="R8334" t="s">
        <v>2632</v>
      </c>
      <c r="S8334">
        <v>38</v>
      </c>
      <c r="T8334" s="43" t="str">
        <f>HYPERLINK("https://ictv.global/ictv/proposals/2022.002M.Alpharhabdovirinae_1ngen14nsp.zip","2022.002M.Alpharhabdovirinae_1ngen14nsp.zip")</f>
        <v>2022.002M.Alpharhabdovirinae_1ngen14nsp.zip</v>
      </c>
      <c r="U8334" s="43" t="str">
        <f>HYPERLINK("https://ictv.global/taxonomy/taxondetails?taxnode_id=202214147","ictv.global=202214147")</f>
        <v>ictv.global=202214147</v>
      </c>
    </row>
    <row r="8335" spans="1:21">
      <c r="A8335">
        <v>8334</v>
      </c>
      <c r="B8335" s="29" t="s">
        <v>3223</v>
      </c>
      <c r="C8335" s="29"/>
      <c r="D8335" s="29" t="s">
        <v>4156</v>
      </c>
      <c r="E8335" s="29"/>
      <c r="F8335" s="29" t="s">
        <v>2998</v>
      </c>
      <c r="G8335" s="29" t="s">
        <v>2999</v>
      </c>
      <c r="H8335" s="29" t="s">
        <v>3006</v>
      </c>
      <c r="I8335" s="29"/>
      <c r="J8335" s="29" t="s">
        <v>757</v>
      </c>
      <c r="K8335" s="29"/>
      <c r="L8335" s="29" t="s">
        <v>1062</v>
      </c>
      <c r="M8335" s="29" t="s">
        <v>6656</v>
      </c>
      <c r="N8335" s="29" t="s">
        <v>13203</v>
      </c>
      <c r="O8335" s="29"/>
      <c r="P8335" s="29" t="s">
        <v>13205</v>
      </c>
      <c r="Q8335" t="s">
        <v>2039</v>
      </c>
      <c r="R8335" t="s">
        <v>2632</v>
      </c>
      <c r="S8335">
        <v>38</v>
      </c>
      <c r="T8335" s="43" t="str">
        <f>HYPERLINK("https://ictv.global/ictv/proposals/2022.002M.Alpharhabdovirinae_1ngen14nsp.zip","2022.002M.Alpharhabdovirinae_1ngen14nsp.zip")</f>
        <v>2022.002M.Alpharhabdovirinae_1ngen14nsp.zip</v>
      </c>
      <c r="U8335" s="43" t="str">
        <f>HYPERLINK("https://ictv.global/taxonomy/taxondetails?taxnode_id=202214146","ictv.global=202214146")</f>
        <v>ictv.global=202214146</v>
      </c>
    </row>
    <row r="8336" spans="1:21">
      <c r="A8336">
        <v>8335</v>
      </c>
      <c r="B8336" s="29" t="s">
        <v>3223</v>
      </c>
      <c r="C8336" s="29"/>
      <c r="D8336" s="29" t="s">
        <v>4156</v>
      </c>
      <c r="E8336" s="29"/>
      <c r="F8336" s="29" t="s">
        <v>2998</v>
      </c>
      <c r="G8336" s="29" t="s">
        <v>2999</v>
      </c>
      <c r="H8336" s="29" t="s">
        <v>3006</v>
      </c>
      <c r="I8336" s="29"/>
      <c r="J8336" s="29" t="s">
        <v>757</v>
      </c>
      <c r="K8336" s="29"/>
      <c r="L8336" s="29" t="s">
        <v>1062</v>
      </c>
      <c r="M8336" s="29" t="s">
        <v>6656</v>
      </c>
      <c r="N8336" s="29" t="s">
        <v>1605</v>
      </c>
      <c r="O8336" s="29"/>
      <c r="P8336" s="29" t="s">
        <v>13206</v>
      </c>
      <c r="Q8336" t="s">
        <v>2039</v>
      </c>
      <c r="R8336" t="s">
        <v>2635</v>
      </c>
      <c r="S8336">
        <v>37</v>
      </c>
      <c r="T8336" s="43" t="str">
        <f>HYPERLINK("https://ictv.global/ictv/proposals/2021.036M.R.Rhabdoviridae_sprename.zip","2021.036M.R.Rhabdoviridae_sprename.zip")</f>
        <v>2021.036M.R.Rhabdoviridae_sprename.zip</v>
      </c>
      <c r="U8336" s="43" t="str">
        <f>HYPERLINK("https://ictv.global/taxonomy/taxondetails?taxnode_id=202201776","ictv.global=202201776")</f>
        <v>ictv.global=202201776</v>
      </c>
    </row>
    <row r="8337" spans="1:21">
      <c r="A8337">
        <v>8336</v>
      </c>
      <c r="B8337" s="29" t="s">
        <v>3223</v>
      </c>
      <c r="C8337" s="29"/>
      <c r="D8337" s="29" t="s">
        <v>4156</v>
      </c>
      <c r="E8337" s="29"/>
      <c r="F8337" s="29" t="s">
        <v>2998</v>
      </c>
      <c r="G8337" s="29" t="s">
        <v>2999</v>
      </c>
      <c r="H8337" s="29" t="s">
        <v>3006</v>
      </c>
      <c r="I8337" s="29"/>
      <c r="J8337" s="29" t="s">
        <v>757</v>
      </c>
      <c r="K8337" s="29"/>
      <c r="L8337" s="29" t="s">
        <v>1062</v>
      </c>
      <c r="M8337" s="29" t="s">
        <v>6656</v>
      </c>
      <c r="N8337" s="29" t="s">
        <v>1605</v>
      </c>
      <c r="O8337" s="29"/>
      <c r="P8337" s="29" t="s">
        <v>13207</v>
      </c>
      <c r="Q8337" t="s">
        <v>2039</v>
      </c>
      <c r="R8337" t="s">
        <v>2635</v>
      </c>
      <c r="S8337">
        <v>37</v>
      </c>
      <c r="T8337" s="43" t="str">
        <f>HYPERLINK("https://ictv.global/ictv/proposals/2021.036M.R.Rhabdoviridae_sprename.zip","2021.036M.R.Rhabdoviridae_sprename.zip")</f>
        <v>2021.036M.R.Rhabdoviridae_sprename.zip</v>
      </c>
      <c r="U8337" s="43" t="str">
        <f>HYPERLINK("https://ictv.global/taxonomy/taxondetails?taxnode_id=202205583","ictv.global=202205583")</f>
        <v>ictv.global=202205583</v>
      </c>
    </row>
    <row r="8338" spans="1:21">
      <c r="A8338">
        <v>8337</v>
      </c>
      <c r="B8338" s="29" t="s">
        <v>3223</v>
      </c>
      <c r="C8338" s="29"/>
      <c r="D8338" s="29" t="s">
        <v>4156</v>
      </c>
      <c r="E8338" s="29"/>
      <c r="F8338" s="29" t="s">
        <v>2998</v>
      </c>
      <c r="G8338" s="29" t="s">
        <v>2999</v>
      </c>
      <c r="H8338" s="29" t="s">
        <v>3006</v>
      </c>
      <c r="I8338" s="29"/>
      <c r="J8338" s="29" t="s">
        <v>757</v>
      </c>
      <c r="K8338" s="29"/>
      <c r="L8338" s="29" t="s">
        <v>1062</v>
      </c>
      <c r="M8338" s="29" t="s">
        <v>6656</v>
      </c>
      <c r="N8338" s="29" t="s">
        <v>1605</v>
      </c>
      <c r="O8338" s="29"/>
      <c r="P8338" s="29" t="s">
        <v>13208</v>
      </c>
      <c r="Q8338" t="s">
        <v>2039</v>
      </c>
      <c r="R8338" t="s">
        <v>2635</v>
      </c>
      <c r="S8338">
        <v>37</v>
      </c>
      <c r="T8338" s="43" t="str">
        <f>HYPERLINK("https://ictv.global/ictv/proposals/2021.036M.R.Rhabdoviridae_sprename.zip","2021.036M.R.Rhabdoviridae_sprename.zip")</f>
        <v>2021.036M.R.Rhabdoviridae_sprename.zip</v>
      </c>
      <c r="U8338" s="43" t="str">
        <f>HYPERLINK("https://ictv.global/taxonomy/taxondetails?taxnode_id=202201777","ictv.global=202201777")</f>
        <v>ictv.global=202201777</v>
      </c>
    </row>
    <row r="8339" spans="1:21">
      <c r="A8339">
        <v>8338</v>
      </c>
      <c r="B8339" s="29" t="s">
        <v>3223</v>
      </c>
      <c r="C8339" s="29"/>
      <c r="D8339" s="29" t="s">
        <v>4156</v>
      </c>
      <c r="E8339" s="29"/>
      <c r="F8339" s="29" t="s">
        <v>2998</v>
      </c>
      <c r="G8339" s="29" t="s">
        <v>2999</v>
      </c>
      <c r="H8339" s="29" t="s">
        <v>3006</v>
      </c>
      <c r="I8339" s="29"/>
      <c r="J8339" s="29" t="s">
        <v>757</v>
      </c>
      <c r="K8339" s="29"/>
      <c r="L8339" s="29" t="s">
        <v>1062</v>
      </c>
      <c r="M8339" s="29" t="s">
        <v>6656</v>
      </c>
      <c r="N8339" s="29" t="s">
        <v>1605</v>
      </c>
      <c r="O8339" s="29"/>
      <c r="P8339" s="29" t="s">
        <v>13209</v>
      </c>
      <c r="Q8339" t="s">
        <v>2039</v>
      </c>
      <c r="R8339" t="s">
        <v>2635</v>
      </c>
      <c r="S8339">
        <v>37</v>
      </c>
      <c r="T8339" s="43" t="str">
        <f>HYPERLINK("https://ictv.global/ictv/proposals/2021.036M.R.Rhabdoviridae_sprename.zip","2021.036M.R.Rhabdoviridae_sprename.zip")</f>
        <v>2021.036M.R.Rhabdoviridae_sprename.zip</v>
      </c>
      <c r="U8339" s="43" t="str">
        <f>HYPERLINK("https://ictv.global/taxonomy/taxondetails?taxnode_id=202201775","ictv.global=202201775")</f>
        <v>ictv.global=202201775</v>
      </c>
    </row>
    <row r="8340" spans="1:21">
      <c r="A8340">
        <v>8339</v>
      </c>
      <c r="B8340" s="29" t="s">
        <v>3223</v>
      </c>
      <c r="C8340" s="29"/>
      <c r="D8340" s="29" t="s">
        <v>4156</v>
      </c>
      <c r="E8340" s="29"/>
      <c r="F8340" s="29" t="s">
        <v>2998</v>
      </c>
      <c r="G8340" s="29" t="s">
        <v>2999</v>
      </c>
      <c r="H8340" s="29" t="s">
        <v>3006</v>
      </c>
      <c r="I8340" s="29"/>
      <c r="J8340" s="29" t="s">
        <v>757</v>
      </c>
      <c r="K8340" s="29"/>
      <c r="L8340" s="29" t="s">
        <v>1062</v>
      </c>
      <c r="M8340" s="29" t="s">
        <v>6656</v>
      </c>
      <c r="N8340" s="29" t="s">
        <v>1605</v>
      </c>
      <c r="O8340" s="29"/>
      <c r="P8340" s="29" t="s">
        <v>13210</v>
      </c>
      <c r="Q8340" t="s">
        <v>2039</v>
      </c>
      <c r="R8340" t="s">
        <v>2635</v>
      </c>
      <c r="S8340">
        <v>37</v>
      </c>
      <c r="T8340" s="43" t="str">
        <f>HYPERLINK("https://ictv.global/ictv/proposals/2021.036M.R.Rhabdoviridae_sprename.zip","2021.036M.R.Rhabdoviridae_sprename.zip")</f>
        <v>2021.036M.R.Rhabdoviridae_sprename.zip</v>
      </c>
      <c r="U8340" s="43" t="str">
        <f>HYPERLINK("https://ictv.global/taxonomy/taxondetails?taxnode_id=202201774","ictv.global=202201774")</f>
        <v>ictv.global=202201774</v>
      </c>
    </row>
    <row r="8341" spans="1:21">
      <c r="A8341">
        <v>8340</v>
      </c>
      <c r="B8341" s="29" t="s">
        <v>3223</v>
      </c>
      <c r="C8341" s="29"/>
      <c r="D8341" s="29" t="s">
        <v>4156</v>
      </c>
      <c r="E8341" s="29"/>
      <c r="F8341" s="29" t="s">
        <v>2998</v>
      </c>
      <c r="G8341" s="29" t="s">
        <v>2999</v>
      </c>
      <c r="H8341" s="29" t="s">
        <v>3006</v>
      </c>
      <c r="I8341" s="29"/>
      <c r="J8341" s="29" t="s">
        <v>757</v>
      </c>
      <c r="K8341" s="29"/>
      <c r="L8341" s="29" t="s">
        <v>1062</v>
      </c>
      <c r="M8341" s="29" t="s">
        <v>6656</v>
      </c>
      <c r="N8341" s="29" t="s">
        <v>1605</v>
      </c>
      <c r="O8341" s="29"/>
      <c r="P8341" s="29" t="s">
        <v>13211</v>
      </c>
      <c r="Q8341" t="s">
        <v>2039</v>
      </c>
      <c r="R8341" t="s">
        <v>2632</v>
      </c>
      <c r="S8341">
        <v>38</v>
      </c>
      <c r="T8341" s="43" t="str">
        <f>HYPERLINK("https://ictv.global/ictv/proposals/2022.002M.Alpharhabdovirinae_1ngen14nsp.zip","2022.002M.Alpharhabdovirinae_1ngen14nsp.zip")</f>
        <v>2022.002M.Alpharhabdovirinae_1ngen14nsp.zip</v>
      </c>
      <c r="U8341" s="43" t="str">
        <f>HYPERLINK("https://ictv.global/taxonomy/taxondetails?taxnode_id=202214152","ictv.global=202214152")</f>
        <v>ictv.global=202214152</v>
      </c>
    </row>
    <row r="8342" spans="1:21">
      <c r="A8342">
        <v>8341</v>
      </c>
      <c r="B8342" s="29" t="s">
        <v>3223</v>
      </c>
      <c r="C8342" s="29"/>
      <c r="D8342" s="29" t="s">
        <v>4156</v>
      </c>
      <c r="E8342" s="29"/>
      <c r="F8342" s="29" t="s">
        <v>2998</v>
      </c>
      <c r="G8342" s="29" t="s">
        <v>2999</v>
      </c>
      <c r="H8342" s="29" t="s">
        <v>3006</v>
      </c>
      <c r="I8342" s="29"/>
      <c r="J8342" s="29" t="s">
        <v>757</v>
      </c>
      <c r="K8342" s="29"/>
      <c r="L8342" s="29" t="s">
        <v>1062</v>
      </c>
      <c r="M8342" s="29" t="s">
        <v>6656</v>
      </c>
      <c r="N8342" s="29" t="s">
        <v>1605</v>
      </c>
      <c r="O8342" s="29"/>
      <c r="P8342" s="29" t="s">
        <v>13212</v>
      </c>
      <c r="Q8342" t="s">
        <v>2039</v>
      </c>
      <c r="R8342" t="s">
        <v>2635</v>
      </c>
      <c r="S8342">
        <v>37</v>
      </c>
      <c r="T8342" s="43" t="str">
        <f>HYPERLINK("https://ictv.global/ictv/proposals/2021.036M.R.Rhabdoviridae_sprename.zip","2021.036M.R.Rhabdoviridae_sprename.zip")</f>
        <v>2021.036M.R.Rhabdoviridae_sprename.zip</v>
      </c>
      <c r="U8342" s="43" t="str">
        <f>HYPERLINK("https://ictv.global/taxonomy/taxondetails?taxnode_id=202201778","ictv.global=202201778")</f>
        <v>ictv.global=202201778</v>
      </c>
    </row>
    <row r="8343" spans="1:21">
      <c r="A8343">
        <v>8342</v>
      </c>
      <c r="B8343" s="29" t="s">
        <v>3223</v>
      </c>
      <c r="C8343" s="29"/>
      <c r="D8343" s="29" t="s">
        <v>4156</v>
      </c>
      <c r="E8343" s="29"/>
      <c r="F8343" s="29" t="s">
        <v>2998</v>
      </c>
      <c r="G8343" s="29" t="s">
        <v>2999</v>
      </c>
      <c r="H8343" s="29" t="s">
        <v>3006</v>
      </c>
      <c r="I8343" s="29"/>
      <c r="J8343" s="29" t="s">
        <v>757</v>
      </c>
      <c r="K8343" s="29"/>
      <c r="L8343" s="29" t="s">
        <v>1062</v>
      </c>
      <c r="M8343" s="29" t="s">
        <v>6656</v>
      </c>
      <c r="N8343" s="29" t="s">
        <v>1605</v>
      </c>
      <c r="O8343" s="29"/>
      <c r="P8343" s="29" t="s">
        <v>13213</v>
      </c>
      <c r="Q8343" t="s">
        <v>2039</v>
      </c>
      <c r="R8343" t="s">
        <v>2635</v>
      </c>
      <c r="S8343">
        <v>37</v>
      </c>
      <c r="T8343" s="43" t="str">
        <f>HYPERLINK("https://ictv.global/ictv/proposals/2021.036M.R.Rhabdoviridae_sprename.zip","2021.036M.R.Rhabdoviridae_sprename.zip")</f>
        <v>2021.036M.R.Rhabdoviridae_sprename.zip</v>
      </c>
      <c r="U8343" s="43" t="str">
        <f>HYPERLINK("https://ictv.global/taxonomy/taxondetails?taxnode_id=202201779","ictv.global=202201779")</f>
        <v>ictv.global=202201779</v>
      </c>
    </row>
    <row r="8344" spans="1:21">
      <c r="A8344">
        <v>8343</v>
      </c>
      <c r="B8344" s="29" t="s">
        <v>3223</v>
      </c>
      <c r="C8344" s="29"/>
      <c r="D8344" s="29" t="s">
        <v>4156</v>
      </c>
      <c r="E8344" s="29"/>
      <c r="F8344" s="29" t="s">
        <v>2998</v>
      </c>
      <c r="G8344" s="29" t="s">
        <v>2999</v>
      </c>
      <c r="H8344" s="29" t="s">
        <v>3006</v>
      </c>
      <c r="I8344" s="29"/>
      <c r="J8344" s="29" t="s">
        <v>757</v>
      </c>
      <c r="K8344" s="29"/>
      <c r="L8344" s="29" t="s">
        <v>1062</v>
      </c>
      <c r="M8344" s="29" t="s">
        <v>6656</v>
      </c>
      <c r="N8344" s="29" t="s">
        <v>1714</v>
      </c>
      <c r="O8344" s="29"/>
      <c r="P8344" s="29" t="s">
        <v>13214</v>
      </c>
      <c r="Q8344" t="s">
        <v>2039</v>
      </c>
      <c r="R8344" t="s">
        <v>2635</v>
      </c>
      <c r="S8344">
        <v>37</v>
      </c>
      <c r="T8344" s="43" t="str">
        <f>HYPERLINK("https://ictv.global/ictv/proposals/2021.036M.R.Rhabdoviridae_sprename.zip","2021.036M.R.Rhabdoviridae_sprename.zip")</f>
        <v>2021.036M.R.Rhabdoviridae_sprename.zip</v>
      </c>
      <c r="U8344" s="43" t="str">
        <f>HYPERLINK("https://ictv.global/taxonomy/taxondetails?taxnode_id=202201781","ictv.global=202201781")</f>
        <v>ictv.global=202201781</v>
      </c>
    </row>
    <row r="8345" spans="1:21">
      <c r="A8345">
        <v>8344</v>
      </c>
      <c r="B8345" s="29" t="s">
        <v>3223</v>
      </c>
      <c r="C8345" s="29"/>
      <c r="D8345" s="29" t="s">
        <v>4156</v>
      </c>
      <c r="E8345" s="29"/>
      <c r="F8345" s="29" t="s">
        <v>2998</v>
      </c>
      <c r="G8345" s="29" t="s">
        <v>2999</v>
      </c>
      <c r="H8345" s="29" t="s">
        <v>3006</v>
      </c>
      <c r="I8345" s="29"/>
      <c r="J8345" s="29" t="s">
        <v>757</v>
      </c>
      <c r="K8345" s="29"/>
      <c r="L8345" s="29" t="s">
        <v>1062</v>
      </c>
      <c r="M8345" s="29" t="s">
        <v>6656</v>
      </c>
      <c r="N8345" s="29" t="s">
        <v>1714</v>
      </c>
      <c r="O8345" s="29"/>
      <c r="P8345" s="29" t="s">
        <v>13215</v>
      </c>
      <c r="Q8345" t="s">
        <v>2039</v>
      </c>
      <c r="R8345" t="s">
        <v>2635</v>
      </c>
      <c r="S8345">
        <v>37</v>
      </c>
      <c r="T8345" s="43" t="str">
        <f>HYPERLINK("https://ictv.global/ictv/proposals/2021.036M.R.Rhabdoviridae_sprename.zip","2021.036M.R.Rhabdoviridae_sprename.zip")</f>
        <v>2021.036M.R.Rhabdoviridae_sprename.zip</v>
      </c>
      <c r="U8345" s="43" t="str">
        <f>HYPERLINK("https://ictv.global/taxonomy/taxondetails?taxnode_id=202201782","ictv.global=202201782")</f>
        <v>ictv.global=202201782</v>
      </c>
    </row>
    <row r="8346" spans="1:21">
      <c r="A8346">
        <v>8345</v>
      </c>
      <c r="B8346" s="29" t="s">
        <v>3223</v>
      </c>
      <c r="C8346" s="29"/>
      <c r="D8346" s="29" t="s">
        <v>4156</v>
      </c>
      <c r="E8346" s="29"/>
      <c r="F8346" s="29" t="s">
        <v>2998</v>
      </c>
      <c r="G8346" s="29" t="s">
        <v>2999</v>
      </c>
      <c r="H8346" s="29" t="s">
        <v>3006</v>
      </c>
      <c r="I8346" s="29"/>
      <c r="J8346" s="29" t="s">
        <v>757</v>
      </c>
      <c r="K8346" s="29"/>
      <c r="L8346" s="29" t="s">
        <v>1062</v>
      </c>
      <c r="M8346" s="29" t="s">
        <v>6656</v>
      </c>
      <c r="N8346" s="29" t="s">
        <v>1714</v>
      </c>
      <c r="O8346" s="29"/>
      <c r="P8346" s="29" t="s">
        <v>13216</v>
      </c>
      <c r="Q8346" t="s">
        <v>2039</v>
      </c>
      <c r="R8346" t="s">
        <v>2632</v>
      </c>
      <c r="S8346">
        <v>38</v>
      </c>
      <c r="T8346" s="43" t="str">
        <f>HYPERLINK("https://ictv.global/ictv/proposals/2022.002M.Alpharhabdovirinae_1ngen14nsp.zip","2022.002M.Alpharhabdovirinae_1ngen14nsp.zip")</f>
        <v>2022.002M.Alpharhabdovirinae_1ngen14nsp.zip</v>
      </c>
      <c r="U8346" s="43" t="str">
        <f>HYPERLINK("https://ictv.global/taxonomy/taxondetails?taxnode_id=202214149","ictv.global=202214149")</f>
        <v>ictv.global=202214149</v>
      </c>
    </row>
    <row r="8347" spans="1:21">
      <c r="A8347">
        <v>8346</v>
      </c>
      <c r="B8347" s="29" t="s">
        <v>3223</v>
      </c>
      <c r="C8347" s="29"/>
      <c r="D8347" s="29" t="s">
        <v>4156</v>
      </c>
      <c r="E8347" s="29"/>
      <c r="F8347" s="29" t="s">
        <v>2998</v>
      </c>
      <c r="G8347" s="29" t="s">
        <v>2999</v>
      </c>
      <c r="H8347" s="29" t="s">
        <v>3006</v>
      </c>
      <c r="I8347" s="29"/>
      <c r="J8347" s="29" t="s">
        <v>757</v>
      </c>
      <c r="K8347" s="29"/>
      <c r="L8347" s="29" t="s">
        <v>1062</v>
      </c>
      <c r="M8347" s="29" t="s">
        <v>6656</v>
      </c>
      <c r="N8347" s="29" t="s">
        <v>1714</v>
      </c>
      <c r="O8347" s="29"/>
      <c r="P8347" s="29" t="s">
        <v>13217</v>
      </c>
      <c r="Q8347" t="s">
        <v>2039</v>
      </c>
      <c r="R8347" t="s">
        <v>2632</v>
      </c>
      <c r="S8347">
        <v>38</v>
      </c>
      <c r="T8347" s="43" t="str">
        <f>HYPERLINK("https://ictv.global/ictv/proposals/2022.002M.Alpharhabdovirinae_1ngen14nsp.zip","2022.002M.Alpharhabdovirinae_1ngen14nsp.zip")</f>
        <v>2022.002M.Alpharhabdovirinae_1ngen14nsp.zip</v>
      </c>
      <c r="U8347" s="43" t="str">
        <f>HYPERLINK("https://ictv.global/taxonomy/taxondetails?taxnode_id=202214148","ictv.global=202214148")</f>
        <v>ictv.global=202214148</v>
      </c>
    </row>
    <row r="8348" spans="1:21">
      <c r="A8348">
        <v>8347</v>
      </c>
      <c r="B8348" s="29" t="s">
        <v>3223</v>
      </c>
      <c r="C8348" s="29"/>
      <c r="D8348" s="29" t="s">
        <v>4156</v>
      </c>
      <c r="E8348" s="29"/>
      <c r="F8348" s="29" t="s">
        <v>2998</v>
      </c>
      <c r="G8348" s="29" t="s">
        <v>2999</v>
      </c>
      <c r="H8348" s="29" t="s">
        <v>3006</v>
      </c>
      <c r="I8348" s="29"/>
      <c r="J8348" s="29" t="s">
        <v>757</v>
      </c>
      <c r="K8348" s="29"/>
      <c r="L8348" s="29" t="s">
        <v>1062</v>
      </c>
      <c r="M8348" s="29" t="s">
        <v>6656</v>
      </c>
      <c r="N8348" s="29" t="s">
        <v>1714</v>
      </c>
      <c r="O8348" s="29"/>
      <c r="P8348" s="29" t="s">
        <v>13218</v>
      </c>
      <c r="Q8348" t="s">
        <v>2039</v>
      </c>
      <c r="R8348" t="s">
        <v>2635</v>
      </c>
      <c r="S8348">
        <v>37</v>
      </c>
      <c r="T8348" s="43" t="str">
        <f t="shared" ref="T8348:T8359" si="359">HYPERLINK("https://ictv.global/ictv/proposals/2021.036M.R.Rhabdoviridae_sprename.zip","2021.036M.R.Rhabdoviridae_sprename.zip")</f>
        <v>2021.036M.R.Rhabdoviridae_sprename.zip</v>
      </c>
      <c r="U8348" s="43" t="str">
        <f>HYPERLINK("https://ictv.global/taxonomy/taxondetails?taxnode_id=202201783","ictv.global=202201783")</f>
        <v>ictv.global=202201783</v>
      </c>
    </row>
    <row r="8349" spans="1:21">
      <c r="A8349">
        <v>8348</v>
      </c>
      <c r="B8349" s="29" t="s">
        <v>3223</v>
      </c>
      <c r="C8349" s="29"/>
      <c r="D8349" s="29" t="s">
        <v>4156</v>
      </c>
      <c r="E8349" s="29"/>
      <c r="F8349" s="29" t="s">
        <v>2998</v>
      </c>
      <c r="G8349" s="29" t="s">
        <v>2999</v>
      </c>
      <c r="H8349" s="29" t="s">
        <v>3006</v>
      </c>
      <c r="I8349" s="29"/>
      <c r="J8349" s="29" t="s">
        <v>757</v>
      </c>
      <c r="K8349" s="29"/>
      <c r="L8349" s="29" t="s">
        <v>1062</v>
      </c>
      <c r="M8349" s="29" t="s">
        <v>6656</v>
      </c>
      <c r="N8349" s="29" t="s">
        <v>1064</v>
      </c>
      <c r="O8349" s="29"/>
      <c r="P8349" s="29" t="s">
        <v>13219</v>
      </c>
      <c r="Q8349" t="s">
        <v>2039</v>
      </c>
      <c r="R8349" t="s">
        <v>2635</v>
      </c>
      <c r="S8349">
        <v>37</v>
      </c>
      <c r="T8349" s="43" t="str">
        <f t="shared" si="359"/>
        <v>2021.036M.R.Rhabdoviridae_sprename.zip</v>
      </c>
      <c r="U8349" s="43" t="str">
        <f>HYPERLINK("https://ictv.global/taxonomy/taxondetails?taxnode_id=202201789","ictv.global=202201789")</f>
        <v>ictv.global=202201789</v>
      </c>
    </row>
    <row r="8350" spans="1:21">
      <c r="A8350">
        <v>8349</v>
      </c>
      <c r="B8350" s="29" t="s">
        <v>3223</v>
      </c>
      <c r="C8350" s="29"/>
      <c r="D8350" s="29" t="s">
        <v>4156</v>
      </c>
      <c r="E8350" s="29"/>
      <c r="F8350" s="29" t="s">
        <v>2998</v>
      </c>
      <c r="G8350" s="29" t="s">
        <v>2999</v>
      </c>
      <c r="H8350" s="29" t="s">
        <v>3006</v>
      </c>
      <c r="I8350" s="29"/>
      <c r="J8350" s="29" t="s">
        <v>757</v>
      </c>
      <c r="K8350" s="29"/>
      <c r="L8350" s="29" t="s">
        <v>1062</v>
      </c>
      <c r="M8350" s="29" t="s">
        <v>6656</v>
      </c>
      <c r="N8350" s="29" t="s">
        <v>1064</v>
      </c>
      <c r="O8350" s="29"/>
      <c r="P8350" s="29" t="s">
        <v>13220</v>
      </c>
      <c r="Q8350" t="s">
        <v>2039</v>
      </c>
      <c r="R8350" t="s">
        <v>2635</v>
      </c>
      <c r="S8350">
        <v>37</v>
      </c>
      <c r="T8350" s="43" t="str">
        <f t="shared" si="359"/>
        <v>2021.036M.R.Rhabdoviridae_sprename.zip</v>
      </c>
      <c r="U8350" s="43" t="str">
        <f>HYPERLINK("https://ictv.global/taxonomy/taxondetails?taxnode_id=202201804","ictv.global=202201804")</f>
        <v>ictv.global=202201804</v>
      </c>
    </row>
    <row r="8351" spans="1:21">
      <c r="A8351">
        <v>8350</v>
      </c>
      <c r="B8351" s="29" t="s">
        <v>3223</v>
      </c>
      <c r="C8351" s="29"/>
      <c r="D8351" s="29" t="s">
        <v>4156</v>
      </c>
      <c r="E8351" s="29"/>
      <c r="F8351" s="29" t="s">
        <v>2998</v>
      </c>
      <c r="G8351" s="29" t="s">
        <v>2999</v>
      </c>
      <c r="H8351" s="29" t="s">
        <v>3006</v>
      </c>
      <c r="I8351" s="29"/>
      <c r="J8351" s="29" t="s">
        <v>757</v>
      </c>
      <c r="K8351" s="29"/>
      <c r="L8351" s="29" t="s">
        <v>1062</v>
      </c>
      <c r="M8351" s="29" t="s">
        <v>6656</v>
      </c>
      <c r="N8351" s="29" t="s">
        <v>1064</v>
      </c>
      <c r="O8351" s="29"/>
      <c r="P8351" s="29" t="s">
        <v>13221</v>
      </c>
      <c r="Q8351" t="s">
        <v>2039</v>
      </c>
      <c r="R8351" t="s">
        <v>2635</v>
      </c>
      <c r="S8351">
        <v>37</v>
      </c>
      <c r="T8351" s="43" t="str">
        <f t="shared" si="359"/>
        <v>2021.036M.R.Rhabdoviridae_sprename.zip</v>
      </c>
      <c r="U8351" s="43" t="str">
        <f>HYPERLINK("https://ictv.global/taxonomy/taxondetails?taxnode_id=202201791","ictv.global=202201791")</f>
        <v>ictv.global=202201791</v>
      </c>
    </row>
    <row r="8352" spans="1:21">
      <c r="A8352">
        <v>8351</v>
      </c>
      <c r="B8352" s="29" t="s">
        <v>3223</v>
      </c>
      <c r="C8352" s="29"/>
      <c r="D8352" s="29" t="s">
        <v>4156</v>
      </c>
      <c r="E8352" s="29"/>
      <c r="F8352" s="29" t="s">
        <v>2998</v>
      </c>
      <c r="G8352" s="29" t="s">
        <v>2999</v>
      </c>
      <c r="H8352" s="29" t="s">
        <v>3006</v>
      </c>
      <c r="I8352" s="29"/>
      <c r="J8352" s="29" t="s">
        <v>757</v>
      </c>
      <c r="K8352" s="29"/>
      <c r="L8352" s="29" t="s">
        <v>1062</v>
      </c>
      <c r="M8352" s="29" t="s">
        <v>6656</v>
      </c>
      <c r="N8352" s="29" t="s">
        <v>1064</v>
      </c>
      <c r="O8352" s="29"/>
      <c r="P8352" s="29" t="s">
        <v>13222</v>
      </c>
      <c r="Q8352" t="s">
        <v>2039</v>
      </c>
      <c r="R8352" t="s">
        <v>2635</v>
      </c>
      <c r="S8352">
        <v>37</v>
      </c>
      <c r="T8352" s="43" t="str">
        <f t="shared" si="359"/>
        <v>2021.036M.R.Rhabdoviridae_sprename.zip</v>
      </c>
      <c r="U8352" s="43" t="str">
        <f>HYPERLINK("https://ictv.global/taxonomy/taxondetails?taxnode_id=202201792","ictv.global=202201792")</f>
        <v>ictv.global=202201792</v>
      </c>
    </row>
    <row r="8353" spans="1:21">
      <c r="A8353">
        <v>8352</v>
      </c>
      <c r="B8353" s="29" t="s">
        <v>3223</v>
      </c>
      <c r="C8353" s="29"/>
      <c r="D8353" s="29" t="s">
        <v>4156</v>
      </c>
      <c r="E8353" s="29"/>
      <c r="F8353" s="29" t="s">
        <v>2998</v>
      </c>
      <c r="G8353" s="29" t="s">
        <v>2999</v>
      </c>
      <c r="H8353" s="29" t="s">
        <v>3006</v>
      </c>
      <c r="I8353" s="29"/>
      <c r="J8353" s="29" t="s">
        <v>757</v>
      </c>
      <c r="K8353" s="29"/>
      <c r="L8353" s="29" t="s">
        <v>1062</v>
      </c>
      <c r="M8353" s="29" t="s">
        <v>6656</v>
      </c>
      <c r="N8353" s="29" t="s">
        <v>1064</v>
      </c>
      <c r="O8353" s="29"/>
      <c r="P8353" s="29" t="s">
        <v>13223</v>
      </c>
      <c r="Q8353" t="s">
        <v>2039</v>
      </c>
      <c r="R8353" t="s">
        <v>2635</v>
      </c>
      <c r="S8353">
        <v>37</v>
      </c>
      <c r="T8353" s="43" t="str">
        <f t="shared" si="359"/>
        <v>2021.036M.R.Rhabdoviridae_sprename.zip</v>
      </c>
      <c r="U8353" s="43" t="str">
        <f>HYPERLINK("https://ictv.global/taxonomy/taxondetails?taxnode_id=202201793","ictv.global=202201793")</f>
        <v>ictv.global=202201793</v>
      </c>
    </row>
    <row r="8354" spans="1:21">
      <c r="A8354">
        <v>8353</v>
      </c>
      <c r="B8354" s="29" t="s">
        <v>3223</v>
      </c>
      <c r="C8354" s="29"/>
      <c r="D8354" s="29" t="s">
        <v>4156</v>
      </c>
      <c r="E8354" s="29"/>
      <c r="F8354" s="29" t="s">
        <v>2998</v>
      </c>
      <c r="G8354" s="29" t="s">
        <v>2999</v>
      </c>
      <c r="H8354" s="29" t="s">
        <v>3006</v>
      </c>
      <c r="I8354" s="29"/>
      <c r="J8354" s="29" t="s">
        <v>757</v>
      </c>
      <c r="K8354" s="29"/>
      <c r="L8354" s="29" t="s">
        <v>1062</v>
      </c>
      <c r="M8354" s="29" t="s">
        <v>6656</v>
      </c>
      <c r="N8354" s="29" t="s">
        <v>1064</v>
      </c>
      <c r="O8354" s="29"/>
      <c r="P8354" s="29" t="s">
        <v>13224</v>
      </c>
      <c r="Q8354" t="s">
        <v>2039</v>
      </c>
      <c r="R8354" t="s">
        <v>2635</v>
      </c>
      <c r="S8354">
        <v>37</v>
      </c>
      <c r="T8354" s="43" t="str">
        <f t="shared" si="359"/>
        <v>2021.036M.R.Rhabdoviridae_sprename.zip</v>
      </c>
      <c r="U8354" s="43" t="str">
        <f>HYPERLINK("https://ictv.global/taxonomy/taxondetails?taxnode_id=202201790","ictv.global=202201790")</f>
        <v>ictv.global=202201790</v>
      </c>
    </row>
    <row r="8355" spans="1:21">
      <c r="A8355">
        <v>8354</v>
      </c>
      <c r="B8355" s="29" t="s">
        <v>3223</v>
      </c>
      <c r="C8355" s="29"/>
      <c r="D8355" s="29" t="s">
        <v>4156</v>
      </c>
      <c r="E8355" s="29"/>
      <c r="F8355" s="29" t="s">
        <v>2998</v>
      </c>
      <c r="G8355" s="29" t="s">
        <v>2999</v>
      </c>
      <c r="H8355" s="29" t="s">
        <v>3006</v>
      </c>
      <c r="I8355" s="29"/>
      <c r="J8355" s="29" t="s">
        <v>757</v>
      </c>
      <c r="K8355" s="29"/>
      <c r="L8355" s="29" t="s">
        <v>1062</v>
      </c>
      <c r="M8355" s="29" t="s">
        <v>6656</v>
      </c>
      <c r="N8355" s="29" t="s">
        <v>1064</v>
      </c>
      <c r="O8355" s="29"/>
      <c r="P8355" s="29" t="s">
        <v>13225</v>
      </c>
      <c r="Q8355" t="s">
        <v>2039</v>
      </c>
      <c r="R8355" t="s">
        <v>2635</v>
      </c>
      <c r="S8355">
        <v>37</v>
      </c>
      <c r="T8355" s="43" t="str">
        <f t="shared" si="359"/>
        <v>2021.036M.R.Rhabdoviridae_sprename.zip</v>
      </c>
      <c r="U8355" s="43" t="str">
        <f>HYPERLINK("https://ictv.global/taxonomy/taxondetails?taxnode_id=202201794","ictv.global=202201794")</f>
        <v>ictv.global=202201794</v>
      </c>
    </row>
    <row r="8356" spans="1:21">
      <c r="A8356">
        <v>8355</v>
      </c>
      <c r="B8356" s="29" t="s">
        <v>3223</v>
      </c>
      <c r="C8356" s="29"/>
      <c r="D8356" s="29" t="s">
        <v>4156</v>
      </c>
      <c r="E8356" s="29"/>
      <c r="F8356" s="29" t="s">
        <v>2998</v>
      </c>
      <c r="G8356" s="29" t="s">
        <v>2999</v>
      </c>
      <c r="H8356" s="29" t="s">
        <v>3006</v>
      </c>
      <c r="I8356" s="29"/>
      <c r="J8356" s="29" t="s">
        <v>757</v>
      </c>
      <c r="K8356" s="29"/>
      <c r="L8356" s="29" t="s">
        <v>1062</v>
      </c>
      <c r="M8356" s="29" t="s">
        <v>6656</v>
      </c>
      <c r="N8356" s="29" t="s">
        <v>1064</v>
      </c>
      <c r="O8356" s="29"/>
      <c r="P8356" s="29" t="s">
        <v>13226</v>
      </c>
      <c r="Q8356" t="s">
        <v>2039</v>
      </c>
      <c r="R8356" t="s">
        <v>2635</v>
      </c>
      <c r="S8356">
        <v>37</v>
      </c>
      <c r="T8356" s="43" t="str">
        <f t="shared" si="359"/>
        <v>2021.036M.R.Rhabdoviridae_sprename.zip</v>
      </c>
      <c r="U8356" s="43" t="str">
        <f>HYPERLINK("https://ictv.global/taxonomy/taxondetails?taxnode_id=202201795","ictv.global=202201795")</f>
        <v>ictv.global=202201795</v>
      </c>
    </row>
    <row r="8357" spans="1:21">
      <c r="A8357">
        <v>8356</v>
      </c>
      <c r="B8357" s="29" t="s">
        <v>3223</v>
      </c>
      <c r="C8357" s="29"/>
      <c r="D8357" s="29" t="s">
        <v>4156</v>
      </c>
      <c r="E8357" s="29"/>
      <c r="F8357" s="29" t="s">
        <v>2998</v>
      </c>
      <c r="G8357" s="29" t="s">
        <v>2999</v>
      </c>
      <c r="H8357" s="29" t="s">
        <v>3006</v>
      </c>
      <c r="I8357" s="29"/>
      <c r="J8357" s="29" t="s">
        <v>757</v>
      </c>
      <c r="K8357" s="29"/>
      <c r="L8357" s="29" t="s">
        <v>1062</v>
      </c>
      <c r="M8357" s="29" t="s">
        <v>6656</v>
      </c>
      <c r="N8357" s="29" t="s">
        <v>1064</v>
      </c>
      <c r="O8357" s="29"/>
      <c r="P8357" s="29" t="s">
        <v>13227</v>
      </c>
      <c r="Q8357" t="s">
        <v>2039</v>
      </c>
      <c r="R8357" t="s">
        <v>2635</v>
      </c>
      <c r="S8357">
        <v>37</v>
      </c>
      <c r="T8357" s="43" t="str">
        <f t="shared" si="359"/>
        <v>2021.036M.R.Rhabdoviridae_sprename.zip</v>
      </c>
      <c r="U8357" s="43" t="str">
        <f>HYPERLINK("https://ictv.global/taxonomy/taxondetails?taxnode_id=202201796","ictv.global=202201796")</f>
        <v>ictv.global=202201796</v>
      </c>
    </row>
    <row r="8358" spans="1:21">
      <c r="A8358">
        <v>8357</v>
      </c>
      <c r="B8358" s="29" t="s">
        <v>3223</v>
      </c>
      <c r="C8358" s="29"/>
      <c r="D8358" s="29" t="s">
        <v>4156</v>
      </c>
      <c r="E8358" s="29"/>
      <c r="F8358" s="29" t="s">
        <v>2998</v>
      </c>
      <c r="G8358" s="29" t="s">
        <v>2999</v>
      </c>
      <c r="H8358" s="29" t="s">
        <v>3006</v>
      </c>
      <c r="I8358" s="29"/>
      <c r="J8358" s="29" t="s">
        <v>757</v>
      </c>
      <c r="K8358" s="29"/>
      <c r="L8358" s="29" t="s">
        <v>1062</v>
      </c>
      <c r="M8358" s="29" t="s">
        <v>6656</v>
      </c>
      <c r="N8358" s="29" t="s">
        <v>1064</v>
      </c>
      <c r="O8358" s="29"/>
      <c r="P8358" s="29" t="s">
        <v>13228</v>
      </c>
      <c r="Q8358" t="s">
        <v>2039</v>
      </c>
      <c r="R8358" t="s">
        <v>2635</v>
      </c>
      <c r="S8358">
        <v>37</v>
      </c>
      <c r="T8358" s="43" t="str">
        <f t="shared" si="359"/>
        <v>2021.036M.R.Rhabdoviridae_sprename.zip</v>
      </c>
      <c r="U8358" s="43" t="str">
        <f>HYPERLINK("https://ictv.global/taxonomy/taxondetails?taxnode_id=202201797","ictv.global=202201797")</f>
        <v>ictv.global=202201797</v>
      </c>
    </row>
    <row r="8359" spans="1:21">
      <c r="A8359">
        <v>8358</v>
      </c>
      <c r="B8359" s="29" t="s">
        <v>3223</v>
      </c>
      <c r="C8359" s="29"/>
      <c r="D8359" s="29" t="s">
        <v>4156</v>
      </c>
      <c r="E8359" s="29"/>
      <c r="F8359" s="29" t="s">
        <v>2998</v>
      </c>
      <c r="G8359" s="29" t="s">
        <v>2999</v>
      </c>
      <c r="H8359" s="29" t="s">
        <v>3006</v>
      </c>
      <c r="I8359" s="29"/>
      <c r="J8359" s="29" t="s">
        <v>757</v>
      </c>
      <c r="K8359" s="29"/>
      <c r="L8359" s="29" t="s">
        <v>1062</v>
      </c>
      <c r="M8359" s="29" t="s">
        <v>6656</v>
      </c>
      <c r="N8359" s="29" t="s">
        <v>1064</v>
      </c>
      <c r="O8359" s="29"/>
      <c r="P8359" s="29" t="s">
        <v>13229</v>
      </c>
      <c r="Q8359" t="s">
        <v>2039</v>
      </c>
      <c r="R8359" t="s">
        <v>2635</v>
      </c>
      <c r="S8359">
        <v>37</v>
      </c>
      <c r="T8359" s="43" t="str">
        <f t="shared" si="359"/>
        <v>2021.036M.R.Rhabdoviridae_sprename.zip</v>
      </c>
      <c r="U8359" s="43" t="str">
        <f>HYPERLINK("https://ictv.global/taxonomy/taxondetails?taxnode_id=202201798","ictv.global=202201798")</f>
        <v>ictv.global=202201798</v>
      </c>
    </row>
    <row r="8360" spans="1:21">
      <c r="A8360">
        <v>8359</v>
      </c>
      <c r="B8360" s="29" t="s">
        <v>3223</v>
      </c>
      <c r="C8360" s="29"/>
      <c r="D8360" s="29" t="s">
        <v>4156</v>
      </c>
      <c r="E8360" s="29"/>
      <c r="F8360" s="29" t="s">
        <v>2998</v>
      </c>
      <c r="G8360" s="29" t="s">
        <v>2999</v>
      </c>
      <c r="H8360" s="29" t="s">
        <v>3006</v>
      </c>
      <c r="I8360" s="29"/>
      <c r="J8360" s="29" t="s">
        <v>757</v>
      </c>
      <c r="K8360" s="29"/>
      <c r="L8360" s="29" t="s">
        <v>1062</v>
      </c>
      <c r="M8360" s="29" t="s">
        <v>6656</v>
      </c>
      <c r="N8360" s="29" t="s">
        <v>1064</v>
      </c>
      <c r="O8360" s="29"/>
      <c r="P8360" s="29" t="s">
        <v>13230</v>
      </c>
      <c r="Q8360" t="s">
        <v>2039</v>
      </c>
      <c r="R8360" t="s">
        <v>2632</v>
      </c>
      <c r="S8360">
        <v>37</v>
      </c>
      <c r="T8360" s="43" t="str">
        <f>HYPERLINK("https://ictv.global/ictv/proposals/2021.004M.R.Alpharhabdovirinae_13nsp.zip","2021.004M.R.Alpharhabdovirinae_13nsp.zip")</f>
        <v>2021.004M.R.Alpharhabdovirinae_13nsp.zip</v>
      </c>
      <c r="U8360" s="43" t="str">
        <f>HYPERLINK("https://ictv.global/taxonomy/taxondetails?taxnode_id=202213323","ictv.global=202213323")</f>
        <v>ictv.global=202213323</v>
      </c>
    </row>
    <row r="8361" spans="1:21">
      <c r="A8361">
        <v>8360</v>
      </c>
      <c r="B8361" s="29" t="s">
        <v>3223</v>
      </c>
      <c r="C8361" s="29"/>
      <c r="D8361" s="29" t="s">
        <v>4156</v>
      </c>
      <c r="E8361" s="29"/>
      <c r="F8361" s="29" t="s">
        <v>2998</v>
      </c>
      <c r="G8361" s="29" t="s">
        <v>2999</v>
      </c>
      <c r="H8361" s="29" t="s">
        <v>3006</v>
      </c>
      <c r="I8361" s="29"/>
      <c r="J8361" s="29" t="s">
        <v>757</v>
      </c>
      <c r="K8361" s="29"/>
      <c r="L8361" s="29" t="s">
        <v>1062</v>
      </c>
      <c r="M8361" s="29" t="s">
        <v>6656</v>
      </c>
      <c r="N8361" s="29" t="s">
        <v>1064</v>
      </c>
      <c r="O8361" s="29"/>
      <c r="P8361" s="29" t="s">
        <v>13231</v>
      </c>
      <c r="Q8361" t="s">
        <v>2039</v>
      </c>
      <c r="R8361" t="s">
        <v>2632</v>
      </c>
      <c r="S8361">
        <v>38</v>
      </c>
      <c r="T8361" s="43" t="str">
        <f>HYPERLINK("https://ictv.global/ictv/proposals/2022.022M.Vesiculovirus_2nsp.zip","2022.022M.Vesiculovirus_2nsp.zip")</f>
        <v>2022.022M.Vesiculovirus_2nsp.zip</v>
      </c>
      <c r="U8361" s="43" t="str">
        <f>HYPERLINK("https://ictv.global/taxonomy/taxondetails?taxnode_id=202214276","ictv.global=202214276")</f>
        <v>ictv.global=202214276</v>
      </c>
    </row>
    <row r="8362" spans="1:21">
      <c r="A8362">
        <v>8361</v>
      </c>
      <c r="B8362" s="29" t="s">
        <v>3223</v>
      </c>
      <c r="C8362" s="29"/>
      <c r="D8362" s="29" t="s">
        <v>4156</v>
      </c>
      <c r="E8362" s="29"/>
      <c r="F8362" s="29" t="s">
        <v>2998</v>
      </c>
      <c r="G8362" s="29" t="s">
        <v>2999</v>
      </c>
      <c r="H8362" s="29" t="s">
        <v>3006</v>
      </c>
      <c r="I8362" s="29"/>
      <c r="J8362" s="29" t="s">
        <v>757</v>
      </c>
      <c r="K8362" s="29"/>
      <c r="L8362" s="29" t="s">
        <v>1062</v>
      </c>
      <c r="M8362" s="29" t="s">
        <v>6656</v>
      </c>
      <c r="N8362" s="29" t="s">
        <v>1064</v>
      </c>
      <c r="O8362" s="29"/>
      <c r="P8362" s="29" t="s">
        <v>13232</v>
      </c>
      <c r="Q8362" t="s">
        <v>2039</v>
      </c>
      <c r="R8362" t="s">
        <v>2635</v>
      </c>
      <c r="S8362">
        <v>37</v>
      </c>
      <c r="T8362" s="43" t="str">
        <f t="shared" ref="T8362:T8367" si="360">HYPERLINK("https://ictv.global/ictv/proposals/2021.036M.R.Rhabdoviridae_sprename.zip","2021.036M.R.Rhabdoviridae_sprename.zip")</f>
        <v>2021.036M.R.Rhabdoviridae_sprename.zip</v>
      </c>
      <c r="U8362" s="43" t="str">
        <f>HYPERLINK("https://ictv.global/taxonomy/taxondetails?taxnode_id=202201799","ictv.global=202201799")</f>
        <v>ictv.global=202201799</v>
      </c>
    </row>
    <row r="8363" spans="1:21">
      <c r="A8363">
        <v>8362</v>
      </c>
      <c r="B8363" s="29" t="s">
        <v>3223</v>
      </c>
      <c r="C8363" s="29"/>
      <c r="D8363" s="29" t="s">
        <v>4156</v>
      </c>
      <c r="E8363" s="29"/>
      <c r="F8363" s="29" t="s">
        <v>2998</v>
      </c>
      <c r="G8363" s="29" t="s">
        <v>2999</v>
      </c>
      <c r="H8363" s="29" t="s">
        <v>3006</v>
      </c>
      <c r="I8363" s="29"/>
      <c r="J8363" s="29" t="s">
        <v>757</v>
      </c>
      <c r="K8363" s="29"/>
      <c r="L8363" s="29" t="s">
        <v>1062</v>
      </c>
      <c r="M8363" s="29" t="s">
        <v>6656</v>
      </c>
      <c r="N8363" s="29" t="s">
        <v>1064</v>
      </c>
      <c r="O8363" s="29"/>
      <c r="P8363" s="29" t="s">
        <v>13233</v>
      </c>
      <c r="Q8363" t="s">
        <v>2039</v>
      </c>
      <c r="R8363" t="s">
        <v>2635</v>
      </c>
      <c r="S8363">
        <v>37</v>
      </c>
      <c r="T8363" s="43" t="str">
        <f t="shared" si="360"/>
        <v>2021.036M.R.Rhabdoviridae_sprename.zip</v>
      </c>
      <c r="U8363" s="43" t="str">
        <f>HYPERLINK("https://ictv.global/taxonomy/taxondetails?taxnode_id=202201800","ictv.global=202201800")</f>
        <v>ictv.global=202201800</v>
      </c>
    </row>
    <row r="8364" spans="1:21">
      <c r="A8364">
        <v>8363</v>
      </c>
      <c r="B8364" s="29" t="s">
        <v>3223</v>
      </c>
      <c r="C8364" s="29"/>
      <c r="D8364" s="29" t="s">
        <v>4156</v>
      </c>
      <c r="E8364" s="29"/>
      <c r="F8364" s="29" t="s">
        <v>2998</v>
      </c>
      <c r="G8364" s="29" t="s">
        <v>2999</v>
      </c>
      <c r="H8364" s="29" t="s">
        <v>3006</v>
      </c>
      <c r="I8364" s="29"/>
      <c r="J8364" s="29" t="s">
        <v>757</v>
      </c>
      <c r="K8364" s="29"/>
      <c r="L8364" s="29" t="s">
        <v>1062</v>
      </c>
      <c r="M8364" s="29" t="s">
        <v>6656</v>
      </c>
      <c r="N8364" s="29" t="s">
        <v>1064</v>
      </c>
      <c r="O8364" s="29"/>
      <c r="P8364" s="29" t="s">
        <v>13234</v>
      </c>
      <c r="Q8364" t="s">
        <v>2039</v>
      </c>
      <c r="R8364" t="s">
        <v>2635</v>
      </c>
      <c r="S8364">
        <v>37</v>
      </c>
      <c r="T8364" s="43" t="str">
        <f t="shared" si="360"/>
        <v>2021.036M.R.Rhabdoviridae_sprename.zip</v>
      </c>
      <c r="U8364" s="43" t="str">
        <f>HYPERLINK("https://ictv.global/taxonomy/taxondetails?taxnode_id=202201801","ictv.global=202201801")</f>
        <v>ictv.global=202201801</v>
      </c>
    </row>
    <row r="8365" spans="1:21">
      <c r="A8365">
        <v>8364</v>
      </c>
      <c r="B8365" s="29" t="s">
        <v>3223</v>
      </c>
      <c r="C8365" s="29"/>
      <c r="D8365" s="29" t="s">
        <v>4156</v>
      </c>
      <c r="E8365" s="29"/>
      <c r="F8365" s="29" t="s">
        <v>2998</v>
      </c>
      <c r="G8365" s="29" t="s">
        <v>2999</v>
      </c>
      <c r="H8365" s="29" t="s">
        <v>3006</v>
      </c>
      <c r="I8365" s="29"/>
      <c r="J8365" s="29" t="s">
        <v>757</v>
      </c>
      <c r="K8365" s="29"/>
      <c r="L8365" s="29" t="s">
        <v>1062</v>
      </c>
      <c r="M8365" s="29" t="s">
        <v>6656</v>
      </c>
      <c r="N8365" s="29" t="s">
        <v>1064</v>
      </c>
      <c r="O8365" s="29"/>
      <c r="P8365" s="29" t="s">
        <v>13235</v>
      </c>
      <c r="Q8365" t="s">
        <v>2039</v>
      </c>
      <c r="R8365" t="s">
        <v>2635</v>
      </c>
      <c r="S8365">
        <v>37</v>
      </c>
      <c r="T8365" s="43" t="str">
        <f t="shared" si="360"/>
        <v>2021.036M.R.Rhabdoviridae_sprename.zip</v>
      </c>
      <c r="U8365" s="43" t="str">
        <f>HYPERLINK("https://ictv.global/taxonomy/taxondetails?taxnode_id=202201802","ictv.global=202201802")</f>
        <v>ictv.global=202201802</v>
      </c>
    </row>
    <row r="8366" spans="1:21">
      <c r="A8366">
        <v>8365</v>
      </c>
      <c r="B8366" s="29" t="s">
        <v>3223</v>
      </c>
      <c r="C8366" s="29"/>
      <c r="D8366" s="29" t="s">
        <v>4156</v>
      </c>
      <c r="E8366" s="29"/>
      <c r="F8366" s="29" t="s">
        <v>2998</v>
      </c>
      <c r="G8366" s="29" t="s">
        <v>2999</v>
      </c>
      <c r="H8366" s="29" t="s">
        <v>3006</v>
      </c>
      <c r="I8366" s="29"/>
      <c r="J8366" s="29" t="s">
        <v>757</v>
      </c>
      <c r="K8366" s="29"/>
      <c r="L8366" s="29" t="s">
        <v>1062</v>
      </c>
      <c r="M8366" s="29" t="s">
        <v>6656</v>
      </c>
      <c r="N8366" s="29" t="s">
        <v>1064</v>
      </c>
      <c r="O8366" s="29"/>
      <c r="P8366" s="29" t="s">
        <v>13236</v>
      </c>
      <c r="Q8366" t="s">
        <v>2039</v>
      </c>
      <c r="R8366" t="s">
        <v>2635</v>
      </c>
      <c r="S8366">
        <v>37</v>
      </c>
      <c r="T8366" s="43" t="str">
        <f t="shared" si="360"/>
        <v>2021.036M.R.Rhabdoviridae_sprename.zip</v>
      </c>
      <c r="U8366" s="43" t="str">
        <f>HYPERLINK("https://ictv.global/taxonomy/taxondetails?taxnode_id=202201803","ictv.global=202201803")</f>
        <v>ictv.global=202201803</v>
      </c>
    </row>
    <row r="8367" spans="1:21">
      <c r="A8367">
        <v>8366</v>
      </c>
      <c r="B8367" s="29" t="s">
        <v>3223</v>
      </c>
      <c r="C8367" s="29"/>
      <c r="D8367" s="29" t="s">
        <v>4156</v>
      </c>
      <c r="E8367" s="29"/>
      <c r="F8367" s="29" t="s">
        <v>2998</v>
      </c>
      <c r="G8367" s="29" t="s">
        <v>2999</v>
      </c>
      <c r="H8367" s="29" t="s">
        <v>3006</v>
      </c>
      <c r="I8367" s="29"/>
      <c r="J8367" s="29" t="s">
        <v>757</v>
      </c>
      <c r="K8367" s="29"/>
      <c r="L8367" s="29" t="s">
        <v>1062</v>
      </c>
      <c r="M8367" s="29" t="s">
        <v>6656</v>
      </c>
      <c r="N8367" s="29" t="s">
        <v>1064</v>
      </c>
      <c r="O8367" s="29"/>
      <c r="P8367" s="29" t="s">
        <v>13237</v>
      </c>
      <c r="Q8367" t="s">
        <v>2039</v>
      </c>
      <c r="R8367" t="s">
        <v>2635</v>
      </c>
      <c r="S8367">
        <v>37</v>
      </c>
      <c r="T8367" s="43" t="str">
        <f t="shared" si="360"/>
        <v>2021.036M.R.Rhabdoviridae_sprename.zip</v>
      </c>
      <c r="U8367" s="43" t="str">
        <f>HYPERLINK("https://ictv.global/taxonomy/taxondetails?taxnode_id=202209186","ictv.global=202209186")</f>
        <v>ictv.global=202209186</v>
      </c>
    </row>
    <row r="8368" spans="1:21">
      <c r="A8368">
        <v>8367</v>
      </c>
      <c r="B8368" s="29" t="s">
        <v>3223</v>
      </c>
      <c r="C8368" s="29"/>
      <c r="D8368" s="29" t="s">
        <v>4156</v>
      </c>
      <c r="E8368" s="29"/>
      <c r="F8368" s="29" t="s">
        <v>2998</v>
      </c>
      <c r="G8368" s="29" t="s">
        <v>2999</v>
      </c>
      <c r="H8368" s="29" t="s">
        <v>3006</v>
      </c>
      <c r="I8368" s="29"/>
      <c r="J8368" s="29" t="s">
        <v>757</v>
      </c>
      <c r="K8368" s="29"/>
      <c r="L8368" s="29" t="s">
        <v>1062</v>
      </c>
      <c r="M8368" s="29" t="s">
        <v>6656</v>
      </c>
      <c r="N8368" s="29" t="s">
        <v>1064</v>
      </c>
      <c r="O8368" s="29"/>
      <c r="P8368" s="29" t="s">
        <v>13238</v>
      </c>
      <c r="Q8368" t="s">
        <v>2039</v>
      </c>
      <c r="R8368" t="s">
        <v>2632</v>
      </c>
      <c r="S8368">
        <v>38</v>
      </c>
      <c r="T8368" s="43" t="str">
        <f>HYPERLINK("https://ictv.global/ictv/proposals/2022.022M.Vesiculovirus_2nsp.zip","2022.022M.Vesiculovirus_2nsp.zip")</f>
        <v>2022.022M.Vesiculovirus_2nsp.zip</v>
      </c>
      <c r="U8368" s="43" t="str">
        <f>HYPERLINK("https://ictv.global/taxonomy/taxondetails?taxnode_id=202214275","ictv.global=202214275")</f>
        <v>ictv.global=202214275</v>
      </c>
    </row>
    <row r="8369" spans="1:21">
      <c r="A8369">
        <v>8368</v>
      </c>
      <c r="B8369" s="29" t="s">
        <v>3223</v>
      </c>
      <c r="C8369" s="29"/>
      <c r="D8369" s="29" t="s">
        <v>4156</v>
      </c>
      <c r="E8369" s="29"/>
      <c r="F8369" s="29" t="s">
        <v>2998</v>
      </c>
      <c r="G8369" s="29" t="s">
        <v>2999</v>
      </c>
      <c r="H8369" s="29" t="s">
        <v>3006</v>
      </c>
      <c r="I8369" s="29"/>
      <c r="J8369" s="29" t="s">
        <v>757</v>
      </c>
      <c r="K8369" s="29"/>
      <c r="L8369" s="29" t="s">
        <v>1062</v>
      </c>
      <c r="M8369" s="29" t="s">
        <v>6656</v>
      </c>
      <c r="N8369" s="29" t="s">
        <v>1064</v>
      </c>
      <c r="O8369" s="29"/>
      <c r="P8369" s="29" t="s">
        <v>13239</v>
      </c>
      <c r="Q8369" t="s">
        <v>2039</v>
      </c>
      <c r="R8369" t="s">
        <v>2632</v>
      </c>
      <c r="S8369">
        <v>37</v>
      </c>
      <c r="T8369" s="43" t="str">
        <f>HYPERLINK("https://ictv.global/ictv/proposals/2021.004M.R.Alpharhabdovirinae_13nsp.zip","2021.004M.R.Alpharhabdovirinae_13nsp.zip")</f>
        <v>2021.004M.R.Alpharhabdovirinae_13nsp.zip</v>
      </c>
      <c r="U8369" s="43" t="str">
        <f>HYPERLINK("https://ictv.global/taxonomy/taxondetails?taxnode_id=202213324","ictv.global=202213324")</f>
        <v>ictv.global=202213324</v>
      </c>
    </row>
    <row r="8370" spans="1:21">
      <c r="A8370">
        <v>8369</v>
      </c>
      <c r="B8370" s="29" t="s">
        <v>3223</v>
      </c>
      <c r="C8370" s="29"/>
      <c r="D8370" s="29" t="s">
        <v>4156</v>
      </c>
      <c r="E8370" s="29"/>
      <c r="F8370" s="29" t="s">
        <v>2998</v>
      </c>
      <c r="G8370" s="29" t="s">
        <v>2999</v>
      </c>
      <c r="H8370" s="29" t="s">
        <v>3006</v>
      </c>
      <c r="I8370" s="29"/>
      <c r="J8370" s="29" t="s">
        <v>757</v>
      </c>
      <c r="K8370" s="29"/>
      <c r="L8370" s="29" t="s">
        <v>1062</v>
      </c>
      <c r="M8370" s="29" t="s">
        <v>6656</v>
      </c>
      <c r="N8370" s="29" t="s">
        <v>4456</v>
      </c>
      <c r="O8370" s="29"/>
      <c r="P8370" s="29" t="s">
        <v>13240</v>
      </c>
      <c r="Q8370" t="s">
        <v>2039</v>
      </c>
      <c r="R8370" t="s">
        <v>2635</v>
      </c>
      <c r="S8370">
        <v>37</v>
      </c>
      <c r="T8370" s="43" t="str">
        <f>HYPERLINK("https://ictv.global/ictv/proposals/2021.036M.R.Rhabdoviridae_sprename.zip","2021.036M.R.Rhabdoviridae_sprename.zip")</f>
        <v>2021.036M.R.Rhabdoviridae_sprename.zip</v>
      </c>
      <c r="U8370" s="43" t="str">
        <f>HYPERLINK("https://ictv.global/taxonomy/taxondetails?taxnode_id=202207389","ictv.global=202207389")</f>
        <v>ictv.global=202207389</v>
      </c>
    </row>
    <row r="8371" spans="1:21">
      <c r="A8371">
        <v>8370</v>
      </c>
      <c r="B8371" s="29" t="s">
        <v>3223</v>
      </c>
      <c r="C8371" s="29"/>
      <c r="D8371" s="29" t="s">
        <v>4156</v>
      </c>
      <c r="E8371" s="29"/>
      <c r="F8371" s="29" t="s">
        <v>2998</v>
      </c>
      <c r="G8371" s="29" t="s">
        <v>2999</v>
      </c>
      <c r="H8371" s="29" t="s">
        <v>3006</v>
      </c>
      <c r="I8371" s="29"/>
      <c r="J8371" s="29" t="s">
        <v>757</v>
      </c>
      <c r="K8371" s="29"/>
      <c r="L8371" s="29" t="s">
        <v>1062</v>
      </c>
      <c r="M8371" s="29" t="s">
        <v>6660</v>
      </c>
      <c r="N8371" s="29" t="s">
        <v>4216</v>
      </c>
      <c r="O8371" s="29"/>
      <c r="P8371" s="29" t="s">
        <v>13241</v>
      </c>
      <c r="Q8371" t="s">
        <v>2039</v>
      </c>
      <c r="R8371" t="s">
        <v>2632</v>
      </c>
      <c r="S8371">
        <v>38</v>
      </c>
      <c r="T8371" s="43" t="str">
        <f>HYPERLINK("https://ictv.global/ictv/proposals/2022.001M.Alpha_and_betanucleorhabdoviruses_6nsp.zip","2022.001M.Alpha_and_betanucleorhabdoviruses_6nsp.zip")</f>
        <v>2022.001M.Alpha_and_betanucleorhabdoviruses_6nsp.zip</v>
      </c>
      <c r="U8371" s="43" t="str">
        <f>HYPERLINK("https://ictv.global/taxonomy/taxondetails?taxnode_id=202214139","ictv.global=202214139")</f>
        <v>ictv.global=202214139</v>
      </c>
    </row>
    <row r="8372" spans="1:21">
      <c r="A8372">
        <v>8371</v>
      </c>
      <c r="B8372" s="29" t="s">
        <v>3223</v>
      </c>
      <c r="C8372" s="29"/>
      <c r="D8372" s="29" t="s">
        <v>4156</v>
      </c>
      <c r="E8372" s="29"/>
      <c r="F8372" s="29" t="s">
        <v>2998</v>
      </c>
      <c r="G8372" s="29" t="s">
        <v>2999</v>
      </c>
      <c r="H8372" s="29" t="s">
        <v>3006</v>
      </c>
      <c r="I8372" s="29"/>
      <c r="J8372" s="29" t="s">
        <v>757</v>
      </c>
      <c r="K8372" s="29"/>
      <c r="L8372" s="29" t="s">
        <v>1062</v>
      </c>
      <c r="M8372" s="29" t="s">
        <v>6660</v>
      </c>
      <c r="N8372" s="29" t="s">
        <v>4216</v>
      </c>
      <c r="O8372" s="29"/>
      <c r="P8372" s="29" t="s">
        <v>13242</v>
      </c>
      <c r="Q8372" t="s">
        <v>2039</v>
      </c>
      <c r="R8372" t="s">
        <v>2632</v>
      </c>
      <c r="S8372">
        <v>38</v>
      </c>
      <c r="T8372" s="43" t="str">
        <f>HYPERLINK("https://ictv.global/ictv/proposals/2022.001M.Alpha_and_betanucleorhabdoviruses_6nsp.zip","2022.001M.Alpha_and_betanucleorhabdoviruses_6nsp.zip")</f>
        <v>2022.001M.Alpha_and_betanucleorhabdoviruses_6nsp.zip</v>
      </c>
      <c r="U8372" s="43" t="str">
        <f>HYPERLINK("https://ictv.global/taxonomy/taxondetails?taxnode_id=202214140","ictv.global=202214140")</f>
        <v>ictv.global=202214140</v>
      </c>
    </row>
    <row r="8373" spans="1:21">
      <c r="A8373">
        <v>8372</v>
      </c>
      <c r="B8373" s="29" t="s">
        <v>3223</v>
      </c>
      <c r="C8373" s="29"/>
      <c r="D8373" s="29" t="s">
        <v>4156</v>
      </c>
      <c r="E8373" s="29"/>
      <c r="F8373" s="29" t="s">
        <v>2998</v>
      </c>
      <c r="G8373" s="29" t="s">
        <v>2999</v>
      </c>
      <c r="H8373" s="29" t="s">
        <v>3006</v>
      </c>
      <c r="I8373" s="29"/>
      <c r="J8373" s="29" t="s">
        <v>757</v>
      </c>
      <c r="K8373" s="29"/>
      <c r="L8373" s="29" t="s">
        <v>1062</v>
      </c>
      <c r="M8373" s="29" t="s">
        <v>6660</v>
      </c>
      <c r="N8373" s="29" t="s">
        <v>4216</v>
      </c>
      <c r="O8373" s="29"/>
      <c r="P8373" s="29" t="s">
        <v>13243</v>
      </c>
      <c r="Q8373" t="s">
        <v>2039</v>
      </c>
      <c r="R8373" t="s">
        <v>2635</v>
      </c>
      <c r="S8373">
        <v>37</v>
      </c>
      <c r="T8373" s="43" t="str">
        <f>HYPERLINK("https://ictv.global/ictv/proposals/2021.036M.R.Rhabdoviridae_sprename.zip","2021.036M.R.Rhabdoviridae_sprename.zip")</f>
        <v>2021.036M.R.Rhabdoviridae_sprename.zip</v>
      </c>
      <c r="U8373" s="43" t="str">
        <f>HYPERLINK("https://ictv.global/taxonomy/taxondetails?taxnode_id=202201751","ictv.global=202201751")</f>
        <v>ictv.global=202201751</v>
      </c>
    </row>
    <row r="8374" spans="1:21">
      <c r="A8374">
        <v>8373</v>
      </c>
      <c r="B8374" s="29" t="s">
        <v>3223</v>
      </c>
      <c r="C8374" s="29"/>
      <c r="D8374" s="29" t="s">
        <v>4156</v>
      </c>
      <c r="E8374" s="29"/>
      <c r="F8374" s="29" t="s">
        <v>2998</v>
      </c>
      <c r="G8374" s="29" t="s">
        <v>2999</v>
      </c>
      <c r="H8374" s="29" t="s">
        <v>3006</v>
      </c>
      <c r="I8374" s="29"/>
      <c r="J8374" s="29" t="s">
        <v>757</v>
      </c>
      <c r="K8374" s="29"/>
      <c r="L8374" s="29" t="s">
        <v>1062</v>
      </c>
      <c r="M8374" s="29" t="s">
        <v>6660</v>
      </c>
      <c r="N8374" s="29" t="s">
        <v>4216</v>
      </c>
      <c r="O8374" s="29"/>
      <c r="P8374" s="29" t="s">
        <v>13244</v>
      </c>
      <c r="Q8374" t="s">
        <v>2039</v>
      </c>
      <c r="R8374" t="s">
        <v>2635</v>
      </c>
      <c r="S8374">
        <v>37</v>
      </c>
      <c r="T8374" s="43" t="str">
        <f>HYPERLINK("https://ictv.global/ictv/proposals/2021.036M.R.Rhabdoviridae_sprename.zip","2021.036M.R.Rhabdoviridae_sprename.zip")</f>
        <v>2021.036M.R.Rhabdoviridae_sprename.zip</v>
      </c>
      <c r="U8374" s="43" t="str">
        <f>HYPERLINK("https://ictv.global/taxonomy/taxondetails?taxnode_id=202209365","ictv.global=202209365")</f>
        <v>ictv.global=202209365</v>
      </c>
    </row>
    <row r="8375" spans="1:21">
      <c r="A8375">
        <v>8374</v>
      </c>
      <c r="B8375" s="29" t="s">
        <v>3223</v>
      </c>
      <c r="C8375" s="29"/>
      <c r="D8375" s="29" t="s">
        <v>4156</v>
      </c>
      <c r="E8375" s="29"/>
      <c r="F8375" s="29" t="s">
        <v>2998</v>
      </c>
      <c r="G8375" s="29" t="s">
        <v>2999</v>
      </c>
      <c r="H8375" s="29" t="s">
        <v>3006</v>
      </c>
      <c r="I8375" s="29"/>
      <c r="J8375" s="29" t="s">
        <v>757</v>
      </c>
      <c r="K8375" s="29"/>
      <c r="L8375" s="29" t="s">
        <v>1062</v>
      </c>
      <c r="M8375" s="29" t="s">
        <v>6660</v>
      </c>
      <c r="N8375" s="29" t="s">
        <v>4216</v>
      </c>
      <c r="O8375" s="29"/>
      <c r="P8375" s="29" t="s">
        <v>13245</v>
      </c>
      <c r="Q8375" t="s">
        <v>2039</v>
      </c>
      <c r="R8375" t="s">
        <v>2632</v>
      </c>
      <c r="S8375">
        <v>37</v>
      </c>
      <c r="T8375" s="43" t="str">
        <f>HYPERLINK("https://ictv.global/ictv/proposals/2021.001M.R.Betarhabdovirinae_7nsp.zip","2021.001M.R.Betarhabdovirinae_7nsp.zip")</f>
        <v>2021.001M.R.Betarhabdovirinae_7nsp.zip</v>
      </c>
      <c r="U8375" s="43" t="str">
        <f>HYPERLINK("https://ictv.global/taxonomy/taxondetails?taxnode_id=202213306","ictv.global=202213306")</f>
        <v>ictv.global=202213306</v>
      </c>
    </row>
    <row r="8376" spans="1:21">
      <c r="A8376">
        <v>8375</v>
      </c>
      <c r="B8376" s="29" t="s">
        <v>3223</v>
      </c>
      <c r="C8376" s="29"/>
      <c r="D8376" s="29" t="s">
        <v>4156</v>
      </c>
      <c r="E8376" s="29"/>
      <c r="F8376" s="29" t="s">
        <v>2998</v>
      </c>
      <c r="G8376" s="29" t="s">
        <v>2999</v>
      </c>
      <c r="H8376" s="29" t="s">
        <v>3006</v>
      </c>
      <c r="I8376" s="29"/>
      <c r="J8376" s="29" t="s">
        <v>757</v>
      </c>
      <c r="K8376" s="29"/>
      <c r="L8376" s="29" t="s">
        <v>1062</v>
      </c>
      <c r="M8376" s="29" t="s">
        <v>6660</v>
      </c>
      <c r="N8376" s="29" t="s">
        <v>4216</v>
      </c>
      <c r="O8376" s="29"/>
      <c r="P8376" s="29" t="s">
        <v>13246</v>
      </c>
      <c r="Q8376" t="s">
        <v>2039</v>
      </c>
      <c r="R8376" t="s">
        <v>2635</v>
      </c>
      <c r="S8376">
        <v>37</v>
      </c>
      <c r="T8376" s="43" t="str">
        <f t="shared" ref="T8376:T8384" si="361">HYPERLINK("https://ictv.global/ictv/proposals/2021.036M.R.Rhabdoviridae_sprename.zip","2021.036M.R.Rhabdoviridae_sprename.zip")</f>
        <v>2021.036M.R.Rhabdoviridae_sprename.zip</v>
      </c>
      <c r="U8376" s="43" t="str">
        <f>HYPERLINK("https://ictv.global/taxonomy/taxondetails?taxnode_id=202201746","ictv.global=202201746")</f>
        <v>ictv.global=202201746</v>
      </c>
    </row>
    <row r="8377" spans="1:21">
      <c r="A8377">
        <v>8376</v>
      </c>
      <c r="B8377" s="29" t="s">
        <v>3223</v>
      </c>
      <c r="C8377" s="29"/>
      <c r="D8377" s="29" t="s">
        <v>4156</v>
      </c>
      <c r="E8377" s="29"/>
      <c r="F8377" s="29" t="s">
        <v>2998</v>
      </c>
      <c r="G8377" s="29" t="s">
        <v>2999</v>
      </c>
      <c r="H8377" s="29" t="s">
        <v>3006</v>
      </c>
      <c r="I8377" s="29"/>
      <c r="J8377" s="29" t="s">
        <v>757</v>
      </c>
      <c r="K8377" s="29"/>
      <c r="L8377" s="29" t="s">
        <v>1062</v>
      </c>
      <c r="M8377" s="29" t="s">
        <v>6660</v>
      </c>
      <c r="N8377" s="29" t="s">
        <v>4216</v>
      </c>
      <c r="O8377" s="29"/>
      <c r="P8377" s="29" t="s">
        <v>13247</v>
      </c>
      <c r="Q8377" t="s">
        <v>2039</v>
      </c>
      <c r="R8377" t="s">
        <v>2635</v>
      </c>
      <c r="S8377">
        <v>37</v>
      </c>
      <c r="T8377" s="43" t="str">
        <f t="shared" si="361"/>
        <v>2021.036M.R.Rhabdoviridae_sprename.zip</v>
      </c>
      <c r="U8377" s="43" t="str">
        <f>HYPERLINK("https://ictv.global/taxonomy/taxondetails?taxnode_id=202201743","ictv.global=202201743")</f>
        <v>ictv.global=202201743</v>
      </c>
    </row>
    <row r="8378" spans="1:21">
      <c r="A8378">
        <v>8377</v>
      </c>
      <c r="B8378" s="29" t="s">
        <v>3223</v>
      </c>
      <c r="C8378" s="29"/>
      <c r="D8378" s="29" t="s">
        <v>4156</v>
      </c>
      <c r="E8378" s="29"/>
      <c r="F8378" s="29" t="s">
        <v>2998</v>
      </c>
      <c r="G8378" s="29" t="s">
        <v>2999</v>
      </c>
      <c r="H8378" s="29" t="s">
        <v>3006</v>
      </c>
      <c r="I8378" s="29"/>
      <c r="J8378" s="29" t="s">
        <v>757</v>
      </c>
      <c r="K8378" s="29"/>
      <c r="L8378" s="29" t="s">
        <v>1062</v>
      </c>
      <c r="M8378" s="29" t="s">
        <v>6660</v>
      </c>
      <c r="N8378" s="29" t="s">
        <v>4216</v>
      </c>
      <c r="O8378" s="29"/>
      <c r="P8378" s="29" t="s">
        <v>13248</v>
      </c>
      <c r="Q8378" t="s">
        <v>2039</v>
      </c>
      <c r="R8378" t="s">
        <v>2635</v>
      </c>
      <c r="S8378">
        <v>37</v>
      </c>
      <c r="T8378" s="43" t="str">
        <f t="shared" si="361"/>
        <v>2021.036M.R.Rhabdoviridae_sprename.zip</v>
      </c>
      <c r="U8378" s="43" t="str">
        <f>HYPERLINK("https://ictv.global/taxonomy/taxondetails?taxnode_id=202207683","ictv.global=202207683")</f>
        <v>ictv.global=202207683</v>
      </c>
    </row>
    <row r="8379" spans="1:21">
      <c r="A8379">
        <v>8378</v>
      </c>
      <c r="B8379" s="29" t="s">
        <v>3223</v>
      </c>
      <c r="C8379" s="29"/>
      <c r="D8379" s="29" t="s">
        <v>4156</v>
      </c>
      <c r="E8379" s="29"/>
      <c r="F8379" s="29" t="s">
        <v>2998</v>
      </c>
      <c r="G8379" s="29" t="s">
        <v>2999</v>
      </c>
      <c r="H8379" s="29" t="s">
        <v>3006</v>
      </c>
      <c r="I8379" s="29"/>
      <c r="J8379" s="29" t="s">
        <v>757</v>
      </c>
      <c r="K8379" s="29"/>
      <c r="L8379" s="29" t="s">
        <v>1062</v>
      </c>
      <c r="M8379" s="29" t="s">
        <v>6660</v>
      </c>
      <c r="N8379" s="29" t="s">
        <v>4216</v>
      </c>
      <c r="O8379" s="29"/>
      <c r="P8379" s="29" t="s">
        <v>13249</v>
      </c>
      <c r="Q8379" t="s">
        <v>2039</v>
      </c>
      <c r="R8379" t="s">
        <v>2635</v>
      </c>
      <c r="S8379">
        <v>37</v>
      </c>
      <c r="T8379" s="43" t="str">
        <f t="shared" si="361"/>
        <v>2021.036M.R.Rhabdoviridae_sprename.zip</v>
      </c>
      <c r="U8379" s="43" t="str">
        <f>HYPERLINK("https://ictv.global/taxonomy/taxondetails?taxnode_id=202201748","ictv.global=202201748")</f>
        <v>ictv.global=202201748</v>
      </c>
    </row>
    <row r="8380" spans="1:21">
      <c r="A8380">
        <v>8379</v>
      </c>
      <c r="B8380" s="29" t="s">
        <v>3223</v>
      </c>
      <c r="C8380" s="29"/>
      <c r="D8380" s="29" t="s">
        <v>4156</v>
      </c>
      <c r="E8380" s="29"/>
      <c r="F8380" s="29" t="s">
        <v>2998</v>
      </c>
      <c r="G8380" s="29" t="s">
        <v>2999</v>
      </c>
      <c r="H8380" s="29" t="s">
        <v>3006</v>
      </c>
      <c r="I8380" s="29"/>
      <c r="J8380" s="29" t="s">
        <v>757</v>
      </c>
      <c r="K8380" s="29"/>
      <c r="L8380" s="29" t="s">
        <v>1062</v>
      </c>
      <c r="M8380" s="29" t="s">
        <v>6660</v>
      </c>
      <c r="N8380" s="29" t="s">
        <v>4216</v>
      </c>
      <c r="O8380" s="29"/>
      <c r="P8380" s="29" t="s">
        <v>13250</v>
      </c>
      <c r="Q8380" t="s">
        <v>2039</v>
      </c>
      <c r="R8380" t="s">
        <v>2635</v>
      </c>
      <c r="S8380">
        <v>37</v>
      </c>
      <c r="T8380" s="43" t="str">
        <f t="shared" si="361"/>
        <v>2021.036M.R.Rhabdoviridae_sprename.zip</v>
      </c>
      <c r="U8380" s="43" t="str">
        <f>HYPERLINK("https://ictv.global/taxonomy/taxondetails?taxnode_id=202207684","ictv.global=202207684")</f>
        <v>ictv.global=202207684</v>
      </c>
    </row>
    <row r="8381" spans="1:21">
      <c r="A8381">
        <v>8380</v>
      </c>
      <c r="B8381" s="29" t="s">
        <v>3223</v>
      </c>
      <c r="C8381" s="29"/>
      <c r="D8381" s="29" t="s">
        <v>4156</v>
      </c>
      <c r="E8381" s="29"/>
      <c r="F8381" s="29" t="s">
        <v>2998</v>
      </c>
      <c r="G8381" s="29" t="s">
        <v>2999</v>
      </c>
      <c r="H8381" s="29" t="s">
        <v>3006</v>
      </c>
      <c r="I8381" s="29"/>
      <c r="J8381" s="29" t="s">
        <v>757</v>
      </c>
      <c r="K8381" s="29"/>
      <c r="L8381" s="29" t="s">
        <v>1062</v>
      </c>
      <c r="M8381" s="29" t="s">
        <v>6660</v>
      </c>
      <c r="N8381" s="29" t="s">
        <v>4216</v>
      </c>
      <c r="O8381" s="29"/>
      <c r="P8381" s="29" t="s">
        <v>13251</v>
      </c>
      <c r="Q8381" t="s">
        <v>2039</v>
      </c>
      <c r="R8381" t="s">
        <v>2635</v>
      </c>
      <c r="S8381">
        <v>37</v>
      </c>
      <c r="T8381" s="43" t="str">
        <f t="shared" si="361"/>
        <v>2021.036M.R.Rhabdoviridae_sprename.zip</v>
      </c>
      <c r="U8381" s="43" t="str">
        <f>HYPERLINK("https://ictv.global/taxonomy/taxondetails?taxnode_id=202209364","ictv.global=202209364")</f>
        <v>ictv.global=202209364</v>
      </c>
    </row>
    <row r="8382" spans="1:21">
      <c r="A8382">
        <v>8381</v>
      </c>
      <c r="B8382" s="29" t="s">
        <v>3223</v>
      </c>
      <c r="C8382" s="29"/>
      <c r="D8382" s="29" t="s">
        <v>4156</v>
      </c>
      <c r="E8382" s="29"/>
      <c r="F8382" s="29" t="s">
        <v>2998</v>
      </c>
      <c r="G8382" s="29" t="s">
        <v>2999</v>
      </c>
      <c r="H8382" s="29" t="s">
        <v>3006</v>
      </c>
      <c r="I8382" s="29"/>
      <c r="J8382" s="29" t="s">
        <v>757</v>
      </c>
      <c r="K8382" s="29"/>
      <c r="L8382" s="29" t="s">
        <v>1062</v>
      </c>
      <c r="M8382" s="29" t="s">
        <v>6660</v>
      </c>
      <c r="N8382" s="29" t="s">
        <v>4216</v>
      </c>
      <c r="O8382" s="29"/>
      <c r="P8382" s="29" t="s">
        <v>13252</v>
      </c>
      <c r="Q8382" t="s">
        <v>2039</v>
      </c>
      <c r="R8382" t="s">
        <v>2635</v>
      </c>
      <c r="S8382">
        <v>37</v>
      </c>
      <c r="T8382" s="43" t="str">
        <f t="shared" si="361"/>
        <v>2021.036M.R.Rhabdoviridae_sprename.zip</v>
      </c>
      <c r="U8382" s="43" t="str">
        <f>HYPERLINK("https://ictv.global/taxonomy/taxondetails?taxnode_id=202207682","ictv.global=202207682")</f>
        <v>ictv.global=202207682</v>
      </c>
    </row>
    <row r="8383" spans="1:21">
      <c r="A8383">
        <v>8382</v>
      </c>
      <c r="B8383" s="29" t="s">
        <v>3223</v>
      </c>
      <c r="C8383" s="29"/>
      <c r="D8383" s="29" t="s">
        <v>4156</v>
      </c>
      <c r="E8383" s="29"/>
      <c r="F8383" s="29" t="s">
        <v>2998</v>
      </c>
      <c r="G8383" s="29" t="s">
        <v>2999</v>
      </c>
      <c r="H8383" s="29" t="s">
        <v>3006</v>
      </c>
      <c r="I8383" s="29"/>
      <c r="J8383" s="29" t="s">
        <v>757</v>
      </c>
      <c r="K8383" s="29"/>
      <c r="L8383" s="29" t="s">
        <v>1062</v>
      </c>
      <c r="M8383" s="29" t="s">
        <v>6660</v>
      </c>
      <c r="N8383" s="29" t="s">
        <v>4216</v>
      </c>
      <c r="O8383" s="29"/>
      <c r="P8383" s="29" t="s">
        <v>13253</v>
      </c>
      <c r="Q8383" t="s">
        <v>2039</v>
      </c>
      <c r="R8383" t="s">
        <v>2635</v>
      </c>
      <c r="S8383">
        <v>37</v>
      </c>
      <c r="T8383" s="43" t="str">
        <f t="shared" si="361"/>
        <v>2021.036M.R.Rhabdoviridae_sprename.zip</v>
      </c>
      <c r="U8383" s="43" t="str">
        <f>HYPERLINK("https://ictv.global/taxonomy/taxondetails?taxnode_id=202201747","ictv.global=202201747")</f>
        <v>ictv.global=202201747</v>
      </c>
    </row>
    <row r="8384" spans="1:21">
      <c r="A8384">
        <v>8383</v>
      </c>
      <c r="B8384" s="29" t="s">
        <v>3223</v>
      </c>
      <c r="C8384" s="29"/>
      <c r="D8384" s="29" t="s">
        <v>4156</v>
      </c>
      <c r="E8384" s="29"/>
      <c r="F8384" s="29" t="s">
        <v>2998</v>
      </c>
      <c r="G8384" s="29" t="s">
        <v>2999</v>
      </c>
      <c r="H8384" s="29" t="s">
        <v>3006</v>
      </c>
      <c r="I8384" s="29"/>
      <c r="J8384" s="29" t="s">
        <v>757</v>
      </c>
      <c r="K8384" s="29"/>
      <c r="L8384" s="29" t="s">
        <v>1062</v>
      </c>
      <c r="M8384" s="29" t="s">
        <v>6660</v>
      </c>
      <c r="N8384" s="29" t="s">
        <v>4216</v>
      </c>
      <c r="O8384" s="29"/>
      <c r="P8384" s="29" t="s">
        <v>13254</v>
      </c>
      <c r="Q8384" t="s">
        <v>2039</v>
      </c>
      <c r="R8384" t="s">
        <v>2635</v>
      </c>
      <c r="S8384">
        <v>37</v>
      </c>
      <c r="T8384" s="43" t="str">
        <f t="shared" si="361"/>
        <v>2021.036M.R.Rhabdoviridae_sprename.zip</v>
      </c>
      <c r="U8384" s="43" t="str">
        <f>HYPERLINK("https://ictv.global/taxonomy/taxondetails?taxnode_id=202201745","ictv.global=202201745")</f>
        <v>ictv.global=202201745</v>
      </c>
    </row>
    <row r="8385" spans="1:21">
      <c r="A8385">
        <v>8384</v>
      </c>
      <c r="B8385" s="29" t="s">
        <v>3223</v>
      </c>
      <c r="C8385" s="29"/>
      <c r="D8385" s="29" t="s">
        <v>4156</v>
      </c>
      <c r="E8385" s="29"/>
      <c r="F8385" s="29" t="s">
        <v>2998</v>
      </c>
      <c r="G8385" s="29" t="s">
        <v>2999</v>
      </c>
      <c r="H8385" s="29" t="s">
        <v>3006</v>
      </c>
      <c r="I8385" s="29"/>
      <c r="J8385" s="29" t="s">
        <v>757</v>
      </c>
      <c r="K8385" s="29"/>
      <c r="L8385" s="29" t="s">
        <v>1062</v>
      </c>
      <c r="M8385" s="29" t="s">
        <v>6660</v>
      </c>
      <c r="N8385" s="29" t="s">
        <v>4218</v>
      </c>
      <c r="O8385" s="29"/>
      <c r="P8385" s="29" t="s">
        <v>13255</v>
      </c>
      <c r="Q8385" t="s">
        <v>2039</v>
      </c>
      <c r="R8385" t="s">
        <v>2632</v>
      </c>
      <c r="S8385">
        <v>38</v>
      </c>
      <c r="T8385" s="43" t="str">
        <f>HYPERLINK("https://ictv.global/ictv/proposals/2022.001M.Alpha_and_betanucleorhabdoviruses_6nsp.zip","2022.001M.Alpha_and_betanucleorhabdoviruses_6nsp.zip")</f>
        <v>2022.001M.Alpha_and_betanucleorhabdoviruses_6nsp.zip</v>
      </c>
      <c r="U8385" s="43" t="str">
        <f>HYPERLINK("https://ictv.global/taxonomy/taxondetails?taxnode_id=202214141","ictv.global=202214141")</f>
        <v>ictv.global=202214141</v>
      </c>
    </row>
    <row r="8386" spans="1:21">
      <c r="A8386">
        <v>8385</v>
      </c>
      <c r="B8386" s="29" t="s">
        <v>3223</v>
      </c>
      <c r="C8386" s="29"/>
      <c r="D8386" s="29" t="s">
        <v>4156</v>
      </c>
      <c r="E8386" s="29"/>
      <c r="F8386" s="29" t="s">
        <v>2998</v>
      </c>
      <c r="G8386" s="29" t="s">
        <v>2999</v>
      </c>
      <c r="H8386" s="29" t="s">
        <v>3006</v>
      </c>
      <c r="I8386" s="29"/>
      <c r="J8386" s="29" t="s">
        <v>757</v>
      </c>
      <c r="K8386" s="29"/>
      <c r="L8386" s="29" t="s">
        <v>1062</v>
      </c>
      <c r="M8386" s="29" t="s">
        <v>6660</v>
      </c>
      <c r="N8386" s="29" t="s">
        <v>4218</v>
      </c>
      <c r="O8386" s="29"/>
      <c r="P8386" s="29" t="s">
        <v>13256</v>
      </c>
      <c r="Q8386" t="s">
        <v>2039</v>
      </c>
      <c r="R8386" t="s">
        <v>2632</v>
      </c>
      <c r="S8386">
        <v>37</v>
      </c>
      <c r="T8386" s="43" t="str">
        <f>HYPERLINK("https://ictv.global/ictv/proposals/2021.001M.R.Betarhabdovirinae_7nsp.zip","2021.001M.R.Betarhabdovirinae_7nsp.zip")</f>
        <v>2021.001M.R.Betarhabdovirinae_7nsp.zip</v>
      </c>
      <c r="U8386" s="43" t="str">
        <f>HYPERLINK("https://ictv.global/taxonomy/taxondetails?taxnode_id=202213307","ictv.global=202213307")</f>
        <v>ictv.global=202213307</v>
      </c>
    </row>
    <row r="8387" spans="1:21">
      <c r="A8387">
        <v>8386</v>
      </c>
      <c r="B8387" s="29" t="s">
        <v>3223</v>
      </c>
      <c r="C8387" s="29"/>
      <c r="D8387" s="29" t="s">
        <v>4156</v>
      </c>
      <c r="E8387" s="29"/>
      <c r="F8387" s="29" t="s">
        <v>2998</v>
      </c>
      <c r="G8387" s="29" t="s">
        <v>2999</v>
      </c>
      <c r="H8387" s="29" t="s">
        <v>3006</v>
      </c>
      <c r="I8387" s="29"/>
      <c r="J8387" s="29" t="s">
        <v>757</v>
      </c>
      <c r="K8387" s="29"/>
      <c r="L8387" s="29" t="s">
        <v>1062</v>
      </c>
      <c r="M8387" s="29" t="s">
        <v>6660</v>
      </c>
      <c r="N8387" s="29" t="s">
        <v>4218</v>
      </c>
      <c r="O8387" s="29"/>
      <c r="P8387" s="29" t="s">
        <v>13257</v>
      </c>
      <c r="Q8387" t="s">
        <v>2039</v>
      </c>
      <c r="R8387" t="s">
        <v>2635</v>
      </c>
      <c r="S8387">
        <v>37</v>
      </c>
      <c r="T8387" s="43" t="str">
        <f>HYPERLINK("https://ictv.global/ictv/proposals/2021.036M.R.Rhabdoviridae_sprename.zip","2021.036M.R.Rhabdoviridae_sprename.zip")</f>
        <v>2021.036M.R.Rhabdoviridae_sprename.zip</v>
      </c>
      <c r="U8387" s="43" t="str">
        <f>HYPERLINK("https://ictv.global/taxonomy/taxondetails?taxnode_id=202209366","ictv.global=202209366")</f>
        <v>ictv.global=202209366</v>
      </c>
    </row>
    <row r="8388" spans="1:21">
      <c r="A8388">
        <v>8387</v>
      </c>
      <c r="B8388" s="29" t="s">
        <v>3223</v>
      </c>
      <c r="C8388" s="29"/>
      <c r="D8388" s="29" t="s">
        <v>4156</v>
      </c>
      <c r="E8388" s="29"/>
      <c r="F8388" s="29" t="s">
        <v>2998</v>
      </c>
      <c r="G8388" s="29" t="s">
        <v>2999</v>
      </c>
      <c r="H8388" s="29" t="s">
        <v>3006</v>
      </c>
      <c r="I8388" s="29"/>
      <c r="J8388" s="29" t="s">
        <v>757</v>
      </c>
      <c r="K8388" s="29"/>
      <c r="L8388" s="29" t="s">
        <v>1062</v>
      </c>
      <c r="M8388" s="29" t="s">
        <v>6660</v>
      </c>
      <c r="N8388" s="29" t="s">
        <v>4218</v>
      </c>
      <c r="O8388" s="29"/>
      <c r="P8388" s="29" t="s">
        <v>13258</v>
      </c>
      <c r="Q8388" t="s">
        <v>2039</v>
      </c>
      <c r="R8388" t="s">
        <v>2632</v>
      </c>
      <c r="S8388">
        <v>38</v>
      </c>
      <c r="T8388" s="43" t="str">
        <f>HYPERLINK("https://ictv.global/ictv/proposals/2022.001M.Alpha_and_betanucleorhabdoviruses_6nsp.zip","2022.001M.Alpha_and_betanucleorhabdoviruses_6nsp.zip")</f>
        <v>2022.001M.Alpha_and_betanucleorhabdoviruses_6nsp.zip</v>
      </c>
      <c r="U8388" s="43" t="str">
        <f>HYPERLINK("https://ictv.global/taxonomy/taxondetails?taxnode_id=202214142","ictv.global=202214142")</f>
        <v>ictv.global=202214142</v>
      </c>
    </row>
    <row r="8389" spans="1:21">
      <c r="A8389">
        <v>8388</v>
      </c>
      <c r="B8389" s="29" t="s">
        <v>3223</v>
      </c>
      <c r="C8389" s="29"/>
      <c r="D8389" s="29" t="s">
        <v>4156</v>
      </c>
      <c r="E8389" s="29"/>
      <c r="F8389" s="29" t="s">
        <v>2998</v>
      </c>
      <c r="G8389" s="29" t="s">
        <v>2999</v>
      </c>
      <c r="H8389" s="29" t="s">
        <v>3006</v>
      </c>
      <c r="I8389" s="29"/>
      <c r="J8389" s="29" t="s">
        <v>757</v>
      </c>
      <c r="K8389" s="29"/>
      <c r="L8389" s="29" t="s">
        <v>1062</v>
      </c>
      <c r="M8389" s="29" t="s">
        <v>6660</v>
      </c>
      <c r="N8389" s="29" t="s">
        <v>4218</v>
      </c>
      <c r="O8389" s="29"/>
      <c r="P8389" s="29" t="s">
        <v>13259</v>
      </c>
      <c r="Q8389" t="s">
        <v>2039</v>
      </c>
      <c r="R8389" t="s">
        <v>2635</v>
      </c>
      <c r="S8389">
        <v>37</v>
      </c>
      <c r="T8389" s="43" t="str">
        <f>HYPERLINK("https://ictv.global/ictv/proposals/2021.036M.R.Rhabdoviridae_sprename.zip","2021.036M.R.Rhabdoviridae_sprename.zip")</f>
        <v>2021.036M.R.Rhabdoviridae_sprename.zip</v>
      </c>
      <c r="U8389" s="43" t="str">
        <f>HYPERLINK("https://ictv.global/taxonomy/taxondetails?taxnode_id=202201742","ictv.global=202201742")</f>
        <v>ictv.global=202201742</v>
      </c>
    </row>
    <row r="8390" spans="1:21">
      <c r="A8390">
        <v>8389</v>
      </c>
      <c r="B8390" s="29" t="s">
        <v>3223</v>
      </c>
      <c r="C8390" s="29"/>
      <c r="D8390" s="29" t="s">
        <v>4156</v>
      </c>
      <c r="E8390" s="29"/>
      <c r="F8390" s="29" t="s">
        <v>2998</v>
      </c>
      <c r="G8390" s="29" t="s">
        <v>2999</v>
      </c>
      <c r="H8390" s="29" t="s">
        <v>3006</v>
      </c>
      <c r="I8390" s="29"/>
      <c r="J8390" s="29" t="s">
        <v>757</v>
      </c>
      <c r="K8390" s="29"/>
      <c r="L8390" s="29" t="s">
        <v>1062</v>
      </c>
      <c r="M8390" s="29" t="s">
        <v>6660</v>
      </c>
      <c r="N8390" s="29" t="s">
        <v>4218</v>
      </c>
      <c r="O8390" s="29"/>
      <c r="P8390" s="29" t="s">
        <v>13260</v>
      </c>
      <c r="Q8390" t="s">
        <v>2039</v>
      </c>
      <c r="R8390" t="s">
        <v>2635</v>
      </c>
      <c r="S8390">
        <v>37</v>
      </c>
      <c r="T8390" s="43" t="str">
        <f>HYPERLINK("https://ictv.global/ictv/proposals/2021.036M.R.Rhabdoviridae_sprename.zip","2021.036M.R.Rhabdoviridae_sprename.zip")</f>
        <v>2021.036M.R.Rhabdoviridae_sprename.zip</v>
      </c>
      <c r="U8390" s="43" t="str">
        <f>HYPERLINK("https://ictv.global/taxonomy/taxondetails?taxnode_id=202207687","ictv.global=202207687")</f>
        <v>ictv.global=202207687</v>
      </c>
    </row>
    <row r="8391" spans="1:21">
      <c r="A8391">
        <v>8390</v>
      </c>
      <c r="B8391" s="29" t="s">
        <v>3223</v>
      </c>
      <c r="C8391" s="29"/>
      <c r="D8391" s="29" t="s">
        <v>4156</v>
      </c>
      <c r="E8391" s="29"/>
      <c r="F8391" s="29" t="s">
        <v>2998</v>
      </c>
      <c r="G8391" s="29" t="s">
        <v>2999</v>
      </c>
      <c r="H8391" s="29" t="s">
        <v>3006</v>
      </c>
      <c r="I8391" s="29"/>
      <c r="J8391" s="29" t="s">
        <v>757</v>
      </c>
      <c r="K8391" s="29"/>
      <c r="L8391" s="29" t="s">
        <v>1062</v>
      </c>
      <c r="M8391" s="29" t="s">
        <v>6660</v>
      </c>
      <c r="N8391" s="29" t="s">
        <v>4218</v>
      </c>
      <c r="O8391" s="29"/>
      <c r="P8391" s="29" t="s">
        <v>13261</v>
      </c>
      <c r="Q8391" t="s">
        <v>2039</v>
      </c>
      <c r="R8391" t="s">
        <v>2635</v>
      </c>
      <c r="S8391">
        <v>37</v>
      </c>
      <c r="T8391" s="43" t="str">
        <f>HYPERLINK("https://ictv.global/ictv/proposals/2021.036M.R.Rhabdoviridae_sprename.zip","2021.036M.R.Rhabdoviridae_sprename.zip")</f>
        <v>2021.036M.R.Rhabdoviridae_sprename.zip</v>
      </c>
      <c r="U8391" s="43" t="str">
        <f>HYPERLINK("https://ictv.global/taxonomy/taxondetails?taxnode_id=202209367","ictv.global=202209367")</f>
        <v>ictv.global=202209367</v>
      </c>
    </row>
    <row r="8392" spans="1:21">
      <c r="A8392">
        <v>8391</v>
      </c>
      <c r="B8392" s="29" t="s">
        <v>3223</v>
      </c>
      <c r="C8392" s="29"/>
      <c r="D8392" s="29" t="s">
        <v>4156</v>
      </c>
      <c r="E8392" s="29"/>
      <c r="F8392" s="29" t="s">
        <v>2998</v>
      </c>
      <c r="G8392" s="29" t="s">
        <v>2999</v>
      </c>
      <c r="H8392" s="29" t="s">
        <v>3006</v>
      </c>
      <c r="I8392" s="29"/>
      <c r="J8392" s="29" t="s">
        <v>757</v>
      </c>
      <c r="K8392" s="29"/>
      <c r="L8392" s="29" t="s">
        <v>1062</v>
      </c>
      <c r="M8392" s="29" t="s">
        <v>6660</v>
      </c>
      <c r="N8392" s="29" t="s">
        <v>4218</v>
      </c>
      <c r="O8392" s="29"/>
      <c r="P8392" s="29" t="s">
        <v>13262</v>
      </c>
      <c r="Q8392" t="s">
        <v>2039</v>
      </c>
      <c r="R8392" t="s">
        <v>2635</v>
      </c>
      <c r="S8392">
        <v>37</v>
      </c>
      <c r="T8392" s="43" t="str">
        <f>HYPERLINK("https://ictv.global/ictv/proposals/2021.036M.R.Rhabdoviridae_sprename.zip","2021.036M.R.Rhabdoviridae_sprename.zip")</f>
        <v>2021.036M.R.Rhabdoviridae_sprename.zip</v>
      </c>
      <c r="U8392" s="43" t="str">
        <f>HYPERLINK("https://ictv.global/taxonomy/taxondetails?taxnode_id=202207688","ictv.global=202207688")</f>
        <v>ictv.global=202207688</v>
      </c>
    </row>
    <row r="8393" spans="1:21">
      <c r="A8393">
        <v>8392</v>
      </c>
      <c r="B8393" s="29" t="s">
        <v>3223</v>
      </c>
      <c r="C8393" s="29"/>
      <c r="D8393" s="29" t="s">
        <v>4156</v>
      </c>
      <c r="E8393" s="29"/>
      <c r="F8393" s="29" t="s">
        <v>2998</v>
      </c>
      <c r="G8393" s="29" t="s">
        <v>2999</v>
      </c>
      <c r="H8393" s="29" t="s">
        <v>3006</v>
      </c>
      <c r="I8393" s="29"/>
      <c r="J8393" s="29" t="s">
        <v>757</v>
      </c>
      <c r="K8393" s="29"/>
      <c r="L8393" s="29" t="s">
        <v>1062</v>
      </c>
      <c r="M8393" s="29" t="s">
        <v>6660</v>
      </c>
      <c r="N8393" s="29" t="s">
        <v>4218</v>
      </c>
      <c r="O8393" s="29"/>
      <c r="P8393" s="29" t="s">
        <v>13263</v>
      </c>
      <c r="Q8393" t="s">
        <v>2039</v>
      </c>
      <c r="R8393" t="s">
        <v>2632</v>
      </c>
      <c r="S8393">
        <v>38</v>
      </c>
      <c r="T8393" s="43" t="str">
        <f>HYPERLINK("https://ictv.global/ictv/proposals/2022.001M.Alpha_and_betanucleorhabdoviruses_6nsp.zip","2022.001M.Alpha_and_betanucleorhabdoviruses_6nsp.zip")</f>
        <v>2022.001M.Alpha_and_betanucleorhabdoviruses_6nsp.zip</v>
      </c>
      <c r="U8393" s="43" t="str">
        <f>HYPERLINK("https://ictv.global/taxonomy/taxondetails?taxnode_id=202214143","ictv.global=202214143")</f>
        <v>ictv.global=202214143</v>
      </c>
    </row>
    <row r="8394" spans="1:21">
      <c r="A8394">
        <v>8393</v>
      </c>
      <c r="B8394" s="29" t="s">
        <v>3223</v>
      </c>
      <c r="C8394" s="29"/>
      <c r="D8394" s="29" t="s">
        <v>4156</v>
      </c>
      <c r="E8394" s="29"/>
      <c r="F8394" s="29" t="s">
        <v>2998</v>
      </c>
      <c r="G8394" s="29" t="s">
        <v>2999</v>
      </c>
      <c r="H8394" s="29" t="s">
        <v>3006</v>
      </c>
      <c r="I8394" s="29"/>
      <c r="J8394" s="29" t="s">
        <v>757</v>
      </c>
      <c r="K8394" s="29"/>
      <c r="L8394" s="29" t="s">
        <v>1062</v>
      </c>
      <c r="M8394" s="29" t="s">
        <v>6660</v>
      </c>
      <c r="N8394" s="29" t="s">
        <v>4218</v>
      </c>
      <c r="O8394" s="29"/>
      <c r="P8394" s="29" t="s">
        <v>13264</v>
      </c>
      <c r="Q8394" t="s">
        <v>2039</v>
      </c>
      <c r="R8394" t="s">
        <v>2635</v>
      </c>
      <c r="S8394">
        <v>37</v>
      </c>
      <c r="T8394" s="43" t="str">
        <f>HYPERLINK("https://ictv.global/ictv/proposals/2021.036M.R.Rhabdoviridae_sprename.zip","2021.036M.R.Rhabdoviridae_sprename.zip")</f>
        <v>2021.036M.R.Rhabdoviridae_sprename.zip</v>
      </c>
      <c r="U8394" s="43" t="str">
        <f>HYPERLINK("https://ictv.global/taxonomy/taxondetails?taxnode_id=202201749","ictv.global=202201749")</f>
        <v>ictv.global=202201749</v>
      </c>
    </row>
    <row r="8395" spans="1:21">
      <c r="A8395">
        <v>8394</v>
      </c>
      <c r="B8395" s="29" t="s">
        <v>3223</v>
      </c>
      <c r="C8395" s="29"/>
      <c r="D8395" s="29" t="s">
        <v>4156</v>
      </c>
      <c r="E8395" s="29"/>
      <c r="F8395" s="29" t="s">
        <v>2998</v>
      </c>
      <c r="G8395" s="29" t="s">
        <v>2999</v>
      </c>
      <c r="H8395" s="29" t="s">
        <v>3006</v>
      </c>
      <c r="I8395" s="29"/>
      <c r="J8395" s="29" t="s">
        <v>757</v>
      </c>
      <c r="K8395" s="29"/>
      <c r="L8395" s="29" t="s">
        <v>1062</v>
      </c>
      <c r="M8395" s="29" t="s">
        <v>6660</v>
      </c>
      <c r="N8395" s="29" t="s">
        <v>4218</v>
      </c>
      <c r="O8395" s="29"/>
      <c r="P8395" s="29" t="s">
        <v>13265</v>
      </c>
      <c r="Q8395" t="s">
        <v>2039</v>
      </c>
      <c r="R8395" t="s">
        <v>2632</v>
      </c>
      <c r="S8395">
        <v>38</v>
      </c>
      <c r="T8395" s="43" t="str">
        <f>HYPERLINK("https://ictv.global/ictv/proposals/2022.001M.Alpha_and_betanucleorhabdoviruses_6nsp.zip","2022.001M.Alpha_and_betanucleorhabdoviruses_6nsp.zip")</f>
        <v>2022.001M.Alpha_and_betanucleorhabdoviruses_6nsp.zip</v>
      </c>
      <c r="U8395" s="43" t="str">
        <f>HYPERLINK("https://ictv.global/taxonomy/taxondetails?taxnode_id=202214144","ictv.global=202214144")</f>
        <v>ictv.global=202214144</v>
      </c>
    </row>
    <row r="8396" spans="1:21">
      <c r="A8396">
        <v>8395</v>
      </c>
      <c r="B8396" s="29" t="s">
        <v>3223</v>
      </c>
      <c r="C8396" s="29"/>
      <c r="D8396" s="29" t="s">
        <v>4156</v>
      </c>
      <c r="E8396" s="29"/>
      <c r="F8396" s="29" t="s">
        <v>2998</v>
      </c>
      <c r="G8396" s="29" t="s">
        <v>2999</v>
      </c>
      <c r="H8396" s="29" t="s">
        <v>3006</v>
      </c>
      <c r="I8396" s="29"/>
      <c r="J8396" s="29" t="s">
        <v>757</v>
      </c>
      <c r="K8396" s="29"/>
      <c r="L8396" s="29" t="s">
        <v>1062</v>
      </c>
      <c r="M8396" s="29" t="s">
        <v>6660</v>
      </c>
      <c r="N8396" s="29" t="s">
        <v>4218</v>
      </c>
      <c r="O8396" s="29"/>
      <c r="P8396" s="29" t="s">
        <v>13266</v>
      </c>
      <c r="Q8396" t="s">
        <v>2039</v>
      </c>
      <c r="R8396" t="s">
        <v>2635</v>
      </c>
      <c r="S8396">
        <v>37</v>
      </c>
      <c r="T8396" s="43" t="str">
        <f>HYPERLINK("https://ictv.global/ictv/proposals/2021.036M.R.Rhabdoviridae_sprename.zip","2021.036M.R.Rhabdoviridae_sprename.zip")</f>
        <v>2021.036M.R.Rhabdoviridae_sprename.zip</v>
      </c>
      <c r="U8396" s="43" t="str">
        <f>HYPERLINK("https://ictv.global/taxonomy/taxondetails?taxnode_id=202207686","ictv.global=202207686")</f>
        <v>ictv.global=202207686</v>
      </c>
    </row>
    <row r="8397" spans="1:21">
      <c r="A8397">
        <v>8396</v>
      </c>
      <c r="B8397" s="29" t="s">
        <v>3223</v>
      </c>
      <c r="C8397" s="29"/>
      <c r="D8397" s="29" t="s">
        <v>4156</v>
      </c>
      <c r="E8397" s="29"/>
      <c r="F8397" s="29" t="s">
        <v>2998</v>
      </c>
      <c r="G8397" s="29" t="s">
        <v>2999</v>
      </c>
      <c r="H8397" s="29" t="s">
        <v>3006</v>
      </c>
      <c r="I8397" s="29"/>
      <c r="J8397" s="29" t="s">
        <v>757</v>
      </c>
      <c r="K8397" s="29"/>
      <c r="L8397" s="29" t="s">
        <v>1062</v>
      </c>
      <c r="M8397" s="29" t="s">
        <v>6660</v>
      </c>
      <c r="N8397" s="29" t="s">
        <v>4218</v>
      </c>
      <c r="O8397" s="29"/>
      <c r="P8397" s="29" t="s">
        <v>13267</v>
      </c>
      <c r="Q8397" t="s">
        <v>2039</v>
      </c>
      <c r="R8397" t="s">
        <v>2635</v>
      </c>
      <c r="S8397">
        <v>37</v>
      </c>
      <c r="T8397" s="43" t="str">
        <f>HYPERLINK("https://ictv.global/ictv/proposals/2021.036M.R.Rhabdoviridae_sprename.zip","2021.036M.R.Rhabdoviridae_sprename.zip")</f>
        <v>2021.036M.R.Rhabdoviridae_sprename.zip</v>
      </c>
      <c r="U8397" s="43" t="str">
        <f>HYPERLINK("https://ictv.global/taxonomy/taxondetails?taxnode_id=202201750","ictv.global=202201750")</f>
        <v>ictv.global=202201750</v>
      </c>
    </row>
    <row r="8398" spans="1:21">
      <c r="A8398">
        <v>8397</v>
      </c>
      <c r="B8398" s="29" t="s">
        <v>3223</v>
      </c>
      <c r="C8398" s="29"/>
      <c r="D8398" s="29" t="s">
        <v>4156</v>
      </c>
      <c r="E8398" s="29"/>
      <c r="F8398" s="29" t="s">
        <v>2998</v>
      </c>
      <c r="G8398" s="29" t="s">
        <v>2999</v>
      </c>
      <c r="H8398" s="29" t="s">
        <v>3006</v>
      </c>
      <c r="I8398" s="29"/>
      <c r="J8398" s="29" t="s">
        <v>757</v>
      </c>
      <c r="K8398" s="29"/>
      <c r="L8398" s="29" t="s">
        <v>1062</v>
      </c>
      <c r="M8398" s="29" t="s">
        <v>6660</v>
      </c>
      <c r="N8398" s="29" t="s">
        <v>4218</v>
      </c>
      <c r="O8398" s="29"/>
      <c r="P8398" s="29" t="s">
        <v>13268</v>
      </c>
      <c r="Q8398" t="s">
        <v>2039</v>
      </c>
      <c r="R8398" t="s">
        <v>2635</v>
      </c>
      <c r="S8398">
        <v>37</v>
      </c>
      <c r="T8398" s="43" t="str">
        <f>HYPERLINK("https://ictv.global/ictv/proposals/2021.036M.R.Rhabdoviridae_sprename.zip","2021.036M.R.Rhabdoviridae_sprename.zip")</f>
        <v>2021.036M.R.Rhabdoviridae_sprename.zip</v>
      </c>
      <c r="U8398" s="43" t="str">
        <f>HYPERLINK("https://ictv.global/taxonomy/taxondetails?taxnode_id=202209368","ictv.global=202209368")</f>
        <v>ictv.global=202209368</v>
      </c>
    </row>
    <row r="8399" spans="1:21">
      <c r="A8399">
        <v>8398</v>
      </c>
      <c r="B8399" s="29" t="s">
        <v>3223</v>
      </c>
      <c r="C8399" s="29"/>
      <c r="D8399" s="29" t="s">
        <v>4156</v>
      </c>
      <c r="E8399" s="29"/>
      <c r="F8399" s="29" t="s">
        <v>2998</v>
      </c>
      <c r="G8399" s="29" t="s">
        <v>2999</v>
      </c>
      <c r="H8399" s="29" t="s">
        <v>3006</v>
      </c>
      <c r="I8399" s="29"/>
      <c r="J8399" s="29" t="s">
        <v>757</v>
      </c>
      <c r="K8399" s="29"/>
      <c r="L8399" s="29" t="s">
        <v>1062</v>
      </c>
      <c r="M8399" s="29" t="s">
        <v>6660</v>
      </c>
      <c r="N8399" s="29" t="s">
        <v>1063</v>
      </c>
      <c r="O8399" s="29"/>
      <c r="P8399" s="29" t="s">
        <v>13269</v>
      </c>
      <c r="Q8399" t="s">
        <v>2039</v>
      </c>
      <c r="R8399" t="s">
        <v>2632</v>
      </c>
      <c r="S8399">
        <v>38</v>
      </c>
      <c r="T8399" s="43" t="str">
        <f>HYPERLINK("https://ictv.global/ictv/proposals/2022.007M.Cytorhabdovirus_10nsp.zip","2022.007M.Cytorhabdovirus_10nsp.zip")</f>
        <v>2022.007M.Cytorhabdovirus_10nsp.zip</v>
      </c>
      <c r="U8399" s="43" t="str">
        <f>HYPERLINK("https://ictv.global/taxonomy/taxondetails?taxnode_id=202214166","ictv.global=202214166")</f>
        <v>ictv.global=202214166</v>
      </c>
    </row>
    <row r="8400" spans="1:21">
      <c r="A8400">
        <v>8399</v>
      </c>
      <c r="B8400" s="29" t="s">
        <v>3223</v>
      </c>
      <c r="C8400" s="29"/>
      <c r="D8400" s="29" t="s">
        <v>4156</v>
      </c>
      <c r="E8400" s="29"/>
      <c r="F8400" s="29" t="s">
        <v>2998</v>
      </c>
      <c r="G8400" s="29" t="s">
        <v>2999</v>
      </c>
      <c r="H8400" s="29" t="s">
        <v>3006</v>
      </c>
      <c r="I8400" s="29"/>
      <c r="J8400" s="29" t="s">
        <v>757</v>
      </c>
      <c r="K8400" s="29"/>
      <c r="L8400" s="29" t="s">
        <v>1062</v>
      </c>
      <c r="M8400" s="29" t="s">
        <v>6660</v>
      </c>
      <c r="N8400" s="29" t="s">
        <v>1063</v>
      </c>
      <c r="O8400" s="29"/>
      <c r="P8400" s="29" t="s">
        <v>13270</v>
      </c>
      <c r="Q8400" t="s">
        <v>2039</v>
      </c>
      <c r="R8400" t="s">
        <v>2635</v>
      </c>
      <c r="S8400">
        <v>37</v>
      </c>
      <c r="T8400" s="43" t="str">
        <f>HYPERLINK("https://ictv.global/ictv/proposals/2021.036M.R.Rhabdoviridae_sprename.zip","2021.036M.R.Rhabdoviridae_sprename.zip")</f>
        <v>2021.036M.R.Rhabdoviridae_sprename.zip</v>
      </c>
      <c r="U8400" s="43" t="str">
        <f>HYPERLINK("https://ictv.global/taxonomy/taxondetails?taxnode_id=202208908","ictv.global=202208908")</f>
        <v>ictv.global=202208908</v>
      </c>
    </row>
    <row r="8401" spans="1:21">
      <c r="A8401">
        <v>8400</v>
      </c>
      <c r="B8401" s="29" t="s">
        <v>3223</v>
      </c>
      <c r="C8401" s="29"/>
      <c r="D8401" s="29" t="s">
        <v>4156</v>
      </c>
      <c r="E8401" s="29"/>
      <c r="F8401" s="29" t="s">
        <v>2998</v>
      </c>
      <c r="G8401" s="29" t="s">
        <v>2999</v>
      </c>
      <c r="H8401" s="29" t="s">
        <v>3006</v>
      </c>
      <c r="I8401" s="29"/>
      <c r="J8401" s="29" t="s">
        <v>757</v>
      </c>
      <c r="K8401" s="29"/>
      <c r="L8401" s="29" t="s">
        <v>1062</v>
      </c>
      <c r="M8401" s="29" t="s">
        <v>6660</v>
      </c>
      <c r="N8401" s="29" t="s">
        <v>1063</v>
      </c>
      <c r="O8401" s="29"/>
      <c r="P8401" s="29" t="s">
        <v>13271</v>
      </c>
      <c r="Q8401" t="s">
        <v>2039</v>
      </c>
      <c r="R8401" t="s">
        <v>2635</v>
      </c>
      <c r="S8401">
        <v>37</v>
      </c>
      <c r="T8401" s="43" t="str">
        <f>HYPERLINK("https://ictv.global/ictv/proposals/2021.036M.R.Rhabdoviridae_sprename.zip","2021.036M.R.Rhabdoviridae_sprename.zip")</f>
        <v>2021.036M.R.Rhabdoviridae_sprename.zip</v>
      </c>
      <c r="U8401" s="43" t="str">
        <f>HYPERLINK("https://ictv.global/taxonomy/taxondetails?taxnode_id=202207675","ictv.global=202207675")</f>
        <v>ictv.global=202207675</v>
      </c>
    </row>
    <row r="8402" spans="1:21">
      <c r="A8402">
        <v>8401</v>
      </c>
      <c r="B8402" s="29" t="s">
        <v>3223</v>
      </c>
      <c r="C8402" s="29"/>
      <c r="D8402" s="29" t="s">
        <v>4156</v>
      </c>
      <c r="E8402" s="29"/>
      <c r="F8402" s="29" t="s">
        <v>2998</v>
      </c>
      <c r="G8402" s="29" t="s">
        <v>2999</v>
      </c>
      <c r="H8402" s="29" t="s">
        <v>3006</v>
      </c>
      <c r="I8402" s="29"/>
      <c r="J8402" s="29" t="s">
        <v>757</v>
      </c>
      <c r="K8402" s="29"/>
      <c r="L8402" s="29" t="s">
        <v>1062</v>
      </c>
      <c r="M8402" s="29" t="s">
        <v>6660</v>
      </c>
      <c r="N8402" s="29" t="s">
        <v>1063</v>
      </c>
      <c r="O8402" s="29"/>
      <c r="P8402" s="29" t="s">
        <v>13272</v>
      </c>
      <c r="Q8402" t="s">
        <v>2039</v>
      </c>
      <c r="R8402" t="s">
        <v>2632</v>
      </c>
      <c r="S8402">
        <v>38</v>
      </c>
      <c r="T8402" s="43" t="str">
        <f>HYPERLINK("https://ictv.global/ictv/proposals/2022.007M.Cytorhabdovirus_10nsp.zip","2022.007M.Cytorhabdovirus_10nsp.zip")</f>
        <v>2022.007M.Cytorhabdovirus_10nsp.zip</v>
      </c>
      <c r="U8402" s="43" t="str">
        <f>HYPERLINK("https://ictv.global/taxonomy/taxondetails?taxnode_id=202214167","ictv.global=202214167")</f>
        <v>ictv.global=202214167</v>
      </c>
    </row>
    <row r="8403" spans="1:21">
      <c r="A8403">
        <v>8402</v>
      </c>
      <c r="B8403" s="29" t="s">
        <v>3223</v>
      </c>
      <c r="C8403" s="29"/>
      <c r="D8403" s="29" t="s">
        <v>4156</v>
      </c>
      <c r="E8403" s="29"/>
      <c r="F8403" s="29" t="s">
        <v>2998</v>
      </c>
      <c r="G8403" s="29" t="s">
        <v>2999</v>
      </c>
      <c r="H8403" s="29" t="s">
        <v>3006</v>
      </c>
      <c r="I8403" s="29"/>
      <c r="J8403" s="29" t="s">
        <v>757</v>
      </c>
      <c r="K8403" s="29"/>
      <c r="L8403" s="29" t="s">
        <v>1062</v>
      </c>
      <c r="M8403" s="29" t="s">
        <v>6660</v>
      </c>
      <c r="N8403" s="29" t="s">
        <v>1063</v>
      </c>
      <c r="O8403" s="29"/>
      <c r="P8403" s="29" t="s">
        <v>13273</v>
      </c>
      <c r="Q8403" t="s">
        <v>2039</v>
      </c>
      <c r="R8403" t="s">
        <v>2632</v>
      </c>
      <c r="S8403">
        <v>38</v>
      </c>
      <c r="T8403" s="43" t="str">
        <f>HYPERLINK("https://ictv.global/ictv/proposals/2022.007M.Cytorhabdovirus_10nsp.zip","2022.007M.Cytorhabdovirus_10nsp.zip")</f>
        <v>2022.007M.Cytorhabdovirus_10nsp.zip</v>
      </c>
      <c r="U8403" s="43" t="str">
        <f>HYPERLINK("https://ictv.global/taxonomy/taxondetails?taxnode_id=202214168","ictv.global=202214168")</f>
        <v>ictv.global=202214168</v>
      </c>
    </row>
    <row r="8404" spans="1:21">
      <c r="A8404">
        <v>8403</v>
      </c>
      <c r="B8404" s="29" t="s">
        <v>3223</v>
      </c>
      <c r="C8404" s="29"/>
      <c r="D8404" s="29" t="s">
        <v>4156</v>
      </c>
      <c r="E8404" s="29"/>
      <c r="F8404" s="29" t="s">
        <v>2998</v>
      </c>
      <c r="G8404" s="29" t="s">
        <v>2999</v>
      </c>
      <c r="H8404" s="29" t="s">
        <v>3006</v>
      </c>
      <c r="I8404" s="29"/>
      <c r="J8404" s="29" t="s">
        <v>757</v>
      </c>
      <c r="K8404" s="29"/>
      <c r="L8404" s="29" t="s">
        <v>1062</v>
      </c>
      <c r="M8404" s="29" t="s">
        <v>6660</v>
      </c>
      <c r="N8404" s="29" t="s">
        <v>1063</v>
      </c>
      <c r="O8404" s="29"/>
      <c r="P8404" s="29" t="s">
        <v>13274</v>
      </c>
      <c r="Q8404" t="s">
        <v>2039</v>
      </c>
      <c r="R8404" t="s">
        <v>2632</v>
      </c>
      <c r="S8404">
        <v>37</v>
      </c>
      <c r="T8404" s="43" t="str">
        <f>HYPERLINK("https://ictv.global/ictv/proposals/2021.001M.R.Betarhabdovirinae_7nsp.zip","2021.001M.R.Betarhabdovirinae_7nsp.zip")</f>
        <v>2021.001M.R.Betarhabdovirinae_7nsp.zip</v>
      </c>
      <c r="U8404" s="43" t="str">
        <f>HYPERLINK("https://ictv.global/taxonomy/taxondetails?taxnode_id=202213308","ictv.global=202213308")</f>
        <v>ictv.global=202213308</v>
      </c>
    </row>
    <row r="8405" spans="1:21">
      <c r="A8405">
        <v>8404</v>
      </c>
      <c r="B8405" s="29" t="s">
        <v>3223</v>
      </c>
      <c r="C8405" s="29"/>
      <c r="D8405" s="29" t="s">
        <v>4156</v>
      </c>
      <c r="E8405" s="29"/>
      <c r="F8405" s="29" t="s">
        <v>2998</v>
      </c>
      <c r="G8405" s="29" t="s">
        <v>2999</v>
      </c>
      <c r="H8405" s="29" t="s">
        <v>3006</v>
      </c>
      <c r="I8405" s="29"/>
      <c r="J8405" s="29" t="s">
        <v>757</v>
      </c>
      <c r="K8405" s="29"/>
      <c r="L8405" s="29" t="s">
        <v>1062</v>
      </c>
      <c r="M8405" s="29" t="s">
        <v>6660</v>
      </c>
      <c r="N8405" s="29" t="s">
        <v>1063</v>
      </c>
      <c r="O8405" s="29"/>
      <c r="P8405" s="29" t="s">
        <v>13275</v>
      </c>
      <c r="Q8405" t="s">
        <v>2039</v>
      </c>
      <c r="R8405" t="s">
        <v>2632</v>
      </c>
      <c r="S8405">
        <v>38</v>
      </c>
      <c r="T8405" s="43" t="str">
        <f>HYPERLINK("https://ictv.global/ictv/proposals/2022.007M.Cytorhabdovirus_10nsp.zip","2022.007M.Cytorhabdovirus_10nsp.zip")</f>
        <v>2022.007M.Cytorhabdovirus_10nsp.zip</v>
      </c>
      <c r="U8405" s="43" t="str">
        <f>HYPERLINK("https://ictv.global/taxonomy/taxondetails?taxnode_id=202214169","ictv.global=202214169")</f>
        <v>ictv.global=202214169</v>
      </c>
    </row>
    <row r="8406" spans="1:21">
      <c r="A8406">
        <v>8405</v>
      </c>
      <c r="B8406" s="29" t="s">
        <v>3223</v>
      </c>
      <c r="C8406" s="29"/>
      <c r="D8406" s="29" t="s">
        <v>4156</v>
      </c>
      <c r="E8406" s="29"/>
      <c r="F8406" s="29" t="s">
        <v>2998</v>
      </c>
      <c r="G8406" s="29" t="s">
        <v>2999</v>
      </c>
      <c r="H8406" s="29" t="s">
        <v>3006</v>
      </c>
      <c r="I8406" s="29"/>
      <c r="J8406" s="29" t="s">
        <v>757</v>
      </c>
      <c r="K8406" s="29"/>
      <c r="L8406" s="29" t="s">
        <v>1062</v>
      </c>
      <c r="M8406" s="29" t="s">
        <v>6660</v>
      </c>
      <c r="N8406" s="29" t="s">
        <v>1063</v>
      </c>
      <c r="O8406" s="29"/>
      <c r="P8406" s="29" t="s">
        <v>13276</v>
      </c>
      <c r="Q8406" t="s">
        <v>2039</v>
      </c>
      <c r="R8406" t="s">
        <v>2635</v>
      </c>
      <c r="S8406">
        <v>37</v>
      </c>
      <c r="T8406" s="43" t="str">
        <f>HYPERLINK("https://ictv.global/ictv/proposals/2021.036M.R.Rhabdoviridae_sprename.zip","2021.036M.R.Rhabdoviridae_sprename.zip")</f>
        <v>2021.036M.R.Rhabdoviridae_sprename.zip</v>
      </c>
      <c r="U8406" s="43" t="str">
        <f>HYPERLINK("https://ictv.global/taxonomy/taxondetails?taxnode_id=202208909","ictv.global=202208909")</f>
        <v>ictv.global=202208909</v>
      </c>
    </row>
    <row r="8407" spans="1:21">
      <c r="A8407">
        <v>8406</v>
      </c>
      <c r="B8407" s="29" t="s">
        <v>3223</v>
      </c>
      <c r="C8407" s="29"/>
      <c r="D8407" s="29" t="s">
        <v>4156</v>
      </c>
      <c r="E8407" s="29"/>
      <c r="F8407" s="29" t="s">
        <v>2998</v>
      </c>
      <c r="G8407" s="29" t="s">
        <v>2999</v>
      </c>
      <c r="H8407" s="29" t="s">
        <v>3006</v>
      </c>
      <c r="I8407" s="29"/>
      <c r="J8407" s="29" t="s">
        <v>757</v>
      </c>
      <c r="K8407" s="29"/>
      <c r="L8407" s="29" t="s">
        <v>1062</v>
      </c>
      <c r="M8407" s="29" t="s">
        <v>6660</v>
      </c>
      <c r="N8407" s="29" t="s">
        <v>1063</v>
      </c>
      <c r="O8407" s="29"/>
      <c r="P8407" s="29" t="s">
        <v>13277</v>
      </c>
      <c r="Q8407" t="s">
        <v>2039</v>
      </c>
      <c r="R8407" t="s">
        <v>2635</v>
      </c>
      <c r="S8407">
        <v>37</v>
      </c>
      <c r="T8407" s="43" t="str">
        <f>HYPERLINK("https://ictv.global/ictv/proposals/2021.036M.R.Rhabdoviridae_sprename.zip","2021.036M.R.Rhabdoviridae_sprename.zip")</f>
        <v>2021.036M.R.Rhabdoviridae_sprename.zip</v>
      </c>
      <c r="U8407" s="43" t="str">
        <f>HYPERLINK("https://ictv.global/taxonomy/taxondetails?taxnode_id=202207676","ictv.global=202207676")</f>
        <v>ictv.global=202207676</v>
      </c>
    </row>
    <row r="8408" spans="1:21">
      <c r="A8408">
        <v>8407</v>
      </c>
      <c r="B8408" s="29" t="s">
        <v>3223</v>
      </c>
      <c r="C8408" s="29"/>
      <c r="D8408" s="29" t="s">
        <v>4156</v>
      </c>
      <c r="E8408" s="29"/>
      <c r="F8408" s="29" t="s">
        <v>2998</v>
      </c>
      <c r="G8408" s="29" t="s">
        <v>2999</v>
      </c>
      <c r="H8408" s="29" t="s">
        <v>3006</v>
      </c>
      <c r="I8408" s="29"/>
      <c r="J8408" s="29" t="s">
        <v>757</v>
      </c>
      <c r="K8408" s="29"/>
      <c r="L8408" s="29" t="s">
        <v>1062</v>
      </c>
      <c r="M8408" s="29" t="s">
        <v>6660</v>
      </c>
      <c r="N8408" s="29" t="s">
        <v>1063</v>
      </c>
      <c r="O8408" s="29"/>
      <c r="P8408" s="29" t="s">
        <v>13278</v>
      </c>
      <c r="Q8408" t="s">
        <v>2039</v>
      </c>
      <c r="R8408" t="s">
        <v>2635</v>
      </c>
      <c r="S8408">
        <v>37</v>
      </c>
      <c r="T8408" s="43" t="str">
        <f>HYPERLINK("https://ictv.global/ictv/proposals/2021.036M.R.Rhabdoviridae_sprename.zip","2021.036M.R.Rhabdoviridae_sprename.zip")</f>
        <v>2021.036M.R.Rhabdoviridae_sprename.zip</v>
      </c>
      <c r="U8408" s="43" t="str">
        <f>HYPERLINK("https://ictv.global/taxonomy/taxondetails?taxnode_id=202201669","ictv.global=202201669")</f>
        <v>ictv.global=202201669</v>
      </c>
    </row>
    <row r="8409" spans="1:21">
      <c r="A8409">
        <v>8408</v>
      </c>
      <c r="B8409" s="29" t="s">
        <v>3223</v>
      </c>
      <c r="C8409" s="29"/>
      <c r="D8409" s="29" t="s">
        <v>4156</v>
      </c>
      <c r="E8409" s="29"/>
      <c r="F8409" s="29" t="s">
        <v>2998</v>
      </c>
      <c r="G8409" s="29" t="s">
        <v>2999</v>
      </c>
      <c r="H8409" s="29" t="s">
        <v>3006</v>
      </c>
      <c r="I8409" s="29"/>
      <c r="J8409" s="29" t="s">
        <v>757</v>
      </c>
      <c r="K8409" s="29"/>
      <c r="L8409" s="29" t="s">
        <v>1062</v>
      </c>
      <c r="M8409" s="29" t="s">
        <v>6660</v>
      </c>
      <c r="N8409" s="29" t="s">
        <v>1063</v>
      </c>
      <c r="O8409" s="29"/>
      <c r="P8409" s="29" t="s">
        <v>13279</v>
      </c>
      <c r="Q8409" t="s">
        <v>2039</v>
      </c>
      <c r="R8409" t="s">
        <v>2635</v>
      </c>
      <c r="S8409">
        <v>37</v>
      </c>
      <c r="T8409" s="43" t="str">
        <f>HYPERLINK("https://ictv.global/ictv/proposals/2021.036M.R.Rhabdoviridae_sprename.zip","2021.036M.R.Rhabdoviridae_sprename.zip")</f>
        <v>2021.036M.R.Rhabdoviridae_sprename.zip</v>
      </c>
      <c r="U8409" s="43" t="str">
        <f>HYPERLINK("https://ictv.global/taxonomy/taxondetails?taxnode_id=202207666","ictv.global=202207666")</f>
        <v>ictv.global=202207666</v>
      </c>
    </row>
    <row r="8410" spans="1:21">
      <c r="A8410">
        <v>8409</v>
      </c>
      <c r="B8410" s="29" t="s">
        <v>3223</v>
      </c>
      <c r="C8410" s="29"/>
      <c r="D8410" s="29" t="s">
        <v>4156</v>
      </c>
      <c r="E8410" s="29"/>
      <c r="F8410" s="29" t="s">
        <v>2998</v>
      </c>
      <c r="G8410" s="29" t="s">
        <v>2999</v>
      </c>
      <c r="H8410" s="29" t="s">
        <v>3006</v>
      </c>
      <c r="I8410" s="29"/>
      <c r="J8410" s="29" t="s">
        <v>757</v>
      </c>
      <c r="K8410" s="29"/>
      <c r="L8410" s="29" t="s">
        <v>1062</v>
      </c>
      <c r="M8410" s="29" t="s">
        <v>6660</v>
      </c>
      <c r="N8410" s="29" t="s">
        <v>1063</v>
      </c>
      <c r="O8410" s="29"/>
      <c r="P8410" s="29" t="s">
        <v>13280</v>
      </c>
      <c r="Q8410" t="s">
        <v>2039</v>
      </c>
      <c r="R8410" t="s">
        <v>2632</v>
      </c>
      <c r="S8410">
        <v>37</v>
      </c>
      <c r="T8410" s="43" t="str">
        <f>HYPERLINK("https://ictv.global/ictv/proposals/2021.001M.R.Betarhabdovirinae_7nsp.zip","2021.001M.R.Betarhabdovirinae_7nsp.zip")</f>
        <v>2021.001M.R.Betarhabdovirinae_7nsp.zip</v>
      </c>
      <c r="U8410" s="43" t="str">
        <f>HYPERLINK("https://ictv.global/taxonomy/taxondetails?taxnode_id=202213311","ictv.global=202213311")</f>
        <v>ictv.global=202213311</v>
      </c>
    </row>
    <row r="8411" spans="1:21">
      <c r="A8411">
        <v>8410</v>
      </c>
      <c r="B8411" s="29" t="s">
        <v>3223</v>
      </c>
      <c r="C8411" s="29"/>
      <c r="D8411" s="29" t="s">
        <v>4156</v>
      </c>
      <c r="E8411" s="29"/>
      <c r="F8411" s="29" t="s">
        <v>2998</v>
      </c>
      <c r="G8411" s="29" t="s">
        <v>2999</v>
      </c>
      <c r="H8411" s="29" t="s">
        <v>3006</v>
      </c>
      <c r="I8411" s="29"/>
      <c r="J8411" s="29" t="s">
        <v>757</v>
      </c>
      <c r="K8411" s="29"/>
      <c r="L8411" s="29" t="s">
        <v>1062</v>
      </c>
      <c r="M8411" s="29" t="s">
        <v>6660</v>
      </c>
      <c r="N8411" s="29" t="s">
        <v>1063</v>
      </c>
      <c r="O8411" s="29"/>
      <c r="P8411" s="29" t="s">
        <v>13281</v>
      </c>
      <c r="Q8411" t="s">
        <v>2039</v>
      </c>
      <c r="R8411" t="s">
        <v>2635</v>
      </c>
      <c r="S8411">
        <v>37</v>
      </c>
      <c r="T8411" s="43" t="str">
        <f>HYPERLINK("https://ictv.global/ictv/proposals/2021.036M.R.Rhabdoviridae_sprename.zip","2021.036M.R.Rhabdoviridae_sprename.zip")</f>
        <v>2021.036M.R.Rhabdoviridae_sprename.zip</v>
      </c>
      <c r="U8411" s="43" t="str">
        <f>HYPERLINK("https://ictv.global/taxonomy/taxondetails?taxnode_id=202207669","ictv.global=202207669")</f>
        <v>ictv.global=202207669</v>
      </c>
    </row>
    <row r="8412" spans="1:21">
      <c r="A8412">
        <v>8411</v>
      </c>
      <c r="B8412" s="29" t="s">
        <v>3223</v>
      </c>
      <c r="C8412" s="29"/>
      <c r="D8412" s="29" t="s">
        <v>4156</v>
      </c>
      <c r="E8412" s="29"/>
      <c r="F8412" s="29" t="s">
        <v>2998</v>
      </c>
      <c r="G8412" s="29" t="s">
        <v>2999</v>
      </c>
      <c r="H8412" s="29" t="s">
        <v>3006</v>
      </c>
      <c r="I8412" s="29"/>
      <c r="J8412" s="29" t="s">
        <v>757</v>
      </c>
      <c r="K8412" s="29"/>
      <c r="L8412" s="29" t="s">
        <v>1062</v>
      </c>
      <c r="M8412" s="29" t="s">
        <v>6660</v>
      </c>
      <c r="N8412" s="29" t="s">
        <v>1063</v>
      </c>
      <c r="O8412" s="29"/>
      <c r="P8412" s="29" t="s">
        <v>13282</v>
      </c>
      <c r="Q8412" t="s">
        <v>2039</v>
      </c>
      <c r="R8412" t="s">
        <v>2632</v>
      </c>
      <c r="S8412">
        <v>37</v>
      </c>
      <c r="T8412" s="43" t="str">
        <f>HYPERLINK("https://ictv.global/ictv/proposals/2021.001M.R.Betarhabdovirinae_7nsp.zip","2021.001M.R.Betarhabdovirinae_7nsp.zip")</f>
        <v>2021.001M.R.Betarhabdovirinae_7nsp.zip</v>
      </c>
      <c r="U8412" s="43" t="str">
        <f>HYPERLINK("https://ictv.global/taxonomy/taxondetails?taxnode_id=202213309","ictv.global=202213309")</f>
        <v>ictv.global=202213309</v>
      </c>
    </row>
    <row r="8413" spans="1:21">
      <c r="A8413">
        <v>8412</v>
      </c>
      <c r="B8413" s="29" t="s">
        <v>3223</v>
      </c>
      <c r="C8413" s="29"/>
      <c r="D8413" s="29" t="s">
        <v>4156</v>
      </c>
      <c r="E8413" s="29"/>
      <c r="F8413" s="29" t="s">
        <v>2998</v>
      </c>
      <c r="G8413" s="29" t="s">
        <v>2999</v>
      </c>
      <c r="H8413" s="29" t="s">
        <v>3006</v>
      </c>
      <c r="I8413" s="29"/>
      <c r="J8413" s="29" t="s">
        <v>757</v>
      </c>
      <c r="K8413" s="29"/>
      <c r="L8413" s="29" t="s">
        <v>1062</v>
      </c>
      <c r="M8413" s="29" t="s">
        <v>6660</v>
      </c>
      <c r="N8413" s="29" t="s">
        <v>1063</v>
      </c>
      <c r="O8413" s="29"/>
      <c r="P8413" s="29" t="s">
        <v>13283</v>
      </c>
      <c r="Q8413" t="s">
        <v>2039</v>
      </c>
      <c r="R8413" t="s">
        <v>2635</v>
      </c>
      <c r="S8413">
        <v>37</v>
      </c>
      <c r="T8413" s="43" t="str">
        <f>HYPERLINK("https://ictv.global/ictv/proposals/2021.036M.R.Rhabdoviridae_sprename.zip","2021.036M.R.Rhabdoviridae_sprename.zip")</f>
        <v>2021.036M.R.Rhabdoviridae_sprename.zip</v>
      </c>
      <c r="U8413" s="43" t="str">
        <f>HYPERLINK("https://ictv.global/taxonomy/taxondetails?taxnode_id=202201670","ictv.global=202201670")</f>
        <v>ictv.global=202201670</v>
      </c>
    </row>
    <row r="8414" spans="1:21">
      <c r="A8414">
        <v>8413</v>
      </c>
      <c r="B8414" s="29" t="s">
        <v>3223</v>
      </c>
      <c r="C8414" s="29"/>
      <c r="D8414" s="29" t="s">
        <v>4156</v>
      </c>
      <c r="E8414" s="29"/>
      <c r="F8414" s="29" t="s">
        <v>2998</v>
      </c>
      <c r="G8414" s="29" t="s">
        <v>2999</v>
      </c>
      <c r="H8414" s="29" t="s">
        <v>3006</v>
      </c>
      <c r="I8414" s="29"/>
      <c r="J8414" s="29" t="s">
        <v>757</v>
      </c>
      <c r="K8414" s="29"/>
      <c r="L8414" s="29" t="s">
        <v>1062</v>
      </c>
      <c r="M8414" s="29" t="s">
        <v>6660</v>
      </c>
      <c r="N8414" s="29" t="s">
        <v>1063</v>
      </c>
      <c r="O8414" s="29"/>
      <c r="P8414" s="29" t="s">
        <v>13284</v>
      </c>
      <c r="Q8414" t="s">
        <v>2039</v>
      </c>
      <c r="R8414" t="s">
        <v>2632</v>
      </c>
      <c r="S8414">
        <v>37</v>
      </c>
      <c r="T8414" s="43" t="str">
        <f>HYPERLINK("https://ictv.global/ictv/proposals/2021.001M.R.Betarhabdovirinae_7nsp.zip","2021.001M.R.Betarhabdovirinae_7nsp.zip")</f>
        <v>2021.001M.R.Betarhabdovirinae_7nsp.zip</v>
      </c>
      <c r="U8414" s="43" t="str">
        <f>HYPERLINK("https://ictv.global/taxonomy/taxondetails?taxnode_id=202213310","ictv.global=202213310")</f>
        <v>ictv.global=202213310</v>
      </c>
    </row>
    <row r="8415" spans="1:21">
      <c r="A8415">
        <v>8414</v>
      </c>
      <c r="B8415" s="29" t="s">
        <v>3223</v>
      </c>
      <c r="C8415" s="29"/>
      <c r="D8415" s="29" t="s">
        <v>4156</v>
      </c>
      <c r="E8415" s="29"/>
      <c r="F8415" s="29" t="s">
        <v>2998</v>
      </c>
      <c r="G8415" s="29" t="s">
        <v>2999</v>
      </c>
      <c r="H8415" s="29" t="s">
        <v>3006</v>
      </c>
      <c r="I8415" s="29"/>
      <c r="J8415" s="29" t="s">
        <v>757</v>
      </c>
      <c r="K8415" s="29"/>
      <c r="L8415" s="29" t="s">
        <v>1062</v>
      </c>
      <c r="M8415" s="29" t="s">
        <v>6660</v>
      </c>
      <c r="N8415" s="29" t="s">
        <v>1063</v>
      </c>
      <c r="O8415" s="29"/>
      <c r="P8415" s="29" t="s">
        <v>13285</v>
      </c>
      <c r="Q8415" t="s">
        <v>2039</v>
      </c>
      <c r="R8415" t="s">
        <v>2635</v>
      </c>
      <c r="S8415">
        <v>37</v>
      </c>
      <c r="T8415" s="43" t="str">
        <f>HYPERLINK("https://ictv.global/ictv/proposals/2021.036M.R.Rhabdoviridae_sprename.zip","2021.036M.R.Rhabdoviridae_sprename.zip")</f>
        <v>2021.036M.R.Rhabdoviridae_sprename.zip</v>
      </c>
      <c r="U8415" s="43" t="str">
        <f>HYPERLINK("https://ictv.global/taxonomy/taxondetails?taxnode_id=202201671","ictv.global=202201671")</f>
        <v>ictv.global=202201671</v>
      </c>
    </row>
    <row r="8416" spans="1:21">
      <c r="A8416">
        <v>8415</v>
      </c>
      <c r="B8416" s="29" t="s">
        <v>3223</v>
      </c>
      <c r="C8416" s="29"/>
      <c r="D8416" s="29" t="s">
        <v>4156</v>
      </c>
      <c r="E8416" s="29"/>
      <c r="F8416" s="29" t="s">
        <v>2998</v>
      </c>
      <c r="G8416" s="29" t="s">
        <v>2999</v>
      </c>
      <c r="H8416" s="29" t="s">
        <v>3006</v>
      </c>
      <c r="I8416" s="29"/>
      <c r="J8416" s="29" t="s">
        <v>757</v>
      </c>
      <c r="K8416" s="29"/>
      <c r="L8416" s="29" t="s">
        <v>1062</v>
      </c>
      <c r="M8416" s="29" t="s">
        <v>6660</v>
      </c>
      <c r="N8416" s="29" t="s">
        <v>1063</v>
      </c>
      <c r="O8416" s="29"/>
      <c r="P8416" s="29" t="s">
        <v>13286</v>
      </c>
      <c r="Q8416" t="s">
        <v>2039</v>
      </c>
      <c r="R8416" t="s">
        <v>2635</v>
      </c>
      <c r="S8416">
        <v>37</v>
      </c>
      <c r="T8416" s="43" t="str">
        <f>HYPERLINK("https://ictv.global/ictv/proposals/2021.036M.R.Rhabdoviridae_sprename.zip","2021.036M.R.Rhabdoviridae_sprename.zip")</f>
        <v>2021.036M.R.Rhabdoviridae_sprename.zip</v>
      </c>
      <c r="U8416" s="43" t="str">
        <f>HYPERLINK("https://ictv.global/taxonomy/taxondetails?taxnode_id=202207674","ictv.global=202207674")</f>
        <v>ictv.global=202207674</v>
      </c>
    </row>
    <row r="8417" spans="1:21">
      <c r="A8417">
        <v>8416</v>
      </c>
      <c r="B8417" s="29" t="s">
        <v>3223</v>
      </c>
      <c r="C8417" s="29"/>
      <c r="D8417" s="29" t="s">
        <v>4156</v>
      </c>
      <c r="E8417" s="29"/>
      <c r="F8417" s="29" t="s">
        <v>2998</v>
      </c>
      <c r="G8417" s="29" t="s">
        <v>2999</v>
      </c>
      <c r="H8417" s="29" t="s">
        <v>3006</v>
      </c>
      <c r="I8417" s="29"/>
      <c r="J8417" s="29" t="s">
        <v>757</v>
      </c>
      <c r="K8417" s="29"/>
      <c r="L8417" s="29" t="s">
        <v>1062</v>
      </c>
      <c r="M8417" s="29" t="s">
        <v>6660</v>
      </c>
      <c r="N8417" s="29" t="s">
        <v>1063</v>
      </c>
      <c r="O8417" s="29"/>
      <c r="P8417" s="29" t="s">
        <v>13287</v>
      </c>
      <c r="Q8417" t="s">
        <v>2039</v>
      </c>
      <c r="R8417" t="s">
        <v>2635</v>
      </c>
      <c r="S8417">
        <v>37</v>
      </c>
      <c r="T8417" s="43" t="str">
        <f>HYPERLINK("https://ictv.global/ictv/proposals/2021.036M.R.Rhabdoviridae_sprename.zip","2021.036M.R.Rhabdoviridae_sprename.zip")</f>
        <v>2021.036M.R.Rhabdoviridae_sprename.zip</v>
      </c>
      <c r="U8417" s="43" t="str">
        <f>HYPERLINK("https://ictv.global/taxonomy/taxondetails?taxnode_id=202208907","ictv.global=202208907")</f>
        <v>ictv.global=202208907</v>
      </c>
    </row>
    <row r="8418" spans="1:21">
      <c r="A8418">
        <v>8417</v>
      </c>
      <c r="B8418" s="29" t="s">
        <v>3223</v>
      </c>
      <c r="C8418" s="29"/>
      <c r="D8418" s="29" t="s">
        <v>4156</v>
      </c>
      <c r="E8418" s="29"/>
      <c r="F8418" s="29" t="s">
        <v>2998</v>
      </c>
      <c r="G8418" s="29" t="s">
        <v>2999</v>
      </c>
      <c r="H8418" s="29" t="s">
        <v>3006</v>
      </c>
      <c r="I8418" s="29"/>
      <c r="J8418" s="29" t="s">
        <v>757</v>
      </c>
      <c r="K8418" s="29"/>
      <c r="L8418" s="29" t="s">
        <v>1062</v>
      </c>
      <c r="M8418" s="29" t="s">
        <v>6660</v>
      </c>
      <c r="N8418" s="29" t="s">
        <v>1063</v>
      </c>
      <c r="O8418" s="29"/>
      <c r="P8418" s="29" t="s">
        <v>13288</v>
      </c>
      <c r="Q8418" t="s">
        <v>2039</v>
      </c>
      <c r="R8418" t="s">
        <v>2635</v>
      </c>
      <c r="S8418">
        <v>37</v>
      </c>
      <c r="T8418" s="43" t="str">
        <f>HYPERLINK("https://ictv.global/ictv/proposals/2021.036M.R.Rhabdoviridae_sprename.zip","2021.036M.R.Rhabdoviridae_sprename.zip")</f>
        <v>2021.036M.R.Rhabdoviridae_sprename.zip</v>
      </c>
      <c r="U8418" s="43" t="str">
        <f>HYPERLINK("https://ictv.global/taxonomy/taxondetails?taxnode_id=202201676","ictv.global=202201676")</f>
        <v>ictv.global=202201676</v>
      </c>
    </row>
    <row r="8419" spans="1:21">
      <c r="A8419">
        <v>8418</v>
      </c>
      <c r="B8419" s="29" t="s">
        <v>3223</v>
      </c>
      <c r="C8419" s="29"/>
      <c r="D8419" s="29" t="s">
        <v>4156</v>
      </c>
      <c r="E8419" s="29"/>
      <c r="F8419" s="29" t="s">
        <v>2998</v>
      </c>
      <c r="G8419" s="29" t="s">
        <v>2999</v>
      </c>
      <c r="H8419" s="29" t="s">
        <v>3006</v>
      </c>
      <c r="I8419" s="29"/>
      <c r="J8419" s="29" t="s">
        <v>757</v>
      </c>
      <c r="K8419" s="29"/>
      <c r="L8419" s="29" t="s">
        <v>1062</v>
      </c>
      <c r="M8419" s="29" t="s">
        <v>6660</v>
      </c>
      <c r="N8419" s="29" t="s">
        <v>1063</v>
      </c>
      <c r="O8419" s="29"/>
      <c r="P8419" s="29" t="s">
        <v>13289</v>
      </c>
      <c r="Q8419" t="s">
        <v>2039</v>
      </c>
      <c r="R8419" t="s">
        <v>2635</v>
      </c>
      <c r="S8419">
        <v>37</v>
      </c>
      <c r="T8419" s="43" t="str">
        <f>HYPERLINK("https://ictv.global/ictv/proposals/2021.036M.R.Rhabdoviridae_sprename.zip","2021.036M.R.Rhabdoviridae_sprename.zip")</f>
        <v>2021.036M.R.Rhabdoviridae_sprename.zip</v>
      </c>
      <c r="U8419" s="43" t="str">
        <f>HYPERLINK("https://ictv.global/taxonomy/taxondetails?taxnode_id=202207677","ictv.global=202207677")</f>
        <v>ictv.global=202207677</v>
      </c>
    </row>
    <row r="8420" spans="1:21">
      <c r="A8420">
        <v>8419</v>
      </c>
      <c r="B8420" s="29" t="s">
        <v>3223</v>
      </c>
      <c r="C8420" s="29"/>
      <c r="D8420" s="29" t="s">
        <v>4156</v>
      </c>
      <c r="E8420" s="29"/>
      <c r="F8420" s="29" t="s">
        <v>2998</v>
      </c>
      <c r="G8420" s="29" t="s">
        <v>2999</v>
      </c>
      <c r="H8420" s="29" t="s">
        <v>3006</v>
      </c>
      <c r="I8420" s="29"/>
      <c r="J8420" s="29" t="s">
        <v>757</v>
      </c>
      <c r="K8420" s="29"/>
      <c r="L8420" s="29" t="s">
        <v>1062</v>
      </c>
      <c r="M8420" s="29" t="s">
        <v>6660</v>
      </c>
      <c r="N8420" s="29" t="s">
        <v>1063</v>
      </c>
      <c r="O8420" s="29"/>
      <c r="P8420" s="29" t="s">
        <v>13290</v>
      </c>
      <c r="Q8420" t="s">
        <v>2039</v>
      </c>
      <c r="R8420" t="s">
        <v>2632</v>
      </c>
      <c r="S8420">
        <v>38</v>
      </c>
      <c r="T8420" s="43" t="str">
        <f>HYPERLINK("https://ictv.global/ictv/proposals/2022.007M.Cytorhabdovirus_10nsp.zip","2022.007M.Cytorhabdovirus_10nsp.zip")</f>
        <v>2022.007M.Cytorhabdovirus_10nsp.zip</v>
      </c>
      <c r="U8420" s="43" t="str">
        <f>HYPERLINK("https://ictv.global/taxonomy/taxondetails?taxnode_id=202214170","ictv.global=202214170")</f>
        <v>ictv.global=202214170</v>
      </c>
    </row>
    <row r="8421" spans="1:21">
      <c r="A8421">
        <v>8420</v>
      </c>
      <c r="B8421" s="29" t="s">
        <v>3223</v>
      </c>
      <c r="C8421" s="29"/>
      <c r="D8421" s="29" t="s">
        <v>4156</v>
      </c>
      <c r="E8421" s="29"/>
      <c r="F8421" s="29" t="s">
        <v>2998</v>
      </c>
      <c r="G8421" s="29" t="s">
        <v>2999</v>
      </c>
      <c r="H8421" s="29" t="s">
        <v>3006</v>
      </c>
      <c r="I8421" s="29"/>
      <c r="J8421" s="29" t="s">
        <v>757</v>
      </c>
      <c r="K8421" s="29"/>
      <c r="L8421" s="29" t="s">
        <v>1062</v>
      </c>
      <c r="M8421" s="29" t="s">
        <v>6660</v>
      </c>
      <c r="N8421" s="29" t="s">
        <v>1063</v>
      </c>
      <c r="O8421" s="29"/>
      <c r="P8421" s="29" t="s">
        <v>13291</v>
      </c>
      <c r="Q8421" t="s">
        <v>2039</v>
      </c>
      <c r="R8421" t="s">
        <v>2635</v>
      </c>
      <c r="S8421">
        <v>37</v>
      </c>
      <c r="T8421" s="43" t="str">
        <f>HYPERLINK("https://ictv.global/ictv/proposals/2021.036M.R.Rhabdoviridae_sprename.zip","2021.036M.R.Rhabdoviridae_sprename.zip")</f>
        <v>2021.036M.R.Rhabdoviridae_sprename.zip</v>
      </c>
      <c r="U8421" s="43" t="str">
        <f>HYPERLINK("https://ictv.global/taxonomy/taxondetails?taxnode_id=202201674","ictv.global=202201674")</f>
        <v>ictv.global=202201674</v>
      </c>
    </row>
    <row r="8422" spans="1:21">
      <c r="A8422">
        <v>8421</v>
      </c>
      <c r="B8422" s="29" t="s">
        <v>3223</v>
      </c>
      <c r="C8422" s="29"/>
      <c r="D8422" s="29" t="s">
        <v>4156</v>
      </c>
      <c r="E8422" s="29"/>
      <c r="F8422" s="29" t="s">
        <v>2998</v>
      </c>
      <c r="G8422" s="29" t="s">
        <v>2999</v>
      </c>
      <c r="H8422" s="29" t="s">
        <v>3006</v>
      </c>
      <c r="I8422" s="29"/>
      <c r="J8422" s="29" t="s">
        <v>757</v>
      </c>
      <c r="K8422" s="29"/>
      <c r="L8422" s="29" t="s">
        <v>1062</v>
      </c>
      <c r="M8422" s="29" t="s">
        <v>6660</v>
      </c>
      <c r="N8422" s="29" t="s">
        <v>1063</v>
      </c>
      <c r="O8422" s="29"/>
      <c r="P8422" s="29" t="s">
        <v>13292</v>
      </c>
      <c r="Q8422" t="s">
        <v>2039</v>
      </c>
      <c r="R8422" t="s">
        <v>2635</v>
      </c>
      <c r="S8422">
        <v>37</v>
      </c>
      <c r="T8422" s="43" t="str">
        <f>HYPERLINK("https://ictv.global/ictv/proposals/2021.036M.R.Rhabdoviridae_sprename.zip","2021.036M.R.Rhabdoviridae_sprename.zip")</f>
        <v>2021.036M.R.Rhabdoviridae_sprename.zip</v>
      </c>
      <c r="U8422" s="43" t="str">
        <f>HYPERLINK("https://ictv.global/taxonomy/taxondetails?taxnode_id=202201668","ictv.global=202201668")</f>
        <v>ictv.global=202201668</v>
      </c>
    </row>
    <row r="8423" spans="1:21">
      <c r="A8423">
        <v>8422</v>
      </c>
      <c r="B8423" s="29" t="s">
        <v>3223</v>
      </c>
      <c r="C8423" s="29"/>
      <c r="D8423" s="29" t="s">
        <v>4156</v>
      </c>
      <c r="E8423" s="29"/>
      <c r="F8423" s="29" t="s">
        <v>2998</v>
      </c>
      <c r="G8423" s="29" t="s">
        <v>2999</v>
      </c>
      <c r="H8423" s="29" t="s">
        <v>3006</v>
      </c>
      <c r="I8423" s="29"/>
      <c r="J8423" s="29" t="s">
        <v>757</v>
      </c>
      <c r="K8423" s="29"/>
      <c r="L8423" s="29" t="s">
        <v>1062</v>
      </c>
      <c r="M8423" s="29" t="s">
        <v>6660</v>
      </c>
      <c r="N8423" s="29" t="s">
        <v>1063</v>
      </c>
      <c r="O8423" s="29"/>
      <c r="P8423" s="29" t="s">
        <v>13293</v>
      </c>
      <c r="Q8423" t="s">
        <v>2039</v>
      </c>
      <c r="R8423" t="s">
        <v>2632</v>
      </c>
      <c r="S8423">
        <v>38</v>
      </c>
      <c r="T8423" s="43" t="str">
        <f>HYPERLINK("https://ictv.global/ictv/proposals/2022.007M.Cytorhabdovirus_10nsp.zip","2022.007M.Cytorhabdovirus_10nsp.zip")</f>
        <v>2022.007M.Cytorhabdovirus_10nsp.zip</v>
      </c>
      <c r="U8423" s="43" t="str">
        <f>HYPERLINK("https://ictv.global/taxonomy/taxondetails?taxnode_id=202214172","ictv.global=202214172")</f>
        <v>ictv.global=202214172</v>
      </c>
    </row>
    <row r="8424" spans="1:21">
      <c r="A8424">
        <v>8423</v>
      </c>
      <c r="B8424" s="29" t="s">
        <v>3223</v>
      </c>
      <c r="C8424" s="29"/>
      <c r="D8424" s="29" t="s">
        <v>4156</v>
      </c>
      <c r="E8424" s="29"/>
      <c r="F8424" s="29" t="s">
        <v>2998</v>
      </c>
      <c r="G8424" s="29" t="s">
        <v>2999</v>
      </c>
      <c r="H8424" s="29" t="s">
        <v>3006</v>
      </c>
      <c r="I8424" s="29"/>
      <c r="J8424" s="29" t="s">
        <v>757</v>
      </c>
      <c r="K8424" s="29"/>
      <c r="L8424" s="29" t="s">
        <v>1062</v>
      </c>
      <c r="M8424" s="29" t="s">
        <v>6660</v>
      </c>
      <c r="N8424" s="29" t="s">
        <v>1063</v>
      </c>
      <c r="O8424" s="29"/>
      <c r="P8424" s="29" t="s">
        <v>13294</v>
      </c>
      <c r="Q8424" t="s">
        <v>2039</v>
      </c>
      <c r="R8424" t="s">
        <v>2635</v>
      </c>
      <c r="S8424">
        <v>37</v>
      </c>
      <c r="T8424" s="43" t="str">
        <f t="shared" ref="T8424:T8429" si="362">HYPERLINK("https://ictv.global/ictv/proposals/2021.036M.R.Rhabdoviridae_sprename.zip","2021.036M.R.Rhabdoviridae_sprename.zip")</f>
        <v>2021.036M.R.Rhabdoviridae_sprename.zip</v>
      </c>
      <c r="U8424" s="43" t="str">
        <f>HYPERLINK("https://ictv.global/taxonomy/taxondetails?taxnode_id=202201673","ictv.global=202201673")</f>
        <v>ictv.global=202201673</v>
      </c>
    </row>
    <row r="8425" spans="1:21">
      <c r="A8425">
        <v>8424</v>
      </c>
      <c r="B8425" s="29" t="s">
        <v>3223</v>
      </c>
      <c r="C8425" s="29"/>
      <c r="D8425" s="29" t="s">
        <v>4156</v>
      </c>
      <c r="E8425" s="29"/>
      <c r="F8425" s="29" t="s">
        <v>2998</v>
      </c>
      <c r="G8425" s="29" t="s">
        <v>2999</v>
      </c>
      <c r="H8425" s="29" t="s">
        <v>3006</v>
      </c>
      <c r="I8425" s="29"/>
      <c r="J8425" s="29" t="s">
        <v>757</v>
      </c>
      <c r="K8425" s="29"/>
      <c r="L8425" s="29" t="s">
        <v>1062</v>
      </c>
      <c r="M8425" s="29" t="s">
        <v>6660</v>
      </c>
      <c r="N8425" s="29" t="s">
        <v>1063</v>
      </c>
      <c r="O8425" s="29"/>
      <c r="P8425" s="29" t="s">
        <v>13295</v>
      </c>
      <c r="Q8425" t="s">
        <v>2039</v>
      </c>
      <c r="R8425" t="s">
        <v>2635</v>
      </c>
      <c r="S8425">
        <v>37</v>
      </c>
      <c r="T8425" s="43" t="str">
        <f t="shared" si="362"/>
        <v>2021.036M.R.Rhabdoviridae_sprename.zip</v>
      </c>
      <c r="U8425" s="43" t="str">
        <f>HYPERLINK("https://ictv.global/taxonomy/taxondetails?taxnode_id=202201672","ictv.global=202201672")</f>
        <v>ictv.global=202201672</v>
      </c>
    </row>
    <row r="8426" spans="1:21">
      <c r="A8426">
        <v>8425</v>
      </c>
      <c r="B8426" s="29" t="s">
        <v>3223</v>
      </c>
      <c r="C8426" s="29"/>
      <c r="D8426" s="29" t="s">
        <v>4156</v>
      </c>
      <c r="E8426" s="29"/>
      <c r="F8426" s="29" t="s">
        <v>2998</v>
      </c>
      <c r="G8426" s="29" t="s">
        <v>2999</v>
      </c>
      <c r="H8426" s="29" t="s">
        <v>3006</v>
      </c>
      <c r="I8426" s="29"/>
      <c r="J8426" s="29" t="s">
        <v>757</v>
      </c>
      <c r="K8426" s="29"/>
      <c r="L8426" s="29" t="s">
        <v>1062</v>
      </c>
      <c r="M8426" s="29" t="s">
        <v>6660</v>
      </c>
      <c r="N8426" s="29" t="s">
        <v>1063</v>
      </c>
      <c r="O8426" s="29"/>
      <c r="P8426" s="29" t="s">
        <v>13296</v>
      </c>
      <c r="Q8426" t="s">
        <v>2039</v>
      </c>
      <c r="R8426" t="s">
        <v>2635</v>
      </c>
      <c r="S8426">
        <v>37</v>
      </c>
      <c r="T8426" s="43" t="str">
        <f t="shared" si="362"/>
        <v>2021.036M.R.Rhabdoviridae_sprename.zip</v>
      </c>
      <c r="U8426" s="43" t="str">
        <f>HYPERLINK("https://ictv.global/taxonomy/taxondetails?taxnode_id=202207673","ictv.global=202207673")</f>
        <v>ictv.global=202207673</v>
      </c>
    </row>
    <row r="8427" spans="1:21">
      <c r="A8427">
        <v>8426</v>
      </c>
      <c r="B8427" s="29" t="s">
        <v>3223</v>
      </c>
      <c r="C8427" s="29"/>
      <c r="D8427" s="29" t="s">
        <v>4156</v>
      </c>
      <c r="E8427" s="29"/>
      <c r="F8427" s="29" t="s">
        <v>2998</v>
      </c>
      <c r="G8427" s="29" t="s">
        <v>2999</v>
      </c>
      <c r="H8427" s="29" t="s">
        <v>3006</v>
      </c>
      <c r="I8427" s="29"/>
      <c r="J8427" s="29" t="s">
        <v>757</v>
      </c>
      <c r="K8427" s="29"/>
      <c r="L8427" s="29" t="s">
        <v>1062</v>
      </c>
      <c r="M8427" s="29" t="s">
        <v>6660</v>
      </c>
      <c r="N8427" s="29" t="s">
        <v>1063</v>
      </c>
      <c r="O8427" s="29"/>
      <c r="P8427" s="29" t="s">
        <v>13297</v>
      </c>
      <c r="Q8427" t="s">
        <v>2039</v>
      </c>
      <c r="R8427" t="s">
        <v>2635</v>
      </c>
      <c r="S8427">
        <v>37</v>
      </c>
      <c r="T8427" s="43" t="str">
        <f t="shared" si="362"/>
        <v>2021.036M.R.Rhabdoviridae_sprename.zip</v>
      </c>
      <c r="U8427" s="43" t="str">
        <f>HYPERLINK("https://ictv.global/taxonomy/taxondetails?taxnode_id=202207667","ictv.global=202207667")</f>
        <v>ictv.global=202207667</v>
      </c>
    </row>
    <row r="8428" spans="1:21">
      <c r="A8428">
        <v>8427</v>
      </c>
      <c r="B8428" s="29" t="s">
        <v>3223</v>
      </c>
      <c r="C8428" s="29"/>
      <c r="D8428" s="29" t="s">
        <v>4156</v>
      </c>
      <c r="E8428" s="29"/>
      <c r="F8428" s="29" t="s">
        <v>2998</v>
      </c>
      <c r="G8428" s="29" t="s">
        <v>2999</v>
      </c>
      <c r="H8428" s="29" t="s">
        <v>3006</v>
      </c>
      <c r="I8428" s="29"/>
      <c r="J8428" s="29" t="s">
        <v>757</v>
      </c>
      <c r="K8428" s="29"/>
      <c r="L8428" s="29" t="s">
        <v>1062</v>
      </c>
      <c r="M8428" s="29" t="s">
        <v>6660</v>
      </c>
      <c r="N8428" s="29" t="s">
        <v>1063</v>
      </c>
      <c r="O8428" s="29"/>
      <c r="P8428" s="29" t="s">
        <v>13298</v>
      </c>
      <c r="Q8428" t="s">
        <v>2039</v>
      </c>
      <c r="R8428" t="s">
        <v>2635</v>
      </c>
      <c r="S8428">
        <v>37</v>
      </c>
      <c r="T8428" s="43" t="str">
        <f t="shared" si="362"/>
        <v>2021.036M.R.Rhabdoviridae_sprename.zip</v>
      </c>
      <c r="U8428" s="43" t="str">
        <f>HYPERLINK("https://ictv.global/taxonomy/taxondetails?taxnode_id=202207668","ictv.global=202207668")</f>
        <v>ictv.global=202207668</v>
      </c>
    </row>
    <row r="8429" spans="1:21">
      <c r="A8429">
        <v>8428</v>
      </c>
      <c r="B8429" s="29" t="s">
        <v>3223</v>
      </c>
      <c r="C8429" s="29"/>
      <c r="D8429" s="29" t="s">
        <v>4156</v>
      </c>
      <c r="E8429" s="29"/>
      <c r="F8429" s="29" t="s">
        <v>2998</v>
      </c>
      <c r="G8429" s="29" t="s">
        <v>2999</v>
      </c>
      <c r="H8429" s="29" t="s">
        <v>3006</v>
      </c>
      <c r="I8429" s="29"/>
      <c r="J8429" s="29" t="s">
        <v>757</v>
      </c>
      <c r="K8429" s="29"/>
      <c r="L8429" s="29" t="s">
        <v>1062</v>
      </c>
      <c r="M8429" s="29" t="s">
        <v>6660</v>
      </c>
      <c r="N8429" s="29" t="s">
        <v>1063</v>
      </c>
      <c r="O8429" s="29"/>
      <c r="P8429" s="29" t="s">
        <v>13299</v>
      </c>
      <c r="Q8429" t="s">
        <v>2039</v>
      </c>
      <c r="R8429" t="s">
        <v>2635</v>
      </c>
      <c r="S8429">
        <v>37</v>
      </c>
      <c r="T8429" s="43" t="str">
        <f t="shared" si="362"/>
        <v>2021.036M.R.Rhabdoviridae_sprename.zip</v>
      </c>
      <c r="U8429" s="43" t="str">
        <f>HYPERLINK("https://ictv.global/taxonomy/taxondetails?taxnode_id=202201667","ictv.global=202201667")</f>
        <v>ictv.global=202201667</v>
      </c>
    </row>
    <row r="8430" spans="1:21">
      <c r="A8430">
        <v>8429</v>
      </c>
      <c r="B8430" s="29" t="s">
        <v>3223</v>
      </c>
      <c r="C8430" s="29"/>
      <c r="D8430" s="29" t="s">
        <v>4156</v>
      </c>
      <c r="E8430" s="29"/>
      <c r="F8430" s="29" t="s">
        <v>2998</v>
      </c>
      <c r="G8430" s="29" t="s">
        <v>2999</v>
      </c>
      <c r="H8430" s="29" t="s">
        <v>3006</v>
      </c>
      <c r="I8430" s="29"/>
      <c r="J8430" s="29" t="s">
        <v>757</v>
      </c>
      <c r="K8430" s="29"/>
      <c r="L8430" s="29" t="s">
        <v>1062</v>
      </c>
      <c r="M8430" s="29" t="s">
        <v>6660</v>
      </c>
      <c r="N8430" s="29" t="s">
        <v>1063</v>
      </c>
      <c r="O8430" s="29"/>
      <c r="P8430" s="29" t="s">
        <v>13300</v>
      </c>
      <c r="Q8430" t="s">
        <v>2039</v>
      </c>
      <c r="R8430" t="s">
        <v>2632</v>
      </c>
      <c r="S8430">
        <v>38</v>
      </c>
      <c r="T8430" s="43" t="str">
        <f>HYPERLINK("https://ictv.global/ictv/proposals/2022.007M.Cytorhabdovirus_10nsp.zip","2022.007M.Cytorhabdovirus_10nsp.zip")</f>
        <v>2022.007M.Cytorhabdovirus_10nsp.zip</v>
      </c>
      <c r="U8430" s="43" t="str">
        <f>HYPERLINK("https://ictv.global/taxonomy/taxondetails?taxnode_id=202214173","ictv.global=202214173")</f>
        <v>ictv.global=202214173</v>
      </c>
    </row>
    <row r="8431" spans="1:21">
      <c r="A8431">
        <v>8430</v>
      </c>
      <c r="B8431" s="29" t="s">
        <v>3223</v>
      </c>
      <c r="C8431" s="29"/>
      <c r="D8431" s="29" t="s">
        <v>4156</v>
      </c>
      <c r="E8431" s="29"/>
      <c r="F8431" s="29" t="s">
        <v>2998</v>
      </c>
      <c r="G8431" s="29" t="s">
        <v>2999</v>
      </c>
      <c r="H8431" s="29" t="s">
        <v>3006</v>
      </c>
      <c r="I8431" s="29"/>
      <c r="J8431" s="29" t="s">
        <v>757</v>
      </c>
      <c r="K8431" s="29"/>
      <c r="L8431" s="29" t="s">
        <v>1062</v>
      </c>
      <c r="M8431" s="29" t="s">
        <v>6660</v>
      </c>
      <c r="N8431" s="29" t="s">
        <v>1063</v>
      </c>
      <c r="O8431" s="29"/>
      <c r="P8431" s="29" t="s">
        <v>13301</v>
      </c>
      <c r="Q8431" t="s">
        <v>2039</v>
      </c>
      <c r="R8431" t="s">
        <v>2632</v>
      </c>
      <c r="S8431">
        <v>38</v>
      </c>
      <c r="T8431" s="43" t="str">
        <f>HYPERLINK("https://ictv.global/ictv/proposals/2022.007M.Cytorhabdovirus_10nsp.zip","2022.007M.Cytorhabdovirus_10nsp.zip")</f>
        <v>2022.007M.Cytorhabdovirus_10nsp.zip</v>
      </c>
      <c r="U8431" s="43" t="str">
        <f>HYPERLINK("https://ictv.global/taxonomy/taxondetails?taxnode_id=202214171","ictv.global=202214171")</f>
        <v>ictv.global=202214171</v>
      </c>
    </row>
    <row r="8432" spans="1:21">
      <c r="A8432">
        <v>8431</v>
      </c>
      <c r="B8432" s="29" t="s">
        <v>3223</v>
      </c>
      <c r="C8432" s="29"/>
      <c r="D8432" s="29" t="s">
        <v>4156</v>
      </c>
      <c r="E8432" s="29"/>
      <c r="F8432" s="29" t="s">
        <v>2998</v>
      </c>
      <c r="G8432" s="29" t="s">
        <v>2999</v>
      </c>
      <c r="H8432" s="29" t="s">
        <v>3006</v>
      </c>
      <c r="I8432" s="29"/>
      <c r="J8432" s="29" t="s">
        <v>757</v>
      </c>
      <c r="K8432" s="29"/>
      <c r="L8432" s="29" t="s">
        <v>1062</v>
      </c>
      <c r="M8432" s="29" t="s">
        <v>6660</v>
      </c>
      <c r="N8432" s="29" t="s">
        <v>1063</v>
      </c>
      <c r="O8432" s="29"/>
      <c r="P8432" s="29" t="s">
        <v>13302</v>
      </c>
      <c r="Q8432" t="s">
        <v>2039</v>
      </c>
      <c r="R8432" t="s">
        <v>2635</v>
      </c>
      <c r="S8432">
        <v>37</v>
      </c>
      <c r="T8432" s="43" t="str">
        <f>HYPERLINK("https://ictv.global/ictv/proposals/2021.036M.R.Rhabdoviridae_sprename.zip","2021.036M.R.Rhabdoviridae_sprename.zip")</f>
        <v>2021.036M.R.Rhabdoviridae_sprename.zip</v>
      </c>
      <c r="U8432" s="43" t="str">
        <f>HYPERLINK("https://ictv.global/taxonomy/taxondetails?taxnode_id=202207672","ictv.global=202207672")</f>
        <v>ictv.global=202207672</v>
      </c>
    </row>
    <row r="8433" spans="1:21">
      <c r="A8433">
        <v>8432</v>
      </c>
      <c r="B8433" s="29" t="s">
        <v>3223</v>
      </c>
      <c r="C8433" s="29"/>
      <c r="D8433" s="29" t="s">
        <v>4156</v>
      </c>
      <c r="E8433" s="29"/>
      <c r="F8433" s="29" t="s">
        <v>2998</v>
      </c>
      <c r="G8433" s="29" t="s">
        <v>2999</v>
      </c>
      <c r="H8433" s="29" t="s">
        <v>3006</v>
      </c>
      <c r="I8433" s="29"/>
      <c r="J8433" s="29" t="s">
        <v>757</v>
      </c>
      <c r="K8433" s="29"/>
      <c r="L8433" s="29" t="s">
        <v>1062</v>
      </c>
      <c r="M8433" s="29" t="s">
        <v>6660</v>
      </c>
      <c r="N8433" s="29" t="s">
        <v>1063</v>
      </c>
      <c r="O8433" s="29"/>
      <c r="P8433" s="29" t="s">
        <v>13303</v>
      </c>
      <c r="Q8433" t="s">
        <v>2039</v>
      </c>
      <c r="R8433" t="s">
        <v>2635</v>
      </c>
      <c r="S8433">
        <v>37</v>
      </c>
      <c r="T8433" s="43" t="str">
        <f>HYPERLINK("https://ictv.global/ictv/proposals/2021.036M.R.Rhabdoviridae_sprename.zip","2021.036M.R.Rhabdoviridae_sprename.zip")</f>
        <v>2021.036M.R.Rhabdoviridae_sprename.zip</v>
      </c>
      <c r="U8433" s="43" t="str">
        <f>HYPERLINK("https://ictv.global/taxonomy/taxondetails?taxnode_id=202207670","ictv.global=202207670")</f>
        <v>ictv.global=202207670</v>
      </c>
    </row>
    <row r="8434" spans="1:21">
      <c r="A8434">
        <v>8433</v>
      </c>
      <c r="B8434" s="29" t="s">
        <v>3223</v>
      </c>
      <c r="C8434" s="29"/>
      <c r="D8434" s="29" t="s">
        <v>4156</v>
      </c>
      <c r="E8434" s="29"/>
      <c r="F8434" s="29" t="s">
        <v>2998</v>
      </c>
      <c r="G8434" s="29" t="s">
        <v>2999</v>
      </c>
      <c r="H8434" s="29" t="s">
        <v>3006</v>
      </c>
      <c r="I8434" s="29"/>
      <c r="J8434" s="29" t="s">
        <v>757</v>
      </c>
      <c r="K8434" s="29"/>
      <c r="L8434" s="29" t="s">
        <v>1062</v>
      </c>
      <c r="M8434" s="29" t="s">
        <v>6660</v>
      </c>
      <c r="N8434" s="29" t="s">
        <v>1063</v>
      </c>
      <c r="O8434" s="29"/>
      <c r="P8434" s="29" t="s">
        <v>13304</v>
      </c>
      <c r="Q8434" t="s">
        <v>2039</v>
      </c>
      <c r="R8434" t="s">
        <v>2632</v>
      </c>
      <c r="S8434">
        <v>37</v>
      </c>
      <c r="T8434" s="43" t="str">
        <f>HYPERLINK("https://ictv.global/ictv/proposals/2021.001M.R.Betarhabdovirinae_7nsp.zip","2021.001M.R.Betarhabdovirinae_7nsp.zip")</f>
        <v>2021.001M.R.Betarhabdovirinae_7nsp.zip</v>
      </c>
      <c r="U8434" s="43" t="str">
        <f>HYPERLINK("https://ictv.global/taxonomy/taxondetails?taxnode_id=202213312","ictv.global=202213312")</f>
        <v>ictv.global=202213312</v>
      </c>
    </row>
    <row r="8435" spans="1:21">
      <c r="A8435">
        <v>8434</v>
      </c>
      <c r="B8435" s="29" t="s">
        <v>3223</v>
      </c>
      <c r="C8435" s="29"/>
      <c r="D8435" s="29" t="s">
        <v>4156</v>
      </c>
      <c r="E8435" s="29"/>
      <c r="F8435" s="29" t="s">
        <v>2998</v>
      </c>
      <c r="G8435" s="29" t="s">
        <v>2999</v>
      </c>
      <c r="H8435" s="29" t="s">
        <v>3006</v>
      </c>
      <c r="I8435" s="29"/>
      <c r="J8435" s="29" t="s">
        <v>757</v>
      </c>
      <c r="K8435" s="29"/>
      <c r="L8435" s="29" t="s">
        <v>1062</v>
      </c>
      <c r="M8435" s="29" t="s">
        <v>6660</v>
      </c>
      <c r="N8435" s="29" t="s">
        <v>1063</v>
      </c>
      <c r="O8435" s="29"/>
      <c r="P8435" s="29" t="s">
        <v>13305</v>
      </c>
      <c r="Q8435" t="s">
        <v>2039</v>
      </c>
      <c r="R8435" t="s">
        <v>2635</v>
      </c>
      <c r="S8435">
        <v>37</v>
      </c>
      <c r="T8435" s="43" t="str">
        <f>HYPERLINK("https://ictv.global/ictv/proposals/2021.036M.R.Rhabdoviridae_sprename.zip","2021.036M.R.Rhabdoviridae_sprename.zip")</f>
        <v>2021.036M.R.Rhabdoviridae_sprename.zip</v>
      </c>
      <c r="U8435" s="43" t="str">
        <f>HYPERLINK("https://ictv.global/taxonomy/taxondetails?taxnode_id=202207671","ictv.global=202207671")</f>
        <v>ictv.global=202207671</v>
      </c>
    </row>
    <row r="8436" spans="1:21">
      <c r="A8436">
        <v>8435</v>
      </c>
      <c r="B8436" s="29" t="s">
        <v>3223</v>
      </c>
      <c r="C8436" s="29"/>
      <c r="D8436" s="29" t="s">
        <v>4156</v>
      </c>
      <c r="E8436" s="29"/>
      <c r="F8436" s="29" t="s">
        <v>2998</v>
      </c>
      <c r="G8436" s="29" t="s">
        <v>2999</v>
      </c>
      <c r="H8436" s="29" t="s">
        <v>3006</v>
      </c>
      <c r="I8436" s="29"/>
      <c r="J8436" s="29" t="s">
        <v>757</v>
      </c>
      <c r="K8436" s="29"/>
      <c r="L8436" s="29" t="s">
        <v>1062</v>
      </c>
      <c r="M8436" s="29" t="s">
        <v>6660</v>
      </c>
      <c r="N8436" s="29" t="s">
        <v>1063</v>
      </c>
      <c r="O8436" s="29"/>
      <c r="P8436" s="29" t="s">
        <v>13306</v>
      </c>
      <c r="Q8436" t="s">
        <v>2039</v>
      </c>
      <c r="R8436" t="s">
        <v>2635</v>
      </c>
      <c r="S8436">
        <v>37</v>
      </c>
      <c r="T8436" s="43" t="str">
        <f>HYPERLINK("https://ictv.global/ictv/proposals/2021.036M.R.Rhabdoviridae_sprename.zip","2021.036M.R.Rhabdoviridae_sprename.zip")</f>
        <v>2021.036M.R.Rhabdoviridae_sprename.zip</v>
      </c>
      <c r="U8436" s="43" t="str">
        <f>HYPERLINK("https://ictv.global/taxonomy/taxondetails?taxnode_id=202201675","ictv.global=202201675")</f>
        <v>ictv.global=202201675</v>
      </c>
    </row>
    <row r="8437" spans="1:21">
      <c r="A8437">
        <v>8436</v>
      </c>
      <c r="B8437" s="29" t="s">
        <v>3223</v>
      </c>
      <c r="C8437" s="29"/>
      <c r="D8437" s="29" t="s">
        <v>4156</v>
      </c>
      <c r="E8437" s="29"/>
      <c r="F8437" s="29" t="s">
        <v>2998</v>
      </c>
      <c r="G8437" s="29" t="s">
        <v>2999</v>
      </c>
      <c r="H8437" s="29" t="s">
        <v>3006</v>
      </c>
      <c r="I8437" s="29"/>
      <c r="J8437" s="29" t="s">
        <v>757</v>
      </c>
      <c r="K8437" s="29"/>
      <c r="L8437" s="29" t="s">
        <v>1062</v>
      </c>
      <c r="M8437" s="29" t="s">
        <v>6660</v>
      </c>
      <c r="N8437" s="29" t="s">
        <v>1063</v>
      </c>
      <c r="O8437" s="29"/>
      <c r="P8437" s="29" t="s">
        <v>13307</v>
      </c>
      <c r="Q8437" t="s">
        <v>2039</v>
      </c>
      <c r="R8437" t="s">
        <v>2632</v>
      </c>
      <c r="S8437">
        <v>38</v>
      </c>
      <c r="T8437" s="43" t="str">
        <f>HYPERLINK("https://ictv.global/ictv/proposals/2022.007M.Cytorhabdovirus_10nsp.zip","2022.007M.Cytorhabdovirus_10nsp.zip")</f>
        <v>2022.007M.Cytorhabdovirus_10nsp.zip</v>
      </c>
      <c r="U8437" s="43" t="str">
        <f>HYPERLINK("https://ictv.global/taxonomy/taxondetails?taxnode_id=202214174","ictv.global=202214174")</f>
        <v>ictv.global=202214174</v>
      </c>
    </row>
    <row r="8438" spans="1:21">
      <c r="A8438">
        <v>8437</v>
      </c>
      <c r="B8438" s="29" t="s">
        <v>3223</v>
      </c>
      <c r="C8438" s="29"/>
      <c r="D8438" s="29" t="s">
        <v>4156</v>
      </c>
      <c r="E8438" s="29"/>
      <c r="F8438" s="29" t="s">
        <v>2998</v>
      </c>
      <c r="G8438" s="29" t="s">
        <v>2999</v>
      </c>
      <c r="H8438" s="29" t="s">
        <v>3006</v>
      </c>
      <c r="I8438" s="29"/>
      <c r="J8438" s="29" t="s">
        <v>757</v>
      </c>
      <c r="K8438" s="29"/>
      <c r="L8438" s="29" t="s">
        <v>1062</v>
      </c>
      <c r="M8438" s="29" t="s">
        <v>6660</v>
      </c>
      <c r="N8438" s="29" t="s">
        <v>1063</v>
      </c>
      <c r="O8438" s="29"/>
      <c r="P8438" s="29" t="s">
        <v>13308</v>
      </c>
      <c r="Q8438" t="s">
        <v>2039</v>
      </c>
      <c r="R8438" t="s">
        <v>2632</v>
      </c>
      <c r="S8438">
        <v>38</v>
      </c>
      <c r="T8438" s="43" t="str">
        <f>HYPERLINK("https://ictv.global/ictv/proposals/2022.007M.Cytorhabdovirus_10nsp.zip","2022.007M.Cytorhabdovirus_10nsp.zip")</f>
        <v>2022.007M.Cytorhabdovirus_10nsp.zip</v>
      </c>
      <c r="U8438" s="43" t="str">
        <f>HYPERLINK("https://ictv.global/taxonomy/taxondetails?taxnode_id=202214175","ictv.global=202214175")</f>
        <v>ictv.global=202214175</v>
      </c>
    </row>
    <row r="8439" spans="1:21">
      <c r="A8439">
        <v>8438</v>
      </c>
      <c r="B8439" s="29" t="s">
        <v>3223</v>
      </c>
      <c r="C8439" s="29"/>
      <c r="D8439" s="29" t="s">
        <v>4156</v>
      </c>
      <c r="E8439" s="29"/>
      <c r="F8439" s="29" t="s">
        <v>2998</v>
      </c>
      <c r="G8439" s="29" t="s">
        <v>2999</v>
      </c>
      <c r="H8439" s="29" t="s">
        <v>3006</v>
      </c>
      <c r="I8439" s="29"/>
      <c r="J8439" s="29" t="s">
        <v>757</v>
      </c>
      <c r="K8439" s="29"/>
      <c r="L8439" s="29" t="s">
        <v>1062</v>
      </c>
      <c r="M8439" s="29" t="s">
        <v>6660</v>
      </c>
      <c r="N8439" s="29" t="s">
        <v>1063</v>
      </c>
      <c r="O8439" s="29"/>
      <c r="P8439" s="29" t="s">
        <v>13309</v>
      </c>
      <c r="Q8439" t="s">
        <v>2039</v>
      </c>
      <c r="R8439" t="s">
        <v>2635</v>
      </c>
      <c r="S8439">
        <v>37</v>
      </c>
      <c r="T8439" s="43" t="str">
        <f t="shared" ref="T8439:T8447" si="363">HYPERLINK("https://ictv.global/ictv/proposals/2021.036M.R.Rhabdoviridae_sprename.zip","2021.036M.R.Rhabdoviridae_sprename.zip")</f>
        <v>2021.036M.R.Rhabdoviridae_sprename.zip</v>
      </c>
      <c r="U8439" s="43" t="str">
        <f>HYPERLINK("https://ictv.global/taxonomy/taxondetails?taxnode_id=202209363","ictv.global=202209363")</f>
        <v>ictv.global=202209363</v>
      </c>
    </row>
    <row r="8440" spans="1:21">
      <c r="A8440">
        <v>8439</v>
      </c>
      <c r="B8440" s="29" t="s">
        <v>3223</v>
      </c>
      <c r="C8440" s="29"/>
      <c r="D8440" s="29" t="s">
        <v>4156</v>
      </c>
      <c r="E8440" s="29"/>
      <c r="F8440" s="29" t="s">
        <v>2998</v>
      </c>
      <c r="G8440" s="29" t="s">
        <v>2999</v>
      </c>
      <c r="H8440" s="29" t="s">
        <v>3006</v>
      </c>
      <c r="I8440" s="29"/>
      <c r="J8440" s="29" t="s">
        <v>757</v>
      </c>
      <c r="K8440" s="29"/>
      <c r="L8440" s="29" t="s">
        <v>1062</v>
      </c>
      <c r="M8440" s="29" t="s">
        <v>6660</v>
      </c>
      <c r="N8440" s="29" t="s">
        <v>1063</v>
      </c>
      <c r="O8440" s="29"/>
      <c r="P8440" s="29" t="s">
        <v>13310</v>
      </c>
      <c r="Q8440" t="s">
        <v>2039</v>
      </c>
      <c r="R8440" t="s">
        <v>2635</v>
      </c>
      <c r="S8440">
        <v>37</v>
      </c>
      <c r="T8440" s="43" t="str">
        <f t="shared" si="363"/>
        <v>2021.036M.R.Rhabdoviridae_sprename.zip</v>
      </c>
      <c r="U8440" s="43" t="str">
        <f>HYPERLINK("https://ictv.global/taxonomy/taxondetails?taxnode_id=202201677","ictv.global=202201677")</f>
        <v>ictv.global=202201677</v>
      </c>
    </row>
    <row r="8441" spans="1:21">
      <c r="A8441">
        <v>8440</v>
      </c>
      <c r="B8441" s="29" t="s">
        <v>3223</v>
      </c>
      <c r="C8441" s="29"/>
      <c r="D8441" s="29" t="s">
        <v>4156</v>
      </c>
      <c r="E8441" s="29"/>
      <c r="F8441" s="29" t="s">
        <v>2998</v>
      </c>
      <c r="G8441" s="29" t="s">
        <v>2999</v>
      </c>
      <c r="H8441" s="29" t="s">
        <v>3006</v>
      </c>
      <c r="I8441" s="29"/>
      <c r="J8441" s="29" t="s">
        <v>757</v>
      </c>
      <c r="K8441" s="29"/>
      <c r="L8441" s="29" t="s">
        <v>1062</v>
      </c>
      <c r="M8441" s="29" t="s">
        <v>6660</v>
      </c>
      <c r="N8441" s="29" t="s">
        <v>1063</v>
      </c>
      <c r="O8441" s="29"/>
      <c r="P8441" s="29" t="s">
        <v>13311</v>
      </c>
      <c r="Q8441" t="s">
        <v>2039</v>
      </c>
      <c r="R8441" t="s">
        <v>2635</v>
      </c>
      <c r="S8441">
        <v>37</v>
      </c>
      <c r="T8441" s="43" t="str">
        <f t="shared" si="363"/>
        <v>2021.036M.R.Rhabdoviridae_sprename.zip</v>
      </c>
      <c r="U8441" s="43" t="str">
        <f>HYPERLINK("https://ictv.global/taxonomy/taxondetails?taxnode_id=202209362","ictv.global=202209362")</f>
        <v>ictv.global=202209362</v>
      </c>
    </row>
    <row r="8442" spans="1:21">
      <c r="A8442">
        <v>8441</v>
      </c>
      <c r="B8442" s="29" t="s">
        <v>3223</v>
      </c>
      <c r="C8442" s="29"/>
      <c r="D8442" s="29" t="s">
        <v>4156</v>
      </c>
      <c r="E8442" s="29"/>
      <c r="F8442" s="29" t="s">
        <v>2998</v>
      </c>
      <c r="G8442" s="29" t="s">
        <v>2999</v>
      </c>
      <c r="H8442" s="29" t="s">
        <v>3006</v>
      </c>
      <c r="I8442" s="29"/>
      <c r="J8442" s="29" t="s">
        <v>757</v>
      </c>
      <c r="K8442" s="29"/>
      <c r="L8442" s="29" t="s">
        <v>1062</v>
      </c>
      <c r="M8442" s="29" t="s">
        <v>6660</v>
      </c>
      <c r="N8442" s="29" t="s">
        <v>2136</v>
      </c>
      <c r="O8442" s="29"/>
      <c r="P8442" s="29" t="s">
        <v>13312</v>
      </c>
      <c r="Q8442" t="s">
        <v>2039</v>
      </c>
      <c r="R8442" t="s">
        <v>2635</v>
      </c>
      <c r="S8442">
        <v>37</v>
      </c>
      <c r="T8442" s="43" t="str">
        <f t="shared" si="363"/>
        <v>2021.036M.R.Rhabdoviridae_sprename.zip</v>
      </c>
      <c r="U8442" s="43" t="str">
        <f>HYPERLINK("https://ictv.global/taxonomy/taxondetails?taxnode_id=202206289","ictv.global=202206289")</f>
        <v>ictv.global=202206289</v>
      </c>
    </row>
    <row r="8443" spans="1:21">
      <c r="A8443">
        <v>8442</v>
      </c>
      <c r="B8443" s="29" t="s">
        <v>3223</v>
      </c>
      <c r="C8443" s="29"/>
      <c r="D8443" s="29" t="s">
        <v>4156</v>
      </c>
      <c r="E8443" s="29"/>
      <c r="F8443" s="29" t="s">
        <v>2998</v>
      </c>
      <c r="G8443" s="29" t="s">
        <v>2999</v>
      </c>
      <c r="H8443" s="29" t="s">
        <v>3006</v>
      </c>
      <c r="I8443" s="29"/>
      <c r="J8443" s="29" t="s">
        <v>757</v>
      </c>
      <c r="K8443" s="29"/>
      <c r="L8443" s="29" t="s">
        <v>1062</v>
      </c>
      <c r="M8443" s="29" t="s">
        <v>6660</v>
      </c>
      <c r="N8443" s="29" t="s">
        <v>2136</v>
      </c>
      <c r="O8443" s="29"/>
      <c r="P8443" s="29" t="s">
        <v>13313</v>
      </c>
      <c r="Q8443" t="s">
        <v>2039</v>
      </c>
      <c r="R8443" t="s">
        <v>2635</v>
      </c>
      <c r="S8443">
        <v>37</v>
      </c>
      <c r="T8443" s="43" t="str">
        <f t="shared" si="363"/>
        <v>2021.036M.R.Rhabdoviridae_sprename.zip</v>
      </c>
      <c r="U8443" s="43" t="str">
        <f>HYPERLINK("https://ictv.global/taxonomy/taxondetails?taxnode_id=202206288","ictv.global=202206288")</f>
        <v>ictv.global=202206288</v>
      </c>
    </row>
    <row r="8444" spans="1:21">
      <c r="A8444">
        <v>8443</v>
      </c>
      <c r="B8444" s="29" t="s">
        <v>3223</v>
      </c>
      <c r="C8444" s="29"/>
      <c r="D8444" s="29" t="s">
        <v>4156</v>
      </c>
      <c r="E8444" s="29"/>
      <c r="F8444" s="29" t="s">
        <v>2998</v>
      </c>
      <c r="G8444" s="29" t="s">
        <v>2999</v>
      </c>
      <c r="H8444" s="29" t="s">
        <v>3006</v>
      </c>
      <c r="I8444" s="29"/>
      <c r="J8444" s="29" t="s">
        <v>757</v>
      </c>
      <c r="K8444" s="29"/>
      <c r="L8444" s="29" t="s">
        <v>1062</v>
      </c>
      <c r="M8444" s="29" t="s">
        <v>6660</v>
      </c>
      <c r="N8444" s="29" t="s">
        <v>2136</v>
      </c>
      <c r="O8444" s="29"/>
      <c r="P8444" s="29" t="s">
        <v>13314</v>
      </c>
      <c r="Q8444" t="s">
        <v>2039</v>
      </c>
      <c r="R8444" t="s">
        <v>2635</v>
      </c>
      <c r="S8444">
        <v>37</v>
      </c>
      <c r="T8444" s="43" t="str">
        <f t="shared" si="363"/>
        <v>2021.036M.R.Rhabdoviridae_sprename.zip</v>
      </c>
      <c r="U8444" s="43" t="str">
        <f>HYPERLINK("https://ictv.global/taxonomy/taxondetails?taxnode_id=202201679","ictv.global=202201679")</f>
        <v>ictv.global=202201679</v>
      </c>
    </row>
    <row r="8445" spans="1:21">
      <c r="A8445">
        <v>8444</v>
      </c>
      <c r="B8445" s="29" t="s">
        <v>3223</v>
      </c>
      <c r="C8445" s="29"/>
      <c r="D8445" s="29" t="s">
        <v>4156</v>
      </c>
      <c r="E8445" s="29"/>
      <c r="F8445" s="29" t="s">
        <v>2998</v>
      </c>
      <c r="G8445" s="29" t="s">
        <v>2999</v>
      </c>
      <c r="H8445" s="29" t="s">
        <v>3006</v>
      </c>
      <c r="I8445" s="29"/>
      <c r="J8445" s="29" t="s">
        <v>757</v>
      </c>
      <c r="K8445" s="29"/>
      <c r="L8445" s="29" t="s">
        <v>1062</v>
      </c>
      <c r="M8445" s="29" t="s">
        <v>6660</v>
      </c>
      <c r="N8445" s="29" t="s">
        <v>2136</v>
      </c>
      <c r="O8445" s="29"/>
      <c r="P8445" s="29" t="s">
        <v>13315</v>
      </c>
      <c r="Q8445" t="s">
        <v>2039</v>
      </c>
      <c r="R8445" t="s">
        <v>2635</v>
      </c>
      <c r="S8445">
        <v>37</v>
      </c>
      <c r="T8445" s="43" t="str">
        <f t="shared" si="363"/>
        <v>2021.036M.R.Rhabdoviridae_sprename.zip</v>
      </c>
      <c r="U8445" s="43" t="str">
        <f>HYPERLINK("https://ictv.global/taxonomy/taxondetails?taxnode_id=202206287","ictv.global=202206287")</f>
        <v>ictv.global=202206287</v>
      </c>
    </row>
    <row r="8446" spans="1:21">
      <c r="A8446">
        <v>8445</v>
      </c>
      <c r="B8446" s="29" t="s">
        <v>3223</v>
      </c>
      <c r="C8446" s="29"/>
      <c r="D8446" s="29" t="s">
        <v>4156</v>
      </c>
      <c r="E8446" s="29"/>
      <c r="F8446" s="29" t="s">
        <v>2998</v>
      </c>
      <c r="G8446" s="29" t="s">
        <v>2999</v>
      </c>
      <c r="H8446" s="29" t="s">
        <v>3006</v>
      </c>
      <c r="I8446" s="29"/>
      <c r="J8446" s="29" t="s">
        <v>757</v>
      </c>
      <c r="K8446" s="29"/>
      <c r="L8446" s="29" t="s">
        <v>1062</v>
      </c>
      <c r="M8446" s="29" t="s">
        <v>6660</v>
      </c>
      <c r="N8446" s="29" t="s">
        <v>2136</v>
      </c>
      <c r="O8446" s="29"/>
      <c r="P8446" s="29" t="s">
        <v>13316</v>
      </c>
      <c r="Q8446" t="s">
        <v>2039</v>
      </c>
      <c r="R8446" t="s">
        <v>2635</v>
      </c>
      <c r="S8446">
        <v>37</v>
      </c>
      <c r="T8446" s="43" t="str">
        <f t="shared" si="363"/>
        <v>2021.036M.R.Rhabdoviridae_sprename.zip</v>
      </c>
      <c r="U8446" s="43" t="str">
        <f>HYPERLINK("https://ictv.global/taxonomy/taxondetails?taxnode_id=202201680","ictv.global=202201680")</f>
        <v>ictv.global=202201680</v>
      </c>
    </row>
    <row r="8447" spans="1:21">
      <c r="A8447">
        <v>8446</v>
      </c>
      <c r="B8447" s="29" t="s">
        <v>3223</v>
      </c>
      <c r="C8447" s="29"/>
      <c r="D8447" s="29" t="s">
        <v>4156</v>
      </c>
      <c r="E8447" s="29"/>
      <c r="F8447" s="29" t="s">
        <v>2998</v>
      </c>
      <c r="G8447" s="29" t="s">
        <v>2999</v>
      </c>
      <c r="H8447" s="29" t="s">
        <v>3006</v>
      </c>
      <c r="I8447" s="29"/>
      <c r="J8447" s="29" t="s">
        <v>757</v>
      </c>
      <c r="K8447" s="29"/>
      <c r="L8447" s="29" t="s">
        <v>1062</v>
      </c>
      <c r="M8447" s="29" t="s">
        <v>6660</v>
      </c>
      <c r="N8447" s="29" t="s">
        <v>4219</v>
      </c>
      <c r="O8447" s="29"/>
      <c r="P8447" s="29" t="s">
        <v>13317</v>
      </c>
      <c r="Q8447" t="s">
        <v>2039</v>
      </c>
      <c r="R8447" t="s">
        <v>2635</v>
      </c>
      <c r="S8447">
        <v>37</v>
      </c>
      <c r="T8447" s="43" t="str">
        <f t="shared" si="363"/>
        <v>2021.036M.R.Rhabdoviridae_sprename.zip</v>
      </c>
      <c r="U8447" s="43" t="str">
        <f>HYPERLINK("https://ictv.global/taxonomy/taxondetails?taxnode_id=202201744","ictv.global=202201744")</f>
        <v>ictv.global=202201744</v>
      </c>
    </row>
    <row r="8448" spans="1:21">
      <c r="A8448">
        <v>8447</v>
      </c>
      <c r="B8448" s="29" t="s">
        <v>3223</v>
      </c>
      <c r="C8448" s="29"/>
      <c r="D8448" s="29" t="s">
        <v>4156</v>
      </c>
      <c r="E8448" s="29"/>
      <c r="F8448" s="29" t="s">
        <v>2998</v>
      </c>
      <c r="G8448" s="29" t="s">
        <v>2999</v>
      </c>
      <c r="H8448" s="29" t="s">
        <v>3006</v>
      </c>
      <c r="I8448" s="29"/>
      <c r="J8448" s="29" t="s">
        <v>757</v>
      </c>
      <c r="K8448" s="29"/>
      <c r="L8448" s="29" t="s">
        <v>1062</v>
      </c>
      <c r="M8448" s="29" t="s">
        <v>6660</v>
      </c>
      <c r="N8448" s="29" t="s">
        <v>1119</v>
      </c>
      <c r="O8448" s="29"/>
      <c r="P8448" s="29" t="s">
        <v>13318</v>
      </c>
      <c r="Q8448" t="s">
        <v>2039</v>
      </c>
      <c r="R8448" t="s">
        <v>2632</v>
      </c>
      <c r="S8448">
        <v>38</v>
      </c>
      <c r="T8448" s="43" t="str">
        <f>HYPERLINK("https://ictv.global/ictv/proposals/2022.021M.Varicosavirus_9nsp.zip","2022.021M.Varicosavirus_9nsp.zip")</f>
        <v>2022.021M.Varicosavirus_9nsp.zip</v>
      </c>
      <c r="U8448" s="43" t="str">
        <f>HYPERLINK("https://ictv.global/taxonomy/taxondetails?taxnode_id=202214266","ictv.global=202214266")</f>
        <v>ictv.global=202214266</v>
      </c>
    </row>
    <row r="8449" spans="1:21">
      <c r="A8449">
        <v>8448</v>
      </c>
      <c r="B8449" s="29" t="s">
        <v>3223</v>
      </c>
      <c r="C8449" s="29"/>
      <c r="D8449" s="29" t="s">
        <v>4156</v>
      </c>
      <c r="E8449" s="29"/>
      <c r="F8449" s="29" t="s">
        <v>2998</v>
      </c>
      <c r="G8449" s="29" t="s">
        <v>2999</v>
      </c>
      <c r="H8449" s="29" t="s">
        <v>3006</v>
      </c>
      <c r="I8449" s="29"/>
      <c r="J8449" s="29" t="s">
        <v>757</v>
      </c>
      <c r="K8449" s="29"/>
      <c r="L8449" s="29" t="s">
        <v>1062</v>
      </c>
      <c r="M8449" s="29" t="s">
        <v>6660</v>
      </c>
      <c r="N8449" s="29" t="s">
        <v>1119</v>
      </c>
      <c r="O8449" s="29"/>
      <c r="P8449" s="29" t="s">
        <v>13319</v>
      </c>
      <c r="Q8449" t="s">
        <v>2039</v>
      </c>
      <c r="R8449" t="s">
        <v>2635</v>
      </c>
      <c r="S8449">
        <v>37</v>
      </c>
      <c r="T8449" s="43" t="str">
        <f>HYPERLINK("https://ictv.global/ictv/proposals/2021.036M.R.Rhabdoviridae_sprename.zip","2021.036M.R.Rhabdoviridae_sprename.zip")</f>
        <v>2021.036M.R.Rhabdoviridae_sprename.zip</v>
      </c>
      <c r="U8449" s="43" t="str">
        <f>HYPERLINK("https://ictv.global/taxonomy/taxondetails?taxnode_id=202209370","ictv.global=202209370")</f>
        <v>ictv.global=202209370</v>
      </c>
    </row>
    <row r="8450" spans="1:21">
      <c r="A8450">
        <v>8449</v>
      </c>
      <c r="B8450" s="29" t="s">
        <v>3223</v>
      </c>
      <c r="C8450" s="29"/>
      <c r="D8450" s="29" t="s">
        <v>4156</v>
      </c>
      <c r="E8450" s="29"/>
      <c r="F8450" s="29" t="s">
        <v>2998</v>
      </c>
      <c r="G8450" s="29" t="s">
        <v>2999</v>
      </c>
      <c r="H8450" s="29" t="s">
        <v>3006</v>
      </c>
      <c r="I8450" s="29"/>
      <c r="J8450" s="29" t="s">
        <v>757</v>
      </c>
      <c r="K8450" s="29"/>
      <c r="L8450" s="29" t="s">
        <v>1062</v>
      </c>
      <c r="M8450" s="29" t="s">
        <v>6660</v>
      </c>
      <c r="N8450" s="29" t="s">
        <v>1119</v>
      </c>
      <c r="O8450" s="29"/>
      <c r="P8450" s="29" t="s">
        <v>13320</v>
      </c>
      <c r="Q8450" t="s">
        <v>2039</v>
      </c>
      <c r="R8450" t="s">
        <v>2632</v>
      </c>
      <c r="S8450">
        <v>38</v>
      </c>
      <c r="T8450" s="43" t="str">
        <f>HYPERLINK("https://ictv.global/ictv/proposals/2022.021M.Varicosavirus_9nsp.zip","2022.021M.Varicosavirus_9nsp.zip")</f>
        <v>2022.021M.Varicosavirus_9nsp.zip</v>
      </c>
      <c r="U8450" s="43" t="str">
        <f>HYPERLINK("https://ictv.global/taxonomy/taxondetails?taxnode_id=202214267","ictv.global=202214267")</f>
        <v>ictv.global=202214267</v>
      </c>
    </row>
    <row r="8451" spans="1:21">
      <c r="A8451">
        <v>8450</v>
      </c>
      <c r="B8451" s="29" t="s">
        <v>3223</v>
      </c>
      <c r="C8451" s="29"/>
      <c r="D8451" s="29" t="s">
        <v>4156</v>
      </c>
      <c r="E8451" s="29"/>
      <c r="F8451" s="29" t="s">
        <v>2998</v>
      </c>
      <c r="G8451" s="29" t="s">
        <v>2999</v>
      </c>
      <c r="H8451" s="29" t="s">
        <v>3006</v>
      </c>
      <c r="I8451" s="29"/>
      <c r="J8451" s="29" t="s">
        <v>757</v>
      </c>
      <c r="K8451" s="29"/>
      <c r="L8451" s="29" t="s">
        <v>1062</v>
      </c>
      <c r="M8451" s="29" t="s">
        <v>6660</v>
      </c>
      <c r="N8451" s="29" t="s">
        <v>1119</v>
      </c>
      <c r="O8451" s="29"/>
      <c r="P8451" s="29" t="s">
        <v>13321</v>
      </c>
      <c r="Q8451" t="s">
        <v>2039</v>
      </c>
      <c r="R8451" t="s">
        <v>2632</v>
      </c>
      <c r="S8451">
        <v>38</v>
      </c>
      <c r="T8451" s="43" t="str">
        <f>HYPERLINK("https://ictv.global/ictv/proposals/2022.021M.Varicosavirus_9nsp.zip","2022.021M.Varicosavirus_9nsp.zip")</f>
        <v>2022.021M.Varicosavirus_9nsp.zip</v>
      </c>
      <c r="U8451" s="43" t="str">
        <f>HYPERLINK("https://ictv.global/taxonomy/taxondetails?taxnode_id=202214270","ictv.global=202214270")</f>
        <v>ictv.global=202214270</v>
      </c>
    </row>
    <row r="8452" spans="1:21">
      <c r="A8452">
        <v>8451</v>
      </c>
      <c r="B8452" s="29" t="s">
        <v>3223</v>
      </c>
      <c r="C8452" s="29"/>
      <c r="D8452" s="29" t="s">
        <v>4156</v>
      </c>
      <c r="E8452" s="29"/>
      <c r="F8452" s="29" t="s">
        <v>2998</v>
      </c>
      <c r="G8452" s="29" t="s">
        <v>2999</v>
      </c>
      <c r="H8452" s="29" t="s">
        <v>3006</v>
      </c>
      <c r="I8452" s="29"/>
      <c r="J8452" s="29" t="s">
        <v>757</v>
      </c>
      <c r="K8452" s="29"/>
      <c r="L8452" s="29" t="s">
        <v>1062</v>
      </c>
      <c r="M8452" s="29" t="s">
        <v>6660</v>
      </c>
      <c r="N8452" s="29" t="s">
        <v>1119</v>
      </c>
      <c r="O8452" s="29"/>
      <c r="P8452" s="29" t="s">
        <v>13322</v>
      </c>
      <c r="Q8452" t="s">
        <v>2039</v>
      </c>
      <c r="R8452" t="s">
        <v>2635</v>
      </c>
      <c r="S8452">
        <v>37</v>
      </c>
      <c r="T8452" s="43" t="str">
        <f>HYPERLINK("https://ictv.global/ictv/proposals/2021.036M.R.Rhabdoviridae_sprename.zip","2021.036M.R.Rhabdoviridae_sprename.zip")</f>
        <v>2021.036M.R.Rhabdoviridae_sprename.zip</v>
      </c>
      <c r="U8452" s="43" t="str">
        <f>HYPERLINK("https://ictv.global/taxonomy/taxondetails?taxnode_id=202201787","ictv.global=202201787")</f>
        <v>ictv.global=202201787</v>
      </c>
    </row>
    <row r="8453" spans="1:21">
      <c r="A8453">
        <v>8452</v>
      </c>
      <c r="B8453" s="29" t="s">
        <v>3223</v>
      </c>
      <c r="C8453" s="29"/>
      <c r="D8453" s="29" t="s">
        <v>4156</v>
      </c>
      <c r="E8453" s="29"/>
      <c r="F8453" s="29" t="s">
        <v>2998</v>
      </c>
      <c r="G8453" s="29" t="s">
        <v>2999</v>
      </c>
      <c r="H8453" s="29" t="s">
        <v>3006</v>
      </c>
      <c r="I8453" s="29"/>
      <c r="J8453" s="29" t="s">
        <v>757</v>
      </c>
      <c r="K8453" s="29"/>
      <c r="L8453" s="29" t="s">
        <v>1062</v>
      </c>
      <c r="M8453" s="29" t="s">
        <v>6660</v>
      </c>
      <c r="N8453" s="29" t="s">
        <v>1119</v>
      </c>
      <c r="O8453" s="29"/>
      <c r="P8453" s="29" t="s">
        <v>13323</v>
      </c>
      <c r="Q8453" t="s">
        <v>2039</v>
      </c>
      <c r="R8453" t="s">
        <v>2632</v>
      </c>
      <c r="S8453">
        <v>38</v>
      </c>
      <c r="T8453" s="43" t="str">
        <f>HYPERLINK("https://ictv.global/ictv/proposals/2022.021M.Varicosavirus_9nsp.zip","2022.021M.Varicosavirus_9nsp.zip")</f>
        <v>2022.021M.Varicosavirus_9nsp.zip</v>
      </c>
      <c r="U8453" s="43" t="str">
        <f>HYPERLINK("https://ictv.global/taxonomy/taxondetails?taxnode_id=202214268","ictv.global=202214268")</f>
        <v>ictv.global=202214268</v>
      </c>
    </row>
    <row r="8454" spans="1:21">
      <c r="A8454">
        <v>8453</v>
      </c>
      <c r="B8454" s="29" t="s">
        <v>3223</v>
      </c>
      <c r="C8454" s="29"/>
      <c r="D8454" s="29" t="s">
        <v>4156</v>
      </c>
      <c r="E8454" s="29"/>
      <c r="F8454" s="29" t="s">
        <v>2998</v>
      </c>
      <c r="G8454" s="29" t="s">
        <v>2999</v>
      </c>
      <c r="H8454" s="29" t="s">
        <v>3006</v>
      </c>
      <c r="I8454" s="29"/>
      <c r="J8454" s="29" t="s">
        <v>757</v>
      </c>
      <c r="K8454" s="29"/>
      <c r="L8454" s="29" t="s">
        <v>1062</v>
      </c>
      <c r="M8454" s="29" t="s">
        <v>6660</v>
      </c>
      <c r="N8454" s="29" t="s">
        <v>1119</v>
      </c>
      <c r="O8454" s="29"/>
      <c r="P8454" s="29" t="s">
        <v>13324</v>
      </c>
      <c r="Q8454" t="s">
        <v>2039</v>
      </c>
      <c r="R8454" t="s">
        <v>2632</v>
      </c>
      <c r="S8454">
        <v>38</v>
      </c>
      <c r="T8454" s="43" t="str">
        <f>HYPERLINK("https://ictv.global/ictv/proposals/2022.021M.Varicosavirus_9nsp.zip","2022.021M.Varicosavirus_9nsp.zip")</f>
        <v>2022.021M.Varicosavirus_9nsp.zip</v>
      </c>
      <c r="U8454" s="43" t="str">
        <f>HYPERLINK("https://ictv.global/taxonomy/taxondetails?taxnode_id=202214269","ictv.global=202214269")</f>
        <v>ictv.global=202214269</v>
      </c>
    </row>
    <row r="8455" spans="1:21">
      <c r="A8455">
        <v>8454</v>
      </c>
      <c r="B8455" s="29" t="s">
        <v>3223</v>
      </c>
      <c r="C8455" s="29"/>
      <c r="D8455" s="29" t="s">
        <v>4156</v>
      </c>
      <c r="E8455" s="29"/>
      <c r="F8455" s="29" t="s">
        <v>2998</v>
      </c>
      <c r="G8455" s="29" t="s">
        <v>2999</v>
      </c>
      <c r="H8455" s="29" t="s">
        <v>3006</v>
      </c>
      <c r="I8455" s="29"/>
      <c r="J8455" s="29" t="s">
        <v>757</v>
      </c>
      <c r="K8455" s="29"/>
      <c r="L8455" s="29" t="s">
        <v>1062</v>
      </c>
      <c r="M8455" s="29" t="s">
        <v>6660</v>
      </c>
      <c r="N8455" s="29" t="s">
        <v>1119</v>
      </c>
      <c r="O8455" s="29"/>
      <c r="P8455" s="29" t="s">
        <v>13325</v>
      </c>
      <c r="Q8455" t="s">
        <v>2039</v>
      </c>
      <c r="R8455" t="s">
        <v>2632</v>
      </c>
      <c r="S8455">
        <v>38</v>
      </c>
      <c r="T8455" s="43" t="str">
        <f>HYPERLINK("https://ictv.global/ictv/proposals/2022.021M.Varicosavirus_9nsp.zip","2022.021M.Varicosavirus_9nsp.zip")</f>
        <v>2022.021M.Varicosavirus_9nsp.zip</v>
      </c>
      <c r="U8455" s="43" t="str">
        <f>HYPERLINK("https://ictv.global/taxonomy/taxondetails?taxnode_id=202214271","ictv.global=202214271")</f>
        <v>ictv.global=202214271</v>
      </c>
    </row>
    <row r="8456" spans="1:21">
      <c r="A8456">
        <v>8455</v>
      </c>
      <c r="B8456" s="29" t="s">
        <v>3223</v>
      </c>
      <c r="C8456" s="29"/>
      <c r="D8456" s="29" t="s">
        <v>4156</v>
      </c>
      <c r="E8456" s="29"/>
      <c r="F8456" s="29" t="s">
        <v>2998</v>
      </c>
      <c r="G8456" s="29" t="s">
        <v>2999</v>
      </c>
      <c r="H8456" s="29" t="s">
        <v>3006</v>
      </c>
      <c r="I8456" s="29"/>
      <c r="J8456" s="29" t="s">
        <v>757</v>
      </c>
      <c r="K8456" s="29"/>
      <c r="L8456" s="29" t="s">
        <v>1062</v>
      </c>
      <c r="M8456" s="29" t="s">
        <v>6660</v>
      </c>
      <c r="N8456" s="29" t="s">
        <v>1119</v>
      </c>
      <c r="O8456" s="29"/>
      <c r="P8456" s="29" t="s">
        <v>13326</v>
      </c>
      <c r="Q8456" t="s">
        <v>2039</v>
      </c>
      <c r="R8456" t="s">
        <v>2635</v>
      </c>
      <c r="S8456">
        <v>37</v>
      </c>
      <c r="T8456" s="43" t="str">
        <f>HYPERLINK("https://ictv.global/ictv/proposals/2021.036M.R.Rhabdoviridae_sprename.zip","2021.036M.R.Rhabdoviridae_sprename.zip")</f>
        <v>2021.036M.R.Rhabdoviridae_sprename.zip</v>
      </c>
      <c r="U8456" s="43" t="str">
        <f>HYPERLINK("https://ictv.global/taxonomy/taxondetails?taxnode_id=202209369","ictv.global=202209369")</f>
        <v>ictv.global=202209369</v>
      </c>
    </row>
    <row r="8457" spans="1:21">
      <c r="A8457">
        <v>8456</v>
      </c>
      <c r="B8457" s="29" t="s">
        <v>3223</v>
      </c>
      <c r="C8457" s="29"/>
      <c r="D8457" s="29" t="s">
        <v>4156</v>
      </c>
      <c r="E8457" s="29"/>
      <c r="F8457" s="29" t="s">
        <v>2998</v>
      </c>
      <c r="G8457" s="29" t="s">
        <v>2999</v>
      </c>
      <c r="H8457" s="29" t="s">
        <v>3006</v>
      </c>
      <c r="I8457" s="29"/>
      <c r="J8457" s="29" t="s">
        <v>757</v>
      </c>
      <c r="K8457" s="29"/>
      <c r="L8457" s="29" t="s">
        <v>1062</v>
      </c>
      <c r="M8457" s="29" t="s">
        <v>6660</v>
      </c>
      <c r="N8457" s="29" t="s">
        <v>1119</v>
      </c>
      <c r="O8457" s="29"/>
      <c r="P8457" s="29" t="s">
        <v>13327</v>
      </c>
      <c r="Q8457" t="s">
        <v>2039</v>
      </c>
      <c r="R8457" t="s">
        <v>2632</v>
      </c>
      <c r="S8457">
        <v>38</v>
      </c>
      <c r="T8457" s="43" t="str">
        <f>HYPERLINK("https://ictv.global/ictv/proposals/2022.021M.Varicosavirus_9nsp.zip","2022.021M.Varicosavirus_9nsp.zip")</f>
        <v>2022.021M.Varicosavirus_9nsp.zip</v>
      </c>
      <c r="U8457" s="43" t="str">
        <f>HYPERLINK("https://ictv.global/taxonomy/taxondetails?taxnode_id=202214272","ictv.global=202214272")</f>
        <v>ictv.global=202214272</v>
      </c>
    </row>
    <row r="8458" spans="1:21">
      <c r="A8458">
        <v>8457</v>
      </c>
      <c r="B8458" s="29" t="s">
        <v>3223</v>
      </c>
      <c r="C8458" s="29"/>
      <c r="D8458" s="29" t="s">
        <v>4156</v>
      </c>
      <c r="E8458" s="29"/>
      <c r="F8458" s="29" t="s">
        <v>2998</v>
      </c>
      <c r="G8458" s="29" t="s">
        <v>2999</v>
      </c>
      <c r="H8458" s="29" t="s">
        <v>3006</v>
      </c>
      <c r="I8458" s="29"/>
      <c r="J8458" s="29" t="s">
        <v>757</v>
      </c>
      <c r="K8458" s="29"/>
      <c r="L8458" s="29" t="s">
        <v>1062</v>
      </c>
      <c r="M8458" s="29" t="s">
        <v>6660</v>
      </c>
      <c r="N8458" s="29" t="s">
        <v>1119</v>
      </c>
      <c r="O8458" s="29"/>
      <c r="P8458" s="29" t="s">
        <v>13328</v>
      </c>
      <c r="Q8458" t="s">
        <v>2039</v>
      </c>
      <c r="R8458" t="s">
        <v>2632</v>
      </c>
      <c r="S8458">
        <v>38</v>
      </c>
      <c r="T8458" s="43" t="str">
        <f>HYPERLINK("https://ictv.global/ictv/proposals/2022.021M.Varicosavirus_9nsp.zip","2022.021M.Varicosavirus_9nsp.zip")</f>
        <v>2022.021M.Varicosavirus_9nsp.zip</v>
      </c>
      <c r="U8458" s="43" t="str">
        <f>HYPERLINK("https://ictv.global/taxonomy/taxondetails?taxnode_id=202214273","ictv.global=202214273")</f>
        <v>ictv.global=202214273</v>
      </c>
    </row>
    <row r="8459" spans="1:21">
      <c r="A8459">
        <v>8458</v>
      </c>
      <c r="B8459" s="29" t="s">
        <v>3223</v>
      </c>
      <c r="C8459" s="29"/>
      <c r="D8459" s="29" t="s">
        <v>4156</v>
      </c>
      <c r="E8459" s="29"/>
      <c r="F8459" s="29" t="s">
        <v>2998</v>
      </c>
      <c r="G8459" s="29" t="s">
        <v>2999</v>
      </c>
      <c r="H8459" s="29" t="s">
        <v>3006</v>
      </c>
      <c r="I8459" s="29"/>
      <c r="J8459" s="29" t="s">
        <v>757</v>
      </c>
      <c r="K8459" s="29"/>
      <c r="L8459" s="29" t="s">
        <v>1062</v>
      </c>
      <c r="M8459" s="29" t="s">
        <v>6660</v>
      </c>
      <c r="N8459" s="29" t="s">
        <v>1119</v>
      </c>
      <c r="O8459" s="29"/>
      <c r="P8459" s="29" t="s">
        <v>13329</v>
      </c>
      <c r="Q8459" t="s">
        <v>2039</v>
      </c>
      <c r="R8459" t="s">
        <v>2632</v>
      </c>
      <c r="S8459">
        <v>38</v>
      </c>
      <c r="T8459" s="43" t="str">
        <f>HYPERLINK("https://ictv.global/ictv/proposals/2022.021M.Varicosavirus_9nsp.zip","2022.021M.Varicosavirus_9nsp.zip")</f>
        <v>2022.021M.Varicosavirus_9nsp.zip</v>
      </c>
      <c r="U8459" s="43" t="str">
        <f>HYPERLINK("https://ictv.global/taxonomy/taxondetails?taxnode_id=202214274","ictv.global=202214274")</f>
        <v>ictv.global=202214274</v>
      </c>
    </row>
    <row r="8460" spans="1:21">
      <c r="A8460">
        <v>8459</v>
      </c>
      <c r="B8460" s="29" t="s">
        <v>3223</v>
      </c>
      <c r="C8460" s="29"/>
      <c r="D8460" s="29" t="s">
        <v>4156</v>
      </c>
      <c r="E8460" s="29"/>
      <c r="F8460" s="29" t="s">
        <v>2998</v>
      </c>
      <c r="G8460" s="29" t="s">
        <v>2999</v>
      </c>
      <c r="H8460" s="29" t="s">
        <v>3006</v>
      </c>
      <c r="I8460" s="29"/>
      <c r="J8460" s="29" t="s">
        <v>757</v>
      </c>
      <c r="K8460" s="29"/>
      <c r="L8460" s="29" t="s">
        <v>1062</v>
      </c>
      <c r="M8460" s="29" t="s">
        <v>6661</v>
      </c>
      <c r="N8460" s="29" t="s">
        <v>843</v>
      </c>
      <c r="O8460" s="29"/>
      <c r="P8460" s="29" t="s">
        <v>13330</v>
      </c>
      <c r="Q8460" t="s">
        <v>2039</v>
      </c>
      <c r="R8460" t="s">
        <v>2635</v>
      </c>
      <c r="S8460">
        <v>37</v>
      </c>
      <c r="T8460" s="43" t="str">
        <f t="shared" ref="T8460:T8479" si="364">HYPERLINK("https://ictv.global/ictv/proposals/2021.036M.R.Rhabdoviridae_sprename.zip","2021.036M.R.Rhabdoviridae_sprename.zip")</f>
        <v>2021.036M.R.Rhabdoviridae_sprename.zip</v>
      </c>
      <c r="U8460" s="43" t="str">
        <f>HYPERLINK("https://ictv.global/taxonomy/taxondetails?taxnode_id=202201737","ictv.global=202201737")</f>
        <v>ictv.global=202201737</v>
      </c>
    </row>
    <row r="8461" spans="1:21">
      <c r="A8461">
        <v>8460</v>
      </c>
      <c r="B8461" s="29" t="s">
        <v>3223</v>
      </c>
      <c r="C8461" s="29"/>
      <c r="D8461" s="29" t="s">
        <v>4156</v>
      </c>
      <c r="E8461" s="29"/>
      <c r="F8461" s="29" t="s">
        <v>2998</v>
      </c>
      <c r="G8461" s="29" t="s">
        <v>2999</v>
      </c>
      <c r="H8461" s="29" t="s">
        <v>3006</v>
      </c>
      <c r="I8461" s="29"/>
      <c r="J8461" s="29" t="s">
        <v>757</v>
      </c>
      <c r="K8461" s="29"/>
      <c r="L8461" s="29" t="s">
        <v>1062</v>
      </c>
      <c r="M8461" s="29" t="s">
        <v>6661</v>
      </c>
      <c r="N8461" s="29" t="s">
        <v>843</v>
      </c>
      <c r="O8461" s="29"/>
      <c r="P8461" s="29" t="s">
        <v>13331</v>
      </c>
      <c r="Q8461" t="s">
        <v>2039</v>
      </c>
      <c r="R8461" t="s">
        <v>2635</v>
      </c>
      <c r="S8461">
        <v>37</v>
      </c>
      <c r="T8461" s="43" t="str">
        <f t="shared" si="364"/>
        <v>2021.036M.R.Rhabdoviridae_sprename.zip</v>
      </c>
      <c r="U8461" s="43" t="str">
        <f>HYPERLINK("https://ictv.global/taxonomy/taxondetails?taxnode_id=202201738","ictv.global=202201738")</f>
        <v>ictv.global=202201738</v>
      </c>
    </row>
    <row r="8462" spans="1:21">
      <c r="A8462">
        <v>8461</v>
      </c>
      <c r="B8462" s="29" t="s">
        <v>3223</v>
      </c>
      <c r="C8462" s="29"/>
      <c r="D8462" s="29" t="s">
        <v>4156</v>
      </c>
      <c r="E8462" s="29"/>
      <c r="F8462" s="29" t="s">
        <v>2998</v>
      </c>
      <c r="G8462" s="29" t="s">
        <v>2999</v>
      </c>
      <c r="H8462" s="29" t="s">
        <v>3006</v>
      </c>
      <c r="I8462" s="29"/>
      <c r="J8462" s="29" t="s">
        <v>757</v>
      </c>
      <c r="K8462" s="29"/>
      <c r="L8462" s="29" t="s">
        <v>1062</v>
      </c>
      <c r="M8462" s="29" t="s">
        <v>6661</v>
      </c>
      <c r="N8462" s="29" t="s">
        <v>843</v>
      </c>
      <c r="O8462" s="29"/>
      <c r="P8462" s="29" t="s">
        <v>13332</v>
      </c>
      <c r="Q8462" t="s">
        <v>2039</v>
      </c>
      <c r="R8462" t="s">
        <v>2635</v>
      </c>
      <c r="S8462">
        <v>37</v>
      </c>
      <c r="T8462" s="43" t="str">
        <f t="shared" si="364"/>
        <v>2021.036M.R.Rhabdoviridae_sprename.zip</v>
      </c>
      <c r="U8462" s="43" t="str">
        <f>HYPERLINK("https://ictv.global/taxonomy/taxondetails?taxnode_id=202201739","ictv.global=202201739")</f>
        <v>ictv.global=202201739</v>
      </c>
    </row>
    <row r="8463" spans="1:21">
      <c r="A8463">
        <v>8462</v>
      </c>
      <c r="B8463" s="29" t="s">
        <v>3223</v>
      </c>
      <c r="C8463" s="29"/>
      <c r="D8463" s="29" t="s">
        <v>4156</v>
      </c>
      <c r="E8463" s="29"/>
      <c r="F8463" s="29" t="s">
        <v>2998</v>
      </c>
      <c r="G8463" s="29" t="s">
        <v>2999</v>
      </c>
      <c r="H8463" s="29" t="s">
        <v>3006</v>
      </c>
      <c r="I8463" s="29"/>
      <c r="J8463" s="29" t="s">
        <v>757</v>
      </c>
      <c r="K8463" s="29"/>
      <c r="L8463" s="29" t="s">
        <v>1062</v>
      </c>
      <c r="M8463" s="29" t="s">
        <v>6661</v>
      </c>
      <c r="N8463" s="29" t="s">
        <v>843</v>
      </c>
      <c r="O8463" s="29"/>
      <c r="P8463" s="29" t="s">
        <v>13333</v>
      </c>
      <c r="Q8463" t="s">
        <v>2039</v>
      </c>
      <c r="R8463" t="s">
        <v>2635</v>
      </c>
      <c r="S8463">
        <v>37</v>
      </c>
      <c r="T8463" s="43" t="str">
        <f t="shared" si="364"/>
        <v>2021.036M.R.Rhabdoviridae_sprename.zip</v>
      </c>
      <c r="U8463" s="43" t="str">
        <f>HYPERLINK("https://ictv.global/taxonomy/taxondetails?taxnode_id=202201740","ictv.global=202201740")</f>
        <v>ictv.global=202201740</v>
      </c>
    </row>
    <row r="8464" spans="1:21">
      <c r="A8464">
        <v>8463</v>
      </c>
      <c r="B8464" s="29" t="s">
        <v>3223</v>
      </c>
      <c r="C8464" s="29"/>
      <c r="D8464" s="29" t="s">
        <v>4156</v>
      </c>
      <c r="E8464" s="29"/>
      <c r="F8464" s="29" t="s">
        <v>2998</v>
      </c>
      <c r="G8464" s="29" t="s">
        <v>2999</v>
      </c>
      <c r="H8464" s="29" t="s">
        <v>3006</v>
      </c>
      <c r="I8464" s="29"/>
      <c r="J8464" s="29" t="s">
        <v>757</v>
      </c>
      <c r="K8464" s="29"/>
      <c r="L8464" s="29" t="s">
        <v>1062</v>
      </c>
      <c r="M8464" s="29"/>
      <c r="N8464" s="29" t="s">
        <v>6662</v>
      </c>
      <c r="O8464" s="29"/>
      <c r="P8464" s="29" t="s">
        <v>13334</v>
      </c>
      <c r="Q8464" t="s">
        <v>2039</v>
      </c>
      <c r="R8464" t="s">
        <v>2635</v>
      </c>
      <c r="S8464">
        <v>37</v>
      </c>
      <c r="T8464" s="43" t="str">
        <f t="shared" si="364"/>
        <v>2021.036M.R.Rhabdoviridae_sprename.zip</v>
      </c>
      <c r="U8464" s="43" t="str">
        <f>HYPERLINK("https://ictv.global/taxonomy/taxondetails?taxnode_id=202209636","ictv.global=202209636")</f>
        <v>ictv.global=202209636</v>
      </c>
    </row>
    <row r="8465" spans="1:21">
      <c r="A8465">
        <v>8464</v>
      </c>
      <c r="B8465" s="29" t="s">
        <v>3223</v>
      </c>
      <c r="C8465" s="29"/>
      <c r="D8465" s="29" t="s">
        <v>4156</v>
      </c>
      <c r="E8465" s="29"/>
      <c r="F8465" s="29" t="s">
        <v>2998</v>
      </c>
      <c r="G8465" s="29" t="s">
        <v>2999</v>
      </c>
      <c r="H8465" s="29" t="s">
        <v>3006</v>
      </c>
      <c r="I8465" s="29"/>
      <c r="J8465" s="29" t="s">
        <v>757</v>
      </c>
      <c r="K8465" s="29"/>
      <c r="L8465" s="29" t="s">
        <v>1062</v>
      </c>
      <c r="M8465" s="29"/>
      <c r="N8465" s="29" t="s">
        <v>6662</v>
      </c>
      <c r="O8465" s="29"/>
      <c r="P8465" s="29" t="s">
        <v>13335</v>
      </c>
      <c r="Q8465" t="s">
        <v>2039</v>
      </c>
      <c r="R8465" t="s">
        <v>2635</v>
      </c>
      <c r="S8465">
        <v>37</v>
      </c>
      <c r="T8465" s="43" t="str">
        <f t="shared" si="364"/>
        <v>2021.036M.R.Rhabdoviridae_sprename.zip</v>
      </c>
      <c r="U8465" s="43" t="str">
        <f>HYPERLINK("https://ictv.global/taxonomy/taxondetails?taxnode_id=202209637","ictv.global=202209637")</f>
        <v>ictv.global=202209637</v>
      </c>
    </row>
    <row r="8466" spans="1:21">
      <c r="A8466">
        <v>8465</v>
      </c>
      <c r="B8466" s="29" t="s">
        <v>3223</v>
      </c>
      <c r="C8466" s="29"/>
      <c r="D8466" s="29" t="s">
        <v>4156</v>
      </c>
      <c r="E8466" s="29"/>
      <c r="F8466" s="29" t="s">
        <v>2998</v>
      </c>
      <c r="G8466" s="29" t="s">
        <v>2999</v>
      </c>
      <c r="H8466" s="29" t="s">
        <v>3006</v>
      </c>
      <c r="I8466" s="29"/>
      <c r="J8466" s="29" t="s">
        <v>757</v>
      </c>
      <c r="K8466" s="29"/>
      <c r="L8466" s="29" t="s">
        <v>1062</v>
      </c>
      <c r="M8466" s="29"/>
      <c r="N8466" s="29" t="s">
        <v>6663</v>
      </c>
      <c r="O8466" s="29"/>
      <c r="P8466" s="29" t="s">
        <v>13336</v>
      </c>
      <c r="Q8466" t="s">
        <v>2039</v>
      </c>
      <c r="R8466" t="s">
        <v>2635</v>
      </c>
      <c r="S8466">
        <v>37</v>
      </c>
      <c r="T8466" s="43" t="str">
        <f t="shared" si="364"/>
        <v>2021.036M.R.Rhabdoviridae_sprename.zip</v>
      </c>
      <c r="U8466" s="43" t="str">
        <f>HYPERLINK("https://ictv.global/taxonomy/taxondetails?taxnode_id=202209640","ictv.global=202209640")</f>
        <v>ictv.global=202209640</v>
      </c>
    </row>
    <row r="8467" spans="1:21">
      <c r="A8467">
        <v>8466</v>
      </c>
      <c r="B8467" s="29" t="s">
        <v>3223</v>
      </c>
      <c r="C8467" s="29"/>
      <c r="D8467" s="29" t="s">
        <v>4156</v>
      </c>
      <c r="E8467" s="29"/>
      <c r="F8467" s="29" t="s">
        <v>2998</v>
      </c>
      <c r="G8467" s="29" t="s">
        <v>2999</v>
      </c>
      <c r="H8467" s="29" t="s">
        <v>3006</v>
      </c>
      <c r="I8467" s="29"/>
      <c r="J8467" s="29" t="s">
        <v>757</v>
      </c>
      <c r="K8467" s="29"/>
      <c r="L8467" s="29" t="s">
        <v>1062</v>
      </c>
      <c r="M8467" s="29"/>
      <c r="N8467" s="29" t="s">
        <v>6663</v>
      </c>
      <c r="O8467" s="29"/>
      <c r="P8467" s="29" t="s">
        <v>13337</v>
      </c>
      <c r="Q8467" t="s">
        <v>2039</v>
      </c>
      <c r="R8467" t="s">
        <v>2635</v>
      </c>
      <c r="S8467">
        <v>37</v>
      </c>
      <c r="T8467" s="43" t="str">
        <f t="shared" si="364"/>
        <v>2021.036M.R.Rhabdoviridae_sprename.zip</v>
      </c>
      <c r="U8467" s="43" t="str">
        <f>HYPERLINK("https://ictv.global/taxonomy/taxondetails?taxnode_id=202209639","ictv.global=202209639")</f>
        <v>ictv.global=202209639</v>
      </c>
    </row>
    <row r="8468" spans="1:21">
      <c r="A8468">
        <v>8467</v>
      </c>
      <c r="B8468" s="29" t="s">
        <v>3223</v>
      </c>
      <c r="C8468" s="29"/>
      <c r="D8468" s="29" t="s">
        <v>4156</v>
      </c>
      <c r="E8468" s="29"/>
      <c r="F8468" s="29" t="s">
        <v>2998</v>
      </c>
      <c r="G8468" s="29" t="s">
        <v>2999</v>
      </c>
      <c r="H8468" s="29" t="s">
        <v>3006</v>
      </c>
      <c r="I8468" s="29"/>
      <c r="J8468" s="29" t="s">
        <v>757</v>
      </c>
      <c r="K8468" s="29"/>
      <c r="L8468" s="29" t="s">
        <v>1062</v>
      </c>
      <c r="M8468" s="29"/>
      <c r="N8468" s="29" t="s">
        <v>6664</v>
      </c>
      <c r="O8468" s="29"/>
      <c r="P8468" s="29" t="s">
        <v>13338</v>
      </c>
      <c r="Q8468" t="s">
        <v>2039</v>
      </c>
      <c r="R8468" t="s">
        <v>2635</v>
      </c>
      <c r="S8468">
        <v>37</v>
      </c>
      <c r="T8468" s="43" t="str">
        <f t="shared" si="364"/>
        <v>2021.036M.R.Rhabdoviridae_sprename.zip</v>
      </c>
      <c r="U8468" s="43" t="str">
        <f>HYPERLINK("https://ictv.global/taxonomy/taxondetails?taxnode_id=202209643","ictv.global=202209643")</f>
        <v>ictv.global=202209643</v>
      </c>
    </row>
    <row r="8469" spans="1:21">
      <c r="A8469">
        <v>8468</v>
      </c>
      <c r="B8469" s="29" t="s">
        <v>3223</v>
      </c>
      <c r="C8469" s="29"/>
      <c r="D8469" s="29" t="s">
        <v>4156</v>
      </c>
      <c r="E8469" s="29"/>
      <c r="F8469" s="29" t="s">
        <v>2998</v>
      </c>
      <c r="G8469" s="29" t="s">
        <v>2999</v>
      </c>
      <c r="H8469" s="29" t="s">
        <v>3006</v>
      </c>
      <c r="I8469" s="29"/>
      <c r="J8469" s="29" t="s">
        <v>757</v>
      </c>
      <c r="K8469" s="29"/>
      <c r="L8469" s="29" t="s">
        <v>1062</v>
      </c>
      <c r="M8469" s="29"/>
      <c r="N8469" s="29" t="s">
        <v>6664</v>
      </c>
      <c r="O8469" s="29"/>
      <c r="P8469" s="29" t="s">
        <v>13339</v>
      </c>
      <c r="Q8469" t="s">
        <v>2039</v>
      </c>
      <c r="R8469" t="s">
        <v>2635</v>
      </c>
      <c r="S8469">
        <v>37</v>
      </c>
      <c r="T8469" s="43" t="str">
        <f t="shared" si="364"/>
        <v>2021.036M.R.Rhabdoviridae_sprename.zip</v>
      </c>
      <c r="U8469" s="43" t="str">
        <f>HYPERLINK("https://ictv.global/taxonomy/taxondetails?taxnode_id=202209645","ictv.global=202209645")</f>
        <v>ictv.global=202209645</v>
      </c>
    </row>
    <row r="8470" spans="1:21">
      <c r="A8470">
        <v>8469</v>
      </c>
      <c r="B8470" s="29" t="s">
        <v>3223</v>
      </c>
      <c r="C8470" s="29"/>
      <c r="D8470" s="29" t="s">
        <v>4156</v>
      </c>
      <c r="E8470" s="29"/>
      <c r="F8470" s="29" t="s">
        <v>2998</v>
      </c>
      <c r="G8470" s="29" t="s">
        <v>2999</v>
      </c>
      <c r="H8470" s="29" t="s">
        <v>3006</v>
      </c>
      <c r="I8470" s="29"/>
      <c r="J8470" s="29" t="s">
        <v>757</v>
      </c>
      <c r="K8470" s="29"/>
      <c r="L8470" s="29" t="s">
        <v>1062</v>
      </c>
      <c r="M8470" s="29"/>
      <c r="N8470" s="29" t="s">
        <v>6664</v>
      </c>
      <c r="O8470" s="29"/>
      <c r="P8470" s="29" t="s">
        <v>13340</v>
      </c>
      <c r="Q8470" t="s">
        <v>2039</v>
      </c>
      <c r="R8470" t="s">
        <v>2635</v>
      </c>
      <c r="S8470">
        <v>37</v>
      </c>
      <c r="T8470" s="43" t="str">
        <f t="shared" si="364"/>
        <v>2021.036M.R.Rhabdoviridae_sprename.zip</v>
      </c>
      <c r="U8470" s="43" t="str">
        <f>HYPERLINK("https://ictv.global/taxonomy/taxondetails?taxnode_id=202209642","ictv.global=202209642")</f>
        <v>ictv.global=202209642</v>
      </c>
    </row>
    <row r="8471" spans="1:21">
      <c r="A8471">
        <v>8470</v>
      </c>
      <c r="B8471" s="29" t="s">
        <v>3223</v>
      </c>
      <c r="C8471" s="29"/>
      <c r="D8471" s="29" t="s">
        <v>4156</v>
      </c>
      <c r="E8471" s="29"/>
      <c r="F8471" s="29" t="s">
        <v>2998</v>
      </c>
      <c r="G8471" s="29" t="s">
        <v>2999</v>
      </c>
      <c r="H8471" s="29" t="s">
        <v>3006</v>
      </c>
      <c r="I8471" s="29"/>
      <c r="J8471" s="29" t="s">
        <v>757</v>
      </c>
      <c r="K8471" s="29"/>
      <c r="L8471" s="29" t="s">
        <v>1062</v>
      </c>
      <c r="M8471" s="29"/>
      <c r="N8471" s="29" t="s">
        <v>6664</v>
      </c>
      <c r="O8471" s="29"/>
      <c r="P8471" s="29" t="s">
        <v>13341</v>
      </c>
      <c r="Q8471" t="s">
        <v>2039</v>
      </c>
      <c r="R8471" t="s">
        <v>2635</v>
      </c>
      <c r="S8471">
        <v>37</v>
      </c>
      <c r="T8471" s="43" t="str">
        <f t="shared" si="364"/>
        <v>2021.036M.R.Rhabdoviridae_sprename.zip</v>
      </c>
      <c r="U8471" s="43" t="str">
        <f>HYPERLINK("https://ictv.global/taxonomy/taxondetails?taxnode_id=202209644","ictv.global=202209644")</f>
        <v>ictv.global=202209644</v>
      </c>
    </row>
    <row r="8472" spans="1:21">
      <c r="A8472">
        <v>8471</v>
      </c>
      <c r="B8472" s="29" t="s">
        <v>3223</v>
      </c>
      <c r="C8472" s="29"/>
      <c r="D8472" s="29" t="s">
        <v>4156</v>
      </c>
      <c r="E8472" s="29"/>
      <c r="F8472" s="29" t="s">
        <v>2998</v>
      </c>
      <c r="G8472" s="29" t="s">
        <v>2999</v>
      </c>
      <c r="H8472" s="29" t="s">
        <v>3006</v>
      </c>
      <c r="I8472" s="29"/>
      <c r="J8472" s="29" t="s">
        <v>757</v>
      </c>
      <c r="K8472" s="29"/>
      <c r="L8472" s="29" t="s">
        <v>1062</v>
      </c>
      <c r="M8472" s="29"/>
      <c r="N8472" s="29" t="s">
        <v>6665</v>
      </c>
      <c r="O8472" s="29"/>
      <c r="P8472" s="29" t="s">
        <v>13342</v>
      </c>
      <c r="Q8472" t="s">
        <v>2039</v>
      </c>
      <c r="R8472" t="s">
        <v>2635</v>
      </c>
      <c r="S8472">
        <v>37</v>
      </c>
      <c r="T8472" s="43" t="str">
        <f t="shared" si="364"/>
        <v>2021.036M.R.Rhabdoviridae_sprename.zip</v>
      </c>
      <c r="U8472" s="43" t="str">
        <f>HYPERLINK("https://ictv.global/taxonomy/taxondetails?taxnode_id=202209647","ictv.global=202209647")</f>
        <v>ictv.global=202209647</v>
      </c>
    </row>
    <row r="8473" spans="1:21">
      <c r="A8473">
        <v>8472</v>
      </c>
      <c r="B8473" s="29" t="s">
        <v>3223</v>
      </c>
      <c r="C8473" s="29"/>
      <c r="D8473" s="29" t="s">
        <v>4156</v>
      </c>
      <c r="E8473" s="29"/>
      <c r="F8473" s="29" t="s">
        <v>2998</v>
      </c>
      <c r="G8473" s="29" t="s">
        <v>2999</v>
      </c>
      <c r="H8473" s="29" t="s">
        <v>3006</v>
      </c>
      <c r="I8473" s="29"/>
      <c r="J8473" s="29" t="s">
        <v>757</v>
      </c>
      <c r="K8473" s="29"/>
      <c r="L8473" s="29" t="s">
        <v>1062</v>
      </c>
      <c r="M8473" s="29"/>
      <c r="N8473" s="29" t="s">
        <v>6665</v>
      </c>
      <c r="O8473" s="29"/>
      <c r="P8473" s="29" t="s">
        <v>13343</v>
      </c>
      <c r="Q8473" t="s">
        <v>2039</v>
      </c>
      <c r="R8473" t="s">
        <v>2635</v>
      </c>
      <c r="S8473">
        <v>37</v>
      </c>
      <c r="T8473" s="43" t="str">
        <f t="shared" si="364"/>
        <v>2021.036M.R.Rhabdoviridae_sprename.zip</v>
      </c>
      <c r="U8473" s="43" t="str">
        <f>HYPERLINK("https://ictv.global/taxonomy/taxondetails?taxnode_id=202209648","ictv.global=202209648")</f>
        <v>ictv.global=202209648</v>
      </c>
    </row>
    <row r="8474" spans="1:21">
      <c r="A8474">
        <v>8473</v>
      </c>
      <c r="B8474" s="29" t="s">
        <v>3223</v>
      </c>
      <c r="C8474" s="29"/>
      <c r="D8474" s="29" t="s">
        <v>4156</v>
      </c>
      <c r="E8474" s="29"/>
      <c r="F8474" s="29" t="s">
        <v>2998</v>
      </c>
      <c r="G8474" s="29" t="s">
        <v>2999</v>
      </c>
      <c r="H8474" s="29" t="s">
        <v>3006</v>
      </c>
      <c r="I8474" s="29"/>
      <c r="J8474" s="29" t="s">
        <v>757</v>
      </c>
      <c r="K8474" s="29"/>
      <c r="L8474" s="29" t="s">
        <v>1062</v>
      </c>
      <c r="M8474" s="29"/>
      <c r="N8474" s="29" t="s">
        <v>6666</v>
      </c>
      <c r="O8474" s="29"/>
      <c r="P8474" s="29" t="s">
        <v>13344</v>
      </c>
      <c r="Q8474" t="s">
        <v>2039</v>
      </c>
      <c r="R8474" t="s">
        <v>2635</v>
      </c>
      <c r="S8474">
        <v>37</v>
      </c>
      <c r="T8474" s="43" t="str">
        <f t="shared" si="364"/>
        <v>2021.036M.R.Rhabdoviridae_sprename.zip</v>
      </c>
      <c r="U8474" s="43" t="str">
        <f>HYPERLINK("https://ictv.global/taxonomy/taxondetails?taxnode_id=202209651","ictv.global=202209651")</f>
        <v>ictv.global=202209651</v>
      </c>
    </row>
    <row r="8475" spans="1:21">
      <c r="A8475">
        <v>8474</v>
      </c>
      <c r="B8475" s="29" t="s">
        <v>3223</v>
      </c>
      <c r="C8475" s="29"/>
      <c r="D8475" s="29" t="s">
        <v>4156</v>
      </c>
      <c r="E8475" s="29"/>
      <c r="F8475" s="29" t="s">
        <v>2998</v>
      </c>
      <c r="G8475" s="29" t="s">
        <v>2999</v>
      </c>
      <c r="H8475" s="29" t="s">
        <v>3006</v>
      </c>
      <c r="I8475" s="29"/>
      <c r="J8475" s="29" t="s">
        <v>757</v>
      </c>
      <c r="K8475" s="29"/>
      <c r="L8475" s="29" t="s">
        <v>1062</v>
      </c>
      <c r="M8475" s="29"/>
      <c r="N8475" s="29" t="s">
        <v>6666</v>
      </c>
      <c r="O8475" s="29"/>
      <c r="P8475" s="29" t="s">
        <v>13345</v>
      </c>
      <c r="Q8475" t="s">
        <v>2039</v>
      </c>
      <c r="R8475" t="s">
        <v>2635</v>
      </c>
      <c r="S8475">
        <v>37</v>
      </c>
      <c r="T8475" s="43" t="str">
        <f t="shared" si="364"/>
        <v>2021.036M.R.Rhabdoviridae_sprename.zip</v>
      </c>
      <c r="U8475" s="43" t="str">
        <f>HYPERLINK("https://ictv.global/taxonomy/taxondetails?taxnode_id=202209650","ictv.global=202209650")</f>
        <v>ictv.global=202209650</v>
      </c>
    </row>
    <row r="8476" spans="1:21">
      <c r="A8476">
        <v>8475</v>
      </c>
      <c r="B8476" s="29" t="s">
        <v>3223</v>
      </c>
      <c r="C8476" s="29"/>
      <c r="D8476" s="29" t="s">
        <v>4156</v>
      </c>
      <c r="E8476" s="29"/>
      <c r="F8476" s="29" t="s">
        <v>2998</v>
      </c>
      <c r="G8476" s="29" t="s">
        <v>2999</v>
      </c>
      <c r="H8476" s="29" t="s">
        <v>3006</v>
      </c>
      <c r="I8476" s="29"/>
      <c r="J8476" s="29" t="s">
        <v>757</v>
      </c>
      <c r="K8476" s="29"/>
      <c r="L8476" s="29" t="s">
        <v>1062</v>
      </c>
      <c r="M8476" s="29"/>
      <c r="N8476" s="29" t="s">
        <v>6667</v>
      </c>
      <c r="O8476" s="29"/>
      <c r="P8476" s="29" t="s">
        <v>13346</v>
      </c>
      <c r="Q8476" t="s">
        <v>2039</v>
      </c>
      <c r="R8476" t="s">
        <v>2635</v>
      </c>
      <c r="S8476">
        <v>37</v>
      </c>
      <c r="T8476" s="43" t="str">
        <f t="shared" si="364"/>
        <v>2021.036M.R.Rhabdoviridae_sprename.zip</v>
      </c>
      <c r="U8476" s="43" t="str">
        <f>HYPERLINK("https://ictv.global/taxonomy/taxondetails?taxnode_id=202209653","ictv.global=202209653")</f>
        <v>ictv.global=202209653</v>
      </c>
    </row>
    <row r="8477" spans="1:21">
      <c r="A8477">
        <v>8476</v>
      </c>
      <c r="B8477" s="29" t="s">
        <v>3223</v>
      </c>
      <c r="C8477" s="29"/>
      <c r="D8477" s="29" t="s">
        <v>4156</v>
      </c>
      <c r="E8477" s="29"/>
      <c r="F8477" s="29" t="s">
        <v>2998</v>
      </c>
      <c r="G8477" s="29" t="s">
        <v>2999</v>
      </c>
      <c r="H8477" s="29" t="s">
        <v>3006</v>
      </c>
      <c r="I8477" s="29"/>
      <c r="J8477" s="29" t="s">
        <v>757</v>
      </c>
      <c r="K8477" s="29"/>
      <c r="L8477" s="29" t="s">
        <v>1062</v>
      </c>
      <c r="M8477" s="29"/>
      <c r="N8477" s="29" t="s">
        <v>6667</v>
      </c>
      <c r="O8477" s="29"/>
      <c r="P8477" s="29" t="s">
        <v>13347</v>
      </c>
      <c r="Q8477" t="s">
        <v>2039</v>
      </c>
      <c r="R8477" t="s">
        <v>2635</v>
      </c>
      <c r="S8477">
        <v>37</v>
      </c>
      <c r="T8477" s="43" t="str">
        <f t="shared" si="364"/>
        <v>2021.036M.R.Rhabdoviridae_sprename.zip</v>
      </c>
      <c r="U8477" s="43" t="str">
        <f>HYPERLINK("https://ictv.global/taxonomy/taxondetails?taxnode_id=202209654","ictv.global=202209654")</f>
        <v>ictv.global=202209654</v>
      </c>
    </row>
    <row r="8478" spans="1:21">
      <c r="A8478">
        <v>8477</v>
      </c>
      <c r="B8478" s="29" t="s">
        <v>3223</v>
      </c>
      <c r="C8478" s="29"/>
      <c r="D8478" s="29" t="s">
        <v>4156</v>
      </c>
      <c r="E8478" s="29"/>
      <c r="F8478" s="29" t="s">
        <v>2998</v>
      </c>
      <c r="G8478" s="29" t="s">
        <v>2999</v>
      </c>
      <c r="H8478" s="29" t="s">
        <v>3006</v>
      </c>
      <c r="I8478" s="29"/>
      <c r="J8478" s="29" t="s">
        <v>757</v>
      </c>
      <c r="K8478" s="29"/>
      <c r="L8478" s="29" t="s">
        <v>1062</v>
      </c>
      <c r="M8478" s="29"/>
      <c r="N8478" s="29" t="s">
        <v>6668</v>
      </c>
      <c r="O8478" s="29"/>
      <c r="P8478" s="29" t="s">
        <v>13348</v>
      </c>
      <c r="Q8478" t="s">
        <v>2039</v>
      </c>
      <c r="R8478" t="s">
        <v>2635</v>
      </c>
      <c r="S8478">
        <v>37</v>
      </c>
      <c r="T8478" s="43" t="str">
        <f t="shared" si="364"/>
        <v>2021.036M.R.Rhabdoviridae_sprename.zip</v>
      </c>
      <c r="U8478" s="43" t="str">
        <f>HYPERLINK("https://ictv.global/taxonomy/taxondetails?taxnode_id=202209656","ictv.global=202209656")</f>
        <v>ictv.global=202209656</v>
      </c>
    </row>
    <row r="8479" spans="1:21">
      <c r="A8479">
        <v>8478</v>
      </c>
      <c r="B8479" s="29" t="s">
        <v>3223</v>
      </c>
      <c r="C8479" s="29"/>
      <c r="D8479" s="29" t="s">
        <v>4156</v>
      </c>
      <c r="E8479" s="29"/>
      <c r="F8479" s="29" t="s">
        <v>2998</v>
      </c>
      <c r="G8479" s="29" t="s">
        <v>2999</v>
      </c>
      <c r="H8479" s="29" t="s">
        <v>3006</v>
      </c>
      <c r="I8479" s="29"/>
      <c r="J8479" s="29" t="s">
        <v>757</v>
      </c>
      <c r="K8479" s="29"/>
      <c r="L8479" s="29" t="s">
        <v>1062</v>
      </c>
      <c r="M8479" s="29"/>
      <c r="N8479" s="29" t="s">
        <v>6668</v>
      </c>
      <c r="O8479" s="29"/>
      <c r="P8479" s="29" t="s">
        <v>13349</v>
      </c>
      <c r="Q8479" t="s">
        <v>2039</v>
      </c>
      <c r="R8479" t="s">
        <v>2635</v>
      </c>
      <c r="S8479">
        <v>37</v>
      </c>
      <c r="T8479" s="43" t="str">
        <f t="shared" si="364"/>
        <v>2021.036M.R.Rhabdoviridae_sprename.zip</v>
      </c>
      <c r="U8479" s="43" t="str">
        <f>HYPERLINK("https://ictv.global/taxonomy/taxondetails?taxnode_id=202209657","ictv.global=202209657")</f>
        <v>ictv.global=202209657</v>
      </c>
    </row>
    <row r="8480" spans="1:21">
      <c r="A8480">
        <v>8479</v>
      </c>
      <c r="B8480" s="29" t="s">
        <v>3223</v>
      </c>
      <c r="C8480" s="29"/>
      <c r="D8480" s="29" t="s">
        <v>4156</v>
      </c>
      <c r="E8480" s="29"/>
      <c r="F8480" s="29" t="s">
        <v>2998</v>
      </c>
      <c r="G8480" s="29" t="s">
        <v>2999</v>
      </c>
      <c r="H8480" s="29" t="s">
        <v>3006</v>
      </c>
      <c r="I8480" s="29"/>
      <c r="J8480" s="29" t="s">
        <v>757</v>
      </c>
      <c r="K8480" s="29"/>
      <c r="L8480" s="29" t="s">
        <v>2137</v>
      </c>
      <c r="M8480" s="29"/>
      <c r="N8480" s="29" t="s">
        <v>2138</v>
      </c>
      <c r="O8480" s="29"/>
      <c r="P8480" s="29" t="s">
        <v>13350</v>
      </c>
      <c r="Q8480" t="s">
        <v>2039</v>
      </c>
      <c r="R8480" t="s">
        <v>2635</v>
      </c>
      <c r="S8480">
        <v>37</v>
      </c>
      <c r="T8480" s="43" t="str">
        <f>HYPERLINK("https://ictv.global/ictv/proposals/2021.037M.R.Sunviridae _sprename.zip","2021.037M.R.Sunviridae _sprename.zip")</f>
        <v>2021.037M.R.Sunviridae _sprename.zip</v>
      </c>
      <c r="U8480" s="43" t="str">
        <f>HYPERLINK("https://ictv.global/taxonomy/taxondetails?taxnode_id=202201808","ictv.global=202201808")</f>
        <v>ictv.global=202201808</v>
      </c>
    </row>
    <row r="8481" spans="1:21">
      <c r="A8481">
        <v>8480</v>
      </c>
      <c r="B8481" s="29" t="s">
        <v>3223</v>
      </c>
      <c r="C8481" s="29"/>
      <c r="D8481" s="29" t="s">
        <v>4156</v>
      </c>
      <c r="E8481" s="29"/>
      <c r="F8481" s="29" t="s">
        <v>2998</v>
      </c>
      <c r="G8481" s="29" t="s">
        <v>2999</v>
      </c>
      <c r="H8481" s="29" t="s">
        <v>3006</v>
      </c>
      <c r="I8481" s="29"/>
      <c r="J8481" s="29" t="s">
        <v>757</v>
      </c>
      <c r="K8481" s="29"/>
      <c r="L8481" s="29" t="s">
        <v>3015</v>
      </c>
      <c r="M8481" s="29"/>
      <c r="N8481" s="29" t="s">
        <v>13351</v>
      </c>
      <c r="O8481" s="29"/>
      <c r="P8481" s="29" t="s">
        <v>13352</v>
      </c>
      <c r="Q8481" t="s">
        <v>2039</v>
      </c>
      <c r="R8481" t="s">
        <v>2633</v>
      </c>
      <c r="S8481">
        <v>37</v>
      </c>
      <c r="T8481" s="43" t="str">
        <f t="shared" ref="T8481:T8494" si="365">HYPERLINK("https://ictv.global/ictv/proposals/2021.039M.R.Xinmoviridae_11ngen_8nsp.zip","2021.039M.R.Xinmoviridae_11ngen_8nsp.zip")</f>
        <v>2021.039M.R.Xinmoviridae_11ngen_8nsp.zip</v>
      </c>
      <c r="U8481" s="43" t="str">
        <f>HYPERLINK("https://ictv.global/taxonomy/taxondetails?taxnode_id=202206265","ictv.global=202206265")</f>
        <v>ictv.global=202206265</v>
      </c>
    </row>
    <row r="8482" spans="1:21">
      <c r="A8482">
        <v>8481</v>
      </c>
      <c r="B8482" s="29" t="s">
        <v>3223</v>
      </c>
      <c r="C8482" s="29"/>
      <c r="D8482" s="29" t="s">
        <v>4156</v>
      </c>
      <c r="E8482" s="29"/>
      <c r="F8482" s="29" t="s">
        <v>2998</v>
      </c>
      <c r="G8482" s="29" t="s">
        <v>2999</v>
      </c>
      <c r="H8482" s="29" t="s">
        <v>3006</v>
      </c>
      <c r="I8482" s="29"/>
      <c r="J8482" s="29" t="s">
        <v>757</v>
      </c>
      <c r="K8482" s="29"/>
      <c r="L8482" s="29" t="s">
        <v>3015</v>
      </c>
      <c r="M8482" s="29"/>
      <c r="N8482" s="29" t="s">
        <v>2139</v>
      </c>
      <c r="O8482" s="29"/>
      <c r="P8482" s="29" t="s">
        <v>13353</v>
      </c>
      <c r="Q8482" t="s">
        <v>2039</v>
      </c>
      <c r="R8482" t="s">
        <v>2635</v>
      </c>
      <c r="S8482">
        <v>37</v>
      </c>
      <c r="T8482" s="43" t="str">
        <f t="shared" si="365"/>
        <v>2021.039M.R.Xinmoviridae_11ngen_8nsp.zip</v>
      </c>
      <c r="U8482" s="43" t="str">
        <f>HYPERLINK("https://ictv.global/taxonomy/taxondetails?taxnode_id=202201812","ictv.global=202201812")</f>
        <v>ictv.global=202201812</v>
      </c>
    </row>
    <row r="8483" spans="1:21">
      <c r="A8483">
        <v>8482</v>
      </c>
      <c r="B8483" s="29" t="s">
        <v>3223</v>
      </c>
      <c r="C8483" s="29"/>
      <c r="D8483" s="29" t="s">
        <v>4156</v>
      </c>
      <c r="E8483" s="29"/>
      <c r="F8483" s="29" t="s">
        <v>2998</v>
      </c>
      <c r="G8483" s="29" t="s">
        <v>2999</v>
      </c>
      <c r="H8483" s="29" t="s">
        <v>3006</v>
      </c>
      <c r="I8483" s="29"/>
      <c r="J8483" s="29" t="s">
        <v>757</v>
      </c>
      <c r="K8483" s="29"/>
      <c r="L8483" s="29" t="s">
        <v>3015</v>
      </c>
      <c r="M8483" s="29"/>
      <c r="N8483" s="29" t="s">
        <v>13354</v>
      </c>
      <c r="O8483" s="29"/>
      <c r="P8483" s="29" t="s">
        <v>13355</v>
      </c>
      <c r="Q8483" t="s">
        <v>2039</v>
      </c>
      <c r="R8483" t="s">
        <v>2632</v>
      </c>
      <c r="S8483">
        <v>37</v>
      </c>
      <c r="T8483" s="43" t="str">
        <f t="shared" si="365"/>
        <v>2021.039M.R.Xinmoviridae_11ngen_8nsp.zip</v>
      </c>
      <c r="U8483" s="43" t="str">
        <f>HYPERLINK("https://ictv.global/taxonomy/taxondetails?taxnode_id=202212935","ictv.global=202212935")</f>
        <v>ictv.global=202212935</v>
      </c>
    </row>
    <row r="8484" spans="1:21">
      <c r="A8484">
        <v>8483</v>
      </c>
      <c r="B8484" s="29" t="s">
        <v>3223</v>
      </c>
      <c r="C8484" s="29"/>
      <c r="D8484" s="29" t="s">
        <v>4156</v>
      </c>
      <c r="E8484" s="29"/>
      <c r="F8484" s="29" t="s">
        <v>2998</v>
      </c>
      <c r="G8484" s="29" t="s">
        <v>2999</v>
      </c>
      <c r="H8484" s="29" t="s">
        <v>3006</v>
      </c>
      <c r="I8484" s="29"/>
      <c r="J8484" s="29" t="s">
        <v>757</v>
      </c>
      <c r="K8484" s="29"/>
      <c r="L8484" s="29" t="s">
        <v>3015</v>
      </c>
      <c r="M8484" s="29"/>
      <c r="N8484" s="29" t="s">
        <v>13356</v>
      </c>
      <c r="O8484" s="29"/>
      <c r="P8484" s="29" t="s">
        <v>13357</v>
      </c>
      <c r="Q8484" t="s">
        <v>2039</v>
      </c>
      <c r="R8484" t="s">
        <v>2633</v>
      </c>
      <c r="S8484">
        <v>37</v>
      </c>
      <c r="T8484" s="43" t="str">
        <f t="shared" si="365"/>
        <v>2021.039M.R.Xinmoviridae_11ngen_8nsp.zip</v>
      </c>
      <c r="U8484" s="43" t="str">
        <f>HYPERLINK("https://ictv.global/taxonomy/taxondetails?taxnode_id=202206261","ictv.global=202206261")</f>
        <v>ictv.global=202206261</v>
      </c>
    </row>
    <row r="8485" spans="1:21">
      <c r="A8485">
        <v>8484</v>
      </c>
      <c r="B8485" s="29" t="s">
        <v>3223</v>
      </c>
      <c r="C8485" s="29"/>
      <c r="D8485" s="29" t="s">
        <v>4156</v>
      </c>
      <c r="E8485" s="29"/>
      <c r="F8485" s="29" t="s">
        <v>2998</v>
      </c>
      <c r="G8485" s="29" t="s">
        <v>2999</v>
      </c>
      <c r="H8485" s="29" t="s">
        <v>3006</v>
      </c>
      <c r="I8485" s="29"/>
      <c r="J8485" s="29" t="s">
        <v>757</v>
      </c>
      <c r="K8485" s="29"/>
      <c r="L8485" s="29" t="s">
        <v>3015</v>
      </c>
      <c r="M8485" s="29"/>
      <c r="N8485" s="29" t="s">
        <v>13358</v>
      </c>
      <c r="O8485" s="29"/>
      <c r="P8485" s="29" t="s">
        <v>13359</v>
      </c>
      <c r="Q8485" t="s">
        <v>2039</v>
      </c>
      <c r="R8485" t="s">
        <v>2633</v>
      </c>
      <c r="S8485">
        <v>37</v>
      </c>
      <c r="T8485" s="43" t="str">
        <f t="shared" si="365"/>
        <v>2021.039M.R.Xinmoviridae_11ngen_8nsp.zip</v>
      </c>
      <c r="U8485" s="43" t="str">
        <f>HYPERLINK("https://ictv.global/taxonomy/taxondetails?taxnode_id=202206263","ictv.global=202206263")</f>
        <v>ictv.global=202206263</v>
      </c>
    </row>
    <row r="8486" spans="1:21">
      <c r="A8486">
        <v>8485</v>
      </c>
      <c r="B8486" s="29" t="s">
        <v>3223</v>
      </c>
      <c r="C8486" s="29"/>
      <c r="D8486" s="29" t="s">
        <v>4156</v>
      </c>
      <c r="E8486" s="29"/>
      <c r="F8486" s="29" t="s">
        <v>2998</v>
      </c>
      <c r="G8486" s="29" t="s">
        <v>2999</v>
      </c>
      <c r="H8486" s="29" t="s">
        <v>3006</v>
      </c>
      <c r="I8486" s="29"/>
      <c r="J8486" s="29" t="s">
        <v>757</v>
      </c>
      <c r="K8486" s="29"/>
      <c r="L8486" s="29" t="s">
        <v>3015</v>
      </c>
      <c r="M8486" s="29"/>
      <c r="N8486" s="29" t="s">
        <v>13360</v>
      </c>
      <c r="O8486" s="29"/>
      <c r="P8486" s="29" t="s">
        <v>13361</v>
      </c>
      <c r="Q8486" t="s">
        <v>2039</v>
      </c>
      <c r="R8486" t="s">
        <v>2633</v>
      </c>
      <c r="S8486">
        <v>37</v>
      </c>
      <c r="T8486" s="43" t="str">
        <f t="shared" si="365"/>
        <v>2021.039M.R.Xinmoviridae_11ngen_8nsp.zip</v>
      </c>
      <c r="U8486" s="43" t="str">
        <f>HYPERLINK("https://ictv.global/taxonomy/taxondetails?taxnode_id=202206262","ictv.global=202206262")</f>
        <v>ictv.global=202206262</v>
      </c>
    </row>
    <row r="8487" spans="1:21">
      <c r="A8487">
        <v>8486</v>
      </c>
      <c r="B8487" s="29" t="s">
        <v>3223</v>
      </c>
      <c r="C8487" s="29"/>
      <c r="D8487" s="29" t="s">
        <v>4156</v>
      </c>
      <c r="E8487" s="29"/>
      <c r="F8487" s="29" t="s">
        <v>2998</v>
      </c>
      <c r="G8487" s="29" t="s">
        <v>2999</v>
      </c>
      <c r="H8487" s="29" t="s">
        <v>3006</v>
      </c>
      <c r="I8487" s="29"/>
      <c r="J8487" s="29" t="s">
        <v>757</v>
      </c>
      <c r="K8487" s="29"/>
      <c r="L8487" s="29" t="s">
        <v>3015</v>
      </c>
      <c r="M8487" s="29"/>
      <c r="N8487" s="29" t="s">
        <v>13360</v>
      </c>
      <c r="O8487" s="29"/>
      <c r="P8487" s="29" t="s">
        <v>13362</v>
      </c>
      <c r="Q8487" t="s">
        <v>2039</v>
      </c>
      <c r="R8487" t="s">
        <v>2632</v>
      </c>
      <c r="S8487">
        <v>37</v>
      </c>
      <c r="T8487" s="43" t="str">
        <f t="shared" si="365"/>
        <v>2021.039M.R.Xinmoviridae_11ngen_8nsp.zip</v>
      </c>
      <c r="U8487" s="43" t="str">
        <f>HYPERLINK("https://ictv.global/taxonomy/taxondetails?taxnode_id=202212939","ictv.global=202212939")</f>
        <v>ictv.global=202212939</v>
      </c>
    </row>
    <row r="8488" spans="1:21">
      <c r="A8488">
        <v>8487</v>
      </c>
      <c r="B8488" s="29" t="s">
        <v>3223</v>
      </c>
      <c r="C8488" s="29"/>
      <c r="D8488" s="29" t="s">
        <v>4156</v>
      </c>
      <c r="E8488" s="29"/>
      <c r="F8488" s="29" t="s">
        <v>2998</v>
      </c>
      <c r="G8488" s="29" t="s">
        <v>2999</v>
      </c>
      <c r="H8488" s="29" t="s">
        <v>3006</v>
      </c>
      <c r="I8488" s="29"/>
      <c r="J8488" s="29" t="s">
        <v>757</v>
      </c>
      <c r="K8488" s="29"/>
      <c r="L8488" s="29" t="s">
        <v>3015</v>
      </c>
      <c r="M8488" s="29"/>
      <c r="N8488" s="29" t="s">
        <v>13363</v>
      </c>
      <c r="O8488" s="29"/>
      <c r="P8488" s="29" t="s">
        <v>13364</v>
      </c>
      <c r="Q8488" t="s">
        <v>2039</v>
      </c>
      <c r="R8488" t="s">
        <v>2632</v>
      </c>
      <c r="S8488">
        <v>37</v>
      </c>
      <c r="T8488" s="43" t="str">
        <f t="shared" si="365"/>
        <v>2021.039M.R.Xinmoviridae_11ngen_8nsp.zip</v>
      </c>
      <c r="U8488" s="43" t="str">
        <f>HYPERLINK("https://ictv.global/taxonomy/taxondetails?taxnode_id=202212941","ictv.global=202212941")</f>
        <v>ictv.global=202212941</v>
      </c>
    </row>
    <row r="8489" spans="1:21">
      <c r="A8489">
        <v>8488</v>
      </c>
      <c r="B8489" s="29" t="s">
        <v>3223</v>
      </c>
      <c r="C8489" s="29"/>
      <c r="D8489" s="29" t="s">
        <v>4156</v>
      </c>
      <c r="E8489" s="29"/>
      <c r="F8489" s="29" t="s">
        <v>2998</v>
      </c>
      <c r="G8489" s="29" t="s">
        <v>2999</v>
      </c>
      <c r="H8489" s="29" t="s">
        <v>3006</v>
      </c>
      <c r="I8489" s="29"/>
      <c r="J8489" s="29" t="s">
        <v>757</v>
      </c>
      <c r="K8489" s="29"/>
      <c r="L8489" s="29" t="s">
        <v>3015</v>
      </c>
      <c r="M8489" s="29"/>
      <c r="N8489" s="29" t="s">
        <v>13365</v>
      </c>
      <c r="O8489" s="29"/>
      <c r="P8489" s="29" t="s">
        <v>13366</v>
      </c>
      <c r="Q8489" t="s">
        <v>2039</v>
      </c>
      <c r="R8489" t="s">
        <v>2633</v>
      </c>
      <c r="S8489">
        <v>37</v>
      </c>
      <c r="T8489" s="43" t="str">
        <f t="shared" si="365"/>
        <v>2021.039M.R.Xinmoviridae_11ngen_8nsp.zip</v>
      </c>
      <c r="U8489" s="43" t="str">
        <f>HYPERLINK("https://ictv.global/taxonomy/taxondetails?taxnode_id=202206260","ictv.global=202206260")</f>
        <v>ictv.global=202206260</v>
      </c>
    </row>
    <row r="8490" spans="1:21">
      <c r="A8490">
        <v>8489</v>
      </c>
      <c r="B8490" s="29" t="s">
        <v>3223</v>
      </c>
      <c r="C8490" s="29"/>
      <c r="D8490" s="29" t="s">
        <v>4156</v>
      </c>
      <c r="E8490" s="29"/>
      <c r="F8490" s="29" t="s">
        <v>2998</v>
      </c>
      <c r="G8490" s="29" t="s">
        <v>2999</v>
      </c>
      <c r="H8490" s="29" t="s">
        <v>3006</v>
      </c>
      <c r="I8490" s="29"/>
      <c r="J8490" s="29" t="s">
        <v>757</v>
      </c>
      <c r="K8490" s="29"/>
      <c r="L8490" s="29" t="s">
        <v>3015</v>
      </c>
      <c r="M8490" s="29"/>
      <c r="N8490" s="29" t="s">
        <v>13367</v>
      </c>
      <c r="O8490" s="29"/>
      <c r="P8490" s="29" t="s">
        <v>13368</v>
      </c>
      <c r="Q8490" t="s">
        <v>2039</v>
      </c>
      <c r="R8490" t="s">
        <v>2632</v>
      </c>
      <c r="S8490">
        <v>37</v>
      </c>
      <c r="T8490" s="43" t="str">
        <f t="shared" si="365"/>
        <v>2021.039M.R.Xinmoviridae_11ngen_8nsp.zip</v>
      </c>
      <c r="U8490" s="43" t="str">
        <f>HYPERLINK("https://ictv.global/taxonomy/taxondetails?taxnode_id=202212944","ictv.global=202212944")</f>
        <v>ictv.global=202212944</v>
      </c>
    </row>
    <row r="8491" spans="1:21">
      <c r="A8491">
        <v>8490</v>
      </c>
      <c r="B8491" s="29" t="s">
        <v>3223</v>
      </c>
      <c r="C8491" s="29"/>
      <c r="D8491" s="29" t="s">
        <v>4156</v>
      </c>
      <c r="E8491" s="29"/>
      <c r="F8491" s="29" t="s">
        <v>2998</v>
      </c>
      <c r="G8491" s="29" t="s">
        <v>2999</v>
      </c>
      <c r="H8491" s="29" t="s">
        <v>3006</v>
      </c>
      <c r="I8491" s="29"/>
      <c r="J8491" s="29" t="s">
        <v>757</v>
      </c>
      <c r="K8491" s="29"/>
      <c r="L8491" s="29" t="s">
        <v>3015</v>
      </c>
      <c r="M8491" s="29"/>
      <c r="N8491" s="29" t="s">
        <v>13367</v>
      </c>
      <c r="O8491" s="29"/>
      <c r="P8491" s="29" t="s">
        <v>13369</v>
      </c>
      <c r="Q8491" t="s">
        <v>2039</v>
      </c>
      <c r="R8491" t="s">
        <v>2632</v>
      </c>
      <c r="S8491">
        <v>37</v>
      </c>
      <c r="T8491" s="43" t="str">
        <f t="shared" si="365"/>
        <v>2021.039M.R.Xinmoviridae_11ngen_8nsp.zip</v>
      </c>
      <c r="U8491" s="43" t="str">
        <f>HYPERLINK("https://ictv.global/taxonomy/taxondetails?taxnode_id=202212945","ictv.global=202212945")</f>
        <v>ictv.global=202212945</v>
      </c>
    </row>
    <row r="8492" spans="1:21">
      <c r="A8492">
        <v>8491</v>
      </c>
      <c r="B8492" s="29" t="s">
        <v>3223</v>
      </c>
      <c r="C8492" s="29"/>
      <c r="D8492" s="29" t="s">
        <v>4156</v>
      </c>
      <c r="E8492" s="29"/>
      <c r="F8492" s="29" t="s">
        <v>2998</v>
      </c>
      <c r="G8492" s="29" t="s">
        <v>2999</v>
      </c>
      <c r="H8492" s="29" t="s">
        <v>3006</v>
      </c>
      <c r="I8492" s="29"/>
      <c r="J8492" s="29" t="s">
        <v>757</v>
      </c>
      <c r="K8492" s="29"/>
      <c r="L8492" s="29" t="s">
        <v>3015</v>
      </c>
      <c r="M8492" s="29"/>
      <c r="N8492" s="29" t="s">
        <v>13370</v>
      </c>
      <c r="O8492" s="29"/>
      <c r="P8492" s="29" t="s">
        <v>13371</v>
      </c>
      <c r="Q8492" t="s">
        <v>2039</v>
      </c>
      <c r="R8492" t="s">
        <v>2632</v>
      </c>
      <c r="S8492">
        <v>37</v>
      </c>
      <c r="T8492" s="43" t="str">
        <f t="shared" si="365"/>
        <v>2021.039M.R.Xinmoviridae_11ngen_8nsp.zip</v>
      </c>
      <c r="U8492" s="43" t="str">
        <f>HYPERLINK("https://ictv.global/taxonomy/taxondetails?taxnode_id=202212947","ictv.global=202212947")</f>
        <v>ictv.global=202212947</v>
      </c>
    </row>
    <row r="8493" spans="1:21">
      <c r="A8493">
        <v>8492</v>
      </c>
      <c r="B8493" s="29" t="s">
        <v>3223</v>
      </c>
      <c r="C8493" s="29"/>
      <c r="D8493" s="29" t="s">
        <v>4156</v>
      </c>
      <c r="E8493" s="29"/>
      <c r="F8493" s="29" t="s">
        <v>2998</v>
      </c>
      <c r="G8493" s="29" t="s">
        <v>2999</v>
      </c>
      <c r="H8493" s="29" t="s">
        <v>3006</v>
      </c>
      <c r="I8493" s="29"/>
      <c r="J8493" s="29" t="s">
        <v>757</v>
      </c>
      <c r="K8493" s="29"/>
      <c r="L8493" s="29" t="s">
        <v>3015</v>
      </c>
      <c r="M8493" s="29"/>
      <c r="N8493" s="29" t="s">
        <v>13372</v>
      </c>
      <c r="O8493" s="29"/>
      <c r="P8493" s="29" t="s">
        <v>13373</v>
      </c>
      <c r="Q8493" t="s">
        <v>2039</v>
      </c>
      <c r="R8493" t="s">
        <v>2632</v>
      </c>
      <c r="S8493">
        <v>37</v>
      </c>
      <c r="T8493" s="43" t="str">
        <f t="shared" si="365"/>
        <v>2021.039M.R.Xinmoviridae_11ngen_8nsp.zip</v>
      </c>
      <c r="U8493" s="43" t="str">
        <f>HYPERLINK("https://ictv.global/taxonomy/taxondetails?taxnode_id=202212949","ictv.global=202212949")</f>
        <v>ictv.global=202212949</v>
      </c>
    </row>
    <row r="8494" spans="1:21">
      <c r="A8494">
        <v>8493</v>
      </c>
      <c r="B8494" s="29" t="s">
        <v>3223</v>
      </c>
      <c r="C8494" s="29"/>
      <c r="D8494" s="29" t="s">
        <v>4156</v>
      </c>
      <c r="E8494" s="29"/>
      <c r="F8494" s="29" t="s">
        <v>2998</v>
      </c>
      <c r="G8494" s="29" t="s">
        <v>2999</v>
      </c>
      <c r="H8494" s="29" t="s">
        <v>3006</v>
      </c>
      <c r="I8494" s="29"/>
      <c r="J8494" s="29" t="s">
        <v>757</v>
      </c>
      <c r="K8494" s="29"/>
      <c r="L8494" s="29" t="s">
        <v>3015</v>
      </c>
      <c r="M8494" s="29"/>
      <c r="N8494" s="29" t="s">
        <v>13374</v>
      </c>
      <c r="O8494" s="29"/>
      <c r="P8494" s="29" t="s">
        <v>13375</v>
      </c>
      <c r="Q8494" t="s">
        <v>2039</v>
      </c>
      <c r="R8494" t="s">
        <v>2632</v>
      </c>
      <c r="S8494">
        <v>37</v>
      </c>
      <c r="T8494" s="43" t="str">
        <f t="shared" si="365"/>
        <v>2021.039M.R.Xinmoviridae_11ngen_8nsp.zip</v>
      </c>
      <c r="U8494" s="43" t="str">
        <f>HYPERLINK("https://ictv.global/taxonomy/taxondetails?taxnode_id=202212951","ictv.global=202212951")</f>
        <v>ictv.global=202212951</v>
      </c>
    </row>
    <row r="8495" spans="1:21">
      <c r="A8495">
        <v>8494</v>
      </c>
      <c r="B8495" s="29" t="s">
        <v>3223</v>
      </c>
      <c r="C8495" s="29"/>
      <c r="D8495" s="29" t="s">
        <v>4156</v>
      </c>
      <c r="E8495" s="29"/>
      <c r="F8495" s="29" t="s">
        <v>2998</v>
      </c>
      <c r="G8495" s="29" t="s">
        <v>2999</v>
      </c>
      <c r="H8495" s="29" t="s">
        <v>3016</v>
      </c>
      <c r="I8495" s="29"/>
      <c r="J8495" s="29" t="s">
        <v>3017</v>
      </c>
      <c r="K8495" s="29"/>
      <c r="L8495" s="29" t="s">
        <v>3018</v>
      </c>
      <c r="M8495" s="29"/>
      <c r="N8495" s="29" t="s">
        <v>3019</v>
      </c>
      <c r="O8495" s="29"/>
      <c r="P8495" s="29" t="s">
        <v>13376</v>
      </c>
      <c r="Q8495" t="s">
        <v>2039</v>
      </c>
      <c r="R8495" t="s">
        <v>2635</v>
      </c>
      <c r="S8495">
        <v>37</v>
      </c>
      <c r="T8495" s="43" t="str">
        <f>HYPERLINK("https://ictv.global/ictv/proposals/2021.018M.R.Negarnaviricota_sprename.zip","2021.018M.R.Negarnaviricota_sprename.zip")</f>
        <v>2021.018M.R.Negarnaviricota_sprename.zip</v>
      </c>
      <c r="U8495" s="43" t="str">
        <f>HYPERLINK("https://ictv.global/taxonomy/taxondetails?taxnode_id=202206075","ictv.global=202206075")</f>
        <v>ictv.global=202206075</v>
      </c>
    </row>
    <row r="8496" spans="1:21">
      <c r="A8496">
        <v>8495</v>
      </c>
      <c r="B8496" s="29" t="s">
        <v>3223</v>
      </c>
      <c r="C8496" s="29"/>
      <c r="D8496" s="29" t="s">
        <v>4156</v>
      </c>
      <c r="E8496" s="29"/>
      <c r="F8496" s="29" t="s">
        <v>2998</v>
      </c>
      <c r="G8496" s="29" t="s">
        <v>2999</v>
      </c>
      <c r="H8496" s="29" t="s">
        <v>3016</v>
      </c>
      <c r="I8496" s="29"/>
      <c r="J8496" s="29" t="s">
        <v>3017</v>
      </c>
      <c r="K8496" s="29"/>
      <c r="L8496" s="29" t="s">
        <v>3018</v>
      </c>
      <c r="M8496" s="29"/>
      <c r="N8496" s="29" t="s">
        <v>3019</v>
      </c>
      <c r="O8496" s="29"/>
      <c r="P8496" s="29" t="s">
        <v>13377</v>
      </c>
      <c r="Q8496" t="s">
        <v>2039</v>
      </c>
      <c r="R8496" t="s">
        <v>2635</v>
      </c>
      <c r="S8496">
        <v>37</v>
      </c>
      <c r="T8496" s="43" t="str">
        <f>HYPERLINK("https://ictv.global/ictv/proposals/2021.018M.R.Negarnaviricota_sprename.zip","2021.018M.R.Negarnaviricota_sprename.zip")</f>
        <v>2021.018M.R.Negarnaviricota_sprename.zip</v>
      </c>
      <c r="U8496" s="43" t="str">
        <f>HYPERLINK("https://ictv.global/taxonomy/taxondetails?taxnode_id=202206076","ictv.global=202206076")</f>
        <v>ictv.global=202206076</v>
      </c>
    </row>
    <row r="8497" spans="1:21">
      <c r="A8497">
        <v>8496</v>
      </c>
      <c r="B8497" s="29" t="s">
        <v>3223</v>
      </c>
      <c r="C8497" s="29"/>
      <c r="D8497" s="29" t="s">
        <v>4156</v>
      </c>
      <c r="E8497" s="29"/>
      <c r="F8497" s="29" t="s">
        <v>2998</v>
      </c>
      <c r="G8497" s="29" t="s">
        <v>3020</v>
      </c>
      <c r="H8497" s="29" t="s">
        <v>3021</v>
      </c>
      <c r="I8497" s="29"/>
      <c r="J8497" s="29" t="s">
        <v>2374</v>
      </c>
      <c r="K8497" s="29"/>
      <c r="L8497" s="29" t="s">
        <v>798</v>
      </c>
      <c r="M8497" s="29"/>
      <c r="N8497" s="29" t="s">
        <v>3242</v>
      </c>
      <c r="O8497" s="29"/>
      <c r="P8497" s="29" t="s">
        <v>13378</v>
      </c>
      <c r="Q8497" t="s">
        <v>2190</v>
      </c>
      <c r="R8497" t="s">
        <v>2635</v>
      </c>
      <c r="S8497">
        <v>38</v>
      </c>
      <c r="T8497" s="43" t="str">
        <f t="shared" ref="T8497:T8503" si="366">HYPERLINK("https://ictv.global/ictv/proposals/2021.008M.Arenaviridae_rename.zip","2021.008M.Arenaviridae_rename.zip")</f>
        <v>2021.008M.Arenaviridae_rename.zip</v>
      </c>
      <c r="U8497" s="43" t="str">
        <f>HYPERLINK("https://ictv.global/taxonomy/taxondetails?taxnode_id=202206321","ictv.global=202206321")</f>
        <v>ictv.global=202206321</v>
      </c>
    </row>
    <row r="8498" spans="1:21">
      <c r="A8498">
        <v>8497</v>
      </c>
      <c r="B8498" s="29" t="s">
        <v>3223</v>
      </c>
      <c r="C8498" s="29"/>
      <c r="D8498" s="29" t="s">
        <v>4156</v>
      </c>
      <c r="E8498" s="29"/>
      <c r="F8498" s="29" t="s">
        <v>2998</v>
      </c>
      <c r="G8498" s="29" t="s">
        <v>3020</v>
      </c>
      <c r="H8498" s="29" t="s">
        <v>3021</v>
      </c>
      <c r="I8498" s="29"/>
      <c r="J8498" s="29" t="s">
        <v>2374</v>
      </c>
      <c r="K8498" s="29"/>
      <c r="L8498" s="29" t="s">
        <v>798</v>
      </c>
      <c r="M8498" s="29"/>
      <c r="N8498" s="29" t="s">
        <v>3242</v>
      </c>
      <c r="O8498" s="29"/>
      <c r="P8498" s="29" t="s">
        <v>13379</v>
      </c>
      <c r="Q8498" t="s">
        <v>2039</v>
      </c>
      <c r="R8498" t="s">
        <v>2635</v>
      </c>
      <c r="S8498">
        <v>38</v>
      </c>
      <c r="T8498" s="43" t="str">
        <f t="shared" si="366"/>
        <v>2021.008M.Arenaviridae_rename.zip</v>
      </c>
      <c r="U8498" s="43" t="str">
        <f>HYPERLINK("https://ictv.global/taxonomy/taxondetails?taxnode_id=202209577","ictv.global=202209577")</f>
        <v>ictv.global=202209577</v>
      </c>
    </row>
    <row r="8499" spans="1:21">
      <c r="A8499">
        <v>8498</v>
      </c>
      <c r="B8499" s="29" t="s">
        <v>3223</v>
      </c>
      <c r="C8499" s="29"/>
      <c r="D8499" s="29" t="s">
        <v>4156</v>
      </c>
      <c r="E8499" s="29"/>
      <c r="F8499" s="29" t="s">
        <v>2998</v>
      </c>
      <c r="G8499" s="29" t="s">
        <v>3020</v>
      </c>
      <c r="H8499" s="29" t="s">
        <v>3021</v>
      </c>
      <c r="I8499" s="29"/>
      <c r="J8499" s="29" t="s">
        <v>2374</v>
      </c>
      <c r="K8499" s="29"/>
      <c r="L8499" s="29" t="s">
        <v>798</v>
      </c>
      <c r="M8499" s="29"/>
      <c r="N8499" s="29" t="s">
        <v>3242</v>
      </c>
      <c r="O8499" s="29"/>
      <c r="P8499" s="29" t="s">
        <v>13380</v>
      </c>
      <c r="Q8499" t="s">
        <v>2190</v>
      </c>
      <c r="R8499" t="s">
        <v>2635</v>
      </c>
      <c r="S8499">
        <v>38</v>
      </c>
      <c r="T8499" s="43" t="str">
        <f t="shared" si="366"/>
        <v>2021.008M.Arenaviridae_rename.zip</v>
      </c>
      <c r="U8499" s="43" t="str">
        <f>HYPERLINK("https://ictv.global/taxonomy/taxondetails?taxnode_id=202206320","ictv.global=202206320")</f>
        <v>ictv.global=202206320</v>
      </c>
    </row>
    <row r="8500" spans="1:21">
      <c r="A8500">
        <v>8499</v>
      </c>
      <c r="B8500" s="29" t="s">
        <v>3223</v>
      </c>
      <c r="C8500" s="29"/>
      <c r="D8500" s="29" t="s">
        <v>4156</v>
      </c>
      <c r="E8500" s="29"/>
      <c r="F8500" s="29" t="s">
        <v>2998</v>
      </c>
      <c r="G8500" s="29" t="s">
        <v>3020</v>
      </c>
      <c r="H8500" s="29" t="s">
        <v>3021</v>
      </c>
      <c r="I8500" s="29"/>
      <c r="J8500" s="29" t="s">
        <v>2374</v>
      </c>
      <c r="K8500" s="29"/>
      <c r="L8500" s="29" t="s">
        <v>798</v>
      </c>
      <c r="M8500" s="29"/>
      <c r="N8500" s="29" t="s">
        <v>2829</v>
      </c>
      <c r="O8500" s="29"/>
      <c r="P8500" s="29" t="s">
        <v>13381</v>
      </c>
      <c r="Q8500" t="s">
        <v>2039</v>
      </c>
      <c r="R8500" t="s">
        <v>2635</v>
      </c>
      <c r="S8500">
        <v>38</v>
      </c>
      <c r="T8500" s="43" t="str">
        <f t="shared" si="366"/>
        <v>2021.008M.Arenaviridae_rename.zip</v>
      </c>
      <c r="U8500" s="43" t="str">
        <f>HYPERLINK("https://ictv.global/taxonomy/taxondetails?taxnode_id=202209599","ictv.global=202209599")</f>
        <v>ictv.global=202209599</v>
      </c>
    </row>
    <row r="8501" spans="1:21">
      <c r="A8501">
        <v>8500</v>
      </c>
      <c r="B8501" s="29" t="s">
        <v>3223</v>
      </c>
      <c r="C8501" s="29"/>
      <c r="D8501" s="29" t="s">
        <v>4156</v>
      </c>
      <c r="E8501" s="29"/>
      <c r="F8501" s="29" t="s">
        <v>2998</v>
      </c>
      <c r="G8501" s="29" t="s">
        <v>3020</v>
      </c>
      <c r="H8501" s="29" t="s">
        <v>3021</v>
      </c>
      <c r="I8501" s="29"/>
      <c r="J8501" s="29" t="s">
        <v>2374</v>
      </c>
      <c r="K8501" s="29"/>
      <c r="L8501" s="29" t="s">
        <v>798</v>
      </c>
      <c r="M8501" s="29"/>
      <c r="N8501" s="29" t="s">
        <v>2829</v>
      </c>
      <c r="O8501" s="29"/>
      <c r="P8501" s="29" t="s">
        <v>13382</v>
      </c>
      <c r="Q8501" t="s">
        <v>2190</v>
      </c>
      <c r="R8501" t="s">
        <v>2635</v>
      </c>
      <c r="S8501">
        <v>38</v>
      </c>
      <c r="T8501" s="43" t="str">
        <f t="shared" si="366"/>
        <v>2021.008M.Arenaviridae_rename.zip</v>
      </c>
      <c r="U8501" s="43" t="str">
        <f>HYPERLINK("https://ictv.global/taxonomy/taxondetails?taxnode_id=202205740","ictv.global=202205740")</f>
        <v>ictv.global=202205740</v>
      </c>
    </row>
    <row r="8502" spans="1:21">
      <c r="A8502">
        <v>8501</v>
      </c>
      <c r="B8502" s="29" t="s">
        <v>3223</v>
      </c>
      <c r="C8502" s="29"/>
      <c r="D8502" s="29" t="s">
        <v>4156</v>
      </c>
      <c r="E8502" s="29"/>
      <c r="F8502" s="29" t="s">
        <v>2998</v>
      </c>
      <c r="G8502" s="29" t="s">
        <v>3020</v>
      </c>
      <c r="H8502" s="29" t="s">
        <v>3021</v>
      </c>
      <c r="I8502" s="29"/>
      <c r="J8502" s="29" t="s">
        <v>2374</v>
      </c>
      <c r="K8502" s="29"/>
      <c r="L8502" s="29" t="s">
        <v>798</v>
      </c>
      <c r="M8502" s="29"/>
      <c r="N8502" s="29" t="s">
        <v>2829</v>
      </c>
      <c r="O8502" s="29"/>
      <c r="P8502" s="29" t="s">
        <v>13383</v>
      </c>
      <c r="Q8502" t="s">
        <v>2190</v>
      </c>
      <c r="R8502" t="s">
        <v>2635</v>
      </c>
      <c r="S8502">
        <v>38</v>
      </c>
      <c r="T8502" s="43" t="str">
        <f t="shared" si="366"/>
        <v>2021.008M.Arenaviridae_rename.zip</v>
      </c>
      <c r="U8502" s="43" t="str">
        <f>HYPERLINK("https://ictv.global/taxonomy/taxondetails?taxnode_id=202207277","ictv.global=202207277")</f>
        <v>ictv.global=202207277</v>
      </c>
    </row>
    <row r="8503" spans="1:21">
      <c r="A8503">
        <v>8502</v>
      </c>
      <c r="B8503" s="29" t="s">
        <v>3223</v>
      </c>
      <c r="C8503" s="29"/>
      <c r="D8503" s="29" t="s">
        <v>4156</v>
      </c>
      <c r="E8503" s="29"/>
      <c r="F8503" s="29" t="s">
        <v>2998</v>
      </c>
      <c r="G8503" s="29" t="s">
        <v>3020</v>
      </c>
      <c r="H8503" s="29" t="s">
        <v>3021</v>
      </c>
      <c r="I8503" s="29"/>
      <c r="J8503" s="29" t="s">
        <v>2374</v>
      </c>
      <c r="K8503" s="29"/>
      <c r="L8503" s="29" t="s">
        <v>798</v>
      </c>
      <c r="M8503" s="29"/>
      <c r="N8503" s="29" t="s">
        <v>2829</v>
      </c>
      <c r="O8503" s="29"/>
      <c r="P8503" s="29" t="s">
        <v>13384</v>
      </c>
      <c r="Q8503" t="s">
        <v>2039</v>
      </c>
      <c r="R8503" t="s">
        <v>2635</v>
      </c>
      <c r="S8503">
        <v>38</v>
      </c>
      <c r="T8503" s="43" t="str">
        <f t="shared" si="366"/>
        <v>2021.008M.Arenaviridae_rename.zip</v>
      </c>
      <c r="U8503" s="43" t="str">
        <f>HYPERLINK("https://ictv.global/taxonomy/taxondetails?taxnode_id=202209600","ictv.global=202209600")</f>
        <v>ictv.global=202209600</v>
      </c>
    </row>
    <row r="8504" spans="1:21">
      <c r="A8504">
        <v>8503</v>
      </c>
      <c r="B8504" s="29" t="s">
        <v>3223</v>
      </c>
      <c r="C8504" s="29"/>
      <c r="D8504" s="29" t="s">
        <v>4156</v>
      </c>
      <c r="E8504" s="29"/>
      <c r="F8504" s="29" t="s">
        <v>2998</v>
      </c>
      <c r="G8504" s="29" t="s">
        <v>3020</v>
      </c>
      <c r="H8504" s="29" t="s">
        <v>3021</v>
      </c>
      <c r="I8504" s="29"/>
      <c r="J8504" s="29" t="s">
        <v>2374</v>
      </c>
      <c r="K8504" s="29"/>
      <c r="L8504" s="29" t="s">
        <v>798</v>
      </c>
      <c r="M8504" s="29"/>
      <c r="N8504" s="29" t="s">
        <v>2829</v>
      </c>
      <c r="O8504" s="29"/>
      <c r="P8504" s="29" t="s">
        <v>13385</v>
      </c>
      <c r="Q8504" t="s">
        <v>2190</v>
      </c>
      <c r="R8504" t="s">
        <v>2632</v>
      </c>
      <c r="S8504">
        <v>38</v>
      </c>
      <c r="T8504" s="43" t="str">
        <f>HYPERLINK("https://ictv.global/ictv/proposals/2022.011M.Hartmanivirus_2nsp.zip","2022.011M.Hartmanivirus_2nsp.zip")</f>
        <v>2022.011M.Hartmanivirus_2nsp.zip</v>
      </c>
      <c r="U8504" s="43" t="str">
        <f>HYPERLINK("https://ictv.global/taxonomy/taxondetails?taxnode_id=202214182","ictv.global=202214182")</f>
        <v>ictv.global=202214182</v>
      </c>
    </row>
    <row r="8505" spans="1:21">
      <c r="A8505">
        <v>8504</v>
      </c>
      <c r="B8505" s="29" t="s">
        <v>3223</v>
      </c>
      <c r="C8505" s="29"/>
      <c r="D8505" s="29" t="s">
        <v>4156</v>
      </c>
      <c r="E8505" s="29"/>
      <c r="F8505" s="29" t="s">
        <v>2998</v>
      </c>
      <c r="G8505" s="29" t="s">
        <v>3020</v>
      </c>
      <c r="H8505" s="29" t="s">
        <v>3021</v>
      </c>
      <c r="I8505" s="29"/>
      <c r="J8505" s="29" t="s">
        <v>2374</v>
      </c>
      <c r="K8505" s="29"/>
      <c r="L8505" s="29" t="s">
        <v>798</v>
      </c>
      <c r="M8505" s="29"/>
      <c r="N8505" s="29" t="s">
        <v>2829</v>
      </c>
      <c r="O8505" s="29"/>
      <c r="P8505" s="29" t="s">
        <v>13386</v>
      </c>
      <c r="Q8505" t="s">
        <v>2190</v>
      </c>
      <c r="R8505" t="s">
        <v>2635</v>
      </c>
      <c r="S8505">
        <v>38</v>
      </c>
      <c r="T8505" s="43" t="str">
        <f>HYPERLINK("https://ictv.global/ictv/proposals/2021.008M.Arenaviridae_rename.zip","2021.008M.Arenaviridae_rename.zip")</f>
        <v>2021.008M.Arenaviridae_rename.zip</v>
      </c>
      <c r="U8505" s="43" t="str">
        <f>HYPERLINK("https://ictv.global/taxonomy/taxondetails?taxnode_id=202207278","ictv.global=202207278")</f>
        <v>ictv.global=202207278</v>
      </c>
    </row>
    <row r="8506" spans="1:21">
      <c r="A8506">
        <v>8505</v>
      </c>
      <c r="B8506" s="29" t="s">
        <v>3223</v>
      </c>
      <c r="C8506" s="29"/>
      <c r="D8506" s="29" t="s">
        <v>4156</v>
      </c>
      <c r="E8506" s="29"/>
      <c r="F8506" s="29" t="s">
        <v>2998</v>
      </c>
      <c r="G8506" s="29" t="s">
        <v>3020</v>
      </c>
      <c r="H8506" s="29" t="s">
        <v>3021</v>
      </c>
      <c r="I8506" s="29"/>
      <c r="J8506" s="29" t="s">
        <v>2374</v>
      </c>
      <c r="K8506" s="29"/>
      <c r="L8506" s="29" t="s">
        <v>798</v>
      </c>
      <c r="M8506" s="29"/>
      <c r="N8506" s="29" t="s">
        <v>2829</v>
      </c>
      <c r="O8506" s="29"/>
      <c r="P8506" s="29" t="s">
        <v>13387</v>
      </c>
      <c r="Q8506" t="s">
        <v>2190</v>
      </c>
      <c r="R8506" t="s">
        <v>2635</v>
      </c>
      <c r="S8506">
        <v>38</v>
      </c>
      <c r="T8506" s="43" t="str">
        <f>HYPERLINK("https://ictv.global/ictv/proposals/2021.008M.Arenaviridae_rename.zip","2021.008M.Arenaviridae_rename.zip")</f>
        <v>2021.008M.Arenaviridae_rename.zip</v>
      </c>
      <c r="U8506" s="43" t="str">
        <f>HYPERLINK("https://ictv.global/taxonomy/taxondetails?taxnode_id=202207279","ictv.global=202207279")</f>
        <v>ictv.global=202207279</v>
      </c>
    </row>
    <row r="8507" spans="1:21">
      <c r="A8507">
        <v>8506</v>
      </c>
      <c r="B8507" s="29" t="s">
        <v>3223</v>
      </c>
      <c r="C8507" s="29"/>
      <c r="D8507" s="29" t="s">
        <v>4156</v>
      </c>
      <c r="E8507" s="29"/>
      <c r="F8507" s="29" t="s">
        <v>2998</v>
      </c>
      <c r="G8507" s="29" t="s">
        <v>3020</v>
      </c>
      <c r="H8507" s="29" t="s">
        <v>3021</v>
      </c>
      <c r="I8507" s="29"/>
      <c r="J8507" s="29" t="s">
        <v>2374</v>
      </c>
      <c r="K8507" s="29"/>
      <c r="L8507" s="29" t="s">
        <v>798</v>
      </c>
      <c r="M8507" s="29"/>
      <c r="N8507" s="29" t="s">
        <v>2829</v>
      </c>
      <c r="O8507" s="29"/>
      <c r="P8507" s="29" t="s">
        <v>13388</v>
      </c>
      <c r="Q8507" t="s">
        <v>2190</v>
      </c>
      <c r="R8507" t="s">
        <v>2632</v>
      </c>
      <c r="S8507">
        <v>38</v>
      </c>
      <c r="T8507" s="43" t="str">
        <f>HYPERLINK("https://ictv.global/ictv/proposals/2022.011M.Hartmanivirus_2nsp.zip","2022.011M.Hartmanivirus_2nsp.zip")</f>
        <v>2022.011M.Hartmanivirus_2nsp.zip</v>
      </c>
      <c r="U8507" s="43" t="str">
        <f>HYPERLINK("https://ictv.global/taxonomy/taxondetails?taxnode_id=202214181","ictv.global=202214181")</f>
        <v>ictv.global=202214181</v>
      </c>
    </row>
    <row r="8508" spans="1:21">
      <c r="A8508">
        <v>8507</v>
      </c>
      <c r="B8508" s="29" t="s">
        <v>3223</v>
      </c>
      <c r="C8508" s="29"/>
      <c r="D8508" s="29" t="s">
        <v>4156</v>
      </c>
      <c r="E8508" s="29"/>
      <c r="F8508" s="29" t="s">
        <v>2998</v>
      </c>
      <c r="G8508" s="29" t="s">
        <v>3020</v>
      </c>
      <c r="H8508" s="29" t="s">
        <v>3021</v>
      </c>
      <c r="I8508" s="29"/>
      <c r="J8508" s="29" t="s">
        <v>2374</v>
      </c>
      <c r="K8508" s="29"/>
      <c r="L8508" s="29" t="s">
        <v>798</v>
      </c>
      <c r="M8508" s="29"/>
      <c r="N8508" s="29" t="s">
        <v>13389</v>
      </c>
      <c r="O8508" s="29"/>
      <c r="P8508" s="29" t="s">
        <v>13390</v>
      </c>
      <c r="Q8508" t="s">
        <v>2190</v>
      </c>
      <c r="R8508" t="s">
        <v>2632</v>
      </c>
      <c r="S8508">
        <v>38</v>
      </c>
      <c r="T8508" s="43" t="str">
        <f>HYPERLINK("https://ictv.global/ictv/proposals/2022.003M.Arenaviridae_1ngen_1nsp.zip","2022.003M.Arenaviridae_1ngen_1nsp.zip")</f>
        <v>2022.003M.Arenaviridae_1ngen_1nsp.zip</v>
      </c>
      <c r="U8508" s="43" t="str">
        <f>HYPERLINK("https://ictv.global/taxonomy/taxondetails?taxnode_id=202214161","ictv.global=202214161")</f>
        <v>ictv.global=202214161</v>
      </c>
    </row>
    <row r="8509" spans="1:21">
      <c r="A8509">
        <v>8508</v>
      </c>
      <c r="B8509" s="29" t="s">
        <v>3223</v>
      </c>
      <c r="C8509" s="29"/>
      <c r="D8509" s="29" t="s">
        <v>4156</v>
      </c>
      <c r="E8509" s="29"/>
      <c r="F8509" s="29" t="s">
        <v>2998</v>
      </c>
      <c r="G8509" s="29" t="s">
        <v>3020</v>
      </c>
      <c r="H8509" s="29" t="s">
        <v>3021</v>
      </c>
      <c r="I8509" s="29"/>
      <c r="J8509" s="29" t="s">
        <v>2374</v>
      </c>
      <c r="K8509" s="29"/>
      <c r="L8509" s="29" t="s">
        <v>798</v>
      </c>
      <c r="M8509" s="29"/>
      <c r="N8509" s="29" t="s">
        <v>1988</v>
      </c>
      <c r="O8509" s="29"/>
      <c r="P8509" s="29" t="s">
        <v>13391</v>
      </c>
      <c r="Q8509" t="s">
        <v>2190</v>
      </c>
      <c r="R8509" t="s">
        <v>2635</v>
      </c>
      <c r="S8509">
        <v>38</v>
      </c>
      <c r="T8509" s="43" t="str">
        <f>HYPERLINK("https://ictv.global/ictv/proposals/2021.008M.Arenaviridae_rename.zip","2021.008M.Arenaviridae_rename.zip")</f>
        <v>2021.008M.Arenaviridae_rename.zip</v>
      </c>
      <c r="U8509" s="43" t="str">
        <f>HYPERLINK("https://ictv.global/taxonomy/taxondetails?taxnode_id=202207461","ictv.global=202207461")</f>
        <v>ictv.global=202207461</v>
      </c>
    </row>
    <row r="8510" spans="1:21">
      <c r="A8510">
        <v>8509</v>
      </c>
      <c r="B8510" s="29" t="s">
        <v>3223</v>
      </c>
      <c r="C8510" s="29"/>
      <c r="D8510" s="29" t="s">
        <v>4156</v>
      </c>
      <c r="E8510" s="29"/>
      <c r="F8510" s="29" t="s">
        <v>2998</v>
      </c>
      <c r="G8510" s="29" t="s">
        <v>3020</v>
      </c>
      <c r="H8510" s="29" t="s">
        <v>3021</v>
      </c>
      <c r="I8510" s="29"/>
      <c r="J8510" s="29" t="s">
        <v>2374</v>
      </c>
      <c r="K8510" s="29"/>
      <c r="L8510" s="29" t="s">
        <v>798</v>
      </c>
      <c r="M8510" s="29"/>
      <c r="N8510" s="29" t="s">
        <v>1988</v>
      </c>
      <c r="O8510" s="29"/>
      <c r="P8510" s="29" t="s">
        <v>13392</v>
      </c>
      <c r="Q8510" t="s">
        <v>2190</v>
      </c>
      <c r="R8510" t="s">
        <v>2635</v>
      </c>
      <c r="S8510">
        <v>38</v>
      </c>
      <c r="T8510" s="43" t="str">
        <f>HYPERLINK("https://ictv.global/ictv/proposals/2021.008M.Arenaviridae_rename.zip","2021.008M.Arenaviridae_rename.zip")</f>
        <v>2021.008M.Arenaviridae_rename.zip</v>
      </c>
      <c r="U8510" s="43" t="str">
        <f>HYPERLINK("https://ictv.global/taxonomy/taxondetails?taxnode_id=202202570","ictv.global=202202570")</f>
        <v>ictv.global=202202570</v>
      </c>
    </row>
    <row r="8511" spans="1:21">
      <c r="A8511">
        <v>8510</v>
      </c>
      <c r="B8511" s="29" t="s">
        <v>3223</v>
      </c>
      <c r="C8511" s="29"/>
      <c r="D8511" s="29" t="s">
        <v>4156</v>
      </c>
      <c r="E8511" s="29"/>
      <c r="F8511" s="29" t="s">
        <v>2998</v>
      </c>
      <c r="G8511" s="29" t="s">
        <v>3020</v>
      </c>
      <c r="H8511" s="29" t="s">
        <v>3021</v>
      </c>
      <c r="I8511" s="29"/>
      <c r="J8511" s="29" t="s">
        <v>2374</v>
      </c>
      <c r="K8511" s="29"/>
      <c r="L8511" s="29" t="s">
        <v>798</v>
      </c>
      <c r="M8511" s="29"/>
      <c r="N8511" s="29" t="s">
        <v>1988</v>
      </c>
      <c r="O8511" s="29"/>
      <c r="P8511" s="29" t="s">
        <v>13393</v>
      </c>
      <c r="Q8511" t="s">
        <v>2190</v>
      </c>
      <c r="R8511" t="s">
        <v>2635</v>
      </c>
      <c r="S8511">
        <v>38</v>
      </c>
      <c r="T8511" s="43" t="str">
        <f>HYPERLINK("https://ictv.global/ictv/proposals/2021.008M.Arenaviridae_rename.zip","2021.008M.Arenaviridae_rename.zip")</f>
        <v>2021.008M.Arenaviridae_rename.zip</v>
      </c>
      <c r="U8511" s="43" t="str">
        <f>HYPERLINK("https://ictv.global/taxonomy/taxondetails?taxnode_id=202202571","ictv.global=202202571")</f>
        <v>ictv.global=202202571</v>
      </c>
    </row>
    <row r="8512" spans="1:21">
      <c r="A8512">
        <v>8511</v>
      </c>
      <c r="B8512" s="29" t="s">
        <v>3223</v>
      </c>
      <c r="C8512" s="29"/>
      <c r="D8512" s="29" t="s">
        <v>4156</v>
      </c>
      <c r="E8512" s="29"/>
      <c r="F8512" s="29" t="s">
        <v>2998</v>
      </c>
      <c r="G8512" s="29" t="s">
        <v>3020</v>
      </c>
      <c r="H8512" s="29" t="s">
        <v>3021</v>
      </c>
      <c r="I8512" s="29"/>
      <c r="J8512" s="29" t="s">
        <v>2374</v>
      </c>
      <c r="K8512" s="29"/>
      <c r="L8512" s="29" t="s">
        <v>798</v>
      </c>
      <c r="M8512" s="29"/>
      <c r="N8512" s="29" t="s">
        <v>1988</v>
      </c>
      <c r="O8512" s="29"/>
      <c r="P8512" s="29" t="s">
        <v>13394</v>
      </c>
      <c r="Q8512" t="s">
        <v>2190</v>
      </c>
      <c r="R8512" t="s">
        <v>2635</v>
      </c>
      <c r="S8512">
        <v>38</v>
      </c>
      <c r="T8512" s="43" t="str">
        <f>HYPERLINK("https://ictv.global/ictv/proposals/2021.008M.Arenaviridae_rename.zip","2021.008M.Arenaviridae_rename.zip")</f>
        <v>2021.008M.Arenaviridae_rename.zip</v>
      </c>
      <c r="U8512" s="43" t="str">
        <f>HYPERLINK("https://ictv.global/taxonomy/taxondetails?taxnode_id=202207356","ictv.global=202207356")</f>
        <v>ictv.global=202207356</v>
      </c>
    </row>
    <row r="8513" spans="1:21">
      <c r="A8513">
        <v>8512</v>
      </c>
      <c r="B8513" s="29" t="s">
        <v>3223</v>
      </c>
      <c r="C8513" s="29"/>
      <c r="D8513" s="29" t="s">
        <v>4156</v>
      </c>
      <c r="E8513" s="29"/>
      <c r="F8513" s="29" t="s">
        <v>2998</v>
      </c>
      <c r="G8513" s="29" t="s">
        <v>3020</v>
      </c>
      <c r="H8513" s="29" t="s">
        <v>3021</v>
      </c>
      <c r="I8513" s="29"/>
      <c r="J8513" s="29" t="s">
        <v>2374</v>
      </c>
      <c r="K8513" s="29"/>
      <c r="L8513" s="29" t="s">
        <v>798</v>
      </c>
      <c r="M8513" s="29"/>
      <c r="N8513" s="29" t="s">
        <v>1988</v>
      </c>
      <c r="O8513" s="29"/>
      <c r="P8513" s="29" t="s">
        <v>13395</v>
      </c>
      <c r="Q8513" t="s">
        <v>2190</v>
      </c>
      <c r="R8513" t="s">
        <v>2635</v>
      </c>
      <c r="S8513">
        <v>38</v>
      </c>
      <c r="T8513" s="43" t="str">
        <f>HYPERLINK("https://ictv.global/ictv/proposals/2021.008M.Arenaviridae_rename.zip","2021.008M.Arenaviridae_rename.zip")</f>
        <v>2021.008M.Arenaviridae_rename.zip</v>
      </c>
      <c r="U8513" s="43" t="str">
        <f>HYPERLINK("https://ictv.global/taxonomy/taxondetails?taxnode_id=202202572","ictv.global=202202572")</f>
        <v>ictv.global=202202572</v>
      </c>
    </row>
    <row r="8514" spans="1:21">
      <c r="A8514">
        <v>8513</v>
      </c>
      <c r="B8514" s="29" t="s">
        <v>3223</v>
      </c>
      <c r="C8514" s="29"/>
      <c r="D8514" s="29" t="s">
        <v>4156</v>
      </c>
      <c r="E8514" s="29"/>
      <c r="F8514" s="29" t="s">
        <v>2998</v>
      </c>
      <c r="G8514" s="29" t="s">
        <v>3020</v>
      </c>
      <c r="H8514" s="29" t="s">
        <v>3021</v>
      </c>
      <c r="I8514" s="29"/>
      <c r="J8514" s="29" t="s">
        <v>2374</v>
      </c>
      <c r="K8514" s="29"/>
      <c r="L8514" s="29" t="s">
        <v>798</v>
      </c>
      <c r="M8514" s="29"/>
      <c r="N8514" s="29" t="s">
        <v>1988</v>
      </c>
      <c r="O8514" s="29"/>
      <c r="P8514" s="29" t="s">
        <v>13396</v>
      </c>
      <c r="Q8514" t="s">
        <v>2190</v>
      </c>
      <c r="R8514" t="s">
        <v>2632</v>
      </c>
      <c r="S8514">
        <v>37</v>
      </c>
      <c r="T8514" s="43" t="str">
        <f>HYPERLINK("https://ictv.global/ictv/proposals/2021.006M.R.Mammarenavirus_1nsp_Bitu.zip","2021.006M.R.Mammarenavirus_1nsp_Bitu.zip")</f>
        <v>2021.006M.R.Mammarenavirus_1nsp_Bitu.zip</v>
      </c>
      <c r="U8514" s="43" t="str">
        <f>HYPERLINK("https://ictv.global/taxonomy/taxondetails?taxnode_id=202213338","ictv.global=202213338")</f>
        <v>ictv.global=202213338</v>
      </c>
    </row>
    <row r="8515" spans="1:21">
      <c r="A8515">
        <v>8514</v>
      </c>
      <c r="B8515" s="29" t="s">
        <v>3223</v>
      </c>
      <c r="C8515" s="29"/>
      <c r="D8515" s="29" t="s">
        <v>4156</v>
      </c>
      <c r="E8515" s="29"/>
      <c r="F8515" s="29" t="s">
        <v>2998</v>
      </c>
      <c r="G8515" s="29" t="s">
        <v>3020</v>
      </c>
      <c r="H8515" s="29" t="s">
        <v>3021</v>
      </c>
      <c r="I8515" s="29"/>
      <c r="J8515" s="29" t="s">
        <v>2374</v>
      </c>
      <c r="K8515" s="29"/>
      <c r="L8515" s="29" t="s">
        <v>798</v>
      </c>
      <c r="M8515" s="29"/>
      <c r="N8515" s="29" t="s">
        <v>1988</v>
      </c>
      <c r="O8515" s="29"/>
      <c r="P8515" s="29" t="s">
        <v>13397</v>
      </c>
      <c r="Q8515" t="s">
        <v>2190</v>
      </c>
      <c r="R8515" t="s">
        <v>2635</v>
      </c>
      <c r="S8515">
        <v>38</v>
      </c>
      <c r="T8515" s="43" t="str">
        <f t="shared" ref="T8515:T8520" si="367">HYPERLINK("https://ictv.global/ictv/proposals/2021.008M.Arenaviridae_rename.zip","2021.008M.Arenaviridae_rename.zip")</f>
        <v>2021.008M.Arenaviridae_rename.zip</v>
      </c>
      <c r="U8515" s="43" t="str">
        <f>HYPERLINK("https://ictv.global/taxonomy/taxondetails?taxnode_id=202202597","ictv.global=202202597")</f>
        <v>ictv.global=202202597</v>
      </c>
    </row>
    <row r="8516" spans="1:21">
      <c r="A8516">
        <v>8515</v>
      </c>
      <c r="B8516" s="29" t="s">
        <v>3223</v>
      </c>
      <c r="C8516" s="29"/>
      <c r="D8516" s="29" t="s">
        <v>4156</v>
      </c>
      <c r="E8516" s="29"/>
      <c r="F8516" s="29" t="s">
        <v>2998</v>
      </c>
      <c r="G8516" s="29" t="s">
        <v>3020</v>
      </c>
      <c r="H8516" s="29" t="s">
        <v>3021</v>
      </c>
      <c r="I8516" s="29"/>
      <c r="J8516" s="29" t="s">
        <v>2374</v>
      </c>
      <c r="K8516" s="29"/>
      <c r="L8516" s="29" t="s">
        <v>798</v>
      </c>
      <c r="M8516" s="29"/>
      <c r="N8516" s="29" t="s">
        <v>1988</v>
      </c>
      <c r="O8516" s="29"/>
      <c r="P8516" s="29" t="s">
        <v>13398</v>
      </c>
      <c r="Q8516" t="s">
        <v>2190</v>
      </c>
      <c r="R8516" t="s">
        <v>2635</v>
      </c>
      <c r="S8516">
        <v>38</v>
      </c>
      <c r="T8516" s="43" t="str">
        <f t="shared" si="367"/>
        <v>2021.008M.Arenaviridae_rename.zip</v>
      </c>
      <c r="U8516" s="43" t="str">
        <f>HYPERLINK("https://ictv.global/taxonomy/taxondetails?taxnode_id=202202595","ictv.global=202202595")</f>
        <v>ictv.global=202202595</v>
      </c>
    </row>
    <row r="8517" spans="1:21">
      <c r="A8517">
        <v>8516</v>
      </c>
      <c r="B8517" s="29" t="s">
        <v>3223</v>
      </c>
      <c r="C8517" s="29"/>
      <c r="D8517" s="29" t="s">
        <v>4156</v>
      </c>
      <c r="E8517" s="29"/>
      <c r="F8517" s="29" t="s">
        <v>2998</v>
      </c>
      <c r="G8517" s="29" t="s">
        <v>3020</v>
      </c>
      <c r="H8517" s="29" t="s">
        <v>3021</v>
      </c>
      <c r="I8517" s="29"/>
      <c r="J8517" s="29" t="s">
        <v>2374</v>
      </c>
      <c r="K8517" s="29"/>
      <c r="L8517" s="29" t="s">
        <v>798</v>
      </c>
      <c r="M8517" s="29"/>
      <c r="N8517" s="29" t="s">
        <v>1988</v>
      </c>
      <c r="O8517" s="29"/>
      <c r="P8517" s="29" t="s">
        <v>13399</v>
      </c>
      <c r="Q8517" t="s">
        <v>2190</v>
      </c>
      <c r="R8517" t="s">
        <v>2635</v>
      </c>
      <c r="S8517">
        <v>38</v>
      </c>
      <c r="T8517" s="43" t="str">
        <f t="shared" si="367"/>
        <v>2021.008M.Arenaviridae_rename.zip</v>
      </c>
      <c r="U8517" s="43" t="str">
        <f>HYPERLINK("https://ictv.global/taxonomy/taxondetails?taxnode_id=202205743","ictv.global=202205743")</f>
        <v>ictv.global=202205743</v>
      </c>
    </row>
    <row r="8518" spans="1:21">
      <c r="A8518">
        <v>8517</v>
      </c>
      <c r="B8518" s="29" t="s">
        <v>3223</v>
      </c>
      <c r="C8518" s="29"/>
      <c r="D8518" s="29" t="s">
        <v>4156</v>
      </c>
      <c r="E8518" s="29"/>
      <c r="F8518" s="29" t="s">
        <v>2998</v>
      </c>
      <c r="G8518" s="29" t="s">
        <v>3020</v>
      </c>
      <c r="H8518" s="29" t="s">
        <v>3021</v>
      </c>
      <c r="I8518" s="29"/>
      <c r="J8518" s="29" t="s">
        <v>2374</v>
      </c>
      <c r="K8518" s="29"/>
      <c r="L8518" s="29" t="s">
        <v>798</v>
      </c>
      <c r="M8518" s="29"/>
      <c r="N8518" s="29" t="s">
        <v>1988</v>
      </c>
      <c r="O8518" s="29"/>
      <c r="P8518" s="29" t="s">
        <v>13400</v>
      </c>
      <c r="Q8518" t="s">
        <v>2190</v>
      </c>
      <c r="R8518" t="s">
        <v>2635</v>
      </c>
      <c r="S8518">
        <v>38</v>
      </c>
      <c r="T8518" s="43" t="str">
        <f t="shared" si="367"/>
        <v>2021.008M.Arenaviridae_rename.zip</v>
      </c>
      <c r="U8518" s="43" t="str">
        <f>HYPERLINK("https://ictv.global/taxonomy/taxondetails?taxnode_id=202202573","ictv.global=202202573")</f>
        <v>ictv.global=202202573</v>
      </c>
    </row>
    <row r="8519" spans="1:21">
      <c r="A8519">
        <v>8518</v>
      </c>
      <c r="B8519" s="29" t="s">
        <v>3223</v>
      </c>
      <c r="C8519" s="29"/>
      <c r="D8519" s="29" t="s">
        <v>4156</v>
      </c>
      <c r="E8519" s="29"/>
      <c r="F8519" s="29" t="s">
        <v>2998</v>
      </c>
      <c r="G8519" s="29" t="s">
        <v>3020</v>
      </c>
      <c r="H8519" s="29" t="s">
        <v>3021</v>
      </c>
      <c r="I8519" s="29"/>
      <c r="J8519" s="29" t="s">
        <v>2374</v>
      </c>
      <c r="K8519" s="29"/>
      <c r="L8519" s="29" t="s">
        <v>798</v>
      </c>
      <c r="M8519" s="29"/>
      <c r="N8519" s="29" t="s">
        <v>1988</v>
      </c>
      <c r="O8519" s="29"/>
      <c r="P8519" s="29" t="s">
        <v>13401</v>
      </c>
      <c r="Q8519" t="s">
        <v>2190</v>
      </c>
      <c r="R8519" t="s">
        <v>2635</v>
      </c>
      <c r="S8519">
        <v>38</v>
      </c>
      <c r="T8519" s="43" t="str">
        <f t="shared" si="367"/>
        <v>2021.008M.Arenaviridae_rename.zip</v>
      </c>
      <c r="U8519" s="43" t="str">
        <f>HYPERLINK("https://ictv.global/taxonomy/taxondetails?taxnode_id=202202586","ictv.global=202202586")</f>
        <v>ictv.global=202202586</v>
      </c>
    </row>
    <row r="8520" spans="1:21">
      <c r="A8520">
        <v>8519</v>
      </c>
      <c r="B8520" s="29" t="s">
        <v>3223</v>
      </c>
      <c r="C8520" s="29"/>
      <c r="D8520" s="29" t="s">
        <v>4156</v>
      </c>
      <c r="E8520" s="29"/>
      <c r="F8520" s="29" t="s">
        <v>2998</v>
      </c>
      <c r="G8520" s="29" t="s">
        <v>3020</v>
      </c>
      <c r="H8520" s="29" t="s">
        <v>3021</v>
      </c>
      <c r="I8520" s="29"/>
      <c r="J8520" s="29" t="s">
        <v>2374</v>
      </c>
      <c r="K8520" s="29"/>
      <c r="L8520" s="29" t="s">
        <v>798</v>
      </c>
      <c r="M8520" s="29"/>
      <c r="N8520" s="29" t="s">
        <v>1988</v>
      </c>
      <c r="O8520" s="29"/>
      <c r="P8520" s="29" t="s">
        <v>13402</v>
      </c>
      <c r="Q8520" t="s">
        <v>2190</v>
      </c>
      <c r="R8520" t="s">
        <v>2635</v>
      </c>
      <c r="S8520">
        <v>38</v>
      </c>
      <c r="T8520" s="43" t="str">
        <f t="shared" si="367"/>
        <v>2021.008M.Arenaviridae_rename.zip</v>
      </c>
      <c r="U8520" s="43" t="str">
        <f>HYPERLINK("https://ictv.global/taxonomy/taxondetails?taxnode_id=202202574","ictv.global=202202574")</f>
        <v>ictv.global=202202574</v>
      </c>
    </row>
    <row r="8521" spans="1:21">
      <c r="A8521">
        <v>8520</v>
      </c>
      <c r="B8521" s="29" t="s">
        <v>3223</v>
      </c>
      <c r="C8521" s="29"/>
      <c r="D8521" s="29" t="s">
        <v>4156</v>
      </c>
      <c r="E8521" s="29"/>
      <c r="F8521" s="29" t="s">
        <v>2998</v>
      </c>
      <c r="G8521" s="29" t="s">
        <v>3020</v>
      </c>
      <c r="H8521" s="29" t="s">
        <v>3021</v>
      </c>
      <c r="I8521" s="29"/>
      <c r="J8521" s="29" t="s">
        <v>2374</v>
      </c>
      <c r="K8521" s="29"/>
      <c r="L8521" s="29" t="s">
        <v>798</v>
      </c>
      <c r="M8521" s="29"/>
      <c r="N8521" s="29" t="s">
        <v>1988</v>
      </c>
      <c r="O8521" s="29"/>
      <c r="P8521" s="29" t="s">
        <v>13403</v>
      </c>
      <c r="Q8521" t="s">
        <v>2190</v>
      </c>
      <c r="R8521" t="s">
        <v>2632</v>
      </c>
      <c r="S8521">
        <v>38</v>
      </c>
      <c r="T8521" s="43" t="str">
        <f>HYPERLINK("https://ictv.global/ictv/proposals/2022.013M.Mammarenavirus_1nsp.zip","2022.013M.Mammarenavirus_1nsp.zip")</f>
        <v>2022.013M.Mammarenavirus_1nsp.zip</v>
      </c>
      <c r="U8521" s="43" t="str">
        <f>HYPERLINK("https://ictv.global/taxonomy/taxondetails?taxnode_id=202214201","ictv.global=202214201")</f>
        <v>ictv.global=202214201</v>
      </c>
    </row>
    <row r="8522" spans="1:21">
      <c r="A8522">
        <v>8521</v>
      </c>
      <c r="B8522" s="29" t="s">
        <v>3223</v>
      </c>
      <c r="C8522" s="29"/>
      <c r="D8522" s="29" t="s">
        <v>4156</v>
      </c>
      <c r="E8522" s="29"/>
      <c r="F8522" s="29" t="s">
        <v>2998</v>
      </c>
      <c r="G8522" s="29" t="s">
        <v>3020</v>
      </c>
      <c r="H8522" s="29" t="s">
        <v>3021</v>
      </c>
      <c r="I8522" s="29"/>
      <c r="J8522" s="29" t="s">
        <v>2374</v>
      </c>
      <c r="K8522" s="29"/>
      <c r="L8522" s="29" t="s">
        <v>798</v>
      </c>
      <c r="M8522" s="29"/>
      <c r="N8522" s="29" t="s">
        <v>1988</v>
      </c>
      <c r="O8522" s="29"/>
      <c r="P8522" s="29" t="s">
        <v>13404</v>
      </c>
      <c r="Q8522" t="s">
        <v>2190</v>
      </c>
      <c r="R8522" t="s">
        <v>2635</v>
      </c>
      <c r="S8522">
        <v>38</v>
      </c>
      <c r="T8522" s="43" t="str">
        <f t="shared" ref="T8522:T8527" si="368">HYPERLINK("https://ictv.global/ictv/proposals/2021.008M.Arenaviridae_rename.zip","2021.008M.Arenaviridae_rename.zip")</f>
        <v>2021.008M.Arenaviridae_rename.zip</v>
      </c>
      <c r="U8522" s="43" t="str">
        <f>HYPERLINK("https://ictv.global/taxonomy/taxondetails?taxnode_id=202202575","ictv.global=202202575")</f>
        <v>ictv.global=202202575</v>
      </c>
    </row>
    <row r="8523" spans="1:21">
      <c r="A8523">
        <v>8522</v>
      </c>
      <c r="B8523" s="29" t="s">
        <v>3223</v>
      </c>
      <c r="C8523" s="29"/>
      <c r="D8523" s="29" t="s">
        <v>4156</v>
      </c>
      <c r="E8523" s="29"/>
      <c r="F8523" s="29" t="s">
        <v>2998</v>
      </c>
      <c r="G8523" s="29" t="s">
        <v>3020</v>
      </c>
      <c r="H8523" s="29" t="s">
        <v>3021</v>
      </c>
      <c r="I8523" s="29"/>
      <c r="J8523" s="29" t="s">
        <v>2374</v>
      </c>
      <c r="K8523" s="29"/>
      <c r="L8523" s="29" t="s">
        <v>798</v>
      </c>
      <c r="M8523" s="29"/>
      <c r="N8523" s="29" t="s">
        <v>1988</v>
      </c>
      <c r="O8523" s="29"/>
      <c r="P8523" s="29" t="s">
        <v>13405</v>
      </c>
      <c r="Q8523" t="s">
        <v>2190</v>
      </c>
      <c r="R8523" t="s">
        <v>2635</v>
      </c>
      <c r="S8523">
        <v>38</v>
      </c>
      <c r="T8523" s="43" t="str">
        <f t="shared" si="368"/>
        <v>2021.008M.Arenaviridae_rename.zip</v>
      </c>
      <c r="U8523" s="43" t="str">
        <f>HYPERLINK("https://ictv.global/taxonomy/taxondetails?taxnode_id=202202576","ictv.global=202202576")</f>
        <v>ictv.global=202202576</v>
      </c>
    </row>
    <row r="8524" spans="1:21">
      <c r="A8524">
        <v>8523</v>
      </c>
      <c r="B8524" s="29" t="s">
        <v>3223</v>
      </c>
      <c r="C8524" s="29"/>
      <c r="D8524" s="29" t="s">
        <v>4156</v>
      </c>
      <c r="E8524" s="29"/>
      <c r="F8524" s="29" t="s">
        <v>2998</v>
      </c>
      <c r="G8524" s="29" t="s">
        <v>3020</v>
      </c>
      <c r="H8524" s="29" t="s">
        <v>3021</v>
      </c>
      <c r="I8524" s="29"/>
      <c r="J8524" s="29" t="s">
        <v>2374</v>
      </c>
      <c r="K8524" s="29"/>
      <c r="L8524" s="29" t="s">
        <v>798</v>
      </c>
      <c r="M8524" s="29"/>
      <c r="N8524" s="29" t="s">
        <v>1988</v>
      </c>
      <c r="O8524" s="29"/>
      <c r="P8524" s="29" t="s">
        <v>13406</v>
      </c>
      <c r="Q8524" t="s">
        <v>2190</v>
      </c>
      <c r="R8524" t="s">
        <v>2635</v>
      </c>
      <c r="S8524">
        <v>38</v>
      </c>
      <c r="T8524" s="43" t="str">
        <f t="shared" si="368"/>
        <v>2021.008M.Arenaviridae_rename.zip</v>
      </c>
      <c r="U8524" s="43" t="str">
        <f>HYPERLINK("https://ictv.global/taxonomy/taxondetails?taxnode_id=202202577","ictv.global=202202577")</f>
        <v>ictv.global=202202577</v>
      </c>
    </row>
    <row r="8525" spans="1:21">
      <c r="A8525">
        <v>8524</v>
      </c>
      <c r="B8525" s="29" t="s">
        <v>3223</v>
      </c>
      <c r="C8525" s="29"/>
      <c r="D8525" s="29" t="s">
        <v>4156</v>
      </c>
      <c r="E8525" s="29"/>
      <c r="F8525" s="29" t="s">
        <v>2998</v>
      </c>
      <c r="G8525" s="29" t="s">
        <v>3020</v>
      </c>
      <c r="H8525" s="29" t="s">
        <v>3021</v>
      </c>
      <c r="I8525" s="29"/>
      <c r="J8525" s="29" t="s">
        <v>2374</v>
      </c>
      <c r="K8525" s="29"/>
      <c r="L8525" s="29" t="s">
        <v>798</v>
      </c>
      <c r="M8525" s="29"/>
      <c r="N8525" s="29" t="s">
        <v>1988</v>
      </c>
      <c r="O8525" s="29"/>
      <c r="P8525" s="29" t="s">
        <v>13407</v>
      </c>
      <c r="Q8525" t="s">
        <v>2190</v>
      </c>
      <c r="R8525" t="s">
        <v>2635</v>
      </c>
      <c r="S8525">
        <v>38</v>
      </c>
      <c r="T8525" s="43" t="str">
        <f t="shared" si="368"/>
        <v>2021.008M.Arenaviridae_rename.zip</v>
      </c>
      <c r="U8525" s="43" t="str">
        <f>HYPERLINK("https://ictv.global/taxonomy/taxondetails?taxnode_id=202202578","ictv.global=202202578")</f>
        <v>ictv.global=202202578</v>
      </c>
    </row>
    <row r="8526" spans="1:21">
      <c r="A8526">
        <v>8525</v>
      </c>
      <c r="B8526" s="29" t="s">
        <v>3223</v>
      </c>
      <c r="C8526" s="29"/>
      <c r="D8526" s="29" t="s">
        <v>4156</v>
      </c>
      <c r="E8526" s="29"/>
      <c r="F8526" s="29" t="s">
        <v>2998</v>
      </c>
      <c r="G8526" s="29" t="s">
        <v>3020</v>
      </c>
      <c r="H8526" s="29" t="s">
        <v>3021</v>
      </c>
      <c r="I8526" s="29"/>
      <c r="J8526" s="29" t="s">
        <v>2374</v>
      </c>
      <c r="K8526" s="29"/>
      <c r="L8526" s="29" t="s">
        <v>798</v>
      </c>
      <c r="M8526" s="29"/>
      <c r="N8526" s="29" t="s">
        <v>1988</v>
      </c>
      <c r="O8526" s="29"/>
      <c r="P8526" s="29" t="s">
        <v>13408</v>
      </c>
      <c r="Q8526" t="s">
        <v>2190</v>
      </c>
      <c r="R8526" t="s">
        <v>2635</v>
      </c>
      <c r="S8526">
        <v>38</v>
      </c>
      <c r="T8526" s="43" t="str">
        <f t="shared" si="368"/>
        <v>2021.008M.Arenaviridae_rename.zip</v>
      </c>
      <c r="U8526" s="43" t="str">
        <f>HYPERLINK("https://ictv.global/taxonomy/taxondetails?taxnode_id=202202579","ictv.global=202202579")</f>
        <v>ictv.global=202202579</v>
      </c>
    </row>
    <row r="8527" spans="1:21">
      <c r="A8527">
        <v>8526</v>
      </c>
      <c r="B8527" s="29" t="s">
        <v>3223</v>
      </c>
      <c r="C8527" s="29"/>
      <c r="D8527" s="29" t="s">
        <v>4156</v>
      </c>
      <c r="E8527" s="29"/>
      <c r="F8527" s="29" t="s">
        <v>2998</v>
      </c>
      <c r="G8527" s="29" t="s">
        <v>3020</v>
      </c>
      <c r="H8527" s="29" t="s">
        <v>3021</v>
      </c>
      <c r="I8527" s="29"/>
      <c r="J8527" s="29" t="s">
        <v>2374</v>
      </c>
      <c r="K8527" s="29"/>
      <c r="L8527" s="29" t="s">
        <v>798</v>
      </c>
      <c r="M8527" s="29"/>
      <c r="N8527" s="29" t="s">
        <v>1988</v>
      </c>
      <c r="O8527" s="29"/>
      <c r="P8527" s="29" t="s">
        <v>13409</v>
      </c>
      <c r="Q8527" t="s">
        <v>2039</v>
      </c>
      <c r="R8527" t="s">
        <v>2635</v>
      </c>
      <c r="S8527">
        <v>38</v>
      </c>
      <c r="T8527" s="43" t="str">
        <f t="shared" si="368"/>
        <v>2021.008M.Arenaviridae_rename.zip</v>
      </c>
      <c r="U8527" s="43" t="str">
        <f>HYPERLINK("https://ictv.global/taxonomy/taxondetails?taxnode_id=202209550","ictv.global=202209550")</f>
        <v>ictv.global=202209550</v>
      </c>
    </row>
    <row r="8528" spans="1:21">
      <c r="A8528">
        <v>8527</v>
      </c>
      <c r="B8528" s="29" t="s">
        <v>3223</v>
      </c>
      <c r="C8528" s="29"/>
      <c r="D8528" s="29" t="s">
        <v>4156</v>
      </c>
      <c r="E8528" s="29"/>
      <c r="F8528" s="29" t="s">
        <v>2998</v>
      </c>
      <c r="G8528" s="29" t="s">
        <v>3020</v>
      </c>
      <c r="H8528" s="29" t="s">
        <v>3021</v>
      </c>
      <c r="I8528" s="29"/>
      <c r="J8528" s="29" t="s">
        <v>2374</v>
      </c>
      <c r="K8528" s="29"/>
      <c r="L8528" s="29" t="s">
        <v>798</v>
      </c>
      <c r="M8528" s="29"/>
      <c r="N8528" s="29" t="s">
        <v>1988</v>
      </c>
      <c r="O8528" s="29"/>
      <c r="P8528" s="29" t="s">
        <v>13410</v>
      </c>
      <c r="Q8528" t="s">
        <v>2190</v>
      </c>
      <c r="R8528" t="s">
        <v>2632</v>
      </c>
      <c r="S8528">
        <v>37</v>
      </c>
      <c r="T8528" s="43" t="str">
        <f>HYPERLINK("https://ictv.global/ictv/proposals/2021.007M.R.Mammarenavirus_1nsp_Kwanza.zip","2021.007M.R.Mammarenavirus_1nsp_Kwanza.zip")</f>
        <v>2021.007M.R.Mammarenavirus_1nsp_Kwanza.zip</v>
      </c>
      <c r="U8528" s="43" t="str">
        <f>HYPERLINK("https://ictv.global/taxonomy/taxondetails?taxnode_id=202213339","ictv.global=202213339")</f>
        <v>ictv.global=202213339</v>
      </c>
    </row>
    <row r="8529" spans="1:21">
      <c r="A8529">
        <v>8528</v>
      </c>
      <c r="B8529" s="29" t="s">
        <v>3223</v>
      </c>
      <c r="C8529" s="29"/>
      <c r="D8529" s="29" t="s">
        <v>4156</v>
      </c>
      <c r="E8529" s="29"/>
      <c r="F8529" s="29" t="s">
        <v>2998</v>
      </c>
      <c r="G8529" s="29" t="s">
        <v>3020</v>
      </c>
      <c r="H8529" s="29" t="s">
        <v>3021</v>
      </c>
      <c r="I8529" s="29"/>
      <c r="J8529" s="29" t="s">
        <v>2374</v>
      </c>
      <c r="K8529" s="29"/>
      <c r="L8529" s="29" t="s">
        <v>798</v>
      </c>
      <c r="M8529" s="29"/>
      <c r="N8529" s="29" t="s">
        <v>1988</v>
      </c>
      <c r="O8529" s="29"/>
      <c r="P8529" s="29" t="s">
        <v>13411</v>
      </c>
      <c r="Q8529" t="s">
        <v>2190</v>
      </c>
      <c r="R8529" t="s">
        <v>2635</v>
      </c>
      <c r="S8529">
        <v>38</v>
      </c>
      <c r="T8529" s="43" t="str">
        <f t="shared" ref="T8529:T8556" si="369">HYPERLINK("https://ictv.global/ictv/proposals/2021.008M.Arenaviridae_rename.zip","2021.008M.Arenaviridae_rename.zip")</f>
        <v>2021.008M.Arenaviridae_rename.zip</v>
      </c>
      <c r="U8529" s="43" t="str">
        <f>HYPERLINK("https://ictv.global/taxonomy/taxondetails?taxnode_id=202202580","ictv.global=202202580")</f>
        <v>ictv.global=202202580</v>
      </c>
    </row>
    <row r="8530" spans="1:21">
      <c r="A8530">
        <v>8529</v>
      </c>
      <c r="B8530" s="29" t="s">
        <v>3223</v>
      </c>
      <c r="C8530" s="29"/>
      <c r="D8530" s="29" t="s">
        <v>4156</v>
      </c>
      <c r="E8530" s="29"/>
      <c r="F8530" s="29" t="s">
        <v>2998</v>
      </c>
      <c r="G8530" s="29" t="s">
        <v>3020</v>
      </c>
      <c r="H8530" s="29" t="s">
        <v>3021</v>
      </c>
      <c r="I8530" s="29"/>
      <c r="J8530" s="29" t="s">
        <v>2374</v>
      </c>
      <c r="K8530" s="29"/>
      <c r="L8530" s="29" t="s">
        <v>798</v>
      </c>
      <c r="M8530" s="29"/>
      <c r="N8530" s="29" t="s">
        <v>1988</v>
      </c>
      <c r="O8530" s="29"/>
      <c r="P8530" s="29" t="s">
        <v>13412</v>
      </c>
      <c r="Q8530" t="s">
        <v>2190</v>
      </c>
      <c r="R8530" t="s">
        <v>2635</v>
      </c>
      <c r="S8530">
        <v>38</v>
      </c>
      <c r="T8530" s="43" t="str">
        <f t="shared" si="369"/>
        <v>2021.008M.Arenaviridae_rename.zip</v>
      </c>
      <c r="U8530" s="43" t="str">
        <f>HYPERLINK("https://ictv.global/taxonomy/taxondetails?taxnode_id=202202581","ictv.global=202202581")</f>
        <v>ictv.global=202202581</v>
      </c>
    </row>
    <row r="8531" spans="1:21">
      <c r="A8531">
        <v>8530</v>
      </c>
      <c r="B8531" s="29" t="s">
        <v>3223</v>
      </c>
      <c r="C8531" s="29"/>
      <c r="D8531" s="29" t="s">
        <v>4156</v>
      </c>
      <c r="E8531" s="29"/>
      <c r="F8531" s="29" t="s">
        <v>2998</v>
      </c>
      <c r="G8531" s="29" t="s">
        <v>3020</v>
      </c>
      <c r="H8531" s="29" t="s">
        <v>3021</v>
      </c>
      <c r="I8531" s="29"/>
      <c r="J8531" s="29" t="s">
        <v>2374</v>
      </c>
      <c r="K8531" s="29"/>
      <c r="L8531" s="29" t="s">
        <v>798</v>
      </c>
      <c r="M8531" s="29"/>
      <c r="N8531" s="29" t="s">
        <v>1988</v>
      </c>
      <c r="O8531" s="29"/>
      <c r="P8531" s="29" t="s">
        <v>13413</v>
      </c>
      <c r="Q8531" t="s">
        <v>2190</v>
      </c>
      <c r="R8531" t="s">
        <v>2635</v>
      </c>
      <c r="S8531">
        <v>38</v>
      </c>
      <c r="T8531" s="43" t="str">
        <f t="shared" si="369"/>
        <v>2021.008M.Arenaviridae_rename.zip</v>
      </c>
      <c r="U8531" s="43" t="str">
        <f>HYPERLINK("https://ictv.global/taxonomy/taxondetails?taxnode_id=202207288","ictv.global=202207288")</f>
        <v>ictv.global=202207288</v>
      </c>
    </row>
    <row r="8532" spans="1:21">
      <c r="A8532">
        <v>8531</v>
      </c>
      <c r="B8532" s="29" t="s">
        <v>3223</v>
      </c>
      <c r="C8532" s="29"/>
      <c r="D8532" s="29" t="s">
        <v>4156</v>
      </c>
      <c r="E8532" s="29"/>
      <c r="F8532" s="29" t="s">
        <v>2998</v>
      </c>
      <c r="G8532" s="29" t="s">
        <v>3020</v>
      </c>
      <c r="H8532" s="29" t="s">
        <v>3021</v>
      </c>
      <c r="I8532" s="29"/>
      <c r="J8532" s="29" t="s">
        <v>2374</v>
      </c>
      <c r="K8532" s="29"/>
      <c r="L8532" s="29" t="s">
        <v>798</v>
      </c>
      <c r="M8532" s="29"/>
      <c r="N8532" s="29" t="s">
        <v>1988</v>
      </c>
      <c r="O8532" s="29"/>
      <c r="P8532" s="29" t="s">
        <v>13414</v>
      </c>
      <c r="Q8532" t="s">
        <v>2190</v>
      </c>
      <c r="R8532" t="s">
        <v>2635</v>
      </c>
      <c r="S8532">
        <v>38</v>
      </c>
      <c r="T8532" s="43" t="str">
        <f t="shared" si="369"/>
        <v>2021.008M.Arenaviridae_rename.zip</v>
      </c>
      <c r="U8532" s="43" t="str">
        <f>HYPERLINK("https://ictv.global/taxonomy/taxondetails?taxnode_id=202202582","ictv.global=202202582")</f>
        <v>ictv.global=202202582</v>
      </c>
    </row>
    <row r="8533" spans="1:21">
      <c r="A8533">
        <v>8532</v>
      </c>
      <c r="B8533" s="29" t="s">
        <v>3223</v>
      </c>
      <c r="C8533" s="29"/>
      <c r="D8533" s="29" t="s">
        <v>4156</v>
      </c>
      <c r="E8533" s="29"/>
      <c r="F8533" s="29" t="s">
        <v>2998</v>
      </c>
      <c r="G8533" s="29" t="s">
        <v>3020</v>
      </c>
      <c r="H8533" s="29" t="s">
        <v>3021</v>
      </c>
      <c r="I8533" s="29"/>
      <c r="J8533" s="29" t="s">
        <v>2374</v>
      </c>
      <c r="K8533" s="29"/>
      <c r="L8533" s="29" t="s">
        <v>798</v>
      </c>
      <c r="M8533" s="29"/>
      <c r="N8533" s="29" t="s">
        <v>1988</v>
      </c>
      <c r="O8533" s="29"/>
      <c r="P8533" s="29" t="s">
        <v>13415</v>
      </c>
      <c r="Q8533" t="s">
        <v>2190</v>
      </c>
      <c r="R8533" t="s">
        <v>2635</v>
      </c>
      <c r="S8533">
        <v>38</v>
      </c>
      <c r="T8533" s="43" t="str">
        <f t="shared" si="369"/>
        <v>2021.008M.Arenaviridae_rename.zip</v>
      </c>
      <c r="U8533" s="43" t="str">
        <f>HYPERLINK("https://ictv.global/taxonomy/taxondetails?taxnode_id=202202583","ictv.global=202202583")</f>
        <v>ictv.global=202202583</v>
      </c>
    </row>
    <row r="8534" spans="1:21">
      <c r="A8534">
        <v>8533</v>
      </c>
      <c r="B8534" s="29" t="s">
        <v>3223</v>
      </c>
      <c r="C8534" s="29"/>
      <c r="D8534" s="29" t="s">
        <v>4156</v>
      </c>
      <c r="E8534" s="29"/>
      <c r="F8534" s="29" t="s">
        <v>2998</v>
      </c>
      <c r="G8534" s="29" t="s">
        <v>3020</v>
      </c>
      <c r="H8534" s="29" t="s">
        <v>3021</v>
      </c>
      <c r="I8534" s="29"/>
      <c r="J8534" s="29" t="s">
        <v>2374</v>
      </c>
      <c r="K8534" s="29"/>
      <c r="L8534" s="29" t="s">
        <v>798</v>
      </c>
      <c r="M8534" s="29"/>
      <c r="N8534" s="29" t="s">
        <v>1988</v>
      </c>
      <c r="O8534" s="29"/>
      <c r="P8534" s="29" t="s">
        <v>13416</v>
      </c>
      <c r="Q8534" t="s">
        <v>2190</v>
      </c>
      <c r="R8534" t="s">
        <v>2635</v>
      </c>
      <c r="S8534">
        <v>38</v>
      </c>
      <c r="T8534" s="43" t="str">
        <f t="shared" si="369"/>
        <v>2021.008M.Arenaviridae_rename.zip</v>
      </c>
      <c r="U8534" s="43" t="str">
        <f>HYPERLINK("https://ictv.global/taxonomy/taxondetails?taxnode_id=202202584","ictv.global=202202584")</f>
        <v>ictv.global=202202584</v>
      </c>
    </row>
    <row r="8535" spans="1:21">
      <c r="A8535">
        <v>8534</v>
      </c>
      <c r="B8535" s="29" t="s">
        <v>3223</v>
      </c>
      <c r="C8535" s="29"/>
      <c r="D8535" s="29" t="s">
        <v>4156</v>
      </c>
      <c r="E8535" s="29"/>
      <c r="F8535" s="29" t="s">
        <v>2998</v>
      </c>
      <c r="G8535" s="29" t="s">
        <v>3020</v>
      </c>
      <c r="H8535" s="29" t="s">
        <v>3021</v>
      </c>
      <c r="I8535" s="29"/>
      <c r="J8535" s="29" t="s">
        <v>2374</v>
      </c>
      <c r="K8535" s="29"/>
      <c r="L8535" s="29" t="s">
        <v>798</v>
      </c>
      <c r="M8535" s="29"/>
      <c r="N8535" s="29" t="s">
        <v>1988</v>
      </c>
      <c r="O8535" s="29"/>
      <c r="P8535" s="29" t="s">
        <v>13417</v>
      </c>
      <c r="Q8535" t="s">
        <v>2190</v>
      </c>
      <c r="R8535" t="s">
        <v>2635</v>
      </c>
      <c r="S8535">
        <v>38</v>
      </c>
      <c r="T8535" s="43" t="str">
        <f t="shared" si="369"/>
        <v>2021.008M.Arenaviridae_rename.zip</v>
      </c>
      <c r="U8535" s="43" t="str">
        <f>HYPERLINK("https://ictv.global/taxonomy/taxondetails?taxnode_id=202202585","ictv.global=202202585")</f>
        <v>ictv.global=202202585</v>
      </c>
    </row>
    <row r="8536" spans="1:21">
      <c r="A8536">
        <v>8535</v>
      </c>
      <c r="B8536" s="29" t="s">
        <v>3223</v>
      </c>
      <c r="C8536" s="29"/>
      <c r="D8536" s="29" t="s">
        <v>4156</v>
      </c>
      <c r="E8536" s="29"/>
      <c r="F8536" s="29" t="s">
        <v>2998</v>
      </c>
      <c r="G8536" s="29" t="s">
        <v>3020</v>
      </c>
      <c r="H8536" s="29" t="s">
        <v>3021</v>
      </c>
      <c r="I8536" s="29"/>
      <c r="J8536" s="29" t="s">
        <v>2374</v>
      </c>
      <c r="K8536" s="29"/>
      <c r="L8536" s="29" t="s">
        <v>798</v>
      </c>
      <c r="M8536" s="29"/>
      <c r="N8536" s="29" t="s">
        <v>1988</v>
      </c>
      <c r="O8536" s="29"/>
      <c r="P8536" s="29" t="s">
        <v>13418</v>
      </c>
      <c r="Q8536" t="s">
        <v>2190</v>
      </c>
      <c r="R8536" t="s">
        <v>2635</v>
      </c>
      <c r="S8536">
        <v>38</v>
      </c>
      <c r="T8536" s="43" t="str">
        <f t="shared" si="369"/>
        <v>2021.008M.Arenaviridae_rename.zip</v>
      </c>
      <c r="U8536" s="43" t="str">
        <f>HYPERLINK("https://ictv.global/taxonomy/taxondetails?taxnode_id=202202587","ictv.global=202202587")</f>
        <v>ictv.global=202202587</v>
      </c>
    </row>
    <row r="8537" spans="1:21">
      <c r="A8537">
        <v>8536</v>
      </c>
      <c r="B8537" s="29" t="s">
        <v>3223</v>
      </c>
      <c r="C8537" s="29"/>
      <c r="D8537" s="29" t="s">
        <v>4156</v>
      </c>
      <c r="E8537" s="29"/>
      <c r="F8537" s="29" t="s">
        <v>2998</v>
      </c>
      <c r="G8537" s="29" t="s">
        <v>3020</v>
      </c>
      <c r="H8537" s="29" t="s">
        <v>3021</v>
      </c>
      <c r="I8537" s="29"/>
      <c r="J8537" s="29" t="s">
        <v>2374</v>
      </c>
      <c r="K8537" s="29"/>
      <c r="L8537" s="29" t="s">
        <v>798</v>
      </c>
      <c r="M8537" s="29"/>
      <c r="N8537" s="29" t="s">
        <v>1988</v>
      </c>
      <c r="O8537" s="29"/>
      <c r="P8537" s="29" t="s">
        <v>13419</v>
      </c>
      <c r="Q8537" t="s">
        <v>2190</v>
      </c>
      <c r="R8537" t="s">
        <v>2635</v>
      </c>
      <c r="S8537">
        <v>38</v>
      </c>
      <c r="T8537" s="43" t="str">
        <f t="shared" si="369"/>
        <v>2021.008M.Arenaviridae_rename.zip</v>
      </c>
      <c r="U8537" s="43" t="str">
        <f>HYPERLINK("https://ictv.global/taxonomy/taxondetails?taxnode_id=202202588","ictv.global=202202588")</f>
        <v>ictv.global=202202588</v>
      </c>
    </row>
    <row r="8538" spans="1:21">
      <c r="A8538">
        <v>8537</v>
      </c>
      <c r="B8538" s="29" t="s">
        <v>3223</v>
      </c>
      <c r="C8538" s="29"/>
      <c r="D8538" s="29" t="s">
        <v>4156</v>
      </c>
      <c r="E8538" s="29"/>
      <c r="F8538" s="29" t="s">
        <v>2998</v>
      </c>
      <c r="G8538" s="29" t="s">
        <v>3020</v>
      </c>
      <c r="H8538" s="29" t="s">
        <v>3021</v>
      </c>
      <c r="I8538" s="29"/>
      <c r="J8538" s="29" t="s">
        <v>2374</v>
      </c>
      <c r="K8538" s="29"/>
      <c r="L8538" s="29" t="s">
        <v>798</v>
      </c>
      <c r="M8538" s="29"/>
      <c r="N8538" s="29" t="s">
        <v>1988</v>
      </c>
      <c r="O8538" s="29"/>
      <c r="P8538" s="29" t="s">
        <v>13420</v>
      </c>
      <c r="Q8538" t="s">
        <v>2190</v>
      </c>
      <c r="R8538" t="s">
        <v>2635</v>
      </c>
      <c r="S8538">
        <v>38</v>
      </c>
      <c r="T8538" s="43" t="str">
        <f t="shared" si="369"/>
        <v>2021.008M.Arenaviridae_rename.zip</v>
      </c>
      <c r="U8538" s="43" t="str">
        <f>HYPERLINK("https://ictv.global/taxonomy/taxondetails?taxnode_id=202202589","ictv.global=202202589")</f>
        <v>ictv.global=202202589</v>
      </c>
    </row>
    <row r="8539" spans="1:21">
      <c r="A8539">
        <v>8538</v>
      </c>
      <c r="B8539" s="29" t="s">
        <v>3223</v>
      </c>
      <c r="C8539" s="29"/>
      <c r="D8539" s="29" t="s">
        <v>4156</v>
      </c>
      <c r="E8539" s="29"/>
      <c r="F8539" s="29" t="s">
        <v>2998</v>
      </c>
      <c r="G8539" s="29" t="s">
        <v>3020</v>
      </c>
      <c r="H8539" s="29" t="s">
        <v>3021</v>
      </c>
      <c r="I8539" s="29"/>
      <c r="J8539" s="29" t="s">
        <v>2374</v>
      </c>
      <c r="K8539" s="29"/>
      <c r="L8539" s="29" t="s">
        <v>798</v>
      </c>
      <c r="M8539" s="29"/>
      <c r="N8539" s="29" t="s">
        <v>1988</v>
      </c>
      <c r="O8539" s="29"/>
      <c r="P8539" s="29" t="s">
        <v>13421</v>
      </c>
      <c r="Q8539" t="s">
        <v>2190</v>
      </c>
      <c r="R8539" t="s">
        <v>2635</v>
      </c>
      <c r="S8539">
        <v>38</v>
      </c>
      <c r="T8539" s="43" t="str">
        <f t="shared" si="369"/>
        <v>2021.008M.Arenaviridae_rename.zip</v>
      </c>
      <c r="U8539" s="43" t="str">
        <f>HYPERLINK("https://ictv.global/taxonomy/taxondetails?taxnode_id=202202591","ictv.global=202202591")</f>
        <v>ictv.global=202202591</v>
      </c>
    </row>
    <row r="8540" spans="1:21">
      <c r="A8540">
        <v>8539</v>
      </c>
      <c r="B8540" s="29" t="s">
        <v>3223</v>
      </c>
      <c r="C8540" s="29"/>
      <c r="D8540" s="29" t="s">
        <v>4156</v>
      </c>
      <c r="E8540" s="29"/>
      <c r="F8540" s="29" t="s">
        <v>2998</v>
      </c>
      <c r="G8540" s="29" t="s">
        <v>3020</v>
      </c>
      <c r="H8540" s="29" t="s">
        <v>3021</v>
      </c>
      <c r="I8540" s="29"/>
      <c r="J8540" s="29" t="s">
        <v>2374</v>
      </c>
      <c r="K8540" s="29"/>
      <c r="L8540" s="29" t="s">
        <v>798</v>
      </c>
      <c r="M8540" s="29"/>
      <c r="N8540" s="29" t="s">
        <v>1988</v>
      </c>
      <c r="O8540" s="29"/>
      <c r="P8540" s="29" t="s">
        <v>13422</v>
      </c>
      <c r="Q8540" t="s">
        <v>2190</v>
      </c>
      <c r="R8540" t="s">
        <v>2635</v>
      </c>
      <c r="S8540">
        <v>38</v>
      </c>
      <c r="T8540" s="43" t="str">
        <f t="shared" si="369"/>
        <v>2021.008M.Arenaviridae_rename.zip</v>
      </c>
      <c r="U8540" s="43" t="str">
        <f>HYPERLINK("https://ictv.global/taxonomy/taxondetails?taxnode_id=202202592","ictv.global=202202592")</f>
        <v>ictv.global=202202592</v>
      </c>
    </row>
    <row r="8541" spans="1:21">
      <c r="A8541">
        <v>8540</v>
      </c>
      <c r="B8541" s="29" t="s">
        <v>3223</v>
      </c>
      <c r="C8541" s="29"/>
      <c r="D8541" s="29" t="s">
        <v>4156</v>
      </c>
      <c r="E8541" s="29"/>
      <c r="F8541" s="29" t="s">
        <v>2998</v>
      </c>
      <c r="G8541" s="29" t="s">
        <v>3020</v>
      </c>
      <c r="H8541" s="29" t="s">
        <v>3021</v>
      </c>
      <c r="I8541" s="29"/>
      <c r="J8541" s="29" t="s">
        <v>2374</v>
      </c>
      <c r="K8541" s="29"/>
      <c r="L8541" s="29" t="s">
        <v>798</v>
      </c>
      <c r="M8541" s="29"/>
      <c r="N8541" s="29" t="s">
        <v>1988</v>
      </c>
      <c r="O8541" s="29"/>
      <c r="P8541" s="29" t="s">
        <v>13423</v>
      </c>
      <c r="Q8541" t="s">
        <v>2190</v>
      </c>
      <c r="R8541" t="s">
        <v>2635</v>
      </c>
      <c r="S8541">
        <v>38</v>
      </c>
      <c r="T8541" s="43" t="str">
        <f t="shared" si="369"/>
        <v>2021.008M.Arenaviridae_rename.zip</v>
      </c>
      <c r="U8541" s="43" t="str">
        <f>HYPERLINK("https://ictv.global/taxonomy/taxondetails?taxnode_id=202202593","ictv.global=202202593")</f>
        <v>ictv.global=202202593</v>
      </c>
    </row>
    <row r="8542" spans="1:21">
      <c r="A8542">
        <v>8541</v>
      </c>
      <c r="B8542" s="29" t="s">
        <v>3223</v>
      </c>
      <c r="C8542" s="29"/>
      <c r="D8542" s="29" t="s">
        <v>4156</v>
      </c>
      <c r="E8542" s="29"/>
      <c r="F8542" s="29" t="s">
        <v>2998</v>
      </c>
      <c r="G8542" s="29" t="s">
        <v>3020</v>
      </c>
      <c r="H8542" s="29" t="s">
        <v>3021</v>
      </c>
      <c r="I8542" s="29"/>
      <c r="J8542" s="29" t="s">
        <v>2374</v>
      </c>
      <c r="K8542" s="29"/>
      <c r="L8542" s="29" t="s">
        <v>798</v>
      </c>
      <c r="M8542" s="29"/>
      <c r="N8542" s="29" t="s">
        <v>1988</v>
      </c>
      <c r="O8542" s="29"/>
      <c r="P8542" s="29" t="s">
        <v>13424</v>
      </c>
      <c r="Q8542" t="s">
        <v>2190</v>
      </c>
      <c r="R8542" t="s">
        <v>2635</v>
      </c>
      <c r="S8542">
        <v>38</v>
      </c>
      <c r="T8542" s="43" t="str">
        <f t="shared" si="369"/>
        <v>2021.008M.Arenaviridae_rename.zip</v>
      </c>
      <c r="U8542" s="43" t="str">
        <f>HYPERLINK("https://ictv.global/taxonomy/taxondetails?taxnode_id=202202594","ictv.global=202202594")</f>
        <v>ictv.global=202202594</v>
      </c>
    </row>
    <row r="8543" spans="1:21">
      <c r="A8543">
        <v>8542</v>
      </c>
      <c r="B8543" s="29" t="s">
        <v>3223</v>
      </c>
      <c r="C8543" s="29"/>
      <c r="D8543" s="29" t="s">
        <v>4156</v>
      </c>
      <c r="E8543" s="29"/>
      <c r="F8543" s="29" t="s">
        <v>2998</v>
      </c>
      <c r="G8543" s="29" t="s">
        <v>3020</v>
      </c>
      <c r="H8543" s="29" t="s">
        <v>3021</v>
      </c>
      <c r="I8543" s="29"/>
      <c r="J8543" s="29" t="s">
        <v>2374</v>
      </c>
      <c r="K8543" s="29"/>
      <c r="L8543" s="29" t="s">
        <v>798</v>
      </c>
      <c r="M8543" s="29"/>
      <c r="N8543" s="29" t="s">
        <v>1988</v>
      </c>
      <c r="O8543" s="29"/>
      <c r="P8543" s="29" t="s">
        <v>13425</v>
      </c>
      <c r="Q8543" t="s">
        <v>2190</v>
      </c>
      <c r="R8543" t="s">
        <v>2635</v>
      </c>
      <c r="S8543">
        <v>38</v>
      </c>
      <c r="T8543" s="43" t="str">
        <f t="shared" si="369"/>
        <v>2021.008M.Arenaviridae_rename.zip</v>
      </c>
      <c r="U8543" s="43" t="str">
        <f>HYPERLINK("https://ictv.global/taxonomy/taxondetails?taxnode_id=202202596","ictv.global=202202596")</f>
        <v>ictv.global=202202596</v>
      </c>
    </row>
    <row r="8544" spans="1:21">
      <c r="A8544">
        <v>8543</v>
      </c>
      <c r="B8544" s="29" t="s">
        <v>3223</v>
      </c>
      <c r="C8544" s="29"/>
      <c r="D8544" s="29" t="s">
        <v>4156</v>
      </c>
      <c r="E8544" s="29"/>
      <c r="F8544" s="29" t="s">
        <v>2998</v>
      </c>
      <c r="G8544" s="29" t="s">
        <v>3020</v>
      </c>
      <c r="H8544" s="29" t="s">
        <v>3021</v>
      </c>
      <c r="I8544" s="29"/>
      <c r="J8544" s="29" t="s">
        <v>2374</v>
      </c>
      <c r="K8544" s="29"/>
      <c r="L8544" s="29" t="s">
        <v>798</v>
      </c>
      <c r="M8544" s="29"/>
      <c r="N8544" s="29" t="s">
        <v>1988</v>
      </c>
      <c r="O8544" s="29"/>
      <c r="P8544" s="29" t="s">
        <v>13426</v>
      </c>
      <c r="Q8544" t="s">
        <v>2190</v>
      </c>
      <c r="R8544" t="s">
        <v>2635</v>
      </c>
      <c r="S8544">
        <v>38</v>
      </c>
      <c r="T8544" s="43" t="str">
        <f t="shared" si="369"/>
        <v>2021.008M.Arenaviridae_rename.zip</v>
      </c>
      <c r="U8544" s="43" t="str">
        <f>HYPERLINK("https://ictv.global/taxonomy/taxondetails?taxnode_id=202202590","ictv.global=202202590")</f>
        <v>ictv.global=202202590</v>
      </c>
    </row>
    <row r="8545" spans="1:21">
      <c r="A8545">
        <v>8544</v>
      </c>
      <c r="B8545" s="29" t="s">
        <v>3223</v>
      </c>
      <c r="C8545" s="29"/>
      <c r="D8545" s="29" t="s">
        <v>4156</v>
      </c>
      <c r="E8545" s="29"/>
      <c r="F8545" s="29" t="s">
        <v>2998</v>
      </c>
      <c r="G8545" s="29" t="s">
        <v>3020</v>
      </c>
      <c r="H8545" s="29" t="s">
        <v>3021</v>
      </c>
      <c r="I8545" s="29"/>
      <c r="J8545" s="29" t="s">
        <v>2374</v>
      </c>
      <c r="K8545" s="29"/>
      <c r="L8545" s="29" t="s">
        <v>798</v>
      </c>
      <c r="M8545" s="29"/>
      <c r="N8545" s="29" t="s">
        <v>1988</v>
      </c>
      <c r="O8545" s="29"/>
      <c r="P8545" s="29" t="s">
        <v>13427</v>
      </c>
      <c r="Q8545" t="s">
        <v>2190</v>
      </c>
      <c r="R8545" t="s">
        <v>2635</v>
      </c>
      <c r="S8545">
        <v>38</v>
      </c>
      <c r="T8545" s="43" t="str">
        <f t="shared" si="369"/>
        <v>2021.008M.Arenaviridae_rename.zip</v>
      </c>
      <c r="U8545" s="43" t="str">
        <f>HYPERLINK("https://ictv.global/taxonomy/taxondetails?taxnode_id=202205742","ictv.global=202205742")</f>
        <v>ictv.global=202205742</v>
      </c>
    </row>
    <row r="8546" spans="1:21">
      <c r="A8546">
        <v>8545</v>
      </c>
      <c r="B8546" s="29" t="s">
        <v>3223</v>
      </c>
      <c r="C8546" s="29"/>
      <c r="D8546" s="29" t="s">
        <v>4156</v>
      </c>
      <c r="E8546" s="29"/>
      <c r="F8546" s="29" t="s">
        <v>2998</v>
      </c>
      <c r="G8546" s="29" t="s">
        <v>3020</v>
      </c>
      <c r="H8546" s="29" t="s">
        <v>3021</v>
      </c>
      <c r="I8546" s="29"/>
      <c r="J8546" s="29" t="s">
        <v>2374</v>
      </c>
      <c r="K8546" s="29"/>
      <c r="L8546" s="29" t="s">
        <v>798</v>
      </c>
      <c r="M8546" s="29"/>
      <c r="N8546" s="29" t="s">
        <v>1988</v>
      </c>
      <c r="O8546" s="29"/>
      <c r="P8546" s="29" t="s">
        <v>13428</v>
      </c>
      <c r="Q8546" t="s">
        <v>2190</v>
      </c>
      <c r="R8546" t="s">
        <v>2635</v>
      </c>
      <c r="S8546">
        <v>38</v>
      </c>
      <c r="T8546" s="43" t="str">
        <f t="shared" si="369"/>
        <v>2021.008M.Arenaviridae_rename.zip</v>
      </c>
      <c r="U8546" s="43" t="str">
        <f>HYPERLINK("https://ictv.global/taxonomy/taxondetails?taxnode_id=202202598","ictv.global=202202598")</f>
        <v>ictv.global=202202598</v>
      </c>
    </row>
    <row r="8547" spans="1:21">
      <c r="A8547">
        <v>8546</v>
      </c>
      <c r="B8547" s="29" t="s">
        <v>3223</v>
      </c>
      <c r="C8547" s="29"/>
      <c r="D8547" s="29" t="s">
        <v>4156</v>
      </c>
      <c r="E8547" s="29"/>
      <c r="F8547" s="29" t="s">
        <v>2998</v>
      </c>
      <c r="G8547" s="29" t="s">
        <v>3020</v>
      </c>
      <c r="H8547" s="29" t="s">
        <v>3021</v>
      </c>
      <c r="I8547" s="29"/>
      <c r="J8547" s="29" t="s">
        <v>2374</v>
      </c>
      <c r="K8547" s="29"/>
      <c r="L8547" s="29" t="s">
        <v>798</v>
      </c>
      <c r="M8547" s="29"/>
      <c r="N8547" s="29" t="s">
        <v>1988</v>
      </c>
      <c r="O8547" s="29"/>
      <c r="P8547" s="29" t="s">
        <v>13429</v>
      </c>
      <c r="Q8547" t="s">
        <v>2190</v>
      </c>
      <c r="R8547" t="s">
        <v>2635</v>
      </c>
      <c r="S8547">
        <v>38</v>
      </c>
      <c r="T8547" s="43" t="str">
        <f t="shared" si="369"/>
        <v>2021.008M.Arenaviridae_rename.zip</v>
      </c>
      <c r="U8547" s="43" t="str">
        <f>HYPERLINK("https://ictv.global/taxonomy/taxondetails?taxnode_id=202202599","ictv.global=202202599")</f>
        <v>ictv.global=202202599</v>
      </c>
    </row>
    <row r="8548" spans="1:21">
      <c r="A8548">
        <v>8547</v>
      </c>
      <c r="B8548" s="29" t="s">
        <v>3223</v>
      </c>
      <c r="C8548" s="29"/>
      <c r="D8548" s="29" t="s">
        <v>4156</v>
      </c>
      <c r="E8548" s="29"/>
      <c r="F8548" s="29" t="s">
        <v>2998</v>
      </c>
      <c r="G8548" s="29" t="s">
        <v>3020</v>
      </c>
      <c r="H8548" s="29" t="s">
        <v>3021</v>
      </c>
      <c r="I8548" s="29"/>
      <c r="J8548" s="29" t="s">
        <v>2374</v>
      </c>
      <c r="K8548" s="29"/>
      <c r="L8548" s="29" t="s">
        <v>798</v>
      </c>
      <c r="M8548" s="29"/>
      <c r="N8548" s="29" t="s">
        <v>1988</v>
      </c>
      <c r="O8548" s="29"/>
      <c r="P8548" s="29" t="s">
        <v>13430</v>
      </c>
      <c r="Q8548" t="s">
        <v>2190</v>
      </c>
      <c r="R8548" t="s">
        <v>2635</v>
      </c>
      <c r="S8548">
        <v>38</v>
      </c>
      <c r="T8548" s="43" t="str">
        <f t="shared" si="369"/>
        <v>2021.008M.Arenaviridae_rename.zip</v>
      </c>
      <c r="U8548" s="43" t="str">
        <f>HYPERLINK("https://ictv.global/taxonomy/taxondetails?taxnode_id=202202600","ictv.global=202202600")</f>
        <v>ictv.global=202202600</v>
      </c>
    </row>
    <row r="8549" spans="1:21">
      <c r="A8549">
        <v>8548</v>
      </c>
      <c r="B8549" s="29" t="s">
        <v>3223</v>
      </c>
      <c r="C8549" s="29"/>
      <c r="D8549" s="29" t="s">
        <v>4156</v>
      </c>
      <c r="E8549" s="29"/>
      <c r="F8549" s="29" t="s">
        <v>2998</v>
      </c>
      <c r="G8549" s="29" t="s">
        <v>3020</v>
      </c>
      <c r="H8549" s="29" t="s">
        <v>3021</v>
      </c>
      <c r="I8549" s="29"/>
      <c r="J8549" s="29" t="s">
        <v>2374</v>
      </c>
      <c r="K8549" s="29"/>
      <c r="L8549" s="29" t="s">
        <v>798</v>
      </c>
      <c r="M8549" s="29"/>
      <c r="N8549" s="29" t="s">
        <v>1988</v>
      </c>
      <c r="O8549" s="29"/>
      <c r="P8549" s="29" t="s">
        <v>13431</v>
      </c>
      <c r="Q8549" t="s">
        <v>2190</v>
      </c>
      <c r="R8549" t="s">
        <v>2635</v>
      </c>
      <c r="S8549">
        <v>38</v>
      </c>
      <c r="T8549" s="43" t="str">
        <f t="shared" si="369"/>
        <v>2021.008M.Arenaviridae_rename.zip</v>
      </c>
      <c r="U8549" s="43" t="str">
        <f>HYPERLINK("https://ictv.global/taxonomy/taxondetails?taxnode_id=202202601","ictv.global=202202601")</f>
        <v>ictv.global=202202601</v>
      </c>
    </row>
    <row r="8550" spans="1:21">
      <c r="A8550">
        <v>8549</v>
      </c>
      <c r="B8550" s="29" t="s">
        <v>3223</v>
      </c>
      <c r="C8550" s="29"/>
      <c r="D8550" s="29" t="s">
        <v>4156</v>
      </c>
      <c r="E8550" s="29"/>
      <c r="F8550" s="29" t="s">
        <v>2998</v>
      </c>
      <c r="G8550" s="29" t="s">
        <v>3020</v>
      </c>
      <c r="H8550" s="29" t="s">
        <v>3021</v>
      </c>
      <c r="I8550" s="29"/>
      <c r="J8550" s="29" t="s">
        <v>2374</v>
      </c>
      <c r="K8550" s="29"/>
      <c r="L8550" s="29" t="s">
        <v>798</v>
      </c>
      <c r="M8550" s="29"/>
      <c r="N8550" s="29" t="s">
        <v>1988</v>
      </c>
      <c r="O8550" s="29"/>
      <c r="P8550" s="29" t="s">
        <v>13432</v>
      </c>
      <c r="Q8550" t="s">
        <v>2190</v>
      </c>
      <c r="R8550" t="s">
        <v>2635</v>
      </c>
      <c r="S8550">
        <v>38</v>
      </c>
      <c r="T8550" s="43" t="str">
        <f t="shared" si="369"/>
        <v>2021.008M.Arenaviridae_rename.zip</v>
      </c>
      <c r="U8550" s="43" t="str">
        <f>HYPERLINK("https://ictv.global/taxonomy/taxondetails?taxnode_id=202202602","ictv.global=202202602")</f>
        <v>ictv.global=202202602</v>
      </c>
    </row>
    <row r="8551" spans="1:21">
      <c r="A8551">
        <v>8550</v>
      </c>
      <c r="B8551" s="29" t="s">
        <v>3223</v>
      </c>
      <c r="C8551" s="29"/>
      <c r="D8551" s="29" t="s">
        <v>4156</v>
      </c>
      <c r="E8551" s="29"/>
      <c r="F8551" s="29" t="s">
        <v>2998</v>
      </c>
      <c r="G8551" s="29" t="s">
        <v>3020</v>
      </c>
      <c r="H8551" s="29" t="s">
        <v>3021</v>
      </c>
      <c r="I8551" s="29"/>
      <c r="J8551" s="29" t="s">
        <v>2374</v>
      </c>
      <c r="K8551" s="29"/>
      <c r="L8551" s="29" t="s">
        <v>798</v>
      </c>
      <c r="M8551" s="29"/>
      <c r="N8551" s="29" t="s">
        <v>1988</v>
      </c>
      <c r="O8551" s="29"/>
      <c r="P8551" s="29" t="s">
        <v>13433</v>
      </c>
      <c r="Q8551" t="s">
        <v>2190</v>
      </c>
      <c r="R8551" t="s">
        <v>2635</v>
      </c>
      <c r="S8551">
        <v>38</v>
      </c>
      <c r="T8551" s="43" t="str">
        <f t="shared" si="369"/>
        <v>2021.008M.Arenaviridae_rename.zip</v>
      </c>
      <c r="U8551" s="43" t="str">
        <f>HYPERLINK("https://ictv.global/taxonomy/taxondetails?taxnode_id=202207185","ictv.global=202207185")</f>
        <v>ictv.global=202207185</v>
      </c>
    </row>
    <row r="8552" spans="1:21">
      <c r="A8552">
        <v>8551</v>
      </c>
      <c r="B8552" s="29" t="s">
        <v>3223</v>
      </c>
      <c r="C8552" s="29"/>
      <c r="D8552" s="29" t="s">
        <v>4156</v>
      </c>
      <c r="E8552" s="29"/>
      <c r="F8552" s="29" t="s">
        <v>2998</v>
      </c>
      <c r="G8552" s="29" t="s">
        <v>3020</v>
      </c>
      <c r="H8552" s="29" t="s">
        <v>3021</v>
      </c>
      <c r="I8552" s="29"/>
      <c r="J8552" s="29" t="s">
        <v>2374</v>
      </c>
      <c r="K8552" s="29"/>
      <c r="L8552" s="29" t="s">
        <v>798</v>
      </c>
      <c r="M8552" s="29"/>
      <c r="N8552" s="29" t="s">
        <v>1989</v>
      </c>
      <c r="O8552" s="29"/>
      <c r="P8552" s="29" t="s">
        <v>13434</v>
      </c>
      <c r="Q8552" t="s">
        <v>2190</v>
      </c>
      <c r="R8552" t="s">
        <v>2635</v>
      </c>
      <c r="S8552">
        <v>38</v>
      </c>
      <c r="T8552" s="43" t="str">
        <f t="shared" si="369"/>
        <v>2021.008M.Arenaviridae_rename.zip</v>
      </c>
      <c r="U8552" s="43" t="str">
        <f>HYPERLINK("https://ictv.global/taxonomy/taxondetails?taxnode_id=202202604","ictv.global=202202604")</f>
        <v>ictv.global=202202604</v>
      </c>
    </row>
    <row r="8553" spans="1:21">
      <c r="A8553">
        <v>8552</v>
      </c>
      <c r="B8553" s="29" t="s">
        <v>3223</v>
      </c>
      <c r="C8553" s="29"/>
      <c r="D8553" s="29" t="s">
        <v>4156</v>
      </c>
      <c r="E8553" s="29"/>
      <c r="F8553" s="29" t="s">
        <v>2998</v>
      </c>
      <c r="G8553" s="29" t="s">
        <v>3020</v>
      </c>
      <c r="H8553" s="29" t="s">
        <v>3021</v>
      </c>
      <c r="I8553" s="29"/>
      <c r="J8553" s="29" t="s">
        <v>2374</v>
      </c>
      <c r="K8553" s="29"/>
      <c r="L8553" s="29" t="s">
        <v>798</v>
      </c>
      <c r="M8553" s="29"/>
      <c r="N8553" s="29" t="s">
        <v>1989</v>
      </c>
      <c r="O8553" s="29"/>
      <c r="P8553" s="29" t="s">
        <v>13435</v>
      </c>
      <c r="Q8553" t="s">
        <v>2190</v>
      </c>
      <c r="R8553" t="s">
        <v>2635</v>
      </c>
      <c r="S8553">
        <v>38</v>
      </c>
      <c r="T8553" s="43" t="str">
        <f t="shared" si="369"/>
        <v>2021.008M.Arenaviridae_rename.zip</v>
      </c>
      <c r="U8553" s="43" t="str">
        <f>HYPERLINK("https://ictv.global/taxonomy/taxondetails?taxnode_id=202202605","ictv.global=202202605")</f>
        <v>ictv.global=202202605</v>
      </c>
    </row>
    <row r="8554" spans="1:21">
      <c r="A8554">
        <v>8553</v>
      </c>
      <c r="B8554" s="29" t="s">
        <v>3223</v>
      </c>
      <c r="C8554" s="29"/>
      <c r="D8554" s="29" t="s">
        <v>4156</v>
      </c>
      <c r="E8554" s="29"/>
      <c r="F8554" s="29" t="s">
        <v>2998</v>
      </c>
      <c r="G8554" s="29" t="s">
        <v>3020</v>
      </c>
      <c r="H8554" s="29" t="s">
        <v>3021</v>
      </c>
      <c r="I8554" s="29"/>
      <c r="J8554" s="29" t="s">
        <v>2374</v>
      </c>
      <c r="K8554" s="29"/>
      <c r="L8554" s="29" t="s">
        <v>798</v>
      </c>
      <c r="M8554" s="29"/>
      <c r="N8554" s="29" t="s">
        <v>1989</v>
      </c>
      <c r="O8554" s="29"/>
      <c r="P8554" s="29" t="s">
        <v>13436</v>
      </c>
      <c r="Q8554" t="s">
        <v>2190</v>
      </c>
      <c r="R8554" t="s">
        <v>2635</v>
      </c>
      <c r="S8554">
        <v>38</v>
      </c>
      <c r="T8554" s="43" t="str">
        <f t="shared" si="369"/>
        <v>2021.008M.Arenaviridae_rename.zip</v>
      </c>
      <c r="U8554" s="43" t="str">
        <f>HYPERLINK("https://ictv.global/taxonomy/taxondetails?taxnode_id=202205745","ictv.global=202205745")</f>
        <v>ictv.global=202205745</v>
      </c>
    </row>
    <row r="8555" spans="1:21">
      <c r="A8555">
        <v>8554</v>
      </c>
      <c r="B8555" s="29" t="s">
        <v>3223</v>
      </c>
      <c r="C8555" s="29"/>
      <c r="D8555" s="29" t="s">
        <v>4156</v>
      </c>
      <c r="E8555" s="29"/>
      <c r="F8555" s="29" t="s">
        <v>2998</v>
      </c>
      <c r="G8555" s="29" t="s">
        <v>3020</v>
      </c>
      <c r="H8555" s="29" t="s">
        <v>3021</v>
      </c>
      <c r="I8555" s="29"/>
      <c r="J8555" s="29" t="s">
        <v>2374</v>
      </c>
      <c r="K8555" s="29"/>
      <c r="L8555" s="29" t="s">
        <v>798</v>
      </c>
      <c r="M8555" s="29"/>
      <c r="N8555" s="29" t="s">
        <v>1989</v>
      </c>
      <c r="O8555" s="29"/>
      <c r="P8555" s="29" t="s">
        <v>13437</v>
      </c>
      <c r="Q8555" t="s">
        <v>2190</v>
      </c>
      <c r="R8555" t="s">
        <v>2635</v>
      </c>
      <c r="S8555">
        <v>38</v>
      </c>
      <c r="T8555" s="43" t="str">
        <f t="shared" si="369"/>
        <v>2021.008M.Arenaviridae_rename.zip</v>
      </c>
      <c r="U8555" s="43" t="str">
        <f>HYPERLINK("https://ictv.global/taxonomy/taxondetails?taxnode_id=202205744","ictv.global=202205744")</f>
        <v>ictv.global=202205744</v>
      </c>
    </row>
    <row r="8556" spans="1:21">
      <c r="A8556">
        <v>8555</v>
      </c>
      <c r="B8556" s="29" t="s">
        <v>3223</v>
      </c>
      <c r="C8556" s="29"/>
      <c r="D8556" s="29" t="s">
        <v>4156</v>
      </c>
      <c r="E8556" s="29"/>
      <c r="F8556" s="29" t="s">
        <v>2998</v>
      </c>
      <c r="G8556" s="29" t="s">
        <v>3020</v>
      </c>
      <c r="H8556" s="29" t="s">
        <v>3021</v>
      </c>
      <c r="I8556" s="29"/>
      <c r="J8556" s="29" t="s">
        <v>2374</v>
      </c>
      <c r="K8556" s="29"/>
      <c r="L8556" s="29" t="s">
        <v>798</v>
      </c>
      <c r="M8556" s="29"/>
      <c r="N8556" s="29" t="s">
        <v>1989</v>
      </c>
      <c r="O8556" s="29"/>
      <c r="P8556" s="29" t="s">
        <v>13438</v>
      </c>
      <c r="Q8556" t="s">
        <v>2190</v>
      </c>
      <c r="R8556" t="s">
        <v>2635</v>
      </c>
      <c r="S8556">
        <v>38</v>
      </c>
      <c r="T8556" s="43" t="str">
        <f t="shared" si="369"/>
        <v>2021.008M.Arenaviridae_rename.zip</v>
      </c>
      <c r="U8556" s="43" t="str">
        <f>HYPERLINK("https://ictv.global/taxonomy/taxondetails?taxnode_id=202202606","ictv.global=202202606")</f>
        <v>ictv.global=202202606</v>
      </c>
    </row>
    <row r="8557" spans="1:21">
      <c r="A8557">
        <v>8556</v>
      </c>
      <c r="B8557" s="29" t="s">
        <v>3223</v>
      </c>
      <c r="C8557" s="29"/>
      <c r="D8557" s="29" t="s">
        <v>4156</v>
      </c>
      <c r="E8557" s="29"/>
      <c r="F8557" s="29" t="s">
        <v>2998</v>
      </c>
      <c r="G8557" s="29" t="s">
        <v>3020</v>
      </c>
      <c r="H8557" s="29" t="s">
        <v>3021</v>
      </c>
      <c r="I8557" s="29"/>
      <c r="J8557" s="29" t="s">
        <v>2374</v>
      </c>
      <c r="K8557" s="29"/>
      <c r="L8557" s="29" t="s">
        <v>3022</v>
      </c>
      <c r="M8557" s="29"/>
      <c r="N8557" s="29" t="s">
        <v>3023</v>
      </c>
      <c r="O8557" s="29"/>
      <c r="P8557" s="29" t="s">
        <v>6669</v>
      </c>
      <c r="Q8557" t="s">
        <v>2039</v>
      </c>
      <c r="R8557" t="s">
        <v>2632</v>
      </c>
      <c r="S8557">
        <v>36</v>
      </c>
      <c r="T8557" s="43" t="str">
        <f>HYPERLINK("https://ictv.global/ictv/proposals/2020.002M.R.Lincruvirus_2nsp.zip","2020.002M.R.Lincruvirus_2nsp.zip")</f>
        <v>2020.002M.R.Lincruvirus_2nsp.zip</v>
      </c>
      <c r="U8557" s="43" t="str">
        <f>HYPERLINK("https://ictv.global/taxonomy/taxondetails?taxnode_id=202208791","ictv.global=202208791")</f>
        <v>ictv.global=202208791</v>
      </c>
    </row>
    <row r="8558" spans="1:21">
      <c r="A8558">
        <v>8557</v>
      </c>
      <c r="B8558" s="29" t="s">
        <v>3223</v>
      </c>
      <c r="C8558" s="29"/>
      <c r="D8558" s="29" t="s">
        <v>4156</v>
      </c>
      <c r="E8558" s="29"/>
      <c r="F8558" s="29" t="s">
        <v>2998</v>
      </c>
      <c r="G8558" s="29" t="s">
        <v>3020</v>
      </c>
      <c r="H8558" s="29" t="s">
        <v>3021</v>
      </c>
      <c r="I8558" s="29"/>
      <c r="J8558" s="29" t="s">
        <v>2374</v>
      </c>
      <c r="K8558" s="29"/>
      <c r="L8558" s="29" t="s">
        <v>3022</v>
      </c>
      <c r="M8558" s="29"/>
      <c r="N8558" s="29" t="s">
        <v>3023</v>
      </c>
      <c r="O8558" s="29"/>
      <c r="P8558" s="29" t="s">
        <v>6670</v>
      </c>
      <c r="Q8558" t="s">
        <v>2039</v>
      </c>
      <c r="R8558" t="s">
        <v>2632</v>
      </c>
      <c r="S8558">
        <v>36</v>
      </c>
      <c r="T8558" s="43" t="str">
        <f>HYPERLINK("https://ictv.global/ictv/proposals/2020.002M.R.Lincruvirus_2nsp.zip","2020.002M.R.Lincruvirus_2nsp.zip")</f>
        <v>2020.002M.R.Lincruvirus_2nsp.zip</v>
      </c>
      <c r="U8558" s="43" t="str">
        <f>HYPERLINK("https://ictv.global/taxonomy/taxondetails?taxnode_id=202208792","ictv.global=202208792")</f>
        <v>ictv.global=202208792</v>
      </c>
    </row>
    <row r="8559" spans="1:21">
      <c r="A8559">
        <v>8558</v>
      </c>
      <c r="B8559" s="29" t="s">
        <v>3223</v>
      </c>
      <c r="C8559" s="29"/>
      <c r="D8559" s="29" t="s">
        <v>4156</v>
      </c>
      <c r="E8559" s="29"/>
      <c r="F8559" s="29" t="s">
        <v>2998</v>
      </c>
      <c r="G8559" s="29" t="s">
        <v>3020</v>
      </c>
      <c r="H8559" s="29" t="s">
        <v>3021</v>
      </c>
      <c r="I8559" s="29"/>
      <c r="J8559" s="29" t="s">
        <v>2374</v>
      </c>
      <c r="K8559" s="29"/>
      <c r="L8559" s="29" t="s">
        <v>3022</v>
      </c>
      <c r="M8559" s="29"/>
      <c r="N8559" s="29" t="s">
        <v>3023</v>
      </c>
      <c r="O8559" s="29"/>
      <c r="P8559" s="29" t="s">
        <v>6671</v>
      </c>
      <c r="Q8559" t="s">
        <v>2039</v>
      </c>
      <c r="R8559" t="s">
        <v>6902</v>
      </c>
      <c r="S8559">
        <v>36</v>
      </c>
      <c r="T8559" s="43" t="str">
        <f>HYPERLINK("https://ictv.global/ictv/proposals/2020.002M.R.Lincruvirus_2nsp.zip","2020.002M.R.Lincruvirus_2nsp.zip;2020.001G.R.Abolish_type_species.pdf")</f>
        <v>2020.002M.R.Lincruvirus_2nsp.zip;2020.001G.R.Abolish_type_species.pdf</v>
      </c>
      <c r="U8559" s="43" t="str">
        <f>HYPERLINK("https://ictv.global/taxonomy/taxondetails?taxnode_id=202206209","ictv.global=202206209")</f>
        <v>ictv.global=202206209</v>
      </c>
    </row>
    <row r="8560" spans="1:21">
      <c r="A8560">
        <v>8559</v>
      </c>
      <c r="B8560" s="29" t="s">
        <v>3223</v>
      </c>
      <c r="C8560" s="29"/>
      <c r="D8560" s="29" t="s">
        <v>4156</v>
      </c>
      <c r="E8560" s="29"/>
      <c r="F8560" s="29" t="s">
        <v>2998</v>
      </c>
      <c r="G8560" s="29" t="s">
        <v>3020</v>
      </c>
      <c r="H8560" s="29" t="s">
        <v>3021</v>
      </c>
      <c r="I8560" s="29"/>
      <c r="J8560" s="29" t="s">
        <v>2374</v>
      </c>
      <c r="K8560" s="29"/>
      <c r="L8560" s="29" t="s">
        <v>13439</v>
      </c>
      <c r="M8560" s="29"/>
      <c r="N8560" s="29" t="s">
        <v>13440</v>
      </c>
      <c r="O8560" s="29"/>
      <c r="P8560" s="29" t="s">
        <v>13441</v>
      </c>
      <c r="Q8560" t="s">
        <v>2039</v>
      </c>
      <c r="R8560" t="s">
        <v>2632</v>
      </c>
      <c r="S8560">
        <v>37</v>
      </c>
      <c r="T8560" s="43" t="str">
        <f>HYPERLINK("https://ictv.global/ictv/proposals/2021.040M.R.Bunyavirales_2nfam_2ngen_6nsp.zip","2021.040M.R.Bunyavirales_2nfam_2ngen_6nsp.zip")</f>
        <v>2021.040M.R.Bunyavirales_2nfam_2ngen_6nsp.zip</v>
      </c>
      <c r="U8560" s="43" t="str">
        <f>HYPERLINK("https://ictv.global/taxonomy/taxondetails?taxnode_id=202212956","ictv.global=202212956")</f>
        <v>ictv.global=202212956</v>
      </c>
    </row>
    <row r="8561" spans="1:21">
      <c r="A8561">
        <v>8560</v>
      </c>
      <c r="B8561" s="29" t="s">
        <v>3223</v>
      </c>
      <c r="C8561" s="29"/>
      <c r="D8561" s="29" t="s">
        <v>4156</v>
      </c>
      <c r="E8561" s="29"/>
      <c r="F8561" s="29" t="s">
        <v>2998</v>
      </c>
      <c r="G8561" s="29" t="s">
        <v>3020</v>
      </c>
      <c r="H8561" s="29" t="s">
        <v>3021</v>
      </c>
      <c r="I8561" s="29"/>
      <c r="J8561" s="29" t="s">
        <v>2374</v>
      </c>
      <c r="K8561" s="29"/>
      <c r="L8561" s="29" t="s">
        <v>13439</v>
      </c>
      <c r="M8561" s="29"/>
      <c r="N8561" s="29" t="s">
        <v>13440</v>
      </c>
      <c r="O8561" s="29"/>
      <c r="P8561" s="29" t="s">
        <v>13442</v>
      </c>
      <c r="Q8561" t="s">
        <v>2039</v>
      </c>
      <c r="R8561" t="s">
        <v>2632</v>
      </c>
      <c r="S8561">
        <v>37</v>
      </c>
      <c r="T8561" s="43" t="str">
        <f>HYPERLINK("https://ictv.global/ictv/proposals/2021.040M.R.Bunyavirales_2nfam_2ngen_6nsp.zip","2021.040M.R.Bunyavirales_2nfam_2ngen_6nsp.zip")</f>
        <v>2021.040M.R.Bunyavirales_2nfam_2ngen_6nsp.zip</v>
      </c>
      <c r="U8561" s="43" t="str">
        <f>HYPERLINK("https://ictv.global/taxonomy/taxondetails?taxnode_id=202212957","ictv.global=202212957")</f>
        <v>ictv.global=202212957</v>
      </c>
    </row>
    <row r="8562" spans="1:21">
      <c r="A8562">
        <v>8561</v>
      </c>
      <c r="B8562" s="29" t="s">
        <v>3223</v>
      </c>
      <c r="C8562" s="29"/>
      <c r="D8562" s="29" t="s">
        <v>4156</v>
      </c>
      <c r="E8562" s="29"/>
      <c r="F8562" s="29" t="s">
        <v>2998</v>
      </c>
      <c r="G8562" s="29" t="s">
        <v>3020</v>
      </c>
      <c r="H8562" s="29" t="s">
        <v>3021</v>
      </c>
      <c r="I8562" s="29"/>
      <c r="J8562" s="29" t="s">
        <v>2374</v>
      </c>
      <c r="K8562" s="29"/>
      <c r="L8562" s="29" t="s">
        <v>13439</v>
      </c>
      <c r="M8562" s="29"/>
      <c r="N8562" s="29" t="s">
        <v>13440</v>
      </c>
      <c r="O8562" s="29"/>
      <c r="P8562" s="29" t="s">
        <v>13443</v>
      </c>
      <c r="Q8562" t="s">
        <v>2039</v>
      </c>
      <c r="R8562" t="s">
        <v>2632</v>
      </c>
      <c r="S8562">
        <v>37</v>
      </c>
      <c r="T8562" s="43" t="str">
        <f>HYPERLINK("https://ictv.global/ictv/proposals/2021.040M.R.Bunyavirales_2nfam_2ngen_6nsp.zip","2021.040M.R.Bunyavirales_2nfam_2ngen_6nsp.zip")</f>
        <v>2021.040M.R.Bunyavirales_2nfam_2ngen_6nsp.zip</v>
      </c>
      <c r="U8562" s="43" t="str">
        <f>HYPERLINK("https://ictv.global/taxonomy/taxondetails?taxnode_id=202212958","ictv.global=202212958")</f>
        <v>ictv.global=202212958</v>
      </c>
    </row>
    <row r="8563" spans="1:21">
      <c r="A8563">
        <v>8562</v>
      </c>
      <c r="B8563" s="29" t="s">
        <v>3223</v>
      </c>
      <c r="C8563" s="29"/>
      <c r="D8563" s="29" t="s">
        <v>4156</v>
      </c>
      <c r="E8563" s="29"/>
      <c r="F8563" s="29" t="s">
        <v>2998</v>
      </c>
      <c r="G8563" s="29" t="s">
        <v>3020</v>
      </c>
      <c r="H8563" s="29" t="s">
        <v>3021</v>
      </c>
      <c r="I8563" s="29"/>
      <c r="J8563" s="29" t="s">
        <v>2374</v>
      </c>
      <c r="K8563" s="29"/>
      <c r="L8563" s="29" t="s">
        <v>13439</v>
      </c>
      <c r="M8563" s="29"/>
      <c r="N8563" s="29" t="s">
        <v>13440</v>
      </c>
      <c r="O8563" s="29"/>
      <c r="P8563" s="29" t="s">
        <v>13444</v>
      </c>
      <c r="Q8563" t="s">
        <v>2039</v>
      </c>
      <c r="R8563" t="s">
        <v>2632</v>
      </c>
      <c r="S8563">
        <v>37</v>
      </c>
      <c r="T8563" s="43" t="str">
        <f>HYPERLINK("https://ictv.global/ictv/proposals/2021.040M.R.Bunyavirales_2nfam_2ngen_6nsp.zip","2021.040M.R.Bunyavirales_2nfam_2ngen_6nsp.zip")</f>
        <v>2021.040M.R.Bunyavirales_2nfam_2ngen_6nsp.zip</v>
      </c>
      <c r="U8563" s="43" t="str">
        <f>HYPERLINK("https://ictv.global/taxonomy/taxondetails?taxnode_id=202212955","ictv.global=202212955")</f>
        <v>ictv.global=202212955</v>
      </c>
    </row>
    <row r="8564" spans="1:21">
      <c r="A8564">
        <v>8563</v>
      </c>
      <c r="B8564" s="29" t="s">
        <v>3223</v>
      </c>
      <c r="C8564" s="29"/>
      <c r="D8564" s="29" t="s">
        <v>4156</v>
      </c>
      <c r="E8564" s="29"/>
      <c r="F8564" s="29" t="s">
        <v>2998</v>
      </c>
      <c r="G8564" s="29" t="s">
        <v>3020</v>
      </c>
      <c r="H8564" s="29" t="s">
        <v>3021</v>
      </c>
      <c r="I8564" s="29"/>
      <c r="J8564" s="29" t="s">
        <v>2374</v>
      </c>
      <c r="K8564" s="29"/>
      <c r="L8564" s="29" t="s">
        <v>13439</v>
      </c>
      <c r="M8564" s="29"/>
      <c r="N8564" s="29" t="s">
        <v>13440</v>
      </c>
      <c r="O8564" s="29"/>
      <c r="P8564" s="29" t="s">
        <v>13445</v>
      </c>
      <c r="Q8564" t="s">
        <v>2039</v>
      </c>
      <c r="R8564" t="s">
        <v>2632</v>
      </c>
      <c r="S8564">
        <v>37</v>
      </c>
      <c r="T8564" s="43" t="str">
        <f>HYPERLINK("https://ictv.global/ictv/proposals/2021.040M.R.Bunyavirales_2nfam_2ngen_6nsp.zip","2021.040M.R.Bunyavirales_2nfam_2ngen_6nsp.zip")</f>
        <v>2021.040M.R.Bunyavirales_2nfam_2ngen_6nsp.zip</v>
      </c>
      <c r="U8564" s="43" t="str">
        <f>HYPERLINK("https://ictv.global/taxonomy/taxondetails?taxnode_id=202212954","ictv.global=202212954")</f>
        <v>ictv.global=202212954</v>
      </c>
    </row>
    <row r="8565" spans="1:21">
      <c r="A8565">
        <v>8564</v>
      </c>
      <c r="B8565" s="29" t="s">
        <v>3223</v>
      </c>
      <c r="C8565" s="29"/>
      <c r="D8565" s="29" t="s">
        <v>4156</v>
      </c>
      <c r="E8565" s="29"/>
      <c r="F8565" s="29" t="s">
        <v>2998</v>
      </c>
      <c r="G8565" s="29" t="s">
        <v>3020</v>
      </c>
      <c r="H8565" s="29" t="s">
        <v>3021</v>
      </c>
      <c r="I8565" s="29"/>
      <c r="J8565" s="29" t="s">
        <v>2374</v>
      </c>
      <c r="K8565" s="29"/>
      <c r="L8565" s="29" t="s">
        <v>2375</v>
      </c>
      <c r="M8565" s="29"/>
      <c r="N8565" s="29" t="s">
        <v>457</v>
      </c>
      <c r="O8565" s="29"/>
      <c r="P8565" s="29" t="s">
        <v>13446</v>
      </c>
      <c r="Q8565" t="s">
        <v>2039</v>
      </c>
      <c r="R8565" t="s">
        <v>2632</v>
      </c>
      <c r="S8565">
        <v>37</v>
      </c>
      <c r="T8565" s="43" t="str">
        <f>HYPERLINK("https://ictv.global/ictv/proposals/2021.010P.R.Emaravirus_1ns.zip","2021.010P.R.Emaravirus_1ns.zip")</f>
        <v>2021.010P.R.Emaravirus_1ns.zip</v>
      </c>
      <c r="U8565" s="43" t="str">
        <f>HYPERLINK("https://ictv.global/taxonomy/taxondetails?taxnode_id=202213864","ictv.global=202213864")</f>
        <v>ictv.global=202213864</v>
      </c>
    </row>
    <row r="8566" spans="1:21">
      <c r="A8566">
        <v>8565</v>
      </c>
      <c r="B8566" s="29" t="s">
        <v>3223</v>
      </c>
      <c r="C8566" s="29"/>
      <c r="D8566" s="29" t="s">
        <v>4156</v>
      </c>
      <c r="E8566" s="29"/>
      <c r="F8566" s="29" t="s">
        <v>2998</v>
      </c>
      <c r="G8566" s="29" t="s">
        <v>3020</v>
      </c>
      <c r="H8566" s="29" t="s">
        <v>3021</v>
      </c>
      <c r="I8566" s="29"/>
      <c r="J8566" s="29" t="s">
        <v>2374</v>
      </c>
      <c r="K8566" s="29"/>
      <c r="L8566" s="29" t="s">
        <v>2375</v>
      </c>
      <c r="M8566" s="29"/>
      <c r="N8566" s="29" t="s">
        <v>457</v>
      </c>
      <c r="O8566" s="29"/>
      <c r="P8566" s="29" t="s">
        <v>13447</v>
      </c>
      <c r="Q8566" t="s">
        <v>2039</v>
      </c>
      <c r="R8566" t="s">
        <v>2635</v>
      </c>
      <c r="S8566">
        <v>37</v>
      </c>
      <c r="T8566" s="43" t="str">
        <f>HYPERLINK("https://ictv.global/ictv/proposals/2021.013P.R.Fimoviridae_rename.zip","2021.013P.R.Fimoviridae_rename.zip")</f>
        <v>2021.013P.R.Fimoviridae_rename.zip</v>
      </c>
      <c r="U8566" s="43" t="str">
        <f>HYPERLINK("https://ictv.global/taxonomy/taxondetails?taxnode_id=202200009","ictv.global=202200009")</f>
        <v>ictv.global=202200009</v>
      </c>
    </row>
    <row r="8567" spans="1:21">
      <c r="A8567">
        <v>8566</v>
      </c>
      <c r="B8567" s="29" t="s">
        <v>3223</v>
      </c>
      <c r="C8567" s="29"/>
      <c r="D8567" s="29" t="s">
        <v>4156</v>
      </c>
      <c r="E8567" s="29"/>
      <c r="F8567" s="29" t="s">
        <v>2998</v>
      </c>
      <c r="G8567" s="29" t="s">
        <v>3020</v>
      </c>
      <c r="H8567" s="29" t="s">
        <v>3021</v>
      </c>
      <c r="I8567" s="29"/>
      <c r="J8567" s="29" t="s">
        <v>2374</v>
      </c>
      <c r="K8567" s="29"/>
      <c r="L8567" s="29" t="s">
        <v>2375</v>
      </c>
      <c r="M8567" s="29"/>
      <c r="N8567" s="29" t="s">
        <v>457</v>
      </c>
      <c r="O8567" s="29"/>
      <c r="P8567" s="29" t="s">
        <v>13448</v>
      </c>
      <c r="Q8567" t="s">
        <v>2039</v>
      </c>
      <c r="R8567" t="s">
        <v>2635</v>
      </c>
      <c r="S8567">
        <v>37</v>
      </c>
      <c r="T8567" s="43" t="str">
        <f>HYPERLINK("https://ictv.global/ictv/proposals/2021.013P.R.Fimoviridae_rename.zip","2021.013P.R.Fimoviridae_rename.zip")</f>
        <v>2021.013P.R.Fimoviridae_rename.zip</v>
      </c>
      <c r="U8567" s="43" t="str">
        <f>HYPERLINK("https://ictv.global/taxonomy/taxondetails?taxnode_id=202200013","ictv.global=202200013")</f>
        <v>ictv.global=202200013</v>
      </c>
    </row>
    <row r="8568" spans="1:21">
      <c r="A8568">
        <v>8567</v>
      </c>
      <c r="B8568" s="29" t="s">
        <v>3223</v>
      </c>
      <c r="C8568" s="29"/>
      <c r="D8568" s="29" t="s">
        <v>4156</v>
      </c>
      <c r="E8568" s="29"/>
      <c r="F8568" s="29" t="s">
        <v>2998</v>
      </c>
      <c r="G8568" s="29" t="s">
        <v>3020</v>
      </c>
      <c r="H8568" s="29" t="s">
        <v>3021</v>
      </c>
      <c r="I8568" s="29"/>
      <c r="J8568" s="29" t="s">
        <v>2374</v>
      </c>
      <c r="K8568" s="29"/>
      <c r="L8568" s="29" t="s">
        <v>2375</v>
      </c>
      <c r="M8568" s="29"/>
      <c r="N8568" s="29" t="s">
        <v>457</v>
      </c>
      <c r="O8568" s="29"/>
      <c r="P8568" s="29" t="s">
        <v>13449</v>
      </c>
      <c r="Q8568" t="s">
        <v>2039</v>
      </c>
      <c r="R8568" t="s">
        <v>2635</v>
      </c>
      <c r="S8568">
        <v>37</v>
      </c>
      <c r="T8568" s="43" t="str">
        <f>HYPERLINK("https://ictv.global/ictv/proposals/2021.013P.R.Fimoviridae_rename.zip","2021.013P.R.Fimoviridae_rename.zip")</f>
        <v>2021.013P.R.Fimoviridae_rename.zip</v>
      </c>
      <c r="U8568" s="43" t="str">
        <f>HYPERLINK("https://ictv.global/taxonomy/taxondetails?taxnode_id=202209578","ictv.global=202209578")</f>
        <v>ictv.global=202209578</v>
      </c>
    </row>
    <row r="8569" spans="1:21">
      <c r="A8569">
        <v>8568</v>
      </c>
      <c r="B8569" s="29" t="s">
        <v>3223</v>
      </c>
      <c r="C8569" s="29"/>
      <c r="D8569" s="29" t="s">
        <v>4156</v>
      </c>
      <c r="E8569" s="29"/>
      <c r="F8569" s="29" t="s">
        <v>2998</v>
      </c>
      <c r="G8569" s="29" t="s">
        <v>3020</v>
      </c>
      <c r="H8569" s="29" t="s">
        <v>3021</v>
      </c>
      <c r="I8569" s="29"/>
      <c r="J8569" s="29" t="s">
        <v>2374</v>
      </c>
      <c r="K8569" s="29"/>
      <c r="L8569" s="29" t="s">
        <v>2375</v>
      </c>
      <c r="M8569" s="29"/>
      <c r="N8569" s="29" t="s">
        <v>457</v>
      </c>
      <c r="O8569" s="29"/>
      <c r="P8569" s="29" t="s">
        <v>13450</v>
      </c>
      <c r="Q8569" t="s">
        <v>2039</v>
      </c>
      <c r="R8569" t="s">
        <v>2635</v>
      </c>
      <c r="S8569">
        <v>37</v>
      </c>
      <c r="T8569" s="43" t="str">
        <f>HYPERLINK("https://ictv.global/ictv/proposals/2021.013P.R.Fimoviridae_rename.zip","2021.013P.R.Fimoviridae_rename.zip")</f>
        <v>2021.013P.R.Fimoviridae_rename.zip</v>
      </c>
      <c r="U8569" s="43" t="str">
        <f>HYPERLINK("https://ictv.global/taxonomy/taxondetails?taxnode_id=202200016","ictv.global=202200016")</f>
        <v>ictv.global=202200016</v>
      </c>
    </row>
    <row r="8570" spans="1:21">
      <c r="A8570">
        <v>8569</v>
      </c>
      <c r="B8570" s="29" t="s">
        <v>3223</v>
      </c>
      <c r="C8570" s="29"/>
      <c r="D8570" s="29" t="s">
        <v>4156</v>
      </c>
      <c r="E8570" s="29"/>
      <c r="F8570" s="29" t="s">
        <v>2998</v>
      </c>
      <c r="G8570" s="29" t="s">
        <v>3020</v>
      </c>
      <c r="H8570" s="29" t="s">
        <v>3021</v>
      </c>
      <c r="I8570" s="29"/>
      <c r="J8570" s="29" t="s">
        <v>2374</v>
      </c>
      <c r="K8570" s="29"/>
      <c r="L8570" s="29" t="s">
        <v>2375</v>
      </c>
      <c r="M8570" s="29"/>
      <c r="N8570" s="29" t="s">
        <v>457</v>
      </c>
      <c r="O8570" s="29"/>
      <c r="P8570" s="29" t="s">
        <v>13451</v>
      </c>
      <c r="Q8570" t="s">
        <v>2039</v>
      </c>
      <c r="R8570" t="s">
        <v>2632</v>
      </c>
      <c r="S8570">
        <v>37</v>
      </c>
      <c r="T8570" s="43" t="str">
        <f>HYPERLINK("https://ictv.global/ictv/proposals/2021.011P.R.Emaravirus_1ns.zip","2021.011P.R.Emaravirus_1ns.zip;2021.043M.R.Corrections_Mononegavirales_Bunyavirales.zip")</f>
        <v>2021.011P.R.Emaravirus_1ns.zip;2021.043M.R.Corrections_Mononegavirales_Bunyavirales.zip</v>
      </c>
      <c r="U8570" s="43" t="str">
        <f>HYPERLINK("https://ictv.global/taxonomy/taxondetails?taxnode_id=202213865","ictv.global=202213865")</f>
        <v>ictv.global=202213865</v>
      </c>
    </row>
    <row r="8571" spans="1:21">
      <c r="A8571">
        <v>8570</v>
      </c>
      <c r="B8571" s="29" t="s">
        <v>3223</v>
      </c>
      <c r="C8571" s="29"/>
      <c r="D8571" s="29" t="s">
        <v>4156</v>
      </c>
      <c r="E8571" s="29"/>
      <c r="F8571" s="29" t="s">
        <v>2998</v>
      </c>
      <c r="G8571" s="29" t="s">
        <v>3020</v>
      </c>
      <c r="H8571" s="29" t="s">
        <v>3021</v>
      </c>
      <c r="I8571" s="29"/>
      <c r="J8571" s="29" t="s">
        <v>2374</v>
      </c>
      <c r="K8571" s="29"/>
      <c r="L8571" s="29" t="s">
        <v>2375</v>
      </c>
      <c r="M8571" s="29"/>
      <c r="N8571" s="29" t="s">
        <v>457</v>
      </c>
      <c r="O8571" s="29"/>
      <c r="P8571" s="29" t="s">
        <v>13452</v>
      </c>
      <c r="Q8571" t="s">
        <v>2039</v>
      </c>
      <c r="R8571" t="s">
        <v>2635</v>
      </c>
      <c r="S8571">
        <v>37</v>
      </c>
      <c r="T8571" s="43" t="str">
        <f>HYPERLINK("https://ictv.global/ictv/proposals/2021.013P.R.Fimoviridae_rename.zip","2021.013P.R.Fimoviridae_rename.zip")</f>
        <v>2021.013P.R.Fimoviridae_rename.zip</v>
      </c>
      <c r="U8571" s="43" t="str">
        <f>HYPERLINK("https://ictv.global/taxonomy/taxondetails?taxnode_id=202209551","ictv.global=202209551")</f>
        <v>ictv.global=202209551</v>
      </c>
    </row>
    <row r="8572" spans="1:21">
      <c r="A8572">
        <v>8571</v>
      </c>
      <c r="B8572" s="29" t="s">
        <v>3223</v>
      </c>
      <c r="C8572" s="29"/>
      <c r="D8572" s="29" t="s">
        <v>4156</v>
      </c>
      <c r="E8572" s="29"/>
      <c r="F8572" s="29" t="s">
        <v>2998</v>
      </c>
      <c r="G8572" s="29" t="s">
        <v>3020</v>
      </c>
      <c r="H8572" s="29" t="s">
        <v>3021</v>
      </c>
      <c r="I8572" s="29"/>
      <c r="J8572" s="29" t="s">
        <v>2374</v>
      </c>
      <c r="K8572" s="29"/>
      <c r="L8572" s="29" t="s">
        <v>2375</v>
      </c>
      <c r="M8572" s="29"/>
      <c r="N8572" s="29" t="s">
        <v>457</v>
      </c>
      <c r="O8572" s="29"/>
      <c r="P8572" s="29" t="s">
        <v>13453</v>
      </c>
      <c r="Q8572" t="s">
        <v>2039</v>
      </c>
      <c r="R8572" t="s">
        <v>2632</v>
      </c>
      <c r="S8572">
        <v>38</v>
      </c>
      <c r="T8572" s="43" t="str">
        <f>HYPERLINK("https://ictv.global/ictv/proposals/2022.022P.Emaravirus_1ns.zip","2022.022P.Emaravirus_1ns.zip")</f>
        <v>2022.022P.Emaravirus_1ns.zip</v>
      </c>
      <c r="U8572" s="43" t="str">
        <f>HYPERLINK("https://ictv.global/taxonomy/taxondetails?taxnode_id=202215125","ictv.global=202215125")</f>
        <v>ictv.global=202215125</v>
      </c>
    </row>
    <row r="8573" spans="1:21">
      <c r="A8573">
        <v>8572</v>
      </c>
      <c r="B8573" s="29" t="s">
        <v>3223</v>
      </c>
      <c r="C8573" s="29"/>
      <c r="D8573" s="29" t="s">
        <v>4156</v>
      </c>
      <c r="E8573" s="29"/>
      <c r="F8573" s="29" t="s">
        <v>2998</v>
      </c>
      <c r="G8573" s="29" t="s">
        <v>3020</v>
      </c>
      <c r="H8573" s="29" t="s">
        <v>3021</v>
      </c>
      <c r="I8573" s="29"/>
      <c r="J8573" s="29" t="s">
        <v>2374</v>
      </c>
      <c r="K8573" s="29"/>
      <c r="L8573" s="29" t="s">
        <v>2375</v>
      </c>
      <c r="M8573" s="29"/>
      <c r="N8573" s="29" t="s">
        <v>457</v>
      </c>
      <c r="O8573" s="29"/>
      <c r="P8573" s="29" t="s">
        <v>13454</v>
      </c>
      <c r="Q8573" t="s">
        <v>2039</v>
      </c>
      <c r="R8573" t="s">
        <v>2635</v>
      </c>
      <c r="S8573">
        <v>37</v>
      </c>
      <c r="T8573" s="43" t="str">
        <f>HYPERLINK("https://ictv.global/ictv/proposals/2021.013P.R.Fimoviridae_rename.zip","2021.013P.R.Fimoviridae_rename.zip")</f>
        <v>2021.013P.R.Fimoviridae_rename.zip</v>
      </c>
      <c r="U8573" s="43" t="str">
        <f>HYPERLINK("https://ictv.global/taxonomy/taxondetails?taxnode_id=202200011","ictv.global=202200011")</f>
        <v>ictv.global=202200011</v>
      </c>
    </row>
    <row r="8574" spans="1:21">
      <c r="A8574">
        <v>8573</v>
      </c>
      <c r="B8574" s="29" t="s">
        <v>3223</v>
      </c>
      <c r="C8574" s="29"/>
      <c r="D8574" s="29" t="s">
        <v>4156</v>
      </c>
      <c r="E8574" s="29"/>
      <c r="F8574" s="29" t="s">
        <v>2998</v>
      </c>
      <c r="G8574" s="29" t="s">
        <v>3020</v>
      </c>
      <c r="H8574" s="29" t="s">
        <v>3021</v>
      </c>
      <c r="I8574" s="29"/>
      <c r="J8574" s="29" t="s">
        <v>2374</v>
      </c>
      <c r="K8574" s="29"/>
      <c r="L8574" s="29" t="s">
        <v>2375</v>
      </c>
      <c r="M8574" s="29"/>
      <c r="N8574" s="29" t="s">
        <v>457</v>
      </c>
      <c r="O8574" s="29"/>
      <c r="P8574" s="29" t="s">
        <v>13455</v>
      </c>
      <c r="Q8574" t="s">
        <v>2039</v>
      </c>
      <c r="R8574" t="s">
        <v>2632</v>
      </c>
      <c r="S8574">
        <v>38</v>
      </c>
      <c r="T8574" s="43" t="str">
        <f>HYPERLINK("https://ictv.global/ictv/proposals/2022.019P.Emaravirus_1ns.zip","2022.019P.Emaravirus_1ns.zip")</f>
        <v>2022.019P.Emaravirus_1ns.zip</v>
      </c>
      <c r="U8574" s="43" t="str">
        <f>HYPERLINK("https://ictv.global/taxonomy/taxondetails?taxnode_id=202215122","ictv.global=202215122")</f>
        <v>ictv.global=202215122</v>
      </c>
    </row>
    <row r="8575" spans="1:21">
      <c r="A8575">
        <v>8574</v>
      </c>
      <c r="B8575" s="29" t="s">
        <v>3223</v>
      </c>
      <c r="C8575" s="29"/>
      <c r="D8575" s="29" t="s">
        <v>4156</v>
      </c>
      <c r="E8575" s="29"/>
      <c r="F8575" s="29" t="s">
        <v>2998</v>
      </c>
      <c r="G8575" s="29" t="s">
        <v>3020</v>
      </c>
      <c r="H8575" s="29" t="s">
        <v>3021</v>
      </c>
      <c r="I8575" s="29"/>
      <c r="J8575" s="29" t="s">
        <v>2374</v>
      </c>
      <c r="K8575" s="29"/>
      <c r="L8575" s="29" t="s">
        <v>2375</v>
      </c>
      <c r="M8575" s="29"/>
      <c r="N8575" s="29" t="s">
        <v>457</v>
      </c>
      <c r="O8575" s="29"/>
      <c r="P8575" s="29" t="s">
        <v>13456</v>
      </c>
      <c r="Q8575" t="s">
        <v>2039</v>
      </c>
      <c r="R8575" t="s">
        <v>2635</v>
      </c>
      <c r="S8575">
        <v>37</v>
      </c>
      <c r="T8575" s="43" t="str">
        <f>HYPERLINK("https://ictv.global/ictv/proposals/2021.013P.R.Fimoviridae_rename.zip","2021.013P.R.Fimoviridae_rename.zip")</f>
        <v>2021.013P.R.Fimoviridae_rename.zip</v>
      </c>
      <c r="U8575" s="43" t="str">
        <f>HYPERLINK("https://ictv.global/taxonomy/taxondetails?taxnode_id=202200015","ictv.global=202200015")</f>
        <v>ictv.global=202200015</v>
      </c>
    </row>
    <row r="8576" spans="1:21">
      <c r="A8576">
        <v>8575</v>
      </c>
      <c r="B8576" s="29" t="s">
        <v>3223</v>
      </c>
      <c r="C8576" s="29"/>
      <c r="D8576" s="29" t="s">
        <v>4156</v>
      </c>
      <c r="E8576" s="29"/>
      <c r="F8576" s="29" t="s">
        <v>2998</v>
      </c>
      <c r="G8576" s="29" t="s">
        <v>3020</v>
      </c>
      <c r="H8576" s="29" t="s">
        <v>3021</v>
      </c>
      <c r="I8576" s="29"/>
      <c r="J8576" s="29" t="s">
        <v>2374</v>
      </c>
      <c r="K8576" s="29"/>
      <c r="L8576" s="29" t="s">
        <v>2375</v>
      </c>
      <c r="M8576" s="29"/>
      <c r="N8576" s="29" t="s">
        <v>457</v>
      </c>
      <c r="O8576" s="29"/>
      <c r="P8576" s="29" t="s">
        <v>13457</v>
      </c>
      <c r="Q8576" t="s">
        <v>2039</v>
      </c>
      <c r="R8576" t="s">
        <v>2632</v>
      </c>
      <c r="S8576">
        <v>38</v>
      </c>
      <c r="T8576" s="43" t="str">
        <f>HYPERLINK("https://ictv.global/ictv/proposals/2022.021P.Emaravirus_1ns.zip","2022.021P.Emaravirus_1ns.zip")</f>
        <v>2022.021P.Emaravirus_1ns.zip</v>
      </c>
      <c r="U8576" s="43" t="str">
        <f>HYPERLINK("https://ictv.global/taxonomy/taxondetails?taxnode_id=202215124","ictv.global=202215124")</f>
        <v>ictv.global=202215124</v>
      </c>
    </row>
    <row r="8577" spans="1:21">
      <c r="A8577">
        <v>8576</v>
      </c>
      <c r="B8577" s="29" t="s">
        <v>3223</v>
      </c>
      <c r="C8577" s="29"/>
      <c r="D8577" s="29" t="s">
        <v>4156</v>
      </c>
      <c r="E8577" s="29"/>
      <c r="F8577" s="29" t="s">
        <v>2998</v>
      </c>
      <c r="G8577" s="29" t="s">
        <v>3020</v>
      </c>
      <c r="H8577" s="29" t="s">
        <v>3021</v>
      </c>
      <c r="I8577" s="29"/>
      <c r="J8577" s="29" t="s">
        <v>2374</v>
      </c>
      <c r="K8577" s="29"/>
      <c r="L8577" s="29" t="s">
        <v>2375</v>
      </c>
      <c r="M8577" s="29"/>
      <c r="N8577" s="29" t="s">
        <v>457</v>
      </c>
      <c r="O8577" s="29"/>
      <c r="P8577" s="29" t="s">
        <v>13458</v>
      </c>
      <c r="Q8577" t="s">
        <v>2039</v>
      </c>
      <c r="R8577" t="s">
        <v>2635</v>
      </c>
      <c r="S8577">
        <v>37</v>
      </c>
      <c r="T8577" s="43" t="str">
        <f t="shared" ref="T8577:T8582" si="370">HYPERLINK("https://ictv.global/ictv/proposals/2021.013P.R.Fimoviridae_rename.zip","2021.013P.R.Fimoviridae_rename.zip")</f>
        <v>2021.013P.R.Fimoviridae_rename.zip</v>
      </c>
      <c r="U8577" s="43" t="str">
        <f>HYPERLINK("https://ictv.global/taxonomy/taxondetails?taxnode_id=202209331","ictv.global=202209331")</f>
        <v>ictv.global=202209331</v>
      </c>
    </row>
    <row r="8578" spans="1:21">
      <c r="A8578">
        <v>8577</v>
      </c>
      <c r="B8578" s="29" t="s">
        <v>3223</v>
      </c>
      <c r="C8578" s="29"/>
      <c r="D8578" s="29" t="s">
        <v>4156</v>
      </c>
      <c r="E8578" s="29"/>
      <c r="F8578" s="29" t="s">
        <v>2998</v>
      </c>
      <c r="G8578" s="29" t="s">
        <v>3020</v>
      </c>
      <c r="H8578" s="29" t="s">
        <v>3021</v>
      </c>
      <c r="I8578" s="29"/>
      <c r="J8578" s="29" t="s">
        <v>2374</v>
      </c>
      <c r="K8578" s="29"/>
      <c r="L8578" s="29" t="s">
        <v>2375</v>
      </c>
      <c r="M8578" s="29"/>
      <c r="N8578" s="29" t="s">
        <v>457</v>
      </c>
      <c r="O8578" s="29"/>
      <c r="P8578" s="29" t="s">
        <v>13459</v>
      </c>
      <c r="Q8578" t="s">
        <v>2039</v>
      </c>
      <c r="R8578" t="s">
        <v>2635</v>
      </c>
      <c r="S8578">
        <v>37</v>
      </c>
      <c r="T8578" s="43" t="str">
        <f t="shared" si="370"/>
        <v>2021.013P.R.Fimoviridae_rename.zip</v>
      </c>
      <c r="U8578" s="43" t="str">
        <f>HYPERLINK("https://ictv.global/taxonomy/taxondetails?taxnode_id=202209489","ictv.global=202209489")</f>
        <v>ictv.global=202209489</v>
      </c>
    </row>
    <row r="8579" spans="1:21">
      <c r="A8579">
        <v>8578</v>
      </c>
      <c r="B8579" s="29" t="s">
        <v>3223</v>
      </c>
      <c r="C8579" s="29"/>
      <c r="D8579" s="29" t="s">
        <v>4156</v>
      </c>
      <c r="E8579" s="29"/>
      <c r="F8579" s="29" t="s">
        <v>2998</v>
      </c>
      <c r="G8579" s="29" t="s">
        <v>3020</v>
      </c>
      <c r="H8579" s="29" t="s">
        <v>3021</v>
      </c>
      <c r="I8579" s="29"/>
      <c r="J8579" s="29" t="s">
        <v>2374</v>
      </c>
      <c r="K8579" s="29"/>
      <c r="L8579" s="29" t="s">
        <v>2375</v>
      </c>
      <c r="M8579" s="29"/>
      <c r="N8579" s="29" t="s">
        <v>457</v>
      </c>
      <c r="O8579" s="29"/>
      <c r="P8579" s="29" t="s">
        <v>13460</v>
      </c>
      <c r="Q8579" t="s">
        <v>2039</v>
      </c>
      <c r="R8579" t="s">
        <v>2635</v>
      </c>
      <c r="S8579">
        <v>37</v>
      </c>
      <c r="T8579" s="43" t="str">
        <f t="shared" si="370"/>
        <v>2021.013P.R.Fimoviridae_rename.zip</v>
      </c>
      <c r="U8579" s="43" t="str">
        <f>HYPERLINK("https://ictv.global/taxonomy/taxondetails?taxnode_id=202209618","ictv.global=202209618")</f>
        <v>ictv.global=202209618</v>
      </c>
    </row>
    <row r="8580" spans="1:21">
      <c r="A8580">
        <v>8579</v>
      </c>
      <c r="B8580" s="29" t="s">
        <v>3223</v>
      </c>
      <c r="C8580" s="29"/>
      <c r="D8580" s="29" t="s">
        <v>4156</v>
      </c>
      <c r="E8580" s="29"/>
      <c r="F8580" s="29" t="s">
        <v>2998</v>
      </c>
      <c r="G8580" s="29" t="s">
        <v>3020</v>
      </c>
      <c r="H8580" s="29" t="s">
        <v>3021</v>
      </c>
      <c r="I8580" s="29"/>
      <c r="J8580" s="29" t="s">
        <v>2374</v>
      </c>
      <c r="K8580" s="29"/>
      <c r="L8580" s="29" t="s">
        <v>2375</v>
      </c>
      <c r="M8580" s="29"/>
      <c r="N8580" s="29" t="s">
        <v>457</v>
      </c>
      <c r="O8580" s="29"/>
      <c r="P8580" s="29" t="s">
        <v>13461</v>
      </c>
      <c r="Q8580" t="s">
        <v>2039</v>
      </c>
      <c r="R8580" t="s">
        <v>2635</v>
      </c>
      <c r="S8580">
        <v>37</v>
      </c>
      <c r="T8580" s="43" t="str">
        <f t="shared" si="370"/>
        <v>2021.013P.R.Fimoviridae_rename.zip</v>
      </c>
      <c r="U8580" s="43" t="str">
        <f>HYPERLINK("https://ictv.global/taxonomy/taxondetails?taxnode_id=202207368","ictv.global=202207368")</f>
        <v>ictv.global=202207368</v>
      </c>
    </row>
    <row r="8581" spans="1:21">
      <c r="A8581">
        <v>8580</v>
      </c>
      <c r="B8581" s="29" t="s">
        <v>3223</v>
      </c>
      <c r="C8581" s="29"/>
      <c r="D8581" s="29" t="s">
        <v>4156</v>
      </c>
      <c r="E8581" s="29"/>
      <c r="F8581" s="29" t="s">
        <v>2998</v>
      </c>
      <c r="G8581" s="29" t="s">
        <v>3020</v>
      </c>
      <c r="H8581" s="29" t="s">
        <v>3021</v>
      </c>
      <c r="I8581" s="29"/>
      <c r="J8581" s="29" t="s">
        <v>2374</v>
      </c>
      <c r="K8581" s="29"/>
      <c r="L8581" s="29" t="s">
        <v>2375</v>
      </c>
      <c r="M8581" s="29"/>
      <c r="N8581" s="29" t="s">
        <v>457</v>
      </c>
      <c r="O8581" s="29"/>
      <c r="P8581" s="29" t="s">
        <v>13462</v>
      </c>
      <c r="Q8581" t="s">
        <v>2039</v>
      </c>
      <c r="R8581" t="s">
        <v>2635</v>
      </c>
      <c r="S8581">
        <v>37</v>
      </c>
      <c r="T8581" s="43" t="str">
        <f t="shared" si="370"/>
        <v>2021.013P.R.Fimoviridae_rename.zip</v>
      </c>
      <c r="U8581" s="43" t="str">
        <f>HYPERLINK("https://ictv.global/taxonomy/taxondetails?taxnode_id=202209371","ictv.global=202209371")</f>
        <v>ictv.global=202209371</v>
      </c>
    </row>
    <row r="8582" spans="1:21">
      <c r="A8582">
        <v>8581</v>
      </c>
      <c r="B8582" s="29" t="s">
        <v>3223</v>
      </c>
      <c r="C8582" s="29"/>
      <c r="D8582" s="29" t="s">
        <v>4156</v>
      </c>
      <c r="E8582" s="29"/>
      <c r="F8582" s="29" t="s">
        <v>2998</v>
      </c>
      <c r="G8582" s="29" t="s">
        <v>3020</v>
      </c>
      <c r="H8582" s="29" t="s">
        <v>3021</v>
      </c>
      <c r="I8582" s="29"/>
      <c r="J8582" s="29" t="s">
        <v>2374</v>
      </c>
      <c r="K8582" s="29"/>
      <c r="L8582" s="29" t="s">
        <v>2375</v>
      </c>
      <c r="M8582" s="29"/>
      <c r="N8582" s="29" t="s">
        <v>457</v>
      </c>
      <c r="O8582" s="29"/>
      <c r="P8582" s="29" t="s">
        <v>13463</v>
      </c>
      <c r="Q8582" t="s">
        <v>2039</v>
      </c>
      <c r="R8582" t="s">
        <v>2635</v>
      </c>
      <c r="S8582">
        <v>37</v>
      </c>
      <c r="T8582" s="43" t="str">
        <f t="shared" si="370"/>
        <v>2021.013P.R.Fimoviridae_rename.zip</v>
      </c>
      <c r="U8582" s="43" t="str">
        <f>HYPERLINK("https://ictv.global/taxonomy/taxondetails?taxnode_id=202209546","ictv.global=202209546")</f>
        <v>ictv.global=202209546</v>
      </c>
    </row>
    <row r="8583" spans="1:21">
      <c r="A8583">
        <v>8582</v>
      </c>
      <c r="B8583" s="29" t="s">
        <v>3223</v>
      </c>
      <c r="C8583" s="29"/>
      <c r="D8583" s="29" t="s">
        <v>4156</v>
      </c>
      <c r="E8583" s="29"/>
      <c r="F8583" s="29" t="s">
        <v>2998</v>
      </c>
      <c r="G8583" s="29" t="s">
        <v>3020</v>
      </c>
      <c r="H8583" s="29" t="s">
        <v>3021</v>
      </c>
      <c r="I8583" s="29"/>
      <c r="J8583" s="29" t="s">
        <v>2374</v>
      </c>
      <c r="K8583" s="29"/>
      <c r="L8583" s="29" t="s">
        <v>2375</v>
      </c>
      <c r="M8583" s="29"/>
      <c r="N8583" s="29" t="s">
        <v>457</v>
      </c>
      <c r="O8583" s="29"/>
      <c r="P8583" s="29" t="s">
        <v>13464</v>
      </c>
      <c r="Q8583" t="s">
        <v>2039</v>
      </c>
      <c r="R8583" t="s">
        <v>2632</v>
      </c>
      <c r="S8583">
        <v>37</v>
      </c>
      <c r="T8583" s="43" t="str">
        <f>HYPERLINK("https://ictv.global/ictv/proposals/2021.012P.R.Emaravirus_1ns.zip","2021.012P.R.Emaravirus_1ns.zip")</f>
        <v>2021.012P.R.Emaravirus_1ns.zip</v>
      </c>
      <c r="U8583" s="43" t="str">
        <f>HYPERLINK("https://ictv.global/taxonomy/taxondetails?taxnode_id=202213866","ictv.global=202213866")</f>
        <v>ictv.global=202213866</v>
      </c>
    </row>
    <row r="8584" spans="1:21">
      <c r="A8584">
        <v>8583</v>
      </c>
      <c r="B8584" s="29" t="s">
        <v>3223</v>
      </c>
      <c r="C8584" s="29"/>
      <c r="D8584" s="29" t="s">
        <v>4156</v>
      </c>
      <c r="E8584" s="29"/>
      <c r="F8584" s="29" t="s">
        <v>2998</v>
      </c>
      <c r="G8584" s="29" t="s">
        <v>3020</v>
      </c>
      <c r="H8584" s="29" t="s">
        <v>3021</v>
      </c>
      <c r="I8584" s="29"/>
      <c r="J8584" s="29" t="s">
        <v>2374</v>
      </c>
      <c r="K8584" s="29"/>
      <c r="L8584" s="29" t="s">
        <v>2375</v>
      </c>
      <c r="M8584" s="29"/>
      <c r="N8584" s="29" t="s">
        <v>457</v>
      </c>
      <c r="O8584" s="29"/>
      <c r="P8584" s="29" t="s">
        <v>13465</v>
      </c>
      <c r="Q8584" t="s">
        <v>2039</v>
      </c>
      <c r="R8584" t="s">
        <v>2635</v>
      </c>
      <c r="S8584">
        <v>37</v>
      </c>
      <c r="T8584" s="43" t="str">
        <f t="shared" ref="T8584:T8590" si="371">HYPERLINK("https://ictv.global/ictv/proposals/2021.013P.R.Fimoviridae_rename.zip","2021.013P.R.Fimoviridae_rename.zip")</f>
        <v>2021.013P.R.Fimoviridae_rename.zip</v>
      </c>
      <c r="U8584" s="43" t="str">
        <f>HYPERLINK("https://ictv.global/taxonomy/taxondetails?taxnode_id=202200017","ictv.global=202200017")</f>
        <v>ictv.global=202200017</v>
      </c>
    </row>
    <row r="8585" spans="1:21">
      <c r="A8585">
        <v>8584</v>
      </c>
      <c r="B8585" s="29" t="s">
        <v>3223</v>
      </c>
      <c r="C8585" s="29"/>
      <c r="D8585" s="29" t="s">
        <v>4156</v>
      </c>
      <c r="E8585" s="29"/>
      <c r="F8585" s="29" t="s">
        <v>2998</v>
      </c>
      <c r="G8585" s="29" t="s">
        <v>3020</v>
      </c>
      <c r="H8585" s="29" t="s">
        <v>3021</v>
      </c>
      <c r="I8585" s="29"/>
      <c r="J8585" s="29" t="s">
        <v>2374</v>
      </c>
      <c r="K8585" s="29"/>
      <c r="L8585" s="29" t="s">
        <v>2375</v>
      </c>
      <c r="M8585" s="29"/>
      <c r="N8585" s="29" t="s">
        <v>457</v>
      </c>
      <c r="O8585" s="29"/>
      <c r="P8585" s="29" t="s">
        <v>13466</v>
      </c>
      <c r="Q8585" t="s">
        <v>2039</v>
      </c>
      <c r="R8585" t="s">
        <v>2635</v>
      </c>
      <c r="S8585">
        <v>37</v>
      </c>
      <c r="T8585" s="43" t="str">
        <f t="shared" si="371"/>
        <v>2021.013P.R.Fimoviridae_rename.zip</v>
      </c>
      <c r="U8585" s="43" t="str">
        <f>HYPERLINK("https://ictv.global/taxonomy/taxondetails?taxnode_id=202207357","ictv.global=202207357")</f>
        <v>ictv.global=202207357</v>
      </c>
    </row>
    <row r="8586" spans="1:21">
      <c r="A8586">
        <v>8585</v>
      </c>
      <c r="B8586" s="29" t="s">
        <v>3223</v>
      </c>
      <c r="C8586" s="29"/>
      <c r="D8586" s="29" t="s">
        <v>4156</v>
      </c>
      <c r="E8586" s="29"/>
      <c r="F8586" s="29" t="s">
        <v>2998</v>
      </c>
      <c r="G8586" s="29" t="s">
        <v>3020</v>
      </c>
      <c r="H8586" s="29" t="s">
        <v>3021</v>
      </c>
      <c r="I8586" s="29"/>
      <c r="J8586" s="29" t="s">
        <v>2374</v>
      </c>
      <c r="K8586" s="29"/>
      <c r="L8586" s="29" t="s">
        <v>2375</v>
      </c>
      <c r="M8586" s="29"/>
      <c r="N8586" s="29" t="s">
        <v>457</v>
      </c>
      <c r="O8586" s="29"/>
      <c r="P8586" s="29" t="s">
        <v>13467</v>
      </c>
      <c r="Q8586" t="s">
        <v>2039</v>
      </c>
      <c r="R8586" t="s">
        <v>2635</v>
      </c>
      <c r="S8586">
        <v>37</v>
      </c>
      <c r="T8586" s="43" t="str">
        <f t="shared" si="371"/>
        <v>2021.013P.R.Fimoviridae_rename.zip</v>
      </c>
      <c r="U8586" s="43" t="str">
        <f>HYPERLINK("https://ictv.global/taxonomy/taxondetails?taxnode_id=202200010","ictv.global=202200010")</f>
        <v>ictv.global=202200010</v>
      </c>
    </row>
    <row r="8587" spans="1:21">
      <c r="A8587">
        <v>8586</v>
      </c>
      <c r="B8587" s="29" t="s">
        <v>3223</v>
      </c>
      <c r="C8587" s="29"/>
      <c r="D8587" s="29" t="s">
        <v>4156</v>
      </c>
      <c r="E8587" s="29"/>
      <c r="F8587" s="29" t="s">
        <v>2998</v>
      </c>
      <c r="G8587" s="29" t="s">
        <v>3020</v>
      </c>
      <c r="H8587" s="29" t="s">
        <v>3021</v>
      </c>
      <c r="I8587" s="29"/>
      <c r="J8587" s="29" t="s">
        <v>2374</v>
      </c>
      <c r="K8587" s="29"/>
      <c r="L8587" s="29" t="s">
        <v>2375</v>
      </c>
      <c r="M8587" s="29"/>
      <c r="N8587" s="29" t="s">
        <v>457</v>
      </c>
      <c r="O8587" s="29"/>
      <c r="P8587" s="29" t="s">
        <v>13468</v>
      </c>
      <c r="Q8587" t="s">
        <v>2039</v>
      </c>
      <c r="R8587" t="s">
        <v>2635</v>
      </c>
      <c r="S8587">
        <v>37</v>
      </c>
      <c r="T8587" s="43" t="str">
        <f t="shared" si="371"/>
        <v>2021.013P.R.Fimoviridae_rename.zip</v>
      </c>
      <c r="U8587" s="43" t="str">
        <f>HYPERLINK("https://ictv.global/taxonomy/taxondetails?taxnode_id=202209383","ictv.global=202209383")</f>
        <v>ictv.global=202209383</v>
      </c>
    </row>
    <row r="8588" spans="1:21">
      <c r="A8588">
        <v>8587</v>
      </c>
      <c r="B8588" s="29" t="s">
        <v>3223</v>
      </c>
      <c r="C8588" s="29"/>
      <c r="D8588" s="29" t="s">
        <v>4156</v>
      </c>
      <c r="E8588" s="29"/>
      <c r="F8588" s="29" t="s">
        <v>2998</v>
      </c>
      <c r="G8588" s="29" t="s">
        <v>3020</v>
      </c>
      <c r="H8588" s="29" t="s">
        <v>3021</v>
      </c>
      <c r="I8588" s="29"/>
      <c r="J8588" s="29" t="s">
        <v>2374</v>
      </c>
      <c r="K8588" s="29"/>
      <c r="L8588" s="29" t="s">
        <v>2375</v>
      </c>
      <c r="M8588" s="29"/>
      <c r="N8588" s="29" t="s">
        <v>457</v>
      </c>
      <c r="O8588" s="29"/>
      <c r="P8588" s="29" t="s">
        <v>13469</v>
      </c>
      <c r="Q8588" t="s">
        <v>2039</v>
      </c>
      <c r="R8588" t="s">
        <v>2635</v>
      </c>
      <c r="S8588">
        <v>37</v>
      </c>
      <c r="T8588" s="43" t="str">
        <f t="shared" si="371"/>
        <v>2021.013P.R.Fimoviridae_rename.zip</v>
      </c>
      <c r="U8588" s="43" t="str">
        <f>HYPERLINK("https://ictv.global/taxonomy/taxondetails?taxnode_id=202200014","ictv.global=202200014")</f>
        <v>ictv.global=202200014</v>
      </c>
    </row>
    <row r="8589" spans="1:21">
      <c r="A8589">
        <v>8588</v>
      </c>
      <c r="B8589" s="29" t="s">
        <v>3223</v>
      </c>
      <c r="C8589" s="29"/>
      <c r="D8589" s="29" t="s">
        <v>4156</v>
      </c>
      <c r="E8589" s="29"/>
      <c r="F8589" s="29" t="s">
        <v>2998</v>
      </c>
      <c r="G8589" s="29" t="s">
        <v>3020</v>
      </c>
      <c r="H8589" s="29" t="s">
        <v>3021</v>
      </c>
      <c r="I8589" s="29"/>
      <c r="J8589" s="29" t="s">
        <v>2374</v>
      </c>
      <c r="K8589" s="29"/>
      <c r="L8589" s="29" t="s">
        <v>2375</v>
      </c>
      <c r="M8589" s="29"/>
      <c r="N8589" s="29" t="s">
        <v>457</v>
      </c>
      <c r="O8589" s="29"/>
      <c r="P8589" s="29" t="s">
        <v>13470</v>
      </c>
      <c r="Q8589" t="s">
        <v>2039</v>
      </c>
      <c r="R8589" t="s">
        <v>2635</v>
      </c>
      <c r="S8589">
        <v>37</v>
      </c>
      <c r="T8589" s="43" t="str">
        <f t="shared" si="371"/>
        <v>2021.013P.R.Fimoviridae_rename.zip</v>
      </c>
      <c r="U8589" s="43" t="str">
        <f>HYPERLINK("https://ictv.global/taxonomy/taxondetails?taxnode_id=202200012","ictv.global=202200012")</f>
        <v>ictv.global=202200012</v>
      </c>
    </row>
    <row r="8590" spans="1:21">
      <c r="A8590">
        <v>8589</v>
      </c>
      <c r="B8590" s="29" t="s">
        <v>3223</v>
      </c>
      <c r="C8590" s="29"/>
      <c r="D8590" s="29" t="s">
        <v>4156</v>
      </c>
      <c r="E8590" s="29"/>
      <c r="F8590" s="29" t="s">
        <v>2998</v>
      </c>
      <c r="G8590" s="29" t="s">
        <v>3020</v>
      </c>
      <c r="H8590" s="29" t="s">
        <v>3021</v>
      </c>
      <c r="I8590" s="29"/>
      <c r="J8590" s="29" t="s">
        <v>2374</v>
      </c>
      <c r="K8590" s="29"/>
      <c r="L8590" s="29" t="s">
        <v>2375</v>
      </c>
      <c r="M8590" s="29"/>
      <c r="N8590" s="29" t="s">
        <v>457</v>
      </c>
      <c r="O8590" s="29"/>
      <c r="P8590" s="29" t="s">
        <v>13471</v>
      </c>
      <c r="Q8590" t="s">
        <v>2039</v>
      </c>
      <c r="R8590" t="s">
        <v>2635</v>
      </c>
      <c r="S8590">
        <v>37</v>
      </c>
      <c r="T8590" s="43" t="str">
        <f t="shared" si="371"/>
        <v>2021.013P.R.Fimoviridae_rename.zip</v>
      </c>
      <c r="U8590" s="43" t="str">
        <f>HYPERLINK("https://ictv.global/taxonomy/taxondetails?taxnode_id=202209601","ictv.global=202209601")</f>
        <v>ictv.global=202209601</v>
      </c>
    </row>
    <row r="8591" spans="1:21">
      <c r="A8591">
        <v>8590</v>
      </c>
      <c r="B8591" s="29" t="s">
        <v>3223</v>
      </c>
      <c r="C8591" s="29"/>
      <c r="D8591" s="29" t="s">
        <v>4156</v>
      </c>
      <c r="E8591" s="29"/>
      <c r="F8591" s="29" t="s">
        <v>2998</v>
      </c>
      <c r="G8591" s="29" t="s">
        <v>3020</v>
      </c>
      <c r="H8591" s="29" t="s">
        <v>3021</v>
      </c>
      <c r="I8591" s="29"/>
      <c r="J8591" s="29" t="s">
        <v>2374</v>
      </c>
      <c r="K8591" s="29"/>
      <c r="L8591" s="29" t="s">
        <v>2375</v>
      </c>
      <c r="M8591" s="29"/>
      <c r="N8591" s="29" t="s">
        <v>457</v>
      </c>
      <c r="O8591" s="29"/>
      <c r="P8591" s="29" t="s">
        <v>13472</v>
      </c>
      <c r="Q8591" t="s">
        <v>2039</v>
      </c>
      <c r="R8591" t="s">
        <v>2632</v>
      </c>
      <c r="S8591">
        <v>38</v>
      </c>
      <c r="T8591" s="43" t="str">
        <f>HYPERLINK("https://ictv.global/ictv/proposals/2022.018P.Emaravirus_1ns.zip","2022.018P.Emaravirus_1ns.zip")</f>
        <v>2022.018P.Emaravirus_1ns.zip</v>
      </c>
      <c r="U8591" s="43" t="str">
        <f>HYPERLINK("https://ictv.global/taxonomy/taxondetails?taxnode_id=202215121","ictv.global=202215121")</f>
        <v>ictv.global=202215121</v>
      </c>
    </row>
    <row r="8592" spans="1:21">
      <c r="A8592">
        <v>8591</v>
      </c>
      <c r="B8592" s="29" t="s">
        <v>3223</v>
      </c>
      <c r="C8592" s="29"/>
      <c r="D8592" s="29" t="s">
        <v>4156</v>
      </c>
      <c r="E8592" s="29"/>
      <c r="F8592" s="29" t="s">
        <v>2998</v>
      </c>
      <c r="G8592" s="29" t="s">
        <v>3020</v>
      </c>
      <c r="H8592" s="29" t="s">
        <v>3021</v>
      </c>
      <c r="I8592" s="29"/>
      <c r="J8592" s="29" t="s">
        <v>2374</v>
      </c>
      <c r="K8592" s="29"/>
      <c r="L8592" s="29" t="s">
        <v>2375</v>
      </c>
      <c r="M8592" s="29"/>
      <c r="N8592" s="29" t="s">
        <v>457</v>
      </c>
      <c r="O8592" s="29"/>
      <c r="P8592" s="29" t="s">
        <v>13473</v>
      </c>
      <c r="Q8592" t="s">
        <v>2039</v>
      </c>
      <c r="R8592" t="s">
        <v>2632</v>
      </c>
      <c r="S8592">
        <v>38</v>
      </c>
      <c r="T8592" s="43" t="str">
        <f>HYPERLINK("https://ictv.global/ictv/proposals/2022.020P.Emaravirus_1ns.zip","2022.020P.Emaravirus_1ns.zip")</f>
        <v>2022.020P.Emaravirus_1ns.zip</v>
      </c>
      <c r="U8592" s="43" t="str">
        <f>HYPERLINK("https://ictv.global/taxonomy/taxondetails?taxnode_id=202215123","ictv.global=202215123")</f>
        <v>ictv.global=202215123</v>
      </c>
    </row>
    <row r="8593" spans="1:21">
      <c r="A8593">
        <v>8592</v>
      </c>
      <c r="B8593" s="29" t="s">
        <v>3223</v>
      </c>
      <c r="C8593" s="29"/>
      <c r="D8593" s="29" t="s">
        <v>4156</v>
      </c>
      <c r="E8593" s="29"/>
      <c r="F8593" s="29" t="s">
        <v>2998</v>
      </c>
      <c r="G8593" s="29" t="s">
        <v>3020</v>
      </c>
      <c r="H8593" s="29" t="s">
        <v>3021</v>
      </c>
      <c r="I8593" s="29"/>
      <c r="J8593" s="29" t="s">
        <v>2374</v>
      </c>
      <c r="K8593" s="29"/>
      <c r="L8593" s="29" t="s">
        <v>2375</v>
      </c>
      <c r="M8593" s="29"/>
      <c r="N8593" s="29" t="s">
        <v>457</v>
      </c>
      <c r="O8593" s="29"/>
      <c r="P8593" s="29" t="s">
        <v>13474</v>
      </c>
      <c r="Q8593" t="s">
        <v>2039</v>
      </c>
      <c r="R8593" t="s">
        <v>2635</v>
      </c>
      <c r="S8593">
        <v>37</v>
      </c>
      <c r="T8593" s="43" t="str">
        <f>HYPERLINK("https://ictv.global/ictv/proposals/2021.013P.R.Fimoviridae_rename.zip","2021.013P.R.Fimoviridae_rename.zip")</f>
        <v>2021.013P.R.Fimoviridae_rename.zip</v>
      </c>
      <c r="U8593" s="43" t="str">
        <f>HYPERLINK("https://ictv.global/taxonomy/taxondetails?taxnode_id=202209614","ictv.global=202209614")</f>
        <v>ictv.global=202209614</v>
      </c>
    </row>
    <row r="8594" spans="1:21">
      <c r="A8594">
        <v>8593</v>
      </c>
      <c r="B8594" s="29" t="s">
        <v>3223</v>
      </c>
      <c r="C8594" s="29"/>
      <c r="D8594" s="29" t="s">
        <v>4156</v>
      </c>
      <c r="E8594" s="29"/>
      <c r="F8594" s="29" t="s">
        <v>2998</v>
      </c>
      <c r="G8594" s="29" t="s">
        <v>3020</v>
      </c>
      <c r="H8594" s="29" t="s">
        <v>3021</v>
      </c>
      <c r="I8594" s="29"/>
      <c r="J8594" s="29" t="s">
        <v>2374</v>
      </c>
      <c r="K8594" s="29"/>
      <c r="L8594" s="29" t="s">
        <v>2376</v>
      </c>
      <c r="M8594" s="29" t="s">
        <v>3243</v>
      </c>
      <c r="N8594" s="29" t="s">
        <v>3244</v>
      </c>
      <c r="O8594" s="29"/>
      <c r="P8594" s="29" t="s">
        <v>13475</v>
      </c>
      <c r="Q8594" t="s">
        <v>2039</v>
      </c>
      <c r="R8594" t="s">
        <v>2635</v>
      </c>
      <c r="S8594">
        <v>38</v>
      </c>
      <c r="T8594" s="43" t="str">
        <f t="shared" ref="T8594:T8625" si="372">HYPERLINK("https://ictv.global/ictv/proposals/2021.013M.Hantaviridae_sprename.zip","2021.013M.Hantaviridae_sprename.zip")</f>
        <v>2021.013M.Hantaviridae_sprename.zip</v>
      </c>
      <c r="U8594" s="43" t="str">
        <f>HYPERLINK("https://ictv.global/taxonomy/taxondetails?taxnode_id=202209699","ictv.global=202209699")</f>
        <v>ictv.global=202209699</v>
      </c>
    </row>
    <row r="8595" spans="1:21">
      <c r="A8595">
        <v>8594</v>
      </c>
      <c r="B8595" s="29" t="s">
        <v>3223</v>
      </c>
      <c r="C8595" s="29"/>
      <c r="D8595" s="29" t="s">
        <v>4156</v>
      </c>
      <c r="E8595" s="29"/>
      <c r="F8595" s="29" t="s">
        <v>2998</v>
      </c>
      <c r="G8595" s="29" t="s">
        <v>3020</v>
      </c>
      <c r="H8595" s="29" t="s">
        <v>3021</v>
      </c>
      <c r="I8595" s="29"/>
      <c r="J8595" s="29" t="s">
        <v>2374</v>
      </c>
      <c r="K8595" s="29"/>
      <c r="L8595" s="29" t="s">
        <v>2376</v>
      </c>
      <c r="M8595" s="29" t="s">
        <v>3243</v>
      </c>
      <c r="N8595" s="29" t="s">
        <v>3244</v>
      </c>
      <c r="O8595" s="29"/>
      <c r="P8595" s="29" t="s">
        <v>13476</v>
      </c>
      <c r="Q8595" t="s">
        <v>2039</v>
      </c>
      <c r="R8595" t="s">
        <v>2635</v>
      </c>
      <c r="S8595">
        <v>38</v>
      </c>
      <c r="T8595" s="43" t="str">
        <f t="shared" si="372"/>
        <v>2021.013M.Hantaviridae_sprename.zip</v>
      </c>
      <c r="U8595" s="43" t="str">
        <f>HYPERLINK("https://ictv.global/taxonomy/taxondetails?taxnode_id=202206428","ictv.global=202206428")</f>
        <v>ictv.global=202206428</v>
      </c>
    </row>
    <row r="8596" spans="1:21">
      <c r="A8596">
        <v>8595</v>
      </c>
      <c r="B8596" s="29" t="s">
        <v>3223</v>
      </c>
      <c r="C8596" s="29"/>
      <c r="D8596" s="29" t="s">
        <v>4156</v>
      </c>
      <c r="E8596" s="29"/>
      <c r="F8596" s="29" t="s">
        <v>2998</v>
      </c>
      <c r="G8596" s="29" t="s">
        <v>3020</v>
      </c>
      <c r="H8596" s="29" t="s">
        <v>3021</v>
      </c>
      <c r="I8596" s="29"/>
      <c r="J8596" s="29" t="s">
        <v>2374</v>
      </c>
      <c r="K8596" s="29"/>
      <c r="L8596" s="29" t="s">
        <v>2376</v>
      </c>
      <c r="M8596" s="29" t="s">
        <v>3243</v>
      </c>
      <c r="N8596" s="29" t="s">
        <v>3244</v>
      </c>
      <c r="O8596" s="29"/>
      <c r="P8596" s="29" t="s">
        <v>13477</v>
      </c>
      <c r="Q8596" t="s">
        <v>2039</v>
      </c>
      <c r="R8596" t="s">
        <v>2635</v>
      </c>
      <c r="S8596">
        <v>38</v>
      </c>
      <c r="T8596" s="43" t="str">
        <f t="shared" si="372"/>
        <v>2021.013M.Hantaviridae_sprename.zip</v>
      </c>
      <c r="U8596" s="43" t="str">
        <f>HYPERLINK("https://ictv.global/taxonomy/taxondetails?taxnode_id=202206430","ictv.global=202206430")</f>
        <v>ictv.global=202206430</v>
      </c>
    </row>
    <row r="8597" spans="1:21">
      <c r="A8597">
        <v>8596</v>
      </c>
      <c r="B8597" s="29" t="s">
        <v>3223</v>
      </c>
      <c r="C8597" s="29"/>
      <c r="D8597" s="29" t="s">
        <v>4156</v>
      </c>
      <c r="E8597" s="29"/>
      <c r="F8597" s="29" t="s">
        <v>2998</v>
      </c>
      <c r="G8597" s="29" t="s">
        <v>3020</v>
      </c>
      <c r="H8597" s="29" t="s">
        <v>3021</v>
      </c>
      <c r="I8597" s="29"/>
      <c r="J8597" s="29" t="s">
        <v>2374</v>
      </c>
      <c r="K8597" s="29"/>
      <c r="L8597" s="29" t="s">
        <v>2376</v>
      </c>
      <c r="M8597" s="29" t="s">
        <v>3243</v>
      </c>
      <c r="N8597" s="29" t="s">
        <v>3244</v>
      </c>
      <c r="O8597" s="29"/>
      <c r="P8597" s="29" t="s">
        <v>13478</v>
      </c>
      <c r="Q8597" t="s">
        <v>2039</v>
      </c>
      <c r="R8597" t="s">
        <v>2635</v>
      </c>
      <c r="S8597">
        <v>38</v>
      </c>
      <c r="T8597" s="43" t="str">
        <f t="shared" si="372"/>
        <v>2021.013M.Hantaviridae_sprename.zip</v>
      </c>
      <c r="U8597" s="43" t="str">
        <f>HYPERLINK("https://ictv.global/taxonomy/taxondetails?taxnode_id=202206429","ictv.global=202206429")</f>
        <v>ictv.global=202206429</v>
      </c>
    </row>
    <row r="8598" spans="1:21">
      <c r="A8598">
        <v>8597</v>
      </c>
      <c r="B8598" s="29" t="s">
        <v>3223</v>
      </c>
      <c r="C8598" s="29"/>
      <c r="D8598" s="29" t="s">
        <v>4156</v>
      </c>
      <c r="E8598" s="29"/>
      <c r="F8598" s="29" t="s">
        <v>2998</v>
      </c>
      <c r="G8598" s="29" t="s">
        <v>3020</v>
      </c>
      <c r="H8598" s="29" t="s">
        <v>3021</v>
      </c>
      <c r="I8598" s="29"/>
      <c r="J8598" s="29" t="s">
        <v>2374</v>
      </c>
      <c r="K8598" s="29"/>
      <c r="L8598" s="29" t="s">
        <v>2376</v>
      </c>
      <c r="M8598" s="29" t="s">
        <v>3245</v>
      </c>
      <c r="N8598" s="29" t="s">
        <v>3246</v>
      </c>
      <c r="O8598" s="29"/>
      <c r="P8598" s="29" t="s">
        <v>13479</v>
      </c>
      <c r="Q8598" t="s">
        <v>2039</v>
      </c>
      <c r="R8598" t="s">
        <v>2635</v>
      </c>
      <c r="S8598">
        <v>38</v>
      </c>
      <c r="T8598" s="43" t="str">
        <f t="shared" si="372"/>
        <v>2021.013M.Hantaviridae_sprename.zip</v>
      </c>
      <c r="U8598" s="43" t="str">
        <f>HYPERLINK("https://ictv.global/taxonomy/taxondetails?taxnode_id=202206433","ictv.global=202206433")</f>
        <v>ictv.global=202206433</v>
      </c>
    </row>
    <row r="8599" spans="1:21">
      <c r="A8599">
        <v>8598</v>
      </c>
      <c r="B8599" s="29" t="s">
        <v>3223</v>
      </c>
      <c r="C8599" s="29"/>
      <c r="D8599" s="29" t="s">
        <v>4156</v>
      </c>
      <c r="E8599" s="29"/>
      <c r="F8599" s="29" t="s">
        <v>2998</v>
      </c>
      <c r="G8599" s="29" t="s">
        <v>3020</v>
      </c>
      <c r="H8599" s="29" t="s">
        <v>3021</v>
      </c>
      <c r="I8599" s="29"/>
      <c r="J8599" s="29" t="s">
        <v>2374</v>
      </c>
      <c r="K8599" s="29"/>
      <c r="L8599" s="29" t="s">
        <v>2376</v>
      </c>
      <c r="M8599" s="29" t="s">
        <v>3247</v>
      </c>
      <c r="N8599" s="29" t="s">
        <v>3024</v>
      </c>
      <c r="O8599" s="29"/>
      <c r="P8599" s="29" t="s">
        <v>13480</v>
      </c>
      <c r="Q8599" t="s">
        <v>2039</v>
      </c>
      <c r="R8599" t="s">
        <v>2635</v>
      </c>
      <c r="S8599">
        <v>38</v>
      </c>
      <c r="T8599" s="43" t="str">
        <f t="shared" si="372"/>
        <v>2021.013M.Hantaviridae_sprename.zip</v>
      </c>
      <c r="U8599" s="43" t="str">
        <f>HYPERLINK("https://ictv.global/taxonomy/taxondetails?taxnode_id=202207442","ictv.global=202207442")</f>
        <v>ictv.global=202207442</v>
      </c>
    </row>
    <row r="8600" spans="1:21">
      <c r="A8600">
        <v>8599</v>
      </c>
      <c r="B8600" s="29" t="s">
        <v>3223</v>
      </c>
      <c r="C8600" s="29"/>
      <c r="D8600" s="29" t="s">
        <v>4156</v>
      </c>
      <c r="E8600" s="29"/>
      <c r="F8600" s="29" t="s">
        <v>2998</v>
      </c>
      <c r="G8600" s="29" t="s">
        <v>3020</v>
      </c>
      <c r="H8600" s="29" t="s">
        <v>3021</v>
      </c>
      <c r="I8600" s="29"/>
      <c r="J8600" s="29" t="s">
        <v>2374</v>
      </c>
      <c r="K8600" s="29"/>
      <c r="L8600" s="29" t="s">
        <v>2376</v>
      </c>
      <c r="M8600" s="29" t="s">
        <v>3247</v>
      </c>
      <c r="N8600" s="29" t="s">
        <v>3024</v>
      </c>
      <c r="O8600" s="29"/>
      <c r="P8600" s="29" t="s">
        <v>13481</v>
      </c>
      <c r="Q8600" t="s">
        <v>2039</v>
      </c>
      <c r="R8600" t="s">
        <v>2635</v>
      </c>
      <c r="S8600">
        <v>38</v>
      </c>
      <c r="T8600" s="43" t="str">
        <f t="shared" si="372"/>
        <v>2021.013M.Hantaviridae_sprename.zip</v>
      </c>
      <c r="U8600" s="43" t="str">
        <f>HYPERLINK("https://ictv.global/taxonomy/taxondetails?taxnode_id=202200044","ictv.global=202200044")</f>
        <v>ictv.global=202200044</v>
      </c>
    </row>
    <row r="8601" spans="1:21">
      <c r="A8601">
        <v>8600</v>
      </c>
      <c r="B8601" s="29" t="s">
        <v>3223</v>
      </c>
      <c r="C8601" s="29"/>
      <c r="D8601" s="29" t="s">
        <v>4156</v>
      </c>
      <c r="E8601" s="29"/>
      <c r="F8601" s="29" t="s">
        <v>2998</v>
      </c>
      <c r="G8601" s="29" t="s">
        <v>3020</v>
      </c>
      <c r="H8601" s="29" t="s">
        <v>3021</v>
      </c>
      <c r="I8601" s="29"/>
      <c r="J8601" s="29" t="s">
        <v>2374</v>
      </c>
      <c r="K8601" s="29"/>
      <c r="L8601" s="29" t="s">
        <v>2376</v>
      </c>
      <c r="M8601" s="29" t="s">
        <v>3247</v>
      </c>
      <c r="N8601" s="29" t="s">
        <v>3025</v>
      </c>
      <c r="O8601" s="29"/>
      <c r="P8601" s="29" t="s">
        <v>13482</v>
      </c>
      <c r="Q8601" t="s">
        <v>2039</v>
      </c>
      <c r="R8601" t="s">
        <v>2635</v>
      </c>
      <c r="S8601">
        <v>38</v>
      </c>
      <c r="T8601" s="43" t="str">
        <f t="shared" si="372"/>
        <v>2021.013M.Hantaviridae_sprename.zip</v>
      </c>
      <c r="U8601" s="43" t="str">
        <f>HYPERLINK("https://ictv.global/taxonomy/taxondetails?taxnode_id=202200043","ictv.global=202200043")</f>
        <v>ictv.global=202200043</v>
      </c>
    </row>
    <row r="8602" spans="1:21">
      <c r="A8602">
        <v>8601</v>
      </c>
      <c r="B8602" s="29" t="s">
        <v>3223</v>
      </c>
      <c r="C8602" s="29"/>
      <c r="D8602" s="29" t="s">
        <v>4156</v>
      </c>
      <c r="E8602" s="29"/>
      <c r="F8602" s="29" t="s">
        <v>2998</v>
      </c>
      <c r="G8602" s="29" t="s">
        <v>3020</v>
      </c>
      <c r="H8602" s="29" t="s">
        <v>3021</v>
      </c>
      <c r="I8602" s="29"/>
      <c r="J8602" s="29" t="s">
        <v>2374</v>
      </c>
      <c r="K8602" s="29"/>
      <c r="L8602" s="29" t="s">
        <v>2376</v>
      </c>
      <c r="M8602" s="29" t="s">
        <v>3247</v>
      </c>
      <c r="N8602" s="29" t="s">
        <v>3025</v>
      </c>
      <c r="O8602" s="29"/>
      <c r="P8602" s="29" t="s">
        <v>13483</v>
      </c>
      <c r="Q8602" t="s">
        <v>2039</v>
      </c>
      <c r="R8602" t="s">
        <v>2635</v>
      </c>
      <c r="S8602">
        <v>38</v>
      </c>
      <c r="T8602" s="43" t="str">
        <f t="shared" si="372"/>
        <v>2021.013M.Hantaviridae_sprename.zip</v>
      </c>
      <c r="U8602" s="43" t="str">
        <f>HYPERLINK("https://ictv.global/taxonomy/taxondetails?taxnode_id=202209700","ictv.global=202209700")</f>
        <v>ictv.global=202209700</v>
      </c>
    </row>
    <row r="8603" spans="1:21">
      <c r="A8603">
        <v>8602</v>
      </c>
      <c r="B8603" s="29" t="s">
        <v>3223</v>
      </c>
      <c r="C8603" s="29"/>
      <c r="D8603" s="29" t="s">
        <v>4156</v>
      </c>
      <c r="E8603" s="29"/>
      <c r="F8603" s="29" t="s">
        <v>2998</v>
      </c>
      <c r="G8603" s="29" t="s">
        <v>3020</v>
      </c>
      <c r="H8603" s="29" t="s">
        <v>3021</v>
      </c>
      <c r="I8603" s="29"/>
      <c r="J8603" s="29" t="s">
        <v>2374</v>
      </c>
      <c r="K8603" s="29"/>
      <c r="L8603" s="29" t="s">
        <v>2376</v>
      </c>
      <c r="M8603" s="29" t="s">
        <v>3247</v>
      </c>
      <c r="N8603" s="29" t="s">
        <v>3025</v>
      </c>
      <c r="O8603" s="29"/>
      <c r="P8603" s="29" t="s">
        <v>13484</v>
      </c>
      <c r="Q8603" t="s">
        <v>2039</v>
      </c>
      <c r="R8603" t="s">
        <v>2635</v>
      </c>
      <c r="S8603">
        <v>38</v>
      </c>
      <c r="T8603" s="43" t="str">
        <f t="shared" si="372"/>
        <v>2021.013M.Hantaviridae_sprename.zip</v>
      </c>
      <c r="U8603" s="43" t="str">
        <f>HYPERLINK("https://ictv.global/taxonomy/taxondetails?taxnode_id=202200049","ictv.global=202200049")</f>
        <v>ictv.global=202200049</v>
      </c>
    </row>
    <row r="8604" spans="1:21">
      <c r="A8604">
        <v>8603</v>
      </c>
      <c r="B8604" s="29" t="s">
        <v>3223</v>
      </c>
      <c r="C8604" s="29"/>
      <c r="D8604" s="29" t="s">
        <v>4156</v>
      </c>
      <c r="E8604" s="29"/>
      <c r="F8604" s="29" t="s">
        <v>2998</v>
      </c>
      <c r="G8604" s="29" t="s">
        <v>3020</v>
      </c>
      <c r="H8604" s="29" t="s">
        <v>3021</v>
      </c>
      <c r="I8604" s="29"/>
      <c r="J8604" s="29" t="s">
        <v>2374</v>
      </c>
      <c r="K8604" s="29"/>
      <c r="L8604" s="29" t="s">
        <v>2376</v>
      </c>
      <c r="M8604" s="29" t="s">
        <v>3247</v>
      </c>
      <c r="N8604" s="29" t="s">
        <v>3025</v>
      </c>
      <c r="O8604" s="29"/>
      <c r="P8604" s="29" t="s">
        <v>13485</v>
      </c>
      <c r="Q8604" t="s">
        <v>2039</v>
      </c>
      <c r="R8604" t="s">
        <v>2635</v>
      </c>
      <c r="S8604">
        <v>38</v>
      </c>
      <c r="T8604" s="43" t="str">
        <f t="shared" si="372"/>
        <v>2021.013M.Hantaviridae_sprename.zip</v>
      </c>
      <c r="U8604" s="43" t="str">
        <f>HYPERLINK("https://ictv.global/taxonomy/taxondetails?taxnode_id=202200053","ictv.global=202200053")</f>
        <v>ictv.global=202200053</v>
      </c>
    </row>
    <row r="8605" spans="1:21">
      <c r="A8605">
        <v>8604</v>
      </c>
      <c r="B8605" s="29" t="s">
        <v>3223</v>
      </c>
      <c r="C8605" s="29"/>
      <c r="D8605" s="29" t="s">
        <v>4156</v>
      </c>
      <c r="E8605" s="29"/>
      <c r="F8605" s="29" t="s">
        <v>2998</v>
      </c>
      <c r="G8605" s="29" t="s">
        <v>3020</v>
      </c>
      <c r="H8605" s="29" t="s">
        <v>3021</v>
      </c>
      <c r="I8605" s="29"/>
      <c r="J8605" s="29" t="s">
        <v>2374</v>
      </c>
      <c r="K8605" s="29"/>
      <c r="L8605" s="29" t="s">
        <v>2376</v>
      </c>
      <c r="M8605" s="29" t="s">
        <v>3247</v>
      </c>
      <c r="N8605" s="29" t="s">
        <v>3025</v>
      </c>
      <c r="O8605" s="29"/>
      <c r="P8605" s="29" t="s">
        <v>13486</v>
      </c>
      <c r="Q8605" t="s">
        <v>2039</v>
      </c>
      <c r="R8605" t="s">
        <v>2635</v>
      </c>
      <c r="S8605">
        <v>38</v>
      </c>
      <c r="T8605" s="43" t="str">
        <f t="shared" si="372"/>
        <v>2021.013M.Hantaviridae_sprename.zip</v>
      </c>
      <c r="U8605" s="43" t="str">
        <f>HYPERLINK("https://ictv.global/taxonomy/taxondetails?taxnode_id=202209701","ictv.global=202209701")</f>
        <v>ictv.global=202209701</v>
      </c>
    </row>
    <row r="8606" spans="1:21">
      <c r="A8606">
        <v>8605</v>
      </c>
      <c r="B8606" s="29" t="s">
        <v>3223</v>
      </c>
      <c r="C8606" s="29"/>
      <c r="D8606" s="29" t="s">
        <v>4156</v>
      </c>
      <c r="E8606" s="29"/>
      <c r="F8606" s="29" t="s">
        <v>2998</v>
      </c>
      <c r="G8606" s="29" t="s">
        <v>3020</v>
      </c>
      <c r="H8606" s="29" t="s">
        <v>3021</v>
      </c>
      <c r="I8606" s="29"/>
      <c r="J8606" s="29" t="s">
        <v>2374</v>
      </c>
      <c r="K8606" s="29"/>
      <c r="L8606" s="29" t="s">
        <v>2376</v>
      </c>
      <c r="M8606" s="29" t="s">
        <v>3247</v>
      </c>
      <c r="N8606" s="29" t="s">
        <v>2377</v>
      </c>
      <c r="O8606" s="29"/>
      <c r="P8606" s="29" t="s">
        <v>13487</v>
      </c>
      <c r="Q8606" t="s">
        <v>2039</v>
      </c>
      <c r="R8606" t="s">
        <v>2635</v>
      </c>
      <c r="S8606">
        <v>38</v>
      </c>
      <c r="T8606" s="43" t="str">
        <f t="shared" si="372"/>
        <v>2021.013M.Hantaviridae_sprename.zip</v>
      </c>
      <c r="U8606" s="43" t="str">
        <f>HYPERLINK("https://ictv.global/taxonomy/taxondetails?taxnode_id=202200022","ictv.global=202200022")</f>
        <v>ictv.global=202200022</v>
      </c>
    </row>
    <row r="8607" spans="1:21">
      <c r="A8607">
        <v>8606</v>
      </c>
      <c r="B8607" s="29" t="s">
        <v>3223</v>
      </c>
      <c r="C8607" s="29"/>
      <c r="D8607" s="29" t="s">
        <v>4156</v>
      </c>
      <c r="E8607" s="29"/>
      <c r="F8607" s="29" t="s">
        <v>2998</v>
      </c>
      <c r="G8607" s="29" t="s">
        <v>3020</v>
      </c>
      <c r="H8607" s="29" t="s">
        <v>3021</v>
      </c>
      <c r="I8607" s="29"/>
      <c r="J8607" s="29" t="s">
        <v>2374</v>
      </c>
      <c r="K8607" s="29"/>
      <c r="L8607" s="29" t="s">
        <v>2376</v>
      </c>
      <c r="M8607" s="29" t="s">
        <v>3247</v>
      </c>
      <c r="N8607" s="29" t="s">
        <v>2377</v>
      </c>
      <c r="O8607" s="29"/>
      <c r="P8607" s="29" t="s">
        <v>13488</v>
      </c>
      <c r="Q8607" t="s">
        <v>2039</v>
      </c>
      <c r="R8607" t="s">
        <v>2635</v>
      </c>
      <c r="S8607">
        <v>38</v>
      </c>
      <c r="T8607" s="43" t="str">
        <f t="shared" si="372"/>
        <v>2021.013M.Hantaviridae_sprename.zip</v>
      </c>
      <c r="U8607" s="43" t="str">
        <f>HYPERLINK("https://ictv.global/taxonomy/taxondetails?taxnode_id=202200023","ictv.global=202200023")</f>
        <v>ictv.global=202200023</v>
      </c>
    </row>
    <row r="8608" spans="1:21">
      <c r="A8608">
        <v>8607</v>
      </c>
      <c r="B8608" s="29" t="s">
        <v>3223</v>
      </c>
      <c r="C8608" s="29"/>
      <c r="D8608" s="29" t="s">
        <v>4156</v>
      </c>
      <c r="E8608" s="29"/>
      <c r="F8608" s="29" t="s">
        <v>2998</v>
      </c>
      <c r="G8608" s="29" t="s">
        <v>3020</v>
      </c>
      <c r="H8608" s="29" t="s">
        <v>3021</v>
      </c>
      <c r="I8608" s="29"/>
      <c r="J8608" s="29" t="s">
        <v>2374</v>
      </c>
      <c r="K8608" s="29"/>
      <c r="L8608" s="29" t="s">
        <v>2376</v>
      </c>
      <c r="M8608" s="29" t="s">
        <v>3247</v>
      </c>
      <c r="N8608" s="29" t="s">
        <v>2377</v>
      </c>
      <c r="O8608" s="29"/>
      <c r="P8608" s="29" t="s">
        <v>13489</v>
      </c>
      <c r="Q8608" t="s">
        <v>2039</v>
      </c>
      <c r="R8608" t="s">
        <v>2635</v>
      </c>
      <c r="S8608">
        <v>38</v>
      </c>
      <c r="T8608" s="43" t="str">
        <f t="shared" si="372"/>
        <v>2021.013M.Hantaviridae_sprename.zip</v>
      </c>
      <c r="U8608" s="43" t="str">
        <f>HYPERLINK("https://ictv.global/taxonomy/taxondetails?taxnode_id=202200024","ictv.global=202200024")</f>
        <v>ictv.global=202200024</v>
      </c>
    </row>
    <row r="8609" spans="1:21">
      <c r="A8609">
        <v>8608</v>
      </c>
      <c r="B8609" s="29" t="s">
        <v>3223</v>
      </c>
      <c r="C8609" s="29"/>
      <c r="D8609" s="29" t="s">
        <v>4156</v>
      </c>
      <c r="E8609" s="29"/>
      <c r="F8609" s="29" t="s">
        <v>2998</v>
      </c>
      <c r="G8609" s="29" t="s">
        <v>3020</v>
      </c>
      <c r="H8609" s="29" t="s">
        <v>3021</v>
      </c>
      <c r="I8609" s="29"/>
      <c r="J8609" s="29" t="s">
        <v>2374</v>
      </c>
      <c r="K8609" s="29"/>
      <c r="L8609" s="29" t="s">
        <v>2376</v>
      </c>
      <c r="M8609" s="29" t="s">
        <v>3247</v>
      </c>
      <c r="N8609" s="29" t="s">
        <v>2377</v>
      </c>
      <c r="O8609" s="29"/>
      <c r="P8609" s="29" t="s">
        <v>13490</v>
      </c>
      <c r="Q8609" t="s">
        <v>2039</v>
      </c>
      <c r="R8609" t="s">
        <v>2635</v>
      </c>
      <c r="S8609">
        <v>38</v>
      </c>
      <c r="T8609" s="43" t="str">
        <f t="shared" si="372"/>
        <v>2021.013M.Hantaviridae_sprename.zip</v>
      </c>
      <c r="U8609" s="43" t="str">
        <f>HYPERLINK("https://ictv.global/taxonomy/taxondetails?taxnode_id=202200025","ictv.global=202200025")</f>
        <v>ictv.global=202200025</v>
      </c>
    </row>
    <row r="8610" spans="1:21">
      <c r="A8610">
        <v>8609</v>
      </c>
      <c r="B8610" s="29" t="s">
        <v>3223</v>
      </c>
      <c r="C8610" s="29"/>
      <c r="D8610" s="29" t="s">
        <v>4156</v>
      </c>
      <c r="E8610" s="29"/>
      <c r="F8610" s="29" t="s">
        <v>2998</v>
      </c>
      <c r="G8610" s="29" t="s">
        <v>3020</v>
      </c>
      <c r="H8610" s="29" t="s">
        <v>3021</v>
      </c>
      <c r="I8610" s="29"/>
      <c r="J8610" s="29" t="s">
        <v>2374</v>
      </c>
      <c r="K8610" s="29"/>
      <c r="L8610" s="29" t="s">
        <v>2376</v>
      </c>
      <c r="M8610" s="29" t="s">
        <v>3247</v>
      </c>
      <c r="N8610" s="29" t="s">
        <v>2377</v>
      </c>
      <c r="O8610" s="29"/>
      <c r="P8610" s="29" t="s">
        <v>13491</v>
      </c>
      <c r="Q8610" t="s">
        <v>2039</v>
      </c>
      <c r="R8610" t="s">
        <v>2635</v>
      </c>
      <c r="S8610">
        <v>38</v>
      </c>
      <c r="T8610" s="43" t="str">
        <f t="shared" si="372"/>
        <v>2021.013M.Hantaviridae_sprename.zip</v>
      </c>
      <c r="U8610" s="43" t="str">
        <f>HYPERLINK("https://ictv.global/taxonomy/taxondetails?taxnode_id=202200027","ictv.global=202200027")</f>
        <v>ictv.global=202200027</v>
      </c>
    </row>
    <row r="8611" spans="1:21">
      <c r="A8611">
        <v>8610</v>
      </c>
      <c r="B8611" s="29" t="s">
        <v>3223</v>
      </c>
      <c r="C8611" s="29"/>
      <c r="D8611" s="29" t="s">
        <v>4156</v>
      </c>
      <c r="E8611" s="29"/>
      <c r="F8611" s="29" t="s">
        <v>2998</v>
      </c>
      <c r="G8611" s="29" t="s">
        <v>3020</v>
      </c>
      <c r="H8611" s="29" t="s">
        <v>3021</v>
      </c>
      <c r="I8611" s="29"/>
      <c r="J8611" s="29" t="s">
        <v>2374</v>
      </c>
      <c r="K8611" s="29"/>
      <c r="L8611" s="29" t="s">
        <v>2376</v>
      </c>
      <c r="M8611" s="29" t="s">
        <v>3247</v>
      </c>
      <c r="N8611" s="29" t="s">
        <v>2377</v>
      </c>
      <c r="O8611" s="29"/>
      <c r="P8611" s="29" t="s">
        <v>13492</v>
      </c>
      <c r="Q8611" t="s">
        <v>2039</v>
      </c>
      <c r="R8611" t="s">
        <v>2635</v>
      </c>
      <c r="S8611">
        <v>38</v>
      </c>
      <c r="T8611" s="43" t="str">
        <f t="shared" si="372"/>
        <v>2021.013M.Hantaviridae_sprename.zip</v>
      </c>
      <c r="U8611" s="43" t="str">
        <f>HYPERLINK("https://ictv.global/taxonomy/taxondetails?taxnode_id=202200028","ictv.global=202200028")</f>
        <v>ictv.global=202200028</v>
      </c>
    </row>
    <row r="8612" spans="1:21">
      <c r="A8612">
        <v>8611</v>
      </c>
      <c r="B8612" s="29" t="s">
        <v>3223</v>
      </c>
      <c r="C8612" s="29"/>
      <c r="D8612" s="29" t="s">
        <v>4156</v>
      </c>
      <c r="E8612" s="29"/>
      <c r="F8612" s="29" t="s">
        <v>2998</v>
      </c>
      <c r="G8612" s="29" t="s">
        <v>3020</v>
      </c>
      <c r="H8612" s="29" t="s">
        <v>3021</v>
      </c>
      <c r="I8612" s="29"/>
      <c r="J8612" s="29" t="s">
        <v>2374</v>
      </c>
      <c r="K8612" s="29"/>
      <c r="L8612" s="29" t="s">
        <v>2376</v>
      </c>
      <c r="M8612" s="29" t="s">
        <v>3247</v>
      </c>
      <c r="N8612" s="29" t="s">
        <v>2377</v>
      </c>
      <c r="O8612" s="29"/>
      <c r="P8612" s="29" t="s">
        <v>13493</v>
      </c>
      <c r="Q8612" t="s">
        <v>2039</v>
      </c>
      <c r="R8612" t="s">
        <v>2635</v>
      </c>
      <c r="S8612">
        <v>38</v>
      </c>
      <c r="T8612" s="43" t="str">
        <f t="shared" si="372"/>
        <v>2021.013M.Hantaviridae_sprename.zip</v>
      </c>
      <c r="U8612" s="43" t="str">
        <f>HYPERLINK("https://ictv.global/taxonomy/taxondetails?taxnode_id=202200030","ictv.global=202200030")</f>
        <v>ictv.global=202200030</v>
      </c>
    </row>
    <row r="8613" spans="1:21">
      <c r="A8613">
        <v>8612</v>
      </c>
      <c r="B8613" s="29" t="s">
        <v>3223</v>
      </c>
      <c r="C8613" s="29"/>
      <c r="D8613" s="29" t="s">
        <v>4156</v>
      </c>
      <c r="E8613" s="29"/>
      <c r="F8613" s="29" t="s">
        <v>2998</v>
      </c>
      <c r="G8613" s="29" t="s">
        <v>3020</v>
      </c>
      <c r="H8613" s="29" t="s">
        <v>3021</v>
      </c>
      <c r="I8613" s="29"/>
      <c r="J8613" s="29" t="s">
        <v>2374</v>
      </c>
      <c r="K8613" s="29"/>
      <c r="L8613" s="29" t="s">
        <v>2376</v>
      </c>
      <c r="M8613" s="29" t="s">
        <v>3247</v>
      </c>
      <c r="N8613" s="29" t="s">
        <v>2377</v>
      </c>
      <c r="O8613" s="29"/>
      <c r="P8613" s="29" t="s">
        <v>13494</v>
      </c>
      <c r="Q8613" t="s">
        <v>2039</v>
      </c>
      <c r="R8613" t="s">
        <v>2635</v>
      </c>
      <c r="S8613">
        <v>38</v>
      </c>
      <c r="T8613" s="43" t="str">
        <f t="shared" si="372"/>
        <v>2021.013M.Hantaviridae_sprename.zip</v>
      </c>
      <c r="U8613" s="43" t="str">
        <f>HYPERLINK("https://ictv.global/taxonomy/taxondetails?taxnode_id=202200031","ictv.global=202200031")</f>
        <v>ictv.global=202200031</v>
      </c>
    </row>
    <row r="8614" spans="1:21">
      <c r="A8614">
        <v>8613</v>
      </c>
      <c r="B8614" s="29" t="s">
        <v>3223</v>
      </c>
      <c r="C8614" s="29"/>
      <c r="D8614" s="29" t="s">
        <v>4156</v>
      </c>
      <c r="E8614" s="29"/>
      <c r="F8614" s="29" t="s">
        <v>2998</v>
      </c>
      <c r="G8614" s="29" t="s">
        <v>3020</v>
      </c>
      <c r="H8614" s="29" t="s">
        <v>3021</v>
      </c>
      <c r="I8614" s="29"/>
      <c r="J8614" s="29" t="s">
        <v>2374</v>
      </c>
      <c r="K8614" s="29"/>
      <c r="L8614" s="29" t="s">
        <v>2376</v>
      </c>
      <c r="M8614" s="29" t="s">
        <v>3247</v>
      </c>
      <c r="N8614" s="29" t="s">
        <v>2377</v>
      </c>
      <c r="O8614" s="29"/>
      <c r="P8614" s="29" t="s">
        <v>13495</v>
      </c>
      <c r="Q8614" t="s">
        <v>2039</v>
      </c>
      <c r="R8614" t="s">
        <v>2635</v>
      </c>
      <c r="S8614">
        <v>38</v>
      </c>
      <c r="T8614" s="43" t="str">
        <f t="shared" si="372"/>
        <v>2021.013M.Hantaviridae_sprename.zip</v>
      </c>
      <c r="U8614" s="43" t="str">
        <f>HYPERLINK("https://ictv.global/taxonomy/taxondetails?taxnode_id=202200032","ictv.global=202200032")</f>
        <v>ictv.global=202200032</v>
      </c>
    </row>
    <row r="8615" spans="1:21">
      <c r="A8615">
        <v>8614</v>
      </c>
      <c r="B8615" s="29" t="s">
        <v>3223</v>
      </c>
      <c r="C8615" s="29"/>
      <c r="D8615" s="29" t="s">
        <v>4156</v>
      </c>
      <c r="E8615" s="29"/>
      <c r="F8615" s="29" t="s">
        <v>2998</v>
      </c>
      <c r="G8615" s="29" t="s">
        <v>3020</v>
      </c>
      <c r="H8615" s="29" t="s">
        <v>3021</v>
      </c>
      <c r="I8615" s="29"/>
      <c r="J8615" s="29" t="s">
        <v>2374</v>
      </c>
      <c r="K8615" s="29"/>
      <c r="L8615" s="29" t="s">
        <v>2376</v>
      </c>
      <c r="M8615" s="29" t="s">
        <v>3247</v>
      </c>
      <c r="N8615" s="29" t="s">
        <v>2377</v>
      </c>
      <c r="O8615" s="29"/>
      <c r="P8615" s="29" t="s">
        <v>13496</v>
      </c>
      <c r="Q8615" t="s">
        <v>2039</v>
      </c>
      <c r="R8615" t="s">
        <v>2635</v>
      </c>
      <c r="S8615">
        <v>38</v>
      </c>
      <c r="T8615" s="43" t="str">
        <f t="shared" si="372"/>
        <v>2021.013M.Hantaviridae_sprename.zip</v>
      </c>
      <c r="U8615" s="43" t="str">
        <f>HYPERLINK("https://ictv.global/taxonomy/taxondetails?taxnode_id=202200029","ictv.global=202200029")</f>
        <v>ictv.global=202200029</v>
      </c>
    </row>
    <row r="8616" spans="1:21">
      <c r="A8616">
        <v>8615</v>
      </c>
      <c r="B8616" s="29" t="s">
        <v>3223</v>
      </c>
      <c r="C8616" s="29"/>
      <c r="D8616" s="29" t="s">
        <v>4156</v>
      </c>
      <c r="E8616" s="29"/>
      <c r="F8616" s="29" t="s">
        <v>2998</v>
      </c>
      <c r="G8616" s="29" t="s">
        <v>3020</v>
      </c>
      <c r="H8616" s="29" t="s">
        <v>3021</v>
      </c>
      <c r="I8616" s="29"/>
      <c r="J8616" s="29" t="s">
        <v>2374</v>
      </c>
      <c r="K8616" s="29"/>
      <c r="L8616" s="29" t="s">
        <v>2376</v>
      </c>
      <c r="M8616" s="29" t="s">
        <v>3247</v>
      </c>
      <c r="N8616" s="29" t="s">
        <v>2377</v>
      </c>
      <c r="O8616" s="29"/>
      <c r="P8616" s="29" t="s">
        <v>13497</v>
      </c>
      <c r="Q8616" t="s">
        <v>2039</v>
      </c>
      <c r="R8616" t="s">
        <v>2635</v>
      </c>
      <c r="S8616">
        <v>38</v>
      </c>
      <c r="T8616" s="43" t="str">
        <f t="shared" si="372"/>
        <v>2021.013M.Hantaviridae_sprename.zip</v>
      </c>
      <c r="U8616" s="43" t="str">
        <f>HYPERLINK("https://ictv.global/taxonomy/taxondetails?taxnode_id=202200033","ictv.global=202200033")</f>
        <v>ictv.global=202200033</v>
      </c>
    </row>
    <row r="8617" spans="1:21">
      <c r="A8617">
        <v>8616</v>
      </c>
      <c r="B8617" s="29" t="s">
        <v>3223</v>
      </c>
      <c r="C8617" s="29"/>
      <c r="D8617" s="29" t="s">
        <v>4156</v>
      </c>
      <c r="E8617" s="29"/>
      <c r="F8617" s="29" t="s">
        <v>2998</v>
      </c>
      <c r="G8617" s="29" t="s">
        <v>3020</v>
      </c>
      <c r="H8617" s="29" t="s">
        <v>3021</v>
      </c>
      <c r="I8617" s="29"/>
      <c r="J8617" s="29" t="s">
        <v>2374</v>
      </c>
      <c r="K8617" s="29"/>
      <c r="L8617" s="29" t="s">
        <v>2376</v>
      </c>
      <c r="M8617" s="29" t="s">
        <v>3247</v>
      </c>
      <c r="N8617" s="29" t="s">
        <v>2377</v>
      </c>
      <c r="O8617" s="29"/>
      <c r="P8617" s="29" t="s">
        <v>13498</v>
      </c>
      <c r="Q8617" t="s">
        <v>2039</v>
      </c>
      <c r="R8617" t="s">
        <v>2635</v>
      </c>
      <c r="S8617">
        <v>38</v>
      </c>
      <c r="T8617" s="43" t="str">
        <f t="shared" si="372"/>
        <v>2021.013M.Hantaviridae_sprename.zip</v>
      </c>
      <c r="U8617" s="43" t="str">
        <f>HYPERLINK("https://ictv.global/taxonomy/taxondetails?taxnode_id=202200035","ictv.global=202200035")</f>
        <v>ictv.global=202200035</v>
      </c>
    </row>
    <row r="8618" spans="1:21">
      <c r="A8618">
        <v>8617</v>
      </c>
      <c r="B8618" s="29" t="s">
        <v>3223</v>
      </c>
      <c r="C8618" s="29"/>
      <c r="D8618" s="29" t="s">
        <v>4156</v>
      </c>
      <c r="E8618" s="29"/>
      <c r="F8618" s="29" t="s">
        <v>2998</v>
      </c>
      <c r="G8618" s="29" t="s">
        <v>3020</v>
      </c>
      <c r="H8618" s="29" t="s">
        <v>3021</v>
      </c>
      <c r="I8618" s="29"/>
      <c r="J8618" s="29" t="s">
        <v>2374</v>
      </c>
      <c r="K8618" s="29"/>
      <c r="L8618" s="29" t="s">
        <v>2376</v>
      </c>
      <c r="M8618" s="29" t="s">
        <v>3247</v>
      </c>
      <c r="N8618" s="29" t="s">
        <v>2377</v>
      </c>
      <c r="O8618" s="29"/>
      <c r="P8618" s="29" t="s">
        <v>13499</v>
      </c>
      <c r="Q8618" t="s">
        <v>2039</v>
      </c>
      <c r="R8618" t="s">
        <v>2635</v>
      </c>
      <c r="S8618">
        <v>38</v>
      </c>
      <c r="T8618" s="43" t="str">
        <f t="shared" si="372"/>
        <v>2021.013M.Hantaviridae_sprename.zip</v>
      </c>
      <c r="U8618" s="43" t="str">
        <f>HYPERLINK("https://ictv.global/taxonomy/taxondetails?taxnode_id=202200036","ictv.global=202200036")</f>
        <v>ictv.global=202200036</v>
      </c>
    </row>
    <row r="8619" spans="1:21">
      <c r="A8619">
        <v>8618</v>
      </c>
      <c r="B8619" s="29" t="s">
        <v>3223</v>
      </c>
      <c r="C8619" s="29"/>
      <c r="D8619" s="29" t="s">
        <v>4156</v>
      </c>
      <c r="E8619" s="29"/>
      <c r="F8619" s="29" t="s">
        <v>2998</v>
      </c>
      <c r="G8619" s="29" t="s">
        <v>3020</v>
      </c>
      <c r="H8619" s="29" t="s">
        <v>3021</v>
      </c>
      <c r="I8619" s="29"/>
      <c r="J8619" s="29" t="s">
        <v>2374</v>
      </c>
      <c r="K8619" s="29"/>
      <c r="L8619" s="29" t="s">
        <v>2376</v>
      </c>
      <c r="M8619" s="29" t="s">
        <v>3247</v>
      </c>
      <c r="N8619" s="29" t="s">
        <v>2377</v>
      </c>
      <c r="O8619" s="29"/>
      <c r="P8619" s="29" t="s">
        <v>13500</v>
      </c>
      <c r="Q8619" t="s">
        <v>2039</v>
      </c>
      <c r="R8619" t="s">
        <v>2635</v>
      </c>
      <c r="S8619">
        <v>38</v>
      </c>
      <c r="T8619" s="43" t="str">
        <f t="shared" si="372"/>
        <v>2021.013M.Hantaviridae_sprename.zip</v>
      </c>
      <c r="U8619" s="43" t="str">
        <f>HYPERLINK("https://ictv.global/taxonomy/taxondetails?taxnode_id=202200037","ictv.global=202200037")</f>
        <v>ictv.global=202200037</v>
      </c>
    </row>
    <row r="8620" spans="1:21">
      <c r="A8620">
        <v>8619</v>
      </c>
      <c r="B8620" s="29" t="s">
        <v>3223</v>
      </c>
      <c r="C8620" s="29"/>
      <c r="D8620" s="29" t="s">
        <v>4156</v>
      </c>
      <c r="E8620" s="29"/>
      <c r="F8620" s="29" t="s">
        <v>2998</v>
      </c>
      <c r="G8620" s="29" t="s">
        <v>3020</v>
      </c>
      <c r="H8620" s="29" t="s">
        <v>3021</v>
      </c>
      <c r="I8620" s="29"/>
      <c r="J8620" s="29" t="s">
        <v>2374</v>
      </c>
      <c r="K8620" s="29"/>
      <c r="L8620" s="29" t="s">
        <v>2376</v>
      </c>
      <c r="M8620" s="29" t="s">
        <v>3247</v>
      </c>
      <c r="N8620" s="29" t="s">
        <v>2377</v>
      </c>
      <c r="O8620" s="29"/>
      <c r="P8620" s="29" t="s">
        <v>13501</v>
      </c>
      <c r="Q8620" t="s">
        <v>2039</v>
      </c>
      <c r="R8620" t="s">
        <v>2635</v>
      </c>
      <c r="S8620">
        <v>38</v>
      </c>
      <c r="T8620" s="43" t="str">
        <f t="shared" si="372"/>
        <v>2021.013M.Hantaviridae_sprename.zip</v>
      </c>
      <c r="U8620" s="43" t="str">
        <f>HYPERLINK("https://ictv.global/taxonomy/taxondetails?taxnode_id=202200039","ictv.global=202200039")</f>
        <v>ictv.global=202200039</v>
      </c>
    </row>
    <row r="8621" spans="1:21">
      <c r="A8621">
        <v>8620</v>
      </c>
      <c r="B8621" s="29" t="s">
        <v>3223</v>
      </c>
      <c r="C8621" s="29"/>
      <c r="D8621" s="29" t="s">
        <v>4156</v>
      </c>
      <c r="E8621" s="29"/>
      <c r="F8621" s="29" t="s">
        <v>2998</v>
      </c>
      <c r="G8621" s="29" t="s">
        <v>3020</v>
      </c>
      <c r="H8621" s="29" t="s">
        <v>3021</v>
      </c>
      <c r="I8621" s="29"/>
      <c r="J8621" s="29" t="s">
        <v>2374</v>
      </c>
      <c r="K8621" s="29"/>
      <c r="L8621" s="29" t="s">
        <v>2376</v>
      </c>
      <c r="M8621" s="29" t="s">
        <v>3247</v>
      </c>
      <c r="N8621" s="29" t="s">
        <v>2377</v>
      </c>
      <c r="O8621" s="29"/>
      <c r="P8621" s="29" t="s">
        <v>13502</v>
      </c>
      <c r="Q8621" t="s">
        <v>2039</v>
      </c>
      <c r="R8621" t="s">
        <v>2635</v>
      </c>
      <c r="S8621">
        <v>38</v>
      </c>
      <c r="T8621" s="43" t="str">
        <f t="shared" si="372"/>
        <v>2021.013M.Hantaviridae_sprename.zip</v>
      </c>
      <c r="U8621" s="43" t="str">
        <f>HYPERLINK("https://ictv.global/taxonomy/taxondetails?taxnode_id=202200040","ictv.global=202200040")</f>
        <v>ictv.global=202200040</v>
      </c>
    </row>
    <row r="8622" spans="1:21">
      <c r="A8622">
        <v>8621</v>
      </c>
      <c r="B8622" s="29" t="s">
        <v>3223</v>
      </c>
      <c r="C8622" s="29"/>
      <c r="D8622" s="29" t="s">
        <v>4156</v>
      </c>
      <c r="E8622" s="29"/>
      <c r="F8622" s="29" t="s">
        <v>2998</v>
      </c>
      <c r="G8622" s="29" t="s">
        <v>3020</v>
      </c>
      <c r="H8622" s="29" t="s">
        <v>3021</v>
      </c>
      <c r="I8622" s="29"/>
      <c r="J8622" s="29" t="s">
        <v>2374</v>
      </c>
      <c r="K8622" s="29"/>
      <c r="L8622" s="29" t="s">
        <v>2376</v>
      </c>
      <c r="M8622" s="29" t="s">
        <v>3247</v>
      </c>
      <c r="N8622" s="29" t="s">
        <v>2377</v>
      </c>
      <c r="O8622" s="29"/>
      <c r="P8622" s="29" t="s">
        <v>13503</v>
      </c>
      <c r="Q8622" t="s">
        <v>2039</v>
      </c>
      <c r="R8622" t="s">
        <v>2635</v>
      </c>
      <c r="S8622">
        <v>38</v>
      </c>
      <c r="T8622" s="43" t="str">
        <f t="shared" si="372"/>
        <v>2021.013M.Hantaviridae_sprename.zip</v>
      </c>
      <c r="U8622" s="43" t="str">
        <f>HYPERLINK("https://ictv.global/taxonomy/taxondetails?taxnode_id=202200041","ictv.global=202200041")</f>
        <v>ictv.global=202200041</v>
      </c>
    </row>
    <row r="8623" spans="1:21">
      <c r="A8623">
        <v>8622</v>
      </c>
      <c r="B8623" s="29" t="s">
        <v>3223</v>
      </c>
      <c r="C8623" s="29"/>
      <c r="D8623" s="29" t="s">
        <v>4156</v>
      </c>
      <c r="E8623" s="29"/>
      <c r="F8623" s="29" t="s">
        <v>2998</v>
      </c>
      <c r="G8623" s="29" t="s">
        <v>3020</v>
      </c>
      <c r="H8623" s="29" t="s">
        <v>3021</v>
      </c>
      <c r="I8623" s="29"/>
      <c r="J8623" s="29" t="s">
        <v>2374</v>
      </c>
      <c r="K8623" s="29"/>
      <c r="L8623" s="29" t="s">
        <v>2376</v>
      </c>
      <c r="M8623" s="29" t="s">
        <v>3247</v>
      </c>
      <c r="N8623" s="29" t="s">
        <v>2377</v>
      </c>
      <c r="O8623" s="29"/>
      <c r="P8623" s="29" t="s">
        <v>13504</v>
      </c>
      <c r="Q8623" t="s">
        <v>2039</v>
      </c>
      <c r="R8623" t="s">
        <v>2635</v>
      </c>
      <c r="S8623">
        <v>38</v>
      </c>
      <c r="T8623" s="43" t="str">
        <f t="shared" si="372"/>
        <v>2021.013M.Hantaviridae_sprename.zip</v>
      </c>
      <c r="U8623" s="43" t="str">
        <f>HYPERLINK("https://ictv.global/taxonomy/taxondetails?taxnode_id=202200045","ictv.global=202200045")</f>
        <v>ictv.global=202200045</v>
      </c>
    </row>
    <row r="8624" spans="1:21">
      <c r="A8624">
        <v>8623</v>
      </c>
      <c r="B8624" s="29" t="s">
        <v>3223</v>
      </c>
      <c r="C8624" s="29"/>
      <c r="D8624" s="29" t="s">
        <v>4156</v>
      </c>
      <c r="E8624" s="29"/>
      <c r="F8624" s="29" t="s">
        <v>2998</v>
      </c>
      <c r="G8624" s="29" t="s">
        <v>3020</v>
      </c>
      <c r="H8624" s="29" t="s">
        <v>3021</v>
      </c>
      <c r="I8624" s="29"/>
      <c r="J8624" s="29" t="s">
        <v>2374</v>
      </c>
      <c r="K8624" s="29"/>
      <c r="L8624" s="29" t="s">
        <v>2376</v>
      </c>
      <c r="M8624" s="29" t="s">
        <v>3247</v>
      </c>
      <c r="N8624" s="29" t="s">
        <v>2377</v>
      </c>
      <c r="O8624" s="29"/>
      <c r="P8624" s="29" t="s">
        <v>13505</v>
      </c>
      <c r="Q8624" t="s">
        <v>2039</v>
      </c>
      <c r="R8624" t="s">
        <v>2635</v>
      </c>
      <c r="S8624">
        <v>38</v>
      </c>
      <c r="T8624" s="43" t="str">
        <f t="shared" si="372"/>
        <v>2021.013M.Hantaviridae_sprename.zip</v>
      </c>
      <c r="U8624" s="43" t="str">
        <f>HYPERLINK("https://ictv.global/taxonomy/taxondetails?taxnode_id=202200046","ictv.global=202200046")</f>
        <v>ictv.global=202200046</v>
      </c>
    </row>
    <row r="8625" spans="1:21">
      <c r="A8625">
        <v>8624</v>
      </c>
      <c r="B8625" s="29" t="s">
        <v>3223</v>
      </c>
      <c r="C8625" s="29"/>
      <c r="D8625" s="29" t="s">
        <v>4156</v>
      </c>
      <c r="E8625" s="29"/>
      <c r="F8625" s="29" t="s">
        <v>2998</v>
      </c>
      <c r="G8625" s="29" t="s">
        <v>3020</v>
      </c>
      <c r="H8625" s="29" t="s">
        <v>3021</v>
      </c>
      <c r="I8625" s="29"/>
      <c r="J8625" s="29" t="s">
        <v>2374</v>
      </c>
      <c r="K8625" s="29"/>
      <c r="L8625" s="29" t="s">
        <v>2376</v>
      </c>
      <c r="M8625" s="29" t="s">
        <v>3247</v>
      </c>
      <c r="N8625" s="29" t="s">
        <v>2377</v>
      </c>
      <c r="O8625" s="29"/>
      <c r="P8625" s="29" t="s">
        <v>13506</v>
      </c>
      <c r="Q8625" t="s">
        <v>2039</v>
      </c>
      <c r="R8625" t="s">
        <v>2635</v>
      </c>
      <c r="S8625">
        <v>38</v>
      </c>
      <c r="T8625" s="43" t="str">
        <f t="shared" si="372"/>
        <v>2021.013M.Hantaviridae_sprename.zip</v>
      </c>
      <c r="U8625" s="43" t="str">
        <f>HYPERLINK("https://ictv.global/taxonomy/taxondetails?taxnode_id=202200047","ictv.global=202200047")</f>
        <v>ictv.global=202200047</v>
      </c>
    </row>
    <row r="8626" spans="1:21">
      <c r="A8626">
        <v>8625</v>
      </c>
      <c r="B8626" s="29" t="s">
        <v>3223</v>
      </c>
      <c r="C8626" s="29"/>
      <c r="D8626" s="29" t="s">
        <v>4156</v>
      </c>
      <c r="E8626" s="29"/>
      <c r="F8626" s="29" t="s">
        <v>2998</v>
      </c>
      <c r="G8626" s="29" t="s">
        <v>3020</v>
      </c>
      <c r="H8626" s="29" t="s">
        <v>3021</v>
      </c>
      <c r="I8626" s="29"/>
      <c r="J8626" s="29" t="s">
        <v>2374</v>
      </c>
      <c r="K8626" s="29"/>
      <c r="L8626" s="29" t="s">
        <v>2376</v>
      </c>
      <c r="M8626" s="29" t="s">
        <v>3247</v>
      </c>
      <c r="N8626" s="29" t="s">
        <v>2377</v>
      </c>
      <c r="O8626" s="29"/>
      <c r="P8626" s="29" t="s">
        <v>13507</v>
      </c>
      <c r="Q8626" t="s">
        <v>2039</v>
      </c>
      <c r="R8626" t="s">
        <v>2635</v>
      </c>
      <c r="S8626">
        <v>38</v>
      </c>
      <c r="T8626" s="43" t="str">
        <f t="shared" ref="T8626:T8646" si="373">HYPERLINK("https://ictv.global/ictv/proposals/2021.013M.Hantaviridae_sprename.zip","2021.013M.Hantaviridae_sprename.zip")</f>
        <v>2021.013M.Hantaviridae_sprename.zip</v>
      </c>
      <c r="U8626" s="43" t="str">
        <f>HYPERLINK("https://ictv.global/taxonomy/taxondetails?taxnode_id=202200034","ictv.global=202200034")</f>
        <v>ictv.global=202200034</v>
      </c>
    </row>
    <row r="8627" spans="1:21">
      <c r="A8627">
        <v>8626</v>
      </c>
      <c r="B8627" s="29" t="s">
        <v>3223</v>
      </c>
      <c r="C8627" s="29"/>
      <c r="D8627" s="29" t="s">
        <v>4156</v>
      </c>
      <c r="E8627" s="29"/>
      <c r="F8627" s="29" t="s">
        <v>2998</v>
      </c>
      <c r="G8627" s="29" t="s">
        <v>3020</v>
      </c>
      <c r="H8627" s="29" t="s">
        <v>3021</v>
      </c>
      <c r="I8627" s="29"/>
      <c r="J8627" s="29" t="s">
        <v>2374</v>
      </c>
      <c r="K8627" s="29"/>
      <c r="L8627" s="29" t="s">
        <v>2376</v>
      </c>
      <c r="M8627" s="29" t="s">
        <v>3247</v>
      </c>
      <c r="N8627" s="29" t="s">
        <v>2377</v>
      </c>
      <c r="O8627" s="29"/>
      <c r="P8627" s="29" t="s">
        <v>13508</v>
      </c>
      <c r="Q8627" t="s">
        <v>2039</v>
      </c>
      <c r="R8627" t="s">
        <v>2635</v>
      </c>
      <c r="S8627">
        <v>38</v>
      </c>
      <c r="T8627" s="43" t="str">
        <f t="shared" si="373"/>
        <v>2021.013M.Hantaviridae_sprename.zip</v>
      </c>
      <c r="U8627" s="43" t="str">
        <f>HYPERLINK("https://ictv.global/taxonomy/taxondetails?taxnode_id=202200048","ictv.global=202200048")</f>
        <v>ictv.global=202200048</v>
      </c>
    </row>
    <row r="8628" spans="1:21">
      <c r="A8628">
        <v>8627</v>
      </c>
      <c r="B8628" s="29" t="s">
        <v>3223</v>
      </c>
      <c r="C8628" s="29"/>
      <c r="D8628" s="29" t="s">
        <v>4156</v>
      </c>
      <c r="E8628" s="29"/>
      <c r="F8628" s="29" t="s">
        <v>2998</v>
      </c>
      <c r="G8628" s="29" t="s">
        <v>3020</v>
      </c>
      <c r="H8628" s="29" t="s">
        <v>3021</v>
      </c>
      <c r="I8628" s="29"/>
      <c r="J8628" s="29" t="s">
        <v>2374</v>
      </c>
      <c r="K8628" s="29"/>
      <c r="L8628" s="29" t="s">
        <v>2376</v>
      </c>
      <c r="M8628" s="29" t="s">
        <v>3247</v>
      </c>
      <c r="N8628" s="29" t="s">
        <v>2377</v>
      </c>
      <c r="O8628" s="29"/>
      <c r="P8628" s="29" t="s">
        <v>13509</v>
      </c>
      <c r="Q8628" t="s">
        <v>2039</v>
      </c>
      <c r="R8628" t="s">
        <v>2635</v>
      </c>
      <c r="S8628">
        <v>38</v>
      </c>
      <c r="T8628" s="43" t="str">
        <f t="shared" si="373"/>
        <v>2021.013M.Hantaviridae_sprename.zip</v>
      </c>
      <c r="U8628" s="43" t="str">
        <f>HYPERLINK("https://ictv.global/taxonomy/taxondetails?taxnode_id=202200042","ictv.global=202200042")</f>
        <v>ictv.global=202200042</v>
      </c>
    </row>
    <row r="8629" spans="1:21">
      <c r="A8629">
        <v>8628</v>
      </c>
      <c r="B8629" s="29" t="s">
        <v>3223</v>
      </c>
      <c r="C8629" s="29"/>
      <c r="D8629" s="29" t="s">
        <v>4156</v>
      </c>
      <c r="E8629" s="29"/>
      <c r="F8629" s="29" t="s">
        <v>2998</v>
      </c>
      <c r="G8629" s="29" t="s">
        <v>3020</v>
      </c>
      <c r="H8629" s="29" t="s">
        <v>3021</v>
      </c>
      <c r="I8629" s="29"/>
      <c r="J8629" s="29" t="s">
        <v>2374</v>
      </c>
      <c r="K8629" s="29"/>
      <c r="L8629" s="29" t="s">
        <v>2376</v>
      </c>
      <c r="M8629" s="29" t="s">
        <v>3247</v>
      </c>
      <c r="N8629" s="29" t="s">
        <v>2377</v>
      </c>
      <c r="O8629" s="29"/>
      <c r="P8629" s="29" t="s">
        <v>13510</v>
      </c>
      <c r="Q8629" t="s">
        <v>2039</v>
      </c>
      <c r="R8629" t="s">
        <v>2635</v>
      </c>
      <c r="S8629">
        <v>38</v>
      </c>
      <c r="T8629" s="43" t="str">
        <f t="shared" si="373"/>
        <v>2021.013M.Hantaviridae_sprename.zip</v>
      </c>
      <c r="U8629" s="43" t="str">
        <f>HYPERLINK("https://ictv.global/taxonomy/taxondetails?taxnode_id=202200026","ictv.global=202200026")</f>
        <v>ictv.global=202200026</v>
      </c>
    </row>
    <row r="8630" spans="1:21">
      <c r="A8630">
        <v>8629</v>
      </c>
      <c r="B8630" s="29" t="s">
        <v>3223</v>
      </c>
      <c r="C8630" s="29"/>
      <c r="D8630" s="29" t="s">
        <v>4156</v>
      </c>
      <c r="E8630" s="29"/>
      <c r="F8630" s="29" t="s">
        <v>2998</v>
      </c>
      <c r="G8630" s="29" t="s">
        <v>3020</v>
      </c>
      <c r="H8630" s="29" t="s">
        <v>3021</v>
      </c>
      <c r="I8630" s="29"/>
      <c r="J8630" s="29" t="s">
        <v>2374</v>
      </c>
      <c r="K8630" s="29"/>
      <c r="L8630" s="29" t="s">
        <v>2376</v>
      </c>
      <c r="M8630" s="29" t="s">
        <v>3247</v>
      </c>
      <c r="N8630" s="29" t="s">
        <v>2377</v>
      </c>
      <c r="O8630" s="29"/>
      <c r="P8630" s="29" t="s">
        <v>13511</v>
      </c>
      <c r="Q8630" t="s">
        <v>2039</v>
      </c>
      <c r="R8630" t="s">
        <v>2635</v>
      </c>
      <c r="S8630">
        <v>38</v>
      </c>
      <c r="T8630" s="43" t="str">
        <f t="shared" si="373"/>
        <v>2021.013M.Hantaviridae_sprename.zip</v>
      </c>
      <c r="U8630" s="43" t="str">
        <f>HYPERLINK("https://ictv.global/taxonomy/taxondetails?taxnode_id=202200050","ictv.global=202200050")</f>
        <v>ictv.global=202200050</v>
      </c>
    </row>
    <row r="8631" spans="1:21">
      <c r="A8631">
        <v>8630</v>
      </c>
      <c r="B8631" s="29" t="s">
        <v>3223</v>
      </c>
      <c r="C8631" s="29"/>
      <c r="D8631" s="29" t="s">
        <v>4156</v>
      </c>
      <c r="E8631" s="29"/>
      <c r="F8631" s="29" t="s">
        <v>2998</v>
      </c>
      <c r="G8631" s="29" t="s">
        <v>3020</v>
      </c>
      <c r="H8631" s="29" t="s">
        <v>3021</v>
      </c>
      <c r="I8631" s="29"/>
      <c r="J8631" s="29" t="s">
        <v>2374</v>
      </c>
      <c r="K8631" s="29"/>
      <c r="L8631" s="29" t="s">
        <v>2376</v>
      </c>
      <c r="M8631" s="29" t="s">
        <v>3247</v>
      </c>
      <c r="N8631" s="29" t="s">
        <v>2377</v>
      </c>
      <c r="O8631" s="29"/>
      <c r="P8631" s="29" t="s">
        <v>13512</v>
      </c>
      <c r="Q8631" t="s">
        <v>2039</v>
      </c>
      <c r="R8631" t="s">
        <v>2635</v>
      </c>
      <c r="S8631">
        <v>38</v>
      </c>
      <c r="T8631" s="43" t="str">
        <f t="shared" si="373"/>
        <v>2021.013M.Hantaviridae_sprename.zip</v>
      </c>
      <c r="U8631" s="43" t="str">
        <f>HYPERLINK("https://ictv.global/taxonomy/taxondetails?taxnode_id=202200051","ictv.global=202200051")</f>
        <v>ictv.global=202200051</v>
      </c>
    </row>
    <row r="8632" spans="1:21">
      <c r="A8632">
        <v>8631</v>
      </c>
      <c r="B8632" s="29" t="s">
        <v>3223</v>
      </c>
      <c r="C8632" s="29"/>
      <c r="D8632" s="29" t="s">
        <v>4156</v>
      </c>
      <c r="E8632" s="29"/>
      <c r="F8632" s="29" t="s">
        <v>2998</v>
      </c>
      <c r="G8632" s="29" t="s">
        <v>3020</v>
      </c>
      <c r="H8632" s="29" t="s">
        <v>3021</v>
      </c>
      <c r="I8632" s="29"/>
      <c r="J8632" s="29" t="s">
        <v>2374</v>
      </c>
      <c r="K8632" s="29"/>
      <c r="L8632" s="29" t="s">
        <v>2376</v>
      </c>
      <c r="M8632" s="29" t="s">
        <v>3247</v>
      </c>
      <c r="N8632" s="29" t="s">
        <v>2377</v>
      </c>
      <c r="O8632" s="29"/>
      <c r="P8632" s="29" t="s">
        <v>13513</v>
      </c>
      <c r="Q8632" t="s">
        <v>2039</v>
      </c>
      <c r="R8632" t="s">
        <v>2635</v>
      </c>
      <c r="S8632">
        <v>38</v>
      </c>
      <c r="T8632" s="43" t="str">
        <f t="shared" si="373"/>
        <v>2021.013M.Hantaviridae_sprename.zip</v>
      </c>
      <c r="U8632" s="43" t="str">
        <f>HYPERLINK("https://ictv.global/taxonomy/taxondetails?taxnode_id=202200052","ictv.global=202200052")</f>
        <v>ictv.global=202200052</v>
      </c>
    </row>
    <row r="8633" spans="1:21">
      <c r="A8633">
        <v>8632</v>
      </c>
      <c r="B8633" s="29" t="s">
        <v>3223</v>
      </c>
      <c r="C8633" s="29"/>
      <c r="D8633" s="29" t="s">
        <v>4156</v>
      </c>
      <c r="E8633" s="29"/>
      <c r="F8633" s="29" t="s">
        <v>2998</v>
      </c>
      <c r="G8633" s="29" t="s">
        <v>3020</v>
      </c>
      <c r="H8633" s="29" t="s">
        <v>3021</v>
      </c>
      <c r="I8633" s="29"/>
      <c r="J8633" s="29" t="s">
        <v>2374</v>
      </c>
      <c r="K8633" s="29"/>
      <c r="L8633" s="29" t="s">
        <v>2376</v>
      </c>
      <c r="M8633" s="29" t="s">
        <v>3247</v>
      </c>
      <c r="N8633" s="29" t="s">
        <v>2377</v>
      </c>
      <c r="O8633" s="29"/>
      <c r="P8633" s="29" t="s">
        <v>13514</v>
      </c>
      <c r="Q8633" t="s">
        <v>2039</v>
      </c>
      <c r="R8633" t="s">
        <v>2635</v>
      </c>
      <c r="S8633">
        <v>38</v>
      </c>
      <c r="T8633" s="43" t="str">
        <f t="shared" si="373"/>
        <v>2021.013M.Hantaviridae_sprename.zip</v>
      </c>
      <c r="U8633" s="43" t="str">
        <f>HYPERLINK("https://ictv.global/taxonomy/taxondetails?taxnode_id=202209702","ictv.global=202209702")</f>
        <v>ictv.global=202209702</v>
      </c>
    </row>
    <row r="8634" spans="1:21">
      <c r="A8634">
        <v>8633</v>
      </c>
      <c r="B8634" s="29" t="s">
        <v>3223</v>
      </c>
      <c r="C8634" s="29"/>
      <c r="D8634" s="29" t="s">
        <v>4156</v>
      </c>
      <c r="E8634" s="29"/>
      <c r="F8634" s="29" t="s">
        <v>2998</v>
      </c>
      <c r="G8634" s="29" t="s">
        <v>3020</v>
      </c>
      <c r="H8634" s="29" t="s">
        <v>3021</v>
      </c>
      <c r="I8634" s="29"/>
      <c r="J8634" s="29" t="s">
        <v>2374</v>
      </c>
      <c r="K8634" s="29"/>
      <c r="L8634" s="29" t="s">
        <v>2376</v>
      </c>
      <c r="M8634" s="29" t="s">
        <v>3247</v>
      </c>
      <c r="N8634" s="29" t="s">
        <v>2377</v>
      </c>
      <c r="O8634" s="29"/>
      <c r="P8634" s="29" t="s">
        <v>13515</v>
      </c>
      <c r="Q8634" t="s">
        <v>2039</v>
      </c>
      <c r="R8634" t="s">
        <v>2635</v>
      </c>
      <c r="S8634">
        <v>38</v>
      </c>
      <c r="T8634" s="43" t="str">
        <f t="shared" si="373"/>
        <v>2021.013M.Hantaviridae_sprename.zip</v>
      </c>
      <c r="U8634" s="43" t="str">
        <f>HYPERLINK("https://ictv.global/taxonomy/taxondetails?taxnode_id=202200054","ictv.global=202200054")</f>
        <v>ictv.global=202200054</v>
      </c>
    </row>
    <row r="8635" spans="1:21">
      <c r="A8635">
        <v>8634</v>
      </c>
      <c r="B8635" s="29" t="s">
        <v>3223</v>
      </c>
      <c r="C8635" s="29"/>
      <c r="D8635" s="29" t="s">
        <v>4156</v>
      </c>
      <c r="E8635" s="29"/>
      <c r="F8635" s="29" t="s">
        <v>2998</v>
      </c>
      <c r="G8635" s="29" t="s">
        <v>3020</v>
      </c>
      <c r="H8635" s="29" t="s">
        <v>3021</v>
      </c>
      <c r="I8635" s="29"/>
      <c r="J8635" s="29" t="s">
        <v>2374</v>
      </c>
      <c r="K8635" s="29"/>
      <c r="L8635" s="29" t="s">
        <v>2376</v>
      </c>
      <c r="M8635" s="29" t="s">
        <v>3247</v>
      </c>
      <c r="N8635" s="29" t="s">
        <v>2377</v>
      </c>
      <c r="O8635" s="29"/>
      <c r="P8635" s="29" t="s">
        <v>13516</v>
      </c>
      <c r="Q8635" t="s">
        <v>2039</v>
      </c>
      <c r="R8635" t="s">
        <v>2635</v>
      </c>
      <c r="S8635">
        <v>38</v>
      </c>
      <c r="T8635" s="43" t="str">
        <f t="shared" si="373"/>
        <v>2021.013M.Hantaviridae_sprename.zip</v>
      </c>
      <c r="U8635" s="43" t="str">
        <f>HYPERLINK("https://ictv.global/taxonomy/taxondetails?taxnode_id=202200055","ictv.global=202200055")</f>
        <v>ictv.global=202200055</v>
      </c>
    </row>
    <row r="8636" spans="1:21">
      <c r="A8636">
        <v>8635</v>
      </c>
      <c r="B8636" s="29" t="s">
        <v>3223</v>
      </c>
      <c r="C8636" s="29"/>
      <c r="D8636" s="29" t="s">
        <v>4156</v>
      </c>
      <c r="E8636" s="29"/>
      <c r="F8636" s="29" t="s">
        <v>2998</v>
      </c>
      <c r="G8636" s="29" t="s">
        <v>3020</v>
      </c>
      <c r="H8636" s="29" t="s">
        <v>3021</v>
      </c>
      <c r="I8636" s="29"/>
      <c r="J8636" s="29" t="s">
        <v>2374</v>
      </c>
      <c r="K8636" s="29"/>
      <c r="L8636" s="29" t="s">
        <v>2376</v>
      </c>
      <c r="M8636" s="29" t="s">
        <v>3247</v>
      </c>
      <c r="N8636" s="29" t="s">
        <v>2377</v>
      </c>
      <c r="O8636" s="29"/>
      <c r="P8636" s="29" t="s">
        <v>13517</v>
      </c>
      <c r="Q8636" t="s">
        <v>2039</v>
      </c>
      <c r="R8636" t="s">
        <v>2635</v>
      </c>
      <c r="S8636">
        <v>38</v>
      </c>
      <c r="T8636" s="43" t="str">
        <f t="shared" si="373"/>
        <v>2021.013M.Hantaviridae_sprename.zip</v>
      </c>
      <c r="U8636" s="43" t="str">
        <f>HYPERLINK("https://ictv.global/taxonomy/taxondetails?taxnode_id=202200021","ictv.global=202200021")</f>
        <v>ictv.global=202200021</v>
      </c>
    </row>
    <row r="8637" spans="1:21">
      <c r="A8637">
        <v>8636</v>
      </c>
      <c r="B8637" s="29" t="s">
        <v>3223</v>
      </c>
      <c r="C8637" s="29"/>
      <c r="D8637" s="29" t="s">
        <v>4156</v>
      </c>
      <c r="E8637" s="29"/>
      <c r="F8637" s="29" t="s">
        <v>2998</v>
      </c>
      <c r="G8637" s="29" t="s">
        <v>3020</v>
      </c>
      <c r="H8637" s="29" t="s">
        <v>3021</v>
      </c>
      <c r="I8637" s="29"/>
      <c r="J8637" s="29" t="s">
        <v>2374</v>
      </c>
      <c r="K8637" s="29"/>
      <c r="L8637" s="29" t="s">
        <v>2376</v>
      </c>
      <c r="M8637" s="29" t="s">
        <v>3247</v>
      </c>
      <c r="N8637" s="29" t="s">
        <v>2377</v>
      </c>
      <c r="O8637" s="29"/>
      <c r="P8637" s="29" t="s">
        <v>13518</v>
      </c>
      <c r="Q8637" t="s">
        <v>2039</v>
      </c>
      <c r="R8637" t="s">
        <v>2635</v>
      </c>
      <c r="S8637">
        <v>38</v>
      </c>
      <c r="T8637" s="43" t="str">
        <f t="shared" si="373"/>
        <v>2021.013M.Hantaviridae_sprename.zip</v>
      </c>
      <c r="U8637" s="43" t="str">
        <f>HYPERLINK("https://ictv.global/taxonomy/taxondetails?taxnode_id=202200056","ictv.global=202200056")</f>
        <v>ictv.global=202200056</v>
      </c>
    </row>
    <row r="8638" spans="1:21">
      <c r="A8638">
        <v>8637</v>
      </c>
      <c r="B8638" s="29" t="s">
        <v>3223</v>
      </c>
      <c r="C8638" s="29"/>
      <c r="D8638" s="29" t="s">
        <v>4156</v>
      </c>
      <c r="E8638" s="29"/>
      <c r="F8638" s="29" t="s">
        <v>2998</v>
      </c>
      <c r="G8638" s="29" t="s">
        <v>3020</v>
      </c>
      <c r="H8638" s="29" t="s">
        <v>3021</v>
      </c>
      <c r="I8638" s="29"/>
      <c r="J8638" s="29" t="s">
        <v>2374</v>
      </c>
      <c r="K8638" s="29"/>
      <c r="L8638" s="29" t="s">
        <v>2376</v>
      </c>
      <c r="M8638" s="29" t="s">
        <v>3247</v>
      </c>
      <c r="N8638" s="29" t="s">
        <v>2377</v>
      </c>
      <c r="O8638" s="29"/>
      <c r="P8638" s="29" t="s">
        <v>13519</v>
      </c>
      <c r="Q8638" t="s">
        <v>2039</v>
      </c>
      <c r="R8638" t="s">
        <v>2635</v>
      </c>
      <c r="S8638">
        <v>38</v>
      </c>
      <c r="T8638" s="43" t="str">
        <f t="shared" si="373"/>
        <v>2021.013M.Hantaviridae_sprename.zip</v>
      </c>
      <c r="U8638" s="43" t="str">
        <f>HYPERLINK("https://ictv.global/taxonomy/taxondetails?taxnode_id=202200057","ictv.global=202200057")</f>
        <v>ictv.global=202200057</v>
      </c>
    </row>
    <row r="8639" spans="1:21">
      <c r="A8639">
        <v>8638</v>
      </c>
      <c r="B8639" s="29" t="s">
        <v>3223</v>
      </c>
      <c r="C8639" s="29"/>
      <c r="D8639" s="29" t="s">
        <v>4156</v>
      </c>
      <c r="E8639" s="29"/>
      <c r="F8639" s="29" t="s">
        <v>2998</v>
      </c>
      <c r="G8639" s="29" t="s">
        <v>3020</v>
      </c>
      <c r="H8639" s="29" t="s">
        <v>3021</v>
      </c>
      <c r="I8639" s="29"/>
      <c r="J8639" s="29" t="s">
        <v>2374</v>
      </c>
      <c r="K8639" s="29"/>
      <c r="L8639" s="29" t="s">
        <v>2376</v>
      </c>
      <c r="M8639" s="29" t="s">
        <v>3247</v>
      </c>
      <c r="N8639" s="29" t="s">
        <v>2377</v>
      </c>
      <c r="O8639" s="29"/>
      <c r="P8639" s="29" t="s">
        <v>13520</v>
      </c>
      <c r="Q8639" t="s">
        <v>2039</v>
      </c>
      <c r="R8639" t="s">
        <v>2635</v>
      </c>
      <c r="S8639">
        <v>38</v>
      </c>
      <c r="T8639" s="43" t="str">
        <f t="shared" si="373"/>
        <v>2021.013M.Hantaviridae_sprename.zip</v>
      </c>
      <c r="U8639" s="43" t="str">
        <f>HYPERLINK("https://ictv.global/taxonomy/taxondetails?taxnode_id=202209703","ictv.global=202209703")</f>
        <v>ictv.global=202209703</v>
      </c>
    </row>
    <row r="8640" spans="1:21">
      <c r="A8640">
        <v>8639</v>
      </c>
      <c r="B8640" s="29" t="s">
        <v>3223</v>
      </c>
      <c r="C8640" s="29"/>
      <c r="D8640" s="29" t="s">
        <v>4156</v>
      </c>
      <c r="E8640" s="29"/>
      <c r="F8640" s="29" t="s">
        <v>2998</v>
      </c>
      <c r="G8640" s="29" t="s">
        <v>3020</v>
      </c>
      <c r="H8640" s="29" t="s">
        <v>3021</v>
      </c>
      <c r="I8640" s="29"/>
      <c r="J8640" s="29" t="s">
        <v>2374</v>
      </c>
      <c r="K8640" s="29"/>
      <c r="L8640" s="29" t="s">
        <v>2376</v>
      </c>
      <c r="M8640" s="29" t="s">
        <v>3247</v>
      </c>
      <c r="N8640" s="29" t="s">
        <v>2377</v>
      </c>
      <c r="O8640" s="29"/>
      <c r="P8640" s="29" t="s">
        <v>13521</v>
      </c>
      <c r="Q8640" t="s">
        <v>2039</v>
      </c>
      <c r="R8640" t="s">
        <v>2635</v>
      </c>
      <c r="S8640">
        <v>38</v>
      </c>
      <c r="T8640" s="43" t="str">
        <f t="shared" si="373"/>
        <v>2021.013M.Hantaviridae_sprename.zip</v>
      </c>
      <c r="U8640" s="43" t="str">
        <f>HYPERLINK("https://ictv.global/taxonomy/taxondetails?taxnode_id=202200058","ictv.global=202200058")</f>
        <v>ictv.global=202200058</v>
      </c>
    </row>
    <row r="8641" spans="1:21">
      <c r="A8641">
        <v>8640</v>
      </c>
      <c r="B8641" s="29" t="s">
        <v>3223</v>
      </c>
      <c r="C8641" s="29"/>
      <c r="D8641" s="29" t="s">
        <v>4156</v>
      </c>
      <c r="E8641" s="29"/>
      <c r="F8641" s="29" t="s">
        <v>2998</v>
      </c>
      <c r="G8641" s="29" t="s">
        <v>3020</v>
      </c>
      <c r="H8641" s="29" t="s">
        <v>3021</v>
      </c>
      <c r="I8641" s="29"/>
      <c r="J8641" s="29" t="s">
        <v>2374</v>
      </c>
      <c r="K8641" s="29"/>
      <c r="L8641" s="29" t="s">
        <v>2376</v>
      </c>
      <c r="M8641" s="29" t="s">
        <v>3247</v>
      </c>
      <c r="N8641" s="29" t="s">
        <v>2377</v>
      </c>
      <c r="O8641" s="29"/>
      <c r="P8641" s="29" t="s">
        <v>13522</v>
      </c>
      <c r="Q8641" t="s">
        <v>2039</v>
      </c>
      <c r="R8641" t="s">
        <v>2635</v>
      </c>
      <c r="S8641">
        <v>38</v>
      </c>
      <c r="T8641" s="43" t="str">
        <f t="shared" si="373"/>
        <v>2021.013M.Hantaviridae_sprename.zip</v>
      </c>
      <c r="U8641" s="43" t="str">
        <f>HYPERLINK("https://ictv.global/taxonomy/taxondetails?taxnode_id=202206435","ictv.global=202206435")</f>
        <v>ictv.global=202206435</v>
      </c>
    </row>
    <row r="8642" spans="1:21">
      <c r="A8642">
        <v>8641</v>
      </c>
      <c r="B8642" s="29" t="s">
        <v>3223</v>
      </c>
      <c r="C8642" s="29"/>
      <c r="D8642" s="29" t="s">
        <v>4156</v>
      </c>
      <c r="E8642" s="29"/>
      <c r="F8642" s="29" t="s">
        <v>2998</v>
      </c>
      <c r="G8642" s="29" t="s">
        <v>3020</v>
      </c>
      <c r="H8642" s="29" t="s">
        <v>3021</v>
      </c>
      <c r="I8642" s="29"/>
      <c r="J8642" s="29" t="s">
        <v>2374</v>
      </c>
      <c r="K8642" s="29"/>
      <c r="L8642" s="29" t="s">
        <v>2376</v>
      </c>
      <c r="M8642" s="29" t="s">
        <v>3247</v>
      </c>
      <c r="N8642" s="29" t="s">
        <v>2377</v>
      </c>
      <c r="O8642" s="29"/>
      <c r="P8642" s="29" t="s">
        <v>13523</v>
      </c>
      <c r="Q8642" t="s">
        <v>2039</v>
      </c>
      <c r="R8642" t="s">
        <v>2635</v>
      </c>
      <c r="S8642">
        <v>38</v>
      </c>
      <c r="T8642" s="43" t="str">
        <f t="shared" si="373"/>
        <v>2021.013M.Hantaviridae_sprename.zip</v>
      </c>
      <c r="U8642" s="43" t="str">
        <f>HYPERLINK("https://ictv.global/taxonomy/taxondetails?taxnode_id=202200060","ictv.global=202200060")</f>
        <v>ictv.global=202200060</v>
      </c>
    </row>
    <row r="8643" spans="1:21">
      <c r="A8643">
        <v>8642</v>
      </c>
      <c r="B8643" s="29" t="s">
        <v>3223</v>
      </c>
      <c r="C8643" s="29"/>
      <c r="D8643" s="29" t="s">
        <v>4156</v>
      </c>
      <c r="E8643" s="29"/>
      <c r="F8643" s="29" t="s">
        <v>2998</v>
      </c>
      <c r="G8643" s="29" t="s">
        <v>3020</v>
      </c>
      <c r="H8643" s="29" t="s">
        <v>3021</v>
      </c>
      <c r="I8643" s="29"/>
      <c r="J8643" s="29" t="s">
        <v>2374</v>
      </c>
      <c r="K8643" s="29"/>
      <c r="L8643" s="29" t="s">
        <v>2376</v>
      </c>
      <c r="M8643" s="29" t="s">
        <v>3247</v>
      </c>
      <c r="N8643" s="29" t="s">
        <v>2377</v>
      </c>
      <c r="O8643" s="29"/>
      <c r="P8643" s="29" t="s">
        <v>13524</v>
      </c>
      <c r="Q8643" t="s">
        <v>2039</v>
      </c>
      <c r="R8643" t="s">
        <v>2635</v>
      </c>
      <c r="S8643">
        <v>38</v>
      </c>
      <c r="T8643" s="43" t="str">
        <f t="shared" si="373"/>
        <v>2021.013M.Hantaviridae_sprename.zip</v>
      </c>
      <c r="U8643" s="43" t="str">
        <f>HYPERLINK("https://ictv.global/taxonomy/taxondetails?taxnode_id=202200061","ictv.global=202200061")</f>
        <v>ictv.global=202200061</v>
      </c>
    </row>
    <row r="8644" spans="1:21">
      <c r="A8644">
        <v>8643</v>
      </c>
      <c r="B8644" s="29" t="s">
        <v>3223</v>
      </c>
      <c r="C8644" s="29"/>
      <c r="D8644" s="29" t="s">
        <v>4156</v>
      </c>
      <c r="E8644" s="29"/>
      <c r="F8644" s="29" t="s">
        <v>2998</v>
      </c>
      <c r="G8644" s="29" t="s">
        <v>3020</v>
      </c>
      <c r="H8644" s="29" t="s">
        <v>3021</v>
      </c>
      <c r="I8644" s="29"/>
      <c r="J8644" s="29" t="s">
        <v>2374</v>
      </c>
      <c r="K8644" s="29"/>
      <c r="L8644" s="29" t="s">
        <v>2376</v>
      </c>
      <c r="M8644" s="29" t="s">
        <v>3247</v>
      </c>
      <c r="N8644" s="29" t="s">
        <v>3026</v>
      </c>
      <c r="O8644" s="29"/>
      <c r="P8644" s="29" t="s">
        <v>13525</v>
      </c>
      <c r="Q8644" t="s">
        <v>2039</v>
      </c>
      <c r="R8644" t="s">
        <v>2635</v>
      </c>
      <c r="S8644">
        <v>38</v>
      </c>
      <c r="T8644" s="43" t="str">
        <f t="shared" si="373"/>
        <v>2021.013M.Hantaviridae_sprename.zip</v>
      </c>
      <c r="U8644" s="43" t="str">
        <f>HYPERLINK("https://ictv.global/taxonomy/taxondetails?taxnode_id=202200038","ictv.global=202200038")</f>
        <v>ictv.global=202200038</v>
      </c>
    </row>
    <row r="8645" spans="1:21">
      <c r="A8645">
        <v>8644</v>
      </c>
      <c r="B8645" s="29" t="s">
        <v>3223</v>
      </c>
      <c r="C8645" s="29"/>
      <c r="D8645" s="29" t="s">
        <v>4156</v>
      </c>
      <c r="E8645" s="29"/>
      <c r="F8645" s="29" t="s">
        <v>2998</v>
      </c>
      <c r="G8645" s="29" t="s">
        <v>3020</v>
      </c>
      <c r="H8645" s="29" t="s">
        <v>3021</v>
      </c>
      <c r="I8645" s="29"/>
      <c r="J8645" s="29" t="s">
        <v>2374</v>
      </c>
      <c r="K8645" s="29"/>
      <c r="L8645" s="29" t="s">
        <v>2376</v>
      </c>
      <c r="M8645" s="29" t="s">
        <v>3247</v>
      </c>
      <c r="N8645" s="29" t="s">
        <v>3026</v>
      </c>
      <c r="O8645" s="29"/>
      <c r="P8645" s="29" t="s">
        <v>13526</v>
      </c>
      <c r="Q8645" t="s">
        <v>2039</v>
      </c>
      <c r="R8645" t="s">
        <v>2635</v>
      </c>
      <c r="S8645">
        <v>38</v>
      </c>
      <c r="T8645" s="43" t="str">
        <f t="shared" si="373"/>
        <v>2021.013M.Hantaviridae_sprename.zip</v>
      </c>
      <c r="U8645" s="43" t="str">
        <f>HYPERLINK("https://ictv.global/taxonomy/taxondetails?taxnode_id=202200059","ictv.global=202200059")</f>
        <v>ictv.global=202200059</v>
      </c>
    </row>
    <row r="8646" spans="1:21">
      <c r="A8646">
        <v>8645</v>
      </c>
      <c r="B8646" s="29" t="s">
        <v>3223</v>
      </c>
      <c r="C8646" s="29"/>
      <c r="D8646" s="29" t="s">
        <v>4156</v>
      </c>
      <c r="E8646" s="29"/>
      <c r="F8646" s="29" t="s">
        <v>2998</v>
      </c>
      <c r="G8646" s="29" t="s">
        <v>3020</v>
      </c>
      <c r="H8646" s="29" t="s">
        <v>3021</v>
      </c>
      <c r="I8646" s="29"/>
      <c r="J8646" s="29" t="s">
        <v>2374</v>
      </c>
      <c r="K8646" s="29"/>
      <c r="L8646" s="29" t="s">
        <v>2376</v>
      </c>
      <c r="M8646" s="29" t="s">
        <v>3248</v>
      </c>
      <c r="N8646" s="29" t="s">
        <v>3249</v>
      </c>
      <c r="O8646" s="29"/>
      <c r="P8646" s="29" t="s">
        <v>13527</v>
      </c>
      <c r="Q8646" t="s">
        <v>2039</v>
      </c>
      <c r="R8646" t="s">
        <v>2635</v>
      </c>
      <c r="S8646">
        <v>38</v>
      </c>
      <c r="T8646" s="43" t="str">
        <f t="shared" si="373"/>
        <v>2021.013M.Hantaviridae_sprename.zip</v>
      </c>
      <c r="U8646" s="43" t="str">
        <f>HYPERLINK("https://ictv.global/taxonomy/taxondetails?taxnode_id=202206438","ictv.global=202206438")</f>
        <v>ictv.global=202206438</v>
      </c>
    </row>
    <row r="8647" spans="1:21">
      <c r="A8647">
        <v>8646</v>
      </c>
      <c r="B8647" s="29" t="s">
        <v>3223</v>
      </c>
      <c r="C8647" s="29"/>
      <c r="D8647" s="29" t="s">
        <v>4156</v>
      </c>
      <c r="E8647" s="29"/>
      <c r="F8647" s="29" t="s">
        <v>2998</v>
      </c>
      <c r="G8647" s="29" t="s">
        <v>3020</v>
      </c>
      <c r="H8647" s="29" t="s">
        <v>3021</v>
      </c>
      <c r="I8647" s="29"/>
      <c r="J8647" s="29" t="s">
        <v>2374</v>
      </c>
      <c r="K8647" s="29"/>
      <c r="L8647" s="29" t="s">
        <v>3250</v>
      </c>
      <c r="M8647" s="29"/>
      <c r="N8647" s="29" t="s">
        <v>3251</v>
      </c>
      <c r="O8647" s="29"/>
      <c r="P8647" s="29" t="s">
        <v>13528</v>
      </c>
      <c r="Q8647" t="s">
        <v>2039</v>
      </c>
      <c r="R8647" t="s">
        <v>2635</v>
      </c>
      <c r="S8647">
        <v>37</v>
      </c>
      <c r="T8647" s="43" t="str">
        <f>HYPERLINK("https://ictv.global/ictv/proposals/2021.018M.R.Negarnaviricota_sprename.zip","2021.018M.R.Negarnaviricota_sprename.zip")</f>
        <v>2021.018M.R.Negarnaviricota_sprename.zip</v>
      </c>
      <c r="U8647" s="43" t="str">
        <f>HYPERLINK("https://ictv.global/taxonomy/taxondetails?taxnode_id=202206595","ictv.global=202206595")</f>
        <v>ictv.global=202206595</v>
      </c>
    </row>
    <row r="8648" spans="1:21">
      <c r="A8648">
        <v>8647</v>
      </c>
      <c r="B8648" s="29" t="s">
        <v>3223</v>
      </c>
      <c r="C8648" s="29"/>
      <c r="D8648" s="29" t="s">
        <v>4156</v>
      </c>
      <c r="E8648" s="29"/>
      <c r="F8648" s="29" t="s">
        <v>2998</v>
      </c>
      <c r="G8648" s="29" t="s">
        <v>3020</v>
      </c>
      <c r="H8648" s="29" t="s">
        <v>3021</v>
      </c>
      <c r="I8648" s="29"/>
      <c r="J8648" s="29" t="s">
        <v>2374</v>
      </c>
      <c r="K8648" s="29"/>
      <c r="L8648" s="29" t="s">
        <v>3027</v>
      </c>
      <c r="M8648" s="29"/>
      <c r="N8648" s="29" t="s">
        <v>3028</v>
      </c>
      <c r="O8648" s="29"/>
      <c r="P8648" s="29" t="s">
        <v>13529</v>
      </c>
      <c r="Q8648" t="s">
        <v>2039</v>
      </c>
      <c r="R8648" t="s">
        <v>2635</v>
      </c>
      <c r="S8648">
        <v>37</v>
      </c>
      <c r="T8648" s="43" t="str">
        <f>HYPERLINK("https://ictv.global/ictv/proposals/2021.018M.R.Negarnaviricota_sprename.zip","2021.018M.R.Negarnaviricota_sprename.zip")</f>
        <v>2021.018M.R.Negarnaviricota_sprename.zip</v>
      </c>
      <c r="U8648" s="43" t="str">
        <f>HYPERLINK("https://ictv.global/taxonomy/taxondetails?taxnode_id=202206215","ictv.global=202206215")</f>
        <v>ictv.global=202206215</v>
      </c>
    </row>
    <row r="8649" spans="1:21">
      <c r="A8649">
        <v>8648</v>
      </c>
      <c r="B8649" s="29" t="s">
        <v>3223</v>
      </c>
      <c r="C8649" s="29"/>
      <c r="D8649" s="29" t="s">
        <v>4156</v>
      </c>
      <c r="E8649" s="29"/>
      <c r="F8649" s="29" t="s">
        <v>2998</v>
      </c>
      <c r="G8649" s="29" t="s">
        <v>3020</v>
      </c>
      <c r="H8649" s="29" t="s">
        <v>3021</v>
      </c>
      <c r="I8649" s="29"/>
      <c r="J8649" s="29" t="s">
        <v>2374</v>
      </c>
      <c r="K8649" s="29"/>
      <c r="L8649" s="29" t="s">
        <v>2378</v>
      </c>
      <c r="M8649" s="29"/>
      <c r="N8649" s="29" t="s">
        <v>6672</v>
      </c>
      <c r="O8649" s="29"/>
      <c r="P8649" s="29" t="s">
        <v>13530</v>
      </c>
      <c r="Q8649" t="s">
        <v>2039</v>
      </c>
      <c r="R8649" t="s">
        <v>2632</v>
      </c>
      <c r="S8649">
        <v>38</v>
      </c>
      <c r="T8649" s="43" t="str">
        <f>HYPERLINK("https://ictv.global/ictv/proposals/2022.015M.Nairoviridae_4nsp.zip","2022.015M.Nairoviridae_4nsp.zip")</f>
        <v>2022.015M.Nairoviridae_4nsp.zip</v>
      </c>
      <c r="U8649" s="43" t="str">
        <f>HYPERLINK("https://ictv.global/taxonomy/taxondetails?taxnode_id=202214218","ictv.global=202214218")</f>
        <v>ictv.global=202214218</v>
      </c>
    </row>
    <row r="8650" spans="1:21">
      <c r="A8650">
        <v>8649</v>
      </c>
      <c r="B8650" s="29" t="s">
        <v>3223</v>
      </c>
      <c r="C8650" s="29"/>
      <c r="D8650" s="29" t="s">
        <v>4156</v>
      </c>
      <c r="E8650" s="29"/>
      <c r="F8650" s="29" t="s">
        <v>2998</v>
      </c>
      <c r="G8650" s="29" t="s">
        <v>3020</v>
      </c>
      <c r="H8650" s="29" t="s">
        <v>3021</v>
      </c>
      <c r="I8650" s="29"/>
      <c r="J8650" s="29" t="s">
        <v>2374</v>
      </c>
      <c r="K8650" s="29"/>
      <c r="L8650" s="29" t="s">
        <v>2378</v>
      </c>
      <c r="M8650" s="29"/>
      <c r="N8650" s="29" t="s">
        <v>6672</v>
      </c>
      <c r="O8650" s="29"/>
      <c r="P8650" s="29" t="s">
        <v>13531</v>
      </c>
      <c r="Q8650" t="s">
        <v>2039</v>
      </c>
      <c r="R8650" t="s">
        <v>2635</v>
      </c>
      <c r="S8650">
        <v>38</v>
      </c>
      <c r="T8650" s="43" t="str">
        <f t="shared" ref="T8650:T8685" si="374">HYPERLINK("https://ictv.global/ictv/proposals/2021.017M.Nairoviridae_sprenamed.zip","2021.017M.Nairoviridae_sprenamed.zip")</f>
        <v>2021.017M.Nairoviridae_sprenamed.zip</v>
      </c>
      <c r="U8650" s="43" t="str">
        <f>HYPERLINK("https://ictv.global/taxonomy/taxondetails?taxnode_id=202209788","ictv.global=202209788")</f>
        <v>ictv.global=202209788</v>
      </c>
    </row>
    <row r="8651" spans="1:21">
      <c r="A8651">
        <v>8650</v>
      </c>
      <c r="B8651" s="29" t="s">
        <v>3223</v>
      </c>
      <c r="C8651" s="29"/>
      <c r="D8651" s="29" t="s">
        <v>4156</v>
      </c>
      <c r="E8651" s="29"/>
      <c r="F8651" s="29" t="s">
        <v>2998</v>
      </c>
      <c r="G8651" s="29" t="s">
        <v>3020</v>
      </c>
      <c r="H8651" s="29" t="s">
        <v>3021</v>
      </c>
      <c r="I8651" s="29"/>
      <c r="J8651" s="29" t="s">
        <v>2374</v>
      </c>
      <c r="K8651" s="29"/>
      <c r="L8651" s="29" t="s">
        <v>2378</v>
      </c>
      <c r="M8651" s="29"/>
      <c r="N8651" s="29" t="s">
        <v>6673</v>
      </c>
      <c r="O8651" s="29"/>
      <c r="P8651" s="29" t="s">
        <v>13532</v>
      </c>
      <c r="Q8651" t="s">
        <v>2039</v>
      </c>
      <c r="R8651" t="s">
        <v>2635</v>
      </c>
      <c r="S8651">
        <v>38</v>
      </c>
      <c r="T8651" s="43" t="str">
        <f t="shared" si="374"/>
        <v>2021.017M.Nairoviridae_sprenamed.zip</v>
      </c>
      <c r="U8651" s="43" t="str">
        <f>HYPERLINK("https://ictv.global/taxonomy/taxondetails?taxnode_id=202209790","ictv.global=202209790")</f>
        <v>ictv.global=202209790</v>
      </c>
    </row>
    <row r="8652" spans="1:21">
      <c r="A8652">
        <v>8651</v>
      </c>
      <c r="B8652" s="29" t="s">
        <v>3223</v>
      </c>
      <c r="C8652" s="29"/>
      <c r="D8652" s="29" t="s">
        <v>4156</v>
      </c>
      <c r="E8652" s="29"/>
      <c r="F8652" s="29" t="s">
        <v>2998</v>
      </c>
      <c r="G8652" s="29" t="s">
        <v>3020</v>
      </c>
      <c r="H8652" s="29" t="s">
        <v>3021</v>
      </c>
      <c r="I8652" s="29"/>
      <c r="J8652" s="29" t="s">
        <v>2374</v>
      </c>
      <c r="K8652" s="29"/>
      <c r="L8652" s="29" t="s">
        <v>2378</v>
      </c>
      <c r="M8652" s="29"/>
      <c r="N8652" s="29" t="s">
        <v>2379</v>
      </c>
      <c r="O8652" s="29"/>
      <c r="P8652" s="29" t="s">
        <v>13533</v>
      </c>
      <c r="Q8652" t="s">
        <v>2039</v>
      </c>
      <c r="R8652" t="s">
        <v>2635</v>
      </c>
      <c r="S8652">
        <v>38</v>
      </c>
      <c r="T8652" s="43" t="str">
        <f t="shared" si="374"/>
        <v>2021.017M.Nairoviridae_sprenamed.zip</v>
      </c>
      <c r="U8652" s="43" t="str">
        <f>HYPERLINK("https://ictv.global/taxonomy/taxondetails?taxnode_id=202209757","ictv.global=202209757")</f>
        <v>ictv.global=202209757</v>
      </c>
    </row>
    <row r="8653" spans="1:21">
      <c r="A8653">
        <v>8652</v>
      </c>
      <c r="B8653" s="29" t="s">
        <v>3223</v>
      </c>
      <c r="C8653" s="29"/>
      <c r="D8653" s="29" t="s">
        <v>4156</v>
      </c>
      <c r="E8653" s="29"/>
      <c r="F8653" s="29" t="s">
        <v>2998</v>
      </c>
      <c r="G8653" s="29" t="s">
        <v>3020</v>
      </c>
      <c r="H8653" s="29" t="s">
        <v>3021</v>
      </c>
      <c r="I8653" s="29"/>
      <c r="J8653" s="29" t="s">
        <v>2374</v>
      </c>
      <c r="K8653" s="29"/>
      <c r="L8653" s="29" t="s">
        <v>2378</v>
      </c>
      <c r="M8653" s="29"/>
      <c r="N8653" s="29" t="s">
        <v>2379</v>
      </c>
      <c r="O8653" s="29"/>
      <c r="P8653" s="29" t="s">
        <v>13534</v>
      </c>
      <c r="Q8653" t="s">
        <v>2039</v>
      </c>
      <c r="R8653" t="s">
        <v>2635</v>
      </c>
      <c r="S8653">
        <v>38</v>
      </c>
      <c r="T8653" s="43" t="str">
        <f t="shared" si="374"/>
        <v>2021.017M.Nairoviridae_sprenamed.zip</v>
      </c>
      <c r="U8653" s="43" t="str">
        <f>HYPERLINK("https://ictv.global/taxonomy/taxondetails?taxnode_id=202209758","ictv.global=202209758")</f>
        <v>ictv.global=202209758</v>
      </c>
    </row>
    <row r="8654" spans="1:21">
      <c r="A8654">
        <v>8653</v>
      </c>
      <c r="B8654" s="29" t="s">
        <v>3223</v>
      </c>
      <c r="C8654" s="29"/>
      <c r="D8654" s="29" t="s">
        <v>4156</v>
      </c>
      <c r="E8654" s="29"/>
      <c r="F8654" s="29" t="s">
        <v>2998</v>
      </c>
      <c r="G8654" s="29" t="s">
        <v>3020</v>
      </c>
      <c r="H8654" s="29" t="s">
        <v>3021</v>
      </c>
      <c r="I8654" s="29"/>
      <c r="J8654" s="29" t="s">
        <v>2374</v>
      </c>
      <c r="K8654" s="29"/>
      <c r="L8654" s="29" t="s">
        <v>2378</v>
      </c>
      <c r="M8654" s="29"/>
      <c r="N8654" s="29" t="s">
        <v>2379</v>
      </c>
      <c r="O8654" s="29"/>
      <c r="P8654" s="29" t="s">
        <v>13535</v>
      </c>
      <c r="Q8654" t="s">
        <v>2039</v>
      </c>
      <c r="R8654" t="s">
        <v>2635</v>
      </c>
      <c r="S8654">
        <v>38</v>
      </c>
      <c r="T8654" s="43" t="str">
        <f t="shared" si="374"/>
        <v>2021.017M.Nairoviridae_sprenamed.zip</v>
      </c>
      <c r="U8654" s="43" t="str">
        <f>HYPERLINK("https://ictv.global/taxonomy/taxondetails?taxnode_id=202209767","ictv.global=202209767")</f>
        <v>ictv.global=202209767</v>
      </c>
    </row>
    <row r="8655" spans="1:21">
      <c r="A8655">
        <v>8654</v>
      </c>
      <c r="B8655" s="29" t="s">
        <v>3223</v>
      </c>
      <c r="C8655" s="29"/>
      <c r="D8655" s="29" t="s">
        <v>4156</v>
      </c>
      <c r="E8655" s="29"/>
      <c r="F8655" s="29" t="s">
        <v>2998</v>
      </c>
      <c r="G8655" s="29" t="s">
        <v>3020</v>
      </c>
      <c r="H8655" s="29" t="s">
        <v>3021</v>
      </c>
      <c r="I8655" s="29"/>
      <c r="J8655" s="29" t="s">
        <v>2374</v>
      </c>
      <c r="K8655" s="29"/>
      <c r="L8655" s="29" t="s">
        <v>2378</v>
      </c>
      <c r="M8655" s="29"/>
      <c r="N8655" s="29" t="s">
        <v>2379</v>
      </c>
      <c r="O8655" s="29"/>
      <c r="P8655" s="29" t="s">
        <v>13536</v>
      </c>
      <c r="Q8655" t="s">
        <v>2039</v>
      </c>
      <c r="R8655" t="s">
        <v>2635</v>
      </c>
      <c r="S8655">
        <v>38</v>
      </c>
      <c r="T8655" s="43" t="str">
        <f t="shared" si="374"/>
        <v>2021.017M.Nairoviridae_sprenamed.zip</v>
      </c>
      <c r="U8655" s="43" t="str">
        <f>HYPERLINK("https://ictv.global/taxonomy/taxondetails?taxnode_id=202205462","ictv.global=202205462")</f>
        <v>ictv.global=202205462</v>
      </c>
    </row>
    <row r="8656" spans="1:21">
      <c r="A8656">
        <v>8655</v>
      </c>
      <c r="B8656" s="29" t="s">
        <v>3223</v>
      </c>
      <c r="C8656" s="29"/>
      <c r="D8656" s="29" t="s">
        <v>4156</v>
      </c>
      <c r="E8656" s="29"/>
      <c r="F8656" s="29" t="s">
        <v>2998</v>
      </c>
      <c r="G8656" s="29" t="s">
        <v>3020</v>
      </c>
      <c r="H8656" s="29" t="s">
        <v>3021</v>
      </c>
      <c r="I8656" s="29"/>
      <c r="J8656" s="29" t="s">
        <v>2374</v>
      </c>
      <c r="K8656" s="29"/>
      <c r="L8656" s="29" t="s">
        <v>2378</v>
      </c>
      <c r="M8656" s="29"/>
      <c r="N8656" s="29" t="s">
        <v>2379</v>
      </c>
      <c r="O8656" s="29"/>
      <c r="P8656" s="29" t="s">
        <v>13537</v>
      </c>
      <c r="Q8656" t="s">
        <v>2039</v>
      </c>
      <c r="R8656" t="s">
        <v>2635</v>
      </c>
      <c r="S8656">
        <v>38</v>
      </c>
      <c r="T8656" s="43" t="str">
        <f t="shared" si="374"/>
        <v>2021.017M.Nairoviridae_sprenamed.zip</v>
      </c>
      <c r="U8656" s="43" t="str">
        <f>HYPERLINK("https://ictv.global/taxonomy/taxondetails?taxnode_id=202209779","ictv.global=202209779")</f>
        <v>ictv.global=202209779</v>
      </c>
    </row>
    <row r="8657" spans="1:21">
      <c r="A8657">
        <v>8656</v>
      </c>
      <c r="B8657" s="29" t="s">
        <v>3223</v>
      </c>
      <c r="C8657" s="29"/>
      <c r="D8657" s="29" t="s">
        <v>4156</v>
      </c>
      <c r="E8657" s="29"/>
      <c r="F8657" s="29" t="s">
        <v>2998</v>
      </c>
      <c r="G8657" s="29" t="s">
        <v>3020</v>
      </c>
      <c r="H8657" s="29" t="s">
        <v>3021</v>
      </c>
      <c r="I8657" s="29"/>
      <c r="J8657" s="29" t="s">
        <v>2374</v>
      </c>
      <c r="K8657" s="29"/>
      <c r="L8657" s="29" t="s">
        <v>2378</v>
      </c>
      <c r="M8657" s="29"/>
      <c r="N8657" s="29" t="s">
        <v>2379</v>
      </c>
      <c r="O8657" s="29"/>
      <c r="P8657" s="29" t="s">
        <v>13538</v>
      </c>
      <c r="Q8657" t="s">
        <v>2039</v>
      </c>
      <c r="R8657" t="s">
        <v>2635</v>
      </c>
      <c r="S8657">
        <v>38</v>
      </c>
      <c r="T8657" s="43" t="str">
        <f t="shared" si="374"/>
        <v>2021.017M.Nairoviridae_sprenamed.zip</v>
      </c>
      <c r="U8657" s="43" t="str">
        <f>HYPERLINK("https://ictv.global/taxonomy/taxondetails?taxnode_id=202209759","ictv.global=202209759")</f>
        <v>ictv.global=202209759</v>
      </c>
    </row>
    <row r="8658" spans="1:21">
      <c r="A8658">
        <v>8657</v>
      </c>
      <c r="B8658" s="29" t="s">
        <v>3223</v>
      </c>
      <c r="C8658" s="29"/>
      <c r="D8658" s="29" t="s">
        <v>4156</v>
      </c>
      <c r="E8658" s="29"/>
      <c r="F8658" s="29" t="s">
        <v>2998</v>
      </c>
      <c r="G8658" s="29" t="s">
        <v>3020</v>
      </c>
      <c r="H8658" s="29" t="s">
        <v>3021</v>
      </c>
      <c r="I8658" s="29"/>
      <c r="J8658" s="29" t="s">
        <v>2374</v>
      </c>
      <c r="K8658" s="29"/>
      <c r="L8658" s="29" t="s">
        <v>2378</v>
      </c>
      <c r="M8658" s="29"/>
      <c r="N8658" s="29" t="s">
        <v>2379</v>
      </c>
      <c r="O8658" s="29"/>
      <c r="P8658" s="29" t="s">
        <v>13539</v>
      </c>
      <c r="Q8658" t="s">
        <v>2039</v>
      </c>
      <c r="R8658" t="s">
        <v>2635</v>
      </c>
      <c r="S8658">
        <v>38</v>
      </c>
      <c r="T8658" s="43" t="str">
        <f t="shared" si="374"/>
        <v>2021.017M.Nairoviridae_sprenamed.zip</v>
      </c>
      <c r="U8658" s="43" t="str">
        <f>HYPERLINK("https://ictv.global/taxonomy/taxondetails?taxnode_id=202209760","ictv.global=202209760")</f>
        <v>ictv.global=202209760</v>
      </c>
    </row>
    <row r="8659" spans="1:21">
      <c r="A8659">
        <v>8658</v>
      </c>
      <c r="B8659" s="29" t="s">
        <v>3223</v>
      </c>
      <c r="C8659" s="29"/>
      <c r="D8659" s="29" t="s">
        <v>4156</v>
      </c>
      <c r="E8659" s="29"/>
      <c r="F8659" s="29" t="s">
        <v>2998</v>
      </c>
      <c r="G8659" s="29" t="s">
        <v>3020</v>
      </c>
      <c r="H8659" s="29" t="s">
        <v>3021</v>
      </c>
      <c r="I8659" s="29"/>
      <c r="J8659" s="29" t="s">
        <v>2374</v>
      </c>
      <c r="K8659" s="29"/>
      <c r="L8659" s="29" t="s">
        <v>2378</v>
      </c>
      <c r="M8659" s="29"/>
      <c r="N8659" s="29" t="s">
        <v>2379</v>
      </c>
      <c r="O8659" s="29"/>
      <c r="P8659" s="29" t="s">
        <v>13540</v>
      </c>
      <c r="Q8659" t="s">
        <v>2039</v>
      </c>
      <c r="R8659" t="s">
        <v>2635</v>
      </c>
      <c r="S8659">
        <v>38</v>
      </c>
      <c r="T8659" s="43" t="str">
        <f t="shared" si="374"/>
        <v>2021.017M.Nairoviridae_sprenamed.zip</v>
      </c>
      <c r="U8659" s="43" t="str">
        <f>HYPERLINK("https://ictv.global/taxonomy/taxondetails?taxnode_id=202209761","ictv.global=202209761")</f>
        <v>ictv.global=202209761</v>
      </c>
    </row>
    <row r="8660" spans="1:21">
      <c r="A8660">
        <v>8659</v>
      </c>
      <c r="B8660" s="29" t="s">
        <v>3223</v>
      </c>
      <c r="C8660" s="29"/>
      <c r="D8660" s="29" t="s">
        <v>4156</v>
      </c>
      <c r="E8660" s="29"/>
      <c r="F8660" s="29" t="s">
        <v>2998</v>
      </c>
      <c r="G8660" s="29" t="s">
        <v>3020</v>
      </c>
      <c r="H8660" s="29" t="s">
        <v>3021</v>
      </c>
      <c r="I8660" s="29"/>
      <c r="J8660" s="29" t="s">
        <v>2374</v>
      </c>
      <c r="K8660" s="29"/>
      <c r="L8660" s="29" t="s">
        <v>2378</v>
      </c>
      <c r="M8660" s="29"/>
      <c r="N8660" s="29" t="s">
        <v>2379</v>
      </c>
      <c r="O8660" s="29"/>
      <c r="P8660" s="29" t="s">
        <v>13541</v>
      </c>
      <c r="Q8660" t="s">
        <v>2039</v>
      </c>
      <c r="R8660" t="s">
        <v>2635</v>
      </c>
      <c r="S8660">
        <v>38</v>
      </c>
      <c r="T8660" s="43" t="str">
        <f t="shared" si="374"/>
        <v>2021.017M.Nairoviridae_sprenamed.zip</v>
      </c>
      <c r="U8660" s="43" t="str">
        <f>HYPERLINK("https://ictv.global/taxonomy/taxondetails?taxnode_id=202200074","ictv.global=202200074")</f>
        <v>ictv.global=202200074</v>
      </c>
    </row>
    <row r="8661" spans="1:21">
      <c r="A8661">
        <v>8660</v>
      </c>
      <c r="B8661" s="29" t="s">
        <v>3223</v>
      </c>
      <c r="C8661" s="29"/>
      <c r="D8661" s="29" t="s">
        <v>4156</v>
      </c>
      <c r="E8661" s="29"/>
      <c r="F8661" s="29" t="s">
        <v>2998</v>
      </c>
      <c r="G8661" s="29" t="s">
        <v>3020</v>
      </c>
      <c r="H8661" s="29" t="s">
        <v>3021</v>
      </c>
      <c r="I8661" s="29"/>
      <c r="J8661" s="29" t="s">
        <v>2374</v>
      </c>
      <c r="K8661" s="29"/>
      <c r="L8661" s="29" t="s">
        <v>2378</v>
      </c>
      <c r="M8661" s="29"/>
      <c r="N8661" s="29" t="s">
        <v>2379</v>
      </c>
      <c r="O8661" s="29"/>
      <c r="P8661" s="29" t="s">
        <v>13542</v>
      </c>
      <c r="Q8661" t="s">
        <v>2039</v>
      </c>
      <c r="R8661" t="s">
        <v>2635</v>
      </c>
      <c r="S8661">
        <v>38</v>
      </c>
      <c r="T8661" s="43" t="str">
        <f t="shared" si="374"/>
        <v>2021.017M.Nairoviridae_sprenamed.zip</v>
      </c>
      <c r="U8661" s="43" t="str">
        <f>HYPERLINK("https://ictv.global/taxonomy/taxondetails?taxnode_id=202205463","ictv.global=202205463")</f>
        <v>ictv.global=202205463</v>
      </c>
    </row>
    <row r="8662" spans="1:21">
      <c r="A8662">
        <v>8661</v>
      </c>
      <c r="B8662" s="29" t="s">
        <v>3223</v>
      </c>
      <c r="C8662" s="29"/>
      <c r="D8662" s="29" t="s">
        <v>4156</v>
      </c>
      <c r="E8662" s="29"/>
      <c r="F8662" s="29" t="s">
        <v>2998</v>
      </c>
      <c r="G8662" s="29" t="s">
        <v>3020</v>
      </c>
      <c r="H8662" s="29" t="s">
        <v>3021</v>
      </c>
      <c r="I8662" s="29"/>
      <c r="J8662" s="29" t="s">
        <v>2374</v>
      </c>
      <c r="K8662" s="29"/>
      <c r="L8662" s="29" t="s">
        <v>2378</v>
      </c>
      <c r="M8662" s="29"/>
      <c r="N8662" s="29" t="s">
        <v>2379</v>
      </c>
      <c r="O8662" s="29"/>
      <c r="P8662" s="29" t="s">
        <v>13543</v>
      </c>
      <c r="Q8662" t="s">
        <v>2039</v>
      </c>
      <c r="R8662" t="s">
        <v>2635</v>
      </c>
      <c r="S8662">
        <v>38</v>
      </c>
      <c r="T8662" s="43" t="str">
        <f t="shared" si="374"/>
        <v>2021.017M.Nairoviridae_sprenamed.zip</v>
      </c>
      <c r="U8662" s="43" t="str">
        <f>HYPERLINK("https://ictv.global/taxonomy/taxondetails?taxnode_id=202209773","ictv.global=202209773")</f>
        <v>ictv.global=202209773</v>
      </c>
    </row>
    <row r="8663" spans="1:21">
      <c r="A8663">
        <v>8662</v>
      </c>
      <c r="B8663" s="29" t="s">
        <v>3223</v>
      </c>
      <c r="C8663" s="29"/>
      <c r="D8663" s="29" t="s">
        <v>4156</v>
      </c>
      <c r="E8663" s="29"/>
      <c r="F8663" s="29" t="s">
        <v>2998</v>
      </c>
      <c r="G8663" s="29" t="s">
        <v>3020</v>
      </c>
      <c r="H8663" s="29" t="s">
        <v>3021</v>
      </c>
      <c r="I8663" s="29"/>
      <c r="J8663" s="29" t="s">
        <v>2374</v>
      </c>
      <c r="K8663" s="29"/>
      <c r="L8663" s="29" t="s">
        <v>2378</v>
      </c>
      <c r="M8663" s="29"/>
      <c r="N8663" s="29" t="s">
        <v>2379</v>
      </c>
      <c r="O8663" s="29"/>
      <c r="P8663" s="29" t="s">
        <v>13544</v>
      </c>
      <c r="Q8663" t="s">
        <v>2039</v>
      </c>
      <c r="R8663" t="s">
        <v>2635</v>
      </c>
      <c r="S8663">
        <v>38</v>
      </c>
      <c r="T8663" s="43" t="str">
        <f t="shared" si="374"/>
        <v>2021.017M.Nairoviridae_sprenamed.zip</v>
      </c>
      <c r="U8663" s="43" t="str">
        <f>HYPERLINK("https://ictv.global/taxonomy/taxondetails?taxnode_id=202209770","ictv.global=202209770")</f>
        <v>ictv.global=202209770</v>
      </c>
    </row>
    <row r="8664" spans="1:21">
      <c r="A8664">
        <v>8663</v>
      </c>
      <c r="B8664" s="29" t="s">
        <v>3223</v>
      </c>
      <c r="C8664" s="29"/>
      <c r="D8664" s="29" t="s">
        <v>4156</v>
      </c>
      <c r="E8664" s="29"/>
      <c r="F8664" s="29" t="s">
        <v>2998</v>
      </c>
      <c r="G8664" s="29" t="s">
        <v>3020</v>
      </c>
      <c r="H8664" s="29" t="s">
        <v>3021</v>
      </c>
      <c r="I8664" s="29"/>
      <c r="J8664" s="29" t="s">
        <v>2374</v>
      </c>
      <c r="K8664" s="29"/>
      <c r="L8664" s="29" t="s">
        <v>2378</v>
      </c>
      <c r="M8664" s="29"/>
      <c r="N8664" s="29" t="s">
        <v>2379</v>
      </c>
      <c r="O8664" s="29"/>
      <c r="P8664" s="29" t="s">
        <v>13545</v>
      </c>
      <c r="Q8664" t="s">
        <v>2039</v>
      </c>
      <c r="R8664" t="s">
        <v>2635</v>
      </c>
      <c r="S8664">
        <v>38</v>
      </c>
      <c r="T8664" s="43" t="str">
        <f t="shared" si="374"/>
        <v>2021.017M.Nairoviridae_sprenamed.zip</v>
      </c>
      <c r="U8664" s="43" t="str">
        <f>HYPERLINK("https://ictv.global/taxonomy/taxondetails?taxnode_id=202200072","ictv.global=202200072")</f>
        <v>ictv.global=202200072</v>
      </c>
    </row>
    <row r="8665" spans="1:21">
      <c r="A8665">
        <v>8664</v>
      </c>
      <c r="B8665" s="29" t="s">
        <v>3223</v>
      </c>
      <c r="C8665" s="29"/>
      <c r="D8665" s="29" t="s">
        <v>4156</v>
      </c>
      <c r="E8665" s="29"/>
      <c r="F8665" s="29" t="s">
        <v>2998</v>
      </c>
      <c r="G8665" s="29" t="s">
        <v>3020</v>
      </c>
      <c r="H8665" s="29" t="s">
        <v>3021</v>
      </c>
      <c r="I8665" s="29"/>
      <c r="J8665" s="29" t="s">
        <v>2374</v>
      </c>
      <c r="K8665" s="29"/>
      <c r="L8665" s="29" t="s">
        <v>2378</v>
      </c>
      <c r="M8665" s="29"/>
      <c r="N8665" s="29" t="s">
        <v>2379</v>
      </c>
      <c r="O8665" s="29"/>
      <c r="P8665" s="29" t="s">
        <v>13546</v>
      </c>
      <c r="Q8665" t="s">
        <v>2039</v>
      </c>
      <c r="R8665" t="s">
        <v>2635</v>
      </c>
      <c r="S8665">
        <v>38</v>
      </c>
      <c r="T8665" s="43" t="str">
        <f t="shared" si="374"/>
        <v>2021.017M.Nairoviridae_sprenamed.zip</v>
      </c>
      <c r="U8665" s="43" t="str">
        <f>HYPERLINK("https://ictv.global/taxonomy/taxondetails?taxnode_id=202209763","ictv.global=202209763")</f>
        <v>ictv.global=202209763</v>
      </c>
    </row>
    <row r="8666" spans="1:21">
      <c r="A8666">
        <v>8665</v>
      </c>
      <c r="B8666" s="29" t="s">
        <v>3223</v>
      </c>
      <c r="C8666" s="29"/>
      <c r="D8666" s="29" t="s">
        <v>4156</v>
      </c>
      <c r="E8666" s="29"/>
      <c r="F8666" s="29" t="s">
        <v>2998</v>
      </c>
      <c r="G8666" s="29" t="s">
        <v>3020</v>
      </c>
      <c r="H8666" s="29" t="s">
        <v>3021</v>
      </c>
      <c r="I8666" s="29"/>
      <c r="J8666" s="29" t="s">
        <v>2374</v>
      </c>
      <c r="K8666" s="29"/>
      <c r="L8666" s="29" t="s">
        <v>2378</v>
      </c>
      <c r="M8666" s="29"/>
      <c r="N8666" s="29" t="s">
        <v>2379</v>
      </c>
      <c r="O8666" s="29"/>
      <c r="P8666" s="29" t="s">
        <v>13547</v>
      </c>
      <c r="Q8666" t="s">
        <v>2039</v>
      </c>
      <c r="R8666" t="s">
        <v>2635</v>
      </c>
      <c r="S8666">
        <v>38</v>
      </c>
      <c r="T8666" s="43" t="str">
        <f t="shared" si="374"/>
        <v>2021.017M.Nairoviridae_sprenamed.zip</v>
      </c>
      <c r="U8666" s="43" t="str">
        <f>HYPERLINK("https://ictv.global/taxonomy/taxondetails?taxnode_id=202200107","ictv.global=202200107")</f>
        <v>ictv.global=202200107</v>
      </c>
    </row>
    <row r="8667" spans="1:21">
      <c r="A8667">
        <v>8666</v>
      </c>
      <c r="B8667" s="29" t="s">
        <v>3223</v>
      </c>
      <c r="C8667" s="29"/>
      <c r="D8667" s="29" t="s">
        <v>4156</v>
      </c>
      <c r="E8667" s="29"/>
      <c r="F8667" s="29" t="s">
        <v>2998</v>
      </c>
      <c r="G8667" s="29" t="s">
        <v>3020</v>
      </c>
      <c r="H8667" s="29" t="s">
        <v>3021</v>
      </c>
      <c r="I8667" s="29"/>
      <c r="J8667" s="29" t="s">
        <v>2374</v>
      </c>
      <c r="K8667" s="29"/>
      <c r="L8667" s="29" t="s">
        <v>2378</v>
      </c>
      <c r="M8667" s="29"/>
      <c r="N8667" s="29" t="s">
        <v>2379</v>
      </c>
      <c r="O8667" s="29"/>
      <c r="P8667" s="29" t="s">
        <v>13548</v>
      </c>
      <c r="Q8667" t="s">
        <v>2039</v>
      </c>
      <c r="R8667" t="s">
        <v>2635</v>
      </c>
      <c r="S8667">
        <v>38</v>
      </c>
      <c r="T8667" s="43" t="str">
        <f t="shared" si="374"/>
        <v>2021.017M.Nairoviridae_sprenamed.zip</v>
      </c>
      <c r="U8667" s="43" t="str">
        <f>HYPERLINK("https://ictv.global/taxonomy/taxondetails?taxnode_id=202209764","ictv.global=202209764")</f>
        <v>ictv.global=202209764</v>
      </c>
    </row>
    <row r="8668" spans="1:21">
      <c r="A8668">
        <v>8667</v>
      </c>
      <c r="B8668" s="29" t="s">
        <v>3223</v>
      </c>
      <c r="C8668" s="29"/>
      <c r="D8668" s="29" t="s">
        <v>4156</v>
      </c>
      <c r="E8668" s="29"/>
      <c r="F8668" s="29" t="s">
        <v>2998</v>
      </c>
      <c r="G8668" s="29" t="s">
        <v>3020</v>
      </c>
      <c r="H8668" s="29" t="s">
        <v>3021</v>
      </c>
      <c r="I8668" s="29"/>
      <c r="J8668" s="29" t="s">
        <v>2374</v>
      </c>
      <c r="K8668" s="29"/>
      <c r="L8668" s="29" t="s">
        <v>2378</v>
      </c>
      <c r="M8668" s="29"/>
      <c r="N8668" s="29" t="s">
        <v>2379</v>
      </c>
      <c r="O8668" s="29"/>
      <c r="P8668" s="29" t="s">
        <v>13549</v>
      </c>
      <c r="Q8668" t="s">
        <v>2039</v>
      </c>
      <c r="R8668" t="s">
        <v>2635</v>
      </c>
      <c r="S8668">
        <v>38</v>
      </c>
      <c r="T8668" s="43" t="str">
        <f t="shared" si="374"/>
        <v>2021.017M.Nairoviridae_sprenamed.zip</v>
      </c>
      <c r="U8668" s="43" t="str">
        <f>HYPERLINK("https://ictv.global/taxonomy/taxondetails?taxnode_id=202200070","ictv.global=202200070")</f>
        <v>ictv.global=202200070</v>
      </c>
    </row>
    <row r="8669" spans="1:21">
      <c r="A8669">
        <v>8668</v>
      </c>
      <c r="B8669" s="29" t="s">
        <v>3223</v>
      </c>
      <c r="C8669" s="29"/>
      <c r="D8669" s="29" t="s">
        <v>4156</v>
      </c>
      <c r="E8669" s="29"/>
      <c r="F8669" s="29" t="s">
        <v>2998</v>
      </c>
      <c r="G8669" s="29" t="s">
        <v>3020</v>
      </c>
      <c r="H8669" s="29" t="s">
        <v>3021</v>
      </c>
      <c r="I8669" s="29"/>
      <c r="J8669" s="29" t="s">
        <v>2374</v>
      </c>
      <c r="K8669" s="29"/>
      <c r="L8669" s="29" t="s">
        <v>2378</v>
      </c>
      <c r="M8669" s="29"/>
      <c r="N8669" s="29" t="s">
        <v>2379</v>
      </c>
      <c r="O8669" s="29"/>
      <c r="P8669" s="29" t="s">
        <v>13550</v>
      </c>
      <c r="Q8669" t="s">
        <v>2039</v>
      </c>
      <c r="R8669" t="s">
        <v>2635</v>
      </c>
      <c r="S8669">
        <v>38</v>
      </c>
      <c r="T8669" s="43" t="str">
        <f t="shared" si="374"/>
        <v>2021.017M.Nairoviridae_sprenamed.zip</v>
      </c>
      <c r="U8669" s="43" t="str">
        <f>HYPERLINK("https://ictv.global/taxonomy/taxondetails?taxnode_id=202200073","ictv.global=202200073")</f>
        <v>ictv.global=202200073</v>
      </c>
    </row>
    <row r="8670" spans="1:21">
      <c r="A8670">
        <v>8669</v>
      </c>
      <c r="B8670" s="29" t="s">
        <v>3223</v>
      </c>
      <c r="C8670" s="29"/>
      <c r="D8670" s="29" t="s">
        <v>4156</v>
      </c>
      <c r="E8670" s="29"/>
      <c r="F8670" s="29" t="s">
        <v>2998</v>
      </c>
      <c r="G8670" s="29" t="s">
        <v>3020</v>
      </c>
      <c r="H8670" s="29" t="s">
        <v>3021</v>
      </c>
      <c r="I8670" s="29"/>
      <c r="J8670" s="29" t="s">
        <v>2374</v>
      </c>
      <c r="K8670" s="29"/>
      <c r="L8670" s="29" t="s">
        <v>2378</v>
      </c>
      <c r="M8670" s="29"/>
      <c r="N8670" s="29" t="s">
        <v>2379</v>
      </c>
      <c r="O8670" s="29"/>
      <c r="P8670" s="29" t="s">
        <v>13551</v>
      </c>
      <c r="Q8670" t="s">
        <v>2039</v>
      </c>
      <c r="R8670" t="s">
        <v>2635</v>
      </c>
      <c r="S8670">
        <v>38</v>
      </c>
      <c r="T8670" s="43" t="str">
        <f t="shared" si="374"/>
        <v>2021.017M.Nairoviridae_sprenamed.zip</v>
      </c>
      <c r="U8670" s="43" t="str">
        <f>HYPERLINK("https://ictv.global/taxonomy/taxondetails?taxnode_id=202209765","ictv.global=202209765")</f>
        <v>ictv.global=202209765</v>
      </c>
    </row>
    <row r="8671" spans="1:21">
      <c r="A8671">
        <v>8670</v>
      </c>
      <c r="B8671" s="29" t="s">
        <v>3223</v>
      </c>
      <c r="C8671" s="29"/>
      <c r="D8671" s="29" t="s">
        <v>4156</v>
      </c>
      <c r="E8671" s="29"/>
      <c r="F8671" s="29" t="s">
        <v>2998</v>
      </c>
      <c r="G8671" s="29" t="s">
        <v>3020</v>
      </c>
      <c r="H8671" s="29" t="s">
        <v>3021</v>
      </c>
      <c r="I8671" s="29"/>
      <c r="J8671" s="29" t="s">
        <v>2374</v>
      </c>
      <c r="K8671" s="29"/>
      <c r="L8671" s="29" t="s">
        <v>2378</v>
      </c>
      <c r="M8671" s="29"/>
      <c r="N8671" s="29" t="s">
        <v>2379</v>
      </c>
      <c r="O8671" s="29"/>
      <c r="P8671" s="29" t="s">
        <v>13552</v>
      </c>
      <c r="Q8671" t="s">
        <v>2039</v>
      </c>
      <c r="R8671" t="s">
        <v>2635</v>
      </c>
      <c r="S8671">
        <v>38</v>
      </c>
      <c r="T8671" s="43" t="str">
        <f t="shared" si="374"/>
        <v>2021.017M.Nairoviridae_sprenamed.zip</v>
      </c>
      <c r="U8671" s="43" t="str">
        <f>HYPERLINK("https://ictv.global/taxonomy/taxondetails?taxnode_id=202209766","ictv.global=202209766")</f>
        <v>ictv.global=202209766</v>
      </c>
    </row>
    <row r="8672" spans="1:21">
      <c r="A8672">
        <v>8671</v>
      </c>
      <c r="B8672" s="29" t="s">
        <v>3223</v>
      </c>
      <c r="C8672" s="29"/>
      <c r="D8672" s="29" t="s">
        <v>4156</v>
      </c>
      <c r="E8672" s="29"/>
      <c r="F8672" s="29" t="s">
        <v>2998</v>
      </c>
      <c r="G8672" s="29" t="s">
        <v>3020</v>
      </c>
      <c r="H8672" s="29" t="s">
        <v>3021</v>
      </c>
      <c r="I8672" s="29"/>
      <c r="J8672" s="29" t="s">
        <v>2374</v>
      </c>
      <c r="K8672" s="29"/>
      <c r="L8672" s="29" t="s">
        <v>2378</v>
      </c>
      <c r="M8672" s="29"/>
      <c r="N8672" s="29" t="s">
        <v>2379</v>
      </c>
      <c r="O8672" s="29"/>
      <c r="P8672" s="29" t="s">
        <v>13553</v>
      </c>
      <c r="Q8672" t="s">
        <v>2039</v>
      </c>
      <c r="R8672" t="s">
        <v>2635</v>
      </c>
      <c r="S8672">
        <v>38</v>
      </c>
      <c r="T8672" s="43" t="str">
        <f t="shared" si="374"/>
        <v>2021.017M.Nairoviridae_sprenamed.zip</v>
      </c>
      <c r="U8672" s="43" t="str">
        <f>HYPERLINK("https://ictv.global/taxonomy/taxondetails?taxnode_id=202209777","ictv.global=202209777")</f>
        <v>ictv.global=202209777</v>
      </c>
    </row>
    <row r="8673" spans="1:21">
      <c r="A8673">
        <v>8672</v>
      </c>
      <c r="B8673" s="29" t="s">
        <v>3223</v>
      </c>
      <c r="C8673" s="29"/>
      <c r="D8673" s="29" t="s">
        <v>4156</v>
      </c>
      <c r="E8673" s="29"/>
      <c r="F8673" s="29" t="s">
        <v>2998</v>
      </c>
      <c r="G8673" s="29" t="s">
        <v>3020</v>
      </c>
      <c r="H8673" s="29" t="s">
        <v>3021</v>
      </c>
      <c r="I8673" s="29"/>
      <c r="J8673" s="29" t="s">
        <v>2374</v>
      </c>
      <c r="K8673" s="29"/>
      <c r="L8673" s="29" t="s">
        <v>2378</v>
      </c>
      <c r="M8673" s="29"/>
      <c r="N8673" s="29" t="s">
        <v>2379</v>
      </c>
      <c r="O8673" s="29"/>
      <c r="P8673" s="29" t="s">
        <v>13554</v>
      </c>
      <c r="Q8673" t="s">
        <v>2039</v>
      </c>
      <c r="R8673" t="s">
        <v>2635</v>
      </c>
      <c r="S8673">
        <v>38</v>
      </c>
      <c r="T8673" s="43" t="str">
        <f t="shared" si="374"/>
        <v>2021.017M.Nairoviridae_sprenamed.zip</v>
      </c>
      <c r="U8673" s="43" t="str">
        <f>HYPERLINK("https://ictv.global/taxonomy/taxondetails?taxnode_id=202200075","ictv.global=202200075")</f>
        <v>ictv.global=202200075</v>
      </c>
    </row>
    <row r="8674" spans="1:21">
      <c r="A8674">
        <v>8673</v>
      </c>
      <c r="B8674" s="29" t="s">
        <v>3223</v>
      </c>
      <c r="C8674" s="29"/>
      <c r="D8674" s="29" t="s">
        <v>4156</v>
      </c>
      <c r="E8674" s="29"/>
      <c r="F8674" s="29" t="s">
        <v>2998</v>
      </c>
      <c r="G8674" s="29" t="s">
        <v>3020</v>
      </c>
      <c r="H8674" s="29" t="s">
        <v>3021</v>
      </c>
      <c r="I8674" s="29"/>
      <c r="J8674" s="29" t="s">
        <v>2374</v>
      </c>
      <c r="K8674" s="29"/>
      <c r="L8674" s="29" t="s">
        <v>2378</v>
      </c>
      <c r="M8674" s="29"/>
      <c r="N8674" s="29" t="s">
        <v>2379</v>
      </c>
      <c r="O8674" s="29"/>
      <c r="P8674" s="29" t="s">
        <v>13555</v>
      </c>
      <c r="Q8674" t="s">
        <v>2039</v>
      </c>
      <c r="R8674" t="s">
        <v>2635</v>
      </c>
      <c r="S8674">
        <v>38</v>
      </c>
      <c r="T8674" s="43" t="str">
        <f t="shared" si="374"/>
        <v>2021.017M.Nairoviridae_sprenamed.zip</v>
      </c>
      <c r="U8674" s="43" t="str">
        <f>HYPERLINK("https://ictv.global/taxonomy/taxondetails?taxnode_id=202200076","ictv.global=202200076")</f>
        <v>ictv.global=202200076</v>
      </c>
    </row>
    <row r="8675" spans="1:21">
      <c r="A8675">
        <v>8674</v>
      </c>
      <c r="B8675" s="29" t="s">
        <v>3223</v>
      </c>
      <c r="C8675" s="29"/>
      <c r="D8675" s="29" t="s">
        <v>4156</v>
      </c>
      <c r="E8675" s="29"/>
      <c r="F8675" s="29" t="s">
        <v>2998</v>
      </c>
      <c r="G8675" s="29" t="s">
        <v>3020</v>
      </c>
      <c r="H8675" s="29" t="s">
        <v>3021</v>
      </c>
      <c r="I8675" s="29"/>
      <c r="J8675" s="29" t="s">
        <v>2374</v>
      </c>
      <c r="K8675" s="29"/>
      <c r="L8675" s="29" t="s">
        <v>2378</v>
      </c>
      <c r="M8675" s="29"/>
      <c r="N8675" s="29" t="s">
        <v>2379</v>
      </c>
      <c r="O8675" s="29"/>
      <c r="P8675" s="29" t="s">
        <v>13556</v>
      </c>
      <c r="Q8675" t="s">
        <v>2039</v>
      </c>
      <c r="R8675" t="s">
        <v>2635</v>
      </c>
      <c r="S8675">
        <v>38</v>
      </c>
      <c r="T8675" s="43" t="str">
        <f t="shared" si="374"/>
        <v>2021.017M.Nairoviridae_sprenamed.zip</v>
      </c>
      <c r="U8675" s="43" t="str">
        <f>HYPERLINK("https://ictv.global/taxonomy/taxondetails?taxnode_id=202200071","ictv.global=202200071")</f>
        <v>ictv.global=202200071</v>
      </c>
    </row>
    <row r="8676" spans="1:21">
      <c r="A8676">
        <v>8675</v>
      </c>
      <c r="B8676" s="29" t="s">
        <v>3223</v>
      </c>
      <c r="C8676" s="29"/>
      <c r="D8676" s="29" t="s">
        <v>4156</v>
      </c>
      <c r="E8676" s="29"/>
      <c r="F8676" s="29" t="s">
        <v>2998</v>
      </c>
      <c r="G8676" s="29" t="s">
        <v>3020</v>
      </c>
      <c r="H8676" s="29" t="s">
        <v>3021</v>
      </c>
      <c r="I8676" s="29"/>
      <c r="J8676" s="29" t="s">
        <v>2374</v>
      </c>
      <c r="K8676" s="29"/>
      <c r="L8676" s="29" t="s">
        <v>2378</v>
      </c>
      <c r="M8676" s="29"/>
      <c r="N8676" s="29" t="s">
        <v>2379</v>
      </c>
      <c r="O8676" s="29"/>
      <c r="P8676" s="29" t="s">
        <v>13557</v>
      </c>
      <c r="Q8676" t="s">
        <v>2039</v>
      </c>
      <c r="R8676" t="s">
        <v>2635</v>
      </c>
      <c r="S8676">
        <v>38</v>
      </c>
      <c r="T8676" s="43" t="str">
        <f t="shared" si="374"/>
        <v>2021.017M.Nairoviridae_sprenamed.zip</v>
      </c>
      <c r="U8676" s="43" t="str">
        <f>HYPERLINK("https://ictv.global/taxonomy/taxondetails?taxnode_id=202209768","ictv.global=202209768")</f>
        <v>ictv.global=202209768</v>
      </c>
    </row>
    <row r="8677" spans="1:21">
      <c r="A8677">
        <v>8676</v>
      </c>
      <c r="B8677" s="29" t="s">
        <v>3223</v>
      </c>
      <c r="C8677" s="29"/>
      <c r="D8677" s="29" t="s">
        <v>4156</v>
      </c>
      <c r="E8677" s="29"/>
      <c r="F8677" s="29" t="s">
        <v>2998</v>
      </c>
      <c r="G8677" s="29" t="s">
        <v>3020</v>
      </c>
      <c r="H8677" s="29" t="s">
        <v>3021</v>
      </c>
      <c r="I8677" s="29"/>
      <c r="J8677" s="29" t="s">
        <v>2374</v>
      </c>
      <c r="K8677" s="29"/>
      <c r="L8677" s="29" t="s">
        <v>2378</v>
      </c>
      <c r="M8677" s="29"/>
      <c r="N8677" s="29" t="s">
        <v>2379</v>
      </c>
      <c r="O8677" s="29"/>
      <c r="P8677" s="29" t="s">
        <v>13558</v>
      </c>
      <c r="Q8677" t="s">
        <v>2039</v>
      </c>
      <c r="R8677" t="s">
        <v>2635</v>
      </c>
      <c r="S8677">
        <v>38</v>
      </c>
      <c r="T8677" s="43" t="str">
        <f t="shared" si="374"/>
        <v>2021.017M.Nairoviridae_sprenamed.zip</v>
      </c>
      <c r="U8677" s="43" t="str">
        <f>HYPERLINK("https://ictv.global/taxonomy/taxondetails?taxnode_id=202209776","ictv.global=202209776")</f>
        <v>ictv.global=202209776</v>
      </c>
    </row>
    <row r="8678" spans="1:21">
      <c r="A8678">
        <v>8677</v>
      </c>
      <c r="B8678" s="29" t="s">
        <v>3223</v>
      </c>
      <c r="C8678" s="29"/>
      <c r="D8678" s="29" t="s">
        <v>4156</v>
      </c>
      <c r="E8678" s="29"/>
      <c r="F8678" s="29" t="s">
        <v>2998</v>
      </c>
      <c r="G8678" s="29" t="s">
        <v>3020</v>
      </c>
      <c r="H8678" s="29" t="s">
        <v>3021</v>
      </c>
      <c r="I8678" s="29"/>
      <c r="J8678" s="29" t="s">
        <v>2374</v>
      </c>
      <c r="K8678" s="29"/>
      <c r="L8678" s="29" t="s">
        <v>2378</v>
      </c>
      <c r="M8678" s="29"/>
      <c r="N8678" s="29" t="s">
        <v>2379</v>
      </c>
      <c r="O8678" s="29"/>
      <c r="P8678" s="29" t="s">
        <v>13559</v>
      </c>
      <c r="Q8678" t="s">
        <v>2039</v>
      </c>
      <c r="R8678" t="s">
        <v>2635</v>
      </c>
      <c r="S8678">
        <v>38</v>
      </c>
      <c r="T8678" s="43" t="str">
        <f t="shared" si="374"/>
        <v>2021.017M.Nairoviridae_sprenamed.zip</v>
      </c>
      <c r="U8678" s="43" t="str">
        <f>HYPERLINK("https://ictv.global/taxonomy/taxondetails?taxnode_id=202209769","ictv.global=202209769")</f>
        <v>ictv.global=202209769</v>
      </c>
    </row>
    <row r="8679" spans="1:21">
      <c r="A8679">
        <v>8678</v>
      </c>
      <c r="B8679" s="29" t="s">
        <v>3223</v>
      </c>
      <c r="C8679" s="29"/>
      <c r="D8679" s="29" t="s">
        <v>4156</v>
      </c>
      <c r="E8679" s="29"/>
      <c r="F8679" s="29" t="s">
        <v>2998</v>
      </c>
      <c r="G8679" s="29" t="s">
        <v>3020</v>
      </c>
      <c r="H8679" s="29" t="s">
        <v>3021</v>
      </c>
      <c r="I8679" s="29"/>
      <c r="J8679" s="29" t="s">
        <v>2374</v>
      </c>
      <c r="K8679" s="29"/>
      <c r="L8679" s="29" t="s">
        <v>2378</v>
      </c>
      <c r="M8679" s="29"/>
      <c r="N8679" s="29" t="s">
        <v>2379</v>
      </c>
      <c r="O8679" s="29"/>
      <c r="P8679" s="29" t="s">
        <v>13560</v>
      </c>
      <c r="Q8679" t="s">
        <v>2039</v>
      </c>
      <c r="R8679" t="s">
        <v>2635</v>
      </c>
      <c r="S8679">
        <v>38</v>
      </c>
      <c r="T8679" s="43" t="str">
        <f t="shared" si="374"/>
        <v>2021.017M.Nairoviridae_sprenamed.zip</v>
      </c>
      <c r="U8679" s="43" t="str">
        <f>HYPERLINK("https://ictv.global/taxonomy/taxondetails?taxnode_id=202200077","ictv.global=202200077")</f>
        <v>ictv.global=202200077</v>
      </c>
    </row>
    <row r="8680" spans="1:21">
      <c r="A8680">
        <v>8679</v>
      </c>
      <c r="B8680" s="29" t="s">
        <v>3223</v>
      </c>
      <c r="C8680" s="29"/>
      <c r="D8680" s="29" t="s">
        <v>4156</v>
      </c>
      <c r="E8680" s="29"/>
      <c r="F8680" s="29" t="s">
        <v>2998</v>
      </c>
      <c r="G8680" s="29" t="s">
        <v>3020</v>
      </c>
      <c r="H8680" s="29" t="s">
        <v>3021</v>
      </c>
      <c r="I8680" s="29"/>
      <c r="J8680" s="29" t="s">
        <v>2374</v>
      </c>
      <c r="K8680" s="29"/>
      <c r="L8680" s="29" t="s">
        <v>2378</v>
      </c>
      <c r="M8680" s="29"/>
      <c r="N8680" s="29" t="s">
        <v>2379</v>
      </c>
      <c r="O8680" s="29"/>
      <c r="P8680" s="29" t="s">
        <v>13561</v>
      </c>
      <c r="Q8680" t="s">
        <v>2039</v>
      </c>
      <c r="R8680" t="s">
        <v>2635</v>
      </c>
      <c r="S8680">
        <v>38</v>
      </c>
      <c r="T8680" s="43" t="str">
        <f t="shared" si="374"/>
        <v>2021.017M.Nairoviridae_sprenamed.zip</v>
      </c>
      <c r="U8680" s="43" t="str">
        <f>HYPERLINK("https://ictv.global/taxonomy/taxondetails?taxnode_id=202209762","ictv.global=202209762")</f>
        <v>ictv.global=202209762</v>
      </c>
    </row>
    <row r="8681" spans="1:21">
      <c r="A8681">
        <v>8680</v>
      </c>
      <c r="B8681" s="29" t="s">
        <v>3223</v>
      </c>
      <c r="C8681" s="29"/>
      <c r="D8681" s="29" t="s">
        <v>4156</v>
      </c>
      <c r="E8681" s="29"/>
      <c r="F8681" s="29" t="s">
        <v>2998</v>
      </c>
      <c r="G8681" s="29" t="s">
        <v>3020</v>
      </c>
      <c r="H8681" s="29" t="s">
        <v>3021</v>
      </c>
      <c r="I8681" s="29"/>
      <c r="J8681" s="29" t="s">
        <v>2374</v>
      </c>
      <c r="K8681" s="29"/>
      <c r="L8681" s="29" t="s">
        <v>2378</v>
      </c>
      <c r="M8681" s="29"/>
      <c r="N8681" s="29" t="s">
        <v>2379</v>
      </c>
      <c r="O8681" s="29"/>
      <c r="P8681" s="29" t="s">
        <v>13562</v>
      </c>
      <c r="Q8681" t="s">
        <v>2039</v>
      </c>
      <c r="R8681" t="s">
        <v>2635</v>
      </c>
      <c r="S8681">
        <v>38</v>
      </c>
      <c r="T8681" s="43" t="str">
        <f t="shared" si="374"/>
        <v>2021.017M.Nairoviridae_sprenamed.zip</v>
      </c>
      <c r="U8681" s="43" t="str">
        <f>HYPERLINK("https://ictv.global/taxonomy/taxondetails?taxnode_id=202209771","ictv.global=202209771")</f>
        <v>ictv.global=202209771</v>
      </c>
    </row>
    <row r="8682" spans="1:21">
      <c r="A8682">
        <v>8681</v>
      </c>
      <c r="B8682" s="29" t="s">
        <v>3223</v>
      </c>
      <c r="C8682" s="29"/>
      <c r="D8682" s="29" t="s">
        <v>4156</v>
      </c>
      <c r="E8682" s="29"/>
      <c r="F8682" s="29" t="s">
        <v>2998</v>
      </c>
      <c r="G8682" s="29" t="s">
        <v>3020</v>
      </c>
      <c r="H8682" s="29" t="s">
        <v>3021</v>
      </c>
      <c r="I8682" s="29"/>
      <c r="J8682" s="29" t="s">
        <v>2374</v>
      </c>
      <c r="K8682" s="29"/>
      <c r="L8682" s="29" t="s">
        <v>2378</v>
      </c>
      <c r="M8682" s="29"/>
      <c r="N8682" s="29" t="s">
        <v>2379</v>
      </c>
      <c r="O8682" s="29"/>
      <c r="P8682" s="29" t="s">
        <v>13563</v>
      </c>
      <c r="Q8682" t="s">
        <v>2039</v>
      </c>
      <c r="R8682" t="s">
        <v>2635</v>
      </c>
      <c r="S8682">
        <v>38</v>
      </c>
      <c r="T8682" s="43" t="str">
        <f t="shared" si="374"/>
        <v>2021.017M.Nairoviridae_sprenamed.zip</v>
      </c>
      <c r="U8682" s="43" t="str">
        <f>HYPERLINK("https://ictv.global/taxonomy/taxondetails?taxnode_id=202200078","ictv.global=202200078")</f>
        <v>ictv.global=202200078</v>
      </c>
    </row>
    <row r="8683" spans="1:21">
      <c r="A8683">
        <v>8682</v>
      </c>
      <c r="B8683" s="29" t="s">
        <v>3223</v>
      </c>
      <c r="C8683" s="29"/>
      <c r="D8683" s="29" t="s">
        <v>4156</v>
      </c>
      <c r="E8683" s="29"/>
      <c r="F8683" s="29" t="s">
        <v>2998</v>
      </c>
      <c r="G8683" s="29" t="s">
        <v>3020</v>
      </c>
      <c r="H8683" s="29" t="s">
        <v>3021</v>
      </c>
      <c r="I8683" s="29"/>
      <c r="J8683" s="29" t="s">
        <v>2374</v>
      </c>
      <c r="K8683" s="29"/>
      <c r="L8683" s="29" t="s">
        <v>2378</v>
      </c>
      <c r="M8683" s="29"/>
      <c r="N8683" s="29" t="s">
        <v>2379</v>
      </c>
      <c r="O8683" s="29"/>
      <c r="P8683" s="29" t="s">
        <v>13564</v>
      </c>
      <c r="Q8683" t="s">
        <v>2039</v>
      </c>
      <c r="R8683" t="s">
        <v>2635</v>
      </c>
      <c r="S8683">
        <v>38</v>
      </c>
      <c r="T8683" s="43" t="str">
        <f t="shared" si="374"/>
        <v>2021.017M.Nairoviridae_sprenamed.zip</v>
      </c>
      <c r="U8683" s="43" t="str">
        <f>HYPERLINK("https://ictv.global/taxonomy/taxondetails?taxnode_id=202209772","ictv.global=202209772")</f>
        <v>ictv.global=202209772</v>
      </c>
    </row>
    <row r="8684" spans="1:21">
      <c r="A8684">
        <v>8683</v>
      </c>
      <c r="B8684" s="29" t="s">
        <v>3223</v>
      </c>
      <c r="C8684" s="29"/>
      <c r="D8684" s="29" t="s">
        <v>4156</v>
      </c>
      <c r="E8684" s="29"/>
      <c r="F8684" s="29" t="s">
        <v>2998</v>
      </c>
      <c r="G8684" s="29" t="s">
        <v>3020</v>
      </c>
      <c r="H8684" s="29" t="s">
        <v>3021</v>
      </c>
      <c r="I8684" s="29"/>
      <c r="J8684" s="29" t="s">
        <v>2374</v>
      </c>
      <c r="K8684" s="29"/>
      <c r="L8684" s="29" t="s">
        <v>2378</v>
      </c>
      <c r="M8684" s="29"/>
      <c r="N8684" s="29" t="s">
        <v>2379</v>
      </c>
      <c r="O8684" s="29"/>
      <c r="P8684" s="29" t="s">
        <v>13565</v>
      </c>
      <c r="Q8684" t="s">
        <v>2039</v>
      </c>
      <c r="R8684" t="s">
        <v>2635</v>
      </c>
      <c r="S8684">
        <v>38</v>
      </c>
      <c r="T8684" s="43" t="str">
        <f t="shared" si="374"/>
        <v>2021.017M.Nairoviridae_sprenamed.zip</v>
      </c>
      <c r="U8684" s="43" t="str">
        <f>HYPERLINK("https://ictv.global/taxonomy/taxondetails?taxnode_id=202200079","ictv.global=202200079")</f>
        <v>ictv.global=202200079</v>
      </c>
    </row>
    <row r="8685" spans="1:21">
      <c r="A8685">
        <v>8684</v>
      </c>
      <c r="B8685" s="29" t="s">
        <v>3223</v>
      </c>
      <c r="C8685" s="29"/>
      <c r="D8685" s="29" t="s">
        <v>4156</v>
      </c>
      <c r="E8685" s="29"/>
      <c r="F8685" s="29" t="s">
        <v>2998</v>
      </c>
      <c r="G8685" s="29" t="s">
        <v>3020</v>
      </c>
      <c r="H8685" s="29" t="s">
        <v>3021</v>
      </c>
      <c r="I8685" s="29"/>
      <c r="J8685" s="29" t="s">
        <v>2374</v>
      </c>
      <c r="K8685" s="29"/>
      <c r="L8685" s="29" t="s">
        <v>2378</v>
      </c>
      <c r="M8685" s="29"/>
      <c r="N8685" s="29" t="s">
        <v>2379</v>
      </c>
      <c r="O8685" s="29"/>
      <c r="P8685" s="29" t="s">
        <v>13566</v>
      </c>
      <c r="Q8685" t="s">
        <v>2039</v>
      </c>
      <c r="R8685" t="s">
        <v>2635</v>
      </c>
      <c r="S8685">
        <v>38</v>
      </c>
      <c r="T8685" s="43" t="str">
        <f t="shared" si="374"/>
        <v>2021.017M.Nairoviridae_sprenamed.zip</v>
      </c>
      <c r="U8685" s="43" t="str">
        <f>HYPERLINK("https://ictv.global/taxonomy/taxondetails?taxnode_id=202209774","ictv.global=202209774")</f>
        <v>ictv.global=202209774</v>
      </c>
    </row>
    <row r="8686" spans="1:21">
      <c r="A8686">
        <v>8685</v>
      </c>
      <c r="B8686" s="29" t="s">
        <v>3223</v>
      </c>
      <c r="C8686" s="29"/>
      <c r="D8686" s="29" t="s">
        <v>4156</v>
      </c>
      <c r="E8686" s="29"/>
      <c r="F8686" s="29" t="s">
        <v>2998</v>
      </c>
      <c r="G8686" s="29" t="s">
        <v>3020</v>
      </c>
      <c r="H8686" s="29" t="s">
        <v>3021</v>
      </c>
      <c r="I8686" s="29"/>
      <c r="J8686" s="29" t="s">
        <v>2374</v>
      </c>
      <c r="K8686" s="29"/>
      <c r="L8686" s="29" t="s">
        <v>2378</v>
      </c>
      <c r="M8686" s="29"/>
      <c r="N8686" s="29" t="s">
        <v>2379</v>
      </c>
      <c r="O8686" s="29"/>
      <c r="P8686" s="29" t="s">
        <v>13567</v>
      </c>
      <c r="Q8686" t="s">
        <v>2039</v>
      </c>
      <c r="R8686" t="s">
        <v>2632</v>
      </c>
      <c r="S8686">
        <v>38</v>
      </c>
      <c r="T8686" s="43" t="str">
        <f>HYPERLINK("https://ictv.global/ictv/proposals/2022.015M.Nairoviridae_4nsp.zip","2022.015M.Nairoviridae_4nsp.zip")</f>
        <v>2022.015M.Nairoviridae_4nsp.zip</v>
      </c>
      <c r="U8686" s="43" t="str">
        <f>HYPERLINK("https://ictv.global/taxonomy/taxondetails?taxnode_id=202214217","ictv.global=202214217")</f>
        <v>ictv.global=202214217</v>
      </c>
    </row>
    <row r="8687" spans="1:21">
      <c r="A8687">
        <v>8686</v>
      </c>
      <c r="B8687" s="29" t="s">
        <v>3223</v>
      </c>
      <c r="C8687" s="29"/>
      <c r="D8687" s="29" t="s">
        <v>4156</v>
      </c>
      <c r="E8687" s="29"/>
      <c r="F8687" s="29" t="s">
        <v>2998</v>
      </c>
      <c r="G8687" s="29" t="s">
        <v>3020</v>
      </c>
      <c r="H8687" s="29" t="s">
        <v>3021</v>
      </c>
      <c r="I8687" s="29"/>
      <c r="J8687" s="29" t="s">
        <v>2374</v>
      </c>
      <c r="K8687" s="29"/>
      <c r="L8687" s="29" t="s">
        <v>2378</v>
      </c>
      <c r="M8687" s="29"/>
      <c r="N8687" s="29" t="s">
        <v>2379</v>
      </c>
      <c r="O8687" s="29"/>
      <c r="P8687" s="29" t="s">
        <v>13568</v>
      </c>
      <c r="Q8687" t="s">
        <v>2039</v>
      </c>
      <c r="R8687" t="s">
        <v>2632</v>
      </c>
      <c r="S8687">
        <v>38</v>
      </c>
      <c r="T8687" s="43" t="str">
        <f>HYPERLINK("https://ictv.global/ictv/proposals/2022.015M.Nairoviridae_4nsp.zip","2022.015M.Nairoviridae_4nsp.zip")</f>
        <v>2022.015M.Nairoviridae_4nsp.zip</v>
      </c>
      <c r="U8687" s="43" t="str">
        <f>HYPERLINK("https://ictv.global/taxonomy/taxondetails?taxnode_id=202214216","ictv.global=202214216")</f>
        <v>ictv.global=202214216</v>
      </c>
    </row>
    <row r="8688" spans="1:21">
      <c r="A8688">
        <v>8687</v>
      </c>
      <c r="B8688" s="29" t="s">
        <v>3223</v>
      </c>
      <c r="C8688" s="29"/>
      <c r="D8688" s="29" t="s">
        <v>4156</v>
      </c>
      <c r="E8688" s="29"/>
      <c r="F8688" s="29" t="s">
        <v>2998</v>
      </c>
      <c r="G8688" s="29" t="s">
        <v>3020</v>
      </c>
      <c r="H8688" s="29" t="s">
        <v>3021</v>
      </c>
      <c r="I8688" s="29"/>
      <c r="J8688" s="29" t="s">
        <v>2374</v>
      </c>
      <c r="K8688" s="29"/>
      <c r="L8688" s="29" t="s">
        <v>2378</v>
      </c>
      <c r="M8688" s="29"/>
      <c r="N8688" s="29" t="s">
        <v>2379</v>
      </c>
      <c r="O8688" s="29"/>
      <c r="P8688" s="29" t="s">
        <v>13569</v>
      </c>
      <c r="Q8688" t="s">
        <v>2039</v>
      </c>
      <c r="R8688" t="s">
        <v>2635</v>
      </c>
      <c r="S8688">
        <v>38</v>
      </c>
      <c r="T8688" s="43" t="str">
        <f>HYPERLINK("https://ictv.global/ictv/proposals/2021.017M.Nairoviridae_sprenamed.zip","2021.017M.Nairoviridae_sprenamed.zip")</f>
        <v>2021.017M.Nairoviridae_sprenamed.zip</v>
      </c>
      <c r="U8688" s="43" t="str">
        <f>HYPERLINK("https://ictv.global/taxonomy/taxondetails?taxnode_id=202209775","ictv.global=202209775")</f>
        <v>ictv.global=202209775</v>
      </c>
    </row>
    <row r="8689" spans="1:21">
      <c r="A8689">
        <v>8688</v>
      </c>
      <c r="B8689" s="29" t="s">
        <v>3223</v>
      </c>
      <c r="C8689" s="29"/>
      <c r="D8689" s="29" t="s">
        <v>4156</v>
      </c>
      <c r="E8689" s="29"/>
      <c r="F8689" s="29" t="s">
        <v>2998</v>
      </c>
      <c r="G8689" s="29" t="s">
        <v>3020</v>
      </c>
      <c r="H8689" s="29" t="s">
        <v>3021</v>
      </c>
      <c r="I8689" s="29"/>
      <c r="J8689" s="29" t="s">
        <v>2374</v>
      </c>
      <c r="K8689" s="29"/>
      <c r="L8689" s="29" t="s">
        <v>2378</v>
      </c>
      <c r="M8689" s="29"/>
      <c r="N8689" s="29" t="s">
        <v>2379</v>
      </c>
      <c r="O8689" s="29"/>
      <c r="P8689" s="29" t="s">
        <v>13570</v>
      </c>
      <c r="Q8689" t="s">
        <v>2039</v>
      </c>
      <c r="R8689" t="s">
        <v>2635</v>
      </c>
      <c r="S8689">
        <v>38</v>
      </c>
      <c r="T8689" s="43" t="str">
        <f>HYPERLINK("https://ictv.global/ictv/proposals/2021.017M.Nairoviridae_sprenamed.zip","2021.017M.Nairoviridae_sprenamed.zip")</f>
        <v>2021.017M.Nairoviridae_sprenamed.zip</v>
      </c>
      <c r="U8689" s="43" t="str">
        <f>HYPERLINK("https://ictv.global/taxonomy/taxondetails?taxnode_id=202200080","ictv.global=202200080")</f>
        <v>ictv.global=202200080</v>
      </c>
    </row>
    <row r="8690" spans="1:21">
      <c r="A8690">
        <v>8689</v>
      </c>
      <c r="B8690" s="29" t="s">
        <v>3223</v>
      </c>
      <c r="C8690" s="29"/>
      <c r="D8690" s="29" t="s">
        <v>4156</v>
      </c>
      <c r="E8690" s="29"/>
      <c r="F8690" s="29" t="s">
        <v>2998</v>
      </c>
      <c r="G8690" s="29" t="s">
        <v>3020</v>
      </c>
      <c r="H8690" s="29" t="s">
        <v>3021</v>
      </c>
      <c r="I8690" s="29"/>
      <c r="J8690" s="29" t="s">
        <v>2374</v>
      </c>
      <c r="K8690" s="29"/>
      <c r="L8690" s="29" t="s">
        <v>2378</v>
      </c>
      <c r="M8690" s="29"/>
      <c r="N8690" s="29" t="s">
        <v>2379</v>
      </c>
      <c r="O8690" s="29"/>
      <c r="P8690" s="29" t="s">
        <v>13571</v>
      </c>
      <c r="Q8690" t="s">
        <v>2039</v>
      </c>
      <c r="R8690" t="s">
        <v>2635</v>
      </c>
      <c r="S8690">
        <v>38</v>
      </c>
      <c r="T8690" s="43" t="str">
        <f>HYPERLINK("https://ictv.global/ictv/proposals/2021.017M.Nairoviridae_sprenamed.zip","2021.017M.Nairoviridae_sprenamed.zip")</f>
        <v>2021.017M.Nairoviridae_sprenamed.zip</v>
      </c>
      <c r="U8690" s="43" t="str">
        <f>HYPERLINK("https://ictv.global/taxonomy/taxondetails?taxnode_id=202200069","ictv.global=202200069")</f>
        <v>ictv.global=202200069</v>
      </c>
    </row>
    <row r="8691" spans="1:21">
      <c r="A8691">
        <v>8690</v>
      </c>
      <c r="B8691" s="29" t="s">
        <v>3223</v>
      </c>
      <c r="C8691" s="29"/>
      <c r="D8691" s="29" t="s">
        <v>4156</v>
      </c>
      <c r="E8691" s="29"/>
      <c r="F8691" s="29" t="s">
        <v>2998</v>
      </c>
      <c r="G8691" s="29" t="s">
        <v>3020</v>
      </c>
      <c r="H8691" s="29" t="s">
        <v>3021</v>
      </c>
      <c r="I8691" s="29"/>
      <c r="J8691" s="29" t="s">
        <v>2374</v>
      </c>
      <c r="K8691" s="29"/>
      <c r="L8691" s="29" t="s">
        <v>2378</v>
      </c>
      <c r="M8691" s="29"/>
      <c r="N8691" s="29" t="s">
        <v>2379</v>
      </c>
      <c r="O8691" s="29"/>
      <c r="P8691" s="29" t="s">
        <v>13572</v>
      </c>
      <c r="Q8691" t="s">
        <v>2039</v>
      </c>
      <c r="R8691" t="s">
        <v>2635</v>
      </c>
      <c r="S8691">
        <v>38</v>
      </c>
      <c r="T8691" s="43" t="str">
        <f>HYPERLINK("https://ictv.global/ictv/proposals/2021.017M.Nairoviridae_sprenamed.zip","2021.017M.Nairoviridae_sprenamed.zip")</f>
        <v>2021.017M.Nairoviridae_sprenamed.zip</v>
      </c>
      <c r="U8691" s="43" t="str">
        <f>HYPERLINK("https://ictv.global/taxonomy/taxondetails?taxnode_id=202209778","ictv.global=202209778")</f>
        <v>ictv.global=202209778</v>
      </c>
    </row>
    <row r="8692" spans="1:21">
      <c r="A8692">
        <v>8691</v>
      </c>
      <c r="B8692" s="29" t="s">
        <v>3223</v>
      </c>
      <c r="C8692" s="29"/>
      <c r="D8692" s="29" t="s">
        <v>4156</v>
      </c>
      <c r="E8692" s="29"/>
      <c r="F8692" s="29" t="s">
        <v>2998</v>
      </c>
      <c r="G8692" s="29" t="s">
        <v>3020</v>
      </c>
      <c r="H8692" s="29" t="s">
        <v>3021</v>
      </c>
      <c r="I8692" s="29"/>
      <c r="J8692" s="29" t="s">
        <v>2374</v>
      </c>
      <c r="K8692" s="29"/>
      <c r="L8692" s="29" t="s">
        <v>2378</v>
      </c>
      <c r="M8692" s="29"/>
      <c r="N8692" s="29" t="s">
        <v>2379</v>
      </c>
      <c r="O8692" s="29"/>
      <c r="P8692" s="29" t="s">
        <v>13573</v>
      </c>
      <c r="Q8692" t="s">
        <v>2039</v>
      </c>
      <c r="R8692" t="s">
        <v>2635</v>
      </c>
      <c r="S8692">
        <v>38</v>
      </c>
      <c r="T8692" s="43" t="str">
        <f>HYPERLINK("https://ictv.global/ictv/proposals/2021.017M.Nairoviridae_sprenamed.zip","2021.017M.Nairoviridae_sprenamed.zip")</f>
        <v>2021.017M.Nairoviridae_sprenamed.zip</v>
      </c>
      <c r="U8692" s="43" t="str">
        <f>HYPERLINK("https://ictv.global/taxonomy/taxondetails?taxnode_id=202209780","ictv.global=202209780")</f>
        <v>ictv.global=202209780</v>
      </c>
    </row>
    <row r="8693" spans="1:21">
      <c r="A8693">
        <v>8692</v>
      </c>
      <c r="B8693" s="29" t="s">
        <v>3223</v>
      </c>
      <c r="C8693" s="29"/>
      <c r="D8693" s="29" t="s">
        <v>4156</v>
      </c>
      <c r="E8693" s="29"/>
      <c r="F8693" s="29" t="s">
        <v>2998</v>
      </c>
      <c r="G8693" s="29" t="s">
        <v>3020</v>
      </c>
      <c r="H8693" s="29" t="s">
        <v>3021</v>
      </c>
      <c r="I8693" s="29"/>
      <c r="J8693" s="29" t="s">
        <v>2374</v>
      </c>
      <c r="K8693" s="29"/>
      <c r="L8693" s="29" t="s">
        <v>2378</v>
      </c>
      <c r="M8693" s="29"/>
      <c r="N8693" s="29" t="s">
        <v>2379</v>
      </c>
      <c r="O8693" s="29"/>
      <c r="P8693" s="29" t="s">
        <v>13574</v>
      </c>
      <c r="Q8693" t="s">
        <v>2039</v>
      </c>
      <c r="R8693" t="s">
        <v>2632</v>
      </c>
      <c r="S8693">
        <v>38</v>
      </c>
      <c r="T8693" s="43" t="str">
        <f>HYPERLINK("https://ictv.global/ictv/proposals/2022.015M.Nairoviridae_4nsp.zip","2022.015M.Nairoviridae_4nsp.zip")</f>
        <v>2022.015M.Nairoviridae_4nsp.zip</v>
      </c>
      <c r="U8693" s="43" t="str">
        <f>HYPERLINK("https://ictv.global/taxonomy/taxondetails?taxnode_id=202214215","ictv.global=202214215")</f>
        <v>ictv.global=202214215</v>
      </c>
    </row>
    <row r="8694" spans="1:21">
      <c r="A8694">
        <v>8693</v>
      </c>
      <c r="B8694" s="29" t="s">
        <v>3223</v>
      </c>
      <c r="C8694" s="29"/>
      <c r="D8694" s="29" t="s">
        <v>4156</v>
      </c>
      <c r="E8694" s="29"/>
      <c r="F8694" s="29" t="s">
        <v>2998</v>
      </c>
      <c r="G8694" s="29" t="s">
        <v>3020</v>
      </c>
      <c r="H8694" s="29" t="s">
        <v>3021</v>
      </c>
      <c r="I8694" s="29"/>
      <c r="J8694" s="29" t="s">
        <v>2374</v>
      </c>
      <c r="K8694" s="29"/>
      <c r="L8694" s="29" t="s">
        <v>2378</v>
      </c>
      <c r="M8694" s="29"/>
      <c r="N8694" s="29" t="s">
        <v>2379</v>
      </c>
      <c r="O8694" s="29"/>
      <c r="P8694" s="29" t="s">
        <v>13575</v>
      </c>
      <c r="Q8694" t="s">
        <v>2039</v>
      </c>
      <c r="R8694" t="s">
        <v>2635</v>
      </c>
      <c r="S8694">
        <v>38</v>
      </c>
      <c r="T8694" s="43" t="str">
        <f t="shared" ref="T8694:T8699" si="375">HYPERLINK("https://ictv.global/ictv/proposals/2021.017M.Nairoviridae_sprenamed.zip","2021.017M.Nairoviridae_sprenamed.zip")</f>
        <v>2021.017M.Nairoviridae_sprenamed.zip</v>
      </c>
      <c r="U8694" s="43" t="str">
        <f>HYPERLINK("https://ictv.global/taxonomy/taxondetails?taxnode_id=202209781","ictv.global=202209781")</f>
        <v>ictv.global=202209781</v>
      </c>
    </row>
    <row r="8695" spans="1:21">
      <c r="A8695">
        <v>8694</v>
      </c>
      <c r="B8695" s="29" t="s">
        <v>3223</v>
      </c>
      <c r="C8695" s="29"/>
      <c r="D8695" s="29" t="s">
        <v>4156</v>
      </c>
      <c r="E8695" s="29"/>
      <c r="F8695" s="29" t="s">
        <v>2998</v>
      </c>
      <c r="G8695" s="29" t="s">
        <v>3020</v>
      </c>
      <c r="H8695" s="29" t="s">
        <v>3021</v>
      </c>
      <c r="I8695" s="29"/>
      <c r="J8695" s="29" t="s">
        <v>2374</v>
      </c>
      <c r="K8695" s="29"/>
      <c r="L8695" s="29" t="s">
        <v>2378</v>
      </c>
      <c r="M8695" s="29"/>
      <c r="N8695" s="29" t="s">
        <v>2379</v>
      </c>
      <c r="O8695" s="29"/>
      <c r="P8695" s="29" t="s">
        <v>13576</v>
      </c>
      <c r="Q8695" t="s">
        <v>2039</v>
      </c>
      <c r="R8695" t="s">
        <v>2635</v>
      </c>
      <c r="S8695">
        <v>38</v>
      </c>
      <c r="T8695" s="43" t="str">
        <f t="shared" si="375"/>
        <v>2021.017M.Nairoviridae_sprenamed.zip</v>
      </c>
      <c r="U8695" s="43" t="str">
        <f>HYPERLINK("https://ictv.global/taxonomy/taxondetails?taxnode_id=202209782","ictv.global=202209782")</f>
        <v>ictv.global=202209782</v>
      </c>
    </row>
    <row r="8696" spans="1:21">
      <c r="A8696">
        <v>8695</v>
      </c>
      <c r="B8696" s="29" t="s">
        <v>3223</v>
      </c>
      <c r="C8696" s="29"/>
      <c r="D8696" s="29" t="s">
        <v>4156</v>
      </c>
      <c r="E8696" s="29"/>
      <c r="F8696" s="29" t="s">
        <v>2998</v>
      </c>
      <c r="G8696" s="29" t="s">
        <v>3020</v>
      </c>
      <c r="H8696" s="29" t="s">
        <v>3021</v>
      </c>
      <c r="I8696" s="29"/>
      <c r="J8696" s="29" t="s">
        <v>2374</v>
      </c>
      <c r="K8696" s="29"/>
      <c r="L8696" s="29" t="s">
        <v>2378</v>
      </c>
      <c r="M8696" s="29"/>
      <c r="N8696" s="29" t="s">
        <v>6674</v>
      </c>
      <c r="O8696" s="29"/>
      <c r="P8696" s="29" t="s">
        <v>13577</v>
      </c>
      <c r="Q8696" t="s">
        <v>2039</v>
      </c>
      <c r="R8696" t="s">
        <v>2635</v>
      </c>
      <c r="S8696">
        <v>38</v>
      </c>
      <c r="T8696" s="43" t="str">
        <f t="shared" si="375"/>
        <v>2021.017M.Nairoviridae_sprenamed.zip</v>
      </c>
      <c r="U8696" s="43" t="str">
        <f>HYPERLINK("https://ictv.global/taxonomy/taxondetails?taxnode_id=202209786","ictv.global=202209786")</f>
        <v>ictv.global=202209786</v>
      </c>
    </row>
    <row r="8697" spans="1:21">
      <c r="A8697">
        <v>8696</v>
      </c>
      <c r="B8697" s="29" t="s">
        <v>3223</v>
      </c>
      <c r="C8697" s="29"/>
      <c r="D8697" s="29" t="s">
        <v>4156</v>
      </c>
      <c r="E8697" s="29"/>
      <c r="F8697" s="29" t="s">
        <v>2998</v>
      </c>
      <c r="G8697" s="29" t="s">
        <v>3020</v>
      </c>
      <c r="H8697" s="29" t="s">
        <v>3021</v>
      </c>
      <c r="I8697" s="29"/>
      <c r="J8697" s="29" t="s">
        <v>2374</v>
      </c>
      <c r="K8697" s="29"/>
      <c r="L8697" s="29" t="s">
        <v>2378</v>
      </c>
      <c r="M8697" s="29"/>
      <c r="N8697" s="29" t="s">
        <v>3029</v>
      </c>
      <c r="O8697" s="29"/>
      <c r="P8697" s="29" t="s">
        <v>13578</v>
      </c>
      <c r="Q8697" t="s">
        <v>2039</v>
      </c>
      <c r="R8697" t="s">
        <v>2635</v>
      </c>
      <c r="S8697">
        <v>38</v>
      </c>
      <c r="T8697" s="43" t="str">
        <f t="shared" si="375"/>
        <v>2021.017M.Nairoviridae_sprenamed.zip</v>
      </c>
      <c r="U8697" s="43" t="str">
        <f>HYPERLINK("https://ictv.global/taxonomy/taxondetails?taxnode_id=202206217","ictv.global=202206217")</f>
        <v>ictv.global=202206217</v>
      </c>
    </row>
    <row r="8698" spans="1:21">
      <c r="A8698">
        <v>8697</v>
      </c>
      <c r="B8698" s="29" t="s">
        <v>3223</v>
      </c>
      <c r="C8698" s="29"/>
      <c r="D8698" s="29" t="s">
        <v>4156</v>
      </c>
      <c r="E8698" s="29"/>
      <c r="F8698" s="29" t="s">
        <v>2998</v>
      </c>
      <c r="G8698" s="29" t="s">
        <v>3020</v>
      </c>
      <c r="H8698" s="29" t="s">
        <v>3021</v>
      </c>
      <c r="I8698" s="29"/>
      <c r="J8698" s="29" t="s">
        <v>2374</v>
      </c>
      <c r="K8698" s="29"/>
      <c r="L8698" s="29" t="s">
        <v>2378</v>
      </c>
      <c r="M8698" s="29"/>
      <c r="N8698" s="29" t="s">
        <v>3030</v>
      </c>
      <c r="O8698" s="29"/>
      <c r="P8698" s="29" t="s">
        <v>13579</v>
      </c>
      <c r="Q8698" t="s">
        <v>2039</v>
      </c>
      <c r="R8698" t="s">
        <v>2635</v>
      </c>
      <c r="S8698">
        <v>38</v>
      </c>
      <c r="T8698" s="43" t="str">
        <f t="shared" si="375"/>
        <v>2021.017M.Nairoviridae_sprenamed.zip</v>
      </c>
      <c r="U8698" s="43" t="str">
        <f>HYPERLINK("https://ictv.global/taxonomy/taxondetails?taxnode_id=202206219","ictv.global=202206219")</f>
        <v>ictv.global=202206219</v>
      </c>
    </row>
    <row r="8699" spans="1:21">
      <c r="A8699">
        <v>8698</v>
      </c>
      <c r="B8699" s="29" t="s">
        <v>3223</v>
      </c>
      <c r="C8699" s="29"/>
      <c r="D8699" s="29" t="s">
        <v>4156</v>
      </c>
      <c r="E8699" s="29"/>
      <c r="F8699" s="29" t="s">
        <v>2998</v>
      </c>
      <c r="G8699" s="29" t="s">
        <v>3020</v>
      </c>
      <c r="H8699" s="29" t="s">
        <v>3021</v>
      </c>
      <c r="I8699" s="29"/>
      <c r="J8699" s="29" t="s">
        <v>2374</v>
      </c>
      <c r="K8699" s="29"/>
      <c r="L8699" s="29" t="s">
        <v>2378</v>
      </c>
      <c r="M8699" s="29"/>
      <c r="N8699" s="29" t="s">
        <v>6675</v>
      </c>
      <c r="O8699" s="29"/>
      <c r="P8699" s="29" t="s">
        <v>13580</v>
      </c>
      <c r="Q8699" t="s">
        <v>2039</v>
      </c>
      <c r="R8699" t="s">
        <v>2635</v>
      </c>
      <c r="S8699">
        <v>38</v>
      </c>
      <c r="T8699" s="43" t="str">
        <f t="shared" si="375"/>
        <v>2021.017M.Nairoviridae_sprenamed.zip</v>
      </c>
      <c r="U8699" s="43" t="str">
        <f>HYPERLINK("https://ictv.global/taxonomy/taxondetails?taxnode_id=202209784","ictv.global=202209784")</f>
        <v>ictv.global=202209784</v>
      </c>
    </row>
    <row r="8700" spans="1:21">
      <c r="A8700">
        <v>8699</v>
      </c>
      <c r="B8700" s="29" t="s">
        <v>3223</v>
      </c>
      <c r="C8700" s="29"/>
      <c r="D8700" s="29" t="s">
        <v>4156</v>
      </c>
      <c r="E8700" s="29"/>
      <c r="F8700" s="29" t="s">
        <v>2998</v>
      </c>
      <c r="G8700" s="29" t="s">
        <v>3020</v>
      </c>
      <c r="H8700" s="29" t="s">
        <v>3021</v>
      </c>
      <c r="I8700" s="29"/>
      <c r="J8700" s="29" t="s">
        <v>2374</v>
      </c>
      <c r="K8700" s="29"/>
      <c r="L8700" s="29" t="s">
        <v>2380</v>
      </c>
      <c r="M8700" s="29"/>
      <c r="N8700" s="29" t="s">
        <v>2405</v>
      </c>
      <c r="O8700" s="29"/>
      <c r="P8700" s="29" t="s">
        <v>13581</v>
      </c>
      <c r="Q8700" t="s">
        <v>2039</v>
      </c>
      <c r="R8700" t="s">
        <v>2635</v>
      </c>
      <c r="S8700">
        <v>38</v>
      </c>
      <c r="T8700" s="43" t="str">
        <f>HYPERLINK("https://ictv.global/ictv/proposals/2021.028M.Peribunyaviridae_sprename.zip","2021.028M.Peribunyaviridae_sprename.zip")</f>
        <v>2021.028M.Peribunyaviridae_sprename.zip</v>
      </c>
      <c r="U8700" s="43" t="str">
        <f>HYPERLINK("https://ictv.global/taxonomy/taxondetails?taxnode_id=202200083","ictv.global=202200083")</f>
        <v>ictv.global=202200083</v>
      </c>
    </row>
    <row r="8701" spans="1:21">
      <c r="A8701">
        <v>8700</v>
      </c>
      <c r="B8701" s="29" t="s">
        <v>3223</v>
      </c>
      <c r="C8701" s="29"/>
      <c r="D8701" s="29" t="s">
        <v>4156</v>
      </c>
      <c r="E8701" s="29"/>
      <c r="F8701" s="29" t="s">
        <v>2998</v>
      </c>
      <c r="G8701" s="29" t="s">
        <v>3020</v>
      </c>
      <c r="H8701" s="29" t="s">
        <v>3021</v>
      </c>
      <c r="I8701" s="29"/>
      <c r="J8701" s="29" t="s">
        <v>2374</v>
      </c>
      <c r="K8701" s="29"/>
      <c r="L8701" s="29" t="s">
        <v>2380</v>
      </c>
      <c r="M8701" s="29"/>
      <c r="N8701" s="29" t="s">
        <v>2405</v>
      </c>
      <c r="O8701" s="29"/>
      <c r="P8701" s="29" t="s">
        <v>13582</v>
      </c>
      <c r="Q8701" t="s">
        <v>2039</v>
      </c>
      <c r="R8701" t="s">
        <v>2635</v>
      </c>
      <c r="S8701">
        <v>38</v>
      </c>
      <c r="T8701" s="43" t="str">
        <f>HYPERLINK("https://ictv.global/ictv/proposals/2021.028M.Peribunyaviridae_sprename.zip","2021.028M.Peribunyaviridae_sprename.zip")</f>
        <v>2021.028M.Peribunyaviridae_sprename.zip</v>
      </c>
      <c r="U8701" s="43" t="str">
        <f>HYPERLINK("https://ictv.global/taxonomy/taxondetails?taxnode_id=202200084","ictv.global=202200084")</f>
        <v>ictv.global=202200084</v>
      </c>
    </row>
    <row r="8702" spans="1:21">
      <c r="A8702">
        <v>8701</v>
      </c>
      <c r="B8702" s="29" t="s">
        <v>3223</v>
      </c>
      <c r="C8702" s="29"/>
      <c r="D8702" s="29" t="s">
        <v>4156</v>
      </c>
      <c r="E8702" s="29"/>
      <c r="F8702" s="29" t="s">
        <v>2998</v>
      </c>
      <c r="G8702" s="29" t="s">
        <v>3020</v>
      </c>
      <c r="H8702" s="29" t="s">
        <v>3021</v>
      </c>
      <c r="I8702" s="29"/>
      <c r="J8702" s="29" t="s">
        <v>2374</v>
      </c>
      <c r="K8702" s="29"/>
      <c r="L8702" s="29" t="s">
        <v>2380</v>
      </c>
      <c r="M8702" s="29"/>
      <c r="N8702" s="29" t="s">
        <v>2405</v>
      </c>
      <c r="O8702" s="29"/>
      <c r="P8702" s="29" t="s">
        <v>13583</v>
      </c>
      <c r="Q8702" t="s">
        <v>2039</v>
      </c>
      <c r="R8702" t="s">
        <v>2635</v>
      </c>
      <c r="S8702">
        <v>38</v>
      </c>
      <c r="T8702" s="43" t="str">
        <f>HYPERLINK("https://ictv.global/ictv/proposals/2021.028M.Peribunyaviridae_sprename.zip","2021.028M.Peribunyaviridae_sprename.zip")</f>
        <v>2021.028M.Peribunyaviridae_sprename.zip</v>
      </c>
      <c r="U8702" s="43" t="str">
        <f>HYPERLINK("https://ictv.global/taxonomy/taxondetails?taxnode_id=202200086","ictv.global=202200086")</f>
        <v>ictv.global=202200086</v>
      </c>
    </row>
    <row r="8703" spans="1:21">
      <c r="A8703">
        <v>8702</v>
      </c>
      <c r="B8703" s="29" t="s">
        <v>3223</v>
      </c>
      <c r="C8703" s="29"/>
      <c r="D8703" s="29" t="s">
        <v>4156</v>
      </c>
      <c r="E8703" s="29"/>
      <c r="F8703" s="29" t="s">
        <v>2998</v>
      </c>
      <c r="G8703" s="29" t="s">
        <v>3020</v>
      </c>
      <c r="H8703" s="29" t="s">
        <v>3021</v>
      </c>
      <c r="I8703" s="29"/>
      <c r="J8703" s="29" t="s">
        <v>2374</v>
      </c>
      <c r="K8703" s="29"/>
      <c r="L8703" s="29" t="s">
        <v>2380</v>
      </c>
      <c r="M8703" s="29"/>
      <c r="N8703" s="29" t="s">
        <v>13584</v>
      </c>
      <c r="O8703" s="29"/>
      <c r="P8703" s="29" t="s">
        <v>13585</v>
      </c>
      <c r="Q8703" t="s">
        <v>2039</v>
      </c>
      <c r="R8703" t="s">
        <v>2632</v>
      </c>
      <c r="S8703">
        <v>37</v>
      </c>
      <c r="T8703" s="43" t="str">
        <f>HYPERLINK("https://ictv.global/ictv/proposals/2021.027M.R.Peribunyaviridae_3ngen_3nsp.zip","2021.027M.R.Peribunyaviridae_3ngen_3nsp.zip")</f>
        <v>2021.027M.R.Peribunyaviridae_3ngen_3nsp.zip</v>
      </c>
      <c r="U8703" s="43" t="str">
        <f>HYPERLINK("https://ictv.global/taxonomy/taxondetails?taxnode_id=202212232","ictv.global=202212232")</f>
        <v>ictv.global=202212232</v>
      </c>
    </row>
    <row r="8704" spans="1:21">
      <c r="A8704">
        <v>8703</v>
      </c>
      <c r="B8704" s="29" t="s">
        <v>3223</v>
      </c>
      <c r="C8704" s="29"/>
      <c r="D8704" s="29" t="s">
        <v>4156</v>
      </c>
      <c r="E8704" s="29"/>
      <c r="F8704" s="29" t="s">
        <v>2998</v>
      </c>
      <c r="G8704" s="29" t="s">
        <v>3020</v>
      </c>
      <c r="H8704" s="29" t="s">
        <v>3021</v>
      </c>
      <c r="I8704" s="29"/>
      <c r="J8704" s="29" t="s">
        <v>2374</v>
      </c>
      <c r="K8704" s="29"/>
      <c r="L8704" s="29" t="s">
        <v>2380</v>
      </c>
      <c r="M8704" s="29"/>
      <c r="N8704" s="29" t="s">
        <v>13586</v>
      </c>
      <c r="O8704" s="29"/>
      <c r="P8704" s="29" t="s">
        <v>13587</v>
      </c>
      <c r="Q8704" t="s">
        <v>2039</v>
      </c>
      <c r="R8704" t="s">
        <v>2632</v>
      </c>
      <c r="S8704">
        <v>37</v>
      </c>
      <c r="T8704" s="43" t="str">
        <f>HYPERLINK("https://ictv.global/ictv/proposals/2021.027M.R.Peribunyaviridae_3ngen_3nsp.zip","2021.027M.R.Peribunyaviridae_3ngen_3nsp.zip")</f>
        <v>2021.027M.R.Peribunyaviridae_3ngen_3nsp.zip</v>
      </c>
      <c r="U8704" s="43" t="str">
        <f>HYPERLINK("https://ictv.global/taxonomy/taxondetails?taxnode_id=202212234","ictv.global=202212234")</f>
        <v>ictv.global=202212234</v>
      </c>
    </row>
    <row r="8705" spans="1:21">
      <c r="A8705">
        <v>8704</v>
      </c>
      <c r="B8705" s="29" t="s">
        <v>3223</v>
      </c>
      <c r="C8705" s="29"/>
      <c r="D8705" s="29" t="s">
        <v>4156</v>
      </c>
      <c r="E8705" s="29"/>
      <c r="F8705" s="29" t="s">
        <v>2998</v>
      </c>
      <c r="G8705" s="29" t="s">
        <v>3020</v>
      </c>
      <c r="H8705" s="29" t="s">
        <v>3021</v>
      </c>
      <c r="I8705" s="29"/>
      <c r="J8705" s="29" t="s">
        <v>2374</v>
      </c>
      <c r="K8705" s="29"/>
      <c r="L8705" s="29" t="s">
        <v>2380</v>
      </c>
      <c r="M8705" s="29"/>
      <c r="N8705" s="29" t="s">
        <v>13588</v>
      </c>
      <c r="O8705" s="29"/>
      <c r="P8705" s="29" t="s">
        <v>13589</v>
      </c>
      <c r="Q8705" t="s">
        <v>2039</v>
      </c>
      <c r="R8705" t="s">
        <v>2632</v>
      </c>
      <c r="S8705">
        <v>37</v>
      </c>
      <c r="T8705" s="43" t="str">
        <f>HYPERLINK("https://ictv.global/ictv/proposals/2021.027M.R.Peribunyaviridae_3ngen_3nsp.zip","2021.027M.R.Peribunyaviridae_3ngen_3nsp.zip")</f>
        <v>2021.027M.R.Peribunyaviridae_3ngen_3nsp.zip</v>
      </c>
      <c r="U8705" s="43" t="str">
        <f>HYPERLINK("https://ictv.global/taxonomy/taxondetails?taxnode_id=202212236","ictv.global=202212236")</f>
        <v>ictv.global=202212236</v>
      </c>
    </row>
    <row r="8706" spans="1:21">
      <c r="A8706">
        <v>8705</v>
      </c>
      <c r="B8706" s="29" t="s">
        <v>3223</v>
      </c>
      <c r="C8706" s="29"/>
      <c r="D8706" s="29" t="s">
        <v>4156</v>
      </c>
      <c r="E8706" s="29"/>
      <c r="F8706" s="29" t="s">
        <v>2998</v>
      </c>
      <c r="G8706" s="29" t="s">
        <v>3020</v>
      </c>
      <c r="H8706" s="29" t="s">
        <v>3021</v>
      </c>
      <c r="I8706" s="29"/>
      <c r="J8706" s="29" t="s">
        <v>2374</v>
      </c>
      <c r="K8706" s="29"/>
      <c r="L8706" s="29" t="s">
        <v>2380</v>
      </c>
      <c r="M8706" s="29"/>
      <c r="N8706" s="29" t="s">
        <v>1446</v>
      </c>
      <c r="O8706" s="29"/>
      <c r="P8706" s="29" t="s">
        <v>13590</v>
      </c>
      <c r="Q8706" t="s">
        <v>2039</v>
      </c>
      <c r="R8706" t="s">
        <v>2635</v>
      </c>
      <c r="S8706">
        <v>38</v>
      </c>
      <c r="T8706" s="43" t="str">
        <f t="shared" ref="T8706:T8715" si="376">HYPERLINK("https://ictv.global/ictv/proposals/2021.028M.Peribunyaviridae_sprename.zip","2021.028M.Peribunyaviridae_sprename.zip")</f>
        <v>2021.028M.Peribunyaviridae_sprename.zip</v>
      </c>
      <c r="U8706" s="43" t="str">
        <f>HYPERLINK("https://ictv.global/taxonomy/taxondetails?taxnode_id=202209315","ictv.global=202209315")</f>
        <v>ictv.global=202209315</v>
      </c>
    </row>
    <row r="8707" spans="1:21">
      <c r="A8707">
        <v>8706</v>
      </c>
      <c r="B8707" s="29" t="s">
        <v>3223</v>
      </c>
      <c r="C8707" s="29"/>
      <c r="D8707" s="29" t="s">
        <v>4156</v>
      </c>
      <c r="E8707" s="29"/>
      <c r="F8707" s="29" t="s">
        <v>2998</v>
      </c>
      <c r="G8707" s="29" t="s">
        <v>3020</v>
      </c>
      <c r="H8707" s="29" t="s">
        <v>3021</v>
      </c>
      <c r="I8707" s="29"/>
      <c r="J8707" s="29" t="s">
        <v>2374</v>
      </c>
      <c r="K8707" s="29"/>
      <c r="L8707" s="29" t="s">
        <v>2380</v>
      </c>
      <c r="M8707" s="29"/>
      <c r="N8707" s="29" t="s">
        <v>1446</v>
      </c>
      <c r="O8707" s="29"/>
      <c r="P8707" s="29" t="s">
        <v>13591</v>
      </c>
      <c r="Q8707" t="s">
        <v>2039</v>
      </c>
      <c r="R8707" t="s">
        <v>2635</v>
      </c>
      <c r="S8707">
        <v>38</v>
      </c>
      <c r="T8707" s="43" t="str">
        <f t="shared" si="376"/>
        <v>2021.028M.Peribunyaviridae_sprename.zip</v>
      </c>
      <c r="U8707" s="43" t="str">
        <f>HYPERLINK("https://ictv.global/taxonomy/taxondetails?taxnode_id=202200089","ictv.global=202200089")</f>
        <v>ictv.global=202200089</v>
      </c>
    </row>
    <row r="8708" spans="1:21">
      <c r="A8708">
        <v>8707</v>
      </c>
      <c r="B8708" s="29" t="s">
        <v>3223</v>
      </c>
      <c r="C8708" s="29"/>
      <c r="D8708" s="29" t="s">
        <v>4156</v>
      </c>
      <c r="E8708" s="29"/>
      <c r="F8708" s="29" t="s">
        <v>2998</v>
      </c>
      <c r="G8708" s="29" t="s">
        <v>3020</v>
      </c>
      <c r="H8708" s="29" t="s">
        <v>3021</v>
      </c>
      <c r="I8708" s="29"/>
      <c r="J8708" s="29" t="s">
        <v>2374</v>
      </c>
      <c r="K8708" s="29"/>
      <c r="L8708" s="29" t="s">
        <v>2380</v>
      </c>
      <c r="M8708" s="29"/>
      <c r="N8708" s="29" t="s">
        <v>1446</v>
      </c>
      <c r="O8708" s="29"/>
      <c r="P8708" s="29" t="s">
        <v>13592</v>
      </c>
      <c r="Q8708" t="s">
        <v>2039</v>
      </c>
      <c r="R8708" t="s">
        <v>2635</v>
      </c>
      <c r="S8708">
        <v>38</v>
      </c>
      <c r="T8708" s="43" t="str">
        <f t="shared" si="376"/>
        <v>2021.028M.Peribunyaviridae_sprename.zip</v>
      </c>
      <c r="U8708" s="43" t="str">
        <f>HYPERLINK("https://ictv.global/taxonomy/taxondetails?taxnode_id=202206373","ictv.global=202206373")</f>
        <v>ictv.global=202206373</v>
      </c>
    </row>
    <row r="8709" spans="1:21">
      <c r="A8709">
        <v>8708</v>
      </c>
      <c r="B8709" s="29" t="s">
        <v>3223</v>
      </c>
      <c r="C8709" s="29"/>
      <c r="D8709" s="29" t="s">
        <v>4156</v>
      </c>
      <c r="E8709" s="29"/>
      <c r="F8709" s="29" t="s">
        <v>2998</v>
      </c>
      <c r="G8709" s="29" t="s">
        <v>3020</v>
      </c>
      <c r="H8709" s="29" t="s">
        <v>3021</v>
      </c>
      <c r="I8709" s="29"/>
      <c r="J8709" s="29" t="s">
        <v>2374</v>
      </c>
      <c r="K8709" s="29"/>
      <c r="L8709" s="29" t="s">
        <v>2380</v>
      </c>
      <c r="M8709" s="29"/>
      <c r="N8709" s="29" t="s">
        <v>1446</v>
      </c>
      <c r="O8709" s="29"/>
      <c r="P8709" s="29" t="s">
        <v>13593</v>
      </c>
      <c r="Q8709" t="s">
        <v>2039</v>
      </c>
      <c r="R8709" t="s">
        <v>2635</v>
      </c>
      <c r="S8709">
        <v>38</v>
      </c>
      <c r="T8709" s="43" t="str">
        <f t="shared" si="376"/>
        <v>2021.028M.Peribunyaviridae_sprename.zip</v>
      </c>
      <c r="U8709" s="43" t="str">
        <f>HYPERLINK("https://ictv.global/taxonomy/taxondetails?taxnode_id=202206382","ictv.global=202206382")</f>
        <v>ictv.global=202206382</v>
      </c>
    </row>
    <row r="8710" spans="1:21">
      <c r="A8710">
        <v>8709</v>
      </c>
      <c r="B8710" s="29" t="s">
        <v>3223</v>
      </c>
      <c r="C8710" s="29"/>
      <c r="D8710" s="29" t="s">
        <v>4156</v>
      </c>
      <c r="E8710" s="29"/>
      <c r="F8710" s="29" t="s">
        <v>2998</v>
      </c>
      <c r="G8710" s="29" t="s">
        <v>3020</v>
      </c>
      <c r="H8710" s="29" t="s">
        <v>3021</v>
      </c>
      <c r="I8710" s="29"/>
      <c r="J8710" s="29" t="s">
        <v>2374</v>
      </c>
      <c r="K8710" s="29"/>
      <c r="L8710" s="29" t="s">
        <v>2380</v>
      </c>
      <c r="M8710" s="29"/>
      <c r="N8710" s="29" t="s">
        <v>1446</v>
      </c>
      <c r="O8710" s="29"/>
      <c r="P8710" s="29" t="s">
        <v>13594</v>
      </c>
      <c r="Q8710" t="s">
        <v>2039</v>
      </c>
      <c r="R8710" t="s">
        <v>2635</v>
      </c>
      <c r="S8710">
        <v>38</v>
      </c>
      <c r="T8710" s="43" t="str">
        <f t="shared" si="376"/>
        <v>2021.028M.Peribunyaviridae_sprename.zip</v>
      </c>
      <c r="U8710" s="43" t="str">
        <f>HYPERLINK("https://ictv.global/taxonomy/taxondetails?taxnode_id=202200090","ictv.global=202200090")</f>
        <v>ictv.global=202200090</v>
      </c>
    </row>
    <row r="8711" spans="1:21">
      <c r="A8711">
        <v>8710</v>
      </c>
      <c r="B8711" s="29" t="s">
        <v>3223</v>
      </c>
      <c r="C8711" s="29"/>
      <c r="D8711" s="29" t="s">
        <v>4156</v>
      </c>
      <c r="E8711" s="29"/>
      <c r="F8711" s="29" t="s">
        <v>2998</v>
      </c>
      <c r="G8711" s="29" t="s">
        <v>3020</v>
      </c>
      <c r="H8711" s="29" t="s">
        <v>3021</v>
      </c>
      <c r="I8711" s="29"/>
      <c r="J8711" s="29" t="s">
        <v>2374</v>
      </c>
      <c r="K8711" s="29"/>
      <c r="L8711" s="29" t="s">
        <v>2380</v>
      </c>
      <c r="M8711" s="29"/>
      <c r="N8711" s="29" t="s">
        <v>1446</v>
      </c>
      <c r="O8711" s="29"/>
      <c r="P8711" s="29" t="s">
        <v>13595</v>
      </c>
      <c r="Q8711" t="s">
        <v>2039</v>
      </c>
      <c r="R8711" t="s">
        <v>2635</v>
      </c>
      <c r="S8711">
        <v>38</v>
      </c>
      <c r="T8711" s="43" t="str">
        <f t="shared" si="376"/>
        <v>2021.028M.Peribunyaviridae_sprename.zip</v>
      </c>
      <c r="U8711" s="43" t="str">
        <f>HYPERLINK("https://ictv.global/taxonomy/taxondetails?taxnode_id=202206354","ictv.global=202206354")</f>
        <v>ictv.global=202206354</v>
      </c>
    </row>
    <row r="8712" spans="1:21">
      <c r="A8712">
        <v>8711</v>
      </c>
      <c r="B8712" s="29" t="s">
        <v>3223</v>
      </c>
      <c r="C8712" s="29"/>
      <c r="D8712" s="29" t="s">
        <v>4156</v>
      </c>
      <c r="E8712" s="29"/>
      <c r="F8712" s="29" t="s">
        <v>2998</v>
      </c>
      <c r="G8712" s="29" t="s">
        <v>3020</v>
      </c>
      <c r="H8712" s="29" t="s">
        <v>3021</v>
      </c>
      <c r="I8712" s="29"/>
      <c r="J8712" s="29" t="s">
        <v>2374</v>
      </c>
      <c r="K8712" s="29"/>
      <c r="L8712" s="29" t="s">
        <v>2380</v>
      </c>
      <c r="M8712" s="29"/>
      <c r="N8712" s="29" t="s">
        <v>1446</v>
      </c>
      <c r="O8712" s="29"/>
      <c r="P8712" s="29" t="s">
        <v>13596</v>
      </c>
      <c r="Q8712" t="s">
        <v>2039</v>
      </c>
      <c r="R8712" t="s">
        <v>2635</v>
      </c>
      <c r="S8712">
        <v>38</v>
      </c>
      <c r="T8712" s="43" t="str">
        <f t="shared" si="376"/>
        <v>2021.028M.Peribunyaviridae_sprename.zip</v>
      </c>
      <c r="U8712" s="43" t="str">
        <f>HYPERLINK("https://ictv.global/taxonomy/taxondetails?taxnode_id=202209316","ictv.global=202209316")</f>
        <v>ictv.global=202209316</v>
      </c>
    </row>
    <row r="8713" spans="1:21">
      <c r="A8713">
        <v>8712</v>
      </c>
      <c r="B8713" s="29" t="s">
        <v>3223</v>
      </c>
      <c r="C8713" s="29"/>
      <c r="D8713" s="29" t="s">
        <v>4156</v>
      </c>
      <c r="E8713" s="29"/>
      <c r="F8713" s="29" t="s">
        <v>2998</v>
      </c>
      <c r="G8713" s="29" t="s">
        <v>3020</v>
      </c>
      <c r="H8713" s="29" t="s">
        <v>3021</v>
      </c>
      <c r="I8713" s="29"/>
      <c r="J8713" s="29" t="s">
        <v>2374</v>
      </c>
      <c r="K8713" s="29"/>
      <c r="L8713" s="29" t="s">
        <v>2380</v>
      </c>
      <c r="M8713" s="29"/>
      <c r="N8713" s="29" t="s">
        <v>1446</v>
      </c>
      <c r="O8713" s="29"/>
      <c r="P8713" s="29" t="s">
        <v>13597</v>
      </c>
      <c r="Q8713" t="s">
        <v>2039</v>
      </c>
      <c r="R8713" t="s">
        <v>2635</v>
      </c>
      <c r="S8713">
        <v>38</v>
      </c>
      <c r="T8713" s="43" t="str">
        <f t="shared" si="376"/>
        <v>2021.028M.Peribunyaviridae_sprename.zip</v>
      </c>
      <c r="U8713" s="43" t="str">
        <f>HYPERLINK("https://ictv.global/taxonomy/taxondetails?taxnode_id=202206369","ictv.global=202206369")</f>
        <v>ictv.global=202206369</v>
      </c>
    </row>
    <row r="8714" spans="1:21">
      <c r="A8714">
        <v>8713</v>
      </c>
      <c r="B8714" s="29" t="s">
        <v>3223</v>
      </c>
      <c r="C8714" s="29"/>
      <c r="D8714" s="29" t="s">
        <v>4156</v>
      </c>
      <c r="E8714" s="29"/>
      <c r="F8714" s="29" t="s">
        <v>2998</v>
      </c>
      <c r="G8714" s="29" t="s">
        <v>3020</v>
      </c>
      <c r="H8714" s="29" t="s">
        <v>3021</v>
      </c>
      <c r="I8714" s="29"/>
      <c r="J8714" s="29" t="s">
        <v>2374</v>
      </c>
      <c r="K8714" s="29"/>
      <c r="L8714" s="29" t="s">
        <v>2380</v>
      </c>
      <c r="M8714" s="29"/>
      <c r="N8714" s="29" t="s">
        <v>1446</v>
      </c>
      <c r="O8714" s="29"/>
      <c r="P8714" s="29" t="s">
        <v>13598</v>
      </c>
      <c r="Q8714" t="s">
        <v>2039</v>
      </c>
      <c r="R8714" t="s">
        <v>2635</v>
      </c>
      <c r="S8714">
        <v>38</v>
      </c>
      <c r="T8714" s="43" t="str">
        <f t="shared" si="376"/>
        <v>2021.028M.Peribunyaviridae_sprename.zip</v>
      </c>
      <c r="U8714" s="43" t="str">
        <f>HYPERLINK("https://ictv.global/taxonomy/taxondetails?taxnode_id=202206383","ictv.global=202206383")</f>
        <v>ictv.global=202206383</v>
      </c>
    </row>
    <row r="8715" spans="1:21">
      <c r="A8715">
        <v>8714</v>
      </c>
      <c r="B8715" s="29" t="s">
        <v>3223</v>
      </c>
      <c r="C8715" s="29"/>
      <c r="D8715" s="29" t="s">
        <v>4156</v>
      </c>
      <c r="E8715" s="29"/>
      <c r="F8715" s="29" t="s">
        <v>2998</v>
      </c>
      <c r="G8715" s="29" t="s">
        <v>3020</v>
      </c>
      <c r="H8715" s="29" t="s">
        <v>3021</v>
      </c>
      <c r="I8715" s="29"/>
      <c r="J8715" s="29" t="s">
        <v>2374</v>
      </c>
      <c r="K8715" s="29"/>
      <c r="L8715" s="29" t="s">
        <v>2380</v>
      </c>
      <c r="M8715" s="29"/>
      <c r="N8715" s="29" t="s">
        <v>1446</v>
      </c>
      <c r="O8715" s="29"/>
      <c r="P8715" s="29" t="s">
        <v>13599</v>
      </c>
      <c r="Q8715" t="s">
        <v>2039</v>
      </c>
      <c r="R8715" t="s">
        <v>2635</v>
      </c>
      <c r="S8715">
        <v>38</v>
      </c>
      <c r="T8715" s="43" t="str">
        <f t="shared" si="376"/>
        <v>2021.028M.Peribunyaviridae_sprename.zip</v>
      </c>
      <c r="U8715" s="43" t="str">
        <f>HYPERLINK("https://ictv.global/taxonomy/taxondetails?taxnode_id=202209317","ictv.global=202209317")</f>
        <v>ictv.global=202209317</v>
      </c>
    </row>
    <row r="8716" spans="1:21">
      <c r="A8716">
        <v>8715</v>
      </c>
      <c r="B8716" s="29" t="s">
        <v>3223</v>
      </c>
      <c r="C8716" s="29"/>
      <c r="D8716" s="29" t="s">
        <v>4156</v>
      </c>
      <c r="E8716" s="29"/>
      <c r="F8716" s="29" t="s">
        <v>2998</v>
      </c>
      <c r="G8716" s="29" t="s">
        <v>3020</v>
      </c>
      <c r="H8716" s="29" t="s">
        <v>3021</v>
      </c>
      <c r="I8716" s="29"/>
      <c r="J8716" s="29" t="s">
        <v>2374</v>
      </c>
      <c r="K8716" s="29"/>
      <c r="L8716" s="29" t="s">
        <v>2380</v>
      </c>
      <c r="M8716" s="29"/>
      <c r="N8716" s="29" t="s">
        <v>1446</v>
      </c>
      <c r="O8716" s="29"/>
      <c r="P8716" s="29" t="s">
        <v>13600</v>
      </c>
      <c r="Q8716" t="s">
        <v>2039</v>
      </c>
      <c r="R8716" t="s">
        <v>2632</v>
      </c>
      <c r="S8716">
        <v>38</v>
      </c>
      <c r="T8716" s="43" t="str">
        <f>HYPERLINK("https://ictv.global/ictv/proposals/2022.018M.Orthobunyavirus_29nsp_abolish4sp.zip","2022.018M.Orthobunyavirus_29nsp_abolish4sp.zip")</f>
        <v>2022.018M.Orthobunyavirus_29nsp_abolish4sp.zip</v>
      </c>
      <c r="U8716" s="43" t="str">
        <f>HYPERLINK("https://ictv.global/taxonomy/taxondetails?taxnode_id=202214235","ictv.global=202214235")</f>
        <v>ictv.global=202214235</v>
      </c>
    </row>
    <row r="8717" spans="1:21">
      <c r="A8717">
        <v>8716</v>
      </c>
      <c r="B8717" s="29" t="s">
        <v>3223</v>
      </c>
      <c r="C8717" s="29"/>
      <c r="D8717" s="29" t="s">
        <v>4156</v>
      </c>
      <c r="E8717" s="29"/>
      <c r="F8717" s="29" t="s">
        <v>2998</v>
      </c>
      <c r="G8717" s="29" t="s">
        <v>3020</v>
      </c>
      <c r="H8717" s="29" t="s">
        <v>3021</v>
      </c>
      <c r="I8717" s="29"/>
      <c r="J8717" s="29" t="s">
        <v>2374</v>
      </c>
      <c r="K8717" s="29"/>
      <c r="L8717" s="29" t="s">
        <v>2380</v>
      </c>
      <c r="M8717" s="29"/>
      <c r="N8717" s="29" t="s">
        <v>1446</v>
      </c>
      <c r="O8717" s="29"/>
      <c r="P8717" s="29" t="s">
        <v>13601</v>
      </c>
      <c r="Q8717" t="s">
        <v>2039</v>
      </c>
      <c r="R8717" t="s">
        <v>2635</v>
      </c>
      <c r="S8717">
        <v>38</v>
      </c>
      <c r="T8717" s="43" t="str">
        <f>HYPERLINK("https://ictv.global/ictv/proposals/2021.028M.Peribunyaviridae_sprename.zip","2021.028M.Peribunyaviridae_sprename.zip")</f>
        <v>2021.028M.Peribunyaviridae_sprename.zip</v>
      </c>
      <c r="U8717" s="43" t="str">
        <f>HYPERLINK("https://ictv.global/taxonomy/taxondetails?taxnode_id=202200094","ictv.global=202200094")</f>
        <v>ictv.global=202200094</v>
      </c>
    </row>
    <row r="8718" spans="1:21">
      <c r="A8718">
        <v>8717</v>
      </c>
      <c r="B8718" s="29" t="s">
        <v>3223</v>
      </c>
      <c r="C8718" s="29"/>
      <c r="D8718" s="29" t="s">
        <v>4156</v>
      </c>
      <c r="E8718" s="29"/>
      <c r="F8718" s="29" t="s">
        <v>2998</v>
      </c>
      <c r="G8718" s="29" t="s">
        <v>3020</v>
      </c>
      <c r="H8718" s="29" t="s">
        <v>3021</v>
      </c>
      <c r="I8718" s="29"/>
      <c r="J8718" s="29" t="s">
        <v>2374</v>
      </c>
      <c r="K8718" s="29"/>
      <c r="L8718" s="29" t="s">
        <v>2380</v>
      </c>
      <c r="M8718" s="29"/>
      <c r="N8718" s="29" t="s">
        <v>1446</v>
      </c>
      <c r="O8718" s="29"/>
      <c r="P8718" s="29" t="s">
        <v>13602</v>
      </c>
      <c r="Q8718" t="s">
        <v>2039</v>
      </c>
      <c r="R8718" t="s">
        <v>2632</v>
      </c>
      <c r="S8718">
        <v>38</v>
      </c>
      <c r="T8718" s="43" t="str">
        <f>HYPERLINK("https://ictv.global/ictv/proposals/2022.018M.Orthobunyavirus_29nsp_abolish4sp.zip","2022.018M.Orthobunyavirus_29nsp_abolish4sp.zip")</f>
        <v>2022.018M.Orthobunyavirus_29nsp_abolish4sp.zip</v>
      </c>
      <c r="U8718" s="43" t="str">
        <f>HYPERLINK("https://ictv.global/taxonomy/taxondetails?taxnode_id=202214236","ictv.global=202214236")</f>
        <v>ictv.global=202214236</v>
      </c>
    </row>
    <row r="8719" spans="1:21">
      <c r="A8719">
        <v>8718</v>
      </c>
      <c r="B8719" s="29" t="s">
        <v>3223</v>
      </c>
      <c r="C8719" s="29"/>
      <c r="D8719" s="29" t="s">
        <v>4156</v>
      </c>
      <c r="E8719" s="29"/>
      <c r="F8719" s="29" t="s">
        <v>2998</v>
      </c>
      <c r="G8719" s="29" t="s">
        <v>3020</v>
      </c>
      <c r="H8719" s="29" t="s">
        <v>3021</v>
      </c>
      <c r="I8719" s="29"/>
      <c r="J8719" s="29" t="s">
        <v>2374</v>
      </c>
      <c r="K8719" s="29"/>
      <c r="L8719" s="29" t="s">
        <v>2380</v>
      </c>
      <c r="M8719" s="29"/>
      <c r="N8719" s="29" t="s">
        <v>1446</v>
      </c>
      <c r="O8719" s="29"/>
      <c r="P8719" s="29" t="s">
        <v>13603</v>
      </c>
      <c r="Q8719" t="s">
        <v>2039</v>
      </c>
      <c r="R8719" t="s">
        <v>2635</v>
      </c>
      <c r="S8719">
        <v>38</v>
      </c>
      <c r="T8719" s="43" t="str">
        <f>HYPERLINK("https://ictv.global/ictv/proposals/2021.028M.Peribunyaviridae_sprename.zip","2021.028M.Peribunyaviridae_sprename.zip")</f>
        <v>2021.028M.Peribunyaviridae_sprename.zip</v>
      </c>
      <c r="U8719" s="43" t="str">
        <f>HYPERLINK("https://ictv.global/taxonomy/taxondetails?taxnode_id=202206355","ictv.global=202206355")</f>
        <v>ictv.global=202206355</v>
      </c>
    </row>
    <row r="8720" spans="1:21">
      <c r="A8720">
        <v>8719</v>
      </c>
      <c r="B8720" s="29" t="s">
        <v>3223</v>
      </c>
      <c r="C8720" s="29"/>
      <c r="D8720" s="29" t="s">
        <v>4156</v>
      </c>
      <c r="E8720" s="29"/>
      <c r="F8720" s="29" t="s">
        <v>2998</v>
      </c>
      <c r="G8720" s="29" t="s">
        <v>3020</v>
      </c>
      <c r="H8720" s="29" t="s">
        <v>3021</v>
      </c>
      <c r="I8720" s="29"/>
      <c r="J8720" s="29" t="s">
        <v>2374</v>
      </c>
      <c r="K8720" s="29"/>
      <c r="L8720" s="29" t="s">
        <v>2380</v>
      </c>
      <c r="M8720" s="29"/>
      <c r="N8720" s="29" t="s">
        <v>1446</v>
      </c>
      <c r="O8720" s="29"/>
      <c r="P8720" s="29" t="s">
        <v>13604</v>
      </c>
      <c r="Q8720" t="s">
        <v>2039</v>
      </c>
      <c r="R8720" t="s">
        <v>2635</v>
      </c>
      <c r="S8720">
        <v>38</v>
      </c>
      <c r="T8720" s="43" t="str">
        <f>HYPERLINK("https://ictv.global/ictv/proposals/2021.028M.Peribunyaviridae_sprename.zip","2021.028M.Peribunyaviridae_sprename.zip")</f>
        <v>2021.028M.Peribunyaviridae_sprename.zip</v>
      </c>
      <c r="U8720" s="43" t="str">
        <f>HYPERLINK("https://ictv.global/taxonomy/taxondetails?taxnode_id=202200095","ictv.global=202200095")</f>
        <v>ictv.global=202200095</v>
      </c>
    </row>
    <row r="8721" spans="1:21">
      <c r="A8721">
        <v>8720</v>
      </c>
      <c r="B8721" s="29" t="s">
        <v>3223</v>
      </c>
      <c r="C8721" s="29"/>
      <c r="D8721" s="29" t="s">
        <v>4156</v>
      </c>
      <c r="E8721" s="29"/>
      <c r="F8721" s="29" t="s">
        <v>2998</v>
      </c>
      <c r="G8721" s="29" t="s">
        <v>3020</v>
      </c>
      <c r="H8721" s="29" t="s">
        <v>3021</v>
      </c>
      <c r="I8721" s="29"/>
      <c r="J8721" s="29" t="s">
        <v>2374</v>
      </c>
      <c r="K8721" s="29"/>
      <c r="L8721" s="29" t="s">
        <v>2380</v>
      </c>
      <c r="M8721" s="29"/>
      <c r="N8721" s="29" t="s">
        <v>1446</v>
      </c>
      <c r="O8721" s="29"/>
      <c r="P8721" s="29" t="s">
        <v>13605</v>
      </c>
      <c r="Q8721" t="s">
        <v>2039</v>
      </c>
      <c r="R8721" t="s">
        <v>2632</v>
      </c>
      <c r="S8721">
        <v>38</v>
      </c>
      <c r="T8721" s="43" t="str">
        <f>HYPERLINK("https://ictv.global/ictv/proposals/2022.018M.Orthobunyavirus_29nsp_abolish4sp.zip","2022.018M.Orthobunyavirus_29nsp_abolish4sp.zip")</f>
        <v>2022.018M.Orthobunyavirus_29nsp_abolish4sp.zip</v>
      </c>
      <c r="U8721" s="43" t="str">
        <f>HYPERLINK("https://ictv.global/taxonomy/taxondetails?taxnode_id=202214237","ictv.global=202214237")</f>
        <v>ictv.global=202214237</v>
      </c>
    </row>
    <row r="8722" spans="1:21">
      <c r="A8722">
        <v>8721</v>
      </c>
      <c r="B8722" s="29" t="s">
        <v>3223</v>
      </c>
      <c r="C8722" s="29"/>
      <c r="D8722" s="29" t="s">
        <v>4156</v>
      </c>
      <c r="E8722" s="29"/>
      <c r="F8722" s="29" t="s">
        <v>2998</v>
      </c>
      <c r="G8722" s="29" t="s">
        <v>3020</v>
      </c>
      <c r="H8722" s="29" t="s">
        <v>3021</v>
      </c>
      <c r="I8722" s="29"/>
      <c r="J8722" s="29" t="s">
        <v>2374</v>
      </c>
      <c r="K8722" s="29"/>
      <c r="L8722" s="29" t="s">
        <v>2380</v>
      </c>
      <c r="M8722" s="29"/>
      <c r="N8722" s="29" t="s">
        <v>1446</v>
      </c>
      <c r="O8722" s="29"/>
      <c r="P8722" s="29" t="s">
        <v>13606</v>
      </c>
      <c r="Q8722" t="s">
        <v>2039</v>
      </c>
      <c r="R8722" t="s">
        <v>2635</v>
      </c>
      <c r="S8722">
        <v>38</v>
      </c>
      <c r="T8722" s="43" t="str">
        <f>HYPERLINK("https://ictv.global/ictv/proposals/2021.028M.Peribunyaviridae_sprename.zip","2021.028M.Peribunyaviridae_sprename.zip")</f>
        <v>2021.028M.Peribunyaviridae_sprename.zip</v>
      </c>
      <c r="U8722" s="43" t="str">
        <f>HYPERLINK("https://ictv.global/taxonomy/taxondetails?taxnode_id=202206596","ictv.global=202206596")</f>
        <v>ictv.global=202206596</v>
      </c>
    </row>
    <row r="8723" spans="1:21">
      <c r="A8723">
        <v>8722</v>
      </c>
      <c r="B8723" s="29" t="s">
        <v>3223</v>
      </c>
      <c r="C8723" s="29"/>
      <c r="D8723" s="29" t="s">
        <v>4156</v>
      </c>
      <c r="E8723" s="29"/>
      <c r="F8723" s="29" t="s">
        <v>2998</v>
      </c>
      <c r="G8723" s="29" t="s">
        <v>3020</v>
      </c>
      <c r="H8723" s="29" t="s">
        <v>3021</v>
      </c>
      <c r="I8723" s="29"/>
      <c r="J8723" s="29" t="s">
        <v>2374</v>
      </c>
      <c r="K8723" s="29"/>
      <c r="L8723" s="29" t="s">
        <v>2380</v>
      </c>
      <c r="M8723" s="29"/>
      <c r="N8723" s="29" t="s">
        <v>1446</v>
      </c>
      <c r="O8723" s="29"/>
      <c r="P8723" s="29" t="s">
        <v>13607</v>
      </c>
      <c r="Q8723" t="s">
        <v>2039</v>
      </c>
      <c r="R8723" t="s">
        <v>2632</v>
      </c>
      <c r="S8723">
        <v>38</v>
      </c>
      <c r="T8723" s="43" t="str">
        <f>HYPERLINK("https://ictv.global/ictv/proposals/2022.018M.Orthobunyavirus_29nsp_abolish4sp.zip","2022.018M.Orthobunyavirus_29nsp_abolish4sp.zip")</f>
        <v>2022.018M.Orthobunyavirus_29nsp_abolish4sp.zip</v>
      </c>
      <c r="U8723" s="43" t="str">
        <f>HYPERLINK("https://ictv.global/taxonomy/taxondetails?taxnode_id=202214229","ictv.global=202214229")</f>
        <v>ictv.global=202214229</v>
      </c>
    </row>
    <row r="8724" spans="1:21">
      <c r="A8724">
        <v>8723</v>
      </c>
      <c r="B8724" s="29" t="s">
        <v>3223</v>
      </c>
      <c r="C8724" s="29"/>
      <c r="D8724" s="29" t="s">
        <v>4156</v>
      </c>
      <c r="E8724" s="29"/>
      <c r="F8724" s="29" t="s">
        <v>2998</v>
      </c>
      <c r="G8724" s="29" t="s">
        <v>3020</v>
      </c>
      <c r="H8724" s="29" t="s">
        <v>3021</v>
      </c>
      <c r="I8724" s="29"/>
      <c r="J8724" s="29" t="s">
        <v>2374</v>
      </c>
      <c r="K8724" s="29"/>
      <c r="L8724" s="29" t="s">
        <v>2380</v>
      </c>
      <c r="M8724" s="29"/>
      <c r="N8724" s="29" t="s">
        <v>1446</v>
      </c>
      <c r="O8724" s="29"/>
      <c r="P8724" s="29" t="s">
        <v>13608</v>
      </c>
      <c r="Q8724" t="s">
        <v>2039</v>
      </c>
      <c r="R8724" t="s">
        <v>2635</v>
      </c>
      <c r="S8724">
        <v>38</v>
      </c>
      <c r="T8724" s="43" t="str">
        <f>HYPERLINK("https://ictv.global/ictv/proposals/2021.028M.Peribunyaviridae_sprename.zip","2021.028M.Peribunyaviridae_sprename.zip")</f>
        <v>2021.028M.Peribunyaviridae_sprename.zip</v>
      </c>
      <c r="U8724" s="43" t="str">
        <f>HYPERLINK("https://ictv.global/taxonomy/taxondetails?taxnode_id=202200097","ictv.global=202200097")</f>
        <v>ictv.global=202200097</v>
      </c>
    </row>
    <row r="8725" spans="1:21">
      <c r="A8725">
        <v>8724</v>
      </c>
      <c r="B8725" s="29" t="s">
        <v>3223</v>
      </c>
      <c r="C8725" s="29"/>
      <c r="D8725" s="29" t="s">
        <v>4156</v>
      </c>
      <c r="E8725" s="29"/>
      <c r="F8725" s="29" t="s">
        <v>2998</v>
      </c>
      <c r="G8725" s="29" t="s">
        <v>3020</v>
      </c>
      <c r="H8725" s="29" t="s">
        <v>3021</v>
      </c>
      <c r="I8725" s="29"/>
      <c r="J8725" s="29" t="s">
        <v>2374</v>
      </c>
      <c r="K8725" s="29"/>
      <c r="L8725" s="29" t="s">
        <v>2380</v>
      </c>
      <c r="M8725" s="29"/>
      <c r="N8725" s="29" t="s">
        <v>1446</v>
      </c>
      <c r="O8725" s="29"/>
      <c r="P8725" s="29" t="s">
        <v>13609</v>
      </c>
      <c r="Q8725" t="s">
        <v>2039</v>
      </c>
      <c r="R8725" t="s">
        <v>2635</v>
      </c>
      <c r="S8725">
        <v>38</v>
      </c>
      <c r="T8725" s="43" t="str">
        <f>HYPERLINK("https://ictv.global/ictv/proposals/2021.028M.Peribunyaviridae_sprename.zip","2021.028M.Peribunyaviridae_sprename.zip")</f>
        <v>2021.028M.Peribunyaviridae_sprename.zip</v>
      </c>
      <c r="U8725" s="43" t="str">
        <f>HYPERLINK("https://ictv.global/taxonomy/taxondetails?taxnode_id=202206356","ictv.global=202206356")</f>
        <v>ictv.global=202206356</v>
      </c>
    </row>
    <row r="8726" spans="1:21">
      <c r="A8726">
        <v>8725</v>
      </c>
      <c r="B8726" s="29" t="s">
        <v>3223</v>
      </c>
      <c r="C8726" s="29"/>
      <c r="D8726" s="29" t="s">
        <v>4156</v>
      </c>
      <c r="E8726" s="29"/>
      <c r="F8726" s="29" t="s">
        <v>2998</v>
      </c>
      <c r="G8726" s="29" t="s">
        <v>3020</v>
      </c>
      <c r="H8726" s="29" t="s">
        <v>3021</v>
      </c>
      <c r="I8726" s="29"/>
      <c r="J8726" s="29" t="s">
        <v>2374</v>
      </c>
      <c r="K8726" s="29"/>
      <c r="L8726" s="29" t="s">
        <v>2380</v>
      </c>
      <c r="M8726" s="29"/>
      <c r="N8726" s="29" t="s">
        <v>1446</v>
      </c>
      <c r="O8726" s="29"/>
      <c r="P8726" s="29" t="s">
        <v>13610</v>
      </c>
      <c r="Q8726" t="s">
        <v>2039</v>
      </c>
      <c r="R8726" t="s">
        <v>2632</v>
      </c>
      <c r="S8726">
        <v>38</v>
      </c>
      <c r="T8726" s="43" t="str">
        <f>HYPERLINK("https://ictv.global/ictv/proposals/2022.018M.Orthobunyavirus_29nsp_abolish4sp.zip","2022.018M.Orthobunyavirus_29nsp_abolish4sp.zip")</f>
        <v>2022.018M.Orthobunyavirus_29nsp_abolish4sp.zip</v>
      </c>
      <c r="U8726" s="43" t="str">
        <f>HYPERLINK("https://ictv.global/taxonomy/taxondetails?taxnode_id=202214238","ictv.global=202214238")</f>
        <v>ictv.global=202214238</v>
      </c>
    </row>
    <row r="8727" spans="1:21">
      <c r="A8727">
        <v>8726</v>
      </c>
      <c r="B8727" s="29" t="s">
        <v>3223</v>
      </c>
      <c r="C8727" s="29"/>
      <c r="D8727" s="29" t="s">
        <v>4156</v>
      </c>
      <c r="E8727" s="29"/>
      <c r="F8727" s="29" t="s">
        <v>2998</v>
      </c>
      <c r="G8727" s="29" t="s">
        <v>3020</v>
      </c>
      <c r="H8727" s="29" t="s">
        <v>3021</v>
      </c>
      <c r="I8727" s="29"/>
      <c r="J8727" s="29" t="s">
        <v>2374</v>
      </c>
      <c r="K8727" s="29"/>
      <c r="L8727" s="29" t="s">
        <v>2380</v>
      </c>
      <c r="M8727" s="29"/>
      <c r="N8727" s="29" t="s">
        <v>1446</v>
      </c>
      <c r="O8727" s="29"/>
      <c r="P8727" s="29" t="s">
        <v>13611</v>
      </c>
      <c r="Q8727" t="s">
        <v>2039</v>
      </c>
      <c r="R8727" t="s">
        <v>2632</v>
      </c>
      <c r="S8727">
        <v>38</v>
      </c>
      <c r="T8727" s="43" t="str">
        <f>HYPERLINK("https://ictv.global/ictv/proposals/2022.018M.Orthobunyavirus_29nsp_abolish4sp.zip","2022.018M.Orthobunyavirus_29nsp_abolish4sp.zip")</f>
        <v>2022.018M.Orthobunyavirus_29nsp_abolish4sp.zip</v>
      </c>
      <c r="U8727" s="43" t="str">
        <f>HYPERLINK("https://ictv.global/taxonomy/taxondetails?taxnode_id=202214250","ictv.global=202214250")</f>
        <v>ictv.global=202214250</v>
      </c>
    </row>
    <row r="8728" spans="1:21">
      <c r="A8728">
        <v>8727</v>
      </c>
      <c r="B8728" s="29" t="s">
        <v>3223</v>
      </c>
      <c r="C8728" s="29"/>
      <c r="D8728" s="29" t="s">
        <v>4156</v>
      </c>
      <c r="E8728" s="29"/>
      <c r="F8728" s="29" t="s">
        <v>2998</v>
      </c>
      <c r="G8728" s="29" t="s">
        <v>3020</v>
      </c>
      <c r="H8728" s="29" t="s">
        <v>3021</v>
      </c>
      <c r="I8728" s="29"/>
      <c r="J8728" s="29" t="s">
        <v>2374</v>
      </c>
      <c r="K8728" s="29"/>
      <c r="L8728" s="29" t="s">
        <v>2380</v>
      </c>
      <c r="M8728" s="29"/>
      <c r="N8728" s="29" t="s">
        <v>1446</v>
      </c>
      <c r="O8728" s="29"/>
      <c r="P8728" s="29" t="s">
        <v>13612</v>
      </c>
      <c r="Q8728" t="s">
        <v>2039</v>
      </c>
      <c r="R8728" t="s">
        <v>2635</v>
      </c>
      <c r="S8728">
        <v>38</v>
      </c>
      <c r="T8728" s="43" t="str">
        <f t="shared" ref="T8728:T8742" si="377">HYPERLINK("https://ictv.global/ictv/proposals/2021.028M.Peribunyaviridae_sprename.zip","2021.028M.Peribunyaviridae_sprename.zip")</f>
        <v>2021.028M.Peribunyaviridae_sprename.zip</v>
      </c>
      <c r="U8728" s="43" t="str">
        <f>HYPERLINK("https://ictv.global/taxonomy/taxondetails?taxnode_id=202200099","ictv.global=202200099")</f>
        <v>ictv.global=202200099</v>
      </c>
    </row>
    <row r="8729" spans="1:21">
      <c r="A8729">
        <v>8728</v>
      </c>
      <c r="B8729" s="29" t="s">
        <v>3223</v>
      </c>
      <c r="C8729" s="29"/>
      <c r="D8729" s="29" t="s">
        <v>4156</v>
      </c>
      <c r="E8729" s="29"/>
      <c r="F8729" s="29" t="s">
        <v>2998</v>
      </c>
      <c r="G8729" s="29" t="s">
        <v>3020</v>
      </c>
      <c r="H8729" s="29" t="s">
        <v>3021</v>
      </c>
      <c r="I8729" s="29"/>
      <c r="J8729" s="29" t="s">
        <v>2374</v>
      </c>
      <c r="K8729" s="29"/>
      <c r="L8729" s="29" t="s">
        <v>2380</v>
      </c>
      <c r="M8729" s="29"/>
      <c r="N8729" s="29" t="s">
        <v>1446</v>
      </c>
      <c r="O8729" s="29"/>
      <c r="P8729" s="29" t="s">
        <v>13613</v>
      </c>
      <c r="Q8729" t="s">
        <v>2039</v>
      </c>
      <c r="R8729" t="s">
        <v>2635</v>
      </c>
      <c r="S8729">
        <v>38</v>
      </c>
      <c r="T8729" s="43" t="str">
        <f t="shared" si="377"/>
        <v>2021.028M.Peribunyaviridae_sprename.zip</v>
      </c>
      <c r="U8729" s="43" t="str">
        <f>HYPERLINK("https://ictv.global/taxonomy/taxondetails?taxnode_id=202206357","ictv.global=202206357")</f>
        <v>ictv.global=202206357</v>
      </c>
    </row>
    <row r="8730" spans="1:21">
      <c r="A8730">
        <v>8729</v>
      </c>
      <c r="B8730" s="29" t="s">
        <v>3223</v>
      </c>
      <c r="C8730" s="29"/>
      <c r="D8730" s="29" t="s">
        <v>4156</v>
      </c>
      <c r="E8730" s="29"/>
      <c r="F8730" s="29" t="s">
        <v>2998</v>
      </c>
      <c r="G8730" s="29" t="s">
        <v>3020</v>
      </c>
      <c r="H8730" s="29" t="s">
        <v>3021</v>
      </c>
      <c r="I8730" s="29"/>
      <c r="J8730" s="29" t="s">
        <v>2374</v>
      </c>
      <c r="K8730" s="29"/>
      <c r="L8730" s="29" t="s">
        <v>2380</v>
      </c>
      <c r="M8730" s="29"/>
      <c r="N8730" s="29" t="s">
        <v>1446</v>
      </c>
      <c r="O8730" s="29"/>
      <c r="P8730" s="29" t="s">
        <v>13614</v>
      </c>
      <c r="Q8730" t="s">
        <v>2039</v>
      </c>
      <c r="R8730" t="s">
        <v>2635</v>
      </c>
      <c r="S8730">
        <v>38</v>
      </c>
      <c r="T8730" s="43" t="str">
        <f t="shared" si="377"/>
        <v>2021.028M.Peribunyaviridae_sprename.zip</v>
      </c>
      <c r="U8730" s="43" t="str">
        <f>HYPERLINK("https://ictv.global/taxonomy/taxondetails?taxnode_id=202209318","ictv.global=202209318")</f>
        <v>ictv.global=202209318</v>
      </c>
    </row>
    <row r="8731" spans="1:21">
      <c r="A8731">
        <v>8730</v>
      </c>
      <c r="B8731" s="29" t="s">
        <v>3223</v>
      </c>
      <c r="C8731" s="29"/>
      <c r="D8731" s="29" t="s">
        <v>4156</v>
      </c>
      <c r="E8731" s="29"/>
      <c r="F8731" s="29" t="s">
        <v>2998</v>
      </c>
      <c r="G8731" s="29" t="s">
        <v>3020</v>
      </c>
      <c r="H8731" s="29" t="s">
        <v>3021</v>
      </c>
      <c r="I8731" s="29"/>
      <c r="J8731" s="29" t="s">
        <v>2374</v>
      </c>
      <c r="K8731" s="29"/>
      <c r="L8731" s="29" t="s">
        <v>2380</v>
      </c>
      <c r="M8731" s="29"/>
      <c r="N8731" s="29" t="s">
        <v>1446</v>
      </c>
      <c r="O8731" s="29"/>
      <c r="P8731" s="29" t="s">
        <v>13615</v>
      </c>
      <c r="Q8731" t="s">
        <v>2039</v>
      </c>
      <c r="R8731" t="s">
        <v>2635</v>
      </c>
      <c r="S8731">
        <v>38</v>
      </c>
      <c r="T8731" s="43" t="str">
        <f t="shared" si="377"/>
        <v>2021.028M.Peribunyaviridae_sprename.zip</v>
      </c>
      <c r="U8731" s="43" t="str">
        <f>HYPERLINK("https://ictv.global/taxonomy/taxondetails?taxnode_id=202209319","ictv.global=202209319")</f>
        <v>ictv.global=202209319</v>
      </c>
    </row>
    <row r="8732" spans="1:21">
      <c r="A8732">
        <v>8731</v>
      </c>
      <c r="B8732" s="29" t="s">
        <v>3223</v>
      </c>
      <c r="C8732" s="29"/>
      <c r="D8732" s="29" t="s">
        <v>4156</v>
      </c>
      <c r="E8732" s="29"/>
      <c r="F8732" s="29" t="s">
        <v>2998</v>
      </c>
      <c r="G8732" s="29" t="s">
        <v>3020</v>
      </c>
      <c r="H8732" s="29" t="s">
        <v>3021</v>
      </c>
      <c r="I8732" s="29"/>
      <c r="J8732" s="29" t="s">
        <v>2374</v>
      </c>
      <c r="K8732" s="29"/>
      <c r="L8732" s="29" t="s">
        <v>2380</v>
      </c>
      <c r="M8732" s="29"/>
      <c r="N8732" s="29" t="s">
        <v>1446</v>
      </c>
      <c r="O8732" s="29"/>
      <c r="P8732" s="29" t="s">
        <v>13616</v>
      </c>
      <c r="Q8732" t="s">
        <v>2039</v>
      </c>
      <c r="R8732" t="s">
        <v>2635</v>
      </c>
      <c r="S8732">
        <v>38</v>
      </c>
      <c r="T8732" s="43" t="str">
        <f t="shared" si="377"/>
        <v>2021.028M.Peribunyaviridae_sprename.zip</v>
      </c>
      <c r="U8732" s="43" t="str">
        <f>HYPERLINK("https://ictv.global/taxonomy/taxondetails?taxnode_id=202209320","ictv.global=202209320")</f>
        <v>ictv.global=202209320</v>
      </c>
    </row>
    <row r="8733" spans="1:21">
      <c r="A8733">
        <v>8732</v>
      </c>
      <c r="B8733" s="29" t="s">
        <v>3223</v>
      </c>
      <c r="C8733" s="29"/>
      <c r="D8733" s="29" t="s">
        <v>4156</v>
      </c>
      <c r="E8733" s="29"/>
      <c r="F8733" s="29" t="s">
        <v>2998</v>
      </c>
      <c r="G8733" s="29" t="s">
        <v>3020</v>
      </c>
      <c r="H8733" s="29" t="s">
        <v>3021</v>
      </c>
      <c r="I8733" s="29"/>
      <c r="J8733" s="29" t="s">
        <v>2374</v>
      </c>
      <c r="K8733" s="29"/>
      <c r="L8733" s="29" t="s">
        <v>2380</v>
      </c>
      <c r="M8733" s="29"/>
      <c r="N8733" s="29" t="s">
        <v>1446</v>
      </c>
      <c r="O8733" s="29"/>
      <c r="P8733" s="29" t="s">
        <v>13617</v>
      </c>
      <c r="Q8733" t="s">
        <v>2039</v>
      </c>
      <c r="R8733" t="s">
        <v>2635</v>
      </c>
      <c r="S8733">
        <v>38</v>
      </c>
      <c r="T8733" s="43" t="str">
        <f t="shared" si="377"/>
        <v>2021.028M.Peribunyaviridae_sprename.zip</v>
      </c>
      <c r="U8733" s="43" t="str">
        <f>HYPERLINK("https://ictv.global/taxonomy/taxondetails?taxnode_id=202200100","ictv.global=202200100")</f>
        <v>ictv.global=202200100</v>
      </c>
    </row>
    <row r="8734" spans="1:21">
      <c r="A8734">
        <v>8733</v>
      </c>
      <c r="B8734" s="29" t="s">
        <v>3223</v>
      </c>
      <c r="C8734" s="29"/>
      <c r="D8734" s="29" t="s">
        <v>4156</v>
      </c>
      <c r="E8734" s="29"/>
      <c r="F8734" s="29" t="s">
        <v>2998</v>
      </c>
      <c r="G8734" s="29" t="s">
        <v>3020</v>
      </c>
      <c r="H8734" s="29" t="s">
        <v>3021</v>
      </c>
      <c r="I8734" s="29"/>
      <c r="J8734" s="29" t="s">
        <v>2374</v>
      </c>
      <c r="K8734" s="29"/>
      <c r="L8734" s="29" t="s">
        <v>2380</v>
      </c>
      <c r="M8734" s="29"/>
      <c r="N8734" s="29" t="s">
        <v>1446</v>
      </c>
      <c r="O8734" s="29"/>
      <c r="P8734" s="29" t="s">
        <v>13618</v>
      </c>
      <c r="Q8734" t="s">
        <v>2039</v>
      </c>
      <c r="R8734" t="s">
        <v>2635</v>
      </c>
      <c r="S8734">
        <v>38</v>
      </c>
      <c r="T8734" s="43" t="str">
        <f t="shared" si="377"/>
        <v>2021.028M.Peribunyaviridae_sprename.zip</v>
      </c>
      <c r="U8734" s="43" t="str">
        <f>HYPERLINK("https://ictv.global/taxonomy/taxondetails?taxnode_id=202200101","ictv.global=202200101")</f>
        <v>ictv.global=202200101</v>
      </c>
    </row>
    <row r="8735" spans="1:21">
      <c r="A8735">
        <v>8734</v>
      </c>
      <c r="B8735" s="29" t="s">
        <v>3223</v>
      </c>
      <c r="C8735" s="29"/>
      <c r="D8735" s="29" t="s">
        <v>4156</v>
      </c>
      <c r="E8735" s="29"/>
      <c r="F8735" s="29" t="s">
        <v>2998</v>
      </c>
      <c r="G8735" s="29" t="s">
        <v>3020</v>
      </c>
      <c r="H8735" s="29" t="s">
        <v>3021</v>
      </c>
      <c r="I8735" s="29"/>
      <c r="J8735" s="29" t="s">
        <v>2374</v>
      </c>
      <c r="K8735" s="29"/>
      <c r="L8735" s="29" t="s">
        <v>2380</v>
      </c>
      <c r="M8735" s="29"/>
      <c r="N8735" s="29" t="s">
        <v>1446</v>
      </c>
      <c r="O8735" s="29"/>
      <c r="P8735" s="29" t="s">
        <v>13619</v>
      </c>
      <c r="Q8735" t="s">
        <v>2039</v>
      </c>
      <c r="R8735" t="s">
        <v>2635</v>
      </c>
      <c r="S8735">
        <v>38</v>
      </c>
      <c r="T8735" s="43" t="str">
        <f t="shared" si="377"/>
        <v>2021.028M.Peribunyaviridae_sprename.zip</v>
      </c>
      <c r="U8735" s="43" t="str">
        <f>HYPERLINK("https://ictv.global/taxonomy/taxondetails?taxnode_id=202206374","ictv.global=202206374")</f>
        <v>ictv.global=202206374</v>
      </c>
    </row>
    <row r="8736" spans="1:21">
      <c r="A8736">
        <v>8735</v>
      </c>
      <c r="B8736" s="29" t="s">
        <v>3223</v>
      </c>
      <c r="C8736" s="29"/>
      <c r="D8736" s="29" t="s">
        <v>4156</v>
      </c>
      <c r="E8736" s="29"/>
      <c r="F8736" s="29" t="s">
        <v>2998</v>
      </c>
      <c r="G8736" s="29" t="s">
        <v>3020</v>
      </c>
      <c r="H8736" s="29" t="s">
        <v>3021</v>
      </c>
      <c r="I8736" s="29"/>
      <c r="J8736" s="29" t="s">
        <v>2374</v>
      </c>
      <c r="K8736" s="29"/>
      <c r="L8736" s="29" t="s">
        <v>2380</v>
      </c>
      <c r="M8736" s="29"/>
      <c r="N8736" s="29" t="s">
        <v>1446</v>
      </c>
      <c r="O8736" s="29"/>
      <c r="P8736" s="29" t="s">
        <v>13620</v>
      </c>
      <c r="Q8736" t="s">
        <v>2039</v>
      </c>
      <c r="R8736" t="s">
        <v>2635</v>
      </c>
      <c r="S8736">
        <v>38</v>
      </c>
      <c r="T8736" s="43" t="str">
        <f t="shared" si="377"/>
        <v>2021.028M.Peribunyaviridae_sprename.zip</v>
      </c>
      <c r="U8736" s="43" t="str">
        <f>HYPERLINK("https://ictv.global/taxonomy/taxondetails?taxnode_id=202200102","ictv.global=202200102")</f>
        <v>ictv.global=202200102</v>
      </c>
    </row>
    <row r="8737" spans="1:21">
      <c r="A8737">
        <v>8736</v>
      </c>
      <c r="B8737" s="29" t="s">
        <v>3223</v>
      </c>
      <c r="C8737" s="29"/>
      <c r="D8737" s="29" t="s">
        <v>4156</v>
      </c>
      <c r="E8737" s="29"/>
      <c r="F8737" s="29" t="s">
        <v>2998</v>
      </c>
      <c r="G8737" s="29" t="s">
        <v>3020</v>
      </c>
      <c r="H8737" s="29" t="s">
        <v>3021</v>
      </c>
      <c r="I8737" s="29"/>
      <c r="J8737" s="29" t="s">
        <v>2374</v>
      </c>
      <c r="K8737" s="29"/>
      <c r="L8737" s="29" t="s">
        <v>2380</v>
      </c>
      <c r="M8737" s="29"/>
      <c r="N8737" s="29" t="s">
        <v>1446</v>
      </c>
      <c r="O8737" s="29"/>
      <c r="P8737" s="29" t="s">
        <v>13621</v>
      </c>
      <c r="Q8737" t="s">
        <v>2039</v>
      </c>
      <c r="R8737" t="s">
        <v>2635</v>
      </c>
      <c r="S8737">
        <v>38</v>
      </c>
      <c r="T8737" s="43" t="str">
        <f t="shared" si="377"/>
        <v>2021.028M.Peribunyaviridae_sprename.zip</v>
      </c>
      <c r="U8737" s="43" t="str">
        <f>HYPERLINK("https://ictv.global/taxonomy/taxondetails?taxnode_id=202206358","ictv.global=202206358")</f>
        <v>ictv.global=202206358</v>
      </c>
    </row>
    <row r="8738" spans="1:21">
      <c r="A8738">
        <v>8737</v>
      </c>
      <c r="B8738" s="29" t="s">
        <v>3223</v>
      </c>
      <c r="C8738" s="29"/>
      <c r="D8738" s="29" t="s">
        <v>4156</v>
      </c>
      <c r="E8738" s="29"/>
      <c r="F8738" s="29" t="s">
        <v>2998</v>
      </c>
      <c r="G8738" s="29" t="s">
        <v>3020</v>
      </c>
      <c r="H8738" s="29" t="s">
        <v>3021</v>
      </c>
      <c r="I8738" s="29"/>
      <c r="J8738" s="29" t="s">
        <v>2374</v>
      </c>
      <c r="K8738" s="29"/>
      <c r="L8738" s="29" t="s">
        <v>2380</v>
      </c>
      <c r="M8738" s="29"/>
      <c r="N8738" s="29" t="s">
        <v>1446</v>
      </c>
      <c r="O8738" s="29"/>
      <c r="P8738" s="29" t="s">
        <v>13622</v>
      </c>
      <c r="Q8738" t="s">
        <v>2039</v>
      </c>
      <c r="R8738" t="s">
        <v>2635</v>
      </c>
      <c r="S8738">
        <v>38</v>
      </c>
      <c r="T8738" s="43" t="str">
        <f t="shared" si="377"/>
        <v>2021.028M.Peribunyaviridae_sprename.zip</v>
      </c>
      <c r="U8738" s="43" t="str">
        <f>HYPERLINK("https://ictv.global/taxonomy/taxondetails?taxnode_id=202200104","ictv.global=202200104")</f>
        <v>ictv.global=202200104</v>
      </c>
    </row>
    <row r="8739" spans="1:21">
      <c r="A8739">
        <v>8738</v>
      </c>
      <c r="B8739" s="29" t="s">
        <v>3223</v>
      </c>
      <c r="C8739" s="29"/>
      <c r="D8739" s="29" t="s">
        <v>4156</v>
      </c>
      <c r="E8739" s="29"/>
      <c r="F8739" s="29" t="s">
        <v>2998</v>
      </c>
      <c r="G8739" s="29" t="s">
        <v>3020</v>
      </c>
      <c r="H8739" s="29" t="s">
        <v>3021</v>
      </c>
      <c r="I8739" s="29"/>
      <c r="J8739" s="29" t="s">
        <v>2374</v>
      </c>
      <c r="K8739" s="29"/>
      <c r="L8739" s="29" t="s">
        <v>2380</v>
      </c>
      <c r="M8739" s="29"/>
      <c r="N8739" s="29" t="s">
        <v>1446</v>
      </c>
      <c r="O8739" s="29"/>
      <c r="P8739" s="29" t="s">
        <v>13623</v>
      </c>
      <c r="Q8739" t="s">
        <v>2039</v>
      </c>
      <c r="R8739" t="s">
        <v>2635</v>
      </c>
      <c r="S8739">
        <v>38</v>
      </c>
      <c r="T8739" s="43" t="str">
        <f t="shared" si="377"/>
        <v>2021.028M.Peribunyaviridae_sprename.zip</v>
      </c>
      <c r="U8739" s="43" t="str">
        <f>HYPERLINK("https://ictv.global/taxonomy/taxondetails?taxnode_id=202200105","ictv.global=202200105")</f>
        <v>ictv.global=202200105</v>
      </c>
    </row>
    <row r="8740" spans="1:21">
      <c r="A8740">
        <v>8739</v>
      </c>
      <c r="B8740" s="29" t="s">
        <v>3223</v>
      </c>
      <c r="C8740" s="29"/>
      <c r="D8740" s="29" t="s">
        <v>4156</v>
      </c>
      <c r="E8740" s="29"/>
      <c r="F8740" s="29" t="s">
        <v>2998</v>
      </c>
      <c r="G8740" s="29" t="s">
        <v>3020</v>
      </c>
      <c r="H8740" s="29" t="s">
        <v>3021</v>
      </c>
      <c r="I8740" s="29"/>
      <c r="J8740" s="29" t="s">
        <v>2374</v>
      </c>
      <c r="K8740" s="29"/>
      <c r="L8740" s="29" t="s">
        <v>2380</v>
      </c>
      <c r="M8740" s="29"/>
      <c r="N8740" s="29" t="s">
        <v>1446</v>
      </c>
      <c r="O8740" s="29"/>
      <c r="P8740" s="29" t="s">
        <v>13624</v>
      </c>
      <c r="Q8740" t="s">
        <v>2039</v>
      </c>
      <c r="R8740" t="s">
        <v>2635</v>
      </c>
      <c r="S8740">
        <v>38</v>
      </c>
      <c r="T8740" s="43" t="str">
        <f t="shared" si="377"/>
        <v>2021.028M.Peribunyaviridae_sprename.zip</v>
      </c>
      <c r="U8740" s="43" t="str">
        <f>HYPERLINK("https://ictv.global/taxonomy/taxondetails?taxnode_id=202206375","ictv.global=202206375")</f>
        <v>ictv.global=202206375</v>
      </c>
    </row>
    <row r="8741" spans="1:21">
      <c r="A8741">
        <v>8740</v>
      </c>
      <c r="B8741" s="29" t="s">
        <v>3223</v>
      </c>
      <c r="C8741" s="29"/>
      <c r="D8741" s="29" t="s">
        <v>4156</v>
      </c>
      <c r="E8741" s="29"/>
      <c r="F8741" s="29" t="s">
        <v>2998</v>
      </c>
      <c r="G8741" s="29" t="s">
        <v>3020</v>
      </c>
      <c r="H8741" s="29" t="s">
        <v>3021</v>
      </c>
      <c r="I8741" s="29"/>
      <c r="J8741" s="29" t="s">
        <v>2374</v>
      </c>
      <c r="K8741" s="29"/>
      <c r="L8741" s="29" t="s">
        <v>2380</v>
      </c>
      <c r="M8741" s="29"/>
      <c r="N8741" s="29" t="s">
        <v>1446</v>
      </c>
      <c r="O8741" s="29"/>
      <c r="P8741" s="29" t="s">
        <v>13625</v>
      </c>
      <c r="Q8741" t="s">
        <v>2039</v>
      </c>
      <c r="R8741" t="s">
        <v>2635</v>
      </c>
      <c r="S8741">
        <v>38</v>
      </c>
      <c r="T8741" s="43" t="str">
        <f t="shared" si="377"/>
        <v>2021.028M.Peribunyaviridae_sprename.zip</v>
      </c>
      <c r="U8741" s="43" t="str">
        <f>HYPERLINK("https://ictv.global/taxonomy/taxondetails?taxnode_id=202200106","ictv.global=202200106")</f>
        <v>ictv.global=202200106</v>
      </c>
    </row>
    <row r="8742" spans="1:21">
      <c r="A8742">
        <v>8741</v>
      </c>
      <c r="B8742" s="29" t="s">
        <v>3223</v>
      </c>
      <c r="C8742" s="29"/>
      <c r="D8742" s="29" t="s">
        <v>4156</v>
      </c>
      <c r="E8742" s="29"/>
      <c r="F8742" s="29" t="s">
        <v>2998</v>
      </c>
      <c r="G8742" s="29" t="s">
        <v>3020</v>
      </c>
      <c r="H8742" s="29" t="s">
        <v>3021</v>
      </c>
      <c r="I8742" s="29"/>
      <c r="J8742" s="29" t="s">
        <v>2374</v>
      </c>
      <c r="K8742" s="29"/>
      <c r="L8742" s="29" t="s">
        <v>2380</v>
      </c>
      <c r="M8742" s="29"/>
      <c r="N8742" s="29" t="s">
        <v>1446</v>
      </c>
      <c r="O8742" s="29"/>
      <c r="P8742" s="29" t="s">
        <v>13626</v>
      </c>
      <c r="Q8742" t="s">
        <v>2039</v>
      </c>
      <c r="R8742" t="s">
        <v>2635</v>
      </c>
      <c r="S8742">
        <v>38</v>
      </c>
      <c r="T8742" s="43" t="str">
        <f t="shared" si="377"/>
        <v>2021.028M.Peribunyaviridae_sprename.zip</v>
      </c>
      <c r="U8742" s="43" t="str">
        <f>HYPERLINK("https://ictv.global/taxonomy/taxondetails?taxnode_id=202200093","ictv.global=202200093")</f>
        <v>ictv.global=202200093</v>
      </c>
    </row>
    <row r="8743" spans="1:21">
      <c r="A8743">
        <v>8742</v>
      </c>
      <c r="B8743" s="29" t="s">
        <v>3223</v>
      </c>
      <c r="C8743" s="29"/>
      <c r="D8743" s="29" t="s">
        <v>4156</v>
      </c>
      <c r="E8743" s="29"/>
      <c r="F8743" s="29" t="s">
        <v>2998</v>
      </c>
      <c r="G8743" s="29" t="s">
        <v>3020</v>
      </c>
      <c r="H8743" s="29" t="s">
        <v>3021</v>
      </c>
      <c r="I8743" s="29"/>
      <c r="J8743" s="29" t="s">
        <v>2374</v>
      </c>
      <c r="K8743" s="29"/>
      <c r="L8743" s="29" t="s">
        <v>2380</v>
      </c>
      <c r="M8743" s="29"/>
      <c r="N8743" s="29" t="s">
        <v>1446</v>
      </c>
      <c r="O8743" s="29"/>
      <c r="P8743" s="29" t="s">
        <v>13627</v>
      </c>
      <c r="Q8743" t="s">
        <v>2039</v>
      </c>
      <c r="R8743" t="s">
        <v>2632</v>
      </c>
      <c r="S8743">
        <v>38</v>
      </c>
      <c r="T8743" s="43" t="str">
        <f>HYPERLINK("https://ictv.global/ictv/proposals/2022.017M.Orthobunyavirus_1nsp.zip","2022.017M.Orthobunyavirus_1nsp.zip")</f>
        <v>2022.017M.Orthobunyavirus_1nsp.zip</v>
      </c>
      <c r="U8743" s="43" t="str">
        <f>HYPERLINK("https://ictv.global/taxonomy/taxondetails?taxnode_id=202214221","ictv.global=202214221")</f>
        <v>ictv.global=202214221</v>
      </c>
    </row>
    <row r="8744" spans="1:21">
      <c r="A8744">
        <v>8743</v>
      </c>
      <c r="B8744" s="29" t="s">
        <v>3223</v>
      </c>
      <c r="C8744" s="29"/>
      <c r="D8744" s="29" t="s">
        <v>4156</v>
      </c>
      <c r="E8744" s="29"/>
      <c r="F8744" s="29" t="s">
        <v>2998</v>
      </c>
      <c r="G8744" s="29" t="s">
        <v>3020</v>
      </c>
      <c r="H8744" s="29" t="s">
        <v>3021</v>
      </c>
      <c r="I8744" s="29"/>
      <c r="J8744" s="29" t="s">
        <v>2374</v>
      </c>
      <c r="K8744" s="29"/>
      <c r="L8744" s="29" t="s">
        <v>2380</v>
      </c>
      <c r="M8744" s="29"/>
      <c r="N8744" s="29" t="s">
        <v>1446</v>
      </c>
      <c r="O8744" s="29"/>
      <c r="P8744" s="29" t="s">
        <v>13628</v>
      </c>
      <c r="Q8744" t="s">
        <v>2039</v>
      </c>
      <c r="R8744" t="s">
        <v>2635</v>
      </c>
      <c r="S8744">
        <v>38</v>
      </c>
      <c r="T8744" s="43" t="str">
        <f t="shared" ref="T8744:T8750" si="378">HYPERLINK("https://ictv.global/ictv/proposals/2021.028M.Peribunyaviridae_sprename.zip","2021.028M.Peribunyaviridae_sprename.zip")</f>
        <v>2021.028M.Peribunyaviridae_sprename.zip</v>
      </c>
      <c r="U8744" s="43" t="str">
        <f>HYPERLINK("https://ictv.global/taxonomy/taxondetails?taxnode_id=202200103","ictv.global=202200103")</f>
        <v>ictv.global=202200103</v>
      </c>
    </row>
    <row r="8745" spans="1:21">
      <c r="A8745">
        <v>8744</v>
      </c>
      <c r="B8745" s="29" t="s">
        <v>3223</v>
      </c>
      <c r="C8745" s="29"/>
      <c r="D8745" s="29" t="s">
        <v>4156</v>
      </c>
      <c r="E8745" s="29"/>
      <c r="F8745" s="29" t="s">
        <v>2998</v>
      </c>
      <c r="G8745" s="29" t="s">
        <v>3020</v>
      </c>
      <c r="H8745" s="29" t="s">
        <v>3021</v>
      </c>
      <c r="I8745" s="29"/>
      <c r="J8745" s="29" t="s">
        <v>2374</v>
      </c>
      <c r="K8745" s="29"/>
      <c r="L8745" s="29" t="s">
        <v>2380</v>
      </c>
      <c r="M8745" s="29"/>
      <c r="N8745" s="29" t="s">
        <v>1446</v>
      </c>
      <c r="O8745" s="29"/>
      <c r="P8745" s="29" t="s">
        <v>13629</v>
      </c>
      <c r="Q8745" t="s">
        <v>2039</v>
      </c>
      <c r="R8745" t="s">
        <v>2635</v>
      </c>
      <c r="S8745">
        <v>38</v>
      </c>
      <c r="T8745" s="43" t="str">
        <f t="shared" si="378"/>
        <v>2021.028M.Peribunyaviridae_sprename.zip</v>
      </c>
      <c r="U8745" s="43" t="str">
        <f>HYPERLINK("https://ictv.global/taxonomy/taxondetails?taxnode_id=202206597","ictv.global=202206597")</f>
        <v>ictv.global=202206597</v>
      </c>
    </row>
    <row r="8746" spans="1:21">
      <c r="A8746">
        <v>8745</v>
      </c>
      <c r="B8746" s="29" t="s">
        <v>3223</v>
      </c>
      <c r="C8746" s="29"/>
      <c r="D8746" s="29" t="s">
        <v>4156</v>
      </c>
      <c r="E8746" s="29"/>
      <c r="F8746" s="29" t="s">
        <v>2998</v>
      </c>
      <c r="G8746" s="29" t="s">
        <v>3020</v>
      </c>
      <c r="H8746" s="29" t="s">
        <v>3021</v>
      </c>
      <c r="I8746" s="29"/>
      <c r="J8746" s="29" t="s">
        <v>2374</v>
      </c>
      <c r="K8746" s="29"/>
      <c r="L8746" s="29" t="s">
        <v>2380</v>
      </c>
      <c r="M8746" s="29"/>
      <c r="N8746" s="29" t="s">
        <v>1446</v>
      </c>
      <c r="O8746" s="29"/>
      <c r="P8746" s="29" t="s">
        <v>13630</v>
      </c>
      <c r="Q8746" t="s">
        <v>2039</v>
      </c>
      <c r="R8746" t="s">
        <v>2635</v>
      </c>
      <c r="S8746">
        <v>38</v>
      </c>
      <c r="T8746" s="43" t="str">
        <f t="shared" si="378"/>
        <v>2021.028M.Peribunyaviridae_sprename.zip</v>
      </c>
      <c r="U8746" s="43" t="str">
        <f>HYPERLINK("https://ictv.global/taxonomy/taxondetails?taxnode_id=202206378","ictv.global=202206378")</f>
        <v>ictv.global=202206378</v>
      </c>
    </row>
    <row r="8747" spans="1:21">
      <c r="A8747">
        <v>8746</v>
      </c>
      <c r="B8747" s="29" t="s">
        <v>3223</v>
      </c>
      <c r="C8747" s="29"/>
      <c r="D8747" s="29" t="s">
        <v>4156</v>
      </c>
      <c r="E8747" s="29"/>
      <c r="F8747" s="29" t="s">
        <v>2998</v>
      </c>
      <c r="G8747" s="29" t="s">
        <v>3020</v>
      </c>
      <c r="H8747" s="29" t="s">
        <v>3021</v>
      </c>
      <c r="I8747" s="29"/>
      <c r="J8747" s="29" t="s">
        <v>2374</v>
      </c>
      <c r="K8747" s="29"/>
      <c r="L8747" s="29" t="s">
        <v>2380</v>
      </c>
      <c r="M8747" s="29"/>
      <c r="N8747" s="29" t="s">
        <v>1446</v>
      </c>
      <c r="O8747" s="29"/>
      <c r="P8747" s="29" t="s">
        <v>13631</v>
      </c>
      <c r="Q8747" t="s">
        <v>2039</v>
      </c>
      <c r="R8747" t="s">
        <v>2635</v>
      </c>
      <c r="S8747">
        <v>38</v>
      </c>
      <c r="T8747" s="43" t="str">
        <f t="shared" si="378"/>
        <v>2021.028M.Peribunyaviridae_sprename.zip</v>
      </c>
      <c r="U8747" s="43" t="str">
        <f>HYPERLINK("https://ictv.global/taxonomy/taxondetails?taxnode_id=202200108","ictv.global=202200108")</f>
        <v>ictv.global=202200108</v>
      </c>
    </row>
    <row r="8748" spans="1:21">
      <c r="A8748">
        <v>8747</v>
      </c>
      <c r="B8748" s="29" t="s">
        <v>3223</v>
      </c>
      <c r="C8748" s="29"/>
      <c r="D8748" s="29" t="s">
        <v>4156</v>
      </c>
      <c r="E8748" s="29"/>
      <c r="F8748" s="29" t="s">
        <v>2998</v>
      </c>
      <c r="G8748" s="29" t="s">
        <v>3020</v>
      </c>
      <c r="H8748" s="29" t="s">
        <v>3021</v>
      </c>
      <c r="I8748" s="29"/>
      <c r="J8748" s="29" t="s">
        <v>2374</v>
      </c>
      <c r="K8748" s="29"/>
      <c r="L8748" s="29" t="s">
        <v>2380</v>
      </c>
      <c r="M8748" s="29"/>
      <c r="N8748" s="29" t="s">
        <v>1446</v>
      </c>
      <c r="O8748" s="29"/>
      <c r="P8748" s="29" t="s">
        <v>13632</v>
      </c>
      <c r="Q8748" t="s">
        <v>2039</v>
      </c>
      <c r="R8748" t="s">
        <v>2635</v>
      </c>
      <c r="S8748">
        <v>38</v>
      </c>
      <c r="T8748" s="43" t="str">
        <f t="shared" si="378"/>
        <v>2021.028M.Peribunyaviridae_sprename.zip</v>
      </c>
      <c r="U8748" s="43" t="str">
        <f>HYPERLINK("https://ictv.global/taxonomy/taxondetails?taxnode_id=202209321","ictv.global=202209321")</f>
        <v>ictv.global=202209321</v>
      </c>
    </row>
    <row r="8749" spans="1:21">
      <c r="A8749">
        <v>8748</v>
      </c>
      <c r="B8749" s="29" t="s">
        <v>3223</v>
      </c>
      <c r="C8749" s="29"/>
      <c r="D8749" s="29" t="s">
        <v>4156</v>
      </c>
      <c r="E8749" s="29"/>
      <c r="F8749" s="29" t="s">
        <v>2998</v>
      </c>
      <c r="G8749" s="29" t="s">
        <v>3020</v>
      </c>
      <c r="H8749" s="29" t="s">
        <v>3021</v>
      </c>
      <c r="I8749" s="29"/>
      <c r="J8749" s="29" t="s">
        <v>2374</v>
      </c>
      <c r="K8749" s="29"/>
      <c r="L8749" s="29" t="s">
        <v>2380</v>
      </c>
      <c r="M8749" s="29"/>
      <c r="N8749" s="29" t="s">
        <v>1446</v>
      </c>
      <c r="O8749" s="29"/>
      <c r="P8749" s="29" t="s">
        <v>13633</v>
      </c>
      <c r="Q8749" t="s">
        <v>2039</v>
      </c>
      <c r="R8749" t="s">
        <v>2635</v>
      </c>
      <c r="S8749">
        <v>38</v>
      </c>
      <c r="T8749" s="43" t="str">
        <f t="shared" si="378"/>
        <v>2021.028M.Peribunyaviridae_sprename.zip</v>
      </c>
      <c r="U8749" s="43" t="str">
        <f>HYPERLINK("https://ictv.global/taxonomy/taxondetails?taxnode_id=202200109","ictv.global=202200109")</f>
        <v>ictv.global=202200109</v>
      </c>
    </row>
    <row r="8750" spans="1:21">
      <c r="A8750">
        <v>8749</v>
      </c>
      <c r="B8750" s="29" t="s">
        <v>3223</v>
      </c>
      <c r="C8750" s="29"/>
      <c r="D8750" s="29" t="s">
        <v>4156</v>
      </c>
      <c r="E8750" s="29"/>
      <c r="F8750" s="29" t="s">
        <v>2998</v>
      </c>
      <c r="G8750" s="29" t="s">
        <v>3020</v>
      </c>
      <c r="H8750" s="29" t="s">
        <v>3021</v>
      </c>
      <c r="I8750" s="29"/>
      <c r="J8750" s="29" t="s">
        <v>2374</v>
      </c>
      <c r="K8750" s="29"/>
      <c r="L8750" s="29" t="s">
        <v>2380</v>
      </c>
      <c r="M8750" s="29"/>
      <c r="N8750" s="29" t="s">
        <v>1446</v>
      </c>
      <c r="O8750" s="29"/>
      <c r="P8750" s="29" t="s">
        <v>13634</v>
      </c>
      <c r="Q8750" t="s">
        <v>2039</v>
      </c>
      <c r="R8750" t="s">
        <v>2635</v>
      </c>
      <c r="S8750">
        <v>38</v>
      </c>
      <c r="T8750" s="43" t="str">
        <f t="shared" si="378"/>
        <v>2021.028M.Peribunyaviridae_sprename.zip</v>
      </c>
      <c r="U8750" s="43" t="str">
        <f>HYPERLINK("https://ictv.global/taxonomy/taxondetails?taxnode_id=202200110","ictv.global=202200110")</f>
        <v>ictv.global=202200110</v>
      </c>
    </row>
    <row r="8751" spans="1:21">
      <c r="A8751">
        <v>8750</v>
      </c>
      <c r="B8751" s="29" t="s">
        <v>3223</v>
      </c>
      <c r="C8751" s="29"/>
      <c r="D8751" s="29" t="s">
        <v>4156</v>
      </c>
      <c r="E8751" s="29"/>
      <c r="F8751" s="29" t="s">
        <v>2998</v>
      </c>
      <c r="G8751" s="29" t="s">
        <v>3020</v>
      </c>
      <c r="H8751" s="29" t="s">
        <v>3021</v>
      </c>
      <c r="I8751" s="29"/>
      <c r="J8751" s="29" t="s">
        <v>2374</v>
      </c>
      <c r="K8751" s="29"/>
      <c r="L8751" s="29" t="s">
        <v>2380</v>
      </c>
      <c r="M8751" s="29"/>
      <c r="N8751" s="29" t="s">
        <v>1446</v>
      </c>
      <c r="O8751" s="29"/>
      <c r="P8751" s="29" t="s">
        <v>13635</v>
      </c>
      <c r="Q8751" t="s">
        <v>2039</v>
      </c>
      <c r="R8751" t="s">
        <v>2632</v>
      </c>
      <c r="S8751">
        <v>38</v>
      </c>
      <c r="T8751" s="43" t="str">
        <f>HYPERLINK("https://ictv.global/ictv/proposals/2022.018M.Orthobunyavirus_29nsp_abolish4sp.zip","2022.018M.Orthobunyavirus_29nsp_abolish4sp.zip")</f>
        <v>2022.018M.Orthobunyavirus_29nsp_abolish4sp.zip</v>
      </c>
      <c r="U8751" s="43" t="str">
        <f>HYPERLINK("https://ictv.global/taxonomy/taxondetails?taxnode_id=202214225","ictv.global=202214225")</f>
        <v>ictv.global=202214225</v>
      </c>
    </row>
    <row r="8752" spans="1:21">
      <c r="A8752">
        <v>8751</v>
      </c>
      <c r="B8752" s="29" t="s">
        <v>3223</v>
      </c>
      <c r="C8752" s="29"/>
      <c r="D8752" s="29" t="s">
        <v>4156</v>
      </c>
      <c r="E8752" s="29"/>
      <c r="F8752" s="29" t="s">
        <v>2998</v>
      </c>
      <c r="G8752" s="29" t="s">
        <v>3020</v>
      </c>
      <c r="H8752" s="29" t="s">
        <v>3021</v>
      </c>
      <c r="I8752" s="29"/>
      <c r="J8752" s="29" t="s">
        <v>2374</v>
      </c>
      <c r="K8752" s="29"/>
      <c r="L8752" s="29" t="s">
        <v>2380</v>
      </c>
      <c r="M8752" s="29"/>
      <c r="N8752" s="29" t="s">
        <v>1446</v>
      </c>
      <c r="O8752" s="29"/>
      <c r="P8752" s="29" t="s">
        <v>13636</v>
      </c>
      <c r="Q8752" t="s">
        <v>2039</v>
      </c>
      <c r="R8752" t="s">
        <v>2635</v>
      </c>
      <c r="S8752">
        <v>38</v>
      </c>
      <c r="T8752" s="43" t="str">
        <f>HYPERLINK("https://ictv.global/ictv/proposals/2021.028M.Peribunyaviridae_sprename.zip","2021.028M.Peribunyaviridae_sprename.zip")</f>
        <v>2021.028M.Peribunyaviridae_sprename.zip</v>
      </c>
      <c r="U8752" s="43" t="str">
        <f>HYPERLINK("https://ictv.global/taxonomy/taxondetails?taxnode_id=202200111","ictv.global=202200111")</f>
        <v>ictv.global=202200111</v>
      </c>
    </row>
    <row r="8753" spans="1:21">
      <c r="A8753">
        <v>8752</v>
      </c>
      <c r="B8753" s="29" t="s">
        <v>3223</v>
      </c>
      <c r="C8753" s="29"/>
      <c r="D8753" s="29" t="s">
        <v>4156</v>
      </c>
      <c r="E8753" s="29"/>
      <c r="F8753" s="29" t="s">
        <v>2998</v>
      </c>
      <c r="G8753" s="29" t="s">
        <v>3020</v>
      </c>
      <c r="H8753" s="29" t="s">
        <v>3021</v>
      </c>
      <c r="I8753" s="29"/>
      <c r="J8753" s="29" t="s">
        <v>2374</v>
      </c>
      <c r="K8753" s="29"/>
      <c r="L8753" s="29" t="s">
        <v>2380</v>
      </c>
      <c r="M8753" s="29"/>
      <c r="N8753" s="29" t="s">
        <v>1446</v>
      </c>
      <c r="O8753" s="29"/>
      <c r="P8753" s="29" t="s">
        <v>13637</v>
      </c>
      <c r="Q8753" t="s">
        <v>2039</v>
      </c>
      <c r="R8753" t="s">
        <v>2632</v>
      </c>
      <c r="S8753">
        <v>38</v>
      </c>
      <c r="T8753" s="43" t="str">
        <f>HYPERLINK("https://ictv.global/ictv/proposals/2022.018M.Orthobunyavirus_29nsp_abolish4sp.zip","2022.018M.Orthobunyavirus_29nsp_abolish4sp.zip")</f>
        <v>2022.018M.Orthobunyavirus_29nsp_abolish4sp.zip</v>
      </c>
      <c r="U8753" s="43" t="str">
        <f>HYPERLINK("https://ictv.global/taxonomy/taxondetails?taxnode_id=202214231","ictv.global=202214231")</f>
        <v>ictv.global=202214231</v>
      </c>
    </row>
    <row r="8754" spans="1:21">
      <c r="A8754">
        <v>8753</v>
      </c>
      <c r="B8754" s="29" t="s">
        <v>3223</v>
      </c>
      <c r="C8754" s="29"/>
      <c r="D8754" s="29" t="s">
        <v>4156</v>
      </c>
      <c r="E8754" s="29"/>
      <c r="F8754" s="29" t="s">
        <v>2998</v>
      </c>
      <c r="G8754" s="29" t="s">
        <v>3020</v>
      </c>
      <c r="H8754" s="29" t="s">
        <v>3021</v>
      </c>
      <c r="I8754" s="29"/>
      <c r="J8754" s="29" t="s">
        <v>2374</v>
      </c>
      <c r="K8754" s="29"/>
      <c r="L8754" s="29" t="s">
        <v>2380</v>
      </c>
      <c r="M8754" s="29"/>
      <c r="N8754" s="29" t="s">
        <v>1446</v>
      </c>
      <c r="O8754" s="29"/>
      <c r="P8754" s="29" t="s">
        <v>13638</v>
      </c>
      <c r="Q8754" t="s">
        <v>2039</v>
      </c>
      <c r="R8754" t="s">
        <v>2632</v>
      </c>
      <c r="S8754">
        <v>38</v>
      </c>
      <c r="T8754" s="43" t="str">
        <f>HYPERLINK("https://ictv.global/ictv/proposals/2022.018M.Orthobunyavirus_29nsp_abolish4sp.zip","2022.018M.Orthobunyavirus_29nsp_abolish4sp.zip")</f>
        <v>2022.018M.Orthobunyavirus_29nsp_abolish4sp.zip</v>
      </c>
      <c r="U8754" s="43" t="str">
        <f>HYPERLINK("https://ictv.global/taxonomy/taxondetails?taxnode_id=202214246","ictv.global=202214246")</f>
        <v>ictv.global=202214246</v>
      </c>
    </row>
    <row r="8755" spans="1:21">
      <c r="A8755">
        <v>8754</v>
      </c>
      <c r="B8755" s="29" t="s">
        <v>3223</v>
      </c>
      <c r="C8755" s="29"/>
      <c r="D8755" s="29" t="s">
        <v>4156</v>
      </c>
      <c r="E8755" s="29"/>
      <c r="F8755" s="29" t="s">
        <v>2998</v>
      </c>
      <c r="G8755" s="29" t="s">
        <v>3020</v>
      </c>
      <c r="H8755" s="29" t="s">
        <v>3021</v>
      </c>
      <c r="I8755" s="29"/>
      <c r="J8755" s="29" t="s">
        <v>2374</v>
      </c>
      <c r="K8755" s="29"/>
      <c r="L8755" s="29" t="s">
        <v>2380</v>
      </c>
      <c r="M8755" s="29"/>
      <c r="N8755" s="29" t="s">
        <v>1446</v>
      </c>
      <c r="O8755" s="29"/>
      <c r="P8755" s="29" t="s">
        <v>13639</v>
      </c>
      <c r="Q8755" t="s">
        <v>2039</v>
      </c>
      <c r="R8755" t="s">
        <v>2635</v>
      </c>
      <c r="S8755">
        <v>38</v>
      </c>
      <c r="T8755" s="43" t="str">
        <f>HYPERLINK("https://ictv.global/ictv/proposals/2021.028M.Peribunyaviridae_sprename.zip","2021.028M.Peribunyaviridae_sprename.zip")</f>
        <v>2021.028M.Peribunyaviridae_sprename.zip</v>
      </c>
      <c r="U8755" s="43" t="str">
        <f>HYPERLINK("https://ictv.global/taxonomy/taxondetails?taxnode_id=202200092","ictv.global=202200092")</f>
        <v>ictv.global=202200092</v>
      </c>
    </row>
    <row r="8756" spans="1:21">
      <c r="A8756">
        <v>8755</v>
      </c>
      <c r="B8756" s="29" t="s">
        <v>3223</v>
      </c>
      <c r="C8756" s="29"/>
      <c r="D8756" s="29" t="s">
        <v>4156</v>
      </c>
      <c r="E8756" s="29"/>
      <c r="F8756" s="29" t="s">
        <v>2998</v>
      </c>
      <c r="G8756" s="29" t="s">
        <v>3020</v>
      </c>
      <c r="H8756" s="29" t="s">
        <v>3021</v>
      </c>
      <c r="I8756" s="29"/>
      <c r="J8756" s="29" t="s">
        <v>2374</v>
      </c>
      <c r="K8756" s="29"/>
      <c r="L8756" s="29" t="s">
        <v>2380</v>
      </c>
      <c r="M8756" s="29"/>
      <c r="N8756" s="29" t="s">
        <v>1446</v>
      </c>
      <c r="O8756" s="29"/>
      <c r="P8756" s="29" t="s">
        <v>13640</v>
      </c>
      <c r="Q8756" t="s">
        <v>2039</v>
      </c>
      <c r="R8756" t="s">
        <v>2635</v>
      </c>
      <c r="S8756">
        <v>38</v>
      </c>
      <c r="T8756" s="43" t="str">
        <f>HYPERLINK("https://ictv.global/ictv/proposals/2021.028M.Peribunyaviridae_sprename.zip","2021.028M.Peribunyaviridae_sprename.zip")</f>
        <v>2021.028M.Peribunyaviridae_sprename.zip</v>
      </c>
      <c r="U8756" s="43" t="str">
        <f>HYPERLINK("https://ictv.global/taxonomy/taxondetails?taxnode_id=202206385","ictv.global=202206385")</f>
        <v>ictv.global=202206385</v>
      </c>
    </row>
    <row r="8757" spans="1:21">
      <c r="A8757">
        <v>8756</v>
      </c>
      <c r="B8757" s="29" t="s">
        <v>3223</v>
      </c>
      <c r="C8757" s="29"/>
      <c r="D8757" s="29" t="s">
        <v>4156</v>
      </c>
      <c r="E8757" s="29"/>
      <c r="F8757" s="29" t="s">
        <v>2998</v>
      </c>
      <c r="G8757" s="29" t="s">
        <v>3020</v>
      </c>
      <c r="H8757" s="29" t="s">
        <v>3021</v>
      </c>
      <c r="I8757" s="29"/>
      <c r="J8757" s="29" t="s">
        <v>2374</v>
      </c>
      <c r="K8757" s="29"/>
      <c r="L8757" s="29" t="s">
        <v>2380</v>
      </c>
      <c r="M8757" s="29"/>
      <c r="N8757" s="29" t="s">
        <v>1446</v>
      </c>
      <c r="O8757" s="29"/>
      <c r="P8757" s="29" t="s">
        <v>13641</v>
      </c>
      <c r="Q8757" t="s">
        <v>2039</v>
      </c>
      <c r="R8757" t="s">
        <v>2635</v>
      </c>
      <c r="S8757">
        <v>38</v>
      </c>
      <c r="T8757" s="43" t="str">
        <f>HYPERLINK("https://ictv.global/ictv/proposals/2021.028M.Peribunyaviridae_sprename.zip","2021.028M.Peribunyaviridae_sprename.zip")</f>
        <v>2021.028M.Peribunyaviridae_sprename.zip</v>
      </c>
      <c r="U8757" s="43" t="str">
        <f>HYPERLINK("https://ictv.global/taxonomy/taxondetails?taxnode_id=202206360","ictv.global=202206360")</f>
        <v>ictv.global=202206360</v>
      </c>
    </row>
    <row r="8758" spans="1:21">
      <c r="A8758">
        <v>8757</v>
      </c>
      <c r="B8758" s="29" t="s">
        <v>3223</v>
      </c>
      <c r="C8758" s="29"/>
      <c r="D8758" s="29" t="s">
        <v>4156</v>
      </c>
      <c r="E8758" s="29"/>
      <c r="F8758" s="29" t="s">
        <v>2998</v>
      </c>
      <c r="G8758" s="29" t="s">
        <v>3020</v>
      </c>
      <c r="H8758" s="29" t="s">
        <v>3021</v>
      </c>
      <c r="I8758" s="29"/>
      <c r="J8758" s="29" t="s">
        <v>2374</v>
      </c>
      <c r="K8758" s="29"/>
      <c r="L8758" s="29" t="s">
        <v>2380</v>
      </c>
      <c r="M8758" s="29"/>
      <c r="N8758" s="29" t="s">
        <v>1446</v>
      </c>
      <c r="O8758" s="29"/>
      <c r="P8758" s="29" t="s">
        <v>13642</v>
      </c>
      <c r="Q8758" t="s">
        <v>2039</v>
      </c>
      <c r="R8758" t="s">
        <v>2632</v>
      </c>
      <c r="S8758">
        <v>38</v>
      </c>
      <c r="T8758" s="43" t="str">
        <f>HYPERLINK("https://ictv.global/ictv/proposals/2022.018M.Orthobunyavirus_29nsp_abolish4sp.zip","2022.018M.Orthobunyavirus_29nsp_abolish4sp.zip")</f>
        <v>2022.018M.Orthobunyavirus_29nsp_abolish4sp.zip</v>
      </c>
      <c r="U8758" s="43" t="str">
        <f>HYPERLINK("https://ictv.global/taxonomy/taxondetails?taxnode_id=202214245","ictv.global=202214245")</f>
        <v>ictv.global=202214245</v>
      </c>
    </row>
    <row r="8759" spans="1:21">
      <c r="A8759">
        <v>8758</v>
      </c>
      <c r="B8759" s="29" t="s">
        <v>3223</v>
      </c>
      <c r="C8759" s="29"/>
      <c r="D8759" s="29" t="s">
        <v>4156</v>
      </c>
      <c r="E8759" s="29"/>
      <c r="F8759" s="29" t="s">
        <v>2998</v>
      </c>
      <c r="G8759" s="29" t="s">
        <v>3020</v>
      </c>
      <c r="H8759" s="29" t="s">
        <v>3021</v>
      </c>
      <c r="I8759" s="29"/>
      <c r="J8759" s="29" t="s">
        <v>2374</v>
      </c>
      <c r="K8759" s="29"/>
      <c r="L8759" s="29" t="s">
        <v>2380</v>
      </c>
      <c r="M8759" s="29"/>
      <c r="N8759" s="29" t="s">
        <v>1446</v>
      </c>
      <c r="O8759" s="29"/>
      <c r="P8759" s="29" t="s">
        <v>13643</v>
      </c>
      <c r="Q8759" t="s">
        <v>2039</v>
      </c>
      <c r="R8759" t="s">
        <v>2635</v>
      </c>
      <c r="S8759">
        <v>38</v>
      </c>
      <c r="T8759" s="43" t="str">
        <f>HYPERLINK("https://ictv.global/ictv/proposals/2021.028M.Peribunyaviridae_sprename.zip","2021.028M.Peribunyaviridae_sprename.zip")</f>
        <v>2021.028M.Peribunyaviridae_sprename.zip</v>
      </c>
      <c r="U8759" s="43" t="str">
        <f>HYPERLINK("https://ictv.global/taxonomy/taxondetails?taxnode_id=202206376","ictv.global=202206376")</f>
        <v>ictv.global=202206376</v>
      </c>
    </row>
    <row r="8760" spans="1:21">
      <c r="A8760">
        <v>8759</v>
      </c>
      <c r="B8760" s="29" t="s">
        <v>3223</v>
      </c>
      <c r="C8760" s="29"/>
      <c r="D8760" s="29" t="s">
        <v>4156</v>
      </c>
      <c r="E8760" s="29"/>
      <c r="F8760" s="29" t="s">
        <v>2998</v>
      </c>
      <c r="G8760" s="29" t="s">
        <v>3020</v>
      </c>
      <c r="H8760" s="29" t="s">
        <v>3021</v>
      </c>
      <c r="I8760" s="29"/>
      <c r="J8760" s="29" t="s">
        <v>2374</v>
      </c>
      <c r="K8760" s="29"/>
      <c r="L8760" s="29" t="s">
        <v>2380</v>
      </c>
      <c r="M8760" s="29"/>
      <c r="N8760" s="29" t="s">
        <v>1446</v>
      </c>
      <c r="O8760" s="29"/>
      <c r="P8760" s="29" t="s">
        <v>13644</v>
      </c>
      <c r="Q8760" t="s">
        <v>2039</v>
      </c>
      <c r="R8760" t="s">
        <v>2635</v>
      </c>
      <c r="S8760">
        <v>38</v>
      </c>
      <c r="T8760" s="43" t="str">
        <f>HYPERLINK("https://ictv.global/ictv/proposals/2021.028M.Peribunyaviridae_sprename.zip","2021.028M.Peribunyaviridae_sprename.zip")</f>
        <v>2021.028M.Peribunyaviridae_sprename.zip</v>
      </c>
      <c r="U8760" s="43" t="str">
        <f>HYPERLINK("https://ictv.global/taxonomy/taxondetails?taxnode_id=202200113","ictv.global=202200113")</f>
        <v>ictv.global=202200113</v>
      </c>
    </row>
    <row r="8761" spans="1:21">
      <c r="A8761">
        <v>8760</v>
      </c>
      <c r="B8761" s="29" t="s">
        <v>3223</v>
      </c>
      <c r="C8761" s="29"/>
      <c r="D8761" s="29" t="s">
        <v>4156</v>
      </c>
      <c r="E8761" s="29"/>
      <c r="F8761" s="29" t="s">
        <v>2998</v>
      </c>
      <c r="G8761" s="29" t="s">
        <v>3020</v>
      </c>
      <c r="H8761" s="29" t="s">
        <v>3021</v>
      </c>
      <c r="I8761" s="29"/>
      <c r="J8761" s="29" t="s">
        <v>2374</v>
      </c>
      <c r="K8761" s="29"/>
      <c r="L8761" s="29" t="s">
        <v>2380</v>
      </c>
      <c r="M8761" s="29"/>
      <c r="N8761" s="29" t="s">
        <v>1446</v>
      </c>
      <c r="O8761" s="29"/>
      <c r="P8761" s="29" t="s">
        <v>13645</v>
      </c>
      <c r="Q8761" t="s">
        <v>2039</v>
      </c>
      <c r="R8761" t="s">
        <v>2635</v>
      </c>
      <c r="S8761">
        <v>38</v>
      </c>
      <c r="T8761" s="43" t="str">
        <f>HYPERLINK("https://ictv.global/ictv/proposals/2021.028M.Peribunyaviridae_sprename.zip","2021.028M.Peribunyaviridae_sprename.zip")</f>
        <v>2021.028M.Peribunyaviridae_sprename.zip</v>
      </c>
      <c r="U8761" s="43" t="str">
        <f>HYPERLINK("https://ictv.global/taxonomy/taxondetails?taxnode_id=202206364","ictv.global=202206364")</f>
        <v>ictv.global=202206364</v>
      </c>
    </row>
    <row r="8762" spans="1:21">
      <c r="A8762">
        <v>8761</v>
      </c>
      <c r="B8762" s="29" t="s">
        <v>3223</v>
      </c>
      <c r="C8762" s="29"/>
      <c r="D8762" s="29" t="s">
        <v>4156</v>
      </c>
      <c r="E8762" s="29"/>
      <c r="F8762" s="29" t="s">
        <v>2998</v>
      </c>
      <c r="G8762" s="29" t="s">
        <v>3020</v>
      </c>
      <c r="H8762" s="29" t="s">
        <v>3021</v>
      </c>
      <c r="I8762" s="29"/>
      <c r="J8762" s="29" t="s">
        <v>2374</v>
      </c>
      <c r="K8762" s="29"/>
      <c r="L8762" s="29" t="s">
        <v>2380</v>
      </c>
      <c r="M8762" s="29"/>
      <c r="N8762" s="29" t="s">
        <v>1446</v>
      </c>
      <c r="O8762" s="29"/>
      <c r="P8762" s="29" t="s">
        <v>13646</v>
      </c>
      <c r="Q8762" t="s">
        <v>2039</v>
      </c>
      <c r="R8762" t="s">
        <v>2635</v>
      </c>
      <c r="S8762">
        <v>38</v>
      </c>
      <c r="T8762" s="43" t="str">
        <f>HYPERLINK("https://ictv.global/ictv/proposals/2021.028M.Peribunyaviridae_sprename.zip","2021.028M.Peribunyaviridae_sprename.zip")</f>
        <v>2021.028M.Peribunyaviridae_sprename.zip</v>
      </c>
      <c r="U8762" s="43" t="str">
        <f>HYPERLINK("https://ictv.global/taxonomy/taxondetails?taxnode_id=202206388","ictv.global=202206388")</f>
        <v>ictv.global=202206388</v>
      </c>
    </row>
    <row r="8763" spans="1:21">
      <c r="A8763">
        <v>8762</v>
      </c>
      <c r="B8763" s="29" t="s">
        <v>3223</v>
      </c>
      <c r="C8763" s="29"/>
      <c r="D8763" s="29" t="s">
        <v>4156</v>
      </c>
      <c r="E8763" s="29"/>
      <c r="F8763" s="29" t="s">
        <v>2998</v>
      </c>
      <c r="G8763" s="29" t="s">
        <v>3020</v>
      </c>
      <c r="H8763" s="29" t="s">
        <v>3021</v>
      </c>
      <c r="I8763" s="29"/>
      <c r="J8763" s="29" t="s">
        <v>2374</v>
      </c>
      <c r="K8763" s="29"/>
      <c r="L8763" s="29" t="s">
        <v>2380</v>
      </c>
      <c r="M8763" s="29"/>
      <c r="N8763" s="29" t="s">
        <v>1446</v>
      </c>
      <c r="O8763" s="29"/>
      <c r="P8763" s="29" t="s">
        <v>13647</v>
      </c>
      <c r="Q8763" t="s">
        <v>2039</v>
      </c>
      <c r="R8763" t="s">
        <v>2632</v>
      </c>
      <c r="S8763">
        <v>38</v>
      </c>
      <c r="T8763" s="43" t="str">
        <f>HYPERLINK("https://ictv.global/ictv/proposals/2022.018M.Orthobunyavirus_29nsp_abolish4sp.zip","2022.018M.Orthobunyavirus_29nsp_abolish4sp.zip")</f>
        <v>2022.018M.Orthobunyavirus_29nsp_abolish4sp.zip</v>
      </c>
      <c r="U8763" s="43" t="str">
        <f>HYPERLINK("https://ictv.global/taxonomy/taxondetails?taxnode_id=202214230","ictv.global=202214230")</f>
        <v>ictv.global=202214230</v>
      </c>
    </row>
    <row r="8764" spans="1:21">
      <c r="A8764">
        <v>8763</v>
      </c>
      <c r="B8764" s="29" t="s">
        <v>3223</v>
      </c>
      <c r="C8764" s="29"/>
      <c r="D8764" s="29" t="s">
        <v>4156</v>
      </c>
      <c r="E8764" s="29"/>
      <c r="F8764" s="29" t="s">
        <v>2998</v>
      </c>
      <c r="G8764" s="29" t="s">
        <v>3020</v>
      </c>
      <c r="H8764" s="29" t="s">
        <v>3021</v>
      </c>
      <c r="I8764" s="29"/>
      <c r="J8764" s="29" t="s">
        <v>2374</v>
      </c>
      <c r="K8764" s="29"/>
      <c r="L8764" s="29" t="s">
        <v>2380</v>
      </c>
      <c r="M8764" s="29"/>
      <c r="N8764" s="29" t="s">
        <v>1446</v>
      </c>
      <c r="O8764" s="29"/>
      <c r="P8764" s="29" t="s">
        <v>13648</v>
      </c>
      <c r="Q8764" t="s">
        <v>2039</v>
      </c>
      <c r="R8764" t="s">
        <v>2635</v>
      </c>
      <c r="S8764">
        <v>38</v>
      </c>
      <c r="T8764" s="43" t="str">
        <f>HYPERLINK("https://ictv.global/ictv/proposals/2021.028M.Peribunyaviridae_sprename.zip","2021.028M.Peribunyaviridae_sprename.zip")</f>
        <v>2021.028M.Peribunyaviridae_sprename.zip</v>
      </c>
      <c r="U8764" s="43" t="str">
        <f>HYPERLINK("https://ictv.global/taxonomy/taxondetails?taxnode_id=202200112","ictv.global=202200112")</f>
        <v>ictv.global=202200112</v>
      </c>
    </row>
    <row r="8765" spans="1:21">
      <c r="A8765">
        <v>8764</v>
      </c>
      <c r="B8765" s="29" t="s">
        <v>3223</v>
      </c>
      <c r="C8765" s="29"/>
      <c r="D8765" s="29" t="s">
        <v>4156</v>
      </c>
      <c r="E8765" s="29"/>
      <c r="F8765" s="29" t="s">
        <v>2998</v>
      </c>
      <c r="G8765" s="29" t="s">
        <v>3020</v>
      </c>
      <c r="H8765" s="29" t="s">
        <v>3021</v>
      </c>
      <c r="I8765" s="29"/>
      <c r="J8765" s="29" t="s">
        <v>2374</v>
      </c>
      <c r="K8765" s="29"/>
      <c r="L8765" s="29" t="s">
        <v>2380</v>
      </c>
      <c r="M8765" s="29"/>
      <c r="N8765" s="29" t="s">
        <v>1446</v>
      </c>
      <c r="O8765" s="29"/>
      <c r="P8765" s="29" t="s">
        <v>13649</v>
      </c>
      <c r="Q8765" t="s">
        <v>2039</v>
      </c>
      <c r="R8765" t="s">
        <v>2635</v>
      </c>
      <c r="S8765">
        <v>38</v>
      </c>
      <c r="T8765" s="43" t="str">
        <f>HYPERLINK("https://ictv.global/ictv/proposals/2021.028M.Peribunyaviridae_sprename.zip","2021.028M.Peribunyaviridae_sprename.zip")</f>
        <v>2021.028M.Peribunyaviridae_sprename.zip</v>
      </c>
      <c r="U8765" s="43" t="str">
        <f>HYPERLINK("https://ictv.global/taxonomy/taxondetails?taxnode_id=202200116","ictv.global=202200116")</f>
        <v>ictv.global=202200116</v>
      </c>
    </row>
    <row r="8766" spans="1:21">
      <c r="A8766">
        <v>8765</v>
      </c>
      <c r="B8766" s="29" t="s">
        <v>3223</v>
      </c>
      <c r="C8766" s="29"/>
      <c r="D8766" s="29" t="s">
        <v>4156</v>
      </c>
      <c r="E8766" s="29"/>
      <c r="F8766" s="29" t="s">
        <v>2998</v>
      </c>
      <c r="G8766" s="29" t="s">
        <v>3020</v>
      </c>
      <c r="H8766" s="29" t="s">
        <v>3021</v>
      </c>
      <c r="I8766" s="29"/>
      <c r="J8766" s="29" t="s">
        <v>2374</v>
      </c>
      <c r="K8766" s="29"/>
      <c r="L8766" s="29" t="s">
        <v>2380</v>
      </c>
      <c r="M8766" s="29"/>
      <c r="N8766" s="29" t="s">
        <v>1446</v>
      </c>
      <c r="O8766" s="29"/>
      <c r="P8766" s="29" t="s">
        <v>13650</v>
      </c>
      <c r="Q8766" t="s">
        <v>2039</v>
      </c>
      <c r="R8766" t="s">
        <v>2632</v>
      </c>
      <c r="S8766">
        <v>38</v>
      </c>
      <c r="T8766" s="43" t="str">
        <f>HYPERLINK("https://ictv.global/ictv/proposals/2022.018M.Orthobunyavirus_29nsp_abolish4sp.zip","2022.018M.Orthobunyavirus_29nsp_abolish4sp.zip")</f>
        <v>2022.018M.Orthobunyavirus_29nsp_abolish4sp.zip</v>
      </c>
      <c r="U8766" s="43" t="str">
        <f>HYPERLINK("https://ictv.global/taxonomy/taxondetails?taxnode_id=202214222","ictv.global=202214222")</f>
        <v>ictv.global=202214222</v>
      </c>
    </row>
    <row r="8767" spans="1:21">
      <c r="A8767">
        <v>8766</v>
      </c>
      <c r="B8767" s="29" t="s">
        <v>3223</v>
      </c>
      <c r="C8767" s="29"/>
      <c r="D8767" s="29" t="s">
        <v>4156</v>
      </c>
      <c r="E8767" s="29"/>
      <c r="F8767" s="29" t="s">
        <v>2998</v>
      </c>
      <c r="G8767" s="29" t="s">
        <v>3020</v>
      </c>
      <c r="H8767" s="29" t="s">
        <v>3021</v>
      </c>
      <c r="I8767" s="29"/>
      <c r="J8767" s="29" t="s">
        <v>2374</v>
      </c>
      <c r="K8767" s="29"/>
      <c r="L8767" s="29" t="s">
        <v>2380</v>
      </c>
      <c r="M8767" s="29"/>
      <c r="N8767" s="29" t="s">
        <v>1446</v>
      </c>
      <c r="O8767" s="29"/>
      <c r="P8767" s="29" t="s">
        <v>13651</v>
      </c>
      <c r="Q8767" t="s">
        <v>2039</v>
      </c>
      <c r="R8767" t="s">
        <v>2635</v>
      </c>
      <c r="S8767">
        <v>38</v>
      </c>
      <c r="T8767" s="43" t="str">
        <f>HYPERLINK("https://ictv.global/ictv/proposals/2021.028M.Peribunyaviridae_sprename.zip","2021.028M.Peribunyaviridae_sprename.zip")</f>
        <v>2021.028M.Peribunyaviridae_sprename.zip</v>
      </c>
      <c r="U8767" s="43" t="str">
        <f>HYPERLINK("https://ictv.global/taxonomy/taxondetails?taxnode_id=202206365","ictv.global=202206365")</f>
        <v>ictv.global=202206365</v>
      </c>
    </row>
    <row r="8768" spans="1:21">
      <c r="A8768">
        <v>8767</v>
      </c>
      <c r="B8768" s="29" t="s">
        <v>3223</v>
      </c>
      <c r="C8768" s="29"/>
      <c r="D8768" s="29" t="s">
        <v>4156</v>
      </c>
      <c r="E8768" s="29"/>
      <c r="F8768" s="29" t="s">
        <v>2998</v>
      </c>
      <c r="G8768" s="29" t="s">
        <v>3020</v>
      </c>
      <c r="H8768" s="29" t="s">
        <v>3021</v>
      </c>
      <c r="I8768" s="29"/>
      <c r="J8768" s="29" t="s">
        <v>2374</v>
      </c>
      <c r="K8768" s="29"/>
      <c r="L8768" s="29" t="s">
        <v>2380</v>
      </c>
      <c r="M8768" s="29"/>
      <c r="N8768" s="29" t="s">
        <v>1446</v>
      </c>
      <c r="O8768" s="29"/>
      <c r="P8768" s="29" t="s">
        <v>13652</v>
      </c>
      <c r="Q8768" t="s">
        <v>2039</v>
      </c>
      <c r="R8768" t="s">
        <v>2635</v>
      </c>
      <c r="S8768">
        <v>38</v>
      </c>
      <c r="T8768" s="43" t="str">
        <f>HYPERLINK("https://ictv.global/ictv/proposals/2021.028M.Peribunyaviridae_sprename.zip","2021.028M.Peribunyaviridae_sprename.zip")</f>
        <v>2021.028M.Peribunyaviridae_sprename.zip</v>
      </c>
      <c r="U8768" s="43" t="str">
        <f>HYPERLINK("https://ictv.global/taxonomy/taxondetails?taxnode_id=202206371","ictv.global=202206371")</f>
        <v>ictv.global=202206371</v>
      </c>
    </row>
    <row r="8769" spans="1:21">
      <c r="A8769">
        <v>8768</v>
      </c>
      <c r="B8769" s="29" t="s">
        <v>3223</v>
      </c>
      <c r="C8769" s="29"/>
      <c r="D8769" s="29" t="s">
        <v>4156</v>
      </c>
      <c r="E8769" s="29"/>
      <c r="F8769" s="29" t="s">
        <v>2998</v>
      </c>
      <c r="G8769" s="29" t="s">
        <v>3020</v>
      </c>
      <c r="H8769" s="29" t="s">
        <v>3021</v>
      </c>
      <c r="I8769" s="29"/>
      <c r="J8769" s="29" t="s">
        <v>2374</v>
      </c>
      <c r="K8769" s="29"/>
      <c r="L8769" s="29" t="s">
        <v>2380</v>
      </c>
      <c r="M8769" s="29"/>
      <c r="N8769" s="29" t="s">
        <v>1446</v>
      </c>
      <c r="O8769" s="29"/>
      <c r="P8769" s="29" t="s">
        <v>13653</v>
      </c>
      <c r="Q8769" t="s">
        <v>2039</v>
      </c>
      <c r="R8769" t="s">
        <v>2635</v>
      </c>
      <c r="S8769">
        <v>38</v>
      </c>
      <c r="T8769" s="43" t="str">
        <f>HYPERLINK("https://ictv.global/ictv/proposals/2021.028M.Peribunyaviridae_sprename.zip","2021.028M.Peribunyaviridae_sprename.zip")</f>
        <v>2021.028M.Peribunyaviridae_sprename.zip</v>
      </c>
      <c r="U8769" s="43" t="str">
        <f>HYPERLINK("https://ictv.global/taxonomy/taxondetails?taxnode_id=202200114","ictv.global=202200114")</f>
        <v>ictv.global=202200114</v>
      </c>
    </row>
    <row r="8770" spans="1:21">
      <c r="A8770">
        <v>8769</v>
      </c>
      <c r="B8770" s="29" t="s">
        <v>3223</v>
      </c>
      <c r="C8770" s="29"/>
      <c r="D8770" s="29" t="s">
        <v>4156</v>
      </c>
      <c r="E8770" s="29"/>
      <c r="F8770" s="29" t="s">
        <v>2998</v>
      </c>
      <c r="G8770" s="29" t="s">
        <v>3020</v>
      </c>
      <c r="H8770" s="29" t="s">
        <v>3021</v>
      </c>
      <c r="I8770" s="29"/>
      <c r="J8770" s="29" t="s">
        <v>2374</v>
      </c>
      <c r="K8770" s="29"/>
      <c r="L8770" s="29" t="s">
        <v>2380</v>
      </c>
      <c r="M8770" s="29"/>
      <c r="N8770" s="29" t="s">
        <v>1446</v>
      </c>
      <c r="O8770" s="29"/>
      <c r="P8770" s="29" t="s">
        <v>13654</v>
      </c>
      <c r="Q8770" t="s">
        <v>2039</v>
      </c>
      <c r="R8770" t="s">
        <v>2632</v>
      </c>
      <c r="S8770">
        <v>38</v>
      </c>
      <c r="T8770" s="43" t="str">
        <f>HYPERLINK("https://ictv.global/ictv/proposals/2022.018M.Orthobunyavirus_29nsp_abolish4sp.zip","2022.018M.Orthobunyavirus_29nsp_abolish4sp.zip")</f>
        <v>2022.018M.Orthobunyavirus_29nsp_abolish4sp.zip</v>
      </c>
      <c r="U8770" s="43" t="str">
        <f>HYPERLINK("https://ictv.global/taxonomy/taxondetails?taxnode_id=202214239","ictv.global=202214239")</f>
        <v>ictv.global=202214239</v>
      </c>
    </row>
    <row r="8771" spans="1:21">
      <c r="A8771">
        <v>8770</v>
      </c>
      <c r="B8771" s="29" t="s">
        <v>3223</v>
      </c>
      <c r="C8771" s="29"/>
      <c r="D8771" s="29" t="s">
        <v>4156</v>
      </c>
      <c r="E8771" s="29"/>
      <c r="F8771" s="29" t="s">
        <v>2998</v>
      </c>
      <c r="G8771" s="29" t="s">
        <v>3020</v>
      </c>
      <c r="H8771" s="29" t="s">
        <v>3021</v>
      </c>
      <c r="I8771" s="29"/>
      <c r="J8771" s="29" t="s">
        <v>2374</v>
      </c>
      <c r="K8771" s="29"/>
      <c r="L8771" s="29" t="s">
        <v>2380</v>
      </c>
      <c r="M8771" s="29"/>
      <c r="N8771" s="29" t="s">
        <v>1446</v>
      </c>
      <c r="O8771" s="29"/>
      <c r="P8771" s="29" t="s">
        <v>13655</v>
      </c>
      <c r="Q8771" t="s">
        <v>2039</v>
      </c>
      <c r="R8771" t="s">
        <v>2635</v>
      </c>
      <c r="S8771">
        <v>38</v>
      </c>
      <c r="T8771" s="43" t="str">
        <f>HYPERLINK("https://ictv.global/ictv/proposals/2021.028M.Peribunyaviridae_sprename.zip","2021.028M.Peribunyaviridae_sprename.zip")</f>
        <v>2021.028M.Peribunyaviridae_sprename.zip</v>
      </c>
      <c r="U8771" s="43" t="str">
        <f>HYPERLINK("https://ictv.global/taxonomy/taxondetails?taxnode_id=202206366","ictv.global=202206366")</f>
        <v>ictv.global=202206366</v>
      </c>
    </row>
    <row r="8772" spans="1:21">
      <c r="A8772">
        <v>8771</v>
      </c>
      <c r="B8772" s="29" t="s">
        <v>3223</v>
      </c>
      <c r="C8772" s="29"/>
      <c r="D8772" s="29" t="s">
        <v>4156</v>
      </c>
      <c r="E8772" s="29"/>
      <c r="F8772" s="29" t="s">
        <v>2998</v>
      </c>
      <c r="G8772" s="29" t="s">
        <v>3020</v>
      </c>
      <c r="H8772" s="29" t="s">
        <v>3021</v>
      </c>
      <c r="I8772" s="29"/>
      <c r="J8772" s="29" t="s">
        <v>2374</v>
      </c>
      <c r="K8772" s="29"/>
      <c r="L8772" s="29" t="s">
        <v>2380</v>
      </c>
      <c r="M8772" s="29"/>
      <c r="N8772" s="29" t="s">
        <v>1446</v>
      </c>
      <c r="O8772" s="29"/>
      <c r="P8772" s="29" t="s">
        <v>13656</v>
      </c>
      <c r="Q8772" t="s">
        <v>2039</v>
      </c>
      <c r="R8772" t="s">
        <v>2632</v>
      </c>
      <c r="S8772">
        <v>38</v>
      </c>
      <c r="T8772" s="43" t="str">
        <f>HYPERLINK("https://ictv.global/ictv/proposals/2022.018M.Orthobunyavirus_29nsp_abolish4sp.zip","2022.018M.Orthobunyavirus_29nsp_abolish4sp.zip")</f>
        <v>2022.018M.Orthobunyavirus_29nsp_abolish4sp.zip</v>
      </c>
      <c r="U8772" s="43" t="str">
        <f>HYPERLINK("https://ictv.global/taxonomy/taxondetails?taxnode_id=202214248","ictv.global=202214248")</f>
        <v>ictv.global=202214248</v>
      </c>
    </row>
    <row r="8773" spans="1:21">
      <c r="A8773">
        <v>8772</v>
      </c>
      <c r="B8773" s="29" t="s">
        <v>3223</v>
      </c>
      <c r="C8773" s="29"/>
      <c r="D8773" s="29" t="s">
        <v>4156</v>
      </c>
      <c r="E8773" s="29"/>
      <c r="F8773" s="29" t="s">
        <v>2998</v>
      </c>
      <c r="G8773" s="29" t="s">
        <v>3020</v>
      </c>
      <c r="H8773" s="29" t="s">
        <v>3021</v>
      </c>
      <c r="I8773" s="29"/>
      <c r="J8773" s="29" t="s">
        <v>2374</v>
      </c>
      <c r="K8773" s="29"/>
      <c r="L8773" s="29" t="s">
        <v>2380</v>
      </c>
      <c r="M8773" s="29"/>
      <c r="N8773" s="29" t="s">
        <v>1446</v>
      </c>
      <c r="O8773" s="29"/>
      <c r="P8773" s="29" t="s">
        <v>13657</v>
      </c>
      <c r="Q8773" t="s">
        <v>2039</v>
      </c>
      <c r="R8773" t="s">
        <v>2635</v>
      </c>
      <c r="S8773">
        <v>38</v>
      </c>
      <c r="T8773" s="43" t="str">
        <f>HYPERLINK("https://ictv.global/ictv/proposals/2021.028M.Peribunyaviridae_sprename.zip","2021.028M.Peribunyaviridae_sprename.zip")</f>
        <v>2021.028M.Peribunyaviridae_sprename.zip</v>
      </c>
      <c r="U8773" s="43" t="str">
        <f>HYPERLINK("https://ictv.global/taxonomy/taxondetails?taxnode_id=202206389","ictv.global=202206389")</f>
        <v>ictv.global=202206389</v>
      </c>
    </row>
    <row r="8774" spans="1:21">
      <c r="A8774">
        <v>8773</v>
      </c>
      <c r="B8774" s="29" t="s">
        <v>3223</v>
      </c>
      <c r="C8774" s="29"/>
      <c r="D8774" s="29" t="s">
        <v>4156</v>
      </c>
      <c r="E8774" s="29"/>
      <c r="F8774" s="29" t="s">
        <v>2998</v>
      </c>
      <c r="G8774" s="29" t="s">
        <v>3020</v>
      </c>
      <c r="H8774" s="29" t="s">
        <v>3021</v>
      </c>
      <c r="I8774" s="29"/>
      <c r="J8774" s="29" t="s">
        <v>2374</v>
      </c>
      <c r="K8774" s="29"/>
      <c r="L8774" s="29" t="s">
        <v>2380</v>
      </c>
      <c r="M8774" s="29"/>
      <c r="N8774" s="29" t="s">
        <v>1446</v>
      </c>
      <c r="O8774" s="29"/>
      <c r="P8774" s="29" t="s">
        <v>13658</v>
      </c>
      <c r="Q8774" t="s">
        <v>2039</v>
      </c>
      <c r="R8774" t="s">
        <v>2632</v>
      </c>
      <c r="S8774">
        <v>38</v>
      </c>
      <c r="T8774" s="43" t="str">
        <f>HYPERLINK("https://ictv.global/ictv/proposals/2022.018M.Orthobunyavirus_29nsp_abolish4sp.zip","2022.018M.Orthobunyavirus_29nsp_abolish4sp.zip")</f>
        <v>2022.018M.Orthobunyavirus_29nsp_abolish4sp.zip</v>
      </c>
      <c r="U8774" s="43" t="str">
        <f>HYPERLINK("https://ictv.global/taxonomy/taxondetails?taxnode_id=202214233","ictv.global=202214233")</f>
        <v>ictv.global=202214233</v>
      </c>
    </row>
    <row r="8775" spans="1:21">
      <c r="A8775">
        <v>8774</v>
      </c>
      <c r="B8775" s="29" t="s">
        <v>3223</v>
      </c>
      <c r="C8775" s="29"/>
      <c r="D8775" s="29" t="s">
        <v>4156</v>
      </c>
      <c r="E8775" s="29"/>
      <c r="F8775" s="29" t="s">
        <v>2998</v>
      </c>
      <c r="G8775" s="29" t="s">
        <v>3020</v>
      </c>
      <c r="H8775" s="29" t="s">
        <v>3021</v>
      </c>
      <c r="I8775" s="29"/>
      <c r="J8775" s="29" t="s">
        <v>2374</v>
      </c>
      <c r="K8775" s="29"/>
      <c r="L8775" s="29" t="s">
        <v>2380</v>
      </c>
      <c r="M8775" s="29"/>
      <c r="N8775" s="29" t="s">
        <v>1446</v>
      </c>
      <c r="O8775" s="29"/>
      <c r="P8775" s="29" t="s">
        <v>13659</v>
      </c>
      <c r="Q8775" t="s">
        <v>2039</v>
      </c>
      <c r="R8775" t="s">
        <v>2632</v>
      </c>
      <c r="S8775">
        <v>38</v>
      </c>
      <c r="T8775" s="43" t="str">
        <f>HYPERLINK("https://ictv.global/ictv/proposals/2022.018M.Orthobunyavirus_29nsp_abolish4sp.zip","2022.018M.Orthobunyavirus_29nsp_abolish4sp.zip")</f>
        <v>2022.018M.Orthobunyavirus_29nsp_abolish4sp.zip</v>
      </c>
      <c r="U8775" s="43" t="str">
        <f>HYPERLINK("https://ictv.global/taxonomy/taxondetails?taxnode_id=202214249","ictv.global=202214249")</f>
        <v>ictv.global=202214249</v>
      </c>
    </row>
    <row r="8776" spans="1:21">
      <c r="A8776">
        <v>8775</v>
      </c>
      <c r="B8776" s="29" t="s">
        <v>3223</v>
      </c>
      <c r="C8776" s="29"/>
      <c r="D8776" s="29" t="s">
        <v>4156</v>
      </c>
      <c r="E8776" s="29"/>
      <c r="F8776" s="29" t="s">
        <v>2998</v>
      </c>
      <c r="G8776" s="29" t="s">
        <v>3020</v>
      </c>
      <c r="H8776" s="29" t="s">
        <v>3021</v>
      </c>
      <c r="I8776" s="29"/>
      <c r="J8776" s="29" t="s">
        <v>2374</v>
      </c>
      <c r="K8776" s="29"/>
      <c r="L8776" s="29" t="s">
        <v>2380</v>
      </c>
      <c r="M8776" s="29"/>
      <c r="N8776" s="29" t="s">
        <v>1446</v>
      </c>
      <c r="O8776" s="29"/>
      <c r="P8776" s="29" t="s">
        <v>13660</v>
      </c>
      <c r="Q8776" t="s">
        <v>2039</v>
      </c>
      <c r="R8776" t="s">
        <v>2635</v>
      </c>
      <c r="S8776">
        <v>38</v>
      </c>
      <c r="T8776" s="43" t="str">
        <f t="shared" ref="T8776:T8787" si="379">HYPERLINK("https://ictv.global/ictv/proposals/2021.028M.Peribunyaviridae_sprename.zip","2021.028M.Peribunyaviridae_sprename.zip")</f>
        <v>2021.028M.Peribunyaviridae_sprename.zip</v>
      </c>
      <c r="U8776" s="43" t="str">
        <f>HYPERLINK("https://ictv.global/taxonomy/taxondetails?taxnode_id=202206367","ictv.global=202206367")</f>
        <v>ictv.global=202206367</v>
      </c>
    </row>
    <row r="8777" spans="1:21">
      <c r="A8777">
        <v>8776</v>
      </c>
      <c r="B8777" s="29" t="s">
        <v>3223</v>
      </c>
      <c r="C8777" s="29"/>
      <c r="D8777" s="29" t="s">
        <v>4156</v>
      </c>
      <c r="E8777" s="29"/>
      <c r="F8777" s="29" t="s">
        <v>2998</v>
      </c>
      <c r="G8777" s="29" t="s">
        <v>3020</v>
      </c>
      <c r="H8777" s="29" t="s">
        <v>3021</v>
      </c>
      <c r="I8777" s="29"/>
      <c r="J8777" s="29" t="s">
        <v>2374</v>
      </c>
      <c r="K8777" s="29"/>
      <c r="L8777" s="29" t="s">
        <v>2380</v>
      </c>
      <c r="M8777" s="29"/>
      <c r="N8777" s="29" t="s">
        <v>1446</v>
      </c>
      <c r="O8777" s="29"/>
      <c r="P8777" s="29" t="s">
        <v>13661</v>
      </c>
      <c r="Q8777" t="s">
        <v>2039</v>
      </c>
      <c r="R8777" t="s">
        <v>2635</v>
      </c>
      <c r="S8777">
        <v>38</v>
      </c>
      <c r="T8777" s="43" t="str">
        <f t="shared" si="379"/>
        <v>2021.028M.Peribunyaviridae_sprename.zip</v>
      </c>
      <c r="U8777" s="43" t="str">
        <f>HYPERLINK("https://ictv.global/taxonomy/taxondetails?taxnode_id=202206386","ictv.global=202206386")</f>
        <v>ictv.global=202206386</v>
      </c>
    </row>
    <row r="8778" spans="1:21">
      <c r="A8778">
        <v>8777</v>
      </c>
      <c r="B8778" s="29" t="s">
        <v>3223</v>
      </c>
      <c r="C8778" s="29"/>
      <c r="D8778" s="29" t="s">
        <v>4156</v>
      </c>
      <c r="E8778" s="29"/>
      <c r="F8778" s="29" t="s">
        <v>2998</v>
      </c>
      <c r="G8778" s="29" t="s">
        <v>3020</v>
      </c>
      <c r="H8778" s="29" t="s">
        <v>3021</v>
      </c>
      <c r="I8778" s="29"/>
      <c r="J8778" s="29" t="s">
        <v>2374</v>
      </c>
      <c r="K8778" s="29"/>
      <c r="L8778" s="29" t="s">
        <v>2380</v>
      </c>
      <c r="M8778" s="29"/>
      <c r="N8778" s="29" t="s">
        <v>1446</v>
      </c>
      <c r="O8778" s="29"/>
      <c r="P8778" s="29" t="s">
        <v>13662</v>
      </c>
      <c r="Q8778" t="s">
        <v>2039</v>
      </c>
      <c r="R8778" t="s">
        <v>2635</v>
      </c>
      <c r="S8778">
        <v>38</v>
      </c>
      <c r="T8778" s="43" t="str">
        <f t="shared" si="379"/>
        <v>2021.028M.Peribunyaviridae_sprename.zip</v>
      </c>
      <c r="U8778" s="43" t="str">
        <f>HYPERLINK("https://ictv.global/taxonomy/taxondetails?taxnode_id=202200115","ictv.global=202200115")</f>
        <v>ictv.global=202200115</v>
      </c>
    </row>
    <row r="8779" spans="1:21">
      <c r="A8779">
        <v>8778</v>
      </c>
      <c r="B8779" s="29" t="s">
        <v>3223</v>
      </c>
      <c r="C8779" s="29"/>
      <c r="D8779" s="29" t="s">
        <v>4156</v>
      </c>
      <c r="E8779" s="29"/>
      <c r="F8779" s="29" t="s">
        <v>2998</v>
      </c>
      <c r="G8779" s="29" t="s">
        <v>3020</v>
      </c>
      <c r="H8779" s="29" t="s">
        <v>3021</v>
      </c>
      <c r="I8779" s="29"/>
      <c r="J8779" s="29" t="s">
        <v>2374</v>
      </c>
      <c r="K8779" s="29"/>
      <c r="L8779" s="29" t="s">
        <v>2380</v>
      </c>
      <c r="M8779" s="29"/>
      <c r="N8779" s="29" t="s">
        <v>1446</v>
      </c>
      <c r="O8779" s="29"/>
      <c r="P8779" s="29" t="s">
        <v>13663</v>
      </c>
      <c r="Q8779" t="s">
        <v>2039</v>
      </c>
      <c r="R8779" t="s">
        <v>2635</v>
      </c>
      <c r="S8779">
        <v>38</v>
      </c>
      <c r="T8779" s="43" t="str">
        <f t="shared" si="379"/>
        <v>2021.028M.Peribunyaviridae_sprename.zip</v>
      </c>
      <c r="U8779" s="43" t="str">
        <f>HYPERLINK("https://ictv.global/taxonomy/taxondetails?taxnode_id=202206361","ictv.global=202206361")</f>
        <v>ictv.global=202206361</v>
      </c>
    </row>
    <row r="8780" spans="1:21">
      <c r="A8780">
        <v>8779</v>
      </c>
      <c r="B8780" s="29" t="s">
        <v>3223</v>
      </c>
      <c r="C8780" s="29"/>
      <c r="D8780" s="29" t="s">
        <v>4156</v>
      </c>
      <c r="E8780" s="29"/>
      <c r="F8780" s="29" t="s">
        <v>2998</v>
      </c>
      <c r="G8780" s="29" t="s">
        <v>3020</v>
      </c>
      <c r="H8780" s="29" t="s">
        <v>3021</v>
      </c>
      <c r="I8780" s="29"/>
      <c r="J8780" s="29" t="s">
        <v>2374</v>
      </c>
      <c r="K8780" s="29"/>
      <c r="L8780" s="29" t="s">
        <v>2380</v>
      </c>
      <c r="M8780" s="29"/>
      <c r="N8780" s="29" t="s">
        <v>1446</v>
      </c>
      <c r="O8780" s="29"/>
      <c r="P8780" s="29" t="s">
        <v>13664</v>
      </c>
      <c r="Q8780" t="s">
        <v>2039</v>
      </c>
      <c r="R8780" t="s">
        <v>2635</v>
      </c>
      <c r="S8780">
        <v>38</v>
      </c>
      <c r="T8780" s="43" t="str">
        <f t="shared" si="379"/>
        <v>2021.028M.Peribunyaviridae_sprename.zip</v>
      </c>
      <c r="U8780" s="43" t="str">
        <f>HYPERLINK("https://ictv.global/taxonomy/taxondetails?taxnode_id=202209322","ictv.global=202209322")</f>
        <v>ictv.global=202209322</v>
      </c>
    </row>
    <row r="8781" spans="1:21">
      <c r="A8781">
        <v>8780</v>
      </c>
      <c r="B8781" s="29" t="s">
        <v>3223</v>
      </c>
      <c r="C8781" s="29"/>
      <c r="D8781" s="29" t="s">
        <v>4156</v>
      </c>
      <c r="E8781" s="29"/>
      <c r="F8781" s="29" t="s">
        <v>2998</v>
      </c>
      <c r="G8781" s="29" t="s">
        <v>3020</v>
      </c>
      <c r="H8781" s="29" t="s">
        <v>3021</v>
      </c>
      <c r="I8781" s="29"/>
      <c r="J8781" s="29" t="s">
        <v>2374</v>
      </c>
      <c r="K8781" s="29"/>
      <c r="L8781" s="29" t="s">
        <v>2380</v>
      </c>
      <c r="M8781" s="29"/>
      <c r="N8781" s="29" t="s">
        <v>1446</v>
      </c>
      <c r="O8781" s="29"/>
      <c r="P8781" s="29" t="s">
        <v>13665</v>
      </c>
      <c r="Q8781" t="s">
        <v>2039</v>
      </c>
      <c r="R8781" t="s">
        <v>2635</v>
      </c>
      <c r="S8781">
        <v>38</v>
      </c>
      <c r="T8781" s="43" t="str">
        <f t="shared" si="379"/>
        <v>2021.028M.Peribunyaviridae_sprename.zip</v>
      </c>
      <c r="U8781" s="43" t="str">
        <f>HYPERLINK("https://ictv.global/taxonomy/taxondetails?taxnode_id=202200117","ictv.global=202200117")</f>
        <v>ictv.global=202200117</v>
      </c>
    </row>
    <row r="8782" spans="1:21">
      <c r="A8782">
        <v>8781</v>
      </c>
      <c r="B8782" s="29" t="s">
        <v>3223</v>
      </c>
      <c r="C8782" s="29"/>
      <c r="D8782" s="29" t="s">
        <v>4156</v>
      </c>
      <c r="E8782" s="29"/>
      <c r="F8782" s="29" t="s">
        <v>2998</v>
      </c>
      <c r="G8782" s="29" t="s">
        <v>3020</v>
      </c>
      <c r="H8782" s="29" t="s">
        <v>3021</v>
      </c>
      <c r="I8782" s="29"/>
      <c r="J8782" s="29" t="s">
        <v>2374</v>
      </c>
      <c r="K8782" s="29"/>
      <c r="L8782" s="29" t="s">
        <v>2380</v>
      </c>
      <c r="M8782" s="29"/>
      <c r="N8782" s="29" t="s">
        <v>1446</v>
      </c>
      <c r="O8782" s="29"/>
      <c r="P8782" s="29" t="s">
        <v>13666</v>
      </c>
      <c r="Q8782" t="s">
        <v>2039</v>
      </c>
      <c r="R8782" t="s">
        <v>2635</v>
      </c>
      <c r="S8782">
        <v>38</v>
      </c>
      <c r="T8782" s="43" t="str">
        <f t="shared" si="379"/>
        <v>2021.028M.Peribunyaviridae_sprename.zip</v>
      </c>
      <c r="U8782" s="43" t="str">
        <f>HYPERLINK("https://ictv.global/taxonomy/taxondetails?taxnode_id=202209324","ictv.global=202209324")</f>
        <v>ictv.global=202209324</v>
      </c>
    </row>
    <row r="8783" spans="1:21">
      <c r="A8783">
        <v>8782</v>
      </c>
      <c r="B8783" s="29" t="s">
        <v>3223</v>
      </c>
      <c r="C8783" s="29"/>
      <c r="D8783" s="29" t="s">
        <v>4156</v>
      </c>
      <c r="E8783" s="29"/>
      <c r="F8783" s="29" t="s">
        <v>2998</v>
      </c>
      <c r="G8783" s="29" t="s">
        <v>3020</v>
      </c>
      <c r="H8783" s="29" t="s">
        <v>3021</v>
      </c>
      <c r="I8783" s="29"/>
      <c r="J8783" s="29" t="s">
        <v>2374</v>
      </c>
      <c r="K8783" s="29"/>
      <c r="L8783" s="29" t="s">
        <v>2380</v>
      </c>
      <c r="M8783" s="29"/>
      <c r="N8783" s="29" t="s">
        <v>1446</v>
      </c>
      <c r="O8783" s="29"/>
      <c r="P8783" s="29" t="s">
        <v>13667</v>
      </c>
      <c r="Q8783" t="s">
        <v>2039</v>
      </c>
      <c r="R8783" t="s">
        <v>2635</v>
      </c>
      <c r="S8783">
        <v>38</v>
      </c>
      <c r="T8783" s="43" t="str">
        <f t="shared" si="379"/>
        <v>2021.028M.Peribunyaviridae_sprename.zip</v>
      </c>
      <c r="U8783" s="43" t="str">
        <f>HYPERLINK("https://ictv.global/taxonomy/taxondetails?taxnode_id=202200118","ictv.global=202200118")</f>
        <v>ictv.global=202200118</v>
      </c>
    </row>
    <row r="8784" spans="1:21">
      <c r="A8784">
        <v>8783</v>
      </c>
      <c r="B8784" s="29" t="s">
        <v>3223</v>
      </c>
      <c r="C8784" s="29"/>
      <c r="D8784" s="29" t="s">
        <v>4156</v>
      </c>
      <c r="E8784" s="29"/>
      <c r="F8784" s="29" t="s">
        <v>2998</v>
      </c>
      <c r="G8784" s="29" t="s">
        <v>3020</v>
      </c>
      <c r="H8784" s="29" t="s">
        <v>3021</v>
      </c>
      <c r="I8784" s="29"/>
      <c r="J8784" s="29" t="s">
        <v>2374</v>
      </c>
      <c r="K8784" s="29"/>
      <c r="L8784" s="29" t="s">
        <v>2380</v>
      </c>
      <c r="M8784" s="29"/>
      <c r="N8784" s="29" t="s">
        <v>1446</v>
      </c>
      <c r="O8784" s="29"/>
      <c r="P8784" s="29" t="s">
        <v>13668</v>
      </c>
      <c r="Q8784" t="s">
        <v>2039</v>
      </c>
      <c r="R8784" t="s">
        <v>2635</v>
      </c>
      <c r="S8784">
        <v>38</v>
      </c>
      <c r="T8784" s="43" t="str">
        <f t="shared" si="379"/>
        <v>2021.028M.Peribunyaviridae_sprename.zip</v>
      </c>
      <c r="U8784" s="43" t="str">
        <f>HYPERLINK("https://ictv.global/taxonomy/taxondetails?taxnode_id=202209325","ictv.global=202209325")</f>
        <v>ictv.global=202209325</v>
      </c>
    </row>
    <row r="8785" spans="1:21">
      <c r="A8785">
        <v>8784</v>
      </c>
      <c r="B8785" s="29" t="s">
        <v>3223</v>
      </c>
      <c r="C8785" s="29"/>
      <c r="D8785" s="29" t="s">
        <v>4156</v>
      </c>
      <c r="E8785" s="29"/>
      <c r="F8785" s="29" t="s">
        <v>2998</v>
      </c>
      <c r="G8785" s="29" t="s">
        <v>3020</v>
      </c>
      <c r="H8785" s="29" t="s">
        <v>3021</v>
      </c>
      <c r="I8785" s="29"/>
      <c r="J8785" s="29" t="s">
        <v>2374</v>
      </c>
      <c r="K8785" s="29"/>
      <c r="L8785" s="29" t="s">
        <v>2380</v>
      </c>
      <c r="M8785" s="29"/>
      <c r="N8785" s="29" t="s">
        <v>1446</v>
      </c>
      <c r="O8785" s="29"/>
      <c r="P8785" s="29" t="s">
        <v>13669</v>
      </c>
      <c r="Q8785" t="s">
        <v>2039</v>
      </c>
      <c r="R8785" t="s">
        <v>2635</v>
      </c>
      <c r="S8785">
        <v>38</v>
      </c>
      <c r="T8785" s="43" t="str">
        <f t="shared" si="379"/>
        <v>2021.028M.Peribunyaviridae_sprename.zip</v>
      </c>
      <c r="U8785" s="43" t="str">
        <f>HYPERLINK("https://ictv.global/taxonomy/taxondetails?taxnode_id=202206368","ictv.global=202206368")</f>
        <v>ictv.global=202206368</v>
      </c>
    </row>
    <row r="8786" spans="1:21">
      <c r="A8786">
        <v>8785</v>
      </c>
      <c r="B8786" s="29" t="s">
        <v>3223</v>
      </c>
      <c r="C8786" s="29"/>
      <c r="D8786" s="29" t="s">
        <v>4156</v>
      </c>
      <c r="E8786" s="29"/>
      <c r="F8786" s="29" t="s">
        <v>2998</v>
      </c>
      <c r="G8786" s="29" t="s">
        <v>3020</v>
      </c>
      <c r="H8786" s="29" t="s">
        <v>3021</v>
      </c>
      <c r="I8786" s="29"/>
      <c r="J8786" s="29" t="s">
        <v>2374</v>
      </c>
      <c r="K8786" s="29"/>
      <c r="L8786" s="29" t="s">
        <v>2380</v>
      </c>
      <c r="M8786" s="29"/>
      <c r="N8786" s="29" t="s">
        <v>1446</v>
      </c>
      <c r="O8786" s="29"/>
      <c r="P8786" s="29" t="s">
        <v>13670</v>
      </c>
      <c r="Q8786" t="s">
        <v>2039</v>
      </c>
      <c r="R8786" t="s">
        <v>2635</v>
      </c>
      <c r="S8786">
        <v>38</v>
      </c>
      <c r="T8786" s="43" t="str">
        <f t="shared" si="379"/>
        <v>2021.028M.Peribunyaviridae_sprename.zip</v>
      </c>
      <c r="U8786" s="43" t="str">
        <f>HYPERLINK("https://ictv.global/taxonomy/taxondetails?taxnode_id=202206377","ictv.global=202206377")</f>
        <v>ictv.global=202206377</v>
      </c>
    </row>
    <row r="8787" spans="1:21">
      <c r="A8787">
        <v>8786</v>
      </c>
      <c r="B8787" s="29" t="s">
        <v>3223</v>
      </c>
      <c r="C8787" s="29"/>
      <c r="D8787" s="29" t="s">
        <v>4156</v>
      </c>
      <c r="E8787" s="29"/>
      <c r="F8787" s="29" t="s">
        <v>2998</v>
      </c>
      <c r="G8787" s="29" t="s">
        <v>3020</v>
      </c>
      <c r="H8787" s="29" t="s">
        <v>3021</v>
      </c>
      <c r="I8787" s="29"/>
      <c r="J8787" s="29" t="s">
        <v>2374</v>
      </c>
      <c r="K8787" s="29"/>
      <c r="L8787" s="29" t="s">
        <v>2380</v>
      </c>
      <c r="M8787" s="29"/>
      <c r="N8787" s="29" t="s">
        <v>1446</v>
      </c>
      <c r="O8787" s="29"/>
      <c r="P8787" s="29" t="s">
        <v>13671</v>
      </c>
      <c r="Q8787" t="s">
        <v>2039</v>
      </c>
      <c r="R8787" t="s">
        <v>2635</v>
      </c>
      <c r="S8787">
        <v>38</v>
      </c>
      <c r="T8787" s="43" t="str">
        <f t="shared" si="379"/>
        <v>2021.028M.Peribunyaviridae_sprename.zip</v>
      </c>
      <c r="U8787" s="43" t="str">
        <f>HYPERLINK("https://ictv.global/taxonomy/taxondetails?taxnode_id=202200119","ictv.global=202200119")</f>
        <v>ictv.global=202200119</v>
      </c>
    </row>
    <row r="8788" spans="1:21">
      <c r="A8788">
        <v>8787</v>
      </c>
      <c r="B8788" s="29" t="s">
        <v>3223</v>
      </c>
      <c r="C8788" s="29"/>
      <c r="D8788" s="29" t="s">
        <v>4156</v>
      </c>
      <c r="E8788" s="29"/>
      <c r="F8788" s="29" t="s">
        <v>2998</v>
      </c>
      <c r="G8788" s="29" t="s">
        <v>3020</v>
      </c>
      <c r="H8788" s="29" t="s">
        <v>3021</v>
      </c>
      <c r="I8788" s="29"/>
      <c r="J8788" s="29" t="s">
        <v>2374</v>
      </c>
      <c r="K8788" s="29"/>
      <c r="L8788" s="29" t="s">
        <v>2380</v>
      </c>
      <c r="M8788" s="29"/>
      <c r="N8788" s="29" t="s">
        <v>1446</v>
      </c>
      <c r="O8788" s="29"/>
      <c r="P8788" s="29" t="s">
        <v>13672</v>
      </c>
      <c r="Q8788" t="s">
        <v>2039</v>
      </c>
      <c r="R8788" t="s">
        <v>2632</v>
      </c>
      <c r="S8788">
        <v>38</v>
      </c>
      <c r="T8788" s="43" t="str">
        <f>HYPERLINK("https://ictv.global/ictv/proposals/2022.018M.Orthobunyavirus_29nsp_abolish4sp.zip","2022.018M.Orthobunyavirus_29nsp_abolish4sp.zip")</f>
        <v>2022.018M.Orthobunyavirus_29nsp_abolish4sp.zip</v>
      </c>
      <c r="U8788" s="43" t="str">
        <f>HYPERLINK("https://ictv.global/taxonomy/taxondetails?taxnode_id=202214226","ictv.global=202214226")</f>
        <v>ictv.global=202214226</v>
      </c>
    </row>
    <row r="8789" spans="1:21">
      <c r="A8789">
        <v>8788</v>
      </c>
      <c r="B8789" s="29" t="s">
        <v>3223</v>
      </c>
      <c r="C8789" s="29"/>
      <c r="D8789" s="29" t="s">
        <v>4156</v>
      </c>
      <c r="E8789" s="29"/>
      <c r="F8789" s="29" t="s">
        <v>2998</v>
      </c>
      <c r="G8789" s="29" t="s">
        <v>3020</v>
      </c>
      <c r="H8789" s="29" t="s">
        <v>3021</v>
      </c>
      <c r="I8789" s="29"/>
      <c r="J8789" s="29" t="s">
        <v>2374</v>
      </c>
      <c r="K8789" s="29"/>
      <c r="L8789" s="29" t="s">
        <v>2380</v>
      </c>
      <c r="M8789" s="29"/>
      <c r="N8789" s="29" t="s">
        <v>1446</v>
      </c>
      <c r="O8789" s="29"/>
      <c r="P8789" s="29" t="s">
        <v>13673</v>
      </c>
      <c r="Q8789" t="s">
        <v>2039</v>
      </c>
      <c r="R8789" t="s">
        <v>2635</v>
      </c>
      <c r="S8789">
        <v>38</v>
      </c>
      <c r="T8789" s="43" t="str">
        <f>HYPERLINK("https://ictv.global/ictv/proposals/2021.028M.Peribunyaviridae_sprename.zip","2021.028M.Peribunyaviridae_sprename.zip")</f>
        <v>2021.028M.Peribunyaviridae_sprename.zip</v>
      </c>
      <c r="U8789" s="43" t="str">
        <f>HYPERLINK("https://ictv.global/taxonomy/taxondetails?taxnode_id=202209323","ictv.global=202209323")</f>
        <v>ictv.global=202209323</v>
      </c>
    </row>
    <row r="8790" spans="1:21">
      <c r="A8790">
        <v>8789</v>
      </c>
      <c r="B8790" s="29" t="s">
        <v>3223</v>
      </c>
      <c r="C8790" s="29"/>
      <c r="D8790" s="29" t="s">
        <v>4156</v>
      </c>
      <c r="E8790" s="29"/>
      <c r="F8790" s="29" t="s">
        <v>2998</v>
      </c>
      <c r="G8790" s="29" t="s">
        <v>3020</v>
      </c>
      <c r="H8790" s="29" t="s">
        <v>3021</v>
      </c>
      <c r="I8790" s="29"/>
      <c r="J8790" s="29" t="s">
        <v>2374</v>
      </c>
      <c r="K8790" s="29"/>
      <c r="L8790" s="29" t="s">
        <v>2380</v>
      </c>
      <c r="M8790" s="29"/>
      <c r="N8790" s="29" t="s">
        <v>1446</v>
      </c>
      <c r="O8790" s="29"/>
      <c r="P8790" s="29" t="s">
        <v>13674</v>
      </c>
      <c r="Q8790" t="s">
        <v>2039</v>
      </c>
      <c r="R8790" t="s">
        <v>2635</v>
      </c>
      <c r="S8790">
        <v>38</v>
      </c>
      <c r="T8790" s="43" t="str">
        <f>HYPERLINK("https://ictv.global/ictv/proposals/2021.028M.Peribunyaviridae_sprename.zip","2021.028M.Peribunyaviridae_sprename.zip")</f>
        <v>2021.028M.Peribunyaviridae_sprename.zip</v>
      </c>
      <c r="U8790" s="43" t="str">
        <f>HYPERLINK("https://ictv.global/taxonomy/taxondetails?taxnode_id=202200120","ictv.global=202200120")</f>
        <v>ictv.global=202200120</v>
      </c>
    </row>
    <row r="8791" spans="1:21">
      <c r="A8791">
        <v>8790</v>
      </c>
      <c r="B8791" s="29" t="s">
        <v>3223</v>
      </c>
      <c r="C8791" s="29"/>
      <c r="D8791" s="29" t="s">
        <v>4156</v>
      </c>
      <c r="E8791" s="29"/>
      <c r="F8791" s="29" t="s">
        <v>2998</v>
      </c>
      <c r="G8791" s="29" t="s">
        <v>3020</v>
      </c>
      <c r="H8791" s="29" t="s">
        <v>3021</v>
      </c>
      <c r="I8791" s="29"/>
      <c r="J8791" s="29" t="s">
        <v>2374</v>
      </c>
      <c r="K8791" s="29"/>
      <c r="L8791" s="29" t="s">
        <v>2380</v>
      </c>
      <c r="M8791" s="29"/>
      <c r="N8791" s="29" t="s">
        <v>1446</v>
      </c>
      <c r="O8791" s="29"/>
      <c r="P8791" s="29" t="s">
        <v>13675</v>
      </c>
      <c r="Q8791" t="s">
        <v>2039</v>
      </c>
      <c r="R8791" t="s">
        <v>2635</v>
      </c>
      <c r="S8791">
        <v>38</v>
      </c>
      <c r="T8791" s="43" t="str">
        <f>HYPERLINK("https://ictv.global/ictv/proposals/2021.028M.Peribunyaviridae_sprename.zip","2021.028M.Peribunyaviridae_sprename.zip")</f>
        <v>2021.028M.Peribunyaviridae_sprename.zip</v>
      </c>
      <c r="U8791" s="43" t="str">
        <f>HYPERLINK("https://ictv.global/taxonomy/taxondetails?taxnode_id=202206370","ictv.global=202206370")</f>
        <v>ictv.global=202206370</v>
      </c>
    </row>
    <row r="8792" spans="1:21">
      <c r="A8792">
        <v>8791</v>
      </c>
      <c r="B8792" s="29" t="s">
        <v>3223</v>
      </c>
      <c r="C8792" s="29"/>
      <c r="D8792" s="29" t="s">
        <v>4156</v>
      </c>
      <c r="E8792" s="29"/>
      <c r="F8792" s="29" t="s">
        <v>2998</v>
      </c>
      <c r="G8792" s="29" t="s">
        <v>3020</v>
      </c>
      <c r="H8792" s="29" t="s">
        <v>3021</v>
      </c>
      <c r="I8792" s="29"/>
      <c r="J8792" s="29" t="s">
        <v>2374</v>
      </c>
      <c r="K8792" s="29"/>
      <c r="L8792" s="29" t="s">
        <v>2380</v>
      </c>
      <c r="M8792" s="29"/>
      <c r="N8792" s="29" t="s">
        <v>1446</v>
      </c>
      <c r="O8792" s="29"/>
      <c r="P8792" s="29" t="s">
        <v>13676</v>
      </c>
      <c r="Q8792" t="s">
        <v>2039</v>
      </c>
      <c r="R8792" t="s">
        <v>2632</v>
      </c>
      <c r="S8792">
        <v>38</v>
      </c>
      <c r="T8792" s="43" t="str">
        <f>HYPERLINK("https://ictv.global/ictv/proposals/2022.018M.Orthobunyavirus_29nsp_abolish4sp.zip","2022.018M.Orthobunyavirus_29nsp_abolish4sp.zip")</f>
        <v>2022.018M.Orthobunyavirus_29nsp_abolish4sp.zip</v>
      </c>
      <c r="U8792" s="43" t="str">
        <f>HYPERLINK("https://ictv.global/taxonomy/taxondetails?taxnode_id=202214232","ictv.global=202214232")</f>
        <v>ictv.global=202214232</v>
      </c>
    </row>
    <row r="8793" spans="1:21">
      <c r="A8793">
        <v>8792</v>
      </c>
      <c r="B8793" s="29" t="s">
        <v>3223</v>
      </c>
      <c r="C8793" s="29"/>
      <c r="D8793" s="29" t="s">
        <v>4156</v>
      </c>
      <c r="E8793" s="29"/>
      <c r="F8793" s="29" t="s">
        <v>2998</v>
      </c>
      <c r="G8793" s="29" t="s">
        <v>3020</v>
      </c>
      <c r="H8793" s="29" t="s">
        <v>3021</v>
      </c>
      <c r="I8793" s="29"/>
      <c r="J8793" s="29" t="s">
        <v>2374</v>
      </c>
      <c r="K8793" s="29"/>
      <c r="L8793" s="29" t="s">
        <v>2380</v>
      </c>
      <c r="M8793" s="29"/>
      <c r="N8793" s="29" t="s">
        <v>1446</v>
      </c>
      <c r="O8793" s="29"/>
      <c r="P8793" s="29" t="s">
        <v>13677</v>
      </c>
      <c r="Q8793" t="s">
        <v>2039</v>
      </c>
      <c r="R8793" t="s">
        <v>2632</v>
      </c>
      <c r="S8793">
        <v>38</v>
      </c>
      <c r="T8793" s="43" t="str">
        <f>HYPERLINK("https://ictv.global/ictv/proposals/2022.018M.Orthobunyavirus_29nsp_abolish4sp.zip","2022.018M.Orthobunyavirus_29nsp_abolish4sp.zip")</f>
        <v>2022.018M.Orthobunyavirus_29nsp_abolish4sp.zip</v>
      </c>
      <c r="U8793" s="43" t="str">
        <f>HYPERLINK("https://ictv.global/taxonomy/taxondetails?taxnode_id=202214240","ictv.global=202214240")</f>
        <v>ictv.global=202214240</v>
      </c>
    </row>
    <row r="8794" spans="1:21">
      <c r="A8794">
        <v>8793</v>
      </c>
      <c r="B8794" s="29" t="s">
        <v>3223</v>
      </c>
      <c r="C8794" s="29"/>
      <c r="D8794" s="29" t="s">
        <v>4156</v>
      </c>
      <c r="E8794" s="29"/>
      <c r="F8794" s="29" t="s">
        <v>2998</v>
      </c>
      <c r="G8794" s="29" t="s">
        <v>3020</v>
      </c>
      <c r="H8794" s="29" t="s">
        <v>3021</v>
      </c>
      <c r="I8794" s="29"/>
      <c r="J8794" s="29" t="s">
        <v>2374</v>
      </c>
      <c r="K8794" s="29"/>
      <c r="L8794" s="29" t="s">
        <v>2380</v>
      </c>
      <c r="M8794" s="29"/>
      <c r="N8794" s="29" t="s">
        <v>1446</v>
      </c>
      <c r="O8794" s="29"/>
      <c r="P8794" s="29" t="s">
        <v>13678</v>
      </c>
      <c r="Q8794" t="s">
        <v>2039</v>
      </c>
      <c r="R8794" t="s">
        <v>2632</v>
      </c>
      <c r="S8794">
        <v>38</v>
      </c>
      <c r="T8794" s="43" t="str">
        <f>HYPERLINK("https://ictv.global/ictv/proposals/2022.018M.Orthobunyavirus_29nsp_abolish4sp.zip","2022.018M.Orthobunyavirus_29nsp_abolish4sp.zip")</f>
        <v>2022.018M.Orthobunyavirus_29nsp_abolish4sp.zip</v>
      </c>
      <c r="U8794" s="43" t="str">
        <f>HYPERLINK("https://ictv.global/taxonomy/taxondetails?taxnode_id=202214223","ictv.global=202214223")</f>
        <v>ictv.global=202214223</v>
      </c>
    </row>
    <row r="8795" spans="1:21">
      <c r="A8795">
        <v>8794</v>
      </c>
      <c r="B8795" s="29" t="s">
        <v>3223</v>
      </c>
      <c r="C8795" s="29"/>
      <c r="D8795" s="29" t="s">
        <v>4156</v>
      </c>
      <c r="E8795" s="29"/>
      <c r="F8795" s="29" t="s">
        <v>2998</v>
      </c>
      <c r="G8795" s="29" t="s">
        <v>3020</v>
      </c>
      <c r="H8795" s="29" t="s">
        <v>3021</v>
      </c>
      <c r="I8795" s="29"/>
      <c r="J8795" s="29" t="s">
        <v>2374</v>
      </c>
      <c r="K8795" s="29"/>
      <c r="L8795" s="29" t="s">
        <v>2380</v>
      </c>
      <c r="M8795" s="29"/>
      <c r="N8795" s="29" t="s">
        <v>1446</v>
      </c>
      <c r="O8795" s="29"/>
      <c r="P8795" s="29" t="s">
        <v>13679</v>
      </c>
      <c r="Q8795" t="s">
        <v>2039</v>
      </c>
      <c r="R8795" t="s">
        <v>2632</v>
      </c>
      <c r="S8795">
        <v>38</v>
      </c>
      <c r="T8795" s="43" t="str">
        <f>HYPERLINK("https://ictv.global/ictv/proposals/2022.018M.Orthobunyavirus_29nsp_abolish4sp.zip","2022.018M.Orthobunyavirus_29nsp_abolish4sp.zip")</f>
        <v>2022.018M.Orthobunyavirus_29nsp_abolish4sp.zip</v>
      </c>
      <c r="U8795" s="43" t="str">
        <f>HYPERLINK("https://ictv.global/taxonomy/taxondetails?taxnode_id=202214227","ictv.global=202214227")</f>
        <v>ictv.global=202214227</v>
      </c>
    </row>
    <row r="8796" spans="1:21">
      <c r="A8796">
        <v>8795</v>
      </c>
      <c r="B8796" s="29" t="s">
        <v>3223</v>
      </c>
      <c r="C8796" s="29"/>
      <c r="D8796" s="29" t="s">
        <v>4156</v>
      </c>
      <c r="E8796" s="29"/>
      <c r="F8796" s="29" t="s">
        <v>2998</v>
      </c>
      <c r="G8796" s="29" t="s">
        <v>3020</v>
      </c>
      <c r="H8796" s="29" t="s">
        <v>3021</v>
      </c>
      <c r="I8796" s="29"/>
      <c r="J8796" s="29" t="s">
        <v>2374</v>
      </c>
      <c r="K8796" s="29"/>
      <c r="L8796" s="29" t="s">
        <v>2380</v>
      </c>
      <c r="M8796" s="29"/>
      <c r="N8796" s="29" t="s">
        <v>1446</v>
      </c>
      <c r="O8796" s="29"/>
      <c r="P8796" s="29" t="s">
        <v>13680</v>
      </c>
      <c r="Q8796" t="s">
        <v>2039</v>
      </c>
      <c r="R8796" t="s">
        <v>2635</v>
      </c>
      <c r="S8796">
        <v>38</v>
      </c>
      <c r="T8796" s="43" t="str">
        <f>HYPERLINK("https://ictv.global/ictv/proposals/2021.028M.Peribunyaviridae_sprename.zip","2021.028M.Peribunyaviridae_sprename.zip")</f>
        <v>2021.028M.Peribunyaviridae_sprename.zip</v>
      </c>
      <c r="U8796" s="43" t="str">
        <f>HYPERLINK("https://ictv.global/taxonomy/taxondetails?taxnode_id=202200121","ictv.global=202200121")</f>
        <v>ictv.global=202200121</v>
      </c>
    </row>
    <row r="8797" spans="1:21">
      <c r="A8797">
        <v>8796</v>
      </c>
      <c r="B8797" s="29" t="s">
        <v>3223</v>
      </c>
      <c r="C8797" s="29"/>
      <c r="D8797" s="29" t="s">
        <v>4156</v>
      </c>
      <c r="E8797" s="29"/>
      <c r="F8797" s="29" t="s">
        <v>2998</v>
      </c>
      <c r="G8797" s="29" t="s">
        <v>3020</v>
      </c>
      <c r="H8797" s="29" t="s">
        <v>3021</v>
      </c>
      <c r="I8797" s="29"/>
      <c r="J8797" s="29" t="s">
        <v>2374</v>
      </c>
      <c r="K8797" s="29"/>
      <c r="L8797" s="29" t="s">
        <v>2380</v>
      </c>
      <c r="M8797" s="29"/>
      <c r="N8797" s="29" t="s">
        <v>1446</v>
      </c>
      <c r="O8797" s="29"/>
      <c r="P8797" s="29" t="s">
        <v>13681</v>
      </c>
      <c r="Q8797" t="s">
        <v>2039</v>
      </c>
      <c r="R8797" t="s">
        <v>2632</v>
      </c>
      <c r="S8797">
        <v>38</v>
      </c>
      <c r="T8797" s="43" t="str">
        <f>HYPERLINK("https://ictv.global/ictv/proposals/2022.018M.Orthobunyavirus_29nsp_abolish4sp.zip","2022.018M.Orthobunyavirus_29nsp_abolish4sp.zip")</f>
        <v>2022.018M.Orthobunyavirus_29nsp_abolish4sp.zip</v>
      </c>
      <c r="U8797" s="43" t="str">
        <f>HYPERLINK("https://ictv.global/taxonomy/taxondetails?taxnode_id=202214241","ictv.global=202214241")</f>
        <v>ictv.global=202214241</v>
      </c>
    </row>
    <row r="8798" spans="1:21">
      <c r="A8798">
        <v>8797</v>
      </c>
      <c r="B8798" s="29" t="s">
        <v>3223</v>
      </c>
      <c r="C8798" s="29"/>
      <c r="D8798" s="29" t="s">
        <v>4156</v>
      </c>
      <c r="E8798" s="29"/>
      <c r="F8798" s="29" t="s">
        <v>2998</v>
      </c>
      <c r="G8798" s="29" t="s">
        <v>3020</v>
      </c>
      <c r="H8798" s="29" t="s">
        <v>3021</v>
      </c>
      <c r="I8798" s="29"/>
      <c r="J8798" s="29" t="s">
        <v>2374</v>
      </c>
      <c r="K8798" s="29"/>
      <c r="L8798" s="29" t="s">
        <v>2380</v>
      </c>
      <c r="M8798" s="29"/>
      <c r="N8798" s="29" t="s">
        <v>1446</v>
      </c>
      <c r="O8798" s="29"/>
      <c r="P8798" s="29" t="s">
        <v>13682</v>
      </c>
      <c r="Q8798" t="s">
        <v>2039</v>
      </c>
      <c r="R8798" t="s">
        <v>2635</v>
      </c>
      <c r="S8798">
        <v>38</v>
      </c>
      <c r="T8798" s="43" t="str">
        <f>HYPERLINK("https://ictv.global/ictv/proposals/2021.028M.Peribunyaviridae_sprename.zip","2021.028M.Peribunyaviridae_sprename.zip")</f>
        <v>2021.028M.Peribunyaviridae_sprename.zip</v>
      </c>
      <c r="U8798" s="43" t="str">
        <f>HYPERLINK("https://ictv.global/taxonomy/taxondetails?taxnode_id=202200122","ictv.global=202200122")</f>
        <v>ictv.global=202200122</v>
      </c>
    </row>
    <row r="8799" spans="1:21">
      <c r="A8799">
        <v>8798</v>
      </c>
      <c r="B8799" s="29" t="s">
        <v>3223</v>
      </c>
      <c r="C8799" s="29"/>
      <c r="D8799" s="29" t="s">
        <v>4156</v>
      </c>
      <c r="E8799" s="29"/>
      <c r="F8799" s="29" t="s">
        <v>2998</v>
      </c>
      <c r="G8799" s="29" t="s">
        <v>3020</v>
      </c>
      <c r="H8799" s="29" t="s">
        <v>3021</v>
      </c>
      <c r="I8799" s="29"/>
      <c r="J8799" s="29" t="s">
        <v>2374</v>
      </c>
      <c r="K8799" s="29"/>
      <c r="L8799" s="29" t="s">
        <v>2380</v>
      </c>
      <c r="M8799" s="29"/>
      <c r="N8799" s="29" t="s">
        <v>1446</v>
      </c>
      <c r="O8799" s="29"/>
      <c r="P8799" s="29" t="s">
        <v>13683</v>
      </c>
      <c r="Q8799" t="s">
        <v>2039</v>
      </c>
      <c r="R8799" t="s">
        <v>2635</v>
      </c>
      <c r="S8799">
        <v>38</v>
      </c>
      <c r="T8799" s="43" t="str">
        <f>HYPERLINK("https://ictv.global/ictv/proposals/2021.028M.Peribunyaviridae_sprename.zip","2021.028M.Peribunyaviridae_sprename.zip")</f>
        <v>2021.028M.Peribunyaviridae_sprename.zip</v>
      </c>
      <c r="U8799" s="43" t="str">
        <f>HYPERLINK("https://ictv.global/taxonomy/taxondetails?taxnode_id=202200123","ictv.global=202200123")</f>
        <v>ictv.global=202200123</v>
      </c>
    </row>
    <row r="8800" spans="1:21">
      <c r="A8800">
        <v>8799</v>
      </c>
      <c r="B8800" s="29" t="s">
        <v>3223</v>
      </c>
      <c r="C8800" s="29"/>
      <c r="D8800" s="29" t="s">
        <v>4156</v>
      </c>
      <c r="E8800" s="29"/>
      <c r="F8800" s="29" t="s">
        <v>2998</v>
      </c>
      <c r="G8800" s="29" t="s">
        <v>3020</v>
      </c>
      <c r="H8800" s="29" t="s">
        <v>3021</v>
      </c>
      <c r="I8800" s="29"/>
      <c r="J8800" s="29" t="s">
        <v>2374</v>
      </c>
      <c r="K8800" s="29"/>
      <c r="L8800" s="29" t="s">
        <v>2380</v>
      </c>
      <c r="M8800" s="29"/>
      <c r="N8800" s="29" t="s">
        <v>1446</v>
      </c>
      <c r="O8800" s="29"/>
      <c r="P8800" s="29" t="s">
        <v>13684</v>
      </c>
      <c r="Q8800" t="s">
        <v>2039</v>
      </c>
      <c r="R8800" t="s">
        <v>2635</v>
      </c>
      <c r="S8800">
        <v>38</v>
      </c>
      <c r="T8800" s="43" t="str">
        <f>HYPERLINK("https://ictv.global/ictv/proposals/2021.028M.Peribunyaviridae_sprename.zip","2021.028M.Peribunyaviridae_sprename.zip")</f>
        <v>2021.028M.Peribunyaviridae_sprename.zip</v>
      </c>
      <c r="U8800" s="43" t="str">
        <f>HYPERLINK("https://ictv.global/taxonomy/taxondetails?taxnode_id=202200124","ictv.global=202200124")</f>
        <v>ictv.global=202200124</v>
      </c>
    </row>
    <row r="8801" spans="1:21">
      <c r="A8801">
        <v>8800</v>
      </c>
      <c r="B8801" s="29" t="s">
        <v>3223</v>
      </c>
      <c r="C8801" s="29"/>
      <c r="D8801" s="29" t="s">
        <v>4156</v>
      </c>
      <c r="E8801" s="29"/>
      <c r="F8801" s="29" t="s">
        <v>2998</v>
      </c>
      <c r="G8801" s="29" t="s">
        <v>3020</v>
      </c>
      <c r="H8801" s="29" t="s">
        <v>3021</v>
      </c>
      <c r="I8801" s="29"/>
      <c r="J8801" s="29" t="s">
        <v>2374</v>
      </c>
      <c r="K8801" s="29"/>
      <c r="L8801" s="29" t="s">
        <v>2380</v>
      </c>
      <c r="M8801" s="29"/>
      <c r="N8801" s="29" t="s">
        <v>1446</v>
      </c>
      <c r="O8801" s="29"/>
      <c r="P8801" s="29" t="s">
        <v>13685</v>
      </c>
      <c r="Q8801" t="s">
        <v>2039</v>
      </c>
      <c r="R8801" t="s">
        <v>2635</v>
      </c>
      <c r="S8801">
        <v>38</v>
      </c>
      <c r="T8801" s="43" t="str">
        <f>HYPERLINK("https://ictv.global/ictv/proposals/2021.028M.Peribunyaviridae_sprename.zip","2021.028M.Peribunyaviridae_sprename.zip")</f>
        <v>2021.028M.Peribunyaviridae_sprename.zip</v>
      </c>
      <c r="U8801" s="43" t="str">
        <f>HYPERLINK("https://ictv.global/taxonomy/taxondetails?taxnode_id=202209327","ictv.global=202209327")</f>
        <v>ictv.global=202209327</v>
      </c>
    </row>
    <row r="8802" spans="1:21">
      <c r="A8802">
        <v>8801</v>
      </c>
      <c r="B8802" s="29" t="s">
        <v>3223</v>
      </c>
      <c r="C8802" s="29"/>
      <c r="D8802" s="29" t="s">
        <v>4156</v>
      </c>
      <c r="E8802" s="29"/>
      <c r="F8802" s="29" t="s">
        <v>2998</v>
      </c>
      <c r="G8802" s="29" t="s">
        <v>3020</v>
      </c>
      <c r="H8802" s="29" t="s">
        <v>3021</v>
      </c>
      <c r="I8802" s="29"/>
      <c r="J8802" s="29" t="s">
        <v>2374</v>
      </c>
      <c r="K8802" s="29"/>
      <c r="L8802" s="29" t="s">
        <v>2380</v>
      </c>
      <c r="M8802" s="29"/>
      <c r="N8802" s="29" t="s">
        <v>1446</v>
      </c>
      <c r="O8802" s="29"/>
      <c r="P8802" s="29" t="s">
        <v>13686</v>
      </c>
      <c r="Q8802" t="s">
        <v>2039</v>
      </c>
      <c r="R8802" t="s">
        <v>2632</v>
      </c>
      <c r="S8802">
        <v>38</v>
      </c>
      <c r="T8802" s="43" t="str">
        <f>HYPERLINK("https://ictv.global/ictv/proposals/2022.018M.Orthobunyavirus_29nsp_abolish4sp.zip","2022.018M.Orthobunyavirus_29nsp_abolish4sp.zip")</f>
        <v>2022.018M.Orthobunyavirus_29nsp_abolish4sp.zip</v>
      </c>
      <c r="U8802" s="43" t="str">
        <f>HYPERLINK("https://ictv.global/taxonomy/taxondetails?taxnode_id=202214242","ictv.global=202214242")</f>
        <v>ictv.global=202214242</v>
      </c>
    </row>
    <row r="8803" spans="1:21">
      <c r="A8803">
        <v>8802</v>
      </c>
      <c r="B8803" s="29" t="s">
        <v>3223</v>
      </c>
      <c r="C8803" s="29"/>
      <c r="D8803" s="29" t="s">
        <v>4156</v>
      </c>
      <c r="E8803" s="29"/>
      <c r="F8803" s="29" t="s">
        <v>2998</v>
      </c>
      <c r="G8803" s="29" t="s">
        <v>3020</v>
      </c>
      <c r="H8803" s="29" t="s">
        <v>3021</v>
      </c>
      <c r="I8803" s="29"/>
      <c r="J8803" s="29" t="s">
        <v>2374</v>
      </c>
      <c r="K8803" s="29"/>
      <c r="L8803" s="29" t="s">
        <v>2380</v>
      </c>
      <c r="M8803" s="29"/>
      <c r="N8803" s="29" t="s">
        <v>1446</v>
      </c>
      <c r="O8803" s="29"/>
      <c r="P8803" s="29" t="s">
        <v>13687</v>
      </c>
      <c r="Q8803" t="s">
        <v>2039</v>
      </c>
      <c r="R8803" t="s">
        <v>2635</v>
      </c>
      <c r="S8803">
        <v>38</v>
      </c>
      <c r="T8803" s="43" t="str">
        <f t="shared" ref="T8803:T8808" si="380">HYPERLINK("https://ictv.global/ictv/proposals/2021.028M.Peribunyaviridae_sprename.zip","2021.028M.Peribunyaviridae_sprename.zip")</f>
        <v>2021.028M.Peribunyaviridae_sprename.zip</v>
      </c>
      <c r="U8803" s="43" t="str">
        <f>HYPERLINK("https://ictv.global/taxonomy/taxondetails?taxnode_id=202200125","ictv.global=202200125")</f>
        <v>ictv.global=202200125</v>
      </c>
    </row>
    <row r="8804" spans="1:21">
      <c r="A8804">
        <v>8803</v>
      </c>
      <c r="B8804" s="29" t="s">
        <v>3223</v>
      </c>
      <c r="C8804" s="29"/>
      <c r="D8804" s="29" t="s">
        <v>4156</v>
      </c>
      <c r="E8804" s="29"/>
      <c r="F8804" s="29" t="s">
        <v>2998</v>
      </c>
      <c r="G8804" s="29" t="s">
        <v>3020</v>
      </c>
      <c r="H8804" s="29" t="s">
        <v>3021</v>
      </c>
      <c r="I8804" s="29"/>
      <c r="J8804" s="29" t="s">
        <v>2374</v>
      </c>
      <c r="K8804" s="29"/>
      <c r="L8804" s="29" t="s">
        <v>2380</v>
      </c>
      <c r="M8804" s="29"/>
      <c r="N8804" s="29" t="s">
        <v>1446</v>
      </c>
      <c r="O8804" s="29"/>
      <c r="P8804" s="29" t="s">
        <v>13688</v>
      </c>
      <c r="Q8804" t="s">
        <v>2039</v>
      </c>
      <c r="R8804" t="s">
        <v>2635</v>
      </c>
      <c r="S8804">
        <v>38</v>
      </c>
      <c r="T8804" s="43" t="str">
        <f t="shared" si="380"/>
        <v>2021.028M.Peribunyaviridae_sprename.zip</v>
      </c>
      <c r="U8804" s="43" t="str">
        <f>HYPERLINK("https://ictv.global/taxonomy/taxondetails?taxnode_id=202206380","ictv.global=202206380")</f>
        <v>ictv.global=202206380</v>
      </c>
    </row>
    <row r="8805" spans="1:21">
      <c r="A8805">
        <v>8804</v>
      </c>
      <c r="B8805" s="29" t="s">
        <v>3223</v>
      </c>
      <c r="C8805" s="29"/>
      <c r="D8805" s="29" t="s">
        <v>4156</v>
      </c>
      <c r="E8805" s="29"/>
      <c r="F8805" s="29" t="s">
        <v>2998</v>
      </c>
      <c r="G8805" s="29" t="s">
        <v>3020</v>
      </c>
      <c r="H8805" s="29" t="s">
        <v>3021</v>
      </c>
      <c r="I8805" s="29"/>
      <c r="J8805" s="29" t="s">
        <v>2374</v>
      </c>
      <c r="K8805" s="29"/>
      <c r="L8805" s="29" t="s">
        <v>2380</v>
      </c>
      <c r="M8805" s="29"/>
      <c r="N8805" s="29" t="s">
        <v>1446</v>
      </c>
      <c r="O8805" s="29"/>
      <c r="P8805" s="29" t="s">
        <v>13689</v>
      </c>
      <c r="Q8805" t="s">
        <v>2039</v>
      </c>
      <c r="R8805" t="s">
        <v>2635</v>
      </c>
      <c r="S8805">
        <v>38</v>
      </c>
      <c r="T8805" s="43" t="str">
        <f t="shared" si="380"/>
        <v>2021.028M.Peribunyaviridae_sprename.zip</v>
      </c>
      <c r="U8805" s="43" t="str">
        <f>HYPERLINK("https://ictv.global/taxonomy/taxondetails?taxnode_id=202206384","ictv.global=202206384")</f>
        <v>ictv.global=202206384</v>
      </c>
    </row>
    <row r="8806" spans="1:21">
      <c r="A8806">
        <v>8805</v>
      </c>
      <c r="B8806" s="29" t="s">
        <v>3223</v>
      </c>
      <c r="C8806" s="29"/>
      <c r="D8806" s="29" t="s">
        <v>4156</v>
      </c>
      <c r="E8806" s="29"/>
      <c r="F8806" s="29" t="s">
        <v>2998</v>
      </c>
      <c r="G8806" s="29" t="s">
        <v>3020</v>
      </c>
      <c r="H8806" s="29" t="s">
        <v>3021</v>
      </c>
      <c r="I8806" s="29"/>
      <c r="J8806" s="29" t="s">
        <v>2374</v>
      </c>
      <c r="K8806" s="29"/>
      <c r="L8806" s="29" t="s">
        <v>2380</v>
      </c>
      <c r="M8806" s="29"/>
      <c r="N8806" s="29" t="s">
        <v>1446</v>
      </c>
      <c r="O8806" s="29"/>
      <c r="P8806" s="29" t="s">
        <v>13690</v>
      </c>
      <c r="Q8806" t="s">
        <v>2039</v>
      </c>
      <c r="R8806" t="s">
        <v>2635</v>
      </c>
      <c r="S8806">
        <v>38</v>
      </c>
      <c r="T8806" s="43" t="str">
        <f t="shared" si="380"/>
        <v>2021.028M.Peribunyaviridae_sprename.zip</v>
      </c>
      <c r="U8806" s="43" t="str">
        <f>HYPERLINK("https://ictv.global/taxonomy/taxondetails?taxnode_id=202206362","ictv.global=202206362")</f>
        <v>ictv.global=202206362</v>
      </c>
    </row>
    <row r="8807" spans="1:21">
      <c r="A8807">
        <v>8806</v>
      </c>
      <c r="B8807" s="29" t="s">
        <v>3223</v>
      </c>
      <c r="C8807" s="29"/>
      <c r="D8807" s="29" t="s">
        <v>4156</v>
      </c>
      <c r="E8807" s="29"/>
      <c r="F8807" s="29" t="s">
        <v>2998</v>
      </c>
      <c r="G8807" s="29" t="s">
        <v>3020</v>
      </c>
      <c r="H8807" s="29" t="s">
        <v>3021</v>
      </c>
      <c r="I8807" s="29"/>
      <c r="J8807" s="29" t="s">
        <v>2374</v>
      </c>
      <c r="K8807" s="29"/>
      <c r="L8807" s="29" t="s">
        <v>2380</v>
      </c>
      <c r="M8807" s="29"/>
      <c r="N8807" s="29" t="s">
        <v>1446</v>
      </c>
      <c r="O8807" s="29"/>
      <c r="P8807" s="29" t="s">
        <v>13691</v>
      </c>
      <c r="Q8807" t="s">
        <v>2039</v>
      </c>
      <c r="R8807" t="s">
        <v>2635</v>
      </c>
      <c r="S8807">
        <v>38</v>
      </c>
      <c r="T8807" s="43" t="str">
        <f t="shared" si="380"/>
        <v>2021.028M.Peribunyaviridae_sprename.zip</v>
      </c>
      <c r="U8807" s="43" t="str">
        <f>HYPERLINK("https://ictv.global/taxonomy/taxondetails?taxnode_id=202206353","ictv.global=202206353")</f>
        <v>ictv.global=202206353</v>
      </c>
    </row>
    <row r="8808" spans="1:21">
      <c r="A8808">
        <v>8807</v>
      </c>
      <c r="B8808" s="29" t="s">
        <v>3223</v>
      </c>
      <c r="C8808" s="29"/>
      <c r="D8808" s="29" t="s">
        <v>4156</v>
      </c>
      <c r="E8808" s="29"/>
      <c r="F8808" s="29" t="s">
        <v>2998</v>
      </c>
      <c r="G8808" s="29" t="s">
        <v>3020</v>
      </c>
      <c r="H8808" s="29" t="s">
        <v>3021</v>
      </c>
      <c r="I8808" s="29"/>
      <c r="J8808" s="29" t="s">
        <v>2374</v>
      </c>
      <c r="K8808" s="29"/>
      <c r="L8808" s="29" t="s">
        <v>2380</v>
      </c>
      <c r="M8808" s="29"/>
      <c r="N8808" s="29" t="s">
        <v>1446</v>
      </c>
      <c r="O8808" s="29"/>
      <c r="P8808" s="29" t="s">
        <v>13692</v>
      </c>
      <c r="Q8808" t="s">
        <v>2039</v>
      </c>
      <c r="R8808" t="s">
        <v>2635</v>
      </c>
      <c r="S8808">
        <v>38</v>
      </c>
      <c r="T8808" s="43" t="str">
        <f t="shared" si="380"/>
        <v>2021.028M.Peribunyaviridae_sprename.zip</v>
      </c>
      <c r="U8808" s="43" t="str">
        <f>HYPERLINK("https://ictv.global/taxonomy/taxondetails?taxnode_id=202206381","ictv.global=202206381")</f>
        <v>ictv.global=202206381</v>
      </c>
    </row>
    <row r="8809" spans="1:21">
      <c r="A8809">
        <v>8808</v>
      </c>
      <c r="B8809" s="29" t="s">
        <v>3223</v>
      </c>
      <c r="C8809" s="29"/>
      <c r="D8809" s="29" t="s">
        <v>4156</v>
      </c>
      <c r="E8809" s="29"/>
      <c r="F8809" s="29" t="s">
        <v>2998</v>
      </c>
      <c r="G8809" s="29" t="s">
        <v>3020</v>
      </c>
      <c r="H8809" s="29" t="s">
        <v>3021</v>
      </c>
      <c r="I8809" s="29"/>
      <c r="J8809" s="29" t="s">
        <v>2374</v>
      </c>
      <c r="K8809" s="29"/>
      <c r="L8809" s="29" t="s">
        <v>2380</v>
      </c>
      <c r="M8809" s="29"/>
      <c r="N8809" s="29" t="s">
        <v>1446</v>
      </c>
      <c r="O8809" s="29"/>
      <c r="P8809" s="29" t="s">
        <v>13693</v>
      </c>
      <c r="Q8809" t="s">
        <v>2039</v>
      </c>
      <c r="R8809" t="s">
        <v>2632</v>
      </c>
      <c r="S8809">
        <v>38</v>
      </c>
      <c r="T8809" s="43" t="str">
        <f>HYPERLINK("https://ictv.global/ictv/proposals/2022.018M.Orthobunyavirus_29nsp_abolish4sp.zip","2022.018M.Orthobunyavirus_29nsp_abolish4sp.zip")</f>
        <v>2022.018M.Orthobunyavirus_29nsp_abolish4sp.zip</v>
      </c>
      <c r="U8809" s="43" t="str">
        <f>HYPERLINK("https://ictv.global/taxonomy/taxondetails?taxnode_id=202214247","ictv.global=202214247")</f>
        <v>ictv.global=202214247</v>
      </c>
    </row>
    <row r="8810" spans="1:21">
      <c r="A8810">
        <v>8809</v>
      </c>
      <c r="B8810" s="29" t="s">
        <v>3223</v>
      </c>
      <c r="C8810" s="29"/>
      <c r="D8810" s="29" t="s">
        <v>4156</v>
      </c>
      <c r="E8810" s="29"/>
      <c r="F8810" s="29" t="s">
        <v>2998</v>
      </c>
      <c r="G8810" s="29" t="s">
        <v>3020</v>
      </c>
      <c r="H8810" s="29" t="s">
        <v>3021</v>
      </c>
      <c r="I8810" s="29"/>
      <c r="J8810" s="29" t="s">
        <v>2374</v>
      </c>
      <c r="K8810" s="29"/>
      <c r="L8810" s="29" t="s">
        <v>2380</v>
      </c>
      <c r="M8810" s="29"/>
      <c r="N8810" s="29" t="s">
        <v>1446</v>
      </c>
      <c r="O8810" s="29"/>
      <c r="P8810" s="29" t="s">
        <v>13694</v>
      </c>
      <c r="Q8810" t="s">
        <v>2039</v>
      </c>
      <c r="R8810" t="s">
        <v>2635</v>
      </c>
      <c r="S8810">
        <v>38</v>
      </c>
      <c r="T8810" s="43" t="str">
        <f>HYPERLINK("https://ictv.global/ictv/proposals/2021.028M.Peribunyaviridae_sprename.zip","2021.028M.Peribunyaviridae_sprename.zip")</f>
        <v>2021.028M.Peribunyaviridae_sprename.zip</v>
      </c>
      <c r="U8810" s="43" t="str">
        <f>HYPERLINK("https://ictv.global/taxonomy/taxondetails?taxnode_id=202200126","ictv.global=202200126")</f>
        <v>ictv.global=202200126</v>
      </c>
    </row>
    <row r="8811" spans="1:21">
      <c r="A8811">
        <v>8810</v>
      </c>
      <c r="B8811" s="29" t="s">
        <v>3223</v>
      </c>
      <c r="C8811" s="29"/>
      <c r="D8811" s="29" t="s">
        <v>4156</v>
      </c>
      <c r="E8811" s="29"/>
      <c r="F8811" s="29" t="s">
        <v>2998</v>
      </c>
      <c r="G8811" s="29" t="s">
        <v>3020</v>
      </c>
      <c r="H8811" s="29" t="s">
        <v>3021</v>
      </c>
      <c r="I8811" s="29"/>
      <c r="J8811" s="29" t="s">
        <v>2374</v>
      </c>
      <c r="K8811" s="29"/>
      <c r="L8811" s="29" t="s">
        <v>2380</v>
      </c>
      <c r="M8811" s="29"/>
      <c r="N8811" s="29" t="s">
        <v>1446</v>
      </c>
      <c r="O8811" s="29"/>
      <c r="P8811" s="29" t="s">
        <v>13695</v>
      </c>
      <c r="Q8811" t="s">
        <v>2039</v>
      </c>
      <c r="R8811" t="s">
        <v>2635</v>
      </c>
      <c r="S8811">
        <v>38</v>
      </c>
      <c r="T8811" s="43" t="str">
        <f>HYPERLINK("https://ictv.global/ictv/proposals/2021.028M.Peribunyaviridae_sprename.zip","2021.028M.Peribunyaviridae_sprename.zip")</f>
        <v>2021.028M.Peribunyaviridae_sprename.zip</v>
      </c>
      <c r="U8811" s="43" t="str">
        <f>HYPERLINK("https://ictv.global/taxonomy/taxondetails?taxnode_id=202209328","ictv.global=202209328")</f>
        <v>ictv.global=202209328</v>
      </c>
    </row>
    <row r="8812" spans="1:21">
      <c r="A8812">
        <v>8811</v>
      </c>
      <c r="B8812" s="29" t="s">
        <v>3223</v>
      </c>
      <c r="C8812" s="29"/>
      <c r="D8812" s="29" t="s">
        <v>4156</v>
      </c>
      <c r="E8812" s="29"/>
      <c r="F8812" s="29" t="s">
        <v>2998</v>
      </c>
      <c r="G8812" s="29" t="s">
        <v>3020</v>
      </c>
      <c r="H8812" s="29" t="s">
        <v>3021</v>
      </c>
      <c r="I8812" s="29"/>
      <c r="J8812" s="29" t="s">
        <v>2374</v>
      </c>
      <c r="K8812" s="29"/>
      <c r="L8812" s="29" t="s">
        <v>2380</v>
      </c>
      <c r="M8812" s="29"/>
      <c r="N8812" s="29" t="s">
        <v>1446</v>
      </c>
      <c r="O8812" s="29"/>
      <c r="P8812" s="29" t="s">
        <v>13696</v>
      </c>
      <c r="Q8812" t="s">
        <v>2039</v>
      </c>
      <c r="R8812" t="s">
        <v>2635</v>
      </c>
      <c r="S8812">
        <v>38</v>
      </c>
      <c r="T8812" s="43" t="str">
        <f>HYPERLINK("https://ictv.global/ictv/proposals/2021.028M.Peribunyaviridae_sprename.zip","2021.028M.Peribunyaviridae_sprename.zip")</f>
        <v>2021.028M.Peribunyaviridae_sprename.zip</v>
      </c>
      <c r="U8812" s="43" t="str">
        <f>HYPERLINK("https://ictv.global/taxonomy/taxondetails?taxnode_id=202206359","ictv.global=202206359")</f>
        <v>ictv.global=202206359</v>
      </c>
    </row>
    <row r="8813" spans="1:21">
      <c r="A8813">
        <v>8812</v>
      </c>
      <c r="B8813" s="29" t="s">
        <v>3223</v>
      </c>
      <c r="C8813" s="29"/>
      <c r="D8813" s="29" t="s">
        <v>4156</v>
      </c>
      <c r="E8813" s="29"/>
      <c r="F8813" s="29" t="s">
        <v>2998</v>
      </c>
      <c r="G8813" s="29" t="s">
        <v>3020</v>
      </c>
      <c r="H8813" s="29" t="s">
        <v>3021</v>
      </c>
      <c r="I8813" s="29"/>
      <c r="J8813" s="29" t="s">
        <v>2374</v>
      </c>
      <c r="K8813" s="29"/>
      <c r="L8813" s="29" t="s">
        <v>2380</v>
      </c>
      <c r="M8813" s="29"/>
      <c r="N8813" s="29" t="s">
        <v>1446</v>
      </c>
      <c r="O8813" s="29"/>
      <c r="P8813" s="29" t="s">
        <v>13697</v>
      </c>
      <c r="Q8813" t="s">
        <v>2039</v>
      </c>
      <c r="R8813" t="s">
        <v>2632</v>
      </c>
      <c r="S8813">
        <v>38</v>
      </c>
      <c r="T8813" s="43" t="str">
        <f>HYPERLINK("https://ictv.global/ictv/proposals/2022.018M.Orthobunyavirus_29nsp_abolish4sp.zip","2022.018M.Orthobunyavirus_29nsp_abolish4sp.zip")</f>
        <v>2022.018M.Orthobunyavirus_29nsp_abolish4sp.zip</v>
      </c>
      <c r="U8813" s="43" t="str">
        <f>HYPERLINK("https://ictv.global/taxonomy/taxondetails?taxnode_id=202214228","ictv.global=202214228")</f>
        <v>ictv.global=202214228</v>
      </c>
    </row>
    <row r="8814" spans="1:21">
      <c r="A8814">
        <v>8813</v>
      </c>
      <c r="B8814" s="29" t="s">
        <v>3223</v>
      </c>
      <c r="C8814" s="29"/>
      <c r="D8814" s="29" t="s">
        <v>4156</v>
      </c>
      <c r="E8814" s="29"/>
      <c r="F8814" s="29" t="s">
        <v>2998</v>
      </c>
      <c r="G8814" s="29" t="s">
        <v>3020</v>
      </c>
      <c r="H8814" s="29" t="s">
        <v>3021</v>
      </c>
      <c r="I8814" s="29"/>
      <c r="J8814" s="29" t="s">
        <v>2374</v>
      </c>
      <c r="K8814" s="29"/>
      <c r="L8814" s="29" t="s">
        <v>2380</v>
      </c>
      <c r="M8814" s="29"/>
      <c r="N8814" s="29" t="s">
        <v>1446</v>
      </c>
      <c r="O8814" s="29"/>
      <c r="P8814" s="29" t="s">
        <v>13698</v>
      </c>
      <c r="Q8814" t="s">
        <v>2039</v>
      </c>
      <c r="R8814" t="s">
        <v>2635</v>
      </c>
      <c r="S8814">
        <v>38</v>
      </c>
      <c r="T8814" s="43" t="str">
        <f t="shared" ref="T8814:T8819" si="381">HYPERLINK("https://ictv.global/ictv/proposals/2021.028M.Peribunyaviridae_sprename.zip","2021.028M.Peribunyaviridae_sprename.zip")</f>
        <v>2021.028M.Peribunyaviridae_sprename.zip</v>
      </c>
      <c r="U8814" s="43" t="str">
        <f>HYPERLINK("https://ictv.global/taxonomy/taxondetails?taxnode_id=202200128","ictv.global=202200128")</f>
        <v>ictv.global=202200128</v>
      </c>
    </row>
    <row r="8815" spans="1:21">
      <c r="A8815">
        <v>8814</v>
      </c>
      <c r="B8815" s="29" t="s">
        <v>3223</v>
      </c>
      <c r="C8815" s="29"/>
      <c r="D8815" s="29" t="s">
        <v>4156</v>
      </c>
      <c r="E8815" s="29"/>
      <c r="F8815" s="29" t="s">
        <v>2998</v>
      </c>
      <c r="G8815" s="29" t="s">
        <v>3020</v>
      </c>
      <c r="H8815" s="29" t="s">
        <v>3021</v>
      </c>
      <c r="I8815" s="29"/>
      <c r="J8815" s="29" t="s">
        <v>2374</v>
      </c>
      <c r="K8815" s="29"/>
      <c r="L8815" s="29" t="s">
        <v>2380</v>
      </c>
      <c r="M8815" s="29"/>
      <c r="N8815" s="29" t="s">
        <v>1446</v>
      </c>
      <c r="O8815" s="29"/>
      <c r="P8815" s="29" t="s">
        <v>13699</v>
      </c>
      <c r="Q8815" t="s">
        <v>2039</v>
      </c>
      <c r="R8815" t="s">
        <v>2635</v>
      </c>
      <c r="S8815">
        <v>38</v>
      </c>
      <c r="T8815" s="43" t="str">
        <f t="shared" si="381"/>
        <v>2021.028M.Peribunyaviridae_sprename.zip</v>
      </c>
      <c r="U8815" s="43" t="str">
        <f>HYPERLINK("https://ictv.global/taxonomy/taxondetails?taxnode_id=202200129","ictv.global=202200129")</f>
        <v>ictv.global=202200129</v>
      </c>
    </row>
    <row r="8816" spans="1:21">
      <c r="A8816">
        <v>8815</v>
      </c>
      <c r="B8816" s="29" t="s">
        <v>3223</v>
      </c>
      <c r="C8816" s="29"/>
      <c r="D8816" s="29" t="s">
        <v>4156</v>
      </c>
      <c r="E8816" s="29"/>
      <c r="F8816" s="29" t="s">
        <v>2998</v>
      </c>
      <c r="G8816" s="29" t="s">
        <v>3020</v>
      </c>
      <c r="H8816" s="29" t="s">
        <v>3021</v>
      </c>
      <c r="I8816" s="29"/>
      <c r="J8816" s="29" t="s">
        <v>2374</v>
      </c>
      <c r="K8816" s="29"/>
      <c r="L8816" s="29" t="s">
        <v>2380</v>
      </c>
      <c r="M8816" s="29"/>
      <c r="N8816" s="29" t="s">
        <v>1446</v>
      </c>
      <c r="O8816" s="29"/>
      <c r="P8816" s="29" t="s">
        <v>13700</v>
      </c>
      <c r="Q8816" t="s">
        <v>2039</v>
      </c>
      <c r="R8816" t="s">
        <v>2635</v>
      </c>
      <c r="S8816">
        <v>38</v>
      </c>
      <c r="T8816" s="43" t="str">
        <f t="shared" si="381"/>
        <v>2021.028M.Peribunyaviridae_sprename.zip</v>
      </c>
      <c r="U8816" s="43" t="str">
        <f>HYPERLINK("https://ictv.global/taxonomy/taxondetails?taxnode_id=202206387","ictv.global=202206387")</f>
        <v>ictv.global=202206387</v>
      </c>
    </row>
    <row r="8817" spans="1:21">
      <c r="A8817">
        <v>8816</v>
      </c>
      <c r="B8817" s="29" t="s">
        <v>3223</v>
      </c>
      <c r="C8817" s="29"/>
      <c r="D8817" s="29" t="s">
        <v>4156</v>
      </c>
      <c r="E8817" s="29"/>
      <c r="F8817" s="29" t="s">
        <v>2998</v>
      </c>
      <c r="G8817" s="29" t="s">
        <v>3020</v>
      </c>
      <c r="H8817" s="29" t="s">
        <v>3021</v>
      </c>
      <c r="I8817" s="29"/>
      <c r="J8817" s="29" t="s">
        <v>2374</v>
      </c>
      <c r="K8817" s="29"/>
      <c r="L8817" s="29" t="s">
        <v>2380</v>
      </c>
      <c r="M8817" s="29"/>
      <c r="N8817" s="29" t="s">
        <v>1446</v>
      </c>
      <c r="O8817" s="29"/>
      <c r="P8817" s="29" t="s">
        <v>13701</v>
      </c>
      <c r="Q8817" t="s">
        <v>2039</v>
      </c>
      <c r="R8817" t="s">
        <v>2635</v>
      </c>
      <c r="S8817">
        <v>38</v>
      </c>
      <c r="T8817" s="43" t="str">
        <f t="shared" si="381"/>
        <v>2021.028M.Peribunyaviridae_sprename.zip</v>
      </c>
      <c r="U8817" s="43" t="str">
        <f>HYPERLINK("https://ictv.global/taxonomy/taxondetails?taxnode_id=202209329","ictv.global=202209329")</f>
        <v>ictv.global=202209329</v>
      </c>
    </row>
    <row r="8818" spans="1:21">
      <c r="A8818">
        <v>8817</v>
      </c>
      <c r="B8818" s="29" t="s">
        <v>3223</v>
      </c>
      <c r="C8818" s="29"/>
      <c r="D8818" s="29" t="s">
        <v>4156</v>
      </c>
      <c r="E8818" s="29"/>
      <c r="F8818" s="29" t="s">
        <v>2998</v>
      </c>
      <c r="G8818" s="29" t="s">
        <v>3020</v>
      </c>
      <c r="H8818" s="29" t="s">
        <v>3021</v>
      </c>
      <c r="I8818" s="29"/>
      <c r="J8818" s="29" t="s">
        <v>2374</v>
      </c>
      <c r="K8818" s="29"/>
      <c r="L8818" s="29" t="s">
        <v>2380</v>
      </c>
      <c r="M8818" s="29"/>
      <c r="N8818" s="29" t="s">
        <v>1446</v>
      </c>
      <c r="O8818" s="29"/>
      <c r="P8818" s="29" t="s">
        <v>13702</v>
      </c>
      <c r="Q8818" t="s">
        <v>2039</v>
      </c>
      <c r="R8818" t="s">
        <v>2635</v>
      </c>
      <c r="S8818">
        <v>38</v>
      </c>
      <c r="T8818" s="43" t="str">
        <f t="shared" si="381"/>
        <v>2021.028M.Peribunyaviridae_sprename.zip</v>
      </c>
      <c r="U8818" s="43" t="str">
        <f>HYPERLINK("https://ictv.global/taxonomy/taxondetails?taxnode_id=202200130","ictv.global=202200130")</f>
        <v>ictv.global=202200130</v>
      </c>
    </row>
    <row r="8819" spans="1:21">
      <c r="A8819">
        <v>8818</v>
      </c>
      <c r="B8819" s="29" t="s">
        <v>3223</v>
      </c>
      <c r="C8819" s="29"/>
      <c r="D8819" s="29" t="s">
        <v>4156</v>
      </c>
      <c r="E8819" s="29"/>
      <c r="F8819" s="29" t="s">
        <v>2998</v>
      </c>
      <c r="G8819" s="29" t="s">
        <v>3020</v>
      </c>
      <c r="H8819" s="29" t="s">
        <v>3021</v>
      </c>
      <c r="I8819" s="29"/>
      <c r="J8819" s="29" t="s">
        <v>2374</v>
      </c>
      <c r="K8819" s="29"/>
      <c r="L8819" s="29" t="s">
        <v>2380</v>
      </c>
      <c r="M8819" s="29"/>
      <c r="N8819" s="29" t="s">
        <v>1446</v>
      </c>
      <c r="O8819" s="29"/>
      <c r="P8819" s="29" t="s">
        <v>13703</v>
      </c>
      <c r="Q8819" t="s">
        <v>2039</v>
      </c>
      <c r="R8819" t="s">
        <v>2635</v>
      </c>
      <c r="S8819">
        <v>38</v>
      </c>
      <c r="T8819" s="43" t="str">
        <f t="shared" si="381"/>
        <v>2021.028M.Peribunyaviridae_sprename.zip</v>
      </c>
      <c r="U8819" s="43" t="str">
        <f>HYPERLINK("https://ictv.global/taxonomy/taxondetails?taxnode_id=202206372","ictv.global=202206372")</f>
        <v>ictv.global=202206372</v>
      </c>
    </row>
    <row r="8820" spans="1:21">
      <c r="A8820">
        <v>8819</v>
      </c>
      <c r="B8820" s="29" t="s">
        <v>3223</v>
      </c>
      <c r="C8820" s="29"/>
      <c r="D8820" s="29" t="s">
        <v>4156</v>
      </c>
      <c r="E8820" s="29"/>
      <c r="F8820" s="29" t="s">
        <v>2998</v>
      </c>
      <c r="G8820" s="29" t="s">
        <v>3020</v>
      </c>
      <c r="H8820" s="29" t="s">
        <v>3021</v>
      </c>
      <c r="I8820" s="29"/>
      <c r="J8820" s="29" t="s">
        <v>2374</v>
      </c>
      <c r="K8820" s="29"/>
      <c r="L8820" s="29" t="s">
        <v>2380</v>
      </c>
      <c r="M8820" s="29"/>
      <c r="N8820" s="29" t="s">
        <v>1446</v>
      </c>
      <c r="O8820" s="29"/>
      <c r="P8820" s="29" t="s">
        <v>13704</v>
      </c>
      <c r="Q8820" t="s">
        <v>2039</v>
      </c>
      <c r="R8820" t="s">
        <v>2632</v>
      </c>
      <c r="S8820">
        <v>38</v>
      </c>
      <c r="T8820" s="43" t="str">
        <f>HYPERLINK("https://ictv.global/ictv/proposals/2022.018M.Orthobunyavirus_29nsp_abolish4sp.zip","2022.018M.Orthobunyavirus_29nsp_abolish4sp.zip")</f>
        <v>2022.018M.Orthobunyavirus_29nsp_abolish4sp.zip</v>
      </c>
      <c r="U8820" s="43" t="str">
        <f>HYPERLINK("https://ictv.global/taxonomy/taxondetails?taxnode_id=202214243","ictv.global=202214243")</f>
        <v>ictv.global=202214243</v>
      </c>
    </row>
    <row r="8821" spans="1:21">
      <c r="A8821">
        <v>8820</v>
      </c>
      <c r="B8821" s="29" t="s">
        <v>3223</v>
      </c>
      <c r="C8821" s="29"/>
      <c r="D8821" s="29" t="s">
        <v>4156</v>
      </c>
      <c r="E8821" s="29"/>
      <c r="F8821" s="29" t="s">
        <v>2998</v>
      </c>
      <c r="G8821" s="29" t="s">
        <v>3020</v>
      </c>
      <c r="H8821" s="29" t="s">
        <v>3021</v>
      </c>
      <c r="I8821" s="29"/>
      <c r="J8821" s="29" t="s">
        <v>2374</v>
      </c>
      <c r="K8821" s="29"/>
      <c r="L8821" s="29" t="s">
        <v>2380</v>
      </c>
      <c r="M8821" s="29"/>
      <c r="N8821" s="29" t="s">
        <v>1446</v>
      </c>
      <c r="O8821" s="29"/>
      <c r="P8821" s="29" t="s">
        <v>13705</v>
      </c>
      <c r="Q8821" t="s">
        <v>2039</v>
      </c>
      <c r="R8821" t="s">
        <v>2635</v>
      </c>
      <c r="S8821">
        <v>38</v>
      </c>
      <c r="T8821" s="43" t="str">
        <f>HYPERLINK("https://ictv.global/ictv/proposals/2021.028M.Peribunyaviridae_sprename.zip","2021.028M.Peribunyaviridae_sprename.zip")</f>
        <v>2021.028M.Peribunyaviridae_sprename.zip</v>
      </c>
      <c r="U8821" s="43" t="str">
        <f>HYPERLINK("https://ictv.global/taxonomy/taxondetails?taxnode_id=202206598","ictv.global=202206598")</f>
        <v>ictv.global=202206598</v>
      </c>
    </row>
    <row r="8822" spans="1:21">
      <c r="A8822">
        <v>8821</v>
      </c>
      <c r="B8822" s="29" t="s">
        <v>3223</v>
      </c>
      <c r="C8822" s="29"/>
      <c r="D8822" s="29" t="s">
        <v>4156</v>
      </c>
      <c r="E8822" s="29"/>
      <c r="F8822" s="29" t="s">
        <v>2998</v>
      </c>
      <c r="G8822" s="29" t="s">
        <v>3020</v>
      </c>
      <c r="H8822" s="29" t="s">
        <v>3021</v>
      </c>
      <c r="I8822" s="29"/>
      <c r="J8822" s="29" t="s">
        <v>2374</v>
      </c>
      <c r="K8822" s="29"/>
      <c r="L8822" s="29" t="s">
        <v>2380</v>
      </c>
      <c r="M8822" s="29"/>
      <c r="N8822" s="29" t="s">
        <v>1446</v>
      </c>
      <c r="O8822" s="29"/>
      <c r="P8822" s="29" t="s">
        <v>13706</v>
      </c>
      <c r="Q8822" t="s">
        <v>2039</v>
      </c>
      <c r="R8822" t="s">
        <v>2632</v>
      </c>
      <c r="S8822">
        <v>38</v>
      </c>
      <c r="T8822" s="43" t="str">
        <f>HYPERLINK("https://ictv.global/ictv/proposals/2022.018M.Orthobunyavirus_29nsp_abolish4sp.zip","2022.018M.Orthobunyavirus_29nsp_abolish4sp.zip")</f>
        <v>2022.018M.Orthobunyavirus_29nsp_abolish4sp.zip</v>
      </c>
      <c r="U8822" s="43" t="str">
        <f>HYPERLINK("https://ictv.global/taxonomy/taxondetails?taxnode_id=202214224","ictv.global=202214224")</f>
        <v>ictv.global=202214224</v>
      </c>
    </row>
    <row r="8823" spans="1:21">
      <c r="A8823">
        <v>8822</v>
      </c>
      <c r="B8823" s="29" t="s">
        <v>3223</v>
      </c>
      <c r="C8823" s="29"/>
      <c r="D8823" s="29" t="s">
        <v>4156</v>
      </c>
      <c r="E8823" s="29"/>
      <c r="F8823" s="29" t="s">
        <v>2998</v>
      </c>
      <c r="G8823" s="29" t="s">
        <v>3020</v>
      </c>
      <c r="H8823" s="29" t="s">
        <v>3021</v>
      </c>
      <c r="I8823" s="29"/>
      <c r="J8823" s="29" t="s">
        <v>2374</v>
      </c>
      <c r="K8823" s="29"/>
      <c r="L8823" s="29" t="s">
        <v>2380</v>
      </c>
      <c r="M8823" s="29"/>
      <c r="N8823" s="29" t="s">
        <v>1446</v>
      </c>
      <c r="O8823" s="29"/>
      <c r="P8823" s="29" t="s">
        <v>13707</v>
      </c>
      <c r="Q8823" t="s">
        <v>2039</v>
      </c>
      <c r="R8823" t="s">
        <v>2635</v>
      </c>
      <c r="S8823">
        <v>38</v>
      </c>
      <c r="T8823" s="43" t="str">
        <f>HYPERLINK("https://ictv.global/ictv/proposals/2021.028M.Peribunyaviridae_sprename.zip","2021.028M.Peribunyaviridae_sprename.zip")</f>
        <v>2021.028M.Peribunyaviridae_sprename.zip</v>
      </c>
      <c r="U8823" s="43" t="str">
        <f>HYPERLINK("https://ictv.global/taxonomy/taxondetails?taxnode_id=202206363","ictv.global=202206363")</f>
        <v>ictv.global=202206363</v>
      </c>
    </row>
    <row r="8824" spans="1:21">
      <c r="A8824">
        <v>8823</v>
      </c>
      <c r="B8824" s="29" t="s">
        <v>3223</v>
      </c>
      <c r="C8824" s="29"/>
      <c r="D8824" s="29" t="s">
        <v>4156</v>
      </c>
      <c r="E8824" s="29"/>
      <c r="F8824" s="29" t="s">
        <v>2998</v>
      </c>
      <c r="G8824" s="29" t="s">
        <v>3020</v>
      </c>
      <c r="H8824" s="29" t="s">
        <v>3021</v>
      </c>
      <c r="I8824" s="29"/>
      <c r="J8824" s="29" t="s">
        <v>2374</v>
      </c>
      <c r="K8824" s="29"/>
      <c r="L8824" s="29" t="s">
        <v>2380</v>
      </c>
      <c r="M8824" s="29"/>
      <c r="N8824" s="29" t="s">
        <v>1446</v>
      </c>
      <c r="O8824" s="29"/>
      <c r="P8824" s="29" t="s">
        <v>13708</v>
      </c>
      <c r="Q8824" t="s">
        <v>2039</v>
      </c>
      <c r="R8824" t="s">
        <v>2632</v>
      </c>
      <c r="S8824">
        <v>38</v>
      </c>
      <c r="T8824" s="43" t="str">
        <f>HYPERLINK("https://ictv.global/ictv/proposals/2022.018M.Orthobunyavirus_29nsp_abolish4sp.zip","2022.018M.Orthobunyavirus_29nsp_abolish4sp.zip")</f>
        <v>2022.018M.Orthobunyavirus_29nsp_abolish4sp.zip</v>
      </c>
      <c r="U8824" s="43" t="str">
        <f>HYPERLINK("https://ictv.global/taxonomy/taxondetails?taxnode_id=202214244","ictv.global=202214244")</f>
        <v>ictv.global=202214244</v>
      </c>
    </row>
    <row r="8825" spans="1:21">
      <c r="A8825">
        <v>8824</v>
      </c>
      <c r="B8825" s="29" t="s">
        <v>3223</v>
      </c>
      <c r="C8825" s="29"/>
      <c r="D8825" s="29" t="s">
        <v>4156</v>
      </c>
      <c r="E8825" s="29"/>
      <c r="F8825" s="29" t="s">
        <v>2998</v>
      </c>
      <c r="G8825" s="29" t="s">
        <v>3020</v>
      </c>
      <c r="H8825" s="29" t="s">
        <v>3021</v>
      </c>
      <c r="I8825" s="29"/>
      <c r="J8825" s="29" t="s">
        <v>2374</v>
      </c>
      <c r="K8825" s="29"/>
      <c r="L8825" s="29" t="s">
        <v>2380</v>
      </c>
      <c r="M8825" s="29"/>
      <c r="N8825" s="29" t="s">
        <v>1446</v>
      </c>
      <c r="O8825" s="29"/>
      <c r="P8825" s="29" t="s">
        <v>13709</v>
      </c>
      <c r="Q8825" t="s">
        <v>2039</v>
      </c>
      <c r="R8825" t="s">
        <v>2635</v>
      </c>
      <c r="S8825">
        <v>38</v>
      </c>
      <c r="T8825" s="43" t="str">
        <f>HYPERLINK("https://ictv.global/ictv/proposals/2021.028M.Peribunyaviridae_sprename.zip","2021.028M.Peribunyaviridae_sprename.zip")</f>
        <v>2021.028M.Peribunyaviridae_sprename.zip</v>
      </c>
      <c r="U8825" s="43" t="str">
        <f>HYPERLINK("https://ictv.global/taxonomy/taxondetails?taxnode_id=202200131","ictv.global=202200131")</f>
        <v>ictv.global=202200131</v>
      </c>
    </row>
    <row r="8826" spans="1:21">
      <c r="A8826">
        <v>8825</v>
      </c>
      <c r="B8826" s="29" t="s">
        <v>3223</v>
      </c>
      <c r="C8826" s="29"/>
      <c r="D8826" s="29" t="s">
        <v>4156</v>
      </c>
      <c r="E8826" s="29"/>
      <c r="F8826" s="29" t="s">
        <v>2998</v>
      </c>
      <c r="G8826" s="29" t="s">
        <v>3020</v>
      </c>
      <c r="H8826" s="29" t="s">
        <v>3021</v>
      </c>
      <c r="I8826" s="29"/>
      <c r="J8826" s="29" t="s">
        <v>2374</v>
      </c>
      <c r="K8826" s="29"/>
      <c r="L8826" s="29" t="s">
        <v>2380</v>
      </c>
      <c r="M8826" s="29"/>
      <c r="N8826" s="29" t="s">
        <v>1446</v>
      </c>
      <c r="O8826" s="29"/>
      <c r="P8826" s="29" t="s">
        <v>13710</v>
      </c>
      <c r="Q8826" t="s">
        <v>2039</v>
      </c>
      <c r="R8826" t="s">
        <v>2635</v>
      </c>
      <c r="S8826">
        <v>38</v>
      </c>
      <c r="T8826" s="43" t="str">
        <f>HYPERLINK("https://ictv.global/ictv/proposals/2021.028M.Peribunyaviridae_sprename.zip","2021.028M.Peribunyaviridae_sprename.zip")</f>
        <v>2021.028M.Peribunyaviridae_sprename.zip</v>
      </c>
      <c r="U8826" s="43" t="str">
        <f>HYPERLINK("https://ictv.global/taxonomy/taxondetails?taxnode_id=202200132","ictv.global=202200132")</f>
        <v>ictv.global=202200132</v>
      </c>
    </row>
    <row r="8827" spans="1:21">
      <c r="A8827">
        <v>8826</v>
      </c>
      <c r="B8827" s="29" t="s">
        <v>3223</v>
      </c>
      <c r="C8827" s="29"/>
      <c r="D8827" s="29" t="s">
        <v>4156</v>
      </c>
      <c r="E8827" s="29"/>
      <c r="F8827" s="29" t="s">
        <v>2998</v>
      </c>
      <c r="G8827" s="29" t="s">
        <v>3020</v>
      </c>
      <c r="H8827" s="29" t="s">
        <v>3021</v>
      </c>
      <c r="I8827" s="29"/>
      <c r="J8827" s="29" t="s">
        <v>2374</v>
      </c>
      <c r="K8827" s="29"/>
      <c r="L8827" s="29" t="s">
        <v>2380</v>
      </c>
      <c r="M8827" s="29"/>
      <c r="N8827" s="29" t="s">
        <v>1446</v>
      </c>
      <c r="O8827" s="29"/>
      <c r="P8827" s="29" t="s">
        <v>13711</v>
      </c>
      <c r="Q8827" t="s">
        <v>2039</v>
      </c>
      <c r="R8827" t="s">
        <v>2635</v>
      </c>
      <c r="S8827">
        <v>38</v>
      </c>
      <c r="T8827" s="43" t="str">
        <f>HYPERLINK("https://ictv.global/ictv/proposals/2021.028M.Peribunyaviridae_sprename.zip","2021.028M.Peribunyaviridae_sprename.zip")</f>
        <v>2021.028M.Peribunyaviridae_sprename.zip</v>
      </c>
      <c r="U8827" s="43" t="str">
        <f>HYPERLINK("https://ictv.global/taxonomy/taxondetails?taxnode_id=202200133","ictv.global=202200133")</f>
        <v>ictv.global=202200133</v>
      </c>
    </row>
    <row r="8828" spans="1:21">
      <c r="A8828">
        <v>8827</v>
      </c>
      <c r="B8828" s="29" t="s">
        <v>3223</v>
      </c>
      <c r="C8828" s="29"/>
      <c r="D8828" s="29" t="s">
        <v>4156</v>
      </c>
      <c r="E8828" s="29"/>
      <c r="F8828" s="29" t="s">
        <v>2998</v>
      </c>
      <c r="G8828" s="29" t="s">
        <v>3020</v>
      </c>
      <c r="H8828" s="29" t="s">
        <v>3021</v>
      </c>
      <c r="I8828" s="29"/>
      <c r="J8828" s="29" t="s">
        <v>2374</v>
      </c>
      <c r="K8828" s="29"/>
      <c r="L8828" s="29" t="s">
        <v>2380</v>
      </c>
      <c r="M8828" s="29"/>
      <c r="N8828" s="29" t="s">
        <v>1446</v>
      </c>
      <c r="O8828" s="29"/>
      <c r="P8828" s="29" t="s">
        <v>13712</v>
      </c>
      <c r="Q8828" t="s">
        <v>2039</v>
      </c>
      <c r="R8828" t="s">
        <v>2635</v>
      </c>
      <c r="S8828">
        <v>38</v>
      </c>
      <c r="T8828" s="43" t="str">
        <f>HYPERLINK("https://ictv.global/ictv/proposals/2021.028M.Peribunyaviridae_sprename.zip","2021.028M.Peribunyaviridae_sprename.zip")</f>
        <v>2021.028M.Peribunyaviridae_sprename.zip</v>
      </c>
      <c r="U8828" s="43" t="str">
        <f>HYPERLINK("https://ictv.global/taxonomy/taxondetails?taxnode_id=202209330","ictv.global=202209330")</f>
        <v>ictv.global=202209330</v>
      </c>
    </row>
    <row r="8829" spans="1:21">
      <c r="A8829">
        <v>8828</v>
      </c>
      <c r="B8829" s="29" t="s">
        <v>3223</v>
      </c>
      <c r="C8829" s="29"/>
      <c r="D8829" s="29" t="s">
        <v>4156</v>
      </c>
      <c r="E8829" s="29"/>
      <c r="F8829" s="29" t="s">
        <v>2998</v>
      </c>
      <c r="G8829" s="29" t="s">
        <v>3020</v>
      </c>
      <c r="H8829" s="29" t="s">
        <v>3021</v>
      </c>
      <c r="I8829" s="29"/>
      <c r="J8829" s="29" t="s">
        <v>2374</v>
      </c>
      <c r="K8829" s="29"/>
      <c r="L8829" s="29" t="s">
        <v>2380</v>
      </c>
      <c r="M8829" s="29"/>
      <c r="N8829" s="29" t="s">
        <v>1446</v>
      </c>
      <c r="O8829" s="29"/>
      <c r="P8829" s="29" t="s">
        <v>13713</v>
      </c>
      <c r="Q8829" t="s">
        <v>2039</v>
      </c>
      <c r="R8829" t="s">
        <v>2635</v>
      </c>
      <c r="S8829">
        <v>38</v>
      </c>
      <c r="T8829" s="43" t="str">
        <f>HYPERLINK("https://ictv.global/ictv/proposals/2021.028M.Peribunyaviridae_sprename.zip","2021.028M.Peribunyaviridae_sprename.zip")</f>
        <v>2021.028M.Peribunyaviridae_sprename.zip</v>
      </c>
      <c r="U8829" s="43" t="str">
        <f>HYPERLINK("https://ictv.global/taxonomy/taxondetails?taxnode_id=202200134","ictv.global=202200134")</f>
        <v>ictv.global=202200134</v>
      </c>
    </row>
    <row r="8830" spans="1:21">
      <c r="A8830">
        <v>8829</v>
      </c>
      <c r="B8830" s="29" t="s">
        <v>3223</v>
      </c>
      <c r="C8830" s="29"/>
      <c r="D8830" s="29" t="s">
        <v>4156</v>
      </c>
      <c r="E8830" s="29"/>
      <c r="F8830" s="29" t="s">
        <v>2998</v>
      </c>
      <c r="G8830" s="29" t="s">
        <v>3020</v>
      </c>
      <c r="H8830" s="29" t="s">
        <v>3021</v>
      </c>
      <c r="I8830" s="29"/>
      <c r="J8830" s="29" t="s">
        <v>2374</v>
      </c>
      <c r="K8830" s="29"/>
      <c r="L8830" s="29" t="s">
        <v>2380</v>
      </c>
      <c r="M8830" s="29"/>
      <c r="N8830" s="29" t="s">
        <v>1446</v>
      </c>
      <c r="O8830" s="29"/>
      <c r="P8830" s="29" t="s">
        <v>13714</v>
      </c>
      <c r="Q8830" t="s">
        <v>2039</v>
      </c>
      <c r="R8830" t="s">
        <v>2632</v>
      </c>
      <c r="S8830">
        <v>38</v>
      </c>
      <c r="T8830" s="43" t="str">
        <f>HYPERLINK("https://ictv.global/ictv/proposals/2022.018M.Orthobunyavirus_29nsp_abolish4sp.zip","2022.018M.Orthobunyavirus_29nsp_abolish4sp.zip")</f>
        <v>2022.018M.Orthobunyavirus_29nsp_abolish4sp.zip</v>
      </c>
      <c r="U8830" s="43" t="str">
        <f>HYPERLINK("https://ictv.global/taxonomy/taxondetails?taxnode_id=202214234","ictv.global=202214234")</f>
        <v>ictv.global=202214234</v>
      </c>
    </row>
    <row r="8831" spans="1:21">
      <c r="A8831">
        <v>8830</v>
      </c>
      <c r="B8831" s="29" t="s">
        <v>3223</v>
      </c>
      <c r="C8831" s="29"/>
      <c r="D8831" s="29" t="s">
        <v>4156</v>
      </c>
      <c r="E8831" s="29"/>
      <c r="F8831" s="29" t="s">
        <v>2998</v>
      </c>
      <c r="G8831" s="29" t="s">
        <v>3020</v>
      </c>
      <c r="H8831" s="29" t="s">
        <v>3021</v>
      </c>
      <c r="I8831" s="29"/>
      <c r="J8831" s="29" t="s">
        <v>2374</v>
      </c>
      <c r="K8831" s="29"/>
      <c r="L8831" s="29" t="s">
        <v>2380</v>
      </c>
      <c r="M8831" s="29"/>
      <c r="N8831" s="29" t="s">
        <v>1446</v>
      </c>
      <c r="O8831" s="29"/>
      <c r="P8831" s="29" t="s">
        <v>13715</v>
      </c>
      <c r="Q8831" t="s">
        <v>2039</v>
      </c>
      <c r="R8831" t="s">
        <v>2635</v>
      </c>
      <c r="S8831">
        <v>38</v>
      </c>
      <c r="T8831" s="43" t="str">
        <f t="shared" ref="T8831:T8840" si="382">HYPERLINK("https://ictv.global/ictv/proposals/2021.028M.Peribunyaviridae_sprename.zip","2021.028M.Peribunyaviridae_sprename.zip")</f>
        <v>2021.028M.Peribunyaviridae_sprename.zip</v>
      </c>
      <c r="U8831" s="43" t="str">
        <f>HYPERLINK("https://ictv.global/taxonomy/taxondetails?taxnode_id=202206379","ictv.global=202206379")</f>
        <v>ictv.global=202206379</v>
      </c>
    </row>
    <row r="8832" spans="1:21">
      <c r="A8832">
        <v>8831</v>
      </c>
      <c r="B8832" s="29" t="s">
        <v>3223</v>
      </c>
      <c r="C8832" s="29"/>
      <c r="D8832" s="29" t="s">
        <v>4156</v>
      </c>
      <c r="E8832" s="29"/>
      <c r="F8832" s="29" t="s">
        <v>2998</v>
      </c>
      <c r="G8832" s="29" t="s">
        <v>3020</v>
      </c>
      <c r="H8832" s="29" t="s">
        <v>3021</v>
      </c>
      <c r="I8832" s="29"/>
      <c r="J8832" s="29" t="s">
        <v>2374</v>
      </c>
      <c r="K8832" s="29"/>
      <c r="L8832" s="29" t="s">
        <v>2380</v>
      </c>
      <c r="M8832" s="29"/>
      <c r="N8832" s="29" t="s">
        <v>1446</v>
      </c>
      <c r="O8832" s="29"/>
      <c r="P8832" s="29" t="s">
        <v>13716</v>
      </c>
      <c r="Q8832" t="s">
        <v>2039</v>
      </c>
      <c r="R8832" t="s">
        <v>2635</v>
      </c>
      <c r="S8832">
        <v>38</v>
      </c>
      <c r="T8832" s="43" t="str">
        <f t="shared" si="382"/>
        <v>2021.028M.Peribunyaviridae_sprename.zip</v>
      </c>
      <c r="U8832" s="43" t="str">
        <f>HYPERLINK("https://ictv.global/taxonomy/taxondetails?taxnode_id=202206599","ictv.global=202206599")</f>
        <v>ictv.global=202206599</v>
      </c>
    </row>
    <row r="8833" spans="1:21">
      <c r="A8833">
        <v>8832</v>
      </c>
      <c r="B8833" s="29" t="s">
        <v>3223</v>
      </c>
      <c r="C8833" s="29"/>
      <c r="D8833" s="29" t="s">
        <v>4156</v>
      </c>
      <c r="E8833" s="29"/>
      <c r="F8833" s="29" t="s">
        <v>2998</v>
      </c>
      <c r="G8833" s="29" t="s">
        <v>3020</v>
      </c>
      <c r="H8833" s="29" t="s">
        <v>3021</v>
      </c>
      <c r="I8833" s="29"/>
      <c r="J8833" s="29" t="s">
        <v>2374</v>
      </c>
      <c r="K8833" s="29"/>
      <c r="L8833" s="29" t="s">
        <v>2380</v>
      </c>
      <c r="M8833" s="29"/>
      <c r="N8833" s="29" t="s">
        <v>1446</v>
      </c>
      <c r="O8833" s="29"/>
      <c r="P8833" s="29" t="s">
        <v>13717</v>
      </c>
      <c r="Q8833" t="s">
        <v>2039</v>
      </c>
      <c r="R8833" t="s">
        <v>2635</v>
      </c>
      <c r="S8833">
        <v>38</v>
      </c>
      <c r="T8833" s="43" t="str">
        <f t="shared" si="382"/>
        <v>2021.028M.Peribunyaviridae_sprename.zip</v>
      </c>
      <c r="U8833" s="43" t="str">
        <f>HYPERLINK("https://ictv.global/taxonomy/taxondetails?taxnode_id=202205464","ictv.global=202205464")</f>
        <v>ictv.global=202205464</v>
      </c>
    </row>
    <row r="8834" spans="1:21">
      <c r="A8834">
        <v>8833</v>
      </c>
      <c r="B8834" s="29" t="s">
        <v>3223</v>
      </c>
      <c r="C8834" s="29"/>
      <c r="D8834" s="29" t="s">
        <v>4156</v>
      </c>
      <c r="E8834" s="29"/>
      <c r="F8834" s="29" t="s">
        <v>2998</v>
      </c>
      <c r="G8834" s="29" t="s">
        <v>3020</v>
      </c>
      <c r="H8834" s="29" t="s">
        <v>3021</v>
      </c>
      <c r="I8834" s="29"/>
      <c r="J8834" s="29" t="s">
        <v>2374</v>
      </c>
      <c r="K8834" s="29"/>
      <c r="L8834" s="29" t="s">
        <v>2380</v>
      </c>
      <c r="M8834" s="29"/>
      <c r="N8834" s="29" t="s">
        <v>1446</v>
      </c>
      <c r="O8834" s="29"/>
      <c r="P8834" s="29" t="s">
        <v>13718</v>
      </c>
      <c r="Q8834" t="s">
        <v>2039</v>
      </c>
      <c r="R8834" t="s">
        <v>2635</v>
      </c>
      <c r="S8834">
        <v>38</v>
      </c>
      <c r="T8834" s="43" t="str">
        <f t="shared" si="382"/>
        <v>2021.028M.Peribunyaviridae_sprename.zip</v>
      </c>
      <c r="U8834" s="43" t="str">
        <f>HYPERLINK("https://ictv.global/taxonomy/taxondetails?taxnode_id=202200135","ictv.global=202200135")</f>
        <v>ictv.global=202200135</v>
      </c>
    </row>
    <row r="8835" spans="1:21">
      <c r="A8835">
        <v>8834</v>
      </c>
      <c r="B8835" s="29" t="s">
        <v>3223</v>
      </c>
      <c r="C8835" s="29"/>
      <c r="D8835" s="29" t="s">
        <v>4156</v>
      </c>
      <c r="E8835" s="29"/>
      <c r="F8835" s="29" t="s">
        <v>2998</v>
      </c>
      <c r="G8835" s="29" t="s">
        <v>3020</v>
      </c>
      <c r="H8835" s="29" t="s">
        <v>3021</v>
      </c>
      <c r="I8835" s="29"/>
      <c r="J8835" s="29" t="s">
        <v>2374</v>
      </c>
      <c r="K8835" s="29"/>
      <c r="L8835" s="29" t="s">
        <v>2380</v>
      </c>
      <c r="M8835" s="29"/>
      <c r="N8835" s="29" t="s">
        <v>3252</v>
      </c>
      <c r="O8835" s="29"/>
      <c r="P8835" s="29" t="s">
        <v>13719</v>
      </c>
      <c r="Q8835" t="s">
        <v>2039</v>
      </c>
      <c r="R8835" t="s">
        <v>2635</v>
      </c>
      <c r="S8835">
        <v>38</v>
      </c>
      <c r="T8835" s="43" t="str">
        <f t="shared" si="382"/>
        <v>2021.028M.Peribunyaviridae_sprename.zip</v>
      </c>
      <c r="U8835" s="43" t="str">
        <f>HYPERLINK("https://ictv.global/taxonomy/taxondetails?taxnode_id=202207517","ictv.global=202207517")</f>
        <v>ictv.global=202207517</v>
      </c>
    </row>
    <row r="8836" spans="1:21">
      <c r="A8836">
        <v>8835</v>
      </c>
      <c r="B8836" s="29" t="s">
        <v>3223</v>
      </c>
      <c r="C8836" s="29"/>
      <c r="D8836" s="29" t="s">
        <v>4156</v>
      </c>
      <c r="E8836" s="29"/>
      <c r="F8836" s="29" t="s">
        <v>2998</v>
      </c>
      <c r="G8836" s="29" t="s">
        <v>3020</v>
      </c>
      <c r="H8836" s="29" t="s">
        <v>3021</v>
      </c>
      <c r="I8836" s="29"/>
      <c r="J8836" s="29" t="s">
        <v>2374</v>
      </c>
      <c r="K8836" s="29"/>
      <c r="L8836" s="29" t="s">
        <v>2380</v>
      </c>
      <c r="M8836" s="29"/>
      <c r="N8836" s="29" t="s">
        <v>3252</v>
      </c>
      <c r="O8836" s="29"/>
      <c r="P8836" s="29" t="s">
        <v>13720</v>
      </c>
      <c r="Q8836" t="s">
        <v>2039</v>
      </c>
      <c r="R8836" t="s">
        <v>2635</v>
      </c>
      <c r="S8836">
        <v>38</v>
      </c>
      <c r="T8836" s="43" t="str">
        <f t="shared" si="382"/>
        <v>2021.028M.Peribunyaviridae_sprename.zip</v>
      </c>
      <c r="U8836" s="43" t="str">
        <f>HYPERLINK("https://ictv.global/taxonomy/taxondetails?taxnode_id=202200160","ictv.global=202200160")</f>
        <v>ictv.global=202200160</v>
      </c>
    </row>
    <row r="8837" spans="1:21">
      <c r="A8837">
        <v>8836</v>
      </c>
      <c r="B8837" s="29" t="s">
        <v>3223</v>
      </c>
      <c r="C8837" s="29"/>
      <c r="D8837" s="29" t="s">
        <v>4156</v>
      </c>
      <c r="E8837" s="29"/>
      <c r="F8837" s="29" t="s">
        <v>2998</v>
      </c>
      <c r="G8837" s="29" t="s">
        <v>3020</v>
      </c>
      <c r="H8837" s="29" t="s">
        <v>3021</v>
      </c>
      <c r="I8837" s="29"/>
      <c r="J8837" s="29" t="s">
        <v>2374</v>
      </c>
      <c r="K8837" s="29"/>
      <c r="L8837" s="29" t="s">
        <v>2380</v>
      </c>
      <c r="M8837" s="29"/>
      <c r="N8837" s="29" t="s">
        <v>3252</v>
      </c>
      <c r="O8837" s="29"/>
      <c r="P8837" s="29" t="s">
        <v>13721</v>
      </c>
      <c r="Q8837" t="s">
        <v>2039</v>
      </c>
      <c r="R8837" t="s">
        <v>2635</v>
      </c>
      <c r="S8837">
        <v>38</v>
      </c>
      <c r="T8837" s="43" t="str">
        <f t="shared" si="382"/>
        <v>2021.028M.Peribunyaviridae_sprename.zip</v>
      </c>
      <c r="U8837" s="43" t="str">
        <f>HYPERLINK("https://ictv.global/taxonomy/taxondetails?taxnode_id=202206602","ictv.global=202206602")</f>
        <v>ictv.global=202206602</v>
      </c>
    </row>
    <row r="8838" spans="1:21">
      <c r="A8838">
        <v>8837</v>
      </c>
      <c r="B8838" s="29" t="s">
        <v>3223</v>
      </c>
      <c r="C8838" s="29"/>
      <c r="D8838" s="29" t="s">
        <v>4156</v>
      </c>
      <c r="E8838" s="29"/>
      <c r="F8838" s="29" t="s">
        <v>2998</v>
      </c>
      <c r="G8838" s="29" t="s">
        <v>3020</v>
      </c>
      <c r="H8838" s="29" t="s">
        <v>3021</v>
      </c>
      <c r="I8838" s="29"/>
      <c r="J8838" s="29" t="s">
        <v>2374</v>
      </c>
      <c r="K8838" s="29"/>
      <c r="L8838" s="29" t="s">
        <v>2380</v>
      </c>
      <c r="M8838" s="29"/>
      <c r="N8838" s="29" t="s">
        <v>3252</v>
      </c>
      <c r="O8838" s="29"/>
      <c r="P8838" s="29" t="s">
        <v>13722</v>
      </c>
      <c r="Q8838" t="s">
        <v>2039</v>
      </c>
      <c r="R8838" t="s">
        <v>2635</v>
      </c>
      <c r="S8838">
        <v>38</v>
      </c>
      <c r="T8838" s="43" t="str">
        <f t="shared" si="382"/>
        <v>2021.028M.Peribunyaviridae_sprename.zip</v>
      </c>
      <c r="U8838" s="43" t="str">
        <f>HYPERLINK("https://ictv.global/taxonomy/taxondetails?taxnode_id=202206601","ictv.global=202206601")</f>
        <v>ictv.global=202206601</v>
      </c>
    </row>
    <row r="8839" spans="1:21">
      <c r="A8839">
        <v>8838</v>
      </c>
      <c r="B8839" s="29" t="s">
        <v>3223</v>
      </c>
      <c r="C8839" s="29"/>
      <c r="D8839" s="29" t="s">
        <v>4156</v>
      </c>
      <c r="E8839" s="29"/>
      <c r="F8839" s="29" t="s">
        <v>2998</v>
      </c>
      <c r="G8839" s="29" t="s">
        <v>3020</v>
      </c>
      <c r="H8839" s="29" t="s">
        <v>3021</v>
      </c>
      <c r="I8839" s="29"/>
      <c r="J8839" s="29" t="s">
        <v>2374</v>
      </c>
      <c r="K8839" s="29"/>
      <c r="L8839" s="29" t="s">
        <v>2380</v>
      </c>
      <c r="M8839" s="29"/>
      <c r="N8839" s="29" t="s">
        <v>3252</v>
      </c>
      <c r="O8839" s="29"/>
      <c r="P8839" s="29" t="s">
        <v>13723</v>
      </c>
      <c r="Q8839" t="s">
        <v>2039</v>
      </c>
      <c r="R8839" t="s">
        <v>2635</v>
      </c>
      <c r="S8839">
        <v>38</v>
      </c>
      <c r="T8839" s="43" t="str">
        <f t="shared" si="382"/>
        <v>2021.028M.Peribunyaviridae_sprename.zip</v>
      </c>
      <c r="U8839" s="43" t="str">
        <f>HYPERLINK("https://ictv.global/taxonomy/taxondetails?taxnode_id=202206603","ictv.global=202206603")</f>
        <v>ictv.global=202206603</v>
      </c>
    </row>
    <row r="8840" spans="1:21">
      <c r="A8840">
        <v>8839</v>
      </c>
      <c r="B8840" s="29" t="s">
        <v>3223</v>
      </c>
      <c r="C8840" s="29"/>
      <c r="D8840" s="29" t="s">
        <v>4156</v>
      </c>
      <c r="E8840" s="29"/>
      <c r="F8840" s="29" t="s">
        <v>2998</v>
      </c>
      <c r="G8840" s="29" t="s">
        <v>3020</v>
      </c>
      <c r="H8840" s="29" t="s">
        <v>3021</v>
      </c>
      <c r="I8840" s="29"/>
      <c r="J8840" s="29" t="s">
        <v>2374</v>
      </c>
      <c r="K8840" s="29"/>
      <c r="L8840" s="29" t="s">
        <v>2380</v>
      </c>
      <c r="M8840" s="29"/>
      <c r="N8840" s="29" t="s">
        <v>3031</v>
      </c>
      <c r="O8840" s="29"/>
      <c r="P8840" s="29" t="s">
        <v>13724</v>
      </c>
      <c r="Q8840" t="s">
        <v>2039</v>
      </c>
      <c r="R8840" t="s">
        <v>2635</v>
      </c>
      <c r="S8840">
        <v>38</v>
      </c>
      <c r="T8840" s="43" t="str">
        <f t="shared" si="382"/>
        <v>2021.028M.Peribunyaviridae_sprename.zip</v>
      </c>
      <c r="U8840" s="43" t="str">
        <f>HYPERLINK("https://ictv.global/taxonomy/taxondetails?taxnode_id=202200085","ictv.global=202200085")</f>
        <v>ictv.global=202200085</v>
      </c>
    </row>
    <row r="8841" spans="1:21">
      <c r="A8841">
        <v>8840</v>
      </c>
      <c r="B8841" s="29" t="s">
        <v>3223</v>
      </c>
      <c r="C8841" s="29"/>
      <c r="D8841" s="29" t="s">
        <v>4156</v>
      </c>
      <c r="E8841" s="29"/>
      <c r="F8841" s="29" t="s">
        <v>2998</v>
      </c>
      <c r="G8841" s="29" t="s">
        <v>3020</v>
      </c>
      <c r="H8841" s="29" t="s">
        <v>3021</v>
      </c>
      <c r="I8841" s="29"/>
      <c r="J8841" s="29" t="s">
        <v>2374</v>
      </c>
      <c r="K8841" s="29"/>
      <c r="L8841" s="29" t="s">
        <v>2406</v>
      </c>
      <c r="M8841" s="29"/>
      <c r="N8841" s="29" t="s">
        <v>13725</v>
      </c>
      <c r="O8841" s="29"/>
      <c r="P8841" s="29" t="s">
        <v>13726</v>
      </c>
      <c r="Q8841" t="s">
        <v>2039</v>
      </c>
      <c r="R8841" t="s">
        <v>2632</v>
      </c>
      <c r="S8841">
        <v>37</v>
      </c>
      <c r="T8841" s="43" t="str">
        <f>HYPERLINK("https://ictv.global/ictv/proposals/2021.030M.R.Phasmaviridae_1ngen_5nsp.zip","2021.030M.R.Phasmaviridae_1ngen_5nsp.zip")</f>
        <v>2021.030M.R.Phasmaviridae_1ngen_5nsp.zip</v>
      </c>
      <c r="U8841" s="43" t="str">
        <f>HYPERLINK("https://ictv.global/taxonomy/taxondetails?taxnode_id=202212243","ictv.global=202212243")</f>
        <v>ictv.global=202212243</v>
      </c>
    </row>
    <row r="8842" spans="1:21">
      <c r="A8842">
        <v>8841</v>
      </c>
      <c r="B8842" s="29" t="s">
        <v>3223</v>
      </c>
      <c r="C8842" s="29"/>
      <c r="D8842" s="29" t="s">
        <v>4156</v>
      </c>
      <c r="E8842" s="29"/>
      <c r="F8842" s="29" t="s">
        <v>2998</v>
      </c>
      <c r="G8842" s="29" t="s">
        <v>3020</v>
      </c>
      <c r="H8842" s="29" t="s">
        <v>3021</v>
      </c>
      <c r="I8842" s="29"/>
      <c r="J8842" s="29" t="s">
        <v>2374</v>
      </c>
      <c r="K8842" s="29"/>
      <c r="L8842" s="29" t="s">
        <v>2406</v>
      </c>
      <c r="M8842" s="29"/>
      <c r="N8842" s="29" t="s">
        <v>3032</v>
      </c>
      <c r="O8842" s="29"/>
      <c r="P8842" s="29" t="s">
        <v>13727</v>
      </c>
      <c r="Q8842" t="s">
        <v>2039</v>
      </c>
      <c r="R8842" t="s">
        <v>2635</v>
      </c>
      <c r="S8842">
        <v>38</v>
      </c>
      <c r="T8842" s="43" t="str">
        <f>HYPERLINK("https://ictv.global/ictv/proposals/2021.031M.Phasmaviridae_sprename.zip","2021.031M.Phasmaviridae_sprename.zip")</f>
        <v>2021.031M.Phasmaviridae_sprename.zip</v>
      </c>
      <c r="U8842" s="43" t="str">
        <f>HYPERLINK("https://ictv.global/taxonomy/taxondetails?taxnode_id=202200005","ictv.global=202200005")</f>
        <v>ictv.global=202200005</v>
      </c>
    </row>
    <row r="8843" spans="1:21">
      <c r="A8843">
        <v>8842</v>
      </c>
      <c r="B8843" s="29" t="s">
        <v>3223</v>
      </c>
      <c r="C8843" s="29"/>
      <c r="D8843" s="29" t="s">
        <v>4156</v>
      </c>
      <c r="E8843" s="29"/>
      <c r="F8843" s="29" t="s">
        <v>2998</v>
      </c>
      <c r="G8843" s="29" t="s">
        <v>3020</v>
      </c>
      <c r="H8843" s="29" t="s">
        <v>3021</v>
      </c>
      <c r="I8843" s="29"/>
      <c r="J8843" s="29" t="s">
        <v>2374</v>
      </c>
      <c r="K8843" s="29"/>
      <c r="L8843" s="29" t="s">
        <v>2406</v>
      </c>
      <c r="M8843" s="29"/>
      <c r="N8843" s="29" t="s">
        <v>3032</v>
      </c>
      <c r="O8843" s="29"/>
      <c r="P8843" s="29" t="s">
        <v>13728</v>
      </c>
      <c r="Q8843" t="s">
        <v>2039</v>
      </c>
      <c r="R8843" t="s">
        <v>2632</v>
      </c>
      <c r="S8843">
        <v>38</v>
      </c>
      <c r="T8843" s="43" t="str">
        <f>HYPERLINK("https://ictv.global/ictv/proposals/2022.019M.Phasmaviridae_3nsp.zip","2022.019M.Phasmaviridae_3nsp.zip")</f>
        <v>2022.019M.Phasmaviridae_3nsp.zip</v>
      </c>
      <c r="U8843" s="43" t="str">
        <f>HYPERLINK("https://ictv.global/taxonomy/taxondetails?taxnode_id=202214253","ictv.global=202214253")</f>
        <v>ictv.global=202214253</v>
      </c>
    </row>
    <row r="8844" spans="1:21">
      <c r="A8844">
        <v>8843</v>
      </c>
      <c r="B8844" s="29" t="s">
        <v>3223</v>
      </c>
      <c r="C8844" s="29"/>
      <c r="D8844" s="29" t="s">
        <v>4156</v>
      </c>
      <c r="E8844" s="29"/>
      <c r="F8844" s="29" t="s">
        <v>2998</v>
      </c>
      <c r="G8844" s="29" t="s">
        <v>3020</v>
      </c>
      <c r="H8844" s="29" t="s">
        <v>3021</v>
      </c>
      <c r="I8844" s="29"/>
      <c r="J8844" s="29" t="s">
        <v>2374</v>
      </c>
      <c r="K8844" s="29"/>
      <c r="L8844" s="29" t="s">
        <v>2406</v>
      </c>
      <c r="M8844" s="29"/>
      <c r="N8844" s="29" t="s">
        <v>3032</v>
      </c>
      <c r="O8844" s="29"/>
      <c r="P8844" s="29" t="s">
        <v>13729</v>
      </c>
      <c r="Q8844" t="s">
        <v>2039</v>
      </c>
      <c r="R8844" t="s">
        <v>2635</v>
      </c>
      <c r="S8844">
        <v>38</v>
      </c>
      <c r="T8844" s="43" t="str">
        <f t="shared" ref="T8844:T8850" si="383">HYPERLINK("https://ictv.global/ictv/proposals/2021.031M.Phasmaviridae_sprename.zip","2021.031M.Phasmaviridae_sprename.zip")</f>
        <v>2021.031M.Phasmaviridae_sprename.zip</v>
      </c>
      <c r="U8844" s="43" t="str">
        <f>HYPERLINK("https://ictv.global/taxonomy/taxondetails?taxnode_id=202209613","ictv.global=202209613")</f>
        <v>ictv.global=202209613</v>
      </c>
    </row>
    <row r="8845" spans="1:21">
      <c r="A8845">
        <v>8844</v>
      </c>
      <c r="B8845" s="29" t="s">
        <v>3223</v>
      </c>
      <c r="C8845" s="29"/>
      <c r="D8845" s="29" t="s">
        <v>4156</v>
      </c>
      <c r="E8845" s="29"/>
      <c r="F8845" s="29" t="s">
        <v>2998</v>
      </c>
      <c r="G8845" s="29" t="s">
        <v>3020</v>
      </c>
      <c r="H8845" s="29" t="s">
        <v>3021</v>
      </c>
      <c r="I8845" s="29"/>
      <c r="J8845" s="29" t="s">
        <v>2374</v>
      </c>
      <c r="K8845" s="29"/>
      <c r="L8845" s="29" t="s">
        <v>2406</v>
      </c>
      <c r="M8845" s="29"/>
      <c r="N8845" s="29" t="s">
        <v>3032</v>
      </c>
      <c r="O8845" s="29"/>
      <c r="P8845" s="29" t="s">
        <v>13730</v>
      </c>
      <c r="Q8845" t="s">
        <v>2039</v>
      </c>
      <c r="R8845" t="s">
        <v>2635</v>
      </c>
      <c r="S8845">
        <v>38</v>
      </c>
      <c r="T8845" s="43" t="str">
        <f t="shared" si="383"/>
        <v>2021.031M.Phasmaviridae_sprename.zip</v>
      </c>
      <c r="U8845" s="43" t="str">
        <f>HYPERLINK("https://ictv.global/taxonomy/taxondetails?taxnode_id=202209612","ictv.global=202209612")</f>
        <v>ictv.global=202209612</v>
      </c>
    </row>
    <row r="8846" spans="1:21">
      <c r="A8846">
        <v>8845</v>
      </c>
      <c r="B8846" s="29" t="s">
        <v>3223</v>
      </c>
      <c r="C8846" s="29"/>
      <c r="D8846" s="29" t="s">
        <v>4156</v>
      </c>
      <c r="E8846" s="29"/>
      <c r="F8846" s="29" t="s">
        <v>2998</v>
      </c>
      <c r="G8846" s="29" t="s">
        <v>3020</v>
      </c>
      <c r="H8846" s="29" t="s">
        <v>3021</v>
      </c>
      <c r="I8846" s="29"/>
      <c r="J8846" s="29" t="s">
        <v>2374</v>
      </c>
      <c r="K8846" s="29"/>
      <c r="L8846" s="29" t="s">
        <v>2406</v>
      </c>
      <c r="M8846" s="29"/>
      <c r="N8846" s="29" t="s">
        <v>6676</v>
      </c>
      <c r="O8846" s="29"/>
      <c r="P8846" s="29" t="s">
        <v>13731</v>
      </c>
      <c r="Q8846" t="s">
        <v>2039</v>
      </c>
      <c r="R8846" t="s">
        <v>2635</v>
      </c>
      <c r="S8846">
        <v>38</v>
      </c>
      <c r="T8846" s="43" t="str">
        <f t="shared" si="383"/>
        <v>2021.031M.Phasmaviridae_sprename.zip</v>
      </c>
      <c r="U8846" s="43" t="str">
        <f>HYPERLINK("https://ictv.global/taxonomy/taxondetails?taxnode_id=202209611","ictv.global=202209611")</f>
        <v>ictv.global=202209611</v>
      </c>
    </row>
    <row r="8847" spans="1:21">
      <c r="A8847">
        <v>8846</v>
      </c>
      <c r="B8847" s="29" t="s">
        <v>3223</v>
      </c>
      <c r="C8847" s="29"/>
      <c r="D8847" s="29" t="s">
        <v>4156</v>
      </c>
      <c r="E8847" s="29"/>
      <c r="F8847" s="29" t="s">
        <v>2998</v>
      </c>
      <c r="G8847" s="29" t="s">
        <v>3020</v>
      </c>
      <c r="H8847" s="29" t="s">
        <v>3021</v>
      </c>
      <c r="I8847" s="29"/>
      <c r="J8847" s="29" t="s">
        <v>2374</v>
      </c>
      <c r="K8847" s="29"/>
      <c r="L8847" s="29" t="s">
        <v>2406</v>
      </c>
      <c r="M8847" s="29"/>
      <c r="N8847" s="29" t="s">
        <v>6676</v>
      </c>
      <c r="O8847" s="29"/>
      <c r="P8847" s="29" t="s">
        <v>13732</v>
      </c>
      <c r="Q8847" t="s">
        <v>2039</v>
      </c>
      <c r="R8847" t="s">
        <v>2635</v>
      </c>
      <c r="S8847">
        <v>38</v>
      </c>
      <c r="T8847" s="43" t="str">
        <f t="shared" si="383"/>
        <v>2021.031M.Phasmaviridae_sprename.zip</v>
      </c>
      <c r="U8847" s="43" t="str">
        <f>HYPERLINK("https://ictv.global/taxonomy/taxondetails?taxnode_id=202209610","ictv.global=202209610")</f>
        <v>ictv.global=202209610</v>
      </c>
    </row>
    <row r="8848" spans="1:21">
      <c r="A8848">
        <v>8847</v>
      </c>
      <c r="B8848" s="29" t="s">
        <v>3223</v>
      </c>
      <c r="C8848" s="29"/>
      <c r="D8848" s="29" t="s">
        <v>4156</v>
      </c>
      <c r="E8848" s="29"/>
      <c r="F8848" s="29" t="s">
        <v>2998</v>
      </c>
      <c r="G8848" s="29" t="s">
        <v>3020</v>
      </c>
      <c r="H8848" s="29" t="s">
        <v>3021</v>
      </c>
      <c r="I8848" s="29"/>
      <c r="J8848" s="29" t="s">
        <v>2374</v>
      </c>
      <c r="K8848" s="29"/>
      <c r="L8848" s="29" t="s">
        <v>2406</v>
      </c>
      <c r="M8848" s="29"/>
      <c r="N8848" s="29" t="s">
        <v>3033</v>
      </c>
      <c r="O8848" s="29"/>
      <c r="P8848" s="29" t="s">
        <v>13733</v>
      </c>
      <c r="Q8848" t="s">
        <v>2039</v>
      </c>
      <c r="R8848" t="s">
        <v>2635</v>
      </c>
      <c r="S8848">
        <v>38</v>
      </c>
      <c r="T8848" s="43" t="str">
        <f t="shared" si="383"/>
        <v>2021.031M.Phasmaviridae_sprename.zip</v>
      </c>
      <c r="U8848" s="43" t="str">
        <f>HYPERLINK("https://ictv.global/taxonomy/taxondetails?taxnode_id=202200065","ictv.global=202200065")</f>
        <v>ictv.global=202200065</v>
      </c>
    </row>
    <row r="8849" spans="1:21">
      <c r="A8849">
        <v>8848</v>
      </c>
      <c r="B8849" s="29" t="s">
        <v>3223</v>
      </c>
      <c r="C8849" s="29"/>
      <c r="D8849" s="29" t="s">
        <v>4156</v>
      </c>
      <c r="E8849" s="29"/>
      <c r="F8849" s="29" t="s">
        <v>2998</v>
      </c>
      <c r="G8849" s="29" t="s">
        <v>3020</v>
      </c>
      <c r="H8849" s="29" t="s">
        <v>3021</v>
      </c>
      <c r="I8849" s="29"/>
      <c r="J8849" s="29" t="s">
        <v>2374</v>
      </c>
      <c r="K8849" s="29"/>
      <c r="L8849" s="29" t="s">
        <v>2406</v>
      </c>
      <c r="M8849" s="29"/>
      <c r="N8849" s="29" t="s">
        <v>2407</v>
      </c>
      <c r="O8849" s="29"/>
      <c r="P8849" s="29" t="s">
        <v>13734</v>
      </c>
      <c r="Q8849" t="s">
        <v>2039</v>
      </c>
      <c r="R8849" t="s">
        <v>2635</v>
      </c>
      <c r="S8849">
        <v>38</v>
      </c>
      <c r="T8849" s="43" t="str">
        <f t="shared" si="383"/>
        <v>2021.031M.Phasmaviridae_sprename.zip</v>
      </c>
      <c r="U8849" s="43" t="str">
        <f>HYPERLINK("https://ictv.global/taxonomy/taxondetails?taxnode_id=202200145","ictv.global=202200145")</f>
        <v>ictv.global=202200145</v>
      </c>
    </row>
    <row r="8850" spans="1:21">
      <c r="A8850">
        <v>8849</v>
      </c>
      <c r="B8850" s="29" t="s">
        <v>3223</v>
      </c>
      <c r="C8850" s="29"/>
      <c r="D8850" s="29" t="s">
        <v>4156</v>
      </c>
      <c r="E8850" s="29"/>
      <c r="F8850" s="29" t="s">
        <v>2998</v>
      </c>
      <c r="G8850" s="29" t="s">
        <v>3020</v>
      </c>
      <c r="H8850" s="29" t="s">
        <v>3021</v>
      </c>
      <c r="I8850" s="29"/>
      <c r="J8850" s="29" t="s">
        <v>2374</v>
      </c>
      <c r="K8850" s="29"/>
      <c r="L8850" s="29" t="s">
        <v>2406</v>
      </c>
      <c r="M8850" s="29"/>
      <c r="N8850" s="29" t="s">
        <v>2407</v>
      </c>
      <c r="O8850" s="29"/>
      <c r="P8850" s="29" t="s">
        <v>13735</v>
      </c>
      <c r="Q8850" t="s">
        <v>2039</v>
      </c>
      <c r="R8850" t="s">
        <v>2635</v>
      </c>
      <c r="S8850">
        <v>38</v>
      </c>
      <c r="T8850" s="43" t="str">
        <f t="shared" si="383"/>
        <v>2021.031M.Phasmaviridae_sprename.zip</v>
      </c>
      <c r="U8850" s="43" t="str">
        <f>HYPERLINK("https://ictv.global/taxonomy/taxondetails?taxnode_id=202207659","ictv.global=202207659")</f>
        <v>ictv.global=202207659</v>
      </c>
    </row>
    <row r="8851" spans="1:21">
      <c r="A8851">
        <v>8850</v>
      </c>
      <c r="B8851" s="29" t="s">
        <v>3223</v>
      </c>
      <c r="C8851" s="29"/>
      <c r="D8851" s="29" t="s">
        <v>4156</v>
      </c>
      <c r="E8851" s="29"/>
      <c r="F8851" s="29" t="s">
        <v>2998</v>
      </c>
      <c r="G8851" s="29" t="s">
        <v>3020</v>
      </c>
      <c r="H8851" s="29" t="s">
        <v>3021</v>
      </c>
      <c r="I8851" s="29"/>
      <c r="J8851" s="29" t="s">
        <v>2374</v>
      </c>
      <c r="K8851" s="29"/>
      <c r="L8851" s="29" t="s">
        <v>2406</v>
      </c>
      <c r="M8851" s="29"/>
      <c r="N8851" s="29" t="s">
        <v>2407</v>
      </c>
      <c r="O8851" s="29"/>
      <c r="P8851" s="29" t="s">
        <v>13736</v>
      </c>
      <c r="Q8851" t="s">
        <v>2039</v>
      </c>
      <c r="R8851" t="s">
        <v>2632</v>
      </c>
      <c r="S8851">
        <v>37</v>
      </c>
      <c r="T8851" s="43" t="str">
        <f>HYPERLINK("https://ictv.global/ictv/proposals/2021.030M.R.Phasmaviridae_1ngen_5nsp.zip","2021.030M.R.Phasmaviridae_1ngen_5nsp.zip;2021.043M.R.Corrections_Mononegavirales_Bunyavirales.zip")</f>
        <v>2021.030M.R.Phasmaviridae_1ngen_5nsp.zip;2021.043M.R.Corrections_Mononegavirales_Bunyavirales.zip</v>
      </c>
      <c r="U8851" s="43" t="str">
        <f>HYPERLINK("https://ictv.global/taxonomy/taxondetails?taxnode_id=202212239","ictv.global=202212239")</f>
        <v>ictv.global=202212239</v>
      </c>
    </row>
    <row r="8852" spans="1:21">
      <c r="A8852">
        <v>8851</v>
      </c>
      <c r="B8852" s="29" t="s">
        <v>3223</v>
      </c>
      <c r="C8852" s="29"/>
      <c r="D8852" s="29" t="s">
        <v>4156</v>
      </c>
      <c r="E8852" s="29"/>
      <c r="F8852" s="29" t="s">
        <v>2998</v>
      </c>
      <c r="G8852" s="29" t="s">
        <v>3020</v>
      </c>
      <c r="H8852" s="29" t="s">
        <v>3021</v>
      </c>
      <c r="I8852" s="29"/>
      <c r="J8852" s="29" t="s">
        <v>2374</v>
      </c>
      <c r="K8852" s="29"/>
      <c r="L8852" s="29" t="s">
        <v>2406</v>
      </c>
      <c r="M8852" s="29"/>
      <c r="N8852" s="29" t="s">
        <v>2407</v>
      </c>
      <c r="O8852" s="29"/>
      <c r="P8852" s="29" t="s">
        <v>13737</v>
      </c>
      <c r="Q8852" t="s">
        <v>2039</v>
      </c>
      <c r="R8852" t="s">
        <v>2635</v>
      </c>
      <c r="S8852">
        <v>38</v>
      </c>
      <c r="T8852" s="43" t="str">
        <f>HYPERLINK("https://ictv.global/ictv/proposals/2021.031M.Phasmaviridae_sprename.zip","2021.031M.Phasmaviridae_sprename.zip")</f>
        <v>2021.031M.Phasmaviridae_sprename.zip</v>
      </c>
      <c r="U8852" s="43" t="str">
        <f>HYPERLINK("https://ictv.global/taxonomy/taxondetails?taxnode_id=202209607","ictv.global=202209607")</f>
        <v>ictv.global=202209607</v>
      </c>
    </row>
    <row r="8853" spans="1:21">
      <c r="A8853">
        <v>8852</v>
      </c>
      <c r="B8853" s="29" t="s">
        <v>3223</v>
      </c>
      <c r="C8853" s="29"/>
      <c r="D8853" s="29" t="s">
        <v>4156</v>
      </c>
      <c r="E8853" s="29"/>
      <c r="F8853" s="29" t="s">
        <v>2998</v>
      </c>
      <c r="G8853" s="29" t="s">
        <v>3020</v>
      </c>
      <c r="H8853" s="29" t="s">
        <v>3021</v>
      </c>
      <c r="I8853" s="29"/>
      <c r="J8853" s="29" t="s">
        <v>2374</v>
      </c>
      <c r="K8853" s="29"/>
      <c r="L8853" s="29" t="s">
        <v>2406</v>
      </c>
      <c r="M8853" s="29"/>
      <c r="N8853" s="29" t="s">
        <v>2407</v>
      </c>
      <c r="O8853" s="29"/>
      <c r="P8853" s="29" t="s">
        <v>13738</v>
      </c>
      <c r="Q8853" t="s">
        <v>2039</v>
      </c>
      <c r="R8853" t="s">
        <v>2635</v>
      </c>
      <c r="S8853">
        <v>38</v>
      </c>
      <c r="T8853" s="43" t="str">
        <f>HYPERLINK("https://ictv.global/ictv/proposals/2021.031M.Phasmaviridae_sprename.zip","2021.031M.Phasmaviridae_sprename.zip")</f>
        <v>2021.031M.Phasmaviridae_sprename.zip</v>
      </c>
      <c r="U8853" s="43" t="str">
        <f>HYPERLINK("https://ictv.global/taxonomy/taxondetails?taxnode_id=202209605","ictv.global=202209605")</f>
        <v>ictv.global=202209605</v>
      </c>
    </row>
    <row r="8854" spans="1:21">
      <c r="A8854">
        <v>8853</v>
      </c>
      <c r="B8854" s="29" t="s">
        <v>3223</v>
      </c>
      <c r="C8854" s="29"/>
      <c r="D8854" s="29" t="s">
        <v>4156</v>
      </c>
      <c r="E8854" s="29"/>
      <c r="F8854" s="29" t="s">
        <v>2998</v>
      </c>
      <c r="G8854" s="29" t="s">
        <v>3020</v>
      </c>
      <c r="H8854" s="29" t="s">
        <v>3021</v>
      </c>
      <c r="I8854" s="29"/>
      <c r="J8854" s="29" t="s">
        <v>2374</v>
      </c>
      <c r="K8854" s="29"/>
      <c r="L8854" s="29" t="s">
        <v>2406</v>
      </c>
      <c r="M8854" s="29"/>
      <c r="N8854" s="29" t="s">
        <v>2407</v>
      </c>
      <c r="O8854" s="29"/>
      <c r="P8854" s="29" t="s">
        <v>13739</v>
      </c>
      <c r="Q8854" t="s">
        <v>2039</v>
      </c>
      <c r="R8854" t="s">
        <v>2632</v>
      </c>
      <c r="S8854">
        <v>37</v>
      </c>
      <c r="T8854" s="43" t="str">
        <f>HYPERLINK("https://ictv.global/ictv/proposals/2021.030M.R.Phasmaviridae_1ngen_5nsp.zip","2021.030M.R.Phasmaviridae_1ngen_5nsp.zip")</f>
        <v>2021.030M.R.Phasmaviridae_1ngen_5nsp.zip</v>
      </c>
      <c r="U8854" s="43" t="str">
        <f>HYPERLINK("https://ictv.global/taxonomy/taxondetails?taxnode_id=202212238","ictv.global=202212238")</f>
        <v>ictv.global=202212238</v>
      </c>
    </row>
    <row r="8855" spans="1:21">
      <c r="A8855">
        <v>8854</v>
      </c>
      <c r="B8855" s="29" t="s">
        <v>3223</v>
      </c>
      <c r="C8855" s="29"/>
      <c r="D8855" s="29" t="s">
        <v>4156</v>
      </c>
      <c r="E8855" s="29"/>
      <c r="F8855" s="29" t="s">
        <v>2998</v>
      </c>
      <c r="G8855" s="29" t="s">
        <v>3020</v>
      </c>
      <c r="H8855" s="29" t="s">
        <v>3021</v>
      </c>
      <c r="I8855" s="29"/>
      <c r="J8855" s="29" t="s">
        <v>2374</v>
      </c>
      <c r="K8855" s="29"/>
      <c r="L8855" s="29" t="s">
        <v>2406</v>
      </c>
      <c r="M8855" s="29"/>
      <c r="N8855" s="29" t="s">
        <v>2407</v>
      </c>
      <c r="O8855" s="29"/>
      <c r="P8855" s="29" t="s">
        <v>13740</v>
      </c>
      <c r="Q8855" t="s">
        <v>2039</v>
      </c>
      <c r="R8855" t="s">
        <v>2635</v>
      </c>
      <c r="S8855">
        <v>38</v>
      </c>
      <c r="T8855" s="43" t="str">
        <f>HYPERLINK("https://ictv.global/ictv/proposals/2021.031M.Phasmaviridae_sprename.zip","2021.031M.Phasmaviridae_sprename.zip")</f>
        <v>2021.031M.Phasmaviridae_sprename.zip</v>
      </c>
      <c r="U8855" s="43" t="str">
        <f>HYPERLINK("https://ictv.global/taxonomy/taxondetails?taxnode_id=202206413","ictv.global=202206413")</f>
        <v>ictv.global=202206413</v>
      </c>
    </row>
    <row r="8856" spans="1:21">
      <c r="A8856">
        <v>8855</v>
      </c>
      <c r="B8856" s="29" t="s">
        <v>3223</v>
      </c>
      <c r="C8856" s="29"/>
      <c r="D8856" s="29" t="s">
        <v>4156</v>
      </c>
      <c r="E8856" s="29"/>
      <c r="F8856" s="29" t="s">
        <v>2998</v>
      </c>
      <c r="G8856" s="29" t="s">
        <v>3020</v>
      </c>
      <c r="H8856" s="29" t="s">
        <v>3021</v>
      </c>
      <c r="I8856" s="29"/>
      <c r="J8856" s="29" t="s">
        <v>2374</v>
      </c>
      <c r="K8856" s="29"/>
      <c r="L8856" s="29" t="s">
        <v>2406</v>
      </c>
      <c r="M8856" s="29"/>
      <c r="N8856" s="29" t="s">
        <v>2407</v>
      </c>
      <c r="O8856" s="29"/>
      <c r="P8856" s="29" t="s">
        <v>13741</v>
      </c>
      <c r="Q8856" t="s">
        <v>2039</v>
      </c>
      <c r="R8856" t="s">
        <v>2632</v>
      </c>
      <c r="S8856">
        <v>37</v>
      </c>
      <c r="T8856" s="43" t="str">
        <f>HYPERLINK("https://ictv.global/ictv/proposals/2021.030M.R.Phasmaviridae_1ngen_5nsp.zip","2021.030M.R.Phasmaviridae_1ngen_5nsp.zip")</f>
        <v>2021.030M.R.Phasmaviridae_1ngen_5nsp.zip</v>
      </c>
      <c r="U8856" s="43" t="str">
        <f>HYPERLINK("https://ictv.global/taxonomy/taxondetails?taxnode_id=202212241","ictv.global=202212241")</f>
        <v>ictv.global=202212241</v>
      </c>
    </row>
    <row r="8857" spans="1:21">
      <c r="A8857">
        <v>8856</v>
      </c>
      <c r="B8857" s="29" t="s">
        <v>3223</v>
      </c>
      <c r="C8857" s="29"/>
      <c r="D8857" s="29" t="s">
        <v>4156</v>
      </c>
      <c r="E8857" s="29"/>
      <c r="F8857" s="29" t="s">
        <v>2998</v>
      </c>
      <c r="G8857" s="29" t="s">
        <v>3020</v>
      </c>
      <c r="H8857" s="29" t="s">
        <v>3021</v>
      </c>
      <c r="I8857" s="29"/>
      <c r="J8857" s="29" t="s">
        <v>2374</v>
      </c>
      <c r="K8857" s="29"/>
      <c r="L8857" s="29" t="s">
        <v>2406</v>
      </c>
      <c r="M8857" s="29"/>
      <c r="N8857" s="29" t="s">
        <v>2407</v>
      </c>
      <c r="O8857" s="29"/>
      <c r="P8857" s="29" t="s">
        <v>13742</v>
      </c>
      <c r="Q8857" t="s">
        <v>2039</v>
      </c>
      <c r="R8857" t="s">
        <v>2632</v>
      </c>
      <c r="S8857">
        <v>38</v>
      </c>
      <c r="T8857" s="43" t="str">
        <f>HYPERLINK("https://ictv.global/ictv/proposals/2022.019M.Phasmaviridae_3nsp.zip","2022.019M.Phasmaviridae_3nsp.zip")</f>
        <v>2022.019M.Phasmaviridae_3nsp.zip</v>
      </c>
      <c r="U8857" s="43" t="str">
        <f>HYPERLINK("https://ictv.global/taxonomy/taxondetails?taxnode_id=202214251","ictv.global=202214251")</f>
        <v>ictv.global=202214251</v>
      </c>
    </row>
    <row r="8858" spans="1:21">
      <c r="A8858">
        <v>8857</v>
      </c>
      <c r="B8858" s="29" t="s">
        <v>3223</v>
      </c>
      <c r="C8858" s="29"/>
      <c r="D8858" s="29" t="s">
        <v>4156</v>
      </c>
      <c r="E8858" s="29"/>
      <c r="F8858" s="29" t="s">
        <v>2998</v>
      </c>
      <c r="G8858" s="29" t="s">
        <v>3020</v>
      </c>
      <c r="H8858" s="29" t="s">
        <v>3021</v>
      </c>
      <c r="I8858" s="29"/>
      <c r="J8858" s="29" t="s">
        <v>2374</v>
      </c>
      <c r="K8858" s="29"/>
      <c r="L8858" s="29" t="s">
        <v>2406</v>
      </c>
      <c r="M8858" s="29"/>
      <c r="N8858" s="29" t="s">
        <v>2407</v>
      </c>
      <c r="O8858" s="29"/>
      <c r="P8858" s="29" t="s">
        <v>13743</v>
      </c>
      <c r="Q8858" t="s">
        <v>2039</v>
      </c>
      <c r="R8858" t="s">
        <v>2635</v>
      </c>
      <c r="S8858">
        <v>38</v>
      </c>
      <c r="T8858" s="43" t="str">
        <f>HYPERLINK("https://ictv.global/ictv/proposals/2021.031M.Phasmaviridae_sprename.zip","2021.031M.Phasmaviridae_sprename.zip")</f>
        <v>2021.031M.Phasmaviridae_sprename.zip</v>
      </c>
      <c r="U8858" s="43" t="str">
        <f>HYPERLINK("https://ictv.global/taxonomy/taxondetails?taxnode_id=202206416","ictv.global=202206416")</f>
        <v>ictv.global=202206416</v>
      </c>
    </row>
    <row r="8859" spans="1:21">
      <c r="A8859">
        <v>8858</v>
      </c>
      <c r="B8859" s="29" t="s">
        <v>3223</v>
      </c>
      <c r="C8859" s="29"/>
      <c r="D8859" s="29" t="s">
        <v>4156</v>
      </c>
      <c r="E8859" s="29"/>
      <c r="F8859" s="29" t="s">
        <v>2998</v>
      </c>
      <c r="G8859" s="29" t="s">
        <v>3020</v>
      </c>
      <c r="H8859" s="29" t="s">
        <v>3021</v>
      </c>
      <c r="I8859" s="29"/>
      <c r="J8859" s="29" t="s">
        <v>2374</v>
      </c>
      <c r="K8859" s="29"/>
      <c r="L8859" s="29" t="s">
        <v>2406</v>
      </c>
      <c r="M8859" s="29"/>
      <c r="N8859" s="29" t="s">
        <v>2407</v>
      </c>
      <c r="O8859" s="29"/>
      <c r="P8859" s="29" t="s">
        <v>13744</v>
      </c>
      <c r="Q8859" t="s">
        <v>2039</v>
      </c>
      <c r="R8859" t="s">
        <v>2635</v>
      </c>
      <c r="S8859">
        <v>38</v>
      </c>
      <c r="T8859" s="43" t="str">
        <f>HYPERLINK("https://ictv.global/ictv/proposals/2021.031M.Phasmaviridae_sprename.zip","2021.031M.Phasmaviridae_sprename.zip")</f>
        <v>2021.031M.Phasmaviridae_sprename.zip</v>
      </c>
      <c r="U8859" s="43" t="str">
        <f>HYPERLINK("https://ictv.global/taxonomy/taxondetails?taxnode_id=202206415","ictv.global=202206415")</f>
        <v>ictv.global=202206415</v>
      </c>
    </row>
    <row r="8860" spans="1:21">
      <c r="A8860">
        <v>8859</v>
      </c>
      <c r="B8860" s="29" t="s">
        <v>3223</v>
      </c>
      <c r="C8860" s="29"/>
      <c r="D8860" s="29" t="s">
        <v>4156</v>
      </c>
      <c r="E8860" s="29"/>
      <c r="F8860" s="29" t="s">
        <v>2998</v>
      </c>
      <c r="G8860" s="29" t="s">
        <v>3020</v>
      </c>
      <c r="H8860" s="29" t="s">
        <v>3021</v>
      </c>
      <c r="I8860" s="29"/>
      <c r="J8860" s="29" t="s">
        <v>2374</v>
      </c>
      <c r="K8860" s="29"/>
      <c r="L8860" s="29" t="s">
        <v>2406</v>
      </c>
      <c r="M8860" s="29"/>
      <c r="N8860" s="29" t="s">
        <v>2407</v>
      </c>
      <c r="O8860" s="29"/>
      <c r="P8860" s="29" t="s">
        <v>13745</v>
      </c>
      <c r="Q8860" t="s">
        <v>2039</v>
      </c>
      <c r="R8860" t="s">
        <v>2635</v>
      </c>
      <c r="S8860">
        <v>38</v>
      </c>
      <c r="T8860" s="43" t="str">
        <f>HYPERLINK("https://ictv.global/ictv/proposals/2021.031M.Phasmaviridae_sprename.zip","2021.031M.Phasmaviridae_sprename.zip")</f>
        <v>2021.031M.Phasmaviridae_sprename.zip</v>
      </c>
      <c r="U8860" s="43" t="str">
        <f>HYPERLINK("https://ictv.global/taxonomy/taxondetails?taxnode_id=202200140","ictv.global=202200140")</f>
        <v>ictv.global=202200140</v>
      </c>
    </row>
    <row r="8861" spans="1:21">
      <c r="A8861">
        <v>8860</v>
      </c>
      <c r="B8861" s="29" t="s">
        <v>3223</v>
      </c>
      <c r="C8861" s="29"/>
      <c r="D8861" s="29" t="s">
        <v>4156</v>
      </c>
      <c r="E8861" s="29"/>
      <c r="F8861" s="29" t="s">
        <v>2998</v>
      </c>
      <c r="G8861" s="29" t="s">
        <v>3020</v>
      </c>
      <c r="H8861" s="29" t="s">
        <v>3021</v>
      </c>
      <c r="I8861" s="29"/>
      <c r="J8861" s="29" t="s">
        <v>2374</v>
      </c>
      <c r="K8861" s="29"/>
      <c r="L8861" s="29" t="s">
        <v>2406</v>
      </c>
      <c r="M8861" s="29"/>
      <c r="N8861" s="29" t="s">
        <v>2407</v>
      </c>
      <c r="O8861" s="29"/>
      <c r="P8861" s="29" t="s">
        <v>13746</v>
      </c>
      <c r="Q8861" t="s">
        <v>2039</v>
      </c>
      <c r="R8861" t="s">
        <v>2632</v>
      </c>
      <c r="S8861">
        <v>37</v>
      </c>
      <c r="T8861" s="43" t="str">
        <f>HYPERLINK("https://ictv.global/ictv/proposals/2021.030M.R.Phasmaviridae_1ngen_5nsp.zip","2021.030M.R.Phasmaviridae_1ngen_5nsp.zip;2021.043M.R.Corrections_Mononegavirales_Bunyavirales.zip")</f>
        <v>2021.030M.R.Phasmaviridae_1ngen_5nsp.zip;2021.043M.R.Corrections_Mononegavirales_Bunyavirales.zip</v>
      </c>
      <c r="U8861" s="43" t="str">
        <f>HYPERLINK("https://ictv.global/taxonomy/taxondetails?taxnode_id=202212240","ictv.global=202212240")</f>
        <v>ictv.global=202212240</v>
      </c>
    </row>
    <row r="8862" spans="1:21">
      <c r="A8862">
        <v>8861</v>
      </c>
      <c r="B8862" s="29" t="s">
        <v>3223</v>
      </c>
      <c r="C8862" s="29"/>
      <c r="D8862" s="29" t="s">
        <v>4156</v>
      </c>
      <c r="E8862" s="29"/>
      <c r="F8862" s="29" t="s">
        <v>2998</v>
      </c>
      <c r="G8862" s="29" t="s">
        <v>3020</v>
      </c>
      <c r="H8862" s="29" t="s">
        <v>3021</v>
      </c>
      <c r="I8862" s="29"/>
      <c r="J8862" s="29" t="s">
        <v>2374</v>
      </c>
      <c r="K8862" s="29"/>
      <c r="L8862" s="29" t="s">
        <v>2406</v>
      </c>
      <c r="M8862" s="29"/>
      <c r="N8862" s="29" t="s">
        <v>2407</v>
      </c>
      <c r="O8862" s="29"/>
      <c r="P8862" s="29" t="s">
        <v>13747</v>
      </c>
      <c r="Q8862" t="s">
        <v>2039</v>
      </c>
      <c r="R8862" t="s">
        <v>2635</v>
      </c>
      <c r="S8862">
        <v>38</v>
      </c>
      <c r="T8862" s="43" t="str">
        <f>HYPERLINK("https://ictv.global/ictv/proposals/2021.031M.Phasmaviridae_sprename.zip","2021.031M.Phasmaviridae_sprename.zip")</f>
        <v>2021.031M.Phasmaviridae_sprename.zip</v>
      </c>
      <c r="U8862" s="43" t="str">
        <f>HYPERLINK("https://ictv.global/taxonomy/taxondetails?taxnode_id=202209608","ictv.global=202209608")</f>
        <v>ictv.global=202209608</v>
      </c>
    </row>
    <row r="8863" spans="1:21">
      <c r="A8863">
        <v>8862</v>
      </c>
      <c r="B8863" s="29" t="s">
        <v>3223</v>
      </c>
      <c r="C8863" s="29"/>
      <c r="D8863" s="29" t="s">
        <v>4156</v>
      </c>
      <c r="E8863" s="29"/>
      <c r="F8863" s="29" t="s">
        <v>2998</v>
      </c>
      <c r="G8863" s="29" t="s">
        <v>3020</v>
      </c>
      <c r="H8863" s="29" t="s">
        <v>3021</v>
      </c>
      <c r="I8863" s="29"/>
      <c r="J8863" s="29" t="s">
        <v>2374</v>
      </c>
      <c r="K8863" s="29"/>
      <c r="L8863" s="29" t="s">
        <v>2406</v>
      </c>
      <c r="M8863" s="29"/>
      <c r="N8863" s="29" t="s">
        <v>2407</v>
      </c>
      <c r="O8863" s="29"/>
      <c r="P8863" s="29" t="s">
        <v>13748</v>
      </c>
      <c r="Q8863" t="s">
        <v>2039</v>
      </c>
      <c r="R8863" t="s">
        <v>2635</v>
      </c>
      <c r="S8863">
        <v>38</v>
      </c>
      <c r="T8863" s="43" t="str">
        <f>HYPERLINK("https://ictv.global/ictv/proposals/2021.031M.Phasmaviridae_sprename.zip","2021.031M.Phasmaviridae_sprename.zip")</f>
        <v>2021.031M.Phasmaviridae_sprename.zip</v>
      </c>
      <c r="U8863" s="43" t="str">
        <f>HYPERLINK("https://ictv.global/taxonomy/taxondetails?taxnode_id=202206414","ictv.global=202206414")</f>
        <v>ictv.global=202206414</v>
      </c>
    </row>
    <row r="8864" spans="1:21">
      <c r="A8864">
        <v>8863</v>
      </c>
      <c r="B8864" s="29" t="s">
        <v>3223</v>
      </c>
      <c r="C8864" s="29"/>
      <c r="D8864" s="29" t="s">
        <v>4156</v>
      </c>
      <c r="E8864" s="29"/>
      <c r="F8864" s="29" t="s">
        <v>2998</v>
      </c>
      <c r="G8864" s="29" t="s">
        <v>3020</v>
      </c>
      <c r="H8864" s="29" t="s">
        <v>3021</v>
      </c>
      <c r="I8864" s="29"/>
      <c r="J8864" s="29" t="s">
        <v>2374</v>
      </c>
      <c r="K8864" s="29"/>
      <c r="L8864" s="29" t="s">
        <v>2406</v>
      </c>
      <c r="M8864" s="29"/>
      <c r="N8864" s="29" t="s">
        <v>2407</v>
      </c>
      <c r="O8864" s="29"/>
      <c r="P8864" s="29" t="s">
        <v>13749</v>
      </c>
      <c r="Q8864" t="s">
        <v>2039</v>
      </c>
      <c r="R8864" t="s">
        <v>2635</v>
      </c>
      <c r="S8864">
        <v>38</v>
      </c>
      <c r="T8864" s="43" t="str">
        <f>HYPERLINK("https://ictv.global/ictv/proposals/2021.031M.Phasmaviridae_sprename.zip","2021.031M.Phasmaviridae_sprename.zip")</f>
        <v>2021.031M.Phasmaviridae_sprename.zip</v>
      </c>
      <c r="U8864" s="43" t="str">
        <f>HYPERLINK("https://ictv.global/taxonomy/taxondetails?taxnode_id=202209606","ictv.global=202209606")</f>
        <v>ictv.global=202209606</v>
      </c>
    </row>
    <row r="8865" spans="1:21">
      <c r="A8865">
        <v>8864</v>
      </c>
      <c r="B8865" s="29" t="s">
        <v>3223</v>
      </c>
      <c r="C8865" s="29"/>
      <c r="D8865" s="29" t="s">
        <v>4156</v>
      </c>
      <c r="E8865" s="29"/>
      <c r="F8865" s="29" t="s">
        <v>2998</v>
      </c>
      <c r="G8865" s="29" t="s">
        <v>3020</v>
      </c>
      <c r="H8865" s="29" t="s">
        <v>3021</v>
      </c>
      <c r="I8865" s="29"/>
      <c r="J8865" s="29" t="s">
        <v>2374</v>
      </c>
      <c r="K8865" s="29"/>
      <c r="L8865" s="29" t="s">
        <v>2406</v>
      </c>
      <c r="M8865" s="29"/>
      <c r="N8865" s="29" t="s">
        <v>2407</v>
      </c>
      <c r="O8865" s="29"/>
      <c r="P8865" s="29" t="s">
        <v>13750</v>
      </c>
      <c r="Q8865" t="s">
        <v>2039</v>
      </c>
      <c r="R8865" t="s">
        <v>2632</v>
      </c>
      <c r="S8865">
        <v>38</v>
      </c>
      <c r="T8865" s="43" t="str">
        <f>HYPERLINK("https://ictv.global/ictv/proposals/2022.019M.Phasmaviridae_3nsp.zip","2022.019M.Phasmaviridae_3nsp.zip")</f>
        <v>2022.019M.Phasmaviridae_3nsp.zip</v>
      </c>
      <c r="U8865" s="43" t="str">
        <f>HYPERLINK("https://ictv.global/taxonomy/taxondetails?taxnode_id=202214252","ictv.global=202214252")</f>
        <v>ictv.global=202214252</v>
      </c>
    </row>
    <row r="8866" spans="1:21">
      <c r="A8866">
        <v>8865</v>
      </c>
      <c r="B8866" s="29" t="s">
        <v>3223</v>
      </c>
      <c r="C8866" s="29"/>
      <c r="D8866" s="29" t="s">
        <v>4156</v>
      </c>
      <c r="E8866" s="29"/>
      <c r="F8866" s="29" t="s">
        <v>2998</v>
      </c>
      <c r="G8866" s="29" t="s">
        <v>3020</v>
      </c>
      <c r="H8866" s="29" t="s">
        <v>3021</v>
      </c>
      <c r="I8866" s="29"/>
      <c r="J8866" s="29" t="s">
        <v>2374</v>
      </c>
      <c r="K8866" s="29"/>
      <c r="L8866" s="29" t="s">
        <v>2406</v>
      </c>
      <c r="M8866" s="29"/>
      <c r="N8866" s="29" t="s">
        <v>2407</v>
      </c>
      <c r="O8866" s="29"/>
      <c r="P8866" s="29" t="s">
        <v>13751</v>
      </c>
      <c r="Q8866" t="s">
        <v>2039</v>
      </c>
      <c r="R8866" t="s">
        <v>2635</v>
      </c>
      <c r="S8866">
        <v>38</v>
      </c>
      <c r="T8866" s="43" t="str">
        <f>HYPERLINK("https://ictv.global/ictv/proposals/2021.031M.Phasmaviridae_sprename.zip","2021.031M.Phasmaviridae_sprename.zip")</f>
        <v>2021.031M.Phasmaviridae_sprename.zip</v>
      </c>
      <c r="U8866" s="43" t="str">
        <f>HYPERLINK("https://ictv.global/taxonomy/taxondetails?taxnode_id=202200143","ictv.global=202200143")</f>
        <v>ictv.global=202200143</v>
      </c>
    </row>
    <row r="8867" spans="1:21">
      <c r="A8867">
        <v>8866</v>
      </c>
      <c r="B8867" s="29" t="s">
        <v>3223</v>
      </c>
      <c r="C8867" s="29"/>
      <c r="D8867" s="29" t="s">
        <v>4156</v>
      </c>
      <c r="E8867" s="29"/>
      <c r="F8867" s="29" t="s">
        <v>2998</v>
      </c>
      <c r="G8867" s="29" t="s">
        <v>3020</v>
      </c>
      <c r="H8867" s="29" t="s">
        <v>3021</v>
      </c>
      <c r="I8867" s="29"/>
      <c r="J8867" s="29" t="s">
        <v>2374</v>
      </c>
      <c r="K8867" s="29"/>
      <c r="L8867" s="29" t="s">
        <v>2406</v>
      </c>
      <c r="M8867" s="29"/>
      <c r="N8867" s="29" t="s">
        <v>2407</v>
      </c>
      <c r="O8867" s="29"/>
      <c r="P8867" s="29" t="s">
        <v>13752</v>
      </c>
      <c r="Q8867" t="s">
        <v>2039</v>
      </c>
      <c r="R8867" t="s">
        <v>2635</v>
      </c>
      <c r="S8867">
        <v>38</v>
      </c>
      <c r="T8867" s="43" t="str">
        <f>HYPERLINK("https://ictv.global/ictv/proposals/2021.031M.Phasmaviridae_sprename.zip","2021.031M.Phasmaviridae_sprename.zip")</f>
        <v>2021.031M.Phasmaviridae_sprename.zip</v>
      </c>
      <c r="U8867" s="43" t="str">
        <f>HYPERLINK("https://ictv.global/taxonomy/taxondetails?taxnode_id=202200144","ictv.global=202200144")</f>
        <v>ictv.global=202200144</v>
      </c>
    </row>
    <row r="8868" spans="1:21">
      <c r="A8868">
        <v>8867</v>
      </c>
      <c r="B8868" s="29" t="s">
        <v>3223</v>
      </c>
      <c r="C8868" s="29"/>
      <c r="D8868" s="29" t="s">
        <v>4156</v>
      </c>
      <c r="E8868" s="29"/>
      <c r="F8868" s="29" t="s">
        <v>2998</v>
      </c>
      <c r="G8868" s="29" t="s">
        <v>3020</v>
      </c>
      <c r="H8868" s="29" t="s">
        <v>3021</v>
      </c>
      <c r="I8868" s="29"/>
      <c r="J8868" s="29" t="s">
        <v>2374</v>
      </c>
      <c r="K8868" s="29"/>
      <c r="L8868" s="29" t="s">
        <v>2406</v>
      </c>
      <c r="M8868" s="29"/>
      <c r="N8868" s="29" t="s">
        <v>3253</v>
      </c>
      <c r="O8868" s="29"/>
      <c r="P8868" s="29" t="s">
        <v>13753</v>
      </c>
      <c r="Q8868" t="s">
        <v>2039</v>
      </c>
      <c r="R8868" t="s">
        <v>2635</v>
      </c>
      <c r="S8868">
        <v>38</v>
      </c>
      <c r="T8868" s="43" t="str">
        <f>HYPERLINK("https://ictv.global/ictv/proposals/2021.031M.Phasmaviridae_sprename.zip","2021.031M.Phasmaviridae_sprename.zip")</f>
        <v>2021.031M.Phasmaviridae_sprename.zip</v>
      </c>
      <c r="U8868" s="43" t="str">
        <f>HYPERLINK("https://ictv.global/taxonomy/taxondetails?taxnode_id=202206606","ictv.global=202206606")</f>
        <v>ictv.global=202206606</v>
      </c>
    </row>
    <row r="8869" spans="1:21">
      <c r="A8869">
        <v>8868</v>
      </c>
      <c r="B8869" s="29" t="s">
        <v>3223</v>
      </c>
      <c r="C8869" s="29"/>
      <c r="D8869" s="29" t="s">
        <v>4156</v>
      </c>
      <c r="E8869" s="29"/>
      <c r="F8869" s="29" t="s">
        <v>2998</v>
      </c>
      <c r="G8869" s="29" t="s">
        <v>3020</v>
      </c>
      <c r="H8869" s="29" t="s">
        <v>3021</v>
      </c>
      <c r="I8869" s="29"/>
      <c r="J8869" s="29" t="s">
        <v>2374</v>
      </c>
      <c r="K8869" s="29"/>
      <c r="L8869" s="29" t="s">
        <v>2406</v>
      </c>
      <c r="M8869" s="29"/>
      <c r="N8869" s="29" t="s">
        <v>3034</v>
      </c>
      <c r="O8869" s="29"/>
      <c r="P8869" s="29" t="s">
        <v>13754</v>
      </c>
      <c r="Q8869" t="s">
        <v>2039</v>
      </c>
      <c r="R8869" t="s">
        <v>2635</v>
      </c>
      <c r="S8869">
        <v>38</v>
      </c>
      <c r="T8869" s="43" t="str">
        <f>HYPERLINK("https://ictv.global/ictv/proposals/2021.031M.Phasmaviridae_sprename.zip","2021.031M.Phasmaviridae_sprename.zip")</f>
        <v>2021.031M.Phasmaviridae_sprename.zip</v>
      </c>
      <c r="U8869" s="43" t="str">
        <f>HYPERLINK("https://ictv.global/taxonomy/taxondetails?taxnode_id=202206223","ictv.global=202206223")</f>
        <v>ictv.global=202206223</v>
      </c>
    </row>
    <row r="8870" spans="1:21">
      <c r="A8870">
        <v>8869</v>
      </c>
      <c r="B8870" s="29" t="s">
        <v>3223</v>
      </c>
      <c r="C8870" s="29"/>
      <c r="D8870" s="29" t="s">
        <v>4156</v>
      </c>
      <c r="E8870" s="29"/>
      <c r="F8870" s="29" t="s">
        <v>2998</v>
      </c>
      <c r="G8870" s="29" t="s">
        <v>3020</v>
      </c>
      <c r="H8870" s="29" t="s">
        <v>3021</v>
      </c>
      <c r="I8870" s="29"/>
      <c r="J8870" s="29" t="s">
        <v>2374</v>
      </c>
      <c r="K8870" s="29"/>
      <c r="L8870" s="29" t="s">
        <v>2381</v>
      </c>
      <c r="M8870" s="29"/>
      <c r="N8870" s="29" t="s">
        <v>4223</v>
      </c>
      <c r="O8870" s="29"/>
      <c r="P8870" s="29" t="s">
        <v>13755</v>
      </c>
      <c r="Q8870" t="s">
        <v>2190</v>
      </c>
      <c r="R8870" t="s">
        <v>2635</v>
      </c>
      <c r="S8870">
        <v>38</v>
      </c>
      <c r="T8870" s="43" t="str">
        <f t="shared" ref="T8870:T8877" si="384">HYPERLINK("https://ictv.global/ictv/proposals/2021.002M.Phenuiviridae_sprenamed.zip","2021.002M.Phenuiviridae_sprenamed.zip")</f>
        <v>2021.002M.Phenuiviridae_sprenamed.zip</v>
      </c>
      <c r="U8870" s="43" t="str">
        <f>HYPERLINK("https://ictv.global/taxonomy/taxondetails?taxnode_id=202207636","ictv.global=202207636")</f>
        <v>ictv.global=202207636</v>
      </c>
    </row>
    <row r="8871" spans="1:21">
      <c r="A8871">
        <v>8870</v>
      </c>
      <c r="B8871" s="29" t="s">
        <v>3223</v>
      </c>
      <c r="C8871" s="29"/>
      <c r="D8871" s="29" t="s">
        <v>4156</v>
      </c>
      <c r="E8871" s="29"/>
      <c r="F8871" s="29" t="s">
        <v>2998</v>
      </c>
      <c r="G8871" s="29" t="s">
        <v>3020</v>
      </c>
      <c r="H8871" s="29" t="s">
        <v>3021</v>
      </c>
      <c r="I8871" s="29"/>
      <c r="J8871" s="29" t="s">
        <v>2374</v>
      </c>
      <c r="K8871" s="29"/>
      <c r="L8871" s="29" t="s">
        <v>2381</v>
      </c>
      <c r="M8871" s="29"/>
      <c r="N8871" s="29" t="s">
        <v>4223</v>
      </c>
      <c r="O8871" s="29"/>
      <c r="P8871" s="29" t="s">
        <v>13756</v>
      </c>
      <c r="Q8871" t="s">
        <v>2039</v>
      </c>
      <c r="R8871" t="s">
        <v>2635</v>
      </c>
      <c r="S8871">
        <v>38</v>
      </c>
      <c r="T8871" s="43" t="str">
        <f t="shared" si="384"/>
        <v>2021.002M.Phenuiviridae_sprenamed.zip</v>
      </c>
      <c r="U8871" s="43" t="str">
        <f>HYPERLINK("https://ictv.global/taxonomy/taxondetails?taxnode_id=202207638","ictv.global=202207638")</f>
        <v>ictv.global=202207638</v>
      </c>
    </row>
    <row r="8872" spans="1:21">
      <c r="A8872">
        <v>8871</v>
      </c>
      <c r="B8872" s="29" t="s">
        <v>3223</v>
      </c>
      <c r="C8872" s="29"/>
      <c r="D8872" s="29" t="s">
        <v>4156</v>
      </c>
      <c r="E8872" s="29"/>
      <c r="F8872" s="29" t="s">
        <v>2998</v>
      </c>
      <c r="G8872" s="29" t="s">
        <v>3020</v>
      </c>
      <c r="H8872" s="29" t="s">
        <v>3021</v>
      </c>
      <c r="I8872" s="29"/>
      <c r="J8872" s="29" t="s">
        <v>2374</v>
      </c>
      <c r="K8872" s="29"/>
      <c r="L8872" s="29" t="s">
        <v>2381</v>
      </c>
      <c r="M8872" s="29"/>
      <c r="N8872" s="29" t="s">
        <v>4223</v>
      </c>
      <c r="O8872" s="29"/>
      <c r="P8872" s="29" t="s">
        <v>13757</v>
      </c>
      <c r="Q8872" t="s">
        <v>2190</v>
      </c>
      <c r="R8872" t="s">
        <v>2635</v>
      </c>
      <c r="S8872">
        <v>38</v>
      </c>
      <c r="T8872" s="43" t="str">
        <f t="shared" si="384"/>
        <v>2021.002M.Phenuiviridae_sprenamed.zip</v>
      </c>
      <c r="U8872" s="43" t="str">
        <f>HYPERLINK("https://ictv.global/taxonomy/taxondetails?taxnode_id=202207635","ictv.global=202207635")</f>
        <v>ictv.global=202207635</v>
      </c>
    </row>
    <row r="8873" spans="1:21">
      <c r="A8873">
        <v>8872</v>
      </c>
      <c r="B8873" s="29" t="s">
        <v>3223</v>
      </c>
      <c r="C8873" s="29"/>
      <c r="D8873" s="29" t="s">
        <v>4156</v>
      </c>
      <c r="E8873" s="29"/>
      <c r="F8873" s="29" t="s">
        <v>2998</v>
      </c>
      <c r="G8873" s="29" t="s">
        <v>3020</v>
      </c>
      <c r="H8873" s="29" t="s">
        <v>3021</v>
      </c>
      <c r="I8873" s="29"/>
      <c r="J8873" s="29" t="s">
        <v>2374</v>
      </c>
      <c r="K8873" s="29"/>
      <c r="L8873" s="29" t="s">
        <v>2381</v>
      </c>
      <c r="M8873" s="29"/>
      <c r="N8873" s="29" t="s">
        <v>4223</v>
      </c>
      <c r="O8873" s="29"/>
      <c r="P8873" s="29" t="s">
        <v>13758</v>
      </c>
      <c r="Q8873" t="s">
        <v>2039</v>
      </c>
      <c r="R8873" t="s">
        <v>2635</v>
      </c>
      <c r="S8873">
        <v>38</v>
      </c>
      <c r="T8873" s="43" t="str">
        <f t="shared" si="384"/>
        <v>2021.002M.Phenuiviridae_sprenamed.zip</v>
      </c>
      <c r="U8873" s="43" t="str">
        <f>HYPERLINK("https://ictv.global/taxonomy/taxondetails?taxnode_id=202200166","ictv.global=202200166")</f>
        <v>ictv.global=202200166</v>
      </c>
    </row>
    <row r="8874" spans="1:21">
      <c r="A8874">
        <v>8873</v>
      </c>
      <c r="B8874" s="29" t="s">
        <v>3223</v>
      </c>
      <c r="C8874" s="29"/>
      <c r="D8874" s="29" t="s">
        <v>4156</v>
      </c>
      <c r="E8874" s="29"/>
      <c r="F8874" s="29" t="s">
        <v>2998</v>
      </c>
      <c r="G8874" s="29" t="s">
        <v>3020</v>
      </c>
      <c r="H8874" s="29" t="s">
        <v>3021</v>
      </c>
      <c r="I8874" s="29"/>
      <c r="J8874" s="29" t="s">
        <v>2374</v>
      </c>
      <c r="K8874" s="29"/>
      <c r="L8874" s="29" t="s">
        <v>2381</v>
      </c>
      <c r="M8874" s="29"/>
      <c r="N8874" s="29" t="s">
        <v>4223</v>
      </c>
      <c r="O8874" s="29"/>
      <c r="P8874" s="29" t="s">
        <v>13759</v>
      </c>
      <c r="Q8874" t="s">
        <v>2039</v>
      </c>
      <c r="R8874" t="s">
        <v>2635</v>
      </c>
      <c r="S8874">
        <v>38</v>
      </c>
      <c r="T8874" s="43" t="str">
        <f t="shared" si="384"/>
        <v>2021.002M.Phenuiviridae_sprenamed.zip</v>
      </c>
      <c r="U8874" s="43" t="str">
        <f>HYPERLINK("https://ictv.global/taxonomy/taxondetails?taxnode_id=202206486","ictv.global=202206486")</f>
        <v>ictv.global=202206486</v>
      </c>
    </row>
    <row r="8875" spans="1:21">
      <c r="A8875">
        <v>8874</v>
      </c>
      <c r="B8875" s="29" t="s">
        <v>3223</v>
      </c>
      <c r="C8875" s="29"/>
      <c r="D8875" s="29" t="s">
        <v>4156</v>
      </c>
      <c r="E8875" s="29"/>
      <c r="F8875" s="29" t="s">
        <v>2998</v>
      </c>
      <c r="G8875" s="29" t="s">
        <v>3020</v>
      </c>
      <c r="H8875" s="29" t="s">
        <v>3021</v>
      </c>
      <c r="I8875" s="29"/>
      <c r="J8875" s="29" t="s">
        <v>2374</v>
      </c>
      <c r="K8875" s="29"/>
      <c r="L8875" s="29" t="s">
        <v>2381</v>
      </c>
      <c r="M8875" s="29"/>
      <c r="N8875" s="29" t="s">
        <v>4223</v>
      </c>
      <c r="O8875" s="29"/>
      <c r="P8875" s="29" t="s">
        <v>13760</v>
      </c>
      <c r="Q8875" t="s">
        <v>2039</v>
      </c>
      <c r="R8875" t="s">
        <v>2635</v>
      </c>
      <c r="S8875">
        <v>38</v>
      </c>
      <c r="T8875" s="43" t="str">
        <f t="shared" si="384"/>
        <v>2021.002M.Phenuiviridae_sprenamed.zip</v>
      </c>
      <c r="U8875" s="43" t="str">
        <f>HYPERLINK("https://ictv.global/taxonomy/taxondetails?taxnode_id=202206607","ictv.global=202206607")</f>
        <v>ictv.global=202206607</v>
      </c>
    </row>
    <row r="8876" spans="1:21">
      <c r="A8876">
        <v>8875</v>
      </c>
      <c r="B8876" s="29" t="s">
        <v>3223</v>
      </c>
      <c r="C8876" s="29"/>
      <c r="D8876" s="29" t="s">
        <v>4156</v>
      </c>
      <c r="E8876" s="29"/>
      <c r="F8876" s="29" t="s">
        <v>2998</v>
      </c>
      <c r="G8876" s="29" t="s">
        <v>3020</v>
      </c>
      <c r="H8876" s="29" t="s">
        <v>3021</v>
      </c>
      <c r="I8876" s="29"/>
      <c r="J8876" s="29" t="s">
        <v>2374</v>
      </c>
      <c r="K8876" s="29"/>
      <c r="L8876" s="29" t="s">
        <v>2381</v>
      </c>
      <c r="M8876" s="29"/>
      <c r="N8876" s="29" t="s">
        <v>4223</v>
      </c>
      <c r="O8876" s="29"/>
      <c r="P8876" s="29" t="s">
        <v>13761</v>
      </c>
      <c r="Q8876" t="s">
        <v>2190</v>
      </c>
      <c r="R8876" t="s">
        <v>2635</v>
      </c>
      <c r="S8876">
        <v>38</v>
      </c>
      <c r="T8876" s="43" t="str">
        <f t="shared" si="384"/>
        <v>2021.002M.Phenuiviridae_sprenamed.zip</v>
      </c>
      <c r="U8876" s="43" t="str">
        <f>HYPERLINK("https://ictv.global/taxonomy/taxondetails?taxnode_id=202207637","ictv.global=202207637")</f>
        <v>ictv.global=202207637</v>
      </c>
    </row>
    <row r="8877" spans="1:21">
      <c r="A8877">
        <v>8876</v>
      </c>
      <c r="B8877" s="29" t="s">
        <v>3223</v>
      </c>
      <c r="C8877" s="29"/>
      <c r="D8877" s="29" t="s">
        <v>4156</v>
      </c>
      <c r="E8877" s="29"/>
      <c r="F8877" s="29" t="s">
        <v>2998</v>
      </c>
      <c r="G8877" s="29" t="s">
        <v>3020</v>
      </c>
      <c r="H8877" s="29" t="s">
        <v>3021</v>
      </c>
      <c r="I8877" s="29"/>
      <c r="J8877" s="29" t="s">
        <v>2374</v>
      </c>
      <c r="K8877" s="29"/>
      <c r="L8877" s="29" t="s">
        <v>2381</v>
      </c>
      <c r="M8877" s="29"/>
      <c r="N8877" s="29" t="s">
        <v>4223</v>
      </c>
      <c r="O8877" s="29"/>
      <c r="P8877" s="29" t="s">
        <v>13762</v>
      </c>
      <c r="Q8877" t="s">
        <v>2039</v>
      </c>
      <c r="R8877" t="s">
        <v>2635</v>
      </c>
      <c r="S8877">
        <v>38</v>
      </c>
      <c r="T8877" s="43" t="str">
        <f t="shared" si="384"/>
        <v>2021.002M.Phenuiviridae_sprenamed.zip</v>
      </c>
      <c r="U8877" s="43" t="str">
        <f>HYPERLINK("https://ictv.global/taxonomy/taxondetails?taxnode_id=202209828","ictv.global=202209828")</f>
        <v>ictv.global=202209828</v>
      </c>
    </row>
    <row r="8878" spans="1:21">
      <c r="A8878">
        <v>8877</v>
      </c>
      <c r="B8878" s="29" t="s">
        <v>3223</v>
      </c>
      <c r="C8878" s="29"/>
      <c r="D8878" s="29" t="s">
        <v>4156</v>
      </c>
      <c r="E8878" s="29"/>
      <c r="F8878" s="29" t="s">
        <v>2998</v>
      </c>
      <c r="G8878" s="29" t="s">
        <v>3020</v>
      </c>
      <c r="H8878" s="29" t="s">
        <v>3021</v>
      </c>
      <c r="I8878" s="29"/>
      <c r="J8878" s="29" t="s">
        <v>2374</v>
      </c>
      <c r="K8878" s="29"/>
      <c r="L8878" s="29" t="s">
        <v>2381</v>
      </c>
      <c r="M8878" s="29"/>
      <c r="N8878" s="29" t="s">
        <v>4223</v>
      </c>
      <c r="O8878" s="29"/>
      <c r="P8878" s="29" t="s">
        <v>13763</v>
      </c>
      <c r="Q8878" t="s">
        <v>2039</v>
      </c>
      <c r="R8878" t="s">
        <v>2632</v>
      </c>
      <c r="S8878">
        <v>38</v>
      </c>
      <c r="T8878" s="43" t="str">
        <f>HYPERLINK("https://ictv.global/ictv/proposals/2022.020M.Phenuiviridae_2ngen_10nsp_1rensp.zip","2022.020M.Phenuiviridae_2ngen_10nsp_1rensp.zip")</f>
        <v>2022.020M.Phenuiviridae_2ngen_10nsp_1rensp.zip</v>
      </c>
      <c r="U8878" s="43" t="str">
        <f>HYPERLINK("https://ictv.global/taxonomy/taxondetails?taxnode_id=202214258","ictv.global=202214258")</f>
        <v>ictv.global=202214258</v>
      </c>
    </row>
    <row r="8879" spans="1:21">
      <c r="A8879">
        <v>8878</v>
      </c>
      <c r="B8879" s="29" t="s">
        <v>3223</v>
      </c>
      <c r="C8879" s="29"/>
      <c r="D8879" s="29" t="s">
        <v>4156</v>
      </c>
      <c r="E8879" s="29"/>
      <c r="F8879" s="29" t="s">
        <v>2998</v>
      </c>
      <c r="G8879" s="29" t="s">
        <v>3020</v>
      </c>
      <c r="H8879" s="29" t="s">
        <v>3021</v>
      </c>
      <c r="I8879" s="29"/>
      <c r="J8879" s="29" t="s">
        <v>2374</v>
      </c>
      <c r="K8879" s="29"/>
      <c r="L8879" s="29" t="s">
        <v>2381</v>
      </c>
      <c r="M8879" s="29"/>
      <c r="N8879" s="29" t="s">
        <v>3035</v>
      </c>
      <c r="O8879" s="29"/>
      <c r="P8879" s="29" t="s">
        <v>13764</v>
      </c>
      <c r="Q8879" t="s">
        <v>2039</v>
      </c>
      <c r="R8879" t="s">
        <v>2635</v>
      </c>
      <c r="S8879">
        <v>38</v>
      </c>
      <c r="T8879" s="43" t="str">
        <f>HYPERLINK("https://ictv.global/ictv/proposals/2021.002M.Phenuiviridae_sprenamed.zip","2021.002M.Phenuiviridae_sprenamed.zip")</f>
        <v>2021.002M.Phenuiviridae_sprenamed.zip</v>
      </c>
      <c r="U8879" s="43" t="str">
        <f>HYPERLINK("https://ictv.global/taxonomy/taxondetails?taxnode_id=202206226","ictv.global=202206226")</f>
        <v>ictv.global=202206226</v>
      </c>
    </row>
    <row r="8880" spans="1:21">
      <c r="A8880">
        <v>8879</v>
      </c>
      <c r="B8880" s="29" t="s">
        <v>3223</v>
      </c>
      <c r="C8880" s="29"/>
      <c r="D8880" s="29" t="s">
        <v>4156</v>
      </c>
      <c r="E8880" s="29"/>
      <c r="F8880" s="29" t="s">
        <v>2998</v>
      </c>
      <c r="G8880" s="29" t="s">
        <v>3020</v>
      </c>
      <c r="H8880" s="29" t="s">
        <v>3021</v>
      </c>
      <c r="I8880" s="29"/>
      <c r="J8880" s="29" t="s">
        <v>2374</v>
      </c>
      <c r="K8880" s="29"/>
      <c r="L8880" s="29" t="s">
        <v>2381</v>
      </c>
      <c r="M8880" s="29"/>
      <c r="N8880" s="29" t="s">
        <v>13765</v>
      </c>
      <c r="O8880" s="29"/>
      <c r="P8880" s="29" t="s">
        <v>13766</v>
      </c>
      <c r="Q8880" t="s">
        <v>2039</v>
      </c>
      <c r="R8880" t="s">
        <v>2632</v>
      </c>
      <c r="S8880">
        <v>38</v>
      </c>
      <c r="T8880" s="43" t="str">
        <f>HYPERLINK("https://ictv.global/ictv/proposals/2022.020M.Phenuiviridae_2ngen_10nsp_1rensp.zip","2022.020M.Phenuiviridae_2ngen_10nsp_1rensp.zip")</f>
        <v>2022.020M.Phenuiviridae_2ngen_10nsp_1rensp.zip</v>
      </c>
      <c r="U8880" s="43" t="str">
        <f>HYPERLINK("https://ictv.global/taxonomy/taxondetails?taxnode_id=202214265","ictv.global=202214265")</f>
        <v>ictv.global=202214265</v>
      </c>
    </row>
    <row r="8881" spans="1:21">
      <c r="A8881">
        <v>8880</v>
      </c>
      <c r="B8881" s="29" t="s">
        <v>3223</v>
      </c>
      <c r="C8881" s="29"/>
      <c r="D8881" s="29" t="s">
        <v>4156</v>
      </c>
      <c r="E8881" s="29"/>
      <c r="F8881" s="29" t="s">
        <v>2998</v>
      </c>
      <c r="G8881" s="29" t="s">
        <v>3020</v>
      </c>
      <c r="H8881" s="29" t="s">
        <v>3021</v>
      </c>
      <c r="I8881" s="29"/>
      <c r="J8881" s="29" t="s">
        <v>2374</v>
      </c>
      <c r="K8881" s="29"/>
      <c r="L8881" s="29" t="s">
        <v>2381</v>
      </c>
      <c r="M8881" s="29"/>
      <c r="N8881" s="29" t="s">
        <v>3258</v>
      </c>
      <c r="O8881" s="29"/>
      <c r="P8881" s="29" t="s">
        <v>13767</v>
      </c>
      <c r="Q8881" t="s">
        <v>2039</v>
      </c>
      <c r="R8881" t="s">
        <v>2632</v>
      </c>
      <c r="S8881">
        <v>38</v>
      </c>
      <c r="T8881" s="43" t="str">
        <f>HYPERLINK("https://ictv.global/ictv/proposals/2022.006M.Coguvirus_2nsp2.zip","2022.006M.Coguvirus_2nsp2.zip")</f>
        <v>2022.006M.Coguvirus_2nsp2.zip</v>
      </c>
      <c r="U8881" s="43" t="str">
        <f>HYPERLINK("https://ictv.global/taxonomy/taxondetails?taxnode_id=202214164","ictv.global=202214164")</f>
        <v>ictv.global=202214164</v>
      </c>
    </row>
    <row r="8882" spans="1:21">
      <c r="A8882">
        <v>8881</v>
      </c>
      <c r="B8882" s="29" t="s">
        <v>3223</v>
      </c>
      <c r="C8882" s="29"/>
      <c r="D8882" s="29" t="s">
        <v>4156</v>
      </c>
      <c r="E8882" s="29"/>
      <c r="F8882" s="29" t="s">
        <v>2998</v>
      </c>
      <c r="G8882" s="29" t="s">
        <v>3020</v>
      </c>
      <c r="H8882" s="29" t="s">
        <v>3021</v>
      </c>
      <c r="I8882" s="29"/>
      <c r="J8882" s="29" t="s">
        <v>2374</v>
      </c>
      <c r="K8882" s="29"/>
      <c r="L8882" s="29" t="s">
        <v>2381</v>
      </c>
      <c r="M8882" s="29"/>
      <c r="N8882" s="29" t="s">
        <v>3258</v>
      </c>
      <c r="O8882" s="29"/>
      <c r="P8882" s="29" t="s">
        <v>13768</v>
      </c>
      <c r="Q8882" t="s">
        <v>2190</v>
      </c>
      <c r="R8882" t="s">
        <v>2635</v>
      </c>
      <c r="S8882">
        <v>38</v>
      </c>
      <c r="T8882" s="43" t="str">
        <f>HYPERLINK("https://ictv.global/ictv/proposals/2021.002M.Phenuiviridae_sprenamed.zip","2021.002M.Phenuiviridae_sprenamed.zip")</f>
        <v>2021.002M.Phenuiviridae_sprenamed.zip</v>
      </c>
      <c r="U8882" s="43" t="str">
        <f>HYPERLINK("https://ictv.global/taxonomy/taxondetails?taxnode_id=202206630","ictv.global=202206630")</f>
        <v>ictv.global=202206630</v>
      </c>
    </row>
    <row r="8883" spans="1:21">
      <c r="A8883">
        <v>8882</v>
      </c>
      <c r="B8883" s="29" t="s">
        <v>3223</v>
      </c>
      <c r="C8883" s="29"/>
      <c r="D8883" s="29" t="s">
        <v>4156</v>
      </c>
      <c r="E8883" s="29"/>
      <c r="F8883" s="29" t="s">
        <v>2998</v>
      </c>
      <c r="G8883" s="29" t="s">
        <v>3020</v>
      </c>
      <c r="H8883" s="29" t="s">
        <v>3021</v>
      </c>
      <c r="I8883" s="29"/>
      <c r="J8883" s="29" t="s">
        <v>2374</v>
      </c>
      <c r="K8883" s="29"/>
      <c r="L8883" s="29" t="s">
        <v>2381</v>
      </c>
      <c r="M8883" s="29"/>
      <c r="N8883" s="29" t="s">
        <v>3258</v>
      </c>
      <c r="O8883" s="29"/>
      <c r="P8883" s="29" t="s">
        <v>13769</v>
      </c>
      <c r="Q8883" t="s">
        <v>2190</v>
      </c>
      <c r="R8883" t="s">
        <v>2632</v>
      </c>
      <c r="S8883">
        <v>38</v>
      </c>
      <c r="T8883" s="43" t="str">
        <f>HYPERLINK("https://ictv.global/ictv/proposals/2022.005M.Coguvirus_2nsp.zip","2022.005M.Coguvirus_2nsp.zip")</f>
        <v>2022.005M.Coguvirus_2nsp.zip</v>
      </c>
      <c r="U8883" s="43" t="str">
        <f>HYPERLINK("https://ictv.global/taxonomy/taxondetails?taxnode_id=202214162","ictv.global=202214162")</f>
        <v>ictv.global=202214162</v>
      </c>
    </row>
    <row r="8884" spans="1:21">
      <c r="A8884">
        <v>8883</v>
      </c>
      <c r="B8884" s="29" t="s">
        <v>3223</v>
      </c>
      <c r="C8884" s="29"/>
      <c r="D8884" s="29" t="s">
        <v>4156</v>
      </c>
      <c r="E8884" s="29"/>
      <c r="F8884" s="29" t="s">
        <v>2998</v>
      </c>
      <c r="G8884" s="29" t="s">
        <v>3020</v>
      </c>
      <c r="H8884" s="29" t="s">
        <v>3021</v>
      </c>
      <c r="I8884" s="29"/>
      <c r="J8884" s="29" t="s">
        <v>2374</v>
      </c>
      <c r="K8884" s="29"/>
      <c r="L8884" s="29" t="s">
        <v>2381</v>
      </c>
      <c r="M8884" s="29"/>
      <c r="N8884" s="29" t="s">
        <v>3258</v>
      </c>
      <c r="O8884" s="29"/>
      <c r="P8884" s="29" t="s">
        <v>4224</v>
      </c>
      <c r="Q8884" t="s">
        <v>2190</v>
      </c>
      <c r="R8884" t="s">
        <v>2632</v>
      </c>
      <c r="S8884">
        <v>35</v>
      </c>
      <c r="T8884" s="43" t="str">
        <f>HYPERLINK("https://ictv.global/ictv/proposals/2019.004P.zip","2019.004P.zip")</f>
        <v>2019.004P.zip</v>
      </c>
      <c r="U8884" s="43" t="str">
        <f>HYPERLINK("https://ictv.global/taxonomy/taxondetails?taxnode_id=202207130","ictv.global=202207130")</f>
        <v>ictv.global=202207130</v>
      </c>
    </row>
    <row r="8885" spans="1:21">
      <c r="A8885">
        <v>8884</v>
      </c>
      <c r="B8885" s="29" t="s">
        <v>3223</v>
      </c>
      <c r="C8885" s="29"/>
      <c r="D8885" s="29" t="s">
        <v>4156</v>
      </c>
      <c r="E8885" s="29"/>
      <c r="F8885" s="29" t="s">
        <v>2998</v>
      </c>
      <c r="G8885" s="29" t="s">
        <v>3020</v>
      </c>
      <c r="H8885" s="29" t="s">
        <v>3021</v>
      </c>
      <c r="I8885" s="29"/>
      <c r="J8885" s="29" t="s">
        <v>2374</v>
      </c>
      <c r="K8885" s="29"/>
      <c r="L8885" s="29" t="s">
        <v>2381</v>
      </c>
      <c r="M8885" s="29"/>
      <c r="N8885" s="29" t="s">
        <v>3258</v>
      </c>
      <c r="O8885" s="29"/>
      <c r="P8885" s="29" t="s">
        <v>13770</v>
      </c>
      <c r="Q8885" t="s">
        <v>2190</v>
      </c>
      <c r="R8885" t="s">
        <v>2632</v>
      </c>
      <c r="S8885">
        <v>38</v>
      </c>
      <c r="T8885" s="43" t="str">
        <f>HYPERLINK("https://ictv.global/ictv/proposals/2022.005M.Coguvirus_2nsp.zip","2022.005M.Coguvirus_2nsp.zip")</f>
        <v>2022.005M.Coguvirus_2nsp.zip</v>
      </c>
      <c r="U8885" s="43" t="str">
        <f>HYPERLINK("https://ictv.global/taxonomy/taxondetails?taxnode_id=202214163","ictv.global=202214163")</f>
        <v>ictv.global=202214163</v>
      </c>
    </row>
    <row r="8886" spans="1:21">
      <c r="A8886">
        <v>8885</v>
      </c>
      <c r="B8886" s="29" t="s">
        <v>3223</v>
      </c>
      <c r="C8886" s="29"/>
      <c r="D8886" s="29" t="s">
        <v>4156</v>
      </c>
      <c r="E8886" s="29"/>
      <c r="F8886" s="29" t="s">
        <v>2998</v>
      </c>
      <c r="G8886" s="29" t="s">
        <v>3020</v>
      </c>
      <c r="H8886" s="29" t="s">
        <v>3021</v>
      </c>
      <c r="I8886" s="29"/>
      <c r="J8886" s="29" t="s">
        <v>2374</v>
      </c>
      <c r="K8886" s="29"/>
      <c r="L8886" s="29" t="s">
        <v>2381</v>
      </c>
      <c r="M8886" s="29"/>
      <c r="N8886" s="29" t="s">
        <v>3258</v>
      </c>
      <c r="O8886" s="29"/>
      <c r="P8886" s="29" t="s">
        <v>13771</v>
      </c>
      <c r="Q8886" t="s">
        <v>2190</v>
      </c>
      <c r="R8886" t="s">
        <v>2635</v>
      </c>
      <c r="S8886">
        <v>38</v>
      </c>
      <c r="T8886" s="43" t="str">
        <f>HYPERLINK("https://ictv.global/ictv/proposals/2021.002M.Phenuiviridae_sprenamed.zip","2021.002M.Phenuiviridae_sprenamed.zip")</f>
        <v>2021.002M.Phenuiviridae_sprenamed.zip</v>
      </c>
      <c r="U8886" s="43" t="str">
        <f>HYPERLINK("https://ictv.global/taxonomy/taxondetails?taxnode_id=202209832","ictv.global=202209832")</f>
        <v>ictv.global=202209832</v>
      </c>
    </row>
    <row r="8887" spans="1:21">
      <c r="A8887">
        <v>8886</v>
      </c>
      <c r="B8887" s="29" t="s">
        <v>3223</v>
      </c>
      <c r="C8887" s="29"/>
      <c r="D8887" s="29" t="s">
        <v>4156</v>
      </c>
      <c r="E8887" s="29"/>
      <c r="F8887" s="29" t="s">
        <v>2998</v>
      </c>
      <c r="G8887" s="29" t="s">
        <v>3020</v>
      </c>
      <c r="H8887" s="29" t="s">
        <v>3021</v>
      </c>
      <c r="I8887" s="29"/>
      <c r="J8887" s="29" t="s">
        <v>2374</v>
      </c>
      <c r="K8887" s="29"/>
      <c r="L8887" s="29" t="s">
        <v>2381</v>
      </c>
      <c r="M8887" s="29"/>
      <c r="N8887" s="29" t="s">
        <v>3258</v>
      </c>
      <c r="O8887" s="29"/>
      <c r="P8887" s="29" t="s">
        <v>13772</v>
      </c>
      <c r="Q8887" t="s">
        <v>2039</v>
      </c>
      <c r="R8887" t="s">
        <v>2632</v>
      </c>
      <c r="S8887">
        <v>38</v>
      </c>
      <c r="T8887" s="43" t="str">
        <f>HYPERLINK("https://ictv.global/ictv/proposals/2022.006M.Coguvirus_2nsp2.zip","2022.006M.Coguvirus_2nsp2.zip")</f>
        <v>2022.006M.Coguvirus_2nsp2.zip</v>
      </c>
      <c r="U8887" s="43" t="str">
        <f>HYPERLINK("https://ictv.global/taxonomy/taxondetails?taxnode_id=202214165","ictv.global=202214165")</f>
        <v>ictv.global=202214165</v>
      </c>
    </row>
    <row r="8888" spans="1:21">
      <c r="A8888">
        <v>8887</v>
      </c>
      <c r="B8888" s="29" t="s">
        <v>3223</v>
      </c>
      <c r="C8888" s="29"/>
      <c r="D8888" s="29" t="s">
        <v>4156</v>
      </c>
      <c r="E8888" s="29"/>
      <c r="F8888" s="29" t="s">
        <v>2998</v>
      </c>
      <c r="G8888" s="29" t="s">
        <v>3020</v>
      </c>
      <c r="H8888" s="29" t="s">
        <v>3021</v>
      </c>
      <c r="I8888" s="29"/>
      <c r="J8888" s="29" t="s">
        <v>2374</v>
      </c>
      <c r="K8888" s="29"/>
      <c r="L8888" s="29" t="s">
        <v>2381</v>
      </c>
      <c r="M8888" s="29"/>
      <c r="N8888" s="29" t="s">
        <v>4225</v>
      </c>
      <c r="O8888" s="29"/>
      <c r="P8888" s="29" t="s">
        <v>13773</v>
      </c>
      <c r="Q8888" t="s">
        <v>2190</v>
      </c>
      <c r="R8888" t="s">
        <v>2635</v>
      </c>
      <c r="S8888">
        <v>38</v>
      </c>
      <c r="T8888" s="43" t="str">
        <f>HYPERLINK("https://ictv.global/ictv/proposals/2021.002M.Phenuiviridae_sprenamed.zip","2021.002M.Phenuiviridae_sprenamed.zip")</f>
        <v>2021.002M.Phenuiviridae_sprenamed.zip</v>
      </c>
      <c r="U8888" s="43" t="str">
        <f>HYPERLINK("https://ictv.global/taxonomy/taxondetails?taxnode_id=202207644","ictv.global=202207644")</f>
        <v>ictv.global=202207644</v>
      </c>
    </row>
    <row r="8889" spans="1:21">
      <c r="A8889">
        <v>8888</v>
      </c>
      <c r="B8889" s="29" t="s">
        <v>3223</v>
      </c>
      <c r="C8889" s="29"/>
      <c r="D8889" s="29" t="s">
        <v>4156</v>
      </c>
      <c r="E8889" s="29"/>
      <c r="F8889" s="29" t="s">
        <v>2998</v>
      </c>
      <c r="G8889" s="29" t="s">
        <v>3020</v>
      </c>
      <c r="H8889" s="29" t="s">
        <v>3021</v>
      </c>
      <c r="I8889" s="29"/>
      <c r="J8889" s="29" t="s">
        <v>2374</v>
      </c>
      <c r="K8889" s="29"/>
      <c r="L8889" s="29" t="s">
        <v>2381</v>
      </c>
      <c r="M8889" s="29"/>
      <c r="N8889" s="29" t="s">
        <v>2408</v>
      </c>
      <c r="O8889" s="29"/>
      <c r="P8889" s="29" t="s">
        <v>13774</v>
      </c>
      <c r="Q8889" t="s">
        <v>2039</v>
      </c>
      <c r="R8889" t="s">
        <v>2632</v>
      </c>
      <c r="S8889">
        <v>38</v>
      </c>
      <c r="T8889" s="43" t="str">
        <f>HYPERLINK("https://ictv.global/ictv/proposals/2022.020M.Phenuiviridae_2ngen_10nsp_1rensp.zip","2022.020M.Phenuiviridae_2ngen_10nsp_1rensp.zip")</f>
        <v>2022.020M.Phenuiviridae_2ngen_10nsp_1rensp.zip</v>
      </c>
      <c r="U8889" s="43" t="str">
        <f>HYPERLINK("https://ictv.global/taxonomy/taxondetails?taxnode_id=202214261","ictv.global=202214261")</f>
        <v>ictv.global=202214261</v>
      </c>
    </row>
    <row r="8890" spans="1:21">
      <c r="A8890">
        <v>8889</v>
      </c>
      <c r="B8890" s="29" t="s">
        <v>3223</v>
      </c>
      <c r="C8890" s="29"/>
      <c r="D8890" s="29" t="s">
        <v>4156</v>
      </c>
      <c r="E8890" s="29"/>
      <c r="F8890" s="29" t="s">
        <v>2998</v>
      </c>
      <c r="G8890" s="29" t="s">
        <v>3020</v>
      </c>
      <c r="H8890" s="29" t="s">
        <v>3021</v>
      </c>
      <c r="I8890" s="29"/>
      <c r="J8890" s="29" t="s">
        <v>2374</v>
      </c>
      <c r="K8890" s="29"/>
      <c r="L8890" s="29" t="s">
        <v>2381</v>
      </c>
      <c r="M8890" s="29"/>
      <c r="N8890" s="29" t="s">
        <v>2408</v>
      </c>
      <c r="O8890" s="29"/>
      <c r="P8890" s="29" t="s">
        <v>13775</v>
      </c>
      <c r="Q8890" t="s">
        <v>2039</v>
      </c>
      <c r="R8890" t="s">
        <v>2632</v>
      </c>
      <c r="S8890">
        <v>38</v>
      </c>
      <c r="T8890" s="43" t="str">
        <f>HYPERLINK("https://ictv.global/ictv/proposals/2022.020M.Phenuiviridae_2ngen_10nsp_1rensp.zip","2022.020M.Phenuiviridae_2ngen_10nsp_1rensp.zip")</f>
        <v>2022.020M.Phenuiviridae_2ngen_10nsp_1rensp.zip</v>
      </c>
      <c r="U8890" s="43" t="str">
        <f>HYPERLINK("https://ictv.global/taxonomy/taxondetails?taxnode_id=202214260","ictv.global=202214260")</f>
        <v>ictv.global=202214260</v>
      </c>
    </row>
    <row r="8891" spans="1:21">
      <c r="A8891">
        <v>8890</v>
      </c>
      <c r="B8891" s="29" t="s">
        <v>3223</v>
      </c>
      <c r="C8891" s="29"/>
      <c r="D8891" s="29" t="s">
        <v>4156</v>
      </c>
      <c r="E8891" s="29"/>
      <c r="F8891" s="29" t="s">
        <v>2998</v>
      </c>
      <c r="G8891" s="29" t="s">
        <v>3020</v>
      </c>
      <c r="H8891" s="29" t="s">
        <v>3021</v>
      </c>
      <c r="I8891" s="29"/>
      <c r="J8891" s="29" t="s">
        <v>2374</v>
      </c>
      <c r="K8891" s="29"/>
      <c r="L8891" s="29" t="s">
        <v>2381</v>
      </c>
      <c r="M8891" s="29"/>
      <c r="N8891" s="29" t="s">
        <v>2408</v>
      </c>
      <c r="O8891" s="29"/>
      <c r="P8891" s="29" t="s">
        <v>13776</v>
      </c>
      <c r="Q8891" t="s">
        <v>2039</v>
      </c>
      <c r="R8891" t="s">
        <v>2635</v>
      </c>
      <c r="S8891">
        <v>38</v>
      </c>
      <c r="T8891" s="43" t="str">
        <f>HYPERLINK("https://ictv.global/ictv/proposals/2021.002M.Phenuiviridae_sprenamed.zip","2021.002M.Phenuiviridae_sprenamed.zip")</f>
        <v>2021.002M.Phenuiviridae_sprenamed.zip</v>
      </c>
      <c r="U8891" s="43" t="str">
        <f>HYPERLINK("https://ictv.global/taxonomy/taxondetails?taxnode_id=202200149","ictv.global=202200149")</f>
        <v>ictv.global=202200149</v>
      </c>
    </row>
    <row r="8892" spans="1:21">
      <c r="A8892">
        <v>8891</v>
      </c>
      <c r="B8892" s="29" t="s">
        <v>3223</v>
      </c>
      <c r="C8892" s="29"/>
      <c r="D8892" s="29" t="s">
        <v>4156</v>
      </c>
      <c r="E8892" s="29"/>
      <c r="F8892" s="29" t="s">
        <v>2998</v>
      </c>
      <c r="G8892" s="29" t="s">
        <v>3020</v>
      </c>
      <c r="H8892" s="29" t="s">
        <v>3021</v>
      </c>
      <c r="I8892" s="29"/>
      <c r="J8892" s="29" t="s">
        <v>2374</v>
      </c>
      <c r="K8892" s="29"/>
      <c r="L8892" s="29" t="s">
        <v>2381</v>
      </c>
      <c r="M8892" s="29"/>
      <c r="N8892" s="29" t="s">
        <v>2408</v>
      </c>
      <c r="O8892" s="29"/>
      <c r="P8892" s="29" t="s">
        <v>13777</v>
      </c>
      <c r="Q8892" t="s">
        <v>2039</v>
      </c>
      <c r="R8892" t="s">
        <v>2635</v>
      </c>
      <c r="S8892">
        <v>38</v>
      </c>
      <c r="T8892" s="43" t="str">
        <f>HYPERLINK("https://ictv.global/ictv/proposals/2021.002M.Phenuiviridae_sprenamed.zip","2021.002M.Phenuiviridae_sprenamed.zip")</f>
        <v>2021.002M.Phenuiviridae_sprenamed.zip</v>
      </c>
      <c r="U8892" s="43" t="str">
        <f>HYPERLINK("https://ictv.global/taxonomy/taxondetails?taxnode_id=202200150","ictv.global=202200150")</f>
        <v>ictv.global=202200150</v>
      </c>
    </row>
    <row r="8893" spans="1:21">
      <c r="A8893">
        <v>8892</v>
      </c>
      <c r="B8893" s="29" t="s">
        <v>3223</v>
      </c>
      <c r="C8893" s="29"/>
      <c r="D8893" s="29" t="s">
        <v>4156</v>
      </c>
      <c r="E8893" s="29"/>
      <c r="F8893" s="29" t="s">
        <v>2998</v>
      </c>
      <c r="G8893" s="29" t="s">
        <v>3020</v>
      </c>
      <c r="H8893" s="29" t="s">
        <v>3021</v>
      </c>
      <c r="I8893" s="29"/>
      <c r="J8893" s="29" t="s">
        <v>2374</v>
      </c>
      <c r="K8893" s="29"/>
      <c r="L8893" s="29" t="s">
        <v>2381</v>
      </c>
      <c r="M8893" s="29"/>
      <c r="N8893" s="29" t="s">
        <v>2408</v>
      </c>
      <c r="O8893" s="29"/>
      <c r="P8893" s="29" t="s">
        <v>13778</v>
      </c>
      <c r="Q8893" t="s">
        <v>2039</v>
      </c>
      <c r="R8893" t="s">
        <v>2635</v>
      </c>
      <c r="S8893">
        <v>38</v>
      </c>
      <c r="T8893" s="43" t="str">
        <f>HYPERLINK("https://ictv.global/ictv/proposals/2021.002M.Phenuiviridae_sprenamed.zip","2021.002M.Phenuiviridae_sprenamed.zip")</f>
        <v>2021.002M.Phenuiviridae_sprenamed.zip</v>
      </c>
      <c r="U8893" s="43" t="str">
        <f>HYPERLINK("https://ictv.global/taxonomy/taxondetails?taxnode_id=202200151","ictv.global=202200151")</f>
        <v>ictv.global=202200151</v>
      </c>
    </row>
    <row r="8894" spans="1:21">
      <c r="A8894">
        <v>8893</v>
      </c>
      <c r="B8894" s="29" t="s">
        <v>3223</v>
      </c>
      <c r="C8894" s="29"/>
      <c r="D8894" s="29" t="s">
        <v>4156</v>
      </c>
      <c r="E8894" s="29"/>
      <c r="F8894" s="29" t="s">
        <v>2998</v>
      </c>
      <c r="G8894" s="29" t="s">
        <v>3020</v>
      </c>
      <c r="H8894" s="29" t="s">
        <v>3021</v>
      </c>
      <c r="I8894" s="29"/>
      <c r="J8894" s="29" t="s">
        <v>2374</v>
      </c>
      <c r="K8894" s="29"/>
      <c r="L8894" s="29" t="s">
        <v>2381</v>
      </c>
      <c r="M8894" s="29"/>
      <c r="N8894" s="29" t="s">
        <v>3036</v>
      </c>
      <c r="O8894" s="29"/>
      <c r="P8894" s="29" t="s">
        <v>13779</v>
      </c>
      <c r="Q8894" t="s">
        <v>2039</v>
      </c>
      <c r="R8894" t="s">
        <v>2635</v>
      </c>
      <c r="S8894">
        <v>38</v>
      </c>
      <c r="T8894" s="43" t="str">
        <f>HYPERLINK("https://ictv.global/ictv/proposals/2021.002M.Phenuiviridae_sprenamed.zip","2021.002M.Phenuiviridae_sprenamed.zip")</f>
        <v>2021.002M.Phenuiviridae_sprenamed.zip</v>
      </c>
      <c r="U8894" s="43" t="str">
        <f>HYPERLINK("https://ictv.global/taxonomy/taxondetails?taxnode_id=202209831","ictv.global=202209831")</f>
        <v>ictv.global=202209831</v>
      </c>
    </row>
    <row r="8895" spans="1:21">
      <c r="A8895">
        <v>8894</v>
      </c>
      <c r="B8895" s="29" t="s">
        <v>3223</v>
      </c>
      <c r="C8895" s="29"/>
      <c r="D8895" s="29" t="s">
        <v>4156</v>
      </c>
      <c r="E8895" s="29"/>
      <c r="F8895" s="29" t="s">
        <v>2998</v>
      </c>
      <c r="G8895" s="29" t="s">
        <v>3020</v>
      </c>
      <c r="H8895" s="29" t="s">
        <v>3021</v>
      </c>
      <c r="I8895" s="29"/>
      <c r="J8895" s="29" t="s">
        <v>2374</v>
      </c>
      <c r="K8895" s="29"/>
      <c r="L8895" s="29" t="s">
        <v>2381</v>
      </c>
      <c r="M8895" s="29"/>
      <c r="N8895" s="29" t="s">
        <v>3036</v>
      </c>
      <c r="O8895" s="29"/>
      <c r="P8895" s="29" t="s">
        <v>13780</v>
      </c>
      <c r="Q8895" t="s">
        <v>2039</v>
      </c>
      <c r="R8895" t="s">
        <v>2632</v>
      </c>
      <c r="S8895">
        <v>38</v>
      </c>
      <c r="T8895" s="43" t="str">
        <f>HYPERLINK("https://ictv.global/ictv/proposals/2022.020M.Phenuiviridae_2ngen_10nsp_1rensp.zip","2022.020M.Phenuiviridae_2ngen_10nsp_1rensp.zip")</f>
        <v>2022.020M.Phenuiviridae_2ngen_10nsp_1rensp.zip</v>
      </c>
      <c r="U8895" s="43" t="str">
        <f>HYPERLINK("https://ictv.global/taxonomy/taxondetails?taxnode_id=202214259","ictv.global=202214259")</f>
        <v>ictv.global=202214259</v>
      </c>
    </row>
    <row r="8896" spans="1:21">
      <c r="A8896">
        <v>8895</v>
      </c>
      <c r="B8896" s="29" t="s">
        <v>3223</v>
      </c>
      <c r="C8896" s="29"/>
      <c r="D8896" s="29" t="s">
        <v>4156</v>
      </c>
      <c r="E8896" s="29"/>
      <c r="F8896" s="29" t="s">
        <v>2998</v>
      </c>
      <c r="G8896" s="29" t="s">
        <v>3020</v>
      </c>
      <c r="H8896" s="29" t="s">
        <v>3021</v>
      </c>
      <c r="I8896" s="29"/>
      <c r="J8896" s="29" t="s">
        <v>2374</v>
      </c>
      <c r="K8896" s="29"/>
      <c r="L8896" s="29" t="s">
        <v>2381</v>
      </c>
      <c r="M8896" s="29"/>
      <c r="N8896" s="29" t="s">
        <v>3036</v>
      </c>
      <c r="O8896" s="29"/>
      <c r="P8896" s="29" t="s">
        <v>13781</v>
      </c>
      <c r="Q8896" t="s">
        <v>2039</v>
      </c>
      <c r="R8896" t="s">
        <v>2635</v>
      </c>
      <c r="S8896">
        <v>38</v>
      </c>
      <c r="T8896" s="43" t="str">
        <f t="shared" ref="T8896:T8905" si="385">HYPERLINK("https://ictv.global/ictv/proposals/2021.002M.Phenuiviridae_sprenamed.zip","2021.002M.Phenuiviridae_sprenamed.zip")</f>
        <v>2021.002M.Phenuiviridae_sprenamed.zip</v>
      </c>
      <c r="U8896" s="43" t="str">
        <f>HYPERLINK("https://ictv.global/taxonomy/taxondetails?taxnode_id=202206228","ictv.global=202206228")</f>
        <v>ictv.global=202206228</v>
      </c>
    </row>
    <row r="8897" spans="1:21">
      <c r="A8897">
        <v>8896</v>
      </c>
      <c r="B8897" s="29" t="s">
        <v>3223</v>
      </c>
      <c r="C8897" s="29"/>
      <c r="D8897" s="29" t="s">
        <v>4156</v>
      </c>
      <c r="E8897" s="29"/>
      <c r="F8897" s="29" t="s">
        <v>2998</v>
      </c>
      <c r="G8897" s="29" t="s">
        <v>3020</v>
      </c>
      <c r="H8897" s="29" t="s">
        <v>3021</v>
      </c>
      <c r="I8897" s="29"/>
      <c r="J8897" s="29" t="s">
        <v>2374</v>
      </c>
      <c r="K8897" s="29"/>
      <c r="L8897" s="29" t="s">
        <v>2381</v>
      </c>
      <c r="M8897" s="29"/>
      <c r="N8897" s="29" t="s">
        <v>3037</v>
      </c>
      <c r="O8897" s="29"/>
      <c r="P8897" s="29" t="s">
        <v>13782</v>
      </c>
      <c r="Q8897" t="s">
        <v>2039</v>
      </c>
      <c r="R8897" t="s">
        <v>2635</v>
      </c>
      <c r="S8897">
        <v>38</v>
      </c>
      <c r="T8897" s="43" t="str">
        <f t="shared" si="385"/>
        <v>2021.002M.Phenuiviridae_sprenamed.zip</v>
      </c>
      <c r="U8897" s="43" t="str">
        <f>HYPERLINK("https://ictv.global/taxonomy/taxondetails?taxnode_id=202206230","ictv.global=202206230")</f>
        <v>ictv.global=202206230</v>
      </c>
    </row>
    <row r="8898" spans="1:21">
      <c r="A8898">
        <v>8897</v>
      </c>
      <c r="B8898" s="29" t="s">
        <v>3223</v>
      </c>
      <c r="C8898" s="29"/>
      <c r="D8898" s="29" t="s">
        <v>4156</v>
      </c>
      <c r="E8898" s="29"/>
      <c r="F8898" s="29" t="s">
        <v>2998</v>
      </c>
      <c r="G8898" s="29" t="s">
        <v>3020</v>
      </c>
      <c r="H8898" s="29" t="s">
        <v>3021</v>
      </c>
      <c r="I8898" s="29"/>
      <c r="J8898" s="29" t="s">
        <v>2374</v>
      </c>
      <c r="K8898" s="29"/>
      <c r="L8898" s="29" t="s">
        <v>2381</v>
      </c>
      <c r="M8898" s="29"/>
      <c r="N8898" s="29" t="s">
        <v>3038</v>
      </c>
      <c r="O8898" s="29"/>
      <c r="P8898" s="29" t="s">
        <v>13783</v>
      </c>
      <c r="Q8898" t="s">
        <v>2039</v>
      </c>
      <c r="R8898" t="s">
        <v>2635</v>
      </c>
      <c r="S8898">
        <v>38</v>
      </c>
      <c r="T8898" s="43" t="str">
        <f t="shared" si="385"/>
        <v>2021.002M.Phenuiviridae_sprenamed.zip</v>
      </c>
      <c r="U8898" s="43" t="str">
        <f>HYPERLINK("https://ictv.global/taxonomy/taxondetails?taxnode_id=202206232","ictv.global=202206232")</f>
        <v>ictv.global=202206232</v>
      </c>
    </row>
    <row r="8899" spans="1:21">
      <c r="A8899">
        <v>8898</v>
      </c>
      <c r="B8899" s="29" t="s">
        <v>3223</v>
      </c>
      <c r="C8899" s="29"/>
      <c r="D8899" s="29" t="s">
        <v>4156</v>
      </c>
      <c r="E8899" s="29"/>
      <c r="F8899" s="29" t="s">
        <v>2998</v>
      </c>
      <c r="G8899" s="29" t="s">
        <v>3020</v>
      </c>
      <c r="H8899" s="29" t="s">
        <v>3021</v>
      </c>
      <c r="I8899" s="29"/>
      <c r="J8899" s="29" t="s">
        <v>2374</v>
      </c>
      <c r="K8899" s="29"/>
      <c r="L8899" s="29" t="s">
        <v>2381</v>
      </c>
      <c r="M8899" s="29"/>
      <c r="N8899" s="29" t="s">
        <v>4226</v>
      </c>
      <c r="O8899" s="29"/>
      <c r="P8899" s="29" t="s">
        <v>13784</v>
      </c>
      <c r="Q8899" t="s">
        <v>2039</v>
      </c>
      <c r="R8899" t="s">
        <v>2635</v>
      </c>
      <c r="S8899">
        <v>38</v>
      </c>
      <c r="T8899" s="43" t="str">
        <f t="shared" si="385"/>
        <v>2021.002M.Phenuiviridae_sprenamed.zip</v>
      </c>
      <c r="U8899" s="43" t="str">
        <f>HYPERLINK("https://ictv.global/taxonomy/taxondetails?taxnode_id=202207640","ictv.global=202207640")</f>
        <v>ictv.global=202207640</v>
      </c>
    </row>
    <row r="8900" spans="1:21">
      <c r="A8900">
        <v>8899</v>
      </c>
      <c r="B8900" s="29" t="s">
        <v>3223</v>
      </c>
      <c r="C8900" s="29"/>
      <c r="D8900" s="29" t="s">
        <v>4156</v>
      </c>
      <c r="E8900" s="29"/>
      <c r="F8900" s="29" t="s">
        <v>2998</v>
      </c>
      <c r="G8900" s="29" t="s">
        <v>3020</v>
      </c>
      <c r="H8900" s="29" t="s">
        <v>3021</v>
      </c>
      <c r="I8900" s="29"/>
      <c r="J8900" s="29" t="s">
        <v>2374</v>
      </c>
      <c r="K8900" s="29"/>
      <c r="L8900" s="29" t="s">
        <v>2381</v>
      </c>
      <c r="M8900" s="29"/>
      <c r="N8900" s="29" t="s">
        <v>4226</v>
      </c>
      <c r="O8900" s="29"/>
      <c r="P8900" s="29" t="s">
        <v>13785</v>
      </c>
      <c r="Q8900" t="s">
        <v>2039</v>
      </c>
      <c r="R8900" t="s">
        <v>2635</v>
      </c>
      <c r="S8900">
        <v>38</v>
      </c>
      <c r="T8900" s="43" t="str">
        <f t="shared" si="385"/>
        <v>2021.002M.Phenuiviridae_sprenamed.zip</v>
      </c>
      <c r="U8900" s="43" t="str">
        <f>HYPERLINK("https://ictv.global/taxonomy/taxondetails?taxnode_id=202207642","ictv.global=202207642")</f>
        <v>ictv.global=202207642</v>
      </c>
    </row>
    <row r="8901" spans="1:21">
      <c r="A8901">
        <v>8900</v>
      </c>
      <c r="B8901" s="29" t="s">
        <v>3223</v>
      </c>
      <c r="C8901" s="29"/>
      <c r="D8901" s="29" t="s">
        <v>4156</v>
      </c>
      <c r="E8901" s="29"/>
      <c r="F8901" s="29" t="s">
        <v>2998</v>
      </c>
      <c r="G8901" s="29" t="s">
        <v>3020</v>
      </c>
      <c r="H8901" s="29" t="s">
        <v>3021</v>
      </c>
      <c r="I8901" s="29"/>
      <c r="J8901" s="29" t="s">
        <v>2374</v>
      </c>
      <c r="K8901" s="29"/>
      <c r="L8901" s="29" t="s">
        <v>2381</v>
      </c>
      <c r="M8901" s="29"/>
      <c r="N8901" s="29" t="s">
        <v>4226</v>
      </c>
      <c r="O8901" s="29"/>
      <c r="P8901" s="29" t="s">
        <v>13786</v>
      </c>
      <c r="Q8901" t="s">
        <v>2039</v>
      </c>
      <c r="R8901" t="s">
        <v>2635</v>
      </c>
      <c r="S8901">
        <v>38</v>
      </c>
      <c r="T8901" s="43" t="str">
        <f t="shared" si="385"/>
        <v>2021.002M.Phenuiviridae_sprenamed.zip</v>
      </c>
      <c r="U8901" s="43" t="str">
        <f>HYPERLINK("https://ictv.global/taxonomy/taxondetails?taxnode_id=202207641","ictv.global=202207641")</f>
        <v>ictv.global=202207641</v>
      </c>
    </row>
    <row r="8902" spans="1:21">
      <c r="A8902">
        <v>8901</v>
      </c>
      <c r="B8902" s="29" t="s">
        <v>3223</v>
      </c>
      <c r="C8902" s="29"/>
      <c r="D8902" s="29" t="s">
        <v>4156</v>
      </c>
      <c r="E8902" s="29"/>
      <c r="F8902" s="29" t="s">
        <v>2998</v>
      </c>
      <c r="G8902" s="29" t="s">
        <v>3020</v>
      </c>
      <c r="H8902" s="29" t="s">
        <v>3021</v>
      </c>
      <c r="I8902" s="29"/>
      <c r="J8902" s="29" t="s">
        <v>2374</v>
      </c>
      <c r="K8902" s="29"/>
      <c r="L8902" s="29" t="s">
        <v>2381</v>
      </c>
      <c r="M8902" s="29"/>
      <c r="N8902" s="29" t="s">
        <v>3254</v>
      </c>
      <c r="O8902" s="29"/>
      <c r="P8902" s="29" t="s">
        <v>13787</v>
      </c>
      <c r="Q8902" t="s">
        <v>2039</v>
      </c>
      <c r="R8902" t="s">
        <v>2635</v>
      </c>
      <c r="S8902">
        <v>38</v>
      </c>
      <c r="T8902" s="43" t="str">
        <f t="shared" si="385"/>
        <v>2021.002M.Phenuiviridae_sprenamed.zip</v>
      </c>
      <c r="U8902" s="43" t="str">
        <f>HYPERLINK("https://ictv.global/taxonomy/taxondetails?taxnode_id=202209833","ictv.global=202209833")</f>
        <v>ictv.global=202209833</v>
      </c>
    </row>
    <row r="8903" spans="1:21">
      <c r="A8903">
        <v>8902</v>
      </c>
      <c r="B8903" s="29" t="s">
        <v>3223</v>
      </c>
      <c r="C8903" s="29"/>
      <c r="D8903" s="29" t="s">
        <v>4156</v>
      </c>
      <c r="E8903" s="29"/>
      <c r="F8903" s="29" t="s">
        <v>2998</v>
      </c>
      <c r="G8903" s="29" t="s">
        <v>3020</v>
      </c>
      <c r="H8903" s="29" t="s">
        <v>3021</v>
      </c>
      <c r="I8903" s="29"/>
      <c r="J8903" s="29" t="s">
        <v>2374</v>
      </c>
      <c r="K8903" s="29"/>
      <c r="L8903" s="29" t="s">
        <v>2381</v>
      </c>
      <c r="M8903" s="29"/>
      <c r="N8903" s="29" t="s">
        <v>3254</v>
      </c>
      <c r="O8903" s="29"/>
      <c r="P8903" s="29" t="s">
        <v>13788</v>
      </c>
      <c r="Q8903" t="s">
        <v>2039</v>
      </c>
      <c r="R8903" t="s">
        <v>2635</v>
      </c>
      <c r="S8903">
        <v>38</v>
      </c>
      <c r="T8903" s="43" t="str">
        <f t="shared" si="385"/>
        <v>2021.002M.Phenuiviridae_sprenamed.zip</v>
      </c>
      <c r="U8903" s="43" t="str">
        <f>HYPERLINK("https://ictv.global/taxonomy/taxondetails?taxnode_id=202209834","ictv.global=202209834")</f>
        <v>ictv.global=202209834</v>
      </c>
    </row>
    <row r="8904" spans="1:21">
      <c r="A8904">
        <v>8903</v>
      </c>
      <c r="B8904" s="29" t="s">
        <v>3223</v>
      </c>
      <c r="C8904" s="29"/>
      <c r="D8904" s="29" t="s">
        <v>4156</v>
      </c>
      <c r="E8904" s="29"/>
      <c r="F8904" s="29" t="s">
        <v>2998</v>
      </c>
      <c r="G8904" s="29" t="s">
        <v>3020</v>
      </c>
      <c r="H8904" s="29" t="s">
        <v>3021</v>
      </c>
      <c r="I8904" s="29"/>
      <c r="J8904" s="29" t="s">
        <v>2374</v>
      </c>
      <c r="K8904" s="29"/>
      <c r="L8904" s="29" t="s">
        <v>2381</v>
      </c>
      <c r="M8904" s="29"/>
      <c r="N8904" s="29" t="s">
        <v>3254</v>
      </c>
      <c r="O8904" s="29"/>
      <c r="P8904" s="29" t="s">
        <v>13789</v>
      </c>
      <c r="Q8904" t="s">
        <v>2039</v>
      </c>
      <c r="R8904" t="s">
        <v>2635</v>
      </c>
      <c r="S8904">
        <v>38</v>
      </c>
      <c r="T8904" s="43" t="str">
        <f t="shared" si="385"/>
        <v>2021.002M.Phenuiviridae_sprenamed.zip</v>
      </c>
      <c r="U8904" s="43" t="str">
        <f>HYPERLINK("https://ictv.global/taxonomy/taxondetails?taxnode_id=202209835","ictv.global=202209835")</f>
        <v>ictv.global=202209835</v>
      </c>
    </row>
    <row r="8905" spans="1:21">
      <c r="A8905">
        <v>8904</v>
      </c>
      <c r="B8905" s="29" t="s">
        <v>3223</v>
      </c>
      <c r="C8905" s="29"/>
      <c r="D8905" s="29" t="s">
        <v>4156</v>
      </c>
      <c r="E8905" s="29"/>
      <c r="F8905" s="29" t="s">
        <v>2998</v>
      </c>
      <c r="G8905" s="29" t="s">
        <v>3020</v>
      </c>
      <c r="H8905" s="29" t="s">
        <v>3021</v>
      </c>
      <c r="I8905" s="29"/>
      <c r="J8905" s="29" t="s">
        <v>2374</v>
      </c>
      <c r="K8905" s="29"/>
      <c r="L8905" s="29" t="s">
        <v>2381</v>
      </c>
      <c r="M8905" s="29"/>
      <c r="N8905" s="29" t="s">
        <v>3254</v>
      </c>
      <c r="O8905" s="29"/>
      <c r="P8905" s="29" t="s">
        <v>13790</v>
      </c>
      <c r="Q8905" t="s">
        <v>2039</v>
      </c>
      <c r="R8905" t="s">
        <v>2635</v>
      </c>
      <c r="S8905">
        <v>38</v>
      </c>
      <c r="T8905" s="43" t="str">
        <f t="shared" si="385"/>
        <v>2021.002M.Phenuiviridae_sprenamed.zip</v>
      </c>
      <c r="U8905" s="43" t="str">
        <f>HYPERLINK("https://ictv.global/taxonomy/taxondetails?taxnode_id=202206609","ictv.global=202206609")</f>
        <v>ictv.global=202206609</v>
      </c>
    </row>
    <row r="8906" spans="1:21">
      <c r="A8906">
        <v>8905</v>
      </c>
      <c r="B8906" s="29" t="s">
        <v>3223</v>
      </c>
      <c r="C8906" s="29"/>
      <c r="D8906" s="29" t="s">
        <v>4156</v>
      </c>
      <c r="E8906" s="29"/>
      <c r="F8906" s="29" t="s">
        <v>2998</v>
      </c>
      <c r="G8906" s="29" t="s">
        <v>3020</v>
      </c>
      <c r="H8906" s="29" t="s">
        <v>3021</v>
      </c>
      <c r="I8906" s="29"/>
      <c r="J8906" s="29" t="s">
        <v>2374</v>
      </c>
      <c r="K8906" s="29"/>
      <c r="L8906" s="29" t="s">
        <v>2381</v>
      </c>
      <c r="M8906" s="29"/>
      <c r="N8906" s="29" t="s">
        <v>3254</v>
      </c>
      <c r="O8906" s="29"/>
      <c r="P8906" s="29" t="s">
        <v>13791</v>
      </c>
      <c r="Q8906" t="s">
        <v>2039</v>
      </c>
      <c r="R8906" t="s">
        <v>2632</v>
      </c>
      <c r="S8906">
        <v>38</v>
      </c>
      <c r="T8906" s="43" t="str">
        <f>HYPERLINK("https://ictv.global/ictv/proposals/2022.020M.Phenuiviridae_2ngen_10nsp_1rensp.zip","2022.020M.Phenuiviridae_2ngen_10nsp_1rensp.zip")</f>
        <v>2022.020M.Phenuiviridae_2ngen_10nsp_1rensp.zip</v>
      </c>
      <c r="U8906" s="43" t="str">
        <f>HYPERLINK("https://ictv.global/taxonomy/taxondetails?taxnode_id=202214264","ictv.global=202214264")</f>
        <v>ictv.global=202214264</v>
      </c>
    </row>
    <row r="8907" spans="1:21">
      <c r="A8907">
        <v>8906</v>
      </c>
      <c r="B8907" s="29" t="s">
        <v>3223</v>
      </c>
      <c r="C8907" s="29"/>
      <c r="D8907" s="29" t="s">
        <v>4156</v>
      </c>
      <c r="E8907" s="29"/>
      <c r="F8907" s="29" t="s">
        <v>2998</v>
      </c>
      <c r="G8907" s="29" t="s">
        <v>3020</v>
      </c>
      <c r="H8907" s="29" t="s">
        <v>3021</v>
      </c>
      <c r="I8907" s="29"/>
      <c r="J8907" s="29" t="s">
        <v>2374</v>
      </c>
      <c r="K8907" s="29"/>
      <c r="L8907" s="29" t="s">
        <v>2381</v>
      </c>
      <c r="M8907" s="29"/>
      <c r="N8907" s="29" t="s">
        <v>4227</v>
      </c>
      <c r="O8907" s="29"/>
      <c r="P8907" s="29" t="s">
        <v>13792</v>
      </c>
      <c r="Q8907" t="s">
        <v>2190</v>
      </c>
      <c r="R8907" t="s">
        <v>2635</v>
      </c>
      <c r="S8907">
        <v>38</v>
      </c>
      <c r="T8907" s="43" t="str">
        <f>HYPERLINK("https://ictv.global/ictv/proposals/2021.002M.Phenuiviridae_sprenamed.zip","2021.002M.Phenuiviridae_sprenamed.zip")</f>
        <v>2021.002M.Phenuiviridae_sprenamed.zip</v>
      </c>
      <c r="U8907" s="43" t="str">
        <f>HYPERLINK("https://ictv.global/taxonomy/taxondetails?taxnode_id=202207646","ictv.global=202207646")</f>
        <v>ictv.global=202207646</v>
      </c>
    </row>
    <row r="8908" spans="1:21">
      <c r="A8908">
        <v>8907</v>
      </c>
      <c r="B8908" s="29" t="s">
        <v>3223</v>
      </c>
      <c r="C8908" s="29"/>
      <c r="D8908" s="29" t="s">
        <v>4156</v>
      </c>
      <c r="E8908" s="29"/>
      <c r="F8908" s="29" t="s">
        <v>2998</v>
      </c>
      <c r="G8908" s="29" t="s">
        <v>3020</v>
      </c>
      <c r="H8908" s="29" t="s">
        <v>3021</v>
      </c>
      <c r="I8908" s="29"/>
      <c r="J8908" s="29" t="s">
        <v>2374</v>
      </c>
      <c r="K8908" s="29"/>
      <c r="L8908" s="29" t="s">
        <v>2381</v>
      </c>
      <c r="M8908" s="29"/>
      <c r="N8908" s="29" t="s">
        <v>14826</v>
      </c>
      <c r="O8908" s="29"/>
      <c r="P8908" s="29" t="s">
        <v>14827</v>
      </c>
      <c r="Q8908" t="s">
        <v>2190</v>
      </c>
      <c r="R8908" t="s">
        <v>2633</v>
      </c>
      <c r="S8908">
        <v>38</v>
      </c>
      <c r="T8908" s="43" t="str">
        <f>HYPERLINK("https://ictv.global/ictv/proposals/2022.020M.Phenuiviridae_2ngen_10nsp_1rensp.zip","2022.020M.Phenuiviridae_2ngen_10nsp_1rensp.zip")</f>
        <v>2022.020M.Phenuiviridae_2ngen_10nsp_1rensp.zip</v>
      </c>
      <c r="U8908" s="43" t="str">
        <f>HYPERLINK("https://ictv.global/taxonomy/taxondetails?taxnode_id=202207650","ictv.global=202207650")</f>
        <v>ictv.global=202207650</v>
      </c>
    </row>
    <row r="8909" spans="1:21">
      <c r="A8909">
        <v>8908</v>
      </c>
      <c r="B8909" s="29" t="s">
        <v>3223</v>
      </c>
      <c r="C8909" s="29"/>
      <c r="D8909" s="29" t="s">
        <v>4156</v>
      </c>
      <c r="E8909" s="29"/>
      <c r="F8909" s="29" t="s">
        <v>2998</v>
      </c>
      <c r="G8909" s="29" t="s">
        <v>3020</v>
      </c>
      <c r="H8909" s="29" t="s">
        <v>3021</v>
      </c>
      <c r="I8909" s="29"/>
      <c r="J8909" s="29" t="s">
        <v>2374</v>
      </c>
      <c r="K8909" s="29"/>
      <c r="L8909" s="29" t="s">
        <v>2381</v>
      </c>
      <c r="M8909" s="29"/>
      <c r="N8909" s="29" t="s">
        <v>3039</v>
      </c>
      <c r="O8909" s="29"/>
      <c r="P8909" s="29" t="s">
        <v>13793</v>
      </c>
      <c r="Q8909" t="s">
        <v>2039</v>
      </c>
      <c r="R8909" t="s">
        <v>2632</v>
      </c>
      <c r="S8909">
        <v>38</v>
      </c>
      <c r="T8909" s="43" t="str">
        <f>HYPERLINK("https://ictv.global/ictv/proposals/2022.020M.Phenuiviridae_2ngen_10nsp_1rensp.zip","2022.020M.Phenuiviridae_2ngen_10nsp_1rensp.zip")</f>
        <v>2022.020M.Phenuiviridae_2ngen_10nsp_1rensp.zip</v>
      </c>
      <c r="U8909" s="43" t="str">
        <f>HYPERLINK("https://ictv.global/taxonomy/taxondetails?taxnode_id=202214263","ictv.global=202214263")</f>
        <v>ictv.global=202214263</v>
      </c>
    </row>
    <row r="8910" spans="1:21">
      <c r="A8910">
        <v>8909</v>
      </c>
      <c r="B8910" s="29" t="s">
        <v>3223</v>
      </c>
      <c r="C8910" s="29"/>
      <c r="D8910" s="29" t="s">
        <v>4156</v>
      </c>
      <c r="E8910" s="29"/>
      <c r="F8910" s="29" t="s">
        <v>2998</v>
      </c>
      <c r="G8910" s="29" t="s">
        <v>3020</v>
      </c>
      <c r="H8910" s="29" t="s">
        <v>3021</v>
      </c>
      <c r="I8910" s="29"/>
      <c r="J8910" s="29" t="s">
        <v>2374</v>
      </c>
      <c r="K8910" s="29"/>
      <c r="L8910" s="29" t="s">
        <v>2381</v>
      </c>
      <c r="M8910" s="29"/>
      <c r="N8910" s="29" t="s">
        <v>3039</v>
      </c>
      <c r="O8910" s="29"/>
      <c r="P8910" s="29" t="s">
        <v>13794</v>
      </c>
      <c r="Q8910" t="s">
        <v>2039</v>
      </c>
      <c r="R8910" t="s">
        <v>2635</v>
      </c>
      <c r="S8910">
        <v>38</v>
      </c>
      <c r="T8910" s="43" t="str">
        <f>HYPERLINK("https://ictv.global/ictv/proposals/2021.002M.Phenuiviridae_sprenamed.zip","2021.002M.Phenuiviridae_sprenamed.zip")</f>
        <v>2021.002M.Phenuiviridae_sprenamed.zip</v>
      </c>
      <c r="U8910" s="43" t="str">
        <f>HYPERLINK("https://ictv.global/taxonomy/taxondetails?taxnode_id=202206234","ictv.global=202206234")</f>
        <v>ictv.global=202206234</v>
      </c>
    </row>
    <row r="8911" spans="1:21">
      <c r="A8911">
        <v>8910</v>
      </c>
      <c r="B8911" s="29" t="s">
        <v>3223</v>
      </c>
      <c r="C8911" s="29"/>
      <c r="D8911" s="29" t="s">
        <v>4156</v>
      </c>
      <c r="E8911" s="29"/>
      <c r="F8911" s="29" t="s">
        <v>2998</v>
      </c>
      <c r="G8911" s="29" t="s">
        <v>3020</v>
      </c>
      <c r="H8911" s="29" t="s">
        <v>3021</v>
      </c>
      <c r="I8911" s="29"/>
      <c r="J8911" s="29" t="s">
        <v>2374</v>
      </c>
      <c r="K8911" s="29"/>
      <c r="L8911" s="29" t="s">
        <v>2381</v>
      </c>
      <c r="M8911" s="29"/>
      <c r="N8911" s="29" t="s">
        <v>3039</v>
      </c>
      <c r="O8911" s="29"/>
      <c r="P8911" s="29" t="s">
        <v>13795</v>
      </c>
      <c r="Q8911" t="s">
        <v>2039</v>
      </c>
      <c r="R8911" t="s">
        <v>2635</v>
      </c>
      <c r="S8911">
        <v>38</v>
      </c>
      <c r="T8911" s="43" t="str">
        <f>HYPERLINK("https://ictv.global/ictv/proposals/2021.002M.Phenuiviridae_sprenamed.zip","2021.002M.Phenuiviridae_sprenamed.zip")</f>
        <v>2021.002M.Phenuiviridae_sprenamed.zip</v>
      </c>
      <c r="U8911" s="43" t="str">
        <f>HYPERLINK("https://ictv.global/taxonomy/taxondetails?taxnode_id=202209838","ictv.global=202209838")</f>
        <v>ictv.global=202209838</v>
      </c>
    </row>
    <row r="8912" spans="1:21">
      <c r="A8912">
        <v>8911</v>
      </c>
      <c r="B8912" s="29" t="s">
        <v>3223</v>
      </c>
      <c r="C8912" s="29"/>
      <c r="D8912" s="29" t="s">
        <v>4156</v>
      </c>
      <c r="E8912" s="29"/>
      <c r="F8912" s="29" t="s">
        <v>2998</v>
      </c>
      <c r="G8912" s="29" t="s">
        <v>3020</v>
      </c>
      <c r="H8912" s="29" t="s">
        <v>3021</v>
      </c>
      <c r="I8912" s="29"/>
      <c r="J8912" s="29" t="s">
        <v>2374</v>
      </c>
      <c r="K8912" s="29"/>
      <c r="L8912" s="29" t="s">
        <v>2381</v>
      </c>
      <c r="M8912" s="29"/>
      <c r="N8912" s="29" t="s">
        <v>3039</v>
      </c>
      <c r="O8912" s="29"/>
      <c r="P8912" s="29" t="s">
        <v>13796</v>
      </c>
      <c r="Q8912" t="s">
        <v>2039</v>
      </c>
      <c r="R8912" t="s">
        <v>2632</v>
      </c>
      <c r="S8912">
        <v>38</v>
      </c>
      <c r="T8912" s="43" t="str">
        <f>HYPERLINK("https://ictv.global/ictv/proposals/2022.020M.Phenuiviridae_2ngen_10nsp_1rensp.zip","2022.020M.Phenuiviridae_2ngen_10nsp_1rensp.zip")</f>
        <v>2022.020M.Phenuiviridae_2ngen_10nsp_1rensp.zip</v>
      </c>
      <c r="U8912" s="43" t="str">
        <f>HYPERLINK("https://ictv.global/taxonomy/taxondetails?taxnode_id=202214262","ictv.global=202214262")</f>
        <v>ictv.global=202214262</v>
      </c>
    </row>
    <row r="8913" spans="1:21">
      <c r="A8913">
        <v>8912</v>
      </c>
      <c r="B8913" s="29" t="s">
        <v>3223</v>
      </c>
      <c r="C8913" s="29"/>
      <c r="D8913" s="29" t="s">
        <v>4156</v>
      </c>
      <c r="E8913" s="29"/>
      <c r="F8913" s="29" t="s">
        <v>2998</v>
      </c>
      <c r="G8913" s="29" t="s">
        <v>3020</v>
      </c>
      <c r="H8913" s="29" t="s">
        <v>3021</v>
      </c>
      <c r="I8913" s="29"/>
      <c r="J8913" s="29" t="s">
        <v>2374</v>
      </c>
      <c r="K8913" s="29"/>
      <c r="L8913" s="29" t="s">
        <v>2381</v>
      </c>
      <c r="M8913" s="29"/>
      <c r="N8913" s="29" t="s">
        <v>2409</v>
      </c>
      <c r="O8913" s="29"/>
      <c r="P8913" s="29" t="s">
        <v>13797</v>
      </c>
      <c r="Q8913" t="s">
        <v>2039</v>
      </c>
      <c r="R8913" t="s">
        <v>2635</v>
      </c>
      <c r="S8913">
        <v>38</v>
      </c>
      <c r="T8913" s="43" t="str">
        <f t="shared" ref="T8913:T8919" si="386">HYPERLINK("https://ictv.global/ictv/proposals/2021.002M.Phenuiviridae_sprenamed.zip","2021.002M.Phenuiviridae_sprenamed.zip")</f>
        <v>2021.002M.Phenuiviridae_sprenamed.zip</v>
      </c>
      <c r="U8913" s="43" t="str">
        <f>HYPERLINK("https://ictv.global/taxonomy/taxondetails?taxnode_id=202200153","ictv.global=202200153")</f>
        <v>ictv.global=202200153</v>
      </c>
    </row>
    <row r="8914" spans="1:21">
      <c r="A8914">
        <v>8913</v>
      </c>
      <c r="B8914" s="29" t="s">
        <v>3223</v>
      </c>
      <c r="C8914" s="29"/>
      <c r="D8914" s="29" t="s">
        <v>4156</v>
      </c>
      <c r="E8914" s="29"/>
      <c r="F8914" s="29" t="s">
        <v>2998</v>
      </c>
      <c r="G8914" s="29" t="s">
        <v>3020</v>
      </c>
      <c r="H8914" s="29" t="s">
        <v>3021</v>
      </c>
      <c r="I8914" s="29"/>
      <c r="J8914" s="29" t="s">
        <v>2374</v>
      </c>
      <c r="K8914" s="29"/>
      <c r="L8914" s="29" t="s">
        <v>2381</v>
      </c>
      <c r="M8914" s="29"/>
      <c r="N8914" s="29" t="s">
        <v>2409</v>
      </c>
      <c r="O8914" s="29"/>
      <c r="P8914" s="29" t="s">
        <v>13798</v>
      </c>
      <c r="Q8914" t="s">
        <v>2039</v>
      </c>
      <c r="R8914" t="s">
        <v>2635</v>
      </c>
      <c r="S8914">
        <v>38</v>
      </c>
      <c r="T8914" s="43" t="str">
        <f t="shared" si="386"/>
        <v>2021.002M.Phenuiviridae_sprenamed.zip</v>
      </c>
      <c r="U8914" s="43" t="str">
        <f>HYPERLINK("https://ictv.global/taxonomy/taxondetails?taxnode_id=202209840","ictv.global=202209840")</f>
        <v>ictv.global=202209840</v>
      </c>
    </row>
    <row r="8915" spans="1:21">
      <c r="A8915">
        <v>8914</v>
      </c>
      <c r="B8915" s="29" t="s">
        <v>3223</v>
      </c>
      <c r="C8915" s="29"/>
      <c r="D8915" s="29" t="s">
        <v>4156</v>
      </c>
      <c r="E8915" s="29"/>
      <c r="F8915" s="29" t="s">
        <v>2998</v>
      </c>
      <c r="G8915" s="29" t="s">
        <v>3020</v>
      </c>
      <c r="H8915" s="29" t="s">
        <v>3021</v>
      </c>
      <c r="I8915" s="29"/>
      <c r="J8915" s="29" t="s">
        <v>2374</v>
      </c>
      <c r="K8915" s="29"/>
      <c r="L8915" s="29" t="s">
        <v>2381</v>
      </c>
      <c r="M8915" s="29"/>
      <c r="N8915" s="29" t="s">
        <v>2409</v>
      </c>
      <c r="O8915" s="29"/>
      <c r="P8915" s="29" t="s">
        <v>13799</v>
      </c>
      <c r="Q8915" t="s">
        <v>2039</v>
      </c>
      <c r="R8915" t="s">
        <v>2635</v>
      </c>
      <c r="S8915">
        <v>38</v>
      </c>
      <c r="T8915" s="43" t="str">
        <f t="shared" si="386"/>
        <v>2021.002M.Phenuiviridae_sprenamed.zip</v>
      </c>
      <c r="U8915" s="43" t="str">
        <f>HYPERLINK("https://ictv.global/taxonomy/taxondetails?taxnode_id=202206238","ictv.global=202206238")</f>
        <v>ictv.global=202206238</v>
      </c>
    </row>
    <row r="8916" spans="1:21">
      <c r="A8916">
        <v>8915</v>
      </c>
      <c r="B8916" s="29" t="s">
        <v>3223</v>
      </c>
      <c r="C8916" s="29"/>
      <c r="D8916" s="29" t="s">
        <v>4156</v>
      </c>
      <c r="E8916" s="29"/>
      <c r="F8916" s="29" t="s">
        <v>2998</v>
      </c>
      <c r="G8916" s="29" t="s">
        <v>3020</v>
      </c>
      <c r="H8916" s="29" t="s">
        <v>3021</v>
      </c>
      <c r="I8916" s="29"/>
      <c r="J8916" s="29" t="s">
        <v>2374</v>
      </c>
      <c r="K8916" s="29"/>
      <c r="L8916" s="29" t="s">
        <v>2381</v>
      </c>
      <c r="M8916" s="29"/>
      <c r="N8916" s="29" t="s">
        <v>2409</v>
      </c>
      <c r="O8916" s="29"/>
      <c r="P8916" s="29" t="s">
        <v>13800</v>
      </c>
      <c r="Q8916" t="s">
        <v>2039</v>
      </c>
      <c r="R8916" t="s">
        <v>2635</v>
      </c>
      <c r="S8916">
        <v>38</v>
      </c>
      <c r="T8916" s="43" t="str">
        <f t="shared" si="386"/>
        <v>2021.002M.Phenuiviridae_sprenamed.zip</v>
      </c>
      <c r="U8916" s="43" t="str">
        <f>HYPERLINK("https://ictv.global/taxonomy/taxondetails?taxnode_id=202209839","ictv.global=202209839")</f>
        <v>ictv.global=202209839</v>
      </c>
    </row>
    <row r="8917" spans="1:21">
      <c r="A8917">
        <v>8916</v>
      </c>
      <c r="B8917" s="29" t="s">
        <v>3223</v>
      </c>
      <c r="C8917" s="29"/>
      <c r="D8917" s="29" t="s">
        <v>4156</v>
      </c>
      <c r="E8917" s="29"/>
      <c r="F8917" s="29" t="s">
        <v>2998</v>
      </c>
      <c r="G8917" s="29" t="s">
        <v>3020</v>
      </c>
      <c r="H8917" s="29" t="s">
        <v>3021</v>
      </c>
      <c r="I8917" s="29"/>
      <c r="J8917" s="29" t="s">
        <v>2374</v>
      </c>
      <c r="K8917" s="29"/>
      <c r="L8917" s="29" t="s">
        <v>2381</v>
      </c>
      <c r="M8917" s="29"/>
      <c r="N8917" s="29" t="s">
        <v>2409</v>
      </c>
      <c r="O8917" s="29"/>
      <c r="P8917" s="29" t="s">
        <v>13801</v>
      </c>
      <c r="Q8917" t="s">
        <v>2039</v>
      </c>
      <c r="R8917" t="s">
        <v>2635</v>
      </c>
      <c r="S8917">
        <v>38</v>
      </c>
      <c r="T8917" s="43" t="str">
        <f t="shared" si="386"/>
        <v>2021.002M.Phenuiviridae_sprenamed.zip</v>
      </c>
      <c r="U8917" s="43" t="str">
        <f>HYPERLINK("https://ictv.global/taxonomy/taxondetails?taxnode_id=202200154","ictv.global=202200154")</f>
        <v>ictv.global=202200154</v>
      </c>
    </row>
    <row r="8918" spans="1:21">
      <c r="A8918">
        <v>8917</v>
      </c>
      <c r="B8918" s="29" t="s">
        <v>3223</v>
      </c>
      <c r="C8918" s="29"/>
      <c r="D8918" s="29" t="s">
        <v>4156</v>
      </c>
      <c r="E8918" s="29"/>
      <c r="F8918" s="29" t="s">
        <v>2998</v>
      </c>
      <c r="G8918" s="29" t="s">
        <v>3020</v>
      </c>
      <c r="H8918" s="29" t="s">
        <v>3021</v>
      </c>
      <c r="I8918" s="29"/>
      <c r="J8918" s="29" t="s">
        <v>2374</v>
      </c>
      <c r="K8918" s="29"/>
      <c r="L8918" s="29" t="s">
        <v>2381</v>
      </c>
      <c r="M8918" s="29"/>
      <c r="N8918" s="29" t="s">
        <v>2409</v>
      </c>
      <c r="O8918" s="29"/>
      <c r="P8918" s="29" t="s">
        <v>13802</v>
      </c>
      <c r="Q8918" t="s">
        <v>2039</v>
      </c>
      <c r="R8918" t="s">
        <v>2635</v>
      </c>
      <c r="S8918">
        <v>38</v>
      </c>
      <c r="T8918" s="43" t="str">
        <f t="shared" si="386"/>
        <v>2021.002M.Phenuiviridae_sprenamed.zip</v>
      </c>
      <c r="U8918" s="43" t="str">
        <f>HYPERLINK("https://ictv.global/taxonomy/taxondetails?taxnode_id=202206239","ictv.global=202206239")</f>
        <v>ictv.global=202206239</v>
      </c>
    </row>
    <row r="8919" spans="1:21">
      <c r="A8919">
        <v>8918</v>
      </c>
      <c r="B8919" s="29" t="s">
        <v>3223</v>
      </c>
      <c r="C8919" s="29"/>
      <c r="D8919" s="29" t="s">
        <v>4156</v>
      </c>
      <c r="E8919" s="29"/>
      <c r="F8919" s="29" t="s">
        <v>2998</v>
      </c>
      <c r="G8919" s="29" t="s">
        <v>3020</v>
      </c>
      <c r="H8919" s="29" t="s">
        <v>3021</v>
      </c>
      <c r="I8919" s="29"/>
      <c r="J8919" s="29" t="s">
        <v>2374</v>
      </c>
      <c r="K8919" s="29"/>
      <c r="L8919" s="29" t="s">
        <v>2381</v>
      </c>
      <c r="M8919" s="29"/>
      <c r="N8919" s="29" t="s">
        <v>2409</v>
      </c>
      <c r="O8919" s="29"/>
      <c r="P8919" s="29" t="s">
        <v>13803</v>
      </c>
      <c r="Q8919" t="s">
        <v>2039</v>
      </c>
      <c r="R8919" t="s">
        <v>2635</v>
      </c>
      <c r="S8919">
        <v>38</v>
      </c>
      <c r="T8919" s="43" t="str">
        <f t="shared" si="386"/>
        <v>2021.002M.Phenuiviridae_sprenamed.zip</v>
      </c>
      <c r="U8919" s="43" t="str">
        <f>HYPERLINK("https://ictv.global/taxonomy/taxondetails?taxnode_id=202200156","ictv.global=202200156")</f>
        <v>ictv.global=202200156</v>
      </c>
    </row>
    <row r="8920" spans="1:21">
      <c r="A8920">
        <v>8919</v>
      </c>
      <c r="B8920" s="29" t="s">
        <v>3223</v>
      </c>
      <c r="C8920" s="29"/>
      <c r="D8920" s="29" t="s">
        <v>4156</v>
      </c>
      <c r="E8920" s="29"/>
      <c r="F8920" s="29" t="s">
        <v>2998</v>
      </c>
      <c r="G8920" s="29" t="s">
        <v>3020</v>
      </c>
      <c r="H8920" s="29" t="s">
        <v>3021</v>
      </c>
      <c r="I8920" s="29"/>
      <c r="J8920" s="29" t="s">
        <v>2374</v>
      </c>
      <c r="K8920" s="29"/>
      <c r="L8920" s="29" t="s">
        <v>2381</v>
      </c>
      <c r="M8920" s="29"/>
      <c r="N8920" s="29" t="s">
        <v>551</v>
      </c>
      <c r="O8920" s="29"/>
      <c r="P8920" s="29" t="s">
        <v>2192</v>
      </c>
      <c r="Q8920" t="s">
        <v>2190</v>
      </c>
      <c r="R8920" t="s">
        <v>2634</v>
      </c>
      <c r="S8920">
        <v>35</v>
      </c>
      <c r="T8920" s="43" t="str">
        <f>HYPERLINK("https://ictv.global/ictv/proposals/2019.006G.zip","2019.006G.zip")</f>
        <v>2019.006G.zip</v>
      </c>
      <c r="U8920" s="43" t="str">
        <f>HYPERLINK("https://ictv.global/taxonomy/taxondetails?taxnode_id=202200161","ictv.global=202200161")</f>
        <v>ictv.global=202200161</v>
      </c>
    </row>
    <row r="8921" spans="1:21">
      <c r="A8921">
        <v>8920</v>
      </c>
      <c r="B8921" s="29" t="s">
        <v>3223</v>
      </c>
      <c r="C8921" s="29"/>
      <c r="D8921" s="29" t="s">
        <v>4156</v>
      </c>
      <c r="E8921" s="29"/>
      <c r="F8921" s="29" t="s">
        <v>2998</v>
      </c>
      <c r="G8921" s="29" t="s">
        <v>3020</v>
      </c>
      <c r="H8921" s="29" t="s">
        <v>3021</v>
      </c>
      <c r="I8921" s="29"/>
      <c r="J8921" s="29" t="s">
        <v>2374</v>
      </c>
      <c r="K8921" s="29"/>
      <c r="L8921" s="29" t="s">
        <v>2381</v>
      </c>
      <c r="M8921" s="29"/>
      <c r="N8921" s="29" t="s">
        <v>551</v>
      </c>
      <c r="O8921" s="29"/>
      <c r="P8921" s="29" t="s">
        <v>13804</v>
      </c>
      <c r="Q8921" t="s">
        <v>2190</v>
      </c>
      <c r="R8921" t="s">
        <v>2635</v>
      </c>
      <c r="S8921">
        <v>38</v>
      </c>
      <c r="T8921" s="43" t="str">
        <f t="shared" ref="T8921:T8946" si="387">HYPERLINK("https://ictv.global/ictv/proposals/2021.002M.Phenuiviridae_sprenamed.zip","2021.002M.Phenuiviridae_sprenamed.zip")</f>
        <v>2021.002M.Phenuiviridae_sprenamed.zip</v>
      </c>
      <c r="U8921" s="43" t="str">
        <f>HYPERLINK("https://ictv.global/taxonomy/taxondetails?taxnode_id=202207619","ictv.global=202207619")</f>
        <v>ictv.global=202207619</v>
      </c>
    </row>
    <row r="8922" spans="1:21">
      <c r="A8922">
        <v>8921</v>
      </c>
      <c r="B8922" s="29" t="s">
        <v>3223</v>
      </c>
      <c r="C8922" s="29"/>
      <c r="D8922" s="29" t="s">
        <v>4156</v>
      </c>
      <c r="E8922" s="29"/>
      <c r="F8922" s="29" t="s">
        <v>2998</v>
      </c>
      <c r="G8922" s="29" t="s">
        <v>3020</v>
      </c>
      <c r="H8922" s="29" t="s">
        <v>3021</v>
      </c>
      <c r="I8922" s="29"/>
      <c r="J8922" s="29" t="s">
        <v>2374</v>
      </c>
      <c r="K8922" s="29"/>
      <c r="L8922" s="29" t="s">
        <v>2381</v>
      </c>
      <c r="M8922" s="29"/>
      <c r="N8922" s="29" t="s">
        <v>551</v>
      </c>
      <c r="O8922" s="29"/>
      <c r="P8922" s="29" t="s">
        <v>13805</v>
      </c>
      <c r="Q8922" t="s">
        <v>2190</v>
      </c>
      <c r="R8922" t="s">
        <v>2635</v>
      </c>
      <c r="S8922">
        <v>38</v>
      </c>
      <c r="T8922" s="43" t="str">
        <f t="shared" si="387"/>
        <v>2021.002M.Phenuiviridae_sprenamed.zip</v>
      </c>
      <c r="U8922" s="43" t="str">
        <f>HYPERLINK("https://ictv.global/taxonomy/taxondetails?taxnode_id=202207584","ictv.global=202207584")</f>
        <v>ictv.global=202207584</v>
      </c>
    </row>
    <row r="8923" spans="1:21">
      <c r="A8923">
        <v>8922</v>
      </c>
      <c r="B8923" s="29" t="s">
        <v>3223</v>
      </c>
      <c r="C8923" s="29"/>
      <c r="D8923" s="29" t="s">
        <v>4156</v>
      </c>
      <c r="E8923" s="29"/>
      <c r="F8923" s="29" t="s">
        <v>2998</v>
      </c>
      <c r="G8923" s="29" t="s">
        <v>3020</v>
      </c>
      <c r="H8923" s="29" t="s">
        <v>3021</v>
      </c>
      <c r="I8923" s="29"/>
      <c r="J8923" s="29" t="s">
        <v>2374</v>
      </c>
      <c r="K8923" s="29"/>
      <c r="L8923" s="29" t="s">
        <v>2381</v>
      </c>
      <c r="M8923" s="29"/>
      <c r="N8923" s="29" t="s">
        <v>551</v>
      </c>
      <c r="O8923" s="29"/>
      <c r="P8923" s="29" t="s">
        <v>13806</v>
      </c>
      <c r="Q8923" t="s">
        <v>2190</v>
      </c>
      <c r="R8923" t="s">
        <v>2635</v>
      </c>
      <c r="S8923">
        <v>38</v>
      </c>
      <c r="T8923" s="43" t="str">
        <f t="shared" si="387"/>
        <v>2021.002M.Phenuiviridae_sprenamed.zip</v>
      </c>
      <c r="U8923" s="43" t="str">
        <f>HYPERLINK("https://ictv.global/taxonomy/taxondetails?taxnode_id=202207620","ictv.global=202207620")</f>
        <v>ictv.global=202207620</v>
      </c>
    </row>
    <row r="8924" spans="1:21">
      <c r="A8924">
        <v>8923</v>
      </c>
      <c r="B8924" s="29" t="s">
        <v>3223</v>
      </c>
      <c r="C8924" s="29"/>
      <c r="D8924" s="29" t="s">
        <v>4156</v>
      </c>
      <c r="E8924" s="29"/>
      <c r="F8924" s="29" t="s">
        <v>2998</v>
      </c>
      <c r="G8924" s="29" t="s">
        <v>3020</v>
      </c>
      <c r="H8924" s="29" t="s">
        <v>3021</v>
      </c>
      <c r="I8924" s="29"/>
      <c r="J8924" s="29" t="s">
        <v>2374</v>
      </c>
      <c r="K8924" s="29"/>
      <c r="L8924" s="29" t="s">
        <v>2381</v>
      </c>
      <c r="M8924" s="29"/>
      <c r="N8924" s="29" t="s">
        <v>551</v>
      </c>
      <c r="O8924" s="29"/>
      <c r="P8924" s="29" t="s">
        <v>13807</v>
      </c>
      <c r="Q8924" t="s">
        <v>2190</v>
      </c>
      <c r="R8924" t="s">
        <v>2635</v>
      </c>
      <c r="S8924">
        <v>38</v>
      </c>
      <c r="T8924" s="43" t="str">
        <f t="shared" si="387"/>
        <v>2021.002M.Phenuiviridae_sprenamed.zip</v>
      </c>
      <c r="U8924" s="43" t="str">
        <f>HYPERLINK("https://ictv.global/taxonomy/taxondetails?taxnode_id=202207609","ictv.global=202207609")</f>
        <v>ictv.global=202207609</v>
      </c>
    </row>
    <row r="8925" spans="1:21">
      <c r="A8925">
        <v>8924</v>
      </c>
      <c r="B8925" s="29" t="s">
        <v>3223</v>
      </c>
      <c r="C8925" s="29"/>
      <c r="D8925" s="29" t="s">
        <v>4156</v>
      </c>
      <c r="E8925" s="29"/>
      <c r="F8925" s="29" t="s">
        <v>2998</v>
      </c>
      <c r="G8925" s="29" t="s">
        <v>3020</v>
      </c>
      <c r="H8925" s="29" t="s">
        <v>3021</v>
      </c>
      <c r="I8925" s="29"/>
      <c r="J8925" s="29" t="s">
        <v>2374</v>
      </c>
      <c r="K8925" s="29"/>
      <c r="L8925" s="29" t="s">
        <v>2381</v>
      </c>
      <c r="M8925" s="29"/>
      <c r="N8925" s="29" t="s">
        <v>551</v>
      </c>
      <c r="O8925" s="29"/>
      <c r="P8925" s="29" t="s">
        <v>13808</v>
      </c>
      <c r="Q8925" t="s">
        <v>2190</v>
      </c>
      <c r="R8925" t="s">
        <v>2635</v>
      </c>
      <c r="S8925">
        <v>38</v>
      </c>
      <c r="T8925" s="43" t="str">
        <f t="shared" si="387"/>
        <v>2021.002M.Phenuiviridae_sprenamed.zip</v>
      </c>
      <c r="U8925" s="43" t="str">
        <f>HYPERLINK("https://ictv.global/taxonomy/taxondetails?taxnode_id=202207590","ictv.global=202207590")</f>
        <v>ictv.global=202207590</v>
      </c>
    </row>
    <row r="8926" spans="1:21">
      <c r="A8926">
        <v>8925</v>
      </c>
      <c r="B8926" s="29" t="s">
        <v>3223</v>
      </c>
      <c r="C8926" s="29"/>
      <c r="D8926" s="29" t="s">
        <v>4156</v>
      </c>
      <c r="E8926" s="29"/>
      <c r="F8926" s="29" t="s">
        <v>2998</v>
      </c>
      <c r="G8926" s="29" t="s">
        <v>3020</v>
      </c>
      <c r="H8926" s="29" t="s">
        <v>3021</v>
      </c>
      <c r="I8926" s="29"/>
      <c r="J8926" s="29" t="s">
        <v>2374</v>
      </c>
      <c r="K8926" s="29"/>
      <c r="L8926" s="29" t="s">
        <v>2381</v>
      </c>
      <c r="M8926" s="29"/>
      <c r="N8926" s="29" t="s">
        <v>551</v>
      </c>
      <c r="O8926" s="29"/>
      <c r="P8926" s="29" t="s">
        <v>13809</v>
      </c>
      <c r="Q8926" t="s">
        <v>2190</v>
      </c>
      <c r="R8926" t="s">
        <v>2635</v>
      </c>
      <c r="S8926">
        <v>38</v>
      </c>
      <c r="T8926" s="43" t="str">
        <f t="shared" si="387"/>
        <v>2021.002M.Phenuiviridae_sprenamed.zip</v>
      </c>
      <c r="U8926" s="43" t="str">
        <f>HYPERLINK("https://ictv.global/taxonomy/taxondetails?taxnode_id=202207587","ictv.global=202207587")</f>
        <v>ictv.global=202207587</v>
      </c>
    </row>
    <row r="8927" spans="1:21">
      <c r="A8927">
        <v>8926</v>
      </c>
      <c r="B8927" s="29" t="s">
        <v>3223</v>
      </c>
      <c r="C8927" s="29"/>
      <c r="D8927" s="29" t="s">
        <v>4156</v>
      </c>
      <c r="E8927" s="29"/>
      <c r="F8927" s="29" t="s">
        <v>2998</v>
      </c>
      <c r="G8927" s="29" t="s">
        <v>3020</v>
      </c>
      <c r="H8927" s="29" t="s">
        <v>3021</v>
      </c>
      <c r="I8927" s="29"/>
      <c r="J8927" s="29" t="s">
        <v>2374</v>
      </c>
      <c r="K8927" s="29"/>
      <c r="L8927" s="29" t="s">
        <v>2381</v>
      </c>
      <c r="M8927" s="29"/>
      <c r="N8927" s="29" t="s">
        <v>551</v>
      </c>
      <c r="O8927" s="29"/>
      <c r="P8927" s="29" t="s">
        <v>13810</v>
      </c>
      <c r="Q8927" t="s">
        <v>2190</v>
      </c>
      <c r="R8927" t="s">
        <v>2635</v>
      </c>
      <c r="S8927">
        <v>38</v>
      </c>
      <c r="T8927" s="43" t="str">
        <f t="shared" si="387"/>
        <v>2021.002M.Phenuiviridae_sprenamed.zip</v>
      </c>
      <c r="U8927" s="43" t="str">
        <f>HYPERLINK("https://ictv.global/taxonomy/taxondetails?taxnode_id=202207599","ictv.global=202207599")</f>
        <v>ictv.global=202207599</v>
      </c>
    </row>
    <row r="8928" spans="1:21">
      <c r="A8928">
        <v>8927</v>
      </c>
      <c r="B8928" s="29" t="s">
        <v>3223</v>
      </c>
      <c r="C8928" s="29"/>
      <c r="D8928" s="29" t="s">
        <v>4156</v>
      </c>
      <c r="E8928" s="29"/>
      <c r="F8928" s="29" t="s">
        <v>2998</v>
      </c>
      <c r="G8928" s="29" t="s">
        <v>3020</v>
      </c>
      <c r="H8928" s="29" t="s">
        <v>3021</v>
      </c>
      <c r="I8928" s="29"/>
      <c r="J8928" s="29" t="s">
        <v>2374</v>
      </c>
      <c r="K8928" s="29"/>
      <c r="L8928" s="29" t="s">
        <v>2381</v>
      </c>
      <c r="M8928" s="29"/>
      <c r="N8928" s="29" t="s">
        <v>551</v>
      </c>
      <c r="O8928" s="29"/>
      <c r="P8928" s="29" t="s">
        <v>13811</v>
      </c>
      <c r="Q8928" t="s">
        <v>2190</v>
      </c>
      <c r="R8928" t="s">
        <v>2635</v>
      </c>
      <c r="S8928">
        <v>38</v>
      </c>
      <c r="T8928" s="43" t="str">
        <f t="shared" si="387"/>
        <v>2021.002M.Phenuiviridae_sprenamed.zip</v>
      </c>
      <c r="U8928" s="43" t="str">
        <f>HYPERLINK("https://ictv.global/taxonomy/taxondetails?taxnode_id=202207622","ictv.global=202207622")</f>
        <v>ictv.global=202207622</v>
      </c>
    </row>
    <row r="8929" spans="1:21">
      <c r="A8929">
        <v>8928</v>
      </c>
      <c r="B8929" s="29" t="s">
        <v>3223</v>
      </c>
      <c r="C8929" s="29"/>
      <c r="D8929" s="29" t="s">
        <v>4156</v>
      </c>
      <c r="E8929" s="29"/>
      <c r="F8929" s="29" t="s">
        <v>2998</v>
      </c>
      <c r="G8929" s="29" t="s">
        <v>3020</v>
      </c>
      <c r="H8929" s="29" t="s">
        <v>3021</v>
      </c>
      <c r="I8929" s="29"/>
      <c r="J8929" s="29" t="s">
        <v>2374</v>
      </c>
      <c r="K8929" s="29"/>
      <c r="L8929" s="29" t="s">
        <v>2381</v>
      </c>
      <c r="M8929" s="29"/>
      <c r="N8929" s="29" t="s">
        <v>551</v>
      </c>
      <c r="O8929" s="29"/>
      <c r="P8929" s="29" t="s">
        <v>13812</v>
      </c>
      <c r="Q8929" t="s">
        <v>2039</v>
      </c>
      <c r="R8929" t="s">
        <v>2635</v>
      </c>
      <c r="S8929">
        <v>38</v>
      </c>
      <c r="T8929" s="43" t="str">
        <f t="shared" si="387"/>
        <v>2021.002M.Phenuiviridae_sprenamed.zip</v>
      </c>
      <c r="U8929" s="43" t="str">
        <f>HYPERLINK("https://ictv.global/taxonomy/taxondetails?taxnode_id=202209623","ictv.global=202209623")</f>
        <v>ictv.global=202209623</v>
      </c>
    </row>
    <row r="8930" spans="1:21">
      <c r="A8930">
        <v>8929</v>
      </c>
      <c r="B8930" s="29" t="s">
        <v>3223</v>
      </c>
      <c r="C8930" s="29"/>
      <c r="D8930" s="29" t="s">
        <v>4156</v>
      </c>
      <c r="E8930" s="29"/>
      <c r="F8930" s="29" t="s">
        <v>2998</v>
      </c>
      <c r="G8930" s="29" t="s">
        <v>3020</v>
      </c>
      <c r="H8930" s="29" t="s">
        <v>3021</v>
      </c>
      <c r="I8930" s="29"/>
      <c r="J8930" s="29" t="s">
        <v>2374</v>
      </c>
      <c r="K8930" s="29"/>
      <c r="L8930" s="29" t="s">
        <v>2381</v>
      </c>
      <c r="M8930" s="29"/>
      <c r="N8930" s="29" t="s">
        <v>551</v>
      </c>
      <c r="O8930" s="29"/>
      <c r="P8930" s="29" t="s">
        <v>13813</v>
      </c>
      <c r="Q8930" t="s">
        <v>2190</v>
      </c>
      <c r="R8930" t="s">
        <v>2635</v>
      </c>
      <c r="S8930">
        <v>38</v>
      </c>
      <c r="T8930" s="43" t="str">
        <f t="shared" si="387"/>
        <v>2021.002M.Phenuiviridae_sprenamed.zip</v>
      </c>
      <c r="U8930" s="43" t="str">
        <f>HYPERLINK("https://ictv.global/taxonomy/taxondetails?taxnode_id=202207592","ictv.global=202207592")</f>
        <v>ictv.global=202207592</v>
      </c>
    </row>
    <row r="8931" spans="1:21">
      <c r="A8931">
        <v>8930</v>
      </c>
      <c r="B8931" s="29" t="s">
        <v>3223</v>
      </c>
      <c r="C8931" s="29"/>
      <c r="D8931" s="29" t="s">
        <v>4156</v>
      </c>
      <c r="E8931" s="29"/>
      <c r="F8931" s="29" t="s">
        <v>2998</v>
      </c>
      <c r="G8931" s="29" t="s">
        <v>3020</v>
      </c>
      <c r="H8931" s="29" t="s">
        <v>3021</v>
      </c>
      <c r="I8931" s="29"/>
      <c r="J8931" s="29" t="s">
        <v>2374</v>
      </c>
      <c r="K8931" s="29"/>
      <c r="L8931" s="29" t="s">
        <v>2381</v>
      </c>
      <c r="M8931" s="29"/>
      <c r="N8931" s="29" t="s">
        <v>551</v>
      </c>
      <c r="O8931" s="29"/>
      <c r="P8931" s="29" t="s">
        <v>13814</v>
      </c>
      <c r="Q8931" t="s">
        <v>2190</v>
      </c>
      <c r="R8931" t="s">
        <v>2635</v>
      </c>
      <c r="S8931">
        <v>38</v>
      </c>
      <c r="T8931" s="43" t="str">
        <f t="shared" si="387"/>
        <v>2021.002M.Phenuiviridae_sprenamed.zip</v>
      </c>
      <c r="U8931" s="43" t="str">
        <f>HYPERLINK("https://ictv.global/taxonomy/taxondetails?taxnode_id=202200158","ictv.global=202200158")</f>
        <v>ictv.global=202200158</v>
      </c>
    </row>
    <row r="8932" spans="1:21">
      <c r="A8932">
        <v>8931</v>
      </c>
      <c r="B8932" s="29" t="s">
        <v>3223</v>
      </c>
      <c r="C8932" s="29"/>
      <c r="D8932" s="29" t="s">
        <v>4156</v>
      </c>
      <c r="E8932" s="29"/>
      <c r="F8932" s="29" t="s">
        <v>2998</v>
      </c>
      <c r="G8932" s="29" t="s">
        <v>3020</v>
      </c>
      <c r="H8932" s="29" t="s">
        <v>3021</v>
      </c>
      <c r="I8932" s="29"/>
      <c r="J8932" s="29" t="s">
        <v>2374</v>
      </c>
      <c r="K8932" s="29"/>
      <c r="L8932" s="29" t="s">
        <v>2381</v>
      </c>
      <c r="M8932" s="29"/>
      <c r="N8932" s="29" t="s">
        <v>551</v>
      </c>
      <c r="O8932" s="29"/>
      <c r="P8932" s="29" t="s">
        <v>13815</v>
      </c>
      <c r="Q8932" t="s">
        <v>2190</v>
      </c>
      <c r="R8932" t="s">
        <v>2635</v>
      </c>
      <c r="S8932">
        <v>38</v>
      </c>
      <c r="T8932" s="43" t="str">
        <f t="shared" si="387"/>
        <v>2021.002M.Phenuiviridae_sprenamed.zip</v>
      </c>
      <c r="U8932" s="43" t="str">
        <f>HYPERLINK("https://ictv.global/taxonomy/taxondetails?taxnode_id=202207634","ictv.global=202207634")</f>
        <v>ictv.global=202207634</v>
      </c>
    </row>
    <row r="8933" spans="1:21">
      <c r="A8933">
        <v>8932</v>
      </c>
      <c r="B8933" s="29" t="s">
        <v>3223</v>
      </c>
      <c r="C8933" s="29"/>
      <c r="D8933" s="29" t="s">
        <v>4156</v>
      </c>
      <c r="E8933" s="29"/>
      <c r="F8933" s="29" t="s">
        <v>2998</v>
      </c>
      <c r="G8933" s="29" t="s">
        <v>3020</v>
      </c>
      <c r="H8933" s="29" t="s">
        <v>3021</v>
      </c>
      <c r="I8933" s="29"/>
      <c r="J8933" s="29" t="s">
        <v>2374</v>
      </c>
      <c r="K8933" s="29"/>
      <c r="L8933" s="29" t="s">
        <v>2381</v>
      </c>
      <c r="M8933" s="29"/>
      <c r="N8933" s="29" t="s">
        <v>551</v>
      </c>
      <c r="O8933" s="29"/>
      <c r="P8933" s="29" t="s">
        <v>13816</v>
      </c>
      <c r="Q8933" t="s">
        <v>2190</v>
      </c>
      <c r="R8933" t="s">
        <v>2635</v>
      </c>
      <c r="S8933">
        <v>38</v>
      </c>
      <c r="T8933" s="43" t="str">
        <f t="shared" si="387"/>
        <v>2021.002M.Phenuiviridae_sprenamed.zip</v>
      </c>
      <c r="U8933" s="43" t="str">
        <f>HYPERLINK("https://ictv.global/taxonomy/taxondetails?taxnode_id=202207629","ictv.global=202207629")</f>
        <v>ictv.global=202207629</v>
      </c>
    </row>
    <row r="8934" spans="1:21">
      <c r="A8934">
        <v>8933</v>
      </c>
      <c r="B8934" s="29" t="s">
        <v>3223</v>
      </c>
      <c r="C8934" s="29"/>
      <c r="D8934" s="29" t="s">
        <v>4156</v>
      </c>
      <c r="E8934" s="29"/>
      <c r="F8934" s="29" t="s">
        <v>2998</v>
      </c>
      <c r="G8934" s="29" t="s">
        <v>3020</v>
      </c>
      <c r="H8934" s="29" t="s">
        <v>3021</v>
      </c>
      <c r="I8934" s="29"/>
      <c r="J8934" s="29" t="s">
        <v>2374</v>
      </c>
      <c r="K8934" s="29"/>
      <c r="L8934" s="29" t="s">
        <v>2381</v>
      </c>
      <c r="M8934" s="29"/>
      <c r="N8934" s="29" t="s">
        <v>551</v>
      </c>
      <c r="O8934" s="29"/>
      <c r="P8934" s="29" t="s">
        <v>13817</v>
      </c>
      <c r="Q8934" t="s">
        <v>2190</v>
      </c>
      <c r="R8934" t="s">
        <v>2635</v>
      </c>
      <c r="S8934">
        <v>38</v>
      </c>
      <c r="T8934" s="43" t="str">
        <f t="shared" si="387"/>
        <v>2021.002M.Phenuiviridae_sprenamed.zip</v>
      </c>
      <c r="U8934" s="43" t="str">
        <f>HYPERLINK("https://ictv.global/taxonomy/taxondetails?taxnode_id=202200159","ictv.global=202200159")</f>
        <v>ictv.global=202200159</v>
      </c>
    </row>
    <row r="8935" spans="1:21">
      <c r="A8935">
        <v>8934</v>
      </c>
      <c r="B8935" s="29" t="s">
        <v>3223</v>
      </c>
      <c r="C8935" s="29"/>
      <c r="D8935" s="29" t="s">
        <v>4156</v>
      </c>
      <c r="E8935" s="29"/>
      <c r="F8935" s="29" t="s">
        <v>2998</v>
      </c>
      <c r="G8935" s="29" t="s">
        <v>3020</v>
      </c>
      <c r="H8935" s="29" t="s">
        <v>3021</v>
      </c>
      <c r="I8935" s="29"/>
      <c r="J8935" s="29" t="s">
        <v>2374</v>
      </c>
      <c r="K8935" s="29"/>
      <c r="L8935" s="29" t="s">
        <v>2381</v>
      </c>
      <c r="M8935" s="29"/>
      <c r="N8935" s="29" t="s">
        <v>551</v>
      </c>
      <c r="O8935" s="29"/>
      <c r="P8935" s="29" t="s">
        <v>13818</v>
      </c>
      <c r="Q8935" t="s">
        <v>2190</v>
      </c>
      <c r="R8935" t="s">
        <v>2635</v>
      </c>
      <c r="S8935">
        <v>38</v>
      </c>
      <c r="T8935" s="43" t="str">
        <f t="shared" si="387"/>
        <v>2021.002M.Phenuiviridae_sprenamed.zip</v>
      </c>
      <c r="U8935" s="43" t="str">
        <f>HYPERLINK("https://ictv.global/taxonomy/taxondetails?taxnode_id=202207600","ictv.global=202207600")</f>
        <v>ictv.global=202207600</v>
      </c>
    </row>
    <row r="8936" spans="1:21">
      <c r="A8936">
        <v>8935</v>
      </c>
      <c r="B8936" s="29" t="s">
        <v>3223</v>
      </c>
      <c r="C8936" s="29"/>
      <c r="D8936" s="29" t="s">
        <v>4156</v>
      </c>
      <c r="E8936" s="29"/>
      <c r="F8936" s="29" t="s">
        <v>2998</v>
      </c>
      <c r="G8936" s="29" t="s">
        <v>3020</v>
      </c>
      <c r="H8936" s="29" t="s">
        <v>3021</v>
      </c>
      <c r="I8936" s="29"/>
      <c r="J8936" s="29" t="s">
        <v>2374</v>
      </c>
      <c r="K8936" s="29"/>
      <c r="L8936" s="29" t="s">
        <v>2381</v>
      </c>
      <c r="M8936" s="29"/>
      <c r="N8936" s="29" t="s">
        <v>551</v>
      </c>
      <c r="O8936" s="29"/>
      <c r="P8936" s="29" t="s">
        <v>13819</v>
      </c>
      <c r="Q8936" t="s">
        <v>2190</v>
      </c>
      <c r="R8936" t="s">
        <v>2635</v>
      </c>
      <c r="S8936">
        <v>38</v>
      </c>
      <c r="T8936" s="43" t="str">
        <f t="shared" si="387"/>
        <v>2021.002M.Phenuiviridae_sprenamed.zip</v>
      </c>
      <c r="U8936" s="43" t="str">
        <f>HYPERLINK("https://ictv.global/taxonomy/taxondetails?taxnode_id=202207602","ictv.global=202207602")</f>
        <v>ictv.global=202207602</v>
      </c>
    </row>
    <row r="8937" spans="1:21">
      <c r="A8937">
        <v>8936</v>
      </c>
      <c r="B8937" s="29" t="s">
        <v>3223</v>
      </c>
      <c r="C8937" s="29"/>
      <c r="D8937" s="29" t="s">
        <v>4156</v>
      </c>
      <c r="E8937" s="29"/>
      <c r="F8937" s="29" t="s">
        <v>2998</v>
      </c>
      <c r="G8937" s="29" t="s">
        <v>3020</v>
      </c>
      <c r="H8937" s="29" t="s">
        <v>3021</v>
      </c>
      <c r="I8937" s="29"/>
      <c r="J8937" s="29" t="s">
        <v>2374</v>
      </c>
      <c r="K8937" s="29"/>
      <c r="L8937" s="29" t="s">
        <v>2381</v>
      </c>
      <c r="M8937" s="29"/>
      <c r="N8937" s="29" t="s">
        <v>551</v>
      </c>
      <c r="O8937" s="29"/>
      <c r="P8937" s="29" t="s">
        <v>13820</v>
      </c>
      <c r="Q8937" t="s">
        <v>2190</v>
      </c>
      <c r="R8937" t="s">
        <v>2635</v>
      </c>
      <c r="S8937">
        <v>38</v>
      </c>
      <c r="T8937" s="43" t="str">
        <f t="shared" si="387"/>
        <v>2021.002M.Phenuiviridae_sprenamed.zip</v>
      </c>
      <c r="U8937" s="43" t="str">
        <f>HYPERLINK("https://ictv.global/taxonomy/taxondetails?taxnode_id=202207630","ictv.global=202207630")</f>
        <v>ictv.global=202207630</v>
      </c>
    </row>
    <row r="8938" spans="1:21">
      <c r="A8938">
        <v>8937</v>
      </c>
      <c r="B8938" s="29" t="s">
        <v>3223</v>
      </c>
      <c r="C8938" s="29"/>
      <c r="D8938" s="29" t="s">
        <v>4156</v>
      </c>
      <c r="E8938" s="29"/>
      <c r="F8938" s="29" t="s">
        <v>2998</v>
      </c>
      <c r="G8938" s="29" t="s">
        <v>3020</v>
      </c>
      <c r="H8938" s="29" t="s">
        <v>3021</v>
      </c>
      <c r="I8938" s="29"/>
      <c r="J8938" s="29" t="s">
        <v>2374</v>
      </c>
      <c r="K8938" s="29"/>
      <c r="L8938" s="29" t="s">
        <v>2381</v>
      </c>
      <c r="M8938" s="29"/>
      <c r="N8938" s="29" t="s">
        <v>551</v>
      </c>
      <c r="O8938" s="29"/>
      <c r="P8938" s="29" t="s">
        <v>13821</v>
      </c>
      <c r="Q8938" t="s">
        <v>2039</v>
      </c>
      <c r="R8938" t="s">
        <v>2635</v>
      </c>
      <c r="S8938">
        <v>38</v>
      </c>
      <c r="T8938" s="43" t="str">
        <f t="shared" si="387"/>
        <v>2021.002M.Phenuiviridae_sprenamed.zip</v>
      </c>
      <c r="U8938" s="43" t="str">
        <f>HYPERLINK("https://ictv.global/taxonomy/taxondetails?taxnode_id=202209826","ictv.global=202209826")</f>
        <v>ictv.global=202209826</v>
      </c>
    </row>
    <row r="8939" spans="1:21">
      <c r="A8939">
        <v>8938</v>
      </c>
      <c r="B8939" s="29" t="s">
        <v>3223</v>
      </c>
      <c r="C8939" s="29"/>
      <c r="D8939" s="29" t="s">
        <v>4156</v>
      </c>
      <c r="E8939" s="29"/>
      <c r="F8939" s="29" t="s">
        <v>2998</v>
      </c>
      <c r="G8939" s="29" t="s">
        <v>3020</v>
      </c>
      <c r="H8939" s="29" t="s">
        <v>3021</v>
      </c>
      <c r="I8939" s="29"/>
      <c r="J8939" s="29" t="s">
        <v>2374</v>
      </c>
      <c r="K8939" s="29"/>
      <c r="L8939" s="29" t="s">
        <v>2381</v>
      </c>
      <c r="M8939" s="29"/>
      <c r="N8939" s="29" t="s">
        <v>551</v>
      </c>
      <c r="O8939" s="29"/>
      <c r="P8939" s="29" t="s">
        <v>13822</v>
      </c>
      <c r="Q8939" t="s">
        <v>2190</v>
      </c>
      <c r="R8939" t="s">
        <v>2635</v>
      </c>
      <c r="S8939">
        <v>38</v>
      </c>
      <c r="T8939" s="43" t="str">
        <f t="shared" si="387"/>
        <v>2021.002M.Phenuiviridae_sprenamed.zip</v>
      </c>
      <c r="U8939" s="43" t="str">
        <f>HYPERLINK("https://ictv.global/taxonomy/taxondetails?taxnode_id=202207611","ictv.global=202207611")</f>
        <v>ictv.global=202207611</v>
      </c>
    </row>
    <row r="8940" spans="1:21">
      <c r="A8940">
        <v>8939</v>
      </c>
      <c r="B8940" s="29" t="s">
        <v>3223</v>
      </c>
      <c r="C8940" s="29"/>
      <c r="D8940" s="29" t="s">
        <v>4156</v>
      </c>
      <c r="E8940" s="29"/>
      <c r="F8940" s="29" t="s">
        <v>2998</v>
      </c>
      <c r="G8940" s="29" t="s">
        <v>3020</v>
      </c>
      <c r="H8940" s="29" t="s">
        <v>3021</v>
      </c>
      <c r="I8940" s="29"/>
      <c r="J8940" s="29" t="s">
        <v>2374</v>
      </c>
      <c r="K8940" s="29"/>
      <c r="L8940" s="29" t="s">
        <v>2381</v>
      </c>
      <c r="M8940" s="29"/>
      <c r="N8940" s="29" t="s">
        <v>551</v>
      </c>
      <c r="O8940" s="29"/>
      <c r="P8940" s="29" t="s">
        <v>13823</v>
      </c>
      <c r="Q8940" t="s">
        <v>2190</v>
      </c>
      <c r="R8940" t="s">
        <v>2635</v>
      </c>
      <c r="S8940">
        <v>38</v>
      </c>
      <c r="T8940" s="43" t="str">
        <f t="shared" si="387"/>
        <v>2021.002M.Phenuiviridae_sprenamed.zip</v>
      </c>
      <c r="U8940" s="43" t="str">
        <f>HYPERLINK("https://ictv.global/taxonomy/taxondetails?taxnode_id=202207586","ictv.global=202207586")</f>
        <v>ictv.global=202207586</v>
      </c>
    </row>
    <row r="8941" spans="1:21">
      <c r="A8941">
        <v>8940</v>
      </c>
      <c r="B8941" s="29" t="s">
        <v>3223</v>
      </c>
      <c r="C8941" s="29"/>
      <c r="D8941" s="29" t="s">
        <v>4156</v>
      </c>
      <c r="E8941" s="29"/>
      <c r="F8941" s="29" t="s">
        <v>2998</v>
      </c>
      <c r="G8941" s="29" t="s">
        <v>3020</v>
      </c>
      <c r="H8941" s="29" t="s">
        <v>3021</v>
      </c>
      <c r="I8941" s="29"/>
      <c r="J8941" s="29" t="s">
        <v>2374</v>
      </c>
      <c r="K8941" s="29"/>
      <c r="L8941" s="29" t="s">
        <v>2381</v>
      </c>
      <c r="M8941" s="29"/>
      <c r="N8941" s="29" t="s">
        <v>551</v>
      </c>
      <c r="O8941" s="29"/>
      <c r="P8941" s="29" t="s">
        <v>13824</v>
      </c>
      <c r="Q8941" t="s">
        <v>2190</v>
      </c>
      <c r="R8941" t="s">
        <v>2635</v>
      </c>
      <c r="S8941">
        <v>38</v>
      </c>
      <c r="T8941" s="43" t="str">
        <f t="shared" si="387"/>
        <v>2021.002M.Phenuiviridae_sprenamed.zip</v>
      </c>
      <c r="U8941" s="43" t="str">
        <f>HYPERLINK("https://ictv.global/taxonomy/taxondetails?taxnode_id=202207591","ictv.global=202207591")</f>
        <v>ictv.global=202207591</v>
      </c>
    </row>
    <row r="8942" spans="1:21">
      <c r="A8942">
        <v>8941</v>
      </c>
      <c r="B8942" s="29" t="s">
        <v>3223</v>
      </c>
      <c r="C8942" s="29"/>
      <c r="D8942" s="29" t="s">
        <v>4156</v>
      </c>
      <c r="E8942" s="29"/>
      <c r="F8942" s="29" t="s">
        <v>2998</v>
      </c>
      <c r="G8942" s="29" t="s">
        <v>3020</v>
      </c>
      <c r="H8942" s="29" t="s">
        <v>3021</v>
      </c>
      <c r="I8942" s="29"/>
      <c r="J8942" s="29" t="s">
        <v>2374</v>
      </c>
      <c r="K8942" s="29"/>
      <c r="L8942" s="29" t="s">
        <v>2381</v>
      </c>
      <c r="M8942" s="29"/>
      <c r="N8942" s="29" t="s">
        <v>551</v>
      </c>
      <c r="O8942" s="29"/>
      <c r="P8942" s="29" t="s">
        <v>13825</v>
      </c>
      <c r="Q8942" t="s">
        <v>2039</v>
      </c>
      <c r="R8942" t="s">
        <v>2635</v>
      </c>
      <c r="S8942">
        <v>38</v>
      </c>
      <c r="T8942" s="43" t="str">
        <f t="shared" si="387"/>
        <v>2021.002M.Phenuiviridae_sprenamed.zip</v>
      </c>
      <c r="U8942" s="43" t="str">
        <f>HYPERLINK("https://ictv.global/taxonomy/taxondetails?taxnode_id=202209622","ictv.global=202209622")</f>
        <v>ictv.global=202209622</v>
      </c>
    </row>
    <row r="8943" spans="1:21">
      <c r="A8943">
        <v>8942</v>
      </c>
      <c r="B8943" s="29" t="s">
        <v>3223</v>
      </c>
      <c r="C8943" s="29"/>
      <c r="D8943" s="29" t="s">
        <v>4156</v>
      </c>
      <c r="E8943" s="29"/>
      <c r="F8943" s="29" t="s">
        <v>2998</v>
      </c>
      <c r="G8943" s="29" t="s">
        <v>3020</v>
      </c>
      <c r="H8943" s="29" t="s">
        <v>3021</v>
      </c>
      <c r="I8943" s="29"/>
      <c r="J8943" s="29" t="s">
        <v>2374</v>
      </c>
      <c r="K8943" s="29"/>
      <c r="L8943" s="29" t="s">
        <v>2381</v>
      </c>
      <c r="M8943" s="29"/>
      <c r="N8943" s="29" t="s">
        <v>551</v>
      </c>
      <c r="O8943" s="29"/>
      <c r="P8943" s="29" t="s">
        <v>13826</v>
      </c>
      <c r="Q8943" t="s">
        <v>2190</v>
      </c>
      <c r="R8943" t="s">
        <v>2635</v>
      </c>
      <c r="S8943">
        <v>38</v>
      </c>
      <c r="T8943" s="43" t="str">
        <f t="shared" si="387"/>
        <v>2021.002M.Phenuiviridae_sprenamed.zip</v>
      </c>
      <c r="U8943" s="43" t="str">
        <f>HYPERLINK("https://ictv.global/taxonomy/taxondetails?taxnode_id=202207632","ictv.global=202207632")</f>
        <v>ictv.global=202207632</v>
      </c>
    </row>
    <row r="8944" spans="1:21">
      <c r="A8944">
        <v>8943</v>
      </c>
      <c r="B8944" s="29" t="s">
        <v>3223</v>
      </c>
      <c r="C8944" s="29"/>
      <c r="D8944" s="29" t="s">
        <v>4156</v>
      </c>
      <c r="E8944" s="29"/>
      <c r="F8944" s="29" t="s">
        <v>2998</v>
      </c>
      <c r="G8944" s="29" t="s">
        <v>3020</v>
      </c>
      <c r="H8944" s="29" t="s">
        <v>3021</v>
      </c>
      <c r="I8944" s="29"/>
      <c r="J8944" s="29" t="s">
        <v>2374</v>
      </c>
      <c r="K8944" s="29"/>
      <c r="L8944" s="29" t="s">
        <v>2381</v>
      </c>
      <c r="M8944" s="29"/>
      <c r="N8944" s="29" t="s">
        <v>551</v>
      </c>
      <c r="O8944" s="29"/>
      <c r="P8944" s="29" t="s">
        <v>13827</v>
      </c>
      <c r="Q8944" t="s">
        <v>2190</v>
      </c>
      <c r="R8944" t="s">
        <v>2635</v>
      </c>
      <c r="S8944">
        <v>38</v>
      </c>
      <c r="T8944" s="43" t="str">
        <f t="shared" si="387"/>
        <v>2021.002M.Phenuiviridae_sprenamed.zip</v>
      </c>
      <c r="U8944" s="43" t="str">
        <f>HYPERLINK("https://ictv.global/taxonomy/taxondetails?taxnode_id=202207605","ictv.global=202207605")</f>
        <v>ictv.global=202207605</v>
      </c>
    </row>
    <row r="8945" spans="1:21">
      <c r="A8945">
        <v>8944</v>
      </c>
      <c r="B8945" s="29" t="s">
        <v>3223</v>
      </c>
      <c r="C8945" s="29"/>
      <c r="D8945" s="29" t="s">
        <v>4156</v>
      </c>
      <c r="E8945" s="29"/>
      <c r="F8945" s="29" t="s">
        <v>2998</v>
      </c>
      <c r="G8945" s="29" t="s">
        <v>3020</v>
      </c>
      <c r="H8945" s="29" t="s">
        <v>3021</v>
      </c>
      <c r="I8945" s="29"/>
      <c r="J8945" s="29" t="s">
        <v>2374</v>
      </c>
      <c r="K8945" s="29"/>
      <c r="L8945" s="29" t="s">
        <v>2381</v>
      </c>
      <c r="M8945" s="29"/>
      <c r="N8945" s="29" t="s">
        <v>551</v>
      </c>
      <c r="O8945" s="29"/>
      <c r="P8945" s="29" t="s">
        <v>13828</v>
      </c>
      <c r="Q8945" t="s">
        <v>2190</v>
      </c>
      <c r="R8945" t="s">
        <v>2635</v>
      </c>
      <c r="S8945">
        <v>38</v>
      </c>
      <c r="T8945" s="43" t="str">
        <f t="shared" si="387"/>
        <v>2021.002M.Phenuiviridae_sprenamed.zip</v>
      </c>
      <c r="U8945" s="43" t="str">
        <f>HYPERLINK("https://ictv.global/taxonomy/taxondetails?taxnode_id=202207597","ictv.global=202207597")</f>
        <v>ictv.global=202207597</v>
      </c>
    </row>
    <row r="8946" spans="1:21">
      <c r="A8946">
        <v>8945</v>
      </c>
      <c r="B8946" s="29" t="s">
        <v>3223</v>
      </c>
      <c r="C8946" s="29"/>
      <c r="D8946" s="29" t="s">
        <v>4156</v>
      </c>
      <c r="E8946" s="29"/>
      <c r="F8946" s="29" t="s">
        <v>2998</v>
      </c>
      <c r="G8946" s="29" t="s">
        <v>3020</v>
      </c>
      <c r="H8946" s="29" t="s">
        <v>3021</v>
      </c>
      <c r="I8946" s="29"/>
      <c r="J8946" s="29" t="s">
        <v>2374</v>
      </c>
      <c r="K8946" s="29"/>
      <c r="L8946" s="29" t="s">
        <v>2381</v>
      </c>
      <c r="M8946" s="29"/>
      <c r="N8946" s="29" t="s">
        <v>551</v>
      </c>
      <c r="O8946" s="29"/>
      <c r="P8946" s="29" t="s">
        <v>13829</v>
      </c>
      <c r="Q8946" t="s">
        <v>2190</v>
      </c>
      <c r="R8946" t="s">
        <v>2635</v>
      </c>
      <c r="S8946">
        <v>38</v>
      </c>
      <c r="T8946" s="43" t="str">
        <f t="shared" si="387"/>
        <v>2021.002M.Phenuiviridae_sprenamed.zip</v>
      </c>
      <c r="U8946" s="43" t="str">
        <f>HYPERLINK("https://ictv.global/taxonomy/taxondetails?taxnode_id=202207631","ictv.global=202207631")</f>
        <v>ictv.global=202207631</v>
      </c>
    </row>
    <row r="8947" spans="1:21">
      <c r="A8947">
        <v>8946</v>
      </c>
      <c r="B8947" s="29" t="s">
        <v>3223</v>
      </c>
      <c r="C8947" s="29"/>
      <c r="D8947" s="29" t="s">
        <v>4156</v>
      </c>
      <c r="E8947" s="29"/>
      <c r="F8947" s="29" t="s">
        <v>2998</v>
      </c>
      <c r="G8947" s="29" t="s">
        <v>3020</v>
      </c>
      <c r="H8947" s="29" t="s">
        <v>3021</v>
      </c>
      <c r="I8947" s="29"/>
      <c r="J8947" s="29" t="s">
        <v>2374</v>
      </c>
      <c r="K8947" s="29"/>
      <c r="L8947" s="29" t="s">
        <v>2381</v>
      </c>
      <c r="M8947" s="29"/>
      <c r="N8947" s="29" t="s">
        <v>551</v>
      </c>
      <c r="O8947" s="29"/>
      <c r="P8947" s="29" t="s">
        <v>13830</v>
      </c>
      <c r="Q8947" t="s">
        <v>2039</v>
      </c>
      <c r="R8947" t="s">
        <v>2632</v>
      </c>
      <c r="S8947">
        <v>38</v>
      </c>
      <c r="T8947" s="43" t="str">
        <f>HYPERLINK("https://ictv.global/ictv/proposals/2022.020M.Phenuiviridae_2ngen_10nsp_1rensp.zip","2022.020M.Phenuiviridae_2ngen_10nsp_1rensp.zip")</f>
        <v>2022.020M.Phenuiviridae_2ngen_10nsp_1rensp.zip</v>
      </c>
      <c r="U8947" s="43" t="str">
        <f>HYPERLINK("https://ictv.global/taxonomy/taxondetails?taxnode_id=202214256","ictv.global=202214256")</f>
        <v>ictv.global=202214256</v>
      </c>
    </row>
    <row r="8948" spans="1:21">
      <c r="A8948">
        <v>8947</v>
      </c>
      <c r="B8948" s="29" t="s">
        <v>3223</v>
      </c>
      <c r="C8948" s="29"/>
      <c r="D8948" s="29" t="s">
        <v>4156</v>
      </c>
      <c r="E8948" s="29"/>
      <c r="F8948" s="29" t="s">
        <v>2998</v>
      </c>
      <c r="G8948" s="29" t="s">
        <v>3020</v>
      </c>
      <c r="H8948" s="29" t="s">
        <v>3021</v>
      </c>
      <c r="I8948" s="29"/>
      <c r="J8948" s="29" t="s">
        <v>2374</v>
      </c>
      <c r="K8948" s="29"/>
      <c r="L8948" s="29" t="s">
        <v>2381</v>
      </c>
      <c r="M8948" s="29"/>
      <c r="N8948" s="29" t="s">
        <v>551</v>
      </c>
      <c r="O8948" s="29"/>
      <c r="P8948" s="29" t="s">
        <v>13831</v>
      </c>
      <c r="Q8948" t="s">
        <v>2190</v>
      </c>
      <c r="R8948" t="s">
        <v>2635</v>
      </c>
      <c r="S8948">
        <v>38</v>
      </c>
      <c r="T8948" s="43" t="str">
        <f t="shared" ref="T8948:T8979" si="388">HYPERLINK("https://ictv.global/ictv/proposals/2021.002M.Phenuiviridae_sprenamed.zip","2021.002M.Phenuiviridae_sprenamed.zip")</f>
        <v>2021.002M.Phenuiviridae_sprenamed.zip</v>
      </c>
      <c r="U8948" s="43" t="str">
        <f>HYPERLINK("https://ictv.global/taxonomy/taxondetails?taxnode_id=202207593","ictv.global=202207593")</f>
        <v>ictv.global=202207593</v>
      </c>
    </row>
    <row r="8949" spans="1:21">
      <c r="A8949">
        <v>8948</v>
      </c>
      <c r="B8949" s="29" t="s">
        <v>3223</v>
      </c>
      <c r="C8949" s="29"/>
      <c r="D8949" s="29" t="s">
        <v>4156</v>
      </c>
      <c r="E8949" s="29"/>
      <c r="F8949" s="29" t="s">
        <v>2998</v>
      </c>
      <c r="G8949" s="29" t="s">
        <v>3020</v>
      </c>
      <c r="H8949" s="29" t="s">
        <v>3021</v>
      </c>
      <c r="I8949" s="29"/>
      <c r="J8949" s="29" t="s">
        <v>2374</v>
      </c>
      <c r="K8949" s="29"/>
      <c r="L8949" s="29" t="s">
        <v>2381</v>
      </c>
      <c r="M8949" s="29"/>
      <c r="N8949" s="29" t="s">
        <v>551</v>
      </c>
      <c r="O8949" s="29"/>
      <c r="P8949" s="29" t="s">
        <v>13832</v>
      </c>
      <c r="Q8949" t="s">
        <v>2190</v>
      </c>
      <c r="R8949" t="s">
        <v>2635</v>
      </c>
      <c r="S8949">
        <v>38</v>
      </c>
      <c r="T8949" s="43" t="str">
        <f t="shared" si="388"/>
        <v>2021.002M.Phenuiviridae_sprenamed.zip</v>
      </c>
      <c r="U8949" s="43" t="str">
        <f>HYPERLINK("https://ictv.global/taxonomy/taxondetails?taxnode_id=202207626","ictv.global=202207626")</f>
        <v>ictv.global=202207626</v>
      </c>
    </row>
    <row r="8950" spans="1:21">
      <c r="A8950">
        <v>8949</v>
      </c>
      <c r="B8950" s="29" t="s">
        <v>3223</v>
      </c>
      <c r="C8950" s="29"/>
      <c r="D8950" s="29" t="s">
        <v>4156</v>
      </c>
      <c r="E8950" s="29"/>
      <c r="F8950" s="29" t="s">
        <v>2998</v>
      </c>
      <c r="G8950" s="29" t="s">
        <v>3020</v>
      </c>
      <c r="H8950" s="29" t="s">
        <v>3021</v>
      </c>
      <c r="I8950" s="29"/>
      <c r="J8950" s="29" t="s">
        <v>2374</v>
      </c>
      <c r="K8950" s="29"/>
      <c r="L8950" s="29" t="s">
        <v>2381</v>
      </c>
      <c r="M8950" s="29"/>
      <c r="N8950" s="29" t="s">
        <v>551</v>
      </c>
      <c r="O8950" s="29"/>
      <c r="P8950" s="29" t="s">
        <v>13833</v>
      </c>
      <c r="Q8950" t="s">
        <v>2190</v>
      </c>
      <c r="R8950" t="s">
        <v>2635</v>
      </c>
      <c r="S8950">
        <v>38</v>
      </c>
      <c r="T8950" s="43" t="str">
        <f t="shared" si="388"/>
        <v>2021.002M.Phenuiviridae_sprenamed.zip</v>
      </c>
      <c r="U8950" s="43" t="str">
        <f>HYPERLINK("https://ictv.global/taxonomy/taxondetails?taxnode_id=202207613","ictv.global=202207613")</f>
        <v>ictv.global=202207613</v>
      </c>
    </row>
    <row r="8951" spans="1:21">
      <c r="A8951">
        <v>8950</v>
      </c>
      <c r="B8951" s="29" t="s">
        <v>3223</v>
      </c>
      <c r="C8951" s="29"/>
      <c r="D8951" s="29" t="s">
        <v>4156</v>
      </c>
      <c r="E8951" s="29"/>
      <c r="F8951" s="29" t="s">
        <v>2998</v>
      </c>
      <c r="G8951" s="29" t="s">
        <v>3020</v>
      </c>
      <c r="H8951" s="29" t="s">
        <v>3021</v>
      </c>
      <c r="I8951" s="29"/>
      <c r="J8951" s="29" t="s">
        <v>2374</v>
      </c>
      <c r="K8951" s="29"/>
      <c r="L8951" s="29" t="s">
        <v>2381</v>
      </c>
      <c r="M8951" s="29"/>
      <c r="N8951" s="29" t="s">
        <v>551</v>
      </c>
      <c r="O8951" s="29"/>
      <c r="P8951" s="29" t="s">
        <v>13834</v>
      </c>
      <c r="Q8951" t="s">
        <v>2190</v>
      </c>
      <c r="R8951" t="s">
        <v>2635</v>
      </c>
      <c r="S8951">
        <v>38</v>
      </c>
      <c r="T8951" s="43" t="str">
        <f t="shared" si="388"/>
        <v>2021.002M.Phenuiviridae_sprenamed.zip</v>
      </c>
      <c r="U8951" s="43" t="str">
        <f>HYPERLINK("https://ictv.global/taxonomy/taxondetails?taxnode_id=202207585","ictv.global=202207585")</f>
        <v>ictv.global=202207585</v>
      </c>
    </row>
    <row r="8952" spans="1:21">
      <c r="A8952">
        <v>8951</v>
      </c>
      <c r="B8952" s="29" t="s">
        <v>3223</v>
      </c>
      <c r="C8952" s="29"/>
      <c r="D8952" s="29" t="s">
        <v>4156</v>
      </c>
      <c r="E8952" s="29"/>
      <c r="F8952" s="29" t="s">
        <v>2998</v>
      </c>
      <c r="G8952" s="29" t="s">
        <v>3020</v>
      </c>
      <c r="H8952" s="29" t="s">
        <v>3021</v>
      </c>
      <c r="I8952" s="29"/>
      <c r="J8952" s="29" t="s">
        <v>2374</v>
      </c>
      <c r="K8952" s="29"/>
      <c r="L8952" s="29" t="s">
        <v>2381</v>
      </c>
      <c r="M8952" s="29"/>
      <c r="N8952" s="29" t="s">
        <v>551</v>
      </c>
      <c r="O8952" s="29"/>
      <c r="P8952" s="29" t="s">
        <v>13835</v>
      </c>
      <c r="Q8952" t="s">
        <v>2190</v>
      </c>
      <c r="R8952" t="s">
        <v>2635</v>
      </c>
      <c r="S8952">
        <v>38</v>
      </c>
      <c r="T8952" s="43" t="str">
        <f t="shared" si="388"/>
        <v>2021.002M.Phenuiviridae_sprenamed.zip</v>
      </c>
      <c r="U8952" s="43" t="str">
        <f>HYPERLINK("https://ictv.global/taxonomy/taxondetails?taxnode_id=202207607","ictv.global=202207607")</f>
        <v>ictv.global=202207607</v>
      </c>
    </row>
    <row r="8953" spans="1:21">
      <c r="A8953">
        <v>8952</v>
      </c>
      <c r="B8953" s="29" t="s">
        <v>3223</v>
      </c>
      <c r="C8953" s="29"/>
      <c r="D8953" s="29" t="s">
        <v>4156</v>
      </c>
      <c r="E8953" s="29"/>
      <c r="F8953" s="29" t="s">
        <v>2998</v>
      </c>
      <c r="G8953" s="29" t="s">
        <v>3020</v>
      </c>
      <c r="H8953" s="29" t="s">
        <v>3021</v>
      </c>
      <c r="I8953" s="29"/>
      <c r="J8953" s="29" t="s">
        <v>2374</v>
      </c>
      <c r="K8953" s="29"/>
      <c r="L8953" s="29" t="s">
        <v>2381</v>
      </c>
      <c r="M8953" s="29"/>
      <c r="N8953" s="29" t="s">
        <v>551</v>
      </c>
      <c r="O8953" s="29"/>
      <c r="P8953" s="29" t="s">
        <v>13836</v>
      </c>
      <c r="Q8953" t="s">
        <v>2039</v>
      </c>
      <c r="R8953" t="s">
        <v>2635</v>
      </c>
      <c r="S8953">
        <v>38</v>
      </c>
      <c r="T8953" s="43" t="str">
        <f t="shared" si="388"/>
        <v>2021.002M.Phenuiviridae_sprenamed.zip</v>
      </c>
      <c r="U8953" s="43" t="str">
        <f>HYPERLINK("https://ictv.global/taxonomy/taxondetails?taxnode_id=202209621","ictv.global=202209621")</f>
        <v>ictv.global=202209621</v>
      </c>
    </row>
    <row r="8954" spans="1:21">
      <c r="A8954">
        <v>8953</v>
      </c>
      <c r="B8954" s="29" t="s">
        <v>3223</v>
      </c>
      <c r="C8954" s="29"/>
      <c r="D8954" s="29" t="s">
        <v>4156</v>
      </c>
      <c r="E8954" s="29"/>
      <c r="F8954" s="29" t="s">
        <v>2998</v>
      </c>
      <c r="G8954" s="29" t="s">
        <v>3020</v>
      </c>
      <c r="H8954" s="29" t="s">
        <v>3021</v>
      </c>
      <c r="I8954" s="29"/>
      <c r="J8954" s="29" t="s">
        <v>2374</v>
      </c>
      <c r="K8954" s="29"/>
      <c r="L8954" s="29" t="s">
        <v>2381</v>
      </c>
      <c r="M8954" s="29"/>
      <c r="N8954" s="29" t="s">
        <v>551</v>
      </c>
      <c r="O8954" s="29"/>
      <c r="P8954" s="29" t="s">
        <v>13837</v>
      </c>
      <c r="Q8954" t="s">
        <v>2190</v>
      </c>
      <c r="R8954" t="s">
        <v>2635</v>
      </c>
      <c r="S8954">
        <v>38</v>
      </c>
      <c r="T8954" s="43" t="str">
        <f t="shared" si="388"/>
        <v>2021.002M.Phenuiviridae_sprenamed.zip</v>
      </c>
      <c r="U8954" s="43" t="str">
        <f>HYPERLINK("https://ictv.global/taxonomy/taxondetails?taxnode_id=202207594","ictv.global=202207594")</f>
        <v>ictv.global=202207594</v>
      </c>
    </row>
    <row r="8955" spans="1:21">
      <c r="A8955">
        <v>8954</v>
      </c>
      <c r="B8955" s="29" t="s">
        <v>3223</v>
      </c>
      <c r="C8955" s="29"/>
      <c r="D8955" s="29" t="s">
        <v>4156</v>
      </c>
      <c r="E8955" s="29"/>
      <c r="F8955" s="29" t="s">
        <v>2998</v>
      </c>
      <c r="G8955" s="29" t="s">
        <v>3020</v>
      </c>
      <c r="H8955" s="29" t="s">
        <v>3021</v>
      </c>
      <c r="I8955" s="29"/>
      <c r="J8955" s="29" t="s">
        <v>2374</v>
      </c>
      <c r="K8955" s="29"/>
      <c r="L8955" s="29" t="s">
        <v>2381</v>
      </c>
      <c r="M8955" s="29"/>
      <c r="N8955" s="29" t="s">
        <v>551</v>
      </c>
      <c r="O8955" s="29"/>
      <c r="P8955" s="29" t="s">
        <v>13838</v>
      </c>
      <c r="Q8955" t="s">
        <v>2190</v>
      </c>
      <c r="R8955" t="s">
        <v>2635</v>
      </c>
      <c r="S8955">
        <v>38</v>
      </c>
      <c r="T8955" s="43" t="str">
        <f t="shared" si="388"/>
        <v>2021.002M.Phenuiviridae_sprenamed.zip</v>
      </c>
      <c r="U8955" s="43" t="str">
        <f>HYPERLINK("https://ictv.global/taxonomy/taxondetails?taxnode_id=202207625","ictv.global=202207625")</f>
        <v>ictv.global=202207625</v>
      </c>
    </row>
    <row r="8956" spans="1:21">
      <c r="A8956">
        <v>8955</v>
      </c>
      <c r="B8956" s="29" t="s">
        <v>3223</v>
      </c>
      <c r="C8956" s="29"/>
      <c r="D8956" s="29" t="s">
        <v>4156</v>
      </c>
      <c r="E8956" s="29"/>
      <c r="F8956" s="29" t="s">
        <v>2998</v>
      </c>
      <c r="G8956" s="29" t="s">
        <v>3020</v>
      </c>
      <c r="H8956" s="29" t="s">
        <v>3021</v>
      </c>
      <c r="I8956" s="29"/>
      <c r="J8956" s="29" t="s">
        <v>2374</v>
      </c>
      <c r="K8956" s="29"/>
      <c r="L8956" s="29" t="s">
        <v>2381</v>
      </c>
      <c r="M8956" s="29"/>
      <c r="N8956" s="29" t="s">
        <v>551</v>
      </c>
      <c r="O8956" s="29"/>
      <c r="P8956" s="29" t="s">
        <v>13839</v>
      </c>
      <c r="Q8956" t="s">
        <v>2190</v>
      </c>
      <c r="R8956" t="s">
        <v>2635</v>
      </c>
      <c r="S8956">
        <v>38</v>
      </c>
      <c r="T8956" s="43" t="str">
        <f t="shared" si="388"/>
        <v>2021.002M.Phenuiviridae_sprenamed.zip</v>
      </c>
      <c r="U8956" s="43" t="str">
        <f>HYPERLINK("https://ictv.global/taxonomy/taxondetails?taxnode_id=202207614","ictv.global=202207614")</f>
        <v>ictv.global=202207614</v>
      </c>
    </row>
    <row r="8957" spans="1:21">
      <c r="A8957">
        <v>8956</v>
      </c>
      <c r="B8957" s="29" t="s">
        <v>3223</v>
      </c>
      <c r="C8957" s="29"/>
      <c r="D8957" s="29" t="s">
        <v>4156</v>
      </c>
      <c r="E8957" s="29"/>
      <c r="F8957" s="29" t="s">
        <v>2998</v>
      </c>
      <c r="G8957" s="29" t="s">
        <v>3020</v>
      </c>
      <c r="H8957" s="29" t="s">
        <v>3021</v>
      </c>
      <c r="I8957" s="29"/>
      <c r="J8957" s="29" t="s">
        <v>2374</v>
      </c>
      <c r="K8957" s="29"/>
      <c r="L8957" s="29" t="s">
        <v>2381</v>
      </c>
      <c r="M8957" s="29"/>
      <c r="N8957" s="29" t="s">
        <v>551</v>
      </c>
      <c r="O8957" s="29"/>
      <c r="P8957" s="29" t="s">
        <v>13840</v>
      </c>
      <c r="Q8957" t="s">
        <v>2190</v>
      </c>
      <c r="R8957" t="s">
        <v>2635</v>
      </c>
      <c r="S8957">
        <v>38</v>
      </c>
      <c r="T8957" s="43" t="str">
        <f t="shared" si="388"/>
        <v>2021.002M.Phenuiviridae_sprenamed.zip</v>
      </c>
      <c r="U8957" s="43" t="str">
        <f>HYPERLINK("https://ictv.global/taxonomy/taxondetails?taxnode_id=202207621","ictv.global=202207621")</f>
        <v>ictv.global=202207621</v>
      </c>
    </row>
    <row r="8958" spans="1:21">
      <c r="A8958">
        <v>8957</v>
      </c>
      <c r="B8958" s="29" t="s">
        <v>3223</v>
      </c>
      <c r="C8958" s="29"/>
      <c r="D8958" s="29" t="s">
        <v>4156</v>
      </c>
      <c r="E8958" s="29"/>
      <c r="F8958" s="29" t="s">
        <v>2998</v>
      </c>
      <c r="G8958" s="29" t="s">
        <v>3020</v>
      </c>
      <c r="H8958" s="29" t="s">
        <v>3021</v>
      </c>
      <c r="I8958" s="29"/>
      <c r="J8958" s="29" t="s">
        <v>2374</v>
      </c>
      <c r="K8958" s="29"/>
      <c r="L8958" s="29" t="s">
        <v>2381</v>
      </c>
      <c r="M8958" s="29"/>
      <c r="N8958" s="29" t="s">
        <v>551</v>
      </c>
      <c r="O8958" s="29"/>
      <c r="P8958" s="29" t="s">
        <v>13841</v>
      </c>
      <c r="Q8958" t="s">
        <v>2190</v>
      </c>
      <c r="R8958" t="s">
        <v>2635</v>
      </c>
      <c r="S8958">
        <v>38</v>
      </c>
      <c r="T8958" s="43" t="str">
        <f t="shared" si="388"/>
        <v>2021.002M.Phenuiviridae_sprenamed.zip</v>
      </c>
      <c r="U8958" s="43" t="str">
        <f>HYPERLINK("https://ictv.global/taxonomy/taxondetails?taxnode_id=202207588","ictv.global=202207588")</f>
        <v>ictv.global=202207588</v>
      </c>
    </row>
    <row r="8959" spans="1:21">
      <c r="A8959">
        <v>8958</v>
      </c>
      <c r="B8959" s="29" t="s">
        <v>3223</v>
      </c>
      <c r="C8959" s="29"/>
      <c r="D8959" s="29" t="s">
        <v>4156</v>
      </c>
      <c r="E8959" s="29"/>
      <c r="F8959" s="29" t="s">
        <v>2998</v>
      </c>
      <c r="G8959" s="29" t="s">
        <v>3020</v>
      </c>
      <c r="H8959" s="29" t="s">
        <v>3021</v>
      </c>
      <c r="I8959" s="29"/>
      <c r="J8959" s="29" t="s">
        <v>2374</v>
      </c>
      <c r="K8959" s="29"/>
      <c r="L8959" s="29" t="s">
        <v>2381</v>
      </c>
      <c r="M8959" s="29"/>
      <c r="N8959" s="29" t="s">
        <v>551</v>
      </c>
      <c r="O8959" s="29"/>
      <c r="P8959" s="29" t="s">
        <v>13842</v>
      </c>
      <c r="Q8959" t="s">
        <v>2190</v>
      </c>
      <c r="R8959" t="s">
        <v>2635</v>
      </c>
      <c r="S8959">
        <v>38</v>
      </c>
      <c r="T8959" s="43" t="str">
        <f t="shared" si="388"/>
        <v>2021.002M.Phenuiviridae_sprenamed.zip</v>
      </c>
      <c r="U8959" s="43" t="str">
        <f>HYPERLINK("https://ictv.global/taxonomy/taxondetails?taxnode_id=202206492","ictv.global=202206492")</f>
        <v>ictv.global=202206492</v>
      </c>
    </row>
    <row r="8960" spans="1:21">
      <c r="A8960">
        <v>8959</v>
      </c>
      <c r="B8960" s="29" t="s">
        <v>3223</v>
      </c>
      <c r="C8960" s="29"/>
      <c r="D8960" s="29" t="s">
        <v>4156</v>
      </c>
      <c r="E8960" s="29"/>
      <c r="F8960" s="29" t="s">
        <v>2998</v>
      </c>
      <c r="G8960" s="29" t="s">
        <v>3020</v>
      </c>
      <c r="H8960" s="29" t="s">
        <v>3021</v>
      </c>
      <c r="I8960" s="29"/>
      <c r="J8960" s="29" t="s">
        <v>2374</v>
      </c>
      <c r="K8960" s="29"/>
      <c r="L8960" s="29" t="s">
        <v>2381</v>
      </c>
      <c r="M8960" s="29"/>
      <c r="N8960" s="29" t="s">
        <v>551</v>
      </c>
      <c r="O8960" s="29"/>
      <c r="P8960" s="29" t="s">
        <v>13843</v>
      </c>
      <c r="Q8960" t="s">
        <v>2190</v>
      </c>
      <c r="R8960" t="s">
        <v>2635</v>
      </c>
      <c r="S8960">
        <v>38</v>
      </c>
      <c r="T8960" s="43" t="str">
        <f t="shared" si="388"/>
        <v>2021.002M.Phenuiviridae_sprenamed.zip</v>
      </c>
      <c r="U8960" s="43" t="str">
        <f>HYPERLINK("https://ictv.global/taxonomy/taxondetails?taxnode_id=202207595","ictv.global=202207595")</f>
        <v>ictv.global=202207595</v>
      </c>
    </row>
    <row r="8961" spans="1:21">
      <c r="A8961">
        <v>8960</v>
      </c>
      <c r="B8961" s="29" t="s">
        <v>3223</v>
      </c>
      <c r="C8961" s="29"/>
      <c r="D8961" s="29" t="s">
        <v>4156</v>
      </c>
      <c r="E8961" s="29"/>
      <c r="F8961" s="29" t="s">
        <v>2998</v>
      </c>
      <c r="G8961" s="29" t="s">
        <v>3020</v>
      </c>
      <c r="H8961" s="29" t="s">
        <v>3021</v>
      </c>
      <c r="I8961" s="29"/>
      <c r="J8961" s="29" t="s">
        <v>2374</v>
      </c>
      <c r="K8961" s="29"/>
      <c r="L8961" s="29" t="s">
        <v>2381</v>
      </c>
      <c r="M8961" s="29"/>
      <c r="N8961" s="29" t="s">
        <v>551</v>
      </c>
      <c r="O8961" s="29"/>
      <c r="P8961" s="29" t="s">
        <v>13844</v>
      </c>
      <c r="Q8961" t="s">
        <v>2190</v>
      </c>
      <c r="R8961" t="s">
        <v>2635</v>
      </c>
      <c r="S8961">
        <v>38</v>
      </c>
      <c r="T8961" s="43" t="str">
        <f t="shared" si="388"/>
        <v>2021.002M.Phenuiviridae_sprenamed.zip</v>
      </c>
      <c r="U8961" s="43" t="str">
        <f>HYPERLINK("https://ictv.global/taxonomy/taxondetails?taxnode_id=202200165","ictv.global=202200165")</f>
        <v>ictv.global=202200165</v>
      </c>
    </row>
    <row r="8962" spans="1:21">
      <c r="A8962">
        <v>8961</v>
      </c>
      <c r="B8962" s="29" t="s">
        <v>3223</v>
      </c>
      <c r="C8962" s="29"/>
      <c r="D8962" s="29" t="s">
        <v>4156</v>
      </c>
      <c r="E8962" s="29"/>
      <c r="F8962" s="29" t="s">
        <v>2998</v>
      </c>
      <c r="G8962" s="29" t="s">
        <v>3020</v>
      </c>
      <c r="H8962" s="29" t="s">
        <v>3021</v>
      </c>
      <c r="I8962" s="29"/>
      <c r="J8962" s="29" t="s">
        <v>2374</v>
      </c>
      <c r="K8962" s="29"/>
      <c r="L8962" s="29" t="s">
        <v>2381</v>
      </c>
      <c r="M8962" s="29"/>
      <c r="N8962" s="29" t="s">
        <v>551</v>
      </c>
      <c r="O8962" s="29"/>
      <c r="P8962" s="29" t="s">
        <v>13845</v>
      </c>
      <c r="Q8962" t="s">
        <v>2190</v>
      </c>
      <c r="R8962" t="s">
        <v>2635</v>
      </c>
      <c r="S8962">
        <v>38</v>
      </c>
      <c r="T8962" s="43" t="str">
        <f t="shared" si="388"/>
        <v>2021.002M.Phenuiviridae_sprenamed.zip</v>
      </c>
      <c r="U8962" s="43" t="str">
        <f>HYPERLINK("https://ictv.global/taxonomy/taxondetails?taxnode_id=202207624","ictv.global=202207624")</f>
        <v>ictv.global=202207624</v>
      </c>
    </row>
    <row r="8963" spans="1:21">
      <c r="A8963">
        <v>8962</v>
      </c>
      <c r="B8963" s="29" t="s">
        <v>3223</v>
      </c>
      <c r="C8963" s="29"/>
      <c r="D8963" s="29" t="s">
        <v>4156</v>
      </c>
      <c r="E8963" s="29"/>
      <c r="F8963" s="29" t="s">
        <v>2998</v>
      </c>
      <c r="G8963" s="29" t="s">
        <v>3020</v>
      </c>
      <c r="H8963" s="29" t="s">
        <v>3021</v>
      </c>
      <c r="I8963" s="29"/>
      <c r="J8963" s="29" t="s">
        <v>2374</v>
      </c>
      <c r="K8963" s="29"/>
      <c r="L8963" s="29" t="s">
        <v>2381</v>
      </c>
      <c r="M8963" s="29"/>
      <c r="N8963" s="29" t="s">
        <v>551</v>
      </c>
      <c r="O8963" s="29"/>
      <c r="P8963" s="29" t="s">
        <v>13846</v>
      </c>
      <c r="Q8963" t="s">
        <v>2190</v>
      </c>
      <c r="R8963" t="s">
        <v>2635</v>
      </c>
      <c r="S8963">
        <v>38</v>
      </c>
      <c r="T8963" s="43" t="str">
        <f t="shared" si="388"/>
        <v>2021.002M.Phenuiviridae_sprenamed.zip</v>
      </c>
      <c r="U8963" s="43" t="str">
        <f>HYPERLINK("https://ictv.global/taxonomy/taxondetails?taxnode_id=202207606","ictv.global=202207606")</f>
        <v>ictv.global=202207606</v>
      </c>
    </row>
    <row r="8964" spans="1:21">
      <c r="A8964">
        <v>8963</v>
      </c>
      <c r="B8964" s="29" t="s">
        <v>3223</v>
      </c>
      <c r="C8964" s="29"/>
      <c r="D8964" s="29" t="s">
        <v>4156</v>
      </c>
      <c r="E8964" s="29"/>
      <c r="F8964" s="29" t="s">
        <v>2998</v>
      </c>
      <c r="G8964" s="29" t="s">
        <v>3020</v>
      </c>
      <c r="H8964" s="29" t="s">
        <v>3021</v>
      </c>
      <c r="I8964" s="29"/>
      <c r="J8964" s="29" t="s">
        <v>2374</v>
      </c>
      <c r="K8964" s="29"/>
      <c r="L8964" s="29" t="s">
        <v>2381</v>
      </c>
      <c r="M8964" s="29"/>
      <c r="N8964" s="29" t="s">
        <v>551</v>
      </c>
      <c r="O8964" s="29"/>
      <c r="P8964" s="29" t="s">
        <v>13847</v>
      </c>
      <c r="Q8964" t="s">
        <v>2190</v>
      </c>
      <c r="R8964" t="s">
        <v>2635</v>
      </c>
      <c r="S8964">
        <v>38</v>
      </c>
      <c r="T8964" s="43" t="str">
        <f t="shared" si="388"/>
        <v>2021.002M.Phenuiviridae_sprenamed.zip</v>
      </c>
      <c r="U8964" s="43" t="str">
        <f>HYPERLINK("https://ictv.global/taxonomy/taxondetails?taxnode_id=202207623","ictv.global=202207623")</f>
        <v>ictv.global=202207623</v>
      </c>
    </row>
    <row r="8965" spans="1:21">
      <c r="A8965">
        <v>8964</v>
      </c>
      <c r="B8965" s="29" t="s">
        <v>3223</v>
      </c>
      <c r="C8965" s="29"/>
      <c r="D8965" s="29" t="s">
        <v>4156</v>
      </c>
      <c r="E8965" s="29"/>
      <c r="F8965" s="29" t="s">
        <v>2998</v>
      </c>
      <c r="G8965" s="29" t="s">
        <v>3020</v>
      </c>
      <c r="H8965" s="29" t="s">
        <v>3021</v>
      </c>
      <c r="I8965" s="29"/>
      <c r="J8965" s="29" t="s">
        <v>2374</v>
      </c>
      <c r="K8965" s="29"/>
      <c r="L8965" s="29" t="s">
        <v>2381</v>
      </c>
      <c r="M8965" s="29"/>
      <c r="N8965" s="29" t="s">
        <v>551</v>
      </c>
      <c r="O8965" s="29"/>
      <c r="P8965" s="29" t="s">
        <v>13848</v>
      </c>
      <c r="Q8965" t="s">
        <v>2190</v>
      </c>
      <c r="R8965" t="s">
        <v>2635</v>
      </c>
      <c r="S8965">
        <v>38</v>
      </c>
      <c r="T8965" s="43" t="str">
        <f t="shared" si="388"/>
        <v>2021.002M.Phenuiviridae_sprenamed.zip</v>
      </c>
      <c r="U8965" s="43" t="str">
        <f>HYPERLINK("https://ictv.global/taxonomy/taxondetails?taxnode_id=202207627","ictv.global=202207627")</f>
        <v>ictv.global=202207627</v>
      </c>
    </row>
    <row r="8966" spans="1:21">
      <c r="A8966">
        <v>8965</v>
      </c>
      <c r="B8966" s="29" t="s">
        <v>3223</v>
      </c>
      <c r="C8966" s="29"/>
      <c r="D8966" s="29" t="s">
        <v>4156</v>
      </c>
      <c r="E8966" s="29"/>
      <c r="F8966" s="29" t="s">
        <v>2998</v>
      </c>
      <c r="G8966" s="29" t="s">
        <v>3020</v>
      </c>
      <c r="H8966" s="29" t="s">
        <v>3021</v>
      </c>
      <c r="I8966" s="29"/>
      <c r="J8966" s="29" t="s">
        <v>2374</v>
      </c>
      <c r="K8966" s="29"/>
      <c r="L8966" s="29" t="s">
        <v>2381</v>
      </c>
      <c r="M8966" s="29"/>
      <c r="N8966" s="29" t="s">
        <v>551</v>
      </c>
      <c r="O8966" s="29"/>
      <c r="P8966" s="29" t="s">
        <v>13849</v>
      </c>
      <c r="Q8966" t="s">
        <v>2190</v>
      </c>
      <c r="R8966" t="s">
        <v>2635</v>
      </c>
      <c r="S8966">
        <v>38</v>
      </c>
      <c r="T8966" s="43" t="str">
        <f t="shared" si="388"/>
        <v>2021.002M.Phenuiviridae_sprenamed.zip</v>
      </c>
      <c r="U8966" s="43" t="str">
        <f>HYPERLINK("https://ictv.global/taxonomy/taxondetails?taxnode_id=202207604","ictv.global=202207604")</f>
        <v>ictv.global=202207604</v>
      </c>
    </row>
    <row r="8967" spans="1:21">
      <c r="A8967">
        <v>8966</v>
      </c>
      <c r="B8967" s="29" t="s">
        <v>3223</v>
      </c>
      <c r="C8967" s="29"/>
      <c r="D8967" s="29" t="s">
        <v>4156</v>
      </c>
      <c r="E8967" s="29"/>
      <c r="F8967" s="29" t="s">
        <v>2998</v>
      </c>
      <c r="G8967" s="29" t="s">
        <v>3020</v>
      </c>
      <c r="H8967" s="29" t="s">
        <v>3021</v>
      </c>
      <c r="I8967" s="29"/>
      <c r="J8967" s="29" t="s">
        <v>2374</v>
      </c>
      <c r="K8967" s="29"/>
      <c r="L8967" s="29" t="s">
        <v>2381</v>
      </c>
      <c r="M8967" s="29"/>
      <c r="N8967" s="29" t="s">
        <v>551</v>
      </c>
      <c r="O8967" s="29"/>
      <c r="P8967" s="29" t="s">
        <v>13850</v>
      </c>
      <c r="Q8967" t="s">
        <v>2190</v>
      </c>
      <c r="R8967" t="s">
        <v>2635</v>
      </c>
      <c r="S8967">
        <v>38</v>
      </c>
      <c r="T8967" s="43" t="str">
        <f t="shared" si="388"/>
        <v>2021.002M.Phenuiviridae_sprenamed.zip</v>
      </c>
      <c r="U8967" s="43" t="str">
        <f>HYPERLINK("https://ictv.global/taxonomy/taxondetails?taxnode_id=202207596","ictv.global=202207596")</f>
        <v>ictv.global=202207596</v>
      </c>
    </row>
    <row r="8968" spans="1:21">
      <c r="A8968">
        <v>8967</v>
      </c>
      <c r="B8968" s="29" t="s">
        <v>3223</v>
      </c>
      <c r="C8968" s="29"/>
      <c r="D8968" s="29" t="s">
        <v>4156</v>
      </c>
      <c r="E8968" s="29"/>
      <c r="F8968" s="29" t="s">
        <v>2998</v>
      </c>
      <c r="G8968" s="29" t="s">
        <v>3020</v>
      </c>
      <c r="H8968" s="29" t="s">
        <v>3021</v>
      </c>
      <c r="I8968" s="29"/>
      <c r="J8968" s="29" t="s">
        <v>2374</v>
      </c>
      <c r="K8968" s="29"/>
      <c r="L8968" s="29" t="s">
        <v>2381</v>
      </c>
      <c r="M8968" s="29"/>
      <c r="N8968" s="29" t="s">
        <v>551</v>
      </c>
      <c r="O8968" s="29"/>
      <c r="P8968" s="29" t="s">
        <v>13851</v>
      </c>
      <c r="Q8968" t="s">
        <v>2039</v>
      </c>
      <c r="R8968" t="s">
        <v>2635</v>
      </c>
      <c r="S8968">
        <v>38</v>
      </c>
      <c r="T8968" s="43" t="str">
        <f t="shared" si="388"/>
        <v>2021.002M.Phenuiviridae_sprenamed.zip</v>
      </c>
      <c r="U8968" s="43" t="str">
        <f>HYPERLINK("https://ictv.global/taxonomy/taxondetails?taxnode_id=202209827","ictv.global=202209827")</f>
        <v>ictv.global=202209827</v>
      </c>
    </row>
    <row r="8969" spans="1:21">
      <c r="A8969">
        <v>8968</v>
      </c>
      <c r="B8969" s="29" t="s">
        <v>3223</v>
      </c>
      <c r="C8969" s="29"/>
      <c r="D8969" s="29" t="s">
        <v>4156</v>
      </c>
      <c r="E8969" s="29"/>
      <c r="F8969" s="29" t="s">
        <v>2998</v>
      </c>
      <c r="G8969" s="29" t="s">
        <v>3020</v>
      </c>
      <c r="H8969" s="29" t="s">
        <v>3021</v>
      </c>
      <c r="I8969" s="29"/>
      <c r="J8969" s="29" t="s">
        <v>2374</v>
      </c>
      <c r="K8969" s="29"/>
      <c r="L8969" s="29" t="s">
        <v>2381</v>
      </c>
      <c r="M8969" s="29"/>
      <c r="N8969" s="29" t="s">
        <v>551</v>
      </c>
      <c r="O8969" s="29"/>
      <c r="P8969" s="29" t="s">
        <v>13852</v>
      </c>
      <c r="Q8969" t="s">
        <v>2039</v>
      </c>
      <c r="R8969" t="s">
        <v>2635</v>
      </c>
      <c r="S8969">
        <v>38</v>
      </c>
      <c r="T8969" s="43" t="str">
        <f t="shared" si="388"/>
        <v>2021.002M.Phenuiviridae_sprenamed.zip</v>
      </c>
      <c r="U8969" s="43" t="str">
        <f>HYPERLINK("https://ictv.global/taxonomy/taxondetails?taxnode_id=202209624","ictv.global=202209624")</f>
        <v>ictv.global=202209624</v>
      </c>
    </row>
    <row r="8970" spans="1:21">
      <c r="A8970">
        <v>8969</v>
      </c>
      <c r="B8970" s="29" t="s">
        <v>3223</v>
      </c>
      <c r="C8970" s="29"/>
      <c r="D8970" s="29" t="s">
        <v>4156</v>
      </c>
      <c r="E8970" s="29"/>
      <c r="F8970" s="29" t="s">
        <v>2998</v>
      </c>
      <c r="G8970" s="29" t="s">
        <v>3020</v>
      </c>
      <c r="H8970" s="29" t="s">
        <v>3021</v>
      </c>
      <c r="I8970" s="29"/>
      <c r="J8970" s="29" t="s">
        <v>2374</v>
      </c>
      <c r="K8970" s="29"/>
      <c r="L8970" s="29" t="s">
        <v>2381</v>
      </c>
      <c r="M8970" s="29"/>
      <c r="N8970" s="29" t="s">
        <v>551</v>
      </c>
      <c r="O8970" s="29"/>
      <c r="P8970" s="29" t="s">
        <v>13853</v>
      </c>
      <c r="Q8970" t="s">
        <v>2190</v>
      </c>
      <c r="R8970" t="s">
        <v>2635</v>
      </c>
      <c r="S8970">
        <v>38</v>
      </c>
      <c r="T8970" s="43" t="str">
        <f t="shared" si="388"/>
        <v>2021.002M.Phenuiviridae_sprenamed.zip</v>
      </c>
      <c r="U8970" s="43" t="str">
        <f>HYPERLINK("https://ictv.global/taxonomy/taxondetails?taxnode_id=202207615","ictv.global=202207615")</f>
        <v>ictv.global=202207615</v>
      </c>
    </row>
    <row r="8971" spans="1:21">
      <c r="A8971">
        <v>8970</v>
      </c>
      <c r="B8971" s="29" t="s">
        <v>3223</v>
      </c>
      <c r="C8971" s="29"/>
      <c r="D8971" s="29" t="s">
        <v>4156</v>
      </c>
      <c r="E8971" s="29"/>
      <c r="F8971" s="29" t="s">
        <v>2998</v>
      </c>
      <c r="G8971" s="29" t="s">
        <v>3020</v>
      </c>
      <c r="H8971" s="29" t="s">
        <v>3021</v>
      </c>
      <c r="I8971" s="29"/>
      <c r="J8971" s="29" t="s">
        <v>2374</v>
      </c>
      <c r="K8971" s="29"/>
      <c r="L8971" s="29" t="s">
        <v>2381</v>
      </c>
      <c r="M8971" s="29"/>
      <c r="N8971" s="29" t="s">
        <v>551</v>
      </c>
      <c r="O8971" s="29"/>
      <c r="P8971" s="29" t="s">
        <v>13854</v>
      </c>
      <c r="Q8971" t="s">
        <v>2190</v>
      </c>
      <c r="R8971" t="s">
        <v>2635</v>
      </c>
      <c r="S8971">
        <v>38</v>
      </c>
      <c r="T8971" s="43" t="str">
        <f t="shared" si="388"/>
        <v>2021.002M.Phenuiviridae_sprenamed.zip</v>
      </c>
      <c r="U8971" s="43" t="str">
        <f>HYPERLINK("https://ictv.global/taxonomy/taxondetails?taxnode_id=202200163","ictv.global=202200163")</f>
        <v>ictv.global=202200163</v>
      </c>
    </row>
    <row r="8972" spans="1:21">
      <c r="A8972">
        <v>8971</v>
      </c>
      <c r="B8972" s="29" t="s">
        <v>3223</v>
      </c>
      <c r="C8972" s="29"/>
      <c r="D8972" s="29" t="s">
        <v>4156</v>
      </c>
      <c r="E8972" s="29"/>
      <c r="F8972" s="29" t="s">
        <v>2998</v>
      </c>
      <c r="G8972" s="29" t="s">
        <v>3020</v>
      </c>
      <c r="H8972" s="29" t="s">
        <v>3021</v>
      </c>
      <c r="I8972" s="29"/>
      <c r="J8972" s="29" t="s">
        <v>2374</v>
      </c>
      <c r="K8972" s="29"/>
      <c r="L8972" s="29" t="s">
        <v>2381</v>
      </c>
      <c r="M8972" s="29"/>
      <c r="N8972" s="29" t="s">
        <v>551</v>
      </c>
      <c r="O8972" s="29"/>
      <c r="P8972" s="29" t="s">
        <v>13855</v>
      </c>
      <c r="Q8972" t="s">
        <v>2190</v>
      </c>
      <c r="R8972" t="s">
        <v>2635</v>
      </c>
      <c r="S8972">
        <v>38</v>
      </c>
      <c r="T8972" s="43" t="str">
        <f t="shared" si="388"/>
        <v>2021.002M.Phenuiviridae_sprenamed.zip</v>
      </c>
      <c r="U8972" s="43" t="str">
        <f>HYPERLINK("https://ictv.global/taxonomy/taxondetails?taxnode_id=202207633","ictv.global=202207633")</f>
        <v>ictv.global=202207633</v>
      </c>
    </row>
    <row r="8973" spans="1:21">
      <c r="A8973">
        <v>8972</v>
      </c>
      <c r="B8973" s="29" t="s">
        <v>3223</v>
      </c>
      <c r="C8973" s="29"/>
      <c r="D8973" s="29" t="s">
        <v>4156</v>
      </c>
      <c r="E8973" s="29"/>
      <c r="F8973" s="29" t="s">
        <v>2998</v>
      </c>
      <c r="G8973" s="29" t="s">
        <v>3020</v>
      </c>
      <c r="H8973" s="29" t="s">
        <v>3021</v>
      </c>
      <c r="I8973" s="29"/>
      <c r="J8973" s="29" t="s">
        <v>2374</v>
      </c>
      <c r="K8973" s="29"/>
      <c r="L8973" s="29" t="s">
        <v>2381</v>
      </c>
      <c r="M8973" s="29"/>
      <c r="N8973" s="29" t="s">
        <v>551</v>
      </c>
      <c r="O8973" s="29"/>
      <c r="P8973" s="29" t="s">
        <v>13856</v>
      </c>
      <c r="Q8973" t="s">
        <v>2190</v>
      </c>
      <c r="R8973" t="s">
        <v>2635</v>
      </c>
      <c r="S8973">
        <v>38</v>
      </c>
      <c r="T8973" s="43" t="str">
        <f t="shared" si="388"/>
        <v>2021.002M.Phenuiviridae_sprenamed.zip</v>
      </c>
      <c r="U8973" s="43" t="str">
        <f>HYPERLINK("https://ictv.global/taxonomy/taxondetails?taxnode_id=202207583","ictv.global=202207583")</f>
        <v>ictv.global=202207583</v>
      </c>
    </row>
    <row r="8974" spans="1:21">
      <c r="A8974">
        <v>8973</v>
      </c>
      <c r="B8974" s="29" t="s">
        <v>3223</v>
      </c>
      <c r="C8974" s="29"/>
      <c r="D8974" s="29" t="s">
        <v>4156</v>
      </c>
      <c r="E8974" s="29"/>
      <c r="F8974" s="29" t="s">
        <v>2998</v>
      </c>
      <c r="G8974" s="29" t="s">
        <v>3020</v>
      </c>
      <c r="H8974" s="29" t="s">
        <v>3021</v>
      </c>
      <c r="I8974" s="29"/>
      <c r="J8974" s="29" t="s">
        <v>2374</v>
      </c>
      <c r="K8974" s="29"/>
      <c r="L8974" s="29" t="s">
        <v>2381</v>
      </c>
      <c r="M8974" s="29"/>
      <c r="N8974" s="29" t="s">
        <v>551</v>
      </c>
      <c r="O8974" s="29"/>
      <c r="P8974" s="29" t="s">
        <v>13857</v>
      </c>
      <c r="Q8974" t="s">
        <v>2190</v>
      </c>
      <c r="R8974" t="s">
        <v>2635</v>
      </c>
      <c r="S8974">
        <v>38</v>
      </c>
      <c r="T8974" s="43" t="str">
        <f t="shared" si="388"/>
        <v>2021.002M.Phenuiviridae_sprenamed.zip</v>
      </c>
      <c r="U8974" s="43" t="str">
        <f>HYPERLINK("https://ictv.global/taxonomy/taxondetails?taxnode_id=202200164","ictv.global=202200164")</f>
        <v>ictv.global=202200164</v>
      </c>
    </row>
    <row r="8975" spans="1:21">
      <c r="A8975">
        <v>8974</v>
      </c>
      <c r="B8975" s="29" t="s">
        <v>3223</v>
      </c>
      <c r="C8975" s="29"/>
      <c r="D8975" s="29" t="s">
        <v>4156</v>
      </c>
      <c r="E8975" s="29"/>
      <c r="F8975" s="29" t="s">
        <v>2998</v>
      </c>
      <c r="G8975" s="29" t="s">
        <v>3020</v>
      </c>
      <c r="H8975" s="29" t="s">
        <v>3021</v>
      </c>
      <c r="I8975" s="29"/>
      <c r="J8975" s="29" t="s">
        <v>2374</v>
      </c>
      <c r="K8975" s="29"/>
      <c r="L8975" s="29" t="s">
        <v>2381</v>
      </c>
      <c r="M8975" s="29"/>
      <c r="N8975" s="29" t="s">
        <v>551</v>
      </c>
      <c r="O8975" s="29"/>
      <c r="P8975" s="29" t="s">
        <v>13858</v>
      </c>
      <c r="Q8975" t="s">
        <v>2039</v>
      </c>
      <c r="R8975" t="s">
        <v>2635</v>
      </c>
      <c r="S8975">
        <v>38</v>
      </c>
      <c r="T8975" s="43" t="str">
        <f t="shared" si="388"/>
        <v>2021.002M.Phenuiviridae_sprenamed.zip</v>
      </c>
      <c r="U8975" s="43" t="str">
        <f>HYPERLINK("https://ictv.global/taxonomy/taxondetails?taxnode_id=202207589","ictv.global=202207589")</f>
        <v>ictv.global=202207589</v>
      </c>
    </row>
    <row r="8976" spans="1:21">
      <c r="A8976">
        <v>8975</v>
      </c>
      <c r="B8976" s="29" t="s">
        <v>3223</v>
      </c>
      <c r="C8976" s="29"/>
      <c r="D8976" s="29" t="s">
        <v>4156</v>
      </c>
      <c r="E8976" s="29"/>
      <c r="F8976" s="29" t="s">
        <v>2998</v>
      </c>
      <c r="G8976" s="29" t="s">
        <v>3020</v>
      </c>
      <c r="H8976" s="29" t="s">
        <v>3021</v>
      </c>
      <c r="I8976" s="29"/>
      <c r="J8976" s="29" t="s">
        <v>2374</v>
      </c>
      <c r="K8976" s="29"/>
      <c r="L8976" s="29" t="s">
        <v>2381</v>
      </c>
      <c r="M8976" s="29"/>
      <c r="N8976" s="29" t="s">
        <v>551</v>
      </c>
      <c r="O8976" s="29"/>
      <c r="P8976" s="29" t="s">
        <v>13859</v>
      </c>
      <c r="Q8976" t="s">
        <v>2190</v>
      </c>
      <c r="R8976" t="s">
        <v>2635</v>
      </c>
      <c r="S8976">
        <v>38</v>
      </c>
      <c r="T8976" s="43" t="str">
        <f t="shared" si="388"/>
        <v>2021.002M.Phenuiviridae_sprenamed.zip</v>
      </c>
      <c r="U8976" s="43" t="str">
        <f>HYPERLINK("https://ictv.global/taxonomy/taxondetails?taxnode_id=202207612","ictv.global=202207612")</f>
        <v>ictv.global=202207612</v>
      </c>
    </row>
    <row r="8977" spans="1:21">
      <c r="A8977">
        <v>8976</v>
      </c>
      <c r="B8977" s="29" t="s">
        <v>3223</v>
      </c>
      <c r="C8977" s="29"/>
      <c r="D8977" s="29" t="s">
        <v>4156</v>
      </c>
      <c r="E8977" s="29"/>
      <c r="F8977" s="29" t="s">
        <v>2998</v>
      </c>
      <c r="G8977" s="29" t="s">
        <v>3020</v>
      </c>
      <c r="H8977" s="29" t="s">
        <v>3021</v>
      </c>
      <c r="I8977" s="29"/>
      <c r="J8977" s="29" t="s">
        <v>2374</v>
      </c>
      <c r="K8977" s="29"/>
      <c r="L8977" s="29" t="s">
        <v>2381</v>
      </c>
      <c r="M8977" s="29"/>
      <c r="N8977" s="29" t="s">
        <v>551</v>
      </c>
      <c r="O8977" s="29"/>
      <c r="P8977" s="29" t="s">
        <v>13860</v>
      </c>
      <c r="Q8977" t="s">
        <v>2190</v>
      </c>
      <c r="R8977" t="s">
        <v>2635</v>
      </c>
      <c r="S8977">
        <v>38</v>
      </c>
      <c r="T8977" s="43" t="str">
        <f t="shared" si="388"/>
        <v>2021.002M.Phenuiviridae_sprenamed.zip</v>
      </c>
      <c r="U8977" s="43" t="str">
        <f>HYPERLINK("https://ictv.global/taxonomy/taxondetails?taxnode_id=202207608","ictv.global=202207608")</f>
        <v>ictv.global=202207608</v>
      </c>
    </row>
    <row r="8978" spans="1:21">
      <c r="A8978">
        <v>8977</v>
      </c>
      <c r="B8978" s="29" t="s">
        <v>3223</v>
      </c>
      <c r="C8978" s="29"/>
      <c r="D8978" s="29" t="s">
        <v>4156</v>
      </c>
      <c r="E8978" s="29"/>
      <c r="F8978" s="29" t="s">
        <v>2998</v>
      </c>
      <c r="G8978" s="29" t="s">
        <v>3020</v>
      </c>
      <c r="H8978" s="29" t="s">
        <v>3021</v>
      </c>
      <c r="I8978" s="29"/>
      <c r="J8978" s="29" t="s">
        <v>2374</v>
      </c>
      <c r="K8978" s="29"/>
      <c r="L8978" s="29" t="s">
        <v>2381</v>
      </c>
      <c r="M8978" s="29"/>
      <c r="N8978" s="29" t="s">
        <v>551</v>
      </c>
      <c r="O8978" s="29"/>
      <c r="P8978" s="29" t="s">
        <v>13861</v>
      </c>
      <c r="Q8978" t="s">
        <v>2190</v>
      </c>
      <c r="R8978" t="s">
        <v>2635</v>
      </c>
      <c r="S8978">
        <v>38</v>
      </c>
      <c r="T8978" s="43" t="str">
        <f t="shared" si="388"/>
        <v>2021.002M.Phenuiviridae_sprenamed.zip</v>
      </c>
      <c r="U8978" s="43" t="str">
        <f>HYPERLINK("https://ictv.global/taxonomy/taxondetails?taxnode_id=202207616","ictv.global=202207616")</f>
        <v>ictv.global=202207616</v>
      </c>
    </row>
    <row r="8979" spans="1:21">
      <c r="A8979">
        <v>8978</v>
      </c>
      <c r="B8979" s="29" t="s">
        <v>3223</v>
      </c>
      <c r="C8979" s="29"/>
      <c r="D8979" s="29" t="s">
        <v>4156</v>
      </c>
      <c r="E8979" s="29"/>
      <c r="F8979" s="29" t="s">
        <v>2998</v>
      </c>
      <c r="G8979" s="29" t="s">
        <v>3020</v>
      </c>
      <c r="H8979" s="29" t="s">
        <v>3021</v>
      </c>
      <c r="I8979" s="29"/>
      <c r="J8979" s="29" t="s">
        <v>2374</v>
      </c>
      <c r="K8979" s="29"/>
      <c r="L8979" s="29" t="s">
        <v>2381</v>
      </c>
      <c r="M8979" s="29"/>
      <c r="N8979" s="29" t="s">
        <v>551</v>
      </c>
      <c r="O8979" s="29"/>
      <c r="P8979" s="29" t="s">
        <v>13862</v>
      </c>
      <c r="Q8979" t="s">
        <v>2039</v>
      </c>
      <c r="R8979" t="s">
        <v>2635</v>
      </c>
      <c r="S8979">
        <v>38</v>
      </c>
      <c r="T8979" s="43" t="str">
        <f t="shared" si="388"/>
        <v>2021.002M.Phenuiviridae_sprenamed.zip</v>
      </c>
      <c r="U8979" s="43" t="str">
        <f>HYPERLINK("https://ictv.global/taxonomy/taxondetails?taxnode_id=202207598","ictv.global=202207598")</f>
        <v>ictv.global=202207598</v>
      </c>
    </row>
    <row r="8980" spans="1:21">
      <c r="A8980">
        <v>8979</v>
      </c>
      <c r="B8980" s="29" t="s">
        <v>3223</v>
      </c>
      <c r="C8980" s="29"/>
      <c r="D8980" s="29" t="s">
        <v>4156</v>
      </c>
      <c r="E8980" s="29"/>
      <c r="F8980" s="29" t="s">
        <v>2998</v>
      </c>
      <c r="G8980" s="29" t="s">
        <v>3020</v>
      </c>
      <c r="H8980" s="29" t="s">
        <v>3021</v>
      </c>
      <c r="I8980" s="29"/>
      <c r="J8980" s="29" t="s">
        <v>2374</v>
      </c>
      <c r="K8980" s="29"/>
      <c r="L8980" s="29" t="s">
        <v>2381</v>
      </c>
      <c r="M8980" s="29"/>
      <c r="N8980" s="29" t="s">
        <v>551</v>
      </c>
      <c r="O8980" s="29"/>
      <c r="P8980" s="29" t="s">
        <v>13863</v>
      </c>
      <c r="Q8980" t="s">
        <v>2190</v>
      </c>
      <c r="R8980" t="s">
        <v>2635</v>
      </c>
      <c r="S8980">
        <v>38</v>
      </c>
      <c r="T8980" s="43" t="str">
        <f t="shared" ref="T8980:T9014" si="389">HYPERLINK("https://ictv.global/ictv/proposals/2021.002M.Phenuiviridae_sprenamed.zip","2021.002M.Phenuiviridae_sprenamed.zip")</f>
        <v>2021.002M.Phenuiviridae_sprenamed.zip</v>
      </c>
      <c r="U8980" s="43" t="str">
        <f>HYPERLINK("https://ictv.global/taxonomy/taxondetails?taxnode_id=202200162","ictv.global=202200162")</f>
        <v>ictv.global=202200162</v>
      </c>
    </row>
    <row r="8981" spans="1:21">
      <c r="A8981">
        <v>8980</v>
      </c>
      <c r="B8981" s="29" t="s">
        <v>3223</v>
      </c>
      <c r="C8981" s="29"/>
      <c r="D8981" s="29" t="s">
        <v>4156</v>
      </c>
      <c r="E8981" s="29"/>
      <c r="F8981" s="29" t="s">
        <v>2998</v>
      </c>
      <c r="G8981" s="29" t="s">
        <v>3020</v>
      </c>
      <c r="H8981" s="29" t="s">
        <v>3021</v>
      </c>
      <c r="I8981" s="29"/>
      <c r="J8981" s="29" t="s">
        <v>2374</v>
      </c>
      <c r="K8981" s="29"/>
      <c r="L8981" s="29" t="s">
        <v>2381</v>
      </c>
      <c r="M8981" s="29"/>
      <c r="N8981" s="29" t="s">
        <v>551</v>
      </c>
      <c r="O8981" s="29"/>
      <c r="P8981" s="29" t="s">
        <v>13864</v>
      </c>
      <c r="Q8981" t="s">
        <v>2190</v>
      </c>
      <c r="R8981" t="s">
        <v>2635</v>
      </c>
      <c r="S8981">
        <v>38</v>
      </c>
      <c r="T8981" s="43" t="str">
        <f t="shared" si="389"/>
        <v>2021.002M.Phenuiviridae_sprenamed.zip</v>
      </c>
      <c r="U8981" s="43" t="str">
        <f>HYPERLINK("https://ictv.global/taxonomy/taxondetails?taxnode_id=202207610","ictv.global=202207610")</f>
        <v>ictv.global=202207610</v>
      </c>
    </row>
    <row r="8982" spans="1:21">
      <c r="A8982">
        <v>8981</v>
      </c>
      <c r="B8982" s="29" t="s">
        <v>3223</v>
      </c>
      <c r="C8982" s="29"/>
      <c r="D8982" s="29" t="s">
        <v>4156</v>
      </c>
      <c r="E8982" s="29"/>
      <c r="F8982" s="29" t="s">
        <v>2998</v>
      </c>
      <c r="G8982" s="29" t="s">
        <v>3020</v>
      </c>
      <c r="H8982" s="29" t="s">
        <v>3021</v>
      </c>
      <c r="I8982" s="29"/>
      <c r="J8982" s="29" t="s">
        <v>2374</v>
      </c>
      <c r="K8982" s="29"/>
      <c r="L8982" s="29" t="s">
        <v>2381</v>
      </c>
      <c r="M8982" s="29"/>
      <c r="N8982" s="29" t="s">
        <v>551</v>
      </c>
      <c r="O8982" s="29"/>
      <c r="P8982" s="29" t="s">
        <v>13865</v>
      </c>
      <c r="Q8982" t="s">
        <v>2190</v>
      </c>
      <c r="R8982" t="s">
        <v>2635</v>
      </c>
      <c r="S8982">
        <v>38</v>
      </c>
      <c r="T8982" s="43" t="str">
        <f t="shared" si="389"/>
        <v>2021.002M.Phenuiviridae_sprenamed.zip</v>
      </c>
      <c r="U8982" s="43" t="str">
        <f>HYPERLINK("https://ictv.global/taxonomy/taxondetails?taxnode_id=202207618","ictv.global=202207618")</f>
        <v>ictv.global=202207618</v>
      </c>
    </row>
    <row r="8983" spans="1:21">
      <c r="A8983">
        <v>8982</v>
      </c>
      <c r="B8983" s="29" t="s">
        <v>3223</v>
      </c>
      <c r="C8983" s="29"/>
      <c r="D8983" s="29" t="s">
        <v>4156</v>
      </c>
      <c r="E8983" s="29"/>
      <c r="F8983" s="29" t="s">
        <v>2998</v>
      </c>
      <c r="G8983" s="29" t="s">
        <v>3020</v>
      </c>
      <c r="H8983" s="29" t="s">
        <v>3021</v>
      </c>
      <c r="I8983" s="29"/>
      <c r="J8983" s="29" t="s">
        <v>2374</v>
      </c>
      <c r="K8983" s="29"/>
      <c r="L8983" s="29" t="s">
        <v>2381</v>
      </c>
      <c r="M8983" s="29"/>
      <c r="N8983" s="29" t="s">
        <v>551</v>
      </c>
      <c r="O8983" s="29"/>
      <c r="P8983" s="29" t="s">
        <v>13866</v>
      </c>
      <c r="Q8983" t="s">
        <v>2190</v>
      </c>
      <c r="R8983" t="s">
        <v>2635</v>
      </c>
      <c r="S8983">
        <v>38</v>
      </c>
      <c r="T8983" s="43" t="str">
        <f t="shared" si="389"/>
        <v>2021.002M.Phenuiviridae_sprenamed.zip</v>
      </c>
      <c r="U8983" s="43" t="str">
        <f>HYPERLINK("https://ictv.global/taxonomy/taxondetails?taxnode_id=202207628","ictv.global=202207628")</f>
        <v>ictv.global=202207628</v>
      </c>
    </row>
    <row r="8984" spans="1:21">
      <c r="A8984">
        <v>8983</v>
      </c>
      <c r="B8984" s="29" t="s">
        <v>3223</v>
      </c>
      <c r="C8984" s="29"/>
      <c r="D8984" s="29" t="s">
        <v>4156</v>
      </c>
      <c r="E8984" s="29"/>
      <c r="F8984" s="29" t="s">
        <v>2998</v>
      </c>
      <c r="G8984" s="29" t="s">
        <v>3020</v>
      </c>
      <c r="H8984" s="29" t="s">
        <v>3021</v>
      </c>
      <c r="I8984" s="29"/>
      <c r="J8984" s="29" t="s">
        <v>2374</v>
      </c>
      <c r="K8984" s="29"/>
      <c r="L8984" s="29" t="s">
        <v>2381</v>
      </c>
      <c r="M8984" s="29"/>
      <c r="N8984" s="29" t="s">
        <v>551</v>
      </c>
      <c r="O8984" s="29"/>
      <c r="P8984" s="29" t="s">
        <v>13867</v>
      </c>
      <c r="Q8984" t="s">
        <v>2190</v>
      </c>
      <c r="R8984" t="s">
        <v>2635</v>
      </c>
      <c r="S8984">
        <v>38</v>
      </c>
      <c r="T8984" s="43" t="str">
        <f t="shared" si="389"/>
        <v>2021.002M.Phenuiviridae_sprenamed.zip</v>
      </c>
      <c r="U8984" s="43" t="str">
        <f>HYPERLINK("https://ictv.global/taxonomy/taxondetails?taxnode_id=202207601","ictv.global=202207601")</f>
        <v>ictv.global=202207601</v>
      </c>
    </row>
    <row r="8985" spans="1:21">
      <c r="A8985">
        <v>8984</v>
      </c>
      <c r="B8985" s="29" t="s">
        <v>3223</v>
      </c>
      <c r="C8985" s="29"/>
      <c r="D8985" s="29" t="s">
        <v>4156</v>
      </c>
      <c r="E8985" s="29"/>
      <c r="F8985" s="29" t="s">
        <v>2998</v>
      </c>
      <c r="G8985" s="29" t="s">
        <v>3020</v>
      </c>
      <c r="H8985" s="29" t="s">
        <v>3021</v>
      </c>
      <c r="I8985" s="29"/>
      <c r="J8985" s="29" t="s">
        <v>2374</v>
      </c>
      <c r="K8985" s="29"/>
      <c r="L8985" s="29" t="s">
        <v>2381</v>
      </c>
      <c r="M8985" s="29"/>
      <c r="N8985" s="29" t="s">
        <v>551</v>
      </c>
      <c r="O8985" s="29"/>
      <c r="P8985" s="29" t="s">
        <v>13868</v>
      </c>
      <c r="Q8985" t="s">
        <v>2190</v>
      </c>
      <c r="R8985" t="s">
        <v>2635</v>
      </c>
      <c r="S8985">
        <v>38</v>
      </c>
      <c r="T8985" s="43" t="str">
        <f t="shared" si="389"/>
        <v>2021.002M.Phenuiviridae_sprenamed.zip</v>
      </c>
      <c r="U8985" s="43" t="str">
        <f>HYPERLINK("https://ictv.global/taxonomy/taxondetails?taxnode_id=202207603","ictv.global=202207603")</f>
        <v>ictv.global=202207603</v>
      </c>
    </row>
    <row r="8986" spans="1:21">
      <c r="A8986">
        <v>8985</v>
      </c>
      <c r="B8986" s="29" t="s">
        <v>3223</v>
      </c>
      <c r="C8986" s="29"/>
      <c r="D8986" s="29" t="s">
        <v>4156</v>
      </c>
      <c r="E8986" s="29"/>
      <c r="F8986" s="29" t="s">
        <v>2998</v>
      </c>
      <c r="G8986" s="29" t="s">
        <v>3020</v>
      </c>
      <c r="H8986" s="29" t="s">
        <v>3021</v>
      </c>
      <c r="I8986" s="29"/>
      <c r="J8986" s="29" t="s">
        <v>2374</v>
      </c>
      <c r="K8986" s="29"/>
      <c r="L8986" s="29" t="s">
        <v>2381</v>
      </c>
      <c r="M8986" s="29"/>
      <c r="N8986" s="29" t="s">
        <v>551</v>
      </c>
      <c r="O8986" s="29"/>
      <c r="P8986" s="29" t="s">
        <v>13869</v>
      </c>
      <c r="Q8986" t="s">
        <v>2190</v>
      </c>
      <c r="R8986" t="s">
        <v>2635</v>
      </c>
      <c r="S8986">
        <v>38</v>
      </c>
      <c r="T8986" s="43" t="str">
        <f t="shared" si="389"/>
        <v>2021.002M.Phenuiviridae_sprenamed.zip</v>
      </c>
      <c r="U8986" s="43" t="str">
        <f>HYPERLINK("https://ictv.global/taxonomy/taxondetails?taxnode_id=202207617","ictv.global=202207617")</f>
        <v>ictv.global=202207617</v>
      </c>
    </row>
    <row r="8987" spans="1:21">
      <c r="A8987">
        <v>8986</v>
      </c>
      <c r="B8987" s="29" t="s">
        <v>3223</v>
      </c>
      <c r="C8987" s="29"/>
      <c r="D8987" s="29" t="s">
        <v>4156</v>
      </c>
      <c r="E8987" s="29"/>
      <c r="F8987" s="29" t="s">
        <v>2998</v>
      </c>
      <c r="G8987" s="29" t="s">
        <v>3020</v>
      </c>
      <c r="H8987" s="29" t="s">
        <v>3021</v>
      </c>
      <c r="I8987" s="29"/>
      <c r="J8987" s="29" t="s">
        <v>2374</v>
      </c>
      <c r="K8987" s="29"/>
      <c r="L8987" s="29" t="s">
        <v>2381</v>
      </c>
      <c r="M8987" s="29"/>
      <c r="N8987" s="29" t="s">
        <v>3040</v>
      </c>
      <c r="O8987" s="29"/>
      <c r="P8987" s="29" t="s">
        <v>13870</v>
      </c>
      <c r="Q8987" t="s">
        <v>2039</v>
      </c>
      <c r="R8987" t="s">
        <v>2635</v>
      </c>
      <c r="S8987">
        <v>38</v>
      </c>
      <c r="T8987" s="43" t="str">
        <f t="shared" si="389"/>
        <v>2021.002M.Phenuiviridae_sprenamed.zip</v>
      </c>
      <c r="U8987" s="43" t="str">
        <f>HYPERLINK("https://ictv.global/taxonomy/taxondetails?taxnode_id=202206236","ictv.global=202206236")</f>
        <v>ictv.global=202206236</v>
      </c>
    </row>
    <row r="8988" spans="1:21">
      <c r="A8988">
        <v>8987</v>
      </c>
      <c r="B8988" s="29" t="s">
        <v>3223</v>
      </c>
      <c r="C8988" s="29"/>
      <c r="D8988" s="29" t="s">
        <v>4156</v>
      </c>
      <c r="E8988" s="29"/>
      <c r="F8988" s="29" t="s">
        <v>2998</v>
      </c>
      <c r="G8988" s="29" t="s">
        <v>3020</v>
      </c>
      <c r="H8988" s="29" t="s">
        <v>3021</v>
      </c>
      <c r="I8988" s="29"/>
      <c r="J8988" s="29" t="s">
        <v>2374</v>
      </c>
      <c r="K8988" s="29"/>
      <c r="L8988" s="29" t="s">
        <v>2381</v>
      </c>
      <c r="M8988" s="29"/>
      <c r="N8988" s="29" t="s">
        <v>3040</v>
      </c>
      <c r="O8988" s="29"/>
      <c r="P8988" s="29" t="s">
        <v>13871</v>
      </c>
      <c r="Q8988" t="s">
        <v>2039</v>
      </c>
      <c r="R8988" t="s">
        <v>2635</v>
      </c>
      <c r="S8988">
        <v>38</v>
      </c>
      <c r="T8988" s="43" t="str">
        <f t="shared" si="389"/>
        <v>2021.002M.Phenuiviridae_sprenamed.zip</v>
      </c>
      <c r="U8988" s="43" t="str">
        <f>HYPERLINK("https://ictv.global/taxonomy/taxondetails?taxnode_id=202209829","ictv.global=202209829")</f>
        <v>ictv.global=202209829</v>
      </c>
    </row>
    <row r="8989" spans="1:21">
      <c r="A8989">
        <v>8988</v>
      </c>
      <c r="B8989" s="29" t="s">
        <v>3223</v>
      </c>
      <c r="C8989" s="29"/>
      <c r="D8989" s="29" t="s">
        <v>4156</v>
      </c>
      <c r="E8989" s="29"/>
      <c r="F8989" s="29" t="s">
        <v>2998</v>
      </c>
      <c r="G8989" s="29" t="s">
        <v>3020</v>
      </c>
      <c r="H8989" s="29" t="s">
        <v>3021</v>
      </c>
      <c r="I8989" s="29"/>
      <c r="J8989" s="29" t="s">
        <v>2374</v>
      </c>
      <c r="K8989" s="29"/>
      <c r="L8989" s="29" t="s">
        <v>2381</v>
      </c>
      <c r="M8989" s="29"/>
      <c r="N8989" s="29" t="s">
        <v>4228</v>
      </c>
      <c r="O8989" s="29"/>
      <c r="P8989" s="29" t="s">
        <v>13872</v>
      </c>
      <c r="Q8989" t="s">
        <v>2039</v>
      </c>
      <c r="R8989" t="s">
        <v>2635</v>
      </c>
      <c r="S8989">
        <v>38</v>
      </c>
      <c r="T8989" s="43" t="str">
        <f t="shared" si="389"/>
        <v>2021.002M.Phenuiviridae_sprenamed.zip</v>
      </c>
      <c r="U8989" s="43" t="str">
        <f>HYPERLINK("https://ictv.global/taxonomy/taxondetails?taxnode_id=202209837","ictv.global=202209837")</f>
        <v>ictv.global=202209837</v>
      </c>
    </row>
    <row r="8990" spans="1:21">
      <c r="A8990">
        <v>8989</v>
      </c>
      <c r="B8990" s="29" t="s">
        <v>3223</v>
      </c>
      <c r="C8990" s="29"/>
      <c r="D8990" s="29" t="s">
        <v>4156</v>
      </c>
      <c r="E8990" s="29"/>
      <c r="F8990" s="29" t="s">
        <v>2998</v>
      </c>
      <c r="G8990" s="29" t="s">
        <v>3020</v>
      </c>
      <c r="H8990" s="29" t="s">
        <v>3021</v>
      </c>
      <c r="I8990" s="29"/>
      <c r="J8990" s="29" t="s">
        <v>2374</v>
      </c>
      <c r="K8990" s="29"/>
      <c r="L8990" s="29" t="s">
        <v>2381</v>
      </c>
      <c r="M8990" s="29"/>
      <c r="N8990" s="29" t="s">
        <v>4228</v>
      </c>
      <c r="O8990" s="29"/>
      <c r="P8990" s="29" t="s">
        <v>13873</v>
      </c>
      <c r="Q8990" t="s">
        <v>2039</v>
      </c>
      <c r="R8990" t="s">
        <v>2635</v>
      </c>
      <c r="S8990">
        <v>38</v>
      </c>
      <c r="T8990" s="43" t="str">
        <f t="shared" si="389"/>
        <v>2021.002M.Phenuiviridae_sprenamed.zip</v>
      </c>
      <c r="U8990" s="43" t="str">
        <f>HYPERLINK("https://ictv.global/taxonomy/taxondetails?taxnode_id=202209836","ictv.global=202209836")</f>
        <v>ictv.global=202209836</v>
      </c>
    </row>
    <row r="8991" spans="1:21">
      <c r="A8991">
        <v>8990</v>
      </c>
      <c r="B8991" s="29" t="s">
        <v>3223</v>
      </c>
      <c r="C8991" s="29"/>
      <c r="D8991" s="29" t="s">
        <v>4156</v>
      </c>
      <c r="E8991" s="29"/>
      <c r="F8991" s="29" t="s">
        <v>2998</v>
      </c>
      <c r="G8991" s="29" t="s">
        <v>3020</v>
      </c>
      <c r="H8991" s="29" t="s">
        <v>3021</v>
      </c>
      <c r="I8991" s="29"/>
      <c r="J8991" s="29" t="s">
        <v>2374</v>
      </c>
      <c r="K8991" s="29"/>
      <c r="L8991" s="29" t="s">
        <v>2381</v>
      </c>
      <c r="M8991" s="29"/>
      <c r="N8991" s="29" t="s">
        <v>4228</v>
      </c>
      <c r="O8991" s="29"/>
      <c r="P8991" s="29" t="s">
        <v>13874</v>
      </c>
      <c r="Q8991" t="s">
        <v>2190</v>
      </c>
      <c r="R8991" t="s">
        <v>2635</v>
      </c>
      <c r="S8991">
        <v>38</v>
      </c>
      <c r="T8991" s="43" t="str">
        <f t="shared" si="389"/>
        <v>2021.002M.Phenuiviridae_sprenamed.zip</v>
      </c>
      <c r="U8991" s="43" t="str">
        <f>HYPERLINK("https://ictv.global/taxonomy/taxondetails?taxnode_id=202207648","ictv.global=202207648")</f>
        <v>ictv.global=202207648</v>
      </c>
    </row>
    <row r="8992" spans="1:21">
      <c r="A8992">
        <v>8991</v>
      </c>
      <c r="B8992" s="29" t="s">
        <v>3223</v>
      </c>
      <c r="C8992" s="29"/>
      <c r="D8992" s="29" t="s">
        <v>4156</v>
      </c>
      <c r="E8992" s="29"/>
      <c r="F8992" s="29" t="s">
        <v>2998</v>
      </c>
      <c r="G8992" s="29" t="s">
        <v>3020</v>
      </c>
      <c r="H8992" s="29" t="s">
        <v>3021</v>
      </c>
      <c r="I8992" s="29"/>
      <c r="J8992" s="29" t="s">
        <v>2374</v>
      </c>
      <c r="K8992" s="29"/>
      <c r="L8992" s="29" t="s">
        <v>2381</v>
      </c>
      <c r="M8992" s="29"/>
      <c r="N8992" s="29" t="s">
        <v>4228</v>
      </c>
      <c r="O8992" s="29"/>
      <c r="P8992" s="29" t="s">
        <v>13875</v>
      </c>
      <c r="Q8992" t="s">
        <v>2190</v>
      </c>
      <c r="R8992" t="s">
        <v>2635</v>
      </c>
      <c r="S8992">
        <v>38</v>
      </c>
      <c r="T8992" s="43" t="str">
        <f t="shared" si="389"/>
        <v>2021.002M.Phenuiviridae_sprenamed.zip</v>
      </c>
      <c r="U8992" s="43" t="str">
        <f>HYPERLINK("https://ictv.global/taxonomy/taxondetails?taxnode_id=202207649","ictv.global=202207649")</f>
        <v>ictv.global=202207649</v>
      </c>
    </row>
    <row r="8993" spans="1:21">
      <c r="A8993">
        <v>8992</v>
      </c>
      <c r="B8993" s="29" t="s">
        <v>3223</v>
      </c>
      <c r="C8993" s="29"/>
      <c r="D8993" s="29" t="s">
        <v>4156</v>
      </c>
      <c r="E8993" s="29"/>
      <c r="F8993" s="29" t="s">
        <v>2998</v>
      </c>
      <c r="G8993" s="29" t="s">
        <v>3020</v>
      </c>
      <c r="H8993" s="29" t="s">
        <v>3021</v>
      </c>
      <c r="I8993" s="29"/>
      <c r="J8993" s="29" t="s">
        <v>2374</v>
      </c>
      <c r="K8993" s="29"/>
      <c r="L8993" s="29" t="s">
        <v>2381</v>
      </c>
      <c r="M8993" s="29"/>
      <c r="N8993" s="29" t="s">
        <v>6677</v>
      </c>
      <c r="O8993" s="29"/>
      <c r="P8993" s="29" t="s">
        <v>13876</v>
      </c>
      <c r="Q8993" t="s">
        <v>2039</v>
      </c>
      <c r="R8993" t="s">
        <v>2635</v>
      </c>
      <c r="S8993">
        <v>38</v>
      </c>
      <c r="T8993" s="43" t="str">
        <f t="shared" si="389"/>
        <v>2021.002M.Phenuiviridae_sprenamed.zip</v>
      </c>
      <c r="U8993" s="43" t="str">
        <f>HYPERLINK("https://ictv.global/taxonomy/taxondetails?taxnode_id=202209842","ictv.global=202209842")</f>
        <v>ictv.global=202209842</v>
      </c>
    </row>
    <row r="8994" spans="1:21">
      <c r="A8994">
        <v>8993</v>
      </c>
      <c r="B8994" s="29" t="s">
        <v>3223</v>
      </c>
      <c r="C8994" s="29"/>
      <c r="D8994" s="29" t="s">
        <v>4156</v>
      </c>
      <c r="E8994" s="29"/>
      <c r="F8994" s="29" t="s">
        <v>2998</v>
      </c>
      <c r="G8994" s="29" t="s">
        <v>3020</v>
      </c>
      <c r="H8994" s="29" t="s">
        <v>3021</v>
      </c>
      <c r="I8994" s="29"/>
      <c r="J8994" s="29" t="s">
        <v>2374</v>
      </c>
      <c r="K8994" s="29"/>
      <c r="L8994" s="29" t="s">
        <v>2381</v>
      </c>
      <c r="M8994" s="29"/>
      <c r="N8994" s="29" t="s">
        <v>815</v>
      </c>
      <c r="O8994" s="29"/>
      <c r="P8994" s="29" t="s">
        <v>13877</v>
      </c>
      <c r="Q8994" t="s">
        <v>2039</v>
      </c>
      <c r="R8994" t="s">
        <v>2635</v>
      </c>
      <c r="S8994">
        <v>38</v>
      </c>
      <c r="T8994" s="43" t="str">
        <f t="shared" si="389"/>
        <v>2021.002M.Phenuiviridae_sprenamed.zip</v>
      </c>
      <c r="U8994" s="43" t="str">
        <f>HYPERLINK("https://ictv.global/taxonomy/taxondetails?taxnode_id=202200169","ictv.global=202200169")</f>
        <v>ictv.global=202200169</v>
      </c>
    </row>
    <row r="8995" spans="1:21">
      <c r="A8995">
        <v>8994</v>
      </c>
      <c r="B8995" s="29" t="s">
        <v>3223</v>
      </c>
      <c r="C8995" s="29"/>
      <c r="D8995" s="29" t="s">
        <v>4156</v>
      </c>
      <c r="E8995" s="29"/>
      <c r="F8995" s="29" t="s">
        <v>2998</v>
      </c>
      <c r="G8995" s="29" t="s">
        <v>3020</v>
      </c>
      <c r="H8995" s="29" t="s">
        <v>3021</v>
      </c>
      <c r="I8995" s="29"/>
      <c r="J8995" s="29" t="s">
        <v>2374</v>
      </c>
      <c r="K8995" s="29"/>
      <c r="L8995" s="29" t="s">
        <v>2381</v>
      </c>
      <c r="M8995" s="29"/>
      <c r="N8995" s="29" t="s">
        <v>815</v>
      </c>
      <c r="O8995" s="29"/>
      <c r="P8995" s="29" t="s">
        <v>13878</v>
      </c>
      <c r="Q8995" t="s">
        <v>2039</v>
      </c>
      <c r="R8995" t="s">
        <v>2635</v>
      </c>
      <c r="S8995">
        <v>38</v>
      </c>
      <c r="T8995" s="43" t="str">
        <f t="shared" si="389"/>
        <v>2021.002M.Phenuiviridae_sprenamed.zip</v>
      </c>
      <c r="U8995" s="43" t="str">
        <f>HYPERLINK("https://ictv.global/taxonomy/taxondetails?taxnode_id=202209830","ictv.global=202209830")</f>
        <v>ictv.global=202209830</v>
      </c>
    </row>
    <row r="8996" spans="1:21">
      <c r="A8996">
        <v>8995</v>
      </c>
      <c r="B8996" s="29" t="s">
        <v>3223</v>
      </c>
      <c r="C8996" s="29"/>
      <c r="D8996" s="29" t="s">
        <v>4156</v>
      </c>
      <c r="E8996" s="29"/>
      <c r="F8996" s="29" t="s">
        <v>2998</v>
      </c>
      <c r="G8996" s="29" t="s">
        <v>3020</v>
      </c>
      <c r="H8996" s="29" t="s">
        <v>3021</v>
      </c>
      <c r="I8996" s="29"/>
      <c r="J8996" s="29" t="s">
        <v>2374</v>
      </c>
      <c r="K8996" s="29"/>
      <c r="L8996" s="29" t="s">
        <v>2381</v>
      </c>
      <c r="M8996" s="29"/>
      <c r="N8996" s="29" t="s">
        <v>815</v>
      </c>
      <c r="O8996" s="29"/>
      <c r="P8996" s="29" t="s">
        <v>13879</v>
      </c>
      <c r="Q8996" t="s">
        <v>2039</v>
      </c>
      <c r="R8996" t="s">
        <v>2635</v>
      </c>
      <c r="S8996">
        <v>38</v>
      </c>
      <c r="T8996" s="43" t="str">
        <f t="shared" si="389"/>
        <v>2021.002M.Phenuiviridae_sprenamed.zip</v>
      </c>
      <c r="U8996" s="43" t="str">
        <f>HYPERLINK("https://ictv.global/taxonomy/taxondetails?taxnode_id=202200172","ictv.global=202200172")</f>
        <v>ictv.global=202200172</v>
      </c>
    </row>
    <row r="8997" spans="1:21">
      <c r="A8997">
        <v>8996</v>
      </c>
      <c r="B8997" s="29" t="s">
        <v>3223</v>
      </c>
      <c r="C8997" s="29"/>
      <c r="D8997" s="29" t="s">
        <v>4156</v>
      </c>
      <c r="E8997" s="29"/>
      <c r="F8997" s="29" t="s">
        <v>2998</v>
      </c>
      <c r="G8997" s="29" t="s">
        <v>3020</v>
      </c>
      <c r="H8997" s="29" t="s">
        <v>3021</v>
      </c>
      <c r="I8997" s="29"/>
      <c r="J8997" s="29" t="s">
        <v>2374</v>
      </c>
      <c r="K8997" s="29"/>
      <c r="L8997" s="29" t="s">
        <v>2381</v>
      </c>
      <c r="M8997" s="29"/>
      <c r="N8997" s="29" t="s">
        <v>815</v>
      </c>
      <c r="O8997" s="29"/>
      <c r="P8997" s="29" t="s">
        <v>13880</v>
      </c>
      <c r="Q8997" t="s">
        <v>2039</v>
      </c>
      <c r="R8997" t="s">
        <v>2635</v>
      </c>
      <c r="S8997">
        <v>38</v>
      </c>
      <c r="T8997" s="43" t="str">
        <f t="shared" si="389"/>
        <v>2021.002M.Phenuiviridae_sprenamed.zip</v>
      </c>
      <c r="U8997" s="43" t="str">
        <f>HYPERLINK("https://ictv.global/taxonomy/taxondetails?taxnode_id=202200174","ictv.global=202200174")</f>
        <v>ictv.global=202200174</v>
      </c>
    </row>
    <row r="8998" spans="1:21">
      <c r="A8998">
        <v>8997</v>
      </c>
      <c r="B8998" s="29" t="s">
        <v>3223</v>
      </c>
      <c r="C8998" s="29"/>
      <c r="D8998" s="29" t="s">
        <v>4156</v>
      </c>
      <c r="E8998" s="29"/>
      <c r="F8998" s="29" t="s">
        <v>2998</v>
      </c>
      <c r="G8998" s="29" t="s">
        <v>3020</v>
      </c>
      <c r="H8998" s="29" t="s">
        <v>3021</v>
      </c>
      <c r="I8998" s="29"/>
      <c r="J8998" s="29" t="s">
        <v>2374</v>
      </c>
      <c r="K8998" s="29"/>
      <c r="L8998" s="29" t="s">
        <v>2381</v>
      </c>
      <c r="M8998" s="29"/>
      <c r="N8998" s="29" t="s">
        <v>815</v>
      </c>
      <c r="O8998" s="29"/>
      <c r="P8998" s="29" t="s">
        <v>13881</v>
      </c>
      <c r="Q8998" t="s">
        <v>2039</v>
      </c>
      <c r="R8998" t="s">
        <v>2635</v>
      </c>
      <c r="S8998">
        <v>38</v>
      </c>
      <c r="T8998" s="43" t="str">
        <f t="shared" si="389"/>
        <v>2021.002M.Phenuiviridae_sprenamed.zip</v>
      </c>
      <c r="U8998" s="43" t="str">
        <f>HYPERLINK("https://ictv.global/taxonomy/taxondetails?taxnode_id=202200173","ictv.global=202200173")</f>
        <v>ictv.global=202200173</v>
      </c>
    </row>
    <row r="8999" spans="1:21">
      <c r="A8999">
        <v>8998</v>
      </c>
      <c r="B8999" s="29" t="s">
        <v>3223</v>
      </c>
      <c r="C8999" s="29"/>
      <c r="D8999" s="29" t="s">
        <v>4156</v>
      </c>
      <c r="E8999" s="29"/>
      <c r="F8999" s="29" t="s">
        <v>2998</v>
      </c>
      <c r="G8999" s="29" t="s">
        <v>3020</v>
      </c>
      <c r="H8999" s="29" t="s">
        <v>3021</v>
      </c>
      <c r="I8999" s="29"/>
      <c r="J8999" s="29" t="s">
        <v>2374</v>
      </c>
      <c r="K8999" s="29"/>
      <c r="L8999" s="29" t="s">
        <v>2381</v>
      </c>
      <c r="M8999" s="29"/>
      <c r="N8999" s="29" t="s">
        <v>815</v>
      </c>
      <c r="O8999" s="29"/>
      <c r="P8999" s="29" t="s">
        <v>13882</v>
      </c>
      <c r="Q8999" t="s">
        <v>2039</v>
      </c>
      <c r="R8999" t="s">
        <v>2635</v>
      </c>
      <c r="S8999">
        <v>38</v>
      </c>
      <c r="T8999" s="43" t="str">
        <f t="shared" si="389"/>
        <v>2021.002M.Phenuiviridae_sprenamed.zip</v>
      </c>
      <c r="U8999" s="43" t="str">
        <f>HYPERLINK("https://ictv.global/taxonomy/taxondetails?taxnode_id=202200170","ictv.global=202200170")</f>
        <v>ictv.global=202200170</v>
      </c>
    </row>
    <row r="9000" spans="1:21">
      <c r="A9000">
        <v>8999</v>
      </c>
      <c r="B9000" s="29" t="s">
        <v>3223</v>
      </c>
      <c r="C9000" s="29"/>
      <c r="D9000" s="29" t="s">
        <v>4156</v>
      </c>
      <c r="E9000" s="29"/>
      <c r="F9000" s="29" t="s">
        <v>2998</v>
      </c>
      <c r="G9000" s="29" t="s">
        <v>3020</v>
      </c>
      <c r="H9000" s="29" t="s">
        <v>3021</v>
      </c>
      <c r="I9000" s="29"/>
      <c r="J9000" s="29" t="s">
        <v>2374</v>
      </c>
      <c r="K9000" s="29"/>
      <c r="L9000" s="29" t="s">
        <v>2381</v>
      </c>
      <c r="M9000" s="29"/>
      <c r="N9000" s="29" t="s">
        <v>815</v>
      </c>
      <c r="O9000" s="29"/>
      <c r="P9000" s="29" t="s">
        <v>13883</v>
      </c>
      <c r="Q9000" t="s">
        <v>2039</v>
      </c>
      <c r="R9000" t="s">
        <v>2635</v>
      </c>
      <c r="S9000">
        <v>38</v>
      </c>
      <c r="T9000" s="43" t="str">
        <f t="shared" si="389"/>
        <v>2021.002M.Phenuiviridae_sprenamed.zip</v>
      </c>
      <c r="U9000" s="43" t="str">
        <f>HYPERLINK("https://ictv.global/taxonomy/taxondetails?taxnode_id=202200175","ictv.global=202200175")</f>
        <v>ictv.global=202200175</v>
      </c>
    </row>
    <row r="9001" spans="1:21">
      <c r="A9001">
        <v>9000</v>
      </c>
      <c r="B9001" s="29" t="s">
        <v>3223</v>
      </c>
      <c r="C9001" s="29"/>
      <c r="D9001" s="29" t="s">
        <v>4156</v>
      </c>
      <c r="E9001" s="29"/>
      <c r="F9001" s="29" t="s">
        <v>2998</v>
      </c>
      <c r="G9001" s="29" t="s">
        <v>3020</v>
      </c>
      <c r="H9001" s="29" t="s">
        <v>3021</v>
      </c>
      <c r="I9001" s="29"/>
      <c r="J9001" s="29" t="s">
        <v>2374</v>
      </c>
      <c r="K9001" s="29"/>
      <c r="L9001" s="29" t="s">
        <v>2381</v>
      </c>
      <c r="M9001" s="29"/>
      <c r="N9001" s="29" t="s">
        <v>815</v>
      </c>
      <c r="O9001" s="29"/>
      <c r="P9001" s="29" t="s">
        <v>13884</v>
      </c>
      <c r="Q9001" t="s">
        <v>2039</v>
      </c>
      <c r="R9001" t="s">
        <v>2635</v>
      </c>
      <c r="S9001">
        <v>38</v>
      </c>
      <c r="T9001" s="43" t="str">
        <f t="shared" si="389"/>
        <v>2021.002M.Phenuiviridae_sprenamed.zip</v>
      </c>
      <c r="U9001" s="43" t="str">
        <f>HYPERLINK("https://ictv.global/taxonomy/taxondetails?taxnode_id=202200171","ictv.global=202200171")</f>
        <v>ictv.global=202200171</v>
      </c>
    </row>
    <row r="9002" spans="1:21">
      <c r="A9002">
        <v>9001</v>
      </c>
      <c r="B9002" s="29" t="s">
        <v>3223</v>
      </c>
      <c r="C9002" s="29"/>
      <c r="D9002" s="29" t="s">
        <v>4156</v>
      </c>
      <c r="E9002" s="29"/>
      <c r="F9002" s="29" t="s">
        <v>2998</v>
      </c>
      <c r="G9002" s="29" t="s">
        <v>3020</v>
      </c>
      <c r="H9002" s="29" t="s">
        <v>3021</v>
      </c>
      <c r="I9002" s="29"/>
      <c r="J9002" s="29" t="s">
        <v>2374</v>
      </c>
      <c r="K9002" s="29"/>
      <c r="L9002" s="29" t="s">
        <v>2381</v>
      </c>
      <c r="M9002" s="29"/>
      <c r="N9002" s="29" t="s">
        <v>4229</v>
      </c>
      <c r="O9002" s="29"/>
      <c r="P9002" s="29" t="s">
        <v>13885</v>
      </c>
      <c r="Q9002" t="s">
        <v>2190</v>
      </c>
      <c r="R9002" t="s">
        <v>2635</v>
      </c>
      <c r="S9002">
        <v>38</v>
      </c>
      <c r="T9002" s="43" t="str">
        <f t="shared" si="389"/>
        <v>2021.002M.Phenuiviridae_sprenamed.zip</v>
      </c>
      <c r="U9002" s="43" t="str">
        <f>HYPERLINK("https://ictv.global/taxonomy/taxondetails?taxnode_id=202207581","ictv.global=202207581")</f>
        <v>ictv.global=202207581</v>
      </c>
    </row>
    <row r="9003" spans="1:21">
      <c r="A9003">
        <v>9002</v>
      </c>
      <c r="B9003" s="29" t="s">
        <v>3223</v>
      </c>
      <c r="C9003" s="29"/>
      <c r="D9003" s="29" t="s">
        <v>4156</v>
      </c>
      <c r="E9003" s="29"/>
      <c r="F9003" s="29" t="s">
        <v>2998</v>
      </c>
      <c r="G9003" s="29" t="s">
        <v>3020</v>
      </c>
      <c r="H9003" s="29" t="s">
        <v>3021</v>
      </c>
      <c r="I9003" s="29"/>
      <c r="J9003" s="29" t="s">
        <v>2374</v>
      </c>
      <c r="K9003" s="29"/>
      <c r="L9003" s="29" t="s">
        <v>2381</v>
      </c>
      <c r="M9003" s="29"/>
      <c r="N9003" s="29" t="s">
        <v>4229</v>
      </c>
      <c r="O9003" s="29"/>
      <c r="P9003" s="29" t="s">
        <v>13886</v>
      </c>
      <c r="Q9003" t="s">
        <v>2190</v>
      </c>
      <c r="R9003" t="s">
        <v>2635</v>
      </c>
      <c r="S9003">
        <v>38</v>
      </c>
      <c r="T9003" s="43" t="str">
        <f t="shared" si="389"/>
        <v>2021.002M.Phenuiviridae_sprenamed.zip</v>
      </c>
      <c r="U9003" s="43" t="str">
        <f>HYPERLINK("https://ictv.global/taxonomy/taxondetails?taxnode_id=202207569","ictv.global=202207569")</f>
        <v>ictv.global=202207569</v>
      </c>
    </row>
    <row r="9004" spans="1:21">
      <c r="A9004">
        <v>9003</v>
      </c>
      <c r="B9004" s="29" t="s">
        <v>3223</v>
      </c>
      <c r="C9004" s="29"/>
      <c r="D9004" s="29" t="s">
        <v>4156</v>
      </c>
      <c r="E9004" s="29"/>
      <c r="F9004" s="29" t="s">
        <v>2998</v>
      </c>
      <c r="G9004" s="29" t="s">
        <v>3020</v>
      </c>
      <c r="H9004" s="29" t="s">
        <v>3021</v>
      </c>
      <c r="I9004" s="29"/>
      <c r="J9004" s="29" t="s">
        <v>2374</v>
      </c>
      <c r="K9004" s="29"/>
      <c r="L9004" s="29" t="s">
        <v>2381</v>
      </c>
      <c r="M9004" s="29"/>
      <c r="N9004" s="29" t="s">
        <v>4229</v>
      </c>
      <c r="O9004" s="29"/>
      <c r="P9004" s="29" t="s">
        <v>13887</v>
      </c>
      <c r="Q9004" t="s">
        <v>2190</v>
      </c>
      <c r="R9004" t="s">
        <v>2635</v>
      </c>
      <c r="S9004">
        <v>38</v>
      </c>
      <c r="T9004" s="43" t="str">
        <f t="shared" si="389"/>
        <v>2021.002M.Phenuiviridae_sprenamed.zip</v>
      </c>
      <c r="U9004" s="43" t="str">
        <f>HYPERLINK("https://ictv.global/taxonomy/taxondetails?taxnode_id=202207575","ictv.global=202207575")</f>
        <v>ictv.global=202207575</v>
      </c>
    </row>
    <row r="9005" spans="1:21">
      <c r="A9005">
        <v>9004</v>
      </c>
      <c r="B9005" s="29" t="s">
        <v>3223</v>
      </c>
      <c r="C9005" s="29"/>
      <c r="D9005" s="29" t="s">
        <v>4156</v>
      </c>
      <c r="E9005" s="29"/>
      <c r="F9005" s="29" t="s">
        <v>2998</v>
      </c>
      <c r="G9005" s="29" t="s">
        <v>3020</v>
      </c>
      <c r="H9005" s="29" t="s">
        <v>3021</v>
      </c>
      <c r="I9005" s="29"/>
      <c r="J9005" s="29" t="s">
        <v>2374</v>
      </c>
      <c r="K9005" s="29"/>
      <c r="L9005" s="29" t="s">
        <v>2381</v>
      </c>
      <c r="M9005" s="29"/>
      <c r="N9005" s="29" t="s">
        <v>4229</v>
      </c>
      <c r="O9005" s="29"/>
      <c r="P9005" s="29" t="s">
        <v>13888</v>
      </c>
      <c r="Q9005" t="s">
        <v>2190</v>
      </c>
      <c r="R9005" t="s">
        <v>2635</v>
      </c>
      <c r="S9005">
        <v>38</v>
      </c>
      <c r="T9005" s="43" t="str">
        <f t="shared" si="389"/>
        <v>2021.002M.Phenuiviridae_sprenamed.zip</v>
      </c>
      <c r="U9005" s="43" t="str">
        <f>HYPERLINK("https://ictv.global/taxonomy/taxondetails?taxnode_id=202207570","ictv.global=202207570")</f>
        <v>ictv.global=202207570</v>
      </c>
    </row>
    <row r="9006" spans="1:21">
      <c r="A9006">
        <v>9005</v>
      </c>
      <c r="B9006" s="29" t="s">
        <v>3223</v>
      </c>
      <c r="C9006" s="29"/>
      <c r="D9006" s="29" t="s">
        <v>4156</v>
      </c>
      <c r="E9006" s="29"/>
      <c r="F9006" s="29" t="s">
        <v>2998</v>
      </c>
      <c r="G9006" s="29" t="s">
        <v>3020</v>
      </c>
      <c r="H9006" s="29" t="s">
        <v>3021</v>
      </c>
      <c r="I9006" s="29"/>
      <c r="J9006" s="29" t="s">
        <v>2374</v>
      </c>
      <c r="K9006" s="29"/>
      <c r="L9006" s="29" t="s">
        <v>2381</v>
      </c>
      <c r="M9006" s="29"/>
      <c r="N9006" s="29" t="s">
        <v>4229</v>
      </c>
      <c r="O9006" s="29"/>
      <c r="P9006" s="29" t="s">
        <v>13889</v>
      </c>
      <c r="Q9006" t="s">
        <v>2039</v>
      </c>
      <c r="R9006" t="s">
        <v>2635</v>
      </c>
      <c r="S9006">
        <v>38</v>
      </c>
      <c r="T9006" s="43" t="str">
        <f t="shared" si="389"/>
        <v>2021.002M.Phenuiviridae_sprenamed.zip</v>
      </c>
      <c r="U9006" s="43" t="str">
        <f>HYPERLINK("https://ictv.global/taxonomy/taxondetails?taxnode_id=202206613","ictv.global=202206613")</f>
        <v>ictv.global=202206613</v>
      </c>
    </row>
    <row r="9007" spans="1:21">
      <c r="A9007">
        <v>9006</v>
      </c>
      <c r="B9007" s="29" t="s">
        <v>3223</v>
      </c>
      <c r="C9007" s="29"/>
      <c r="D9007" s="29" t="s">
        <v>4156</v>
      </c>
      <c r="E9007" s="29"/>
      <c r="F9007" s="29" t="s">
        <v>2998</v>
      </c>
      <c r="G9007" s="29" t="s">
        <v>3020</v>
      </c>
      <c r="H9007" s="29" t="s">
        <v>3021</v>
      </c>
      <c r="I9007" s="29"/>
      <c r="J9007" s="29" t="s">
        <v>2374</v>
      </c>
      <c r="K9007" s="29"/>
      <c r="L9007" s="29" t="s">
        <v>2381</v>
      </c>
      <c r="M9007" s="29"/>
      <c r="N9007" s="29" t="s">
        <v>4229</v>
      </c>
      <c r="O9007" s="29"/>
      <c r="P9007" s="29" t="s">
        <v>13890</v>
      </c>
      <c r="Q9007" t="s">
        <v>2039</v>
      </c>
      <c r="R9007" t="s">
        <v>2635</v>
      </c>
      <c r="S9007">
        <v>38</v>
      </c>
      <c r="T9007" s="43" t="str">
        <f t="shared" si="389"/>
        <v>2021.002M.Phenuiviridae_sprenamed.zip</v>
      </c>
      <c r="U9007" s="43" t="str">
        <f>HYPERLINK("https://ictv.global/taxonomy/taxondetails?taxnode_id=202206614","ictv.global=202206614")</f>
        <v>ictv.global=202206614</v>
      </c>
    </row>
    <row r="9008" spans="1:21">
      <c r="A9008">
        <v>9007</v>
      </c>
      <c r="B9008" s="29" t="s">
        <v>3223</v>
      </c>
      <c r="C9008" s="29"/>
      <c r="D9008" s="29" t="s">
        <v>4156</v>
      </c>
      <c r="E9008" s="29"/>
      <c r="F9008" s="29" t="s">
        <v>2998</v>
      </c>
      <c r="G9008" s="29" t="s">
        <v>3020</v>
      </c>
      <c r="H9008" s="29" t="s">
        <v>3021</v>
      </c>
      <c r="I9008" s="29"/>
      <c r="J9008" s="29" t="s">
        <v>2374</v>
      </c>
      <c r="K9008" s="29"/>
      <c r="L9008" s="29" t="s">
        <v>2381</v>
      </c>
      <c r="M9008" s="29"/>
      <c r="N9008" s="29" t="s">
        <v>4229</v>
      </c>
      <c r="O9008" s="29"/>
      <c r="P9008" s="29" t="s">
        <v>13891</v>
      </c>
      <c r="Q9008" t="s">
        <v>2190</v>
      </c>
      <c r="R9008" t="s">
        <v>2635</v>
      </c>
      <c r="S9008">
        <v>38</v>
      </c>
      <c r="T9008" s="43" t="str">
        <f t="shared" si="389"/>
        <v>2021.002M.Phenuiviridae_sprenamed.zip</v>
      </c>
      <c r="U9008" s="43" t="str">
        <f>HYPERLINK("https://ictv.global/taxonomy/taxondetails?taxnode_id=202207579","ictv.global=202207579")</f>
        <v>ictv.global=202207579</v>
      </c>
    </row>
    <row r="9009" spans="1:21">
      <c r="A9009">
        <v>9008</v>
      </c>
      <c r="B9009" s="29" t="s">
        <v>3223</v>
      </c>
      <c r="C9009" s="29"/>
      <c r="D9009" s="29" t="s">
        <v>4156</v>
      </c>
      <c r="E9009" s="29"/>
      <c r="F9009" s="29" t="s">
        <v>2998</v>
      </c>
      <c r="G9009" s="29" t="s">
        <v>3020</v>
      </c>
      <c r="H9009" s="29" t="s">
        <v>3021</v>
      </c>
      <c r="I9009" s="29"/>
      <c r="J9009" s="29" t="s">
        <v>2374</v>
      </c>
      <c r="K9009" s="29"/>
      <c r="L9009" s="29" t="s">
        <v>2381</v>
      </c>
      <c r="M9009" s="29"/>
      <c r="N9009" s="29" t="s">
        <v>4229</v>
      </c>
      <c r="O9009" s="29"/>
      <c r="P9009" s="29" t="s">
        <v>13892</v>
      </c>
      <c r="Q9009" t="s">
        <v>2190</v>
      </c>
      <c r="R9009" t="s">
        <v>2635</v>
      </c>
      <c r="S9009">
        <v>38</v>
      </c>
      <c r="T9009" s="43" t="str">
        <f t="shared" si="389"/>
        <v>2021.002M.Phenuiviridae_sprenamed.zip</v>
      </c>
      <c r="U9009" s="43" t="str">
        <f>HYPERLINK("https://ictv.global/taxonomy/taxondetails?taxnode_id=202207572","ictv.global=202207572")</f>
        <v>ictv.global=202207572</v>
      </c>
    </row>
    <row r="9010" spans="1:21">
      <c r="A9010">
        <v>9009</v>
      </c>
      <c r="B9010" s="29" t="s">
        <v>3223</v>
      </c>
      <c r="C9010" s="29"/>
      <c r="D9010" s="29" t="s">
        <v>4156</v>
      </c>
      <c r="E9010" s="29"/>
      <c r="F9010" s="29" t="s">
        <v>2998</v>
      </c>
      <c r="G9010" s="29" t="s">
        <v>3020</v>
      </c>
      <c r="H9010" s="29" t="s">
        <v>3021</v>
      </c>
      <c r="I9010" s="29"/>
      <c r="J9010" s="29" t="s">
        <v>2374</v>
      </c>
      <c r="K9010" s="29"/>
      <c r="L9010" s="29" t="s">
        <v>2381</v>
      </c>
      <c r="M9010" s="29"/>
      <c r="N9010" s="29" t="s">
        <v>4229</v>
      </c>
      <c r="O9010" s="29"/>
      <c r="P9010" s="29" t="s">
        <v>13893</v>
      </c>
      <c r="Q9010" t="s">
        <v>2190</v>
      </c>
      <c r="R9010" t="s">
        <v>2635</v>
      </c>
      <c r="S9010">
        <v>38</v>
      </c>
      <c r="T9010" s="43" t="str">
        <f t="shared" si="389"/>
        <v>2021.002M.Phenuiviridae_sprenamed.zip</v>
      </c>
      <c r="U9010" s="43" t="str">
        <f>HYPERLINK("https://ictv.global/taxonomy/taxondetails?taxnode_id=202207577","ictv.global=202207577")</f>
        <v>ictv.global=202207577</v>
      </c>
    </row>
    <row r="9011" spans="1:21">
      <c r="A9011">
        <v>9010</v>
      </c>
      <c r="B9011" s="29" t="s">
        <v>3223</v>
      </c>
      <c r="C9011" s="29"/>
      <c r="D9011" s="29" t="s">
        <v>4156</v>
      </c>
      <c r="E9011" s="29"/>
      <c r="F9011" s="29" t="s">
        <v>2998</v>
      </c>
      <c r="G9011" s="29" t="s">
        <v>3020</v>
      </c>
      <c r="H9011" s="29" t="s">
        <v>3021</v>
      </c>
      <c r="I9011" s="29"/>
      <c r="J9011" s="29" t="s">
        <v>2374</v>
      </c>
      <c r="K9011" s="29"/>
      <c r="L9011" s="29" t="s">
        <v>2381</v>
      </c>
      <c r="M9011" s="29"/>
      <c r="N9011" s="29" t="s">
        <v>4229</v>
      </c>
      <c r="O9011" s="29"/>
      <c r="P9011" s="29" t="s">
        <v>13894</v>
      </c>
      <c r="Q9011" t="s">
        <v>2190</v>
      </c>
      <c r="R9011" t="s">
        <v>2635</v>
      </c>
      <c r="S9011">
        <v>38</v>
      </c>
      <c r="T9011" s="43" t="str">
        <f t="shared" si="389"/>
        <v>2021.002M.Phenuiviridae_sprenamed.zip</v>
      </c>
      <c r="U9011" s="43" t="str">
        <f>HYPERLINK("https://ictv.global/taxonomy/taxondetails?taxnode_id=202207578","ictv.global=202207578")</f>
        <v>ictv.global=202207578</v>
      </c>
    </row>
    <row r="9012" spans="1:21">
      <c r="A9012">
        <v>9011</v>
      </c>
      <c r="B9012" s="29" t="s">
        <v>3223</v>
      </c>
      <c r="C9012" s="29"/>
      <c r="D9012" s="29" t="s">
        <v>4156</v>
      </c>
      <c r="E9012" s="29"/>
      <c r="F9012" s="29" t="s">
        <v>2998</v>
      </c>
      <c r="G9012" s="29" t="s">
        <v>3020</v>
      </c>
      <c r="H9012" s="29" t="s">
        <v>3021</v>
      </c>
      <c r="I9012" s="29"/>
      <c r="J9012" s="29" t="s">
        <v>2374</v>
      </c>
      <c r="K9012" s="29"/>
      <c r="L9012" s="29" t="s">
        <v>2381</v>
      </c>
      <c r="M9012" s="29"/>
      <c r="N9012" s="29" t="s">
        <v>4229</v>
      </c>
      <c r="O9012" s="29"/>
      <c r="P9012" s="29" t="s">
        <v>13895</v>
      </c>
      <c r="Q9012" t="s">
        <v>2190</v>
      </c>
      <c r="R9012" t="s">
        <v>2635</v>
      </c>
      <c r="S9012">
        <v>38</v>
      </c>
      <c r="T9012" s="43" t="str">
        <f t="shared" si="389"/>
        <v>2021.002M.Phenuiviridae_sprenamed.zip</v>
      </c>
      <c r="U9012" s="43" t="str">
        <f>HYPERLINK("https://ictv.global/taxonomy/taxondetails?taxnode_id=202207573","ictv.global=202207573")</f>
        <v>ictv.global=202207573</v>
      </c>
    </row>
    <row r="9013" spans="1:21">
      <c r="A9013">
        <v>9012</v>
      </c>
      <c r="B9013" s="29" t="s">
        <v>3223</v>
      </c>
      <c r="C9013" s="29"/>
      <c r="D9013" s="29" t="s">
        <v>4156</v>
      </c>
      <c r="E9013" s="29"/>
      <c r="F9013" s="29" t="s">
        <v>2998</v>
      </c>
      <c r="G9013" s="29" t="s">
        <v>3020</v>
      </c>
      <c r="H9013" s="29" t="s">
        <v>3021</v>
      </c>
      <c r="I9013" s="29"/>
      <c r="J9013" s="29" t="s">
        <v>2374</v>
      </c>
      <c r="K9013" s="29"/>
      <c r="L9013" s="29" t="s">
        <v>2381</v>
      </c>
      <c r="M9013" s="29"/>
      <c r="N9013" s="29" t="s">
        <v>4229</v>
      </c>
      <c r="O9013" s="29"/>
      <c r="P9013" s="29" t="s">
        <v>13896</v>
      </c>
      <c r="Q9013" t="s">
        <v>2190</v>
      </c>
      <c r="R9013" t="s">
        <v>2635</v>
      </c>
      <c r="S9013">
        <v>38</v>
      </c>
      <c r="T9013" s="43" t="str">
        <f t="shared" si="389"/>
        <v>2021.002M.Phenuiviridae_sprenamed.zip</v>
      </c>
      <c r="U9013" s="43" t="str">
        <f>HYPERLINK("https://ictv.global/taxonomy/taxondetails?taxnode_id=202207580","ictv.global=202207580")</f>
        <v>ictv.global=202207580</v>
      </c>
    </row>
    <row r="9014" spans="1:21">
      <c r="A9014">
        <v>9013</v>
      </c>
      <c r="B9014" s="29" t="s">
        <v>3223</v>
      </c>
      <c r="C9014" s="29"/>
      <c r="D9014" s="29" t="s">
        <v>4156</v>
      </c>
      <c r="E9014" s="29"/>
      <c r="F9014" s="29" t="s">
        <v>2998</v>
      </c>
      <c r="G9014" s="29" t="s">
        <v>3020</v>
      </c>
      <c r="H9014" s="29" t="s">
        <v>3021</v>
      </c>
      <c r="I9014" s="29"/>
      <c r="J9014" s="29" t="s">
        <v>2374</v>
      </c>
      <c r="K9014" s="29"/>
      <c r="L9014" s="29" t="s">
        <v>2381</v>
      </c>
      <c r="M9014" s="29"/>
      <c r="N9014" s="29" t="s">
        <v>4229</v>
      </c>
      <c r="O9014" s="29"/>
      <c r="P9014" s="29" t="s">
        <v>13897</v>
      </c>
      <c r="Q9014" t="s">
        <v>2190</v>
      </c>
      <c r="R9014" t="s">
        <v>2635</v>
      </c>
      <c r="S9014">
        <v>38</v>
      </c>
      <c r="T9014" s="43" t="str">
        <f t="shared" si="389"/>
        <v>2021.002M.Phenuiviridae_sprenamed.zip</v>
      </c>
      <c r="U9014" s="43" t="str">
        <f>HYPERLINK("https://ictv.global/taxonomy/taxondetails?taxnode_id=202207571","ictv.global=202207571")</f>
        <v>ictv.global=202207571</v>
      </c>
    </row>
    <row r="9015" spans="1:21">
      <c r="A9015">
        <v>9014</v>
      </c>
      <c r="B9015" s="29" t="s">
        <v>3223</v>
      </c>
      <c r="C9015" s="29"/>
      <c r="D9015" s="29" t="s">
        <v>4156</v>
      </c>
      <c r="E9015" s="29"/>
      <c r="F9015" s="29" t="s">
        <v>2998</v>
      </c>
      <c r="G9015" s="29" t="s">
        <v>3020</v>
      </c>
      <c r="H9015" s="29" t="s">
        <v>3021</v>
      </c>
      <c r="I9015" s="29"/>
      <c r="J9015" s="29" t="s">
        <v>2374</v>
      </c>
      <c r="K9015" s="29"/>
      <c r="L9015" s="29" t="s">
        <v>2381</v>
      </c>
      <c r="M9015" s="29"/>
      <c r="N9015" s="29" t="s">
        <v>4229</v>
      </c>
      <c r="O9015" s="29"/>
      <c r="P9015" s="29" t="s">
        <v>13898</v>
      </c>
      <c r="Q9015" t="s">
        <v>2039</v>
      </c>
      <c r="R9015" t="s">
        <v>2632</v>
      </c>
      <c r="S9015">
        <v>38</v>
      </c>
      <c r="T9015" s="43" t="str">
        <f>HYPERLINK("https://ictv.global/ictv/proposals/2022.020M.Phenuiviridae_2ngen_10nsp_1rensp.zip","2022.020M.Phenuiviridae_2ngen_10nsp_1rensp.zip")</f>
        <v>2022.020M.Phenuiviridae_2ngen_10nsp_1rensp.zip</v>
      </c>
      <c r="U9015" s="43" t="str">
        <f>HYPERLINK("https://ictv.global/taxonomy/taxondetails?taxnode_id=202214257","ictv.global=202214257")</f>
        <v>ictv.global=202214257</v>
      </c>
    </row>
    <row r="9016" spans="1:21">
      <c r="A9016">
        <v>9015</v>
      </c>
      <c r="B9016" s="29" t="s">
        <v>3223</v>
      </c>
      <c r="C9016" s="29"/>
      <c r="D9016" s="29" t="s">
        <v>4156</v>
      </c>
      <c r="E9016" s="29"/>
      <c r="F9016" s="29" t="s">
        <v>2998</v>
      </c>
      <c r="G9016" s="29" t="s">
        <v>3020</v>
      </c>
      <c r="H9016" s="29" t="s">
        <v>3021</v>
      </c>
      <c r="I9016" s="29"/>
      <c r="J9016" s="29" t="s">
        <v>2374</v>
      </c>
      <c r="K9016" s="29"/>
      <c r="L9016" s="29" t="s">
        <v>2381</v>
      </c>
      <c r="M9016" s="29"/>
      <c r="N9016" s="29" t="s">
        <v>4229</v>
      </c>
      <c r="O9016" s="29"/>
      <c r="P9016" s="29" t="s">
        <v>13899</v>
      </c>
      <c r="Q9016" t="s">
        <v>2190</v>
      </c>
      <c r="R9016" t="s">
        <v>2635</v>
      </c>
      <c r="S9016">
        <v>38</v>
      </c>
      <c r="T9016" s="43" t="str">
        <f>HYPERLINK("https://ictv.global/ictv/proposals/2021.002M.Phenuiviridae_sprenamed.zip","2021.002M.Phenuiviridae_sprenamed.zip")</f>
        <v>2021.002M.Phenuiviridae_sprenamed.zip</v>
      </c>
      <c r="U9016" s="43" t="str">
        <f>HYPERLINK("https://ictv.global/taxonomy/taxondetails?taxnode_id=202207574","ictv.global=202207574")</f>
        <v>ictv.global=202207574</v>
      </c>
    </row>
    <row r="9017" spans="1:21">
      <c r="A9017">
        <v>9016</v>
      </c>
      <c r="B9017" s="29" t="s">
        <v>3223</v>
      </c>
      <c r="C9017" s="29"/>
      <c r="D9017" s="29" t="s">
        <v>4156</v>
      </c>
      <c r="E9017" s="29"/>
      <c r="F9017" s="29" t="s">
        <v>2998</v>
      </c>
      <c r="G9017" s="29" t="s">
        <v>3020</v>
      </c>
      <c r="H9017" s="29" t="s">
        <v>3021</v>
      </c>
      <c r="I9017" s="29"/>
      <c r="J9017" s="29" t="s">
        <v>2374</v>
      </c>
      <c r="K9017" s="29"/>
      <c r="L9017" s="29" t="s">
        <v>2381</v>
      </c>
      <c r="M9017" s="29"/>
      <c r="N9017" s="29" t="s">
        <v>4229</v>
      </c>
      <c r="O9017" s="29"/>
      <c r="P9017" s="29" t="s">
        <v>13900</v>
      </c>
      <c r="Q9017" t="s">
        <v>2190</v>
      </c>
      <c r="R9017" t="s">
        <v>2635</v>
      </c>
      <c r="S9017">
        <v>38</v>
      </c>
      <c r="T9017" s="43" t="str">
        <f>HYPERLINK("https://ictv.global/ictv/proposals/2021.002M.Phenuiviridae_sprenamed.zip","2021.002M.Phenuiviridae_sprenamed.zip")</f>
        <v>2021.002M.Phenuiviridae_sprenamed.zip</v>
      </c>
      <c r="U9017" s="43" t="str">
        <f>HYPERLINK("https://ictv.global/taxonomy/taxondetails?taxnode_id=202207576","ictv.global=202207576")</f>
        <v>ictv.global=202207576</v>
      </c>
    </row>
    <row r="9018" spans="1:21">
      <c r="A9018">
        <v>9017</v>
      </c>
      <c r="B9018" s="29" t="s">
        <v>3223</v>
      </c>
      <c r="C9018" s="29"/>
      <c r="D9018" s="29" t="s">
        <v>4156</v>
      </c>
      <c r="E9018" s="29"/>
      <c r="F9018" s="29" t="s">
        <v>2998</v>
      </c>
      <c r="G9018" s="29" t="s">
        <v>3020</v>
      </c>
      <c r="H9018" s="29" t="s">
        <v>3021</v>
      </c>
      <c r="I9018" s="29"/>
      <c r="J9018" s="29" t="s">
        <v>2374</v>
      </c>
      <c r="K9018" s="29"/>
      <c r="L9018" s="29" t="s">
        <v>2381</v>
      </c>
      <c r="M9018" s="29"/>
      <c r="N9018" s="29" t="s">
        <v>4229</v>
      </c>
      <c r="O9018" s="29"/>
      <c r="P9018" s="29" t="s">
        <v>13901</v>
      </c>
      <c r="Q9018" t="s">
        <v>2039</v>
      </c>
      <c r="R9018" t="s">
        <v>2635</v>
      </c>
      <c r="S9018">
        <v>38</v>
      </c>
      <c r="T9018" s="43" t="str">
        <f>HYPERLINK("https://ictv.global/ictv/proposals/2021.002M.Phenuiviridae_sprenamed.zip","2021.002M.Phenuiviridae_sprenamed.zip")</f>
        <v>2021.002M.Phenuiviridae_sprenamed.zip</v>
      </c>
      <c r="U9018" s="43" t="str">
        <f>HYPERLINK("https://ictv.global/taxonomy/taxondetails?taxnode_id=202200167","ictv.global=202200167")</f>
        <v>ictv.global=202200167</v>
      </c>
    </row>
    <row r="9019" spans="1:21">
      <c r="A9019">
        <v>9018</v>
      </c>
      <c r="B9019" s="29" t="s">
        <v>3223</v>
      </c>
      <c r="C9019" s="29"/>
      <c r="D9019" s="29" t="s">
        <v>4156</v>
      </c>
      <c r="E9019" s="29"/>
      <c r="F9019" s="29" t="s">
        <v>2998</v>
      </c>
      <c r="G9019" s="29" t="s">
        <v>3020</v>
      </c>
      <c r="H9019" s="29" t="s">
        <v>3021</v>
      </c>
      <c r="I9019" s="29"/>
      <c r="J9019" s="29" t="s">
        <v>2374</v>
      </c>
      <c r="K9019" s="29"/>
      <c r="L9019" s="29" t="s">
        <v>2381</v>
      </c>
      <c r="M9019" s="29"/>
      <c r="N9019" s="29" t="s">
        <v>4229</v>
      </c>
      <c r="O9019" s="29"/>
      <c r="P9019" s="29" t="s">
        <v>13902</v>
      </c>
      <c r="Q9019" t="s">
        <v>2190</v>
      </c>
      <c r="R9019" t="s">
        <v>2635</v>
      </c>
      <c r="S9019">
        <v>38</v>
      </c>
      <c r="T9019" s="43" t="str">
        <f>HYPERLINK("https://ictv.global/ictv/proposals/2021.002M.Phenuiviridae_sprenamed.zip","2021.002M.Phenuiviridae_sprenamed.zip")</f>
        <v>2021.002M.Phenuiviridae_sprenamed.zip</v>
      </c>
      <c r="U9019" s="43" t="str">
        <f>HYPERLINK("https://ictv.global/taxonomy/taxondetails?taxnode_id=202207582","ictv.global=202207582")</f>
        <v>ictv.global=202207582</v>
      </c>
    </row>
    <row r="9020" spans="1:21">
      <c r="A9020">
        <v>9019</v>
      </c>
      <c r="B9020" s="29" t="s">
        <v>3223</v>
      </c>
      <c r="C9020" s="29"/>
      <c r="D9020" s="29" t="s">
        <v>4156</v>
      </c>
      <c r="E9020" s="29"/>
      <c r="F9020" s="29" t="s">
        <v>2998</v>
      </c>
      <c r="G9020" s="29" t="s">
        <v>3020</v>
      </c>
      <c r="H9020" s="29" t="s">
        <v>3021</v>
      </c>
      <c r="I9020" s="29"/>
      <c r="J9020" s="29" t="s">
        <v>2374</v>
      </c>
      <c r="K9020" s="29"/>
      <c r="L9020" s="29" t="s">
        <v>2381</v>
      </c>
      <c r="M9020" s="29"/>
      <c r="N9020" s="29" t="s">
        <v>3255</v>
      </c>
      <c r="O9020" s="29"/>
      <c r="P9020" s="29" t="s">
        <v>13903</v>
      </c>
      <c r="Q9020" t="s">
        <v>2039</v>
      </c>
      <c r="R9020" t="s">
        <v>2635</v>
      </c>
      <c r="S9020">
        <v>38</v>
      </c>
      <c r="T9020" s="43" t="str">
        <f>HYPERLINK("https://ictv.global/ictv/proposals/2021.002M.Phenuiviridae_sprenamed.zip","2021.002M.Phenuiviridae_sprenamed.zip")</f>
        <v>2021.002M.Phenuiviridae_sprenamed.zip</v>
      </c>
      <c r="U9020" s="43" t="str">
        <f>HYPERLINK("https://ictv.global/taxonomy/taxondetails?taxnode_id=202206611","ictv.global=202206611")</f>
        <v>ictv.global=202206611</v>
      </c>
    </row>
    <row r="9021" spans="1:21">
      <c r="A9021">
        <v>9020</v>
      </c>
      <c r="B9021" s="29" t="s">
        <v>3223</v>
      </c>
      <c r="C9021" s="29"/>
      <c r="D9021" s="29" t="s">
        <v>4156</v>
      </c>
      <c r="E9021" s="29"/>
      <c r="F9021" s="29" t="s">
        <v>2998</v>
      </c>
      <c r="G9021" s="29" t="s">
        <v>3020</v>
      </c>
      <c r="H9021" s="29" t="s">
        <v>3021</v>
      </c>
      <c r="I9021" s="29"/>
      <c r="J9021" s="29" t="s">
        <v>2374</v>
      </c>
      <c r="K9021" s="29"/>
      <c r="L9021" s="29" t="s">
        <v>3256</v>
      </c>
      <c r="M9021" s="29"/>
      <c r="N9021" s="29" t="s">
        <v>3257</v>
      </c>
      <c r="O9021" s="29"/>
      <c r="P9021" s="29" t="s">
        <v>13904</v>
      </c>
      <c r="Q9021" t="s">
        <v>2190</v>
      </c>
      <c r="R9021" t="s">
        <v>2635</v>
      </c>
      <c r="S9021">
        <v>38</v>
      </c>
      <c r="T9021" s="43" t="str">
        <f t="shared" ref="T9021:T9046" si="390">HYPERLINK("https://ictv.global/ictv/proposals/2022.011P.Tospoviridae_rename.zip","2022.011P.Tospoviridae_rename.zip")</f>
        <v>2022.011P.Tospoviridae_rename.zip</v>
      </c>
      <c r="U9021" s="43" t="str">
        <f>HYPERLINK("https://ictv.global/taxonomy/taxondetails?taxnode_id=202207246","ictv.global=202207246")</f>
        <v>ictv.global=202207246</v>
      </c>
    </row>
    <row r="9022" spans="1:21">
      <c r="A9022">
        <v>9021</v>
      </c>
      <c r="B9022" s="29" t="s">
        <v>3223</v>
      </c>
      <c r="C9022" s="29"/>
      <c r="D9022" s="29" t="s">
        <v>4156</v>
      </c>
      <c r="E9022" s="29"/>
      <c r="F9022" s="29" t="s">
        <v>2998</v>
      </c>
      <c r="G9022" s="29" t="s">
        <v>3020</v>
      </c>
      <c r="H9022" s="29" t="s">
        <v>3021</v>
      </c>
      <c r="I9022" s="29"/>
      <c r="J9022" s="29" t="s">
        <v>2374</v>
      </c>
      <c r="K9022" s="29"/>
      <c r="L9022" s="29" t="s">
        <v>3256</v>
      </c>
      <c r="M9022" s="29"/>
      <c r="N9022" s="29" t="s">
        <v>3257</v>
      </c>
      <c r="O9022" s="29"/>
      <c r="P9022" s="29" t="s">
        <v>13905</v>
      </c>
      <c r="Q9022" t="s">
        <v>2190</v>
      </c>
      <c r="R9022" t="s">
        <v>2635</v>
      </c>
      <c r="S9022">
        <v>38</v>
      </c>
      <c r="T9022" s="43" t="str">
        <f t="shared" si="390"/>
        <v>2022.011P.Tospoviridae_rename.zip</v>
      </c>
      <c r="U9022" s="43" t="str">
        <f>HYPERLINK("https://ictv.global/taxonomy/taxondetails?taxnode_id=202207245","ictv.global=202207245")</f>
        <v>ictv.global=202207245</v>
      </c>
    </row>
    <row r="9023" spans="1:21">
      <c r="A9023">
        <v>9022</v>
      </c>
      <c r="B9023" s="29" t="s">
        <v>3223</v>
      </c>
      <c r="C9023" s="29"/>
      <c r="D9023" s="29" t="s">
        <v>4156</v>
      </c>
      <c r="E9023" s="29"/>
      <c r="F9023" s="29" t="s">
        <v>2998</v>
      </c>
      <c r="G9023" s="29" t="s">
        <v>3020</v>
      </c>
      <c r="H9023" s="29" t="s">
        <v>3021</v>
      </c>
      <c r="I9023" s="29"/>
      <c r="J9023" s="29" t="s">
        <v>2374</v>
      </c>
      <c r="K9023" s="29"/>
      <c r="L9023" s="29" t="s">
        <v>3256</v>
      </c>
      <c r="M9023" s="29"/>
      <c r="N9023" s="29" t="s">
        <v>3257</v>
      </c>
      <c r="O9023" s="29"/>
      <c r="P9023" s="29" t="s">
        <v>13906</v>
      </c>
      <c r="Q9023" t="s">
        <v>2190</v>
      </c>
      <c r="R9023" t="s">
        <v>2635</v>
      </c>
      <c r="S9023">
        <v>38</v>
      </c>
      <c r="T9023" s="43" t="str">
        <f t="shared" si="390"/>
        <v>2022.011P.Tospoviridae_rename.zip</v>
      </c>
      <c r="U9023" s="43" t="str">
        <f>HYPERLINK("https://ictv.global/taxonomy/taxondetails?taxnode_id=202200180","ictv.global=202200180")</f>
        <v>ictv.global=202200180</v>
      </c>
    </row>
    <row r="9024" spans="1:21">
      <c r="A9024">
        <v>9023</v>
      </c>
      <c r="B9024" s="29" t="s">
        <v>3223</v>
      </c>
      <c r="C9024" s="29"/>
      <c r="D9024" s="29" t="s">
        <v>4156</v>
      </c>
      <c r="E9024" s="29"/>
      <c r="F9024" s="29" t="s">
        <v>2998</v>
      </c>
      <c r="G9024" s="29" t="s">
        <v>3020</v>
      </c>
      <c r="H9024" s="29" t="s">
        <v>3021</v>
      </c>
      <c r="I9024" s="29"/>
      <c r="J9024" s="29" t="s">
        <v>2374</v>
      </c>
      <c r="K9024" s="29"/>
      <c r="L9024" s="29" t="s">
        <v>3256</v>
      </c>
      <c r="M9024" s="29"/>
      <c r="N9024" s="29" t="s">
        <v>3257</v>
      </c>
      <c r="O9024" s="29"/>
      <c r="P9024" s="29" t="s">
        <v>13907</v>
      </c>
      <c r="Q9024" t="s">
        <v>2190</v>
      </c>
      <c r="R9024" t="s">
        <v>2635</v>
      </c>
      <c r="S9024">
        <v>38</v>
      </c>
      <c r="T9024" s="43" t="str">
        <f t="shared" si="390"/>
        <v>2022.011P.Tospoviridae_rename.zip</v>
      </c>
      <c r="U9024" s="43" t="str">
        <f>HYPERLINK("https://ictv.global/taxonomy/taxondetails?taxnode_id=202200181","ictv.global=202200181")</f>
        <v>ictv.global=202200181</v>
      </c>
    </row>
    <row r="9025" spans="1:21">
      <c r="A9025">
        <v>9024</v>
      </c>
      <c r="B9025" s="29" t="s">
        <v>3223</v>
      </c>
      <c r="C9025" s="29"/>
      <c r="D9025" s="29" t="s">
        <v>4156</v>
      </c>
      <c r="E9025" s="29"/>
      <c r="F9025" s="29" t="s">
        <v>2998</v>
      </c>
      <c r="G9025" s="29" t="s">
        <v>3020</v>
      </c>
      <c r="H9025" s="29" t="s">
        <v>3021</v>
      </c>
      <c r="I9025" s="29"/>
      <c r="J9025" s="29" t="s">
        <v>2374</v>
      </c>
      <c r="K9025" s="29"/>
      <c r="L9025" s="29" t="s">
        <v>3256</v>
      </c>
      <c r="M9025" s="29"/>
      <c r="N9025" s="29" t="s">
        <v>3257</v>
      </c>
      <c r="O9025" s="29"/>
      <c r="P9025" s="29" t="s">
        <v>13908</v>
      </c>
      <c r="Q9025" t="s">
        <v>2190</v>
      </c>
      <c r="R9025" t="s">
        <v>2635</v>
      </c>
      <c r="S9025">
        <v>38</v>
      </c>
      <c r="T9025" s="43" t="str">
        <f t="shared" si="390"/>
        <v>2022.011P.Tospoviridae_rename.zip</v>
      </c>
      <c r="U9025" s="43" t="str">
        <f>HYPERLINK("https://ictv.global/taxonomy/taxondetails?taxnode_id=202207247","ictv.global=202207247")</f>
        <v>ictv.global=202207247</v>
      </c>
    </row>
    <row r="9026" spans="1:21">
      <c r="A9026">
        <v>9025</v>
      </c>
      <c r="B9026" s="29" t="s">
        <v>3223</v>
      </c>
      <c r="C9026" s="29"/>
      <c r="D9026" s="29" t="s">
        <v>4156</v>
      </c>
      <c r="E9026" s="29"/>
      <c r="F9026" s="29" t="s">
        <v>2998</v>
      </c>
      <c r="G9026" s="29" t="s">
        <v>3020</v>
      </c>
      <c r="H9026" s="29" t="s">
        <v>3021</v>
      </c>
      <c r="I9026" s="29"/>
      <c r="J9026" s="29" t="s">
        <v>2374</v>
      </c>
      <c r="K9026" s="29"/>
      <c r="L9026" s="29" t="s">
        <v>3256</v>
      </c>
      <c r="M9026" s="29"/>
      <c r="N9026" s="29" t="s">
        <v>3257</v>
      </c>
      <c r="O9026" s="29"/>
      <c r="P9026" s="29" t="s">
        <v>13909</v>
      </c>
      <c r="Q9026" t="s">
        <v>2190</v>
      </c>
      <c r="R9026" t="s">
        <v>2635</v>
      </c>
      <c r="S9026">
        <v>38</v>
      </c>
      <c r="T9026" s="43" t="str">
        <f t="shared" si="390"/>
        <v>2022.011P.Tospoviridae_rename.zip</v>
      </c>
      <c r="U9026" s="43" t="str">
        <f>HYPERLINK("https://ictv.global/taxonomy/taxondetails?taxnode_id=202200179","ictv.global=202200179")</f>
        <v>ictv.global=202200179</v>
      </c>
    </row>
    <row r="9027" spans="1:21">
      <c r="A9027">
        <v>9026</v>
      </c>
      <c r="B9027" s="29" t="s">
        <v>3223</v>
      </c>
      <c r="C9027" s="29"/>
      <c r="D9027" s="29" t="s">
        <v>4156</v>
      </c>
      <c r="E9027" s="29"/>
      <c r="F9027" s="29" t="s">
        <v>2998</v>
      </c>
      <c r="G9027" s="29" t="s">
        <v>3020</v>
      </c>
      <c r="H9027" s="29" t="s">
        <v>3021</v>
      </c>
      <c r="I9027" s="29"/>
      <c r="J9027" s="29" t="s">
        <v>2374</v>
      </c>
      <c r="K9027" s="29"/>
      <c r="L9027" s="29" t="s">
        <v>3256</v>
      </c>
      <c r="M9027" s="29"/>
      <c r="N9027" s="29" t="s">
        <v>3257</v>
      </c>
      <c r="O9027" s="29"/>
      <c r="P9027" s="29" t="s">
        <v>13910</v>
      </c>
      <c r="Q9027" t="s">
        <v>2190</v>
      </c>
      <c r="R9027" t="s">
        <v>2635</v>
      </c>
      <c r="S9027">
        <v>38</v>
      </c>
      <c r="T9027" s="43" t="str">
        <f t="shared" si="390"/>
        <v>2022.011P.Tospoviridae_rename.zip</v>
      </c>
      <c r="U9027" s="43" t="str">
        <f>HYPERLINK("https://ictv.global/taxonomy/taxondetails?taxnode_id=202206662","ictv.global=202206662")</f>
        <v>ictv.global=202206662</v>
      </c>
    </row>
    <row r="9028" spans="1:21">
      <c r="A9028">
        <v>9027</v>
      </c>
      <c r="B9028" s="29" t="s">
        <v>3223</v>
      </c>
      <c r="C9028" s="29"/>
      <c r="D9028" s="29" t="s">
        <v>4156</v>
      </c>
      <c r="E9028" s="29"/>
      <c r="F9028" s="29" t="s">
        <v>2998</v>
      </c>
      <c r="G9028" s="29" t="s">
        <v>3020</v>
      </c>
      <c r="H9028" s="29" t="s">
        <v>3021</v>
      </c>
      <c r="I9028" s="29"/>
      <c r="J9028" s="29" t="s">
        <v>2374</v>
      </c>
      <c r="K9028" s="29"/>
      <c r="L9028" s="29" t="s">
        <v>3256</v>
      </c>
      <c r="M9028" s="29"/>
      <c r="N9028" s="29" t="s">
        <v>3257</v>
      </c>
      <c r="O9028" s="29"/>
      <c r="P9028" s="29" t="s">
        <v>13911</v>
      </c>
      <c r="Q9028" t="s">
        <v>2190</v>
      </c>
      <c r="R9028" t="s">
        <v>2635</v>
      </c>
      <c r="S9028">
        <v>38</v>
      </c>
      <c r="T9028" s="43" t="str">
        <f t="shared" si="390"/>
        <v>2022.011P.Tospoviridae_rename.zip</v>
      </c>
      <c r="U9028" s="43" t="str">
        <f>HYPERLINK("https://ictv.global/taxonomy/taxondetails?taxnode_id=202206663","ictv.global=202206663")</f>
        <v>ictv.global=202206663</v>
      </c>
    </row>
    <row r="9029" spans="1:21">
      <c r="A9029">
        <v>9028</v>
      </c>
      <c r="B9029" s="29" t="s">
        <v>3223</v>
      </c>
      <c r="C9029" s="29"/>
      <c r="D9029" s="29" t="s">
        <v>4156</v>
      </c>
      <c r="E9029" s="29"/>
      <c r="F9029" s="29" t="s">
        <v>2998</v>
      </c>
      <c r="G9029" s="29" t="s">
        <v>3020</v>
      </c>
      <c r="H9029" s="29" t="s">
        <v>3021</v>
      </c>
      <c r="I9029" s="29"/>
      <c r="J9029" s="29" t="s">
        <v>2374</v>
      </c>
      <c r="K9029" s="29"/>
      <c r="L9029" s="29" t="s">
        <v>3256</v>
      </c>
      <c r="M9029" s="29"/>
      <c r="N9029" s="29" t="s">
        <v>3257</v>
      </c>
      <c r="O9029" s="29"/>
      <c r="P9029" s="29" t="s">
        <v>13912</v>
      </c>
      <c r="Q9029" t="s">
        <v>2190</v>
      </c>
      <c r="R9029" t="s">
        <v>2635</v>
      </c>
      <c r="S9029">
        <v>38</v>
      </c>
      <c r="T9029" s="43" t="str">
        <f t="shared" si="390"/>
        <v>2022.011P.Tospoviridae_rename.zip</v>
      </c>
      <c r="U9029" s="43" t="str">
        <f>HYPERLINK("https://ictv.global/taxonomy/taxondetails?taxnode_id=202207250","ictv.global=202207250")</f>
        <v>ictv.global=202207250</v>
      </c>
    </row>
    <row r="9030" spans="1:21">
      <c r="A9030">
        <v>9029</v>
      </c>
      <c r="B9030" s="29" t="s">
        <v>3223</v>
      </c>
      <c r="C9030" s="29"/>
      <c r="D9030" s="29" t="s">
        <v>4156</v>
      </c>
      <c r="E9030" s="29"/>
      <c r="F9030" s="29" t="s">
        <v>2998</v>
      </c>
      <c r="G9030" s="29" t="s">
        <v>3020</v>
      </c>
      <c r="H9030" s="29" t="s">
        <v>3021</v>
      </c>
      <c r="I9030" s="29"/>
      <c r="J9030" s="29" t="s">
        <v>2374</v>
      </c>
      <c r="K9030" s="29"/>
      <c r="L9030" s="29" t="s">
        <v>3256</v>
      </c>
      <c r="M9030" s="29"/>
      <c r="N9030" s="29" t="s">
        <v>3257</v>
      </c>
      <c r="O9030" s="29"/>
      <c r="P9030" s="29" t="s">
        <v>13913</v>
      </c>
      <c r="Q9030" t="s">
        <v>2190</v>
      </c>
      <c r="R9030" t="s">
        <v>2635</v>
      </c>
      <c r="S9030">
        <v>38</v>
      </c>
      <c r="T9030" s="43" t="str">
        <f t="shared" si="390"/>
        <v>2022.011P.Tospoviridae_rename.zip</v>
      </c>
      <c r="U9030" s="43" t="str">
        <f>HYPERLINK("https://ictv.global/taxonomy/taxondetails?taxnode_id=202206664","ictv.global=202206664")</f>
        <v>ictv.global=202206664</v>
      </c>
    </row>
    <row r="9031" spans="1:21">
      <c r="A9031">
        <v>9030</v>
      </c>
      <c r="B9031" s="29" t="s">
        <v>3223</v>
      </c>
      <c r="C9031" s="29"/>
      <c r="D9031" s="29" t="s">
        <v>4156</v>
      </c>
      <c r="E9031" s="29"/>
      <c r="F9031" s="29" t="s">
        <v>2998</v>
      </c>
      <c r="G9031" s="29" t="s">
        <v>3020</v>
      </c>
      <c r="H9031" s="29" t="s">
        <v>3021</v>
      </c>
      <c r="I9031" s="29"/>
      <c r="J9031" s="29" t="s">
        <v>2374</v>
      </c>
      <c r="K9031" s="29"/>
      <c r="L9031" s="29" t="s">
        <v>3256</v>
      </c>
      <c r="M9031" s="29"/>
      <c r="N9031" s="29" t="s">
        <v>3257</v>
      </c>
      <c r="O9031" s="29"/>
      <c r="P9031" s="29" t="s">
        <v>13914</v>
      </c>
      <c r="Q9031" t="s">
        <v>2190</v>
      </c>
      <c r="R9031" t="s">
        <v>2635</v>
      </c>
      <c r="S9031">
        <v>38</v>
      </c>
      <c r="T9031" s="43" t="str">
        <f t="shared" si="390"/>
        <v>2022.011P.Tospoviridae_rename.zip</v>
      </c>
      <c r="U9031" s="43" t="str">
        <f>HYPERLINK("https://ictv.global/taxonomy/taxondetails?taxnode_id=202200188","ictv.global=202200188")</f>
        <v>ictv.global=202200188</v>
      </c>
    </row>
    <row r="9032" spans="1:21">
      <c r="A9032">
        <v>9031</v>
      </c>
      <c r="B9032" s="29" t="s">
        <v>3223</v>
      </c>
      <c r="C9032" s="29"/>
      <c r="D9032" s="29" t="s">
        <v>4156</v>
      </c>
      <c r="E9032" s="29"/>
      <c r="F9032" s="29" t="s">
        <v>2998</v>
      </c>
      <c r="G9032" s="29" t="s">
        <v>3020</v>
      </c>
      <c r="H9032" s="29" t="s">
        <v>3021</v>
      </c>
      <c r="I9032" s="29"/>
      <c r="J9032" s="29" t="s">
        <v>2374</v>
      </c>
      <c r="K9032" s="29"/>
      <c r="L9032" s="29" t="s">
        <v>3256</v>
      </c>
      <c r="M9032" s="29"/>
      <c r="N9032" s="29" t="s">
        <v>3257</v>
      </c>
      <c r="O9032" s="29"/>
      <c r="P9032" s="29" t="s">
        <v>13915</v>
      </c>
      <c r="Q9032" t="s">
        <v>2190</v>
      </c>
      <c r="R9032" t="s">
        <v>2635</v>
      </c>
      <c r="S9032">
        <v>38</v>
      </c>
      <c r="T9032" s="43" t="str">
        <f t="shared" si="390"/>
        <v>2022.011P.Tospoviridae_rename.zip</v>
      </c>
      <c r="U9032" s="43" t="str">
        <f>HYPERLINK("https://ictv.global/taxonomy/taxondetails?taxnode_id=202200187","ictv.global=202200187")</f>
        <v>ictv.global=202200187</v>
      </c>
    </row>
    <row r="9033" spans="1:21">
      <c r="A9033">
        <v>9032</v>
      </c>
      <c r="B9033" s="29" t="s">
        <v>3223</v>
      </c>
      <c r="C9033" s="29"/>
      <c r="D9033" s="29" t="s">
        <v>4156</v>
      </c>
      <c r="E9033" s="29"/>
      <c r="F9033" s="29" t="s">
        <v>2998</v>
      </c>
      <c r="G9033" s="29" t="s">
        <v>3020</v>
      </c>
      <c r="H9033" s="29" t="s">
        <v>3021</v>
      </c>
      <c r="I9033" s="29"/>
      <c r="J9033" s="29" t="s">
        <v>2374</v>
      </c>
      <c r="K9033" s="29"/>
      <c r="L9033" s="29" t="s">
        <v>3256</v>
      </c>
      <c r="M9033" s="29"/>
      <c r="N9033" s="29" t="s">
        <v>3257</v>
      </c>
      <c r="O9033" s="29"/>
      <c r="P9033" s="29" t="s">
        <v>13916</v>
      </c>
      <c r="Q9033" t="s">
        <v>2190</v>
      </c>
      <c r="R9033" t="s">
        <v>2635</v>
      </c>
      <c r="S9033">
        <v>38</v>
      </c>
      <c r="T9033" s="43" t="str">
        <f t="shared" si="390"/>
        <v>2022.011P.Tospoviridae_rename.zip</v>
      </c>
      <c r="U9033" s="43" t="str">
        <f>HYPERLINK("https://ictv.global/taxonomy/taxondetails?taxnode_id=202200189","ictv.global=202200189")</f>
        <v>ictv.global=202200189</v>
      </c>
    </row>
    <row r="9034" spans="1:21">
      <c r="A9034">
        <v>9033</v>
      </c>
      <c r="B9034" s="29" t="s">
        <v>3223</v>
      </c>
      <c r="C9034" s="29"/>
      <c r="D9034" s="29" t="s">
        <v>4156</v>
      </c>
      <c r="E9034" s="29"/>
      <c r="F9034" s="29" t="s">
        <v>2998</v>
      </c>
      <c r="G9034" s="29" t="s">
        <v>3020</v>
      </c>
      <c r="H9034" s="29" t="s">
        <v>3021</v>
      </c>
      <c r="I9034" s="29"/>
      <c r="J9034" s="29" t="s">
        <v>2374</v>
      </c>
      <c r="K9034" s="29"/>
      <c r="L9034" s="29" t="s">
        <v>3256</v>
      </c>
      <c r="M9034" s="29"/>
      <c r="N9034" s="29" t="s">
        <v>3257</v>
      </c>
      <c r="O9034" s="29"/>
      <c r="P9034" s="29" t="s">
        <v>13917</v>
      </c>
      <c r="Q9034" t="s">
        <v>2190</v>
      </c>
      <c r="R9034" t="s">
        <v>2635</v>
      </c>
      <c r="S9034">
        <v>38</v>
      </c>
      <c r="T9034" s="43" t="str">
        <f t="shared" si="390"/>
        <v>2022.011P.Tospoviridae_rename.zip</v>
      </c>
      <c r="U9034" s="43" t="str">
        <f>HYPERLINK("https://ictv.global/taxonomy/taxondetails?taxnode_id=202206667","ictv.global=202206667")</f>
        <v>ictv.global=202206667</v>
      </c>
    </row>
    <row r="9035" spans="1:21">
      <c r="A9035">
        <v>9034</v>
      </c>
      <c r="B9035" s="29" t="s">
        <v>3223</v>
      </c>
      <c r="C9035" s="29"/>
      <c r="D9035" s="29" t="s">
        <v>4156</v>
      </c>
      <c r="E9035" s="29"/>
      <c r="F9035" s="29" t="s">
        <v>2998</v>
      </c>
      <c r="G9035" s="29" t="s">
        <v>3020</v>
      </c>
      <c r="H9035" s="29" t="s">
        <v>3021</v>
      </c>
      <c r="I9035" s="29"/>
      <c r="J9035" s="29" t="s">
        <v>2374</v>
      </c>
      <c r="K9035" s="29"/>
      <c r="L9035" s="29" t="s">
        <v>3256</v>
      </c>
      <c r="M9035" s="29"/>
      <c r="N9035" s="29" t="s">
        <v>3257</v>
      </c>
      <c r="O9035" s="29"/>
      <c r="P9035" s="29" t="s">
        <v>13918</v>
      </c>
      <c r="Q9035" t="s">
        <v>2190</v>
      </c>
      <c r="R9035" t="s">
        <v>2635</v>
      </c>
      <c r="S9035">
        <v>38</v>
      </c>
      <c r="T9035" s="43" t="str">
        <f t="shared" si="390"/>
        <v>2022.011P.Tospoviridae_rename.zip</v>
      </c>
      <c r="U9035" s="43" t="str">
        <f>HYPERLINK("https://ictv.global/taxonomy/taxondetails?taxnode_id=202207248","ictv.global=202207248")</f>
        <v>ictv.global=202207248</v>
      </c>
    </row>
    <row r="9036" spans="1:21">
      <c r="A9036">
        <v>9035</v>
      </c>
      <c r="B9036" s="29" t="s">
        <v>3223</v>
      </c>
      <c r="C9036" s="29"/>
      <c r="D9036" s="29" t="s">
        <v>4156</v>
      </c>
      <c r="E9036" s="29"/>
      <c r="F9036" s="29" t="s">
        <v>2998</v>
      </c>
      <c r="G9036" s="29" t="s">
        <v>3020</v>
      </c>
      <c r="H9036" s="29" t="s">
        <v>3021</v>
      </c>
      <c r="I9036" s="29"/>
      <c r="J9036" s="29" t="s">
        <v>2374</v>
      </c>
      <c r="K9036" s="29"/>
      <c r="L9036" s="29" t="s">
        <v>3256</v>
      </c>
      <c r="M9036" s="29"/>
      <c r="N9036" s="29" t="s">
        <v>3257</v>
      </c>
      <c r="O9036" s="29"/>
      <c r="P9036" s="29" t="s">
        <v>13919</v>
      </c>
      <c r="Q9036" t="s">
        <v>2190</v>
      </c>
      <c r="R9036" t="s">
        <v>2635</v>
      </c>
      <c r="S9036">
        <v>38</v>
      </c>
      <c r="T9036" s="43" t="str">
        <f t="shared" si="390"/>
        <v>2022.011P.Tospoviridae_rename.zip</v>
      </c>
      <c r="U9036" s="43" t="str">
        <f>HYPERLINK("https://ictv.global/taxonomy/taxondetails?taxnode_id=202200182","ictv.global=202200182")</f>
        <v>ictv.global=202200182</v>
      </c>
    </row>
    <row r="9037" spans="1:21">
      <c r="A9037">
        <v>9036</v>
      </c>
      <c r="B9037" s="29" t="s">
        <v>3223</v>
      </c>
      <c r="C9037" s="29"/>
      <c r="D9037" s="29" t="s">
        <v>4156</v>
      </c>
      <c r="E9037" s="29"/>
      <c r="F9037" s="29" t="s">
        <v>2998</v>
      </c>
      <c r="G9037" s="29" t="s">
        <v>3020</v>
      </c>
      <c r="H9037" s="29" t="s">
        <v>3021</v>
      </c>
      <c r="I9037" s="29"/>
      <c r="J9037" s="29" t="s">
        <v>2374</v>
      </c>
      <c r="K9037" s="29"/>
      <c r="L9037" s="29" t="s">
        <v>3256</v>
      </c>
      <c r="M9037" s="29"/>
      <c r="N9037" s="29" t="s">
        <v>3257</v>
      </c>
      <c r="O9037" s="29"/>
      <c r="P9037" s="29" t="s">
        <v>13920</v>
      </c>
      <c r="Q9037" t="s">
        <v>2190</v>
      </c>
      <c r="R9037" t="s">
        <v>2635</v>
      </c>
      <c r="S9037">
        <v>38</v>
      </c>
      <c r="T9037" s="43" t="str">
        <f t="shared" si="390"/>
        <v>2022.011P.Tospoviridae_rename.zip</v>
      </c>
      <c r="U9037" s="43" t="str">
        <f>HYPERLINK("https://ictv.global/taxonomy/taxondetails?taxnode_id=202200183","ictv.global=202200183")</f>
        <v>ictv.global=202200183</v>
      </c>
    </row>
    <row r="9038" spans="1:21">
      <c r="A9038">
        <v>9037</v>
      </c>
      <c r="B9038" s="29" t="s">
        <v>3223</v>
      </c>
      <c r="C9038" s="29"/>
      <c r="D9038" s="29" t="s">
        <v>4156</v>
      </c>
      <c r="E9038" s="29"/>
      <c r="F9038" s="29" t="s">
        <v>2998</v>
      </c>
      <c r="G9038" s="29" t="s">
        <v>3020</v>
      </c>
      <c r="H9038" s="29" t="s">
        <v>3021</v>
      </c>
      <c r="I9038" s="29"/>
      <c r="J9038" s="29" t="s">
        <v>2374</v>
      </c>
      <c r="K9038" s="29"/>
      <c r="L9038" s="29" t="s">
        <v>3256</v>
      </c>
      <c r="M9038" s="29"/>
      <c r="N9038" s="29" t="s">
        <v>3257</v>
      </c>
      <c r="O9038" s="29"/>
      <c r="P9038" s="29" t="s">
        <v>13921</v>
      </c>
      <c r="Q9038" t="s">
        <v>2190</v>
      </c>
      <c r="R9038" t="s">
        <v>2635</v>
      </c>
      <c r="S9038">
        <v>38</v>
      </c>
      <c r="T9038" s="43" t="str">
        <f t="shared" si="390"/>
        <v>2022.011P.Tospoviridae_rename.zip</v>
      </c>
      <c r="U9038" s="43" t="str">
        <f>HYPERLINK("https://ictv.global/taxonomy/taxondetails?taxnode_id=202206666","ictv.global=202206666")</f>
        <v>ictv.global=202206666</v>
      </c>
    </row>
    <row r="9039" spans="1:21">
      <c r="A9039">
        <v>9038</v>
      </c>
      <c r="B9039" s="29" t="s">
        <v>3223</v>
      </c>
      <c r="C9039" s="29"/>
      <c r="D9039" s="29" t="s">
        <v>4156</v>
      </c>
      <c r="E9039" s="29"/>
      <c r="F9039" s="29" t="s">
        <v>2998</v>
      </c>
      <c r="G9039" s="29" t="s">
        <v>3020</v>
      </c>
      <c r="H9039" s="29" t="s">
        <v>3021</v>
      </c>
      <c r="I9039" s="29"/>
      <c r="J9039" s="29" t="s">
        <v>2374</v>
      </c>
      <c r="K9039" s="29"/>
      <c r="L9039" s="29" t="s">
        <v>3256</v>
      </c>
      <c r="M9039" s="29"/>
      <c r="N9039" s="29" t="s">
        <v>3257</v>
      </c>
      <c r="O9039" s="29"/>
      <c r="P9039" s="29" t="s">
        <v>13922</v>
      </c>
      <c r="Q9039" t="s">
        <v>2190</v>
      </c>
      <c r="R9039" t="s">
        <v>2635</v>
      </c>
      <c r="S9039">
        <v>38</v>
      </c>
      <c r="T9039" s="43" t="str">
        <f t="shared" si="390"/>
        <v>2022.011P.Tospoviridae_rename.zip</v>
      </c>
      <c r="U9039" s="43" t="str">
        <f>HYPERLINK("https://ictv.global/taxonomy/taxondetails?taxnode_id=202206665","ictv.global=202206665")</f>
        <v>ictv.global=202206665</v>
      </c>
    </row>
    <row r="9040" spans="1:21">
      <c r="A9040">
        <v>9039</v>
      </c>
      <c r="B9040" s="29" t="s">
        <v>3223</v>
      </c>
      <c r="C9040" s="29"/>
      <c r="D9040" s="29" t="s">
        <v>4156</v>
      </c>
      <c r="E9040" s="29"/>
      <c r="F9040" s="29" t="s">
        <v>2998</v>
      </c>
      <c r="G9040" s="29" t="s">
        <v>3020</v>
      </c>
      <c r="H9040" s="29" t="s">
        <v>3021</v>
      </c>
      <c r="I9040" s="29"/>
      <c r="J9040" s="29" t="s">
        <v>2374</v>
      </c>
      <c r="K9040" s="29"/>
      <c r="L9040" s="29" t="s">
        <v>3256</v>
      </c>
      <c r="M9040" s="29"/>
      <c r="N9040" s="29" t="s">
        <v>3257</v>
      </c>
      <c r="O9040" s="29"/>
      <c r="P9040" s="29" t="s">
        <v>13923</v>
      </c>
      <c r="Q9040" t="s">
        <v>2190</v>
      </c>
      <c r="R9040" t="s">
        <v>2635</v>
      </c>
      <c r="S9040">
        <v>38</v>
      </c>
      <c r="T9040" s="43" t="str">
        <f t="shared" si="390"/>
        <v>2022.011P.Tospoviridae_rename.zip</v>
      </c>
      <c r="U9040" s="43" t="str">
        <f>HYPERLINK("https://ictv.global/taxonomy/taxondetails?taxnode_id=202207249","ictv.global=202207249")</f>
        <v>ictv.global=202207249</v>
      </c>
    </row>
    <row r="9041" spans="1:21">
      <c r="A9041">
        <v>9040</v>
      </c>
      <c r="B9041" s="29" t="s">
        <v>3223</v>
      </c>
      <c r="C9041" s="29"/>
      <c r="D9041" s="29" t="s">
        <v>4156</v>
      </c>
      <c r="E9041" s="29"/>
      <c r="F9041" s="29" t="s">
        <v>2998</v>
      </c>
      <c r="G9041" s="29" t="s">
        <v>3020</v>
      </c>
      <c r="H9041" s="29" t="s">
        <v>3021</v>
      </c>
      <c r="I9041" s="29"/>
      <c r="J9041" s="29" t="s">
        <v>2374</v>
      </c>
      <c r="K9041" s="29"/>
      <c r="L9041" s="29" t="s">
        <v>3256</v>
      </c>
      <c r="M9041" s="29"/>
      <c r="N9041" s="29" t="s">
        <v>3257</v>
      </c>
      <c r="O9041" s="29"/>
      <c r="P9041" s="29" t="s">
        <v>13924</v>
      </c>
      <c r="Q9041" t="s">
        <v>2190</v>
      </c>
      <c r="R9041" t="s">
        <v>2635</v>
      </c>
      <c r="S9041">
        <v>38</v>
      </c>
      <c r="T9041" s="43" t="str">
        <f t="shared" si="390"/>
        <v>2022.011P.Tospoviridae_rename.zip</v>
      </c>
      <c r="U9041" s="43" t="str">
        <f>HYPERLINK("https://ictv.global/taxonomy/taxondetails?taxnode_id=202206661","ictv.global=202206661")</f>
        <v>ictv.global=202206661</v>
      </c>
    </row>
    <row r="9042" spans="1:21">
      <c r="A9042">
        <v>9041</v>
      </c>
      <c r="B9042" s="29" t="s">
        <v>3223</v>
      </c>
      <c r="C9042" s="29"/>
      <c r="D9042" s="29" t="s">
        <v>4156</v>
      </c>
      <c r="E9042" s="29"/>
      <c r="F9042" s="29" t="s">
        <v>2998</v>
      </c>
      <c r="G9042" s="29" t="s">
        <v>3020</v>
      </c>
      <c r="H9042" s="29" t="s">
        <v>3021</v>
      </c>
      <c r="I9042" s="29"/>
      <c r="J9042" s="29" t="s">
        <v>2374</v>
      </c>
      <c r="K9042" s="29"/>
      <c r="L9042" s="29" t="s">
        <v>3256</v>
      </c>
      <c r="M9042" s="29"/>
      <c r="N9042" s="29" t="s">
        <v>3257</v>
      </c>
      <c r="O9042" s="29"/>
      <c r="P9042" s="29" t="s">
        <v>13925</v>
      </c>
      <c r="Q9042" t="s">
        <v>2190</v>
      </c>
      <c r="R9042" t="s">
        <v>2635</v>
      </c>
      <c r="S9042">
        <v>38</v>
      </c>
      <c r="T9042" s="43" t="str">
        <f t="shared" si="390"/>
        <v>2022.011P.Tospoviridae_rename.zip</v>
      </c>
      <c r="U9042" s="43" t="str">
        <f>HYPERLINK("https://ictv.global/taxonomy/taxondetails?taxnode_id=202200184","ictv.global=202200184")</f>
        <v>ictv.global=202200184</v>
      </c>
    </row>
    <row r="9043" spans="1:21">
      <c r="A9043">
        <v>9042</v>
      </c>
      <c r="B9043" s="29" t="s">
        <v>3223</v>
      </c>
      <c r="C9043" s="29"/>
      <c r="D9043" s="29" t="s">
        <v>4156</v>
      </c>
      <c r="E9043" s="29"/>
      <c r="F9043" s="29" t="s">
        <v>2998</v>
      </c>
      <c r="G9043" s="29" t="s">
        <v>3020</v>
      </c>
      <c r="H9043" s="29" t="s">
        <v>3021</v>
      </c>
      <c r="I9043" s="29"/>
      <c r="J9043" s="29" t="s">
        <v>2374</v>
      </c>
      <c r="K9043" s="29"/>
      <c r="L9043" s="29" t="s">
        <v>3256</v>
      </c>
      <c r="M9043" s="29"/>
      <c r="N9043" s="29" t="s">
        <v>3257</v>
      </c>
      <c r="O9043" s="29"/>
      <c r="P9043" s="29" t="s">
        <v>13926</v>
      </c>
      <c r="Q9043" t="s">
        <v>2190</v>
      </c>
      <c r="R9043" t="s">
        <v>2635</v>
      </c>
      <c r="S9043">
        <v>38</v>
      </c>
      <c r="T9043" s="43" t="str">
        <f t="shared" si="390"/>
        <v>2022.011P.Tospoviridae_rename.zip</v>
      </c>
      <c r="U9043" s="43" t="str">
        <f>HYPERLINK("https://ictv.global/taxonomy/taxondetails?taxnode_id=202207251","ictv.global=202207251")</f>
        <v>ictv.global=202207251</v>
      </c>
    </row>
    <row r="9044" spans="1:21">
      <c r="A9044">
        <v>9043</v>
      </c>
      <c r="B9044" s="29" t="s">
        <v>3223</v>
      </c>
      <c r="C9044" s="29"/>
      <c r="D9044" s="29" t="s">
        <v>4156</v>
      </c>
      <c r="E9044" s="29"/>
      <c r="F9044" s="29" t="s">
        <v>2998</v>
      </c>
      <c r="G9044" s="29" t="s">
        <v>3020</v>
      </c>
      <c r="H9044" s="29" t="s">
        <v>3021</v>
      </c>
      <c r="I9044" s="29"/>
      <c r="J9044" s="29" t="s">
        <v>2374</v>
      </c>
      <c r="K9044" s="29"/>
      <c r="L9044" s="29" t="s">
        <v>3256</v>
      </c>
      <c r="M9044" s="29"/>
      <c r="N9044" s="29" t="s">
        <v>3257</v>
      </c>
      <c r="O9044" s="29"/>
      <c r="P9044" s="29" t="s">
        <v>13927</v>
      </c>
      <c r="Q9044" t="s">
        <v>2190</v>
      </c>
      <c r="R9044" t="s">
        <v>2635</v>
      </c>
      <c r="S9044">
        <v>38</v>
      </c>
      <c r="T9044" s="43" t="str">
        <f t="shared" si="390"/>
        <v>2022.011P.Tospoviridae_rename.zip</v>
      </c>
      <c r="U9044" s="43" t="str">
        <f>HYPERLINK("https://ictv.global/taxonomy/taxondetails?taxnode_id=202200185","ictv.global=202200185")</f>
        <v>ictv.global=202200185</v>
      </c>
    </row>
    <row r="9045" spans="1:21">
      <c r="A9045">
        <v>9044</v>
      </c>
      <c r="B9045" s="29" t="s">
        <v>3223</v>
      </c>
      <c r="C9045" s="29"/>
      <c r="D9045" s="29" t="s">
        <v>4156</v>
      </c>
      <c r="E9045" s="29"/>
      <c r="F9045" s="29" t="s">
        <v>2998</v>
      </c>
      <c r="G9045" s="29" t="s">
        <v>3020</v>
      </c>
      <c r="H9045" s="29" t="s">
        <v>3021</v>
      </c>
      <c r="I9045" s="29"/>
      <c r="J9045" s="29" t="s">
        <v>2374</v>
      </c>
      <c r="K9045" s="29"/>
      <c r="L9045" s="29" t="s">
        <v>3256</v>
      </c>
      <c r="M9045" s="29"/>
      <c r="N9045" s="29" t="s">
        <v>3257</v>
      </c>
      <c r="O9045" s="29"/>
      <c r="P9045" s="29" t="s">
        <v>13928</v>
      </c>
      <c r="Q9045" t="s">
        <v>2190</v>
      </c>
      <c r="R9045" t="s">
        <v>2635</v>
      </c>
      <c r="S9045">
        <v>38</v>
      </c>
      <c r="T9045" s="43" t="str">
        <f t="shared" si="390"/>
        <v>2022.011P.Tospoviridae_rename.zip</v>
      </c>
      <c r="U9045" s="43" t="str">
        <f>HYPERLINK("https://ictv.global/taxonomy/taxondetails?taxnode_id=202200186","ictv.global=202200186")</f>
        <v>ictv.global=202200186</v>
      </c>
    </row>
    <row r="9046" spans="1:21">
      <c r="A9046">
        <v>9045</v>
      </c>
      <c r="B9046" s="29" t="s">
        <v>3223</v>
      </c>
      <c r="C9046" s="29"/>
      <c r="D9046" s="29" t="s">
        <v>4156</v>
      </c>
      <c r="E9046" s="29"/>
      <c r="F9046" s="29" t="s">
        <v>2998</v>
      </c>
      <c r="G9046" s="29" t="s">
        <v>3020</v>
      </c>
      <c r="H9046" s="29" t="s">
        <v>3021</v>
      </c>
      <c r="I9046" s="29"/>
      <c r="J9046" s="29" t="s">
        <v>2374</v>
      </c>
      <c r="K9046" s="29"/>
      <c r="L9046" s="29" t="s">
        <v>3256</v>
      </c>
      <c r="M9046" s="29"/>
      <c r="N9046" s="29" t="s">
        <v>3257</v>
      </c>
      <c r="O9046" s="29"/>
      <c r="P9046" s="29" t="s">
        <v>13929</v>
      </c>
      <c r="Q9046" t="s">
        <v>2190</v>
      </c>
      <c r="R9046" t="s">
        <v>2635</v>
      </c>
      <c r="S9046">
        <v>38</v>
      </c>
      <c r="T9046" s="43" t="str">
        <f t="shared" si="390"/>
        <v>2022.011P.Tospoviridae_rename.zip</v>
      </c>
      <c r="U9046" s="43" t="str">
        <f>HYPERLINK("https://ictv.global/taxonomy/taxondetails?taxnode_id=202207252","ictv.global=202207252")</f>
        <v>ictv.global=202207252</v>
      </c>
    </row>
    <row r="9047" spans="1:21">
      <c r="A9047">
        <v>9046</v>
      </c>
      <c r="B9047" s="29" t="s">
        <v>3223</v>
      </c>
      <c r="C9047" s="29"/>
      <c r="D9047" s="29" t="s">
        <v>4156</v>
      </c>
      <c r="E9047" s="29"/>
      <c r="F9047" s="29" t="s">
        <v>2998</v>
      </c>
      <c r="G9047" s="29" t="s">
        <v>3020</v>
      </c>
      <c r="H9047" s="29" t="s">
        <v>3021</v>
      </c>
      <c r="I9047" s="29"/>
      <c r="J9047" s="29" t="s">
        <v>2374</v>
      </c>
      <c r="K9047" s="29"/>
      <c r="L9047" s="29" t="s">
        <v>13930</v>
      </c>
      <c r="M9047" s="29"/>
      <c r="N9047" s="29" t="s">
        <v>13931</v>
      </c>
      <c r="O9047" s="29"/>
      <c r="P9047" s="29" t="s">
        <v>13932</v>
      </c>
      <c r="Q9047" t="s">
        <v>2039</v>
      </c>
      <c r="R9047" t="s">
        <v>2632</v>
      </c>
      <c r="S9047">
        <v>37</v>
      </c>
      <c r="T9047" s="43" t="str">
        <f>HYPERLINK("https://ictv.global/ictv/proposals/2021.040M.R.Bunyavirales_2nfam_2ngen_6nsp.zip","2021.040M.R.Bunyavirales_2nfam_2ngen_6nsp.zip")</f>
        <v>2021.040M.R.Bunyavirales_2nfam_2ngen_6nsp.zip</v>
      </c>
      <c r="U9047" s="43" t="str">
        <f>HYPERLINK("https://ictv.global/taxonomy/taxondetails?taxnode_id=202212961","ictv.global=202212961")</f>
        <v>ictv.global=202212961</v>
      </c>
    </row>
    <row r="9048" spans="1:21">
      <c r="A9048">
        <v>9047</v>
      </c>
      <c r="B9048" s="29" t="s">
        <v>3223</v>
      </c>
      <c r="C9048" s="29"/>
      <c r="D9048" s="29" t="s">
        <v>4156</v>
      </c>
      <c r="E9048" s="29"/>
      <c r="F9048" s="29" t="s">
        <v>2998</v>
      </c>
      <c r="G9048" s="29" t="s">
        <v>3020</v>
      </c>
      <c r="H9048" s="29" t="s">
        <v>3021</v>
      </c>
      <c r="I9048" s="29"/>
      <c r="J9048" s="29" t="s">
        <v>2374</v>
      </c>
      <c r="K9048" s="29"/>
      <c r="L9048" s="29" t="s">
        <v>3041</v>
      </c>
      <c r="M9048" s="29"/>
      <c r="N9048" s="29" t="s">
        <v>3042</v>
      </c>
      <c r="O9048" s="29"/>
      <c r="P9048" s="29" t="s">
        <v>13933</v>
      </c>
      <c r="Q9048" t="s">
        <v>2039</v>
      </c>
      <c r="R9048" t="s">
        <v>2635</v>
      </c>
      <c r="S9048">
        <v>37</v>
      </c>
      <c r="T9048" s="43" t="str">
        <f>HYPERLINK("https://ictv.global/ictv/proposals/2021.018M.R.Negarnaviricota_sprename.zip","2021.018M.R.Negarnaviricota_sprename.zip")</f>
        <v>2021.018M.R.Negarnaviricota_sprename.zip</v>
      </c>
      <c r="U9048" s="43" t="str">
        <f>HYPERLINK("https://ictv.global/taxonomy/taxondetails?taxnode_id=202206242","ictv.global=202206242")</f>
        <v>ictv.global=202206242</v>
      </c>
    </row>
    <row r="9049" spans="1:21">
      <c r="A9049">
        <v>9048</v>
      </c>
      <c r="B9049" s="29" t="s">
        <v>3223</v>
      </c>
      <c r="C9049" s="29"/>
      <c r="D9049" s="29" t="s">
        <v>4156</v>
      </c>
      <c r="E9049" s="29"/>
      <c r="F9049" s="29" t="s">
        <v>2998</v>
      </c>
      <c r="G9049" s="29" t="s">
        <v>3020</v>
      </c>
      <c r="H9049" s="29" t="s">
        <v>3043</v>
      </c>
      <c r="I9049" s="29"/>
      <c r="J9049" s="29" t="s">
        <v>3044</v>
      </c>
      <c r="K9049" s="29"/>
      <c r="L9049" s="29" t="s">
        <v>3045</v>
      </c>
      <c r="M9049" s="29"/>
      <c r="N9049" s="29" t="s">
        <v>2628</v>
      </c>
      <c r="O9049" s="29"/>
      <c r="P9049" s="29" t="s">
        <v>13934</v>
      </c>
      <c r="Q9049" t="s">
        <v>2039</v>
      </c>
      <c r="R9049" t="s">
        <v>2635</v>
      </c>
      <c r="S9049">
        <v>37</v>
      </c>
      <c r="T9049" s="43" t="str">
        <f>HYPERLINK("https://ictv.global/ictv/proposals/2021.018M.R.Negarnaviricota_sprename.zip","2021.018M.R.Negarnaviricota_sprename.zip")</f>
        <v>2021.018M.R.Negarnaviricota_sprename.zip</v>
      </c>
      <c r="U9049" s="43" t="str">
        <f>HYPERLINK("https://ictv.global/taxonomy/taxondetails?taxnode_id=202205391","ictv.global=202205391")</f>
        <v>ictv.global=202205391</v>
      </c>
    </row>
    <row r="9050" spans="1:21">
      <c r="A9050">
        <v>9049</v>
      </c>
      <c r="B9050" s="29" t="s">
        <v>3223</v>
      </c>
      <c r="C9050" s="29"/>
      <c r="D9050" s="29" t="s">
        <v>4156</v>
      </c>
      <c r="E9050" s="29"/>
      <c r="F9050" s="29" t="s">
        <v>2998</v>
      </c>
      <c r="G9050" s="29" t="s">
        <v>3020</v>
      </c>
      <c r="H9050" s="29" t="s">
        <v>3043</v>
      </c>
      <c r="I9050" s="29"/>
      <c r="J9050" s="29" t="s">
        <v>3044</v>
      </c>
      <c r="K9050" s="29"/>
      <c r="L9050" s="29" t="s">
        <v>1217</v>
      </c>
      <c r="M9050" s="29"/>
      <c r="N9050" s="29" t="s">
        <v>2926</v>
      </c>
      <c r="O9050" s="29"/>
      <c r="P9050" s="29" t="s">
        <v>13935</v>
      </c>
      <c r="Q9050" t="s">
        <v>2039</v>
      </c>
      <c r="R9050" t="s">
        <v>2635</v>
      </c>
      <c r="S9050">
        <v>37</v>
      </c>
      <c r="T9050" s="43" t="str">
        <f>HYPERLINK("https://ictv.global/ictv/proposals/2021.024M.R.Orthomyxoviridae_sprename.zip","2021.024M.R.Orthomyxoviridae_sprename.zip")</f>
        <v>2021.024M.R.Orthomyxoviridae_sprename.zip</v>
      </c>
      <c r="U9050" s="43" t="str">
        <f>HYPERLINK("https://ictv.global/taxonomy/taxondetails?taxnode_id=202203956","ictv.global=202203956")</f>
        <v>ictv.global=202203956</v>
      </c>
    </row>
    <row r="9051" spans="1:21">
      <c r="A9051">
        <v>9050</v>
      </c>
      <c r="B9051" s="29" t="s">
        <v>3223</v>
      </c>
      <c r="C9051" s="29"/>
      <c r="D9051" s="29" t="s">
        <v>4156</v>
      </c>
      <c r="E9051" s="29"/>
      <c r="F9051" s="29" t="s">
        <v>2998</v>
      </c>
      <c r="G9051" s="29" t="s">
        <v>3020</v>
      </c>
      <c r="H9051" s="29" t="s">
        <v>3043</v>
      </c>
      <c r="I9051" s="29"/>
      <c r="J9051" s="29" t="s">
        <v>3044</v>
      </c>
      <c r="K9051" s="29"/>
      <c r="L9051" s="29" t="s">
        <v>1217</v>
      </c>
      <c r="M9051" s="29"/>
      <c r="N9051" s="29" t="s">
        <v>2927</v>
      </c>
      <c r="O9051" s="29"/>
      <c r="P9051" s="29" t="s">
        <v>13936</v>
      </c>
      <c r="Q9051" t="s">
        <v>2039</v>
      </c>
      <c r="R9051" t="s">
        <v>2635</v>
      </c>
      <c r="S9051">
        <v>37</v>
      </c>
      <c r="T9051" s="43" t="str">
        <f>HYPERLINK("https://ictv.global/ictv/proposals/2021.024M.R.Orthomyxoviridae_sprename.zip","2021.024M.R.Orthomyxoviridae_sprename.zip")</f>
        <v>2021.024M.R.Orthomyxoviridae_sprename.zip</v>
      </c>
      <c r="U9051" s="43" t="str">
        <f>HYPERLINK("https://ictv.global/taxonomy/taxondetails?taxnode_id=202203958","ictv.global=202203958")</f>
        <v>ictv.global=202203958</v>
      </c>
    </row>
    <row r="9052" spans="1:21">
      <c r="A9052">
        <v>9051</v>
      </c>
      <c r="B9052" s="29" t="s">
        <v>3223</v>
      </c>
      <c r="C9052" s="29"/>
      <c r="D9052" s="29" t="s">
        <v>4156</v>
      </c>
      <c r="E9052" s="29"/>
      <c r="F9052" s="29" t="s">
        <v>2998</v>
      </c>
      <c r="G9052" s="29" t="s">
        <v>3020</v>
      </c>
      <c r="H9052" s="29" t="s">
        <v>3043</v>
      </c>
      <c r="I9052" s="29"/>
      <c r="J9052" s="29" t="s">
        <v>3044</v>
      </c>
      <c r="K9052" s="29"/>
      <c r="L9052" s="29" t="s">
        <v>1217</v>
      </c>
      <c r="M9052" s="29"/>
      <c r="N9052" s="29" t="s">
        <v>2928</v>
      </c>
      <c r="O9052" s="29"/>
      <c r="P9052" s="29" t="s">
        <v>13937</v>
      </c>
      <c r="Q9052" t="s">
        <v>2039</v>
      </c>
      <c r="R9052" t="s">
        <v>2635</v>
      </c>
      <c r="S9052">
        <v>37</v>
      </c>
      <c r="T9052" s="43" t="str">
        <f>HYPERLINK("https://ictv.global/ictv/proposals/2021.024M.R.Orthomyxoviridae_sprename.zip","2021.024M.R.Orthomyxoviridae_sprename.zip")</f>
        <v>2021.024M.R.Orthomyxoviridae_sprename.zip</v>
      </c>
      <c r="U9052" s="43" t="str">
        <f>HYPERLINK("https://ictv.global/taxonomy/taxondetails?taxnode_id=202203962","ictv.global=202203962")</f>
        <v>ictv.global=202203962</v>
      </c>
    </row>
    <row r="9053" spans="1:21">
      <c r="A9053">
        <v>9052</v>
      </c>
      <c r="B9053" s="29" t="s">
        <v>3223</v>
      </c>
      <c r="C9053" s="29"/>
      <c r="D9053" s="29" t="s">
        <v>4156</v>
      </c>
      <c r="E9053" s="29"/>
      <c r="F9053" s="29" t="s">
        <v>2998</v>
      </c>
      <c r="G9053" s="29" t="s">
        <v>3020</v>
      </c>
      <c r="H9053" s="29" t="s">
        <v>3043</v>
      </c>
      <c r="I9053" s="29"/>
      <c r="J9053" s="29" t="s">
        <v>3044</v>
      </c>
      <c r="K9053" s="29"/>
      <c r="L9053" s="29" t="s">
        <v>1217</v>
      </c>
      <c r="M9053" s="29"/>
      <c r="N9053" s="29" t="s">
        <v>2929</v>
      </c>
      <c r="O9053" s="29"/>
      <c r="P9053" s="29" t="s">
        <v>13938</v>
      </c>
      <c r="Q9053" t="s">
        <v>2039</v>
      </c>
      <c r="R9053" t="s">
        <v>2635</v>
      </c>
      <c r="S9053">
        <v>37</v>
      </c>
      <c r="T9053" s="43" t="str">
        <f>HYPERLINK("https://ictv.global/ictv/proposals/2021.024M.R.Orthomyxoviridae_sprename.zip","2021.024M.R.Orthomyxoviridae_sprename.zip")</f>
        <v>2021.024M.R.Orthomyxoviridae_sprename.zip</v>
      </c>
      <c r="U9053" s="43" t="str">
        <f>HYPERLINK("https://ictv.global/taxonomy/taxondetails?taxnode_id=202203960","ictv.global=202203960")</f>
        <v>ictv.global=202203960</v>
      </c>
    </row>
    <row r="9054" spans="1:21">
      <c r="A9054">
        <v>9053</v>
      </c>
      <c r="B9054" s="29" t="s">
        <v>3223</v>
      </c>
      <c r="C9054" s="29"/>
      <c r="D9054" s="29" t="s">
        <v>4156</v>
      </c>
      <c r="E9054" s="29"/>
      <c r="F9054" s="29" t="s">
        <v>2998</v>
      </c>
      <c r="G9054" s="29" t="s">
        <v>3020</v>
      </c>
      <c r="H9054" s="29" t="s">
        <v>3043</v>
      </c>
      <c r="I9054" s="29"/>
      <c r="J9054" s="29" t="s">
        <v>3044</v>
      </c>
      <c r="K9054" s="29"/>
      <c r="L9054" s="29" t="s">
        <v>1217</v>
      </c>
      <c r="M9054" s="29"/>
      <c r="N9054" s="29" t="s">
        <v>636</v>
      </c>
      <c r="O9054" s="29"/>
      <c r="P9054" s="29" t="s">
        <v>13939</v>
      </c>
      <c r="Q9054" t="s">
        <v>2039</v>
      </c>
      <c r="R9054" t="s">
        <v>2635</v>
      </c>
      <c r="S9054">
        <v>37</v>
      </c>
      <c r="T9054" s="43" t="str">
        <f>HYPERLINK("https://ictv.global/ictv/proposals/2021.024M.R.Orthomyxoviridae_sprename.zip","2021.024M.R.Orthomyxoviridae_sprename.zip")</f>
        <v>2021.024M.R.Orthomyxoviridae_sprename.zip</v>
      </c>
      <c r="U9054" s="43" t="str">
        <f>HYPERLINK("https://ictv.global/taxonomy/taxondetails?taxnode_id=202203964","ictv.global=202203964")</f>
        <v>ictv.global=202203964</v>
      </c>
    </row>
    <row r="9055" spans="1:21">
      <c r="A9055">
        <v>9054</v>
      </c>
      <c r="B9055" s="29" t="s">
        <v>3223</v>
      </c>
      <c r="C9055" s="29"/>
      <c r="D9055" s="29" t="s">
        <v>4156</v>
      </c>
      <c r="E9055" s="29"/>
      <c r="F9055" s="29" t="s">
        <v>2998</v>
      </c>
      <c r="G9055" s="29" t="s">
        <v>3020</v>
      </c>
      <c r="H9055" s="29" t="s">
        <v>3043</v>
      </c>
      <c r="I9055" s="29"/>
      <c r="J9055" s="29" t="s">
        <v>3044</v>
      </c>
      <c r="K9055" s="29"/>
      <c r="L9055" s="29" t="s">
        <v>1217</v>
      </c>
      <c r="M9055" s="29"/>
      <c r="N9055" s="29" t="s">
        <v>13940</v>
      </c>
      <c r="O9055" s="29"/>
      <c r="P9055" s="29" t="s">
        <v>13941</v>
      </c>
      <c r="Q9055" t="s">
        <v>2039</v>
      </c>
      <c r="R9055" t="s">
        <v>2632</v>
      </c>
      <c r="S9055">
        <v>37</v>
      </c>
      <c r="T9055" s="43" t="str">
        <f>HYPERLINK("https://ictv.global/ictv/proposals/2021.022M.R.Orthomyxoviridae_1ngen_1nsp_Mykiss.zip","2021.022M.R.Orthomyxoviridae_1ngen_1nsp_Mykiss.zip")</f>
        <v>2021.022M.R.Orthomyxoviridae_1ngen_1nsp_Mykiss.zip</v>
      </c>
      <c r="U9055" s="43" t="str">
        <f>HYPERLINK("https://ictv.global/taxonomy/taxondetails?taxnode_id=202212228","ictv.global=202212228")</f>
        <v>ictv.global=202212228</v>
      </c>
    </row>
    <row r="9056" spans="1:21">
      <c r="A9056">
        <v>9055</v>
      </c>
      <c r="B9056" s="29" t="s">
        <v>3223</v>
      </c>
      <c r="C9056" s="29"/>
      <c r="D9056" s="29" t="s">
        <v>4156</v>
      </c>
      <c r="E9056" s="29"/>
      <c r="F9056" s="29" t="s">
        <v>2998</v>
      </c>
      <c r="G9056" s="29" t="s">
        <v>3020</v>
      </c>
      <c r="H9056" s="29" t="s">
        <v>3043</v>
      </c>
      <c r="I9056" s="29"/>
      <c r="J9056" s="29" t="s">
        <v>3044</v>
      </c>
      <c r="K9056" s="29"/>
      <c r="L9056" s="29" t="s">
        <v>1217</v>
      </c>
      <c r="M9056" s="29"/>
      <c r="N9056" s="29" t="s">
        <v>1690</v>
      </c>
      <c r="O9056" s="29"/>
      <c r="P9056" s="29" t="s">
        <v>13942</v>
      </c>
      <c r="Q9056" t="s">
        <v>2039</v>
      </c>
      <c r="R9056" t="s">
        <v>2632</v>
      </c>
      <c r="S9056">
        <v>37</v>
      </c>
      <c r="T9056" s="43" t="str">
        <f>HYPERLINK("https://ictv.global/ictv/proposals/2021.034M.R.Quaranjavirus_4nsp.zip","2021.034M.R.Quaranjavirus_4nsp.zip")</f>
        <v>2021.034M.R.Quaranjavirus_4nsp.zip</v>
      </c>
      <c r="U9056" s="43" t="str">
        <f>HYPERLINK("https://ictv.global/taxonomy/taxondetails?taxnode_id=202212244","ictv.global=202212244")</f>
        <v>ictv.global=202212244</v>
      </c>
    </row>
    <row r="9057" spans="1:21">
      <c r="A9057">
        <v>9056</v>
      </c>
      <c r="B9057" s="29" t="s">
        <v>3223</v>
      </c>
      <c r="C9057" s="29"/>
      <c r="D9057" s="29" t="s">
        <v>4156</v>
      </c>
      <c r="E9057" s="29"/>
      <c r="F9057" s="29" t="s">
        <v>2998</v>
      </c>
      <c r="G9057" s="29" t="s">
        <v>3020</v>
      </c>
      <c r="H9057" s="29" t="s">
        <v>3043</v>
      </c>
      <c r="I9057" s="29"/>
      <c r="J9057" s="29" t="s">
        <v>3044</v>
      </c>
      <c r="K9057" s="29"/>
      <c r="L9057" s="29" t="s">
        <v>1217</v>
      </c>
      <c r="M9057" s="29"/>
      <c r="N9057" s="29" t="s">
        <v>1690</v>
      </c>
      <c r="O9057" s="29"/>
      <c r="P9057" s="29" t="s">
        <v>13943</v>
      </c>
      <c r="Q9057" t="s">
        <v>2039</v>
      </c>
      <c r="R9057" t="s">
        <v>2632</v>
      </c>
      <c r="S9057">
        <v>37</v>
      </c>
      <c r="T9057" s="43" t="str">
        <f>HYPERLINK("https://ictv.global/ictv/proposals/2021.034M.R.Quaranjavirus_4nsp.zip","2021.034M.R.Quaranjavirus_4nsp.zip")</f>
        <v>2021.034M.R.Quaranjavirus_4nsp.zip</v>
      </c>
      <c r="U9057" s="43" t="str">
        <f>HYPERLINK("https://ictv.global/taxonomy/taxondetails?taxnode_id=202212245","ictv.global=202212245")</f>
        <v>ictv.global=202212245</v>
      </c>
    </row>
    <row r="9058" spans="1:21">
      <c r="A9058">
        <v>9057</v>
      </c>
      <c r="B9058" s="29" t="s">
        <v>3223</v>
      </c>
      <c r="C9058" s="29"/>
      <c r="D9058" s="29" t="s">
        <v>4156</v>
      </c>
      <c r="E9058" s="29"/>
      <c r="F9058" s="29" t="s">
        <v>2998</v>
      </c>
      <c r="G9058" s="29" t="s">
        <v>3020</v>
      </c>
      <c r="H9058" s="29" t="s">
        <v>3043</v>
      </c>
      <c r="I9058" s="29"/>
      <c r="J9058" s="29" t="s">
        <v>3044</v>
      </c>
      <c r="K9058" s="29"/>
      <c r="L9058" s="29" t="s">
        <v>1217</v>
      </c>
      <c r="M9058" s="29"/>
      <c r="N9058" s="29" t="s">
        <v>1690</v>
      </c>
      <c r="O9058" s="29"/>
      <c r="P9058" s="29" t="s">
        <v>13944</v>
      </c>
      <c r="Q9058" t="s">
        <v>2039</v>
      </c>
      <c r="R9058" t="s">
        <v>2635</v>
      </c>
      <c r="S9058">
        <v>37</v>
      </c>
      <c r="T9058" s="43" t="str">
        <f>HYPERLINK("https://ictv.global/ictv/proposals/2021.024M.R.Orthomyxoviridae_sprename.zip","2021.024M.R.Orthomyxoviridae_sprename.zip")</f>
        <v>2021.024M.R.Orthomyxoviridae_sprename.zip</v>
      </c>
      <c r="U9058" s="43" t="str">
        <f>HYPERLINK("https://ictv.global/taxonomy/taxondetails?taxnode_id=202203966","ictv.global=202203966")</f>
        <v>ictv.global=202203966</v>
      </c>
    </row>
    <row r="9059" spans="1:21">
      <c r="A9059">
        <v>9058</v>
      </c>
      <c r="B9059" s="29" t="s">
        <v>3223</v>
      </c>
      <c r="C9059" s="29"/>
      <c r="D9059" s="29" t="s">
        <v>4156</v>
      </c>
      <c r="E9059" s="29"/>
      <c r="F9059" s="29" t="s">
        <v>2998</v>
      </c>
      <c r="G9059" s="29" t="s">
        <v>3020</v>
      </c>
      <c r="H9059" s="29" t="s">
        <v>3043</v>
      </c>
      <c r="I9059" s="29"/>
      <c r="J9059" s="29" t="s">
        <v>3044</v>
      </c>
      <c r="K9059" s="29"/>
      <c r="L9059" s="29" t="s">
        <v>1217</v>
      </c>
      <c r="M9059" s="29"/>
      <c r="N9059" s="29" t="s">
        <v>1690</v>
      </c>
      <c r="O9059" s="29"/>
      <c r="P9059" s="29" t="s">
        <v>13945</v>
      </c>
      <c r="Q9059" t="s">
        <v>2039</v>
      </c>
      <c r="R9059" t="s">
        <v>2635</v>
      </c>
      <c r="S9059">
        <v>37</v>
      </c>
      <c r="T9059" s="43" t="str">
        <f>HYPERLINK("https://ictv.global/ictv/proposals/2021.024M.R.Orthomyxoviridae_sprename.zip","2021.024M.R.Orthomyxoviridae_sprename.zip")</f>
        <v>2021.024M.R.Orthomyxoviridae_sprename.zip</v>
      </c>
      <c r="U9059" s="43" t="str">
        <f>HYPERLINK("https://ictv.global/taxonomy/taxondetails?taxnode_id=202203967","ictv.global=202203967")</f>
        <v>ictv.global=202203967</v>
      </c>
    </row>
    <row r="9060" spans="1:21">
      <c r="A9060">
        <v>9059</v>
      </c>
      <c r="B9060" s="29" t="s">
        <v>3223</v>
      </c>
      <c r="C9060" s="29"/>
      <c r="D9060" s="29" t="s">
        <v>4156</v>
      </c>
      <c r="E9060" s="29"/>
      <c r="F9060" s="29" t="s">
        <v>2998</v>
      </c>
      <c r="G9060" s="29" t="s">
        <v>3020</v>
      </c>
      <c r="H9060" s="29" t="s">
        <v>3043</v>
      </c>
      <c r="I9060" s="29"/>
      <c r="J9060" s="29" t="s">
        <v>3044</v>
      </c>
      <c r="K9060" s="29"/>
      <c r="L9060" s="29" t="s">
        <v>1217</v>
      </c>
      <c r="M9060" s="29"/>
      <c r="N9060" s="29" t="s">
        <v>1690</v>
      </c>
      <c r="O9060" s="29"/>
      <c r="P9060" s="29" t="s">
        <v>13946</v>
      </c>
      <c r="Q9060" t="s">
        <v>2039</v>
      </c>
      <c r="R9060" t="s">
        <v>2632</v>
      </c>
      <c r="S9060">
        <v>37</v>
      </c>
      <c r="T9060" s="43" t="str">
        <f>HYPERLINK("https://ictv.global/ictv/proposals/2021.034M.R.Quaranjavirus_4nsp.zip","2021.034M.R.Quaranjavirus_4nsp.zip")</f>
        <v>2021.034M.R.Quaranjavirus_4nsp.zip</v>
      </c>
      <c r="U9060" s="43" t="str">
        <f>HYPERLINK("https://ictv.global/taxonomy/taxondetails?taxnode_id=202212246","ictv.global=202212246")</f>
        <v>ictv.global=202212246</v>
      </c>
    </row>
    <row r="9061" spans="1:21">
      <c r="A9061">
        <v>9060</v>
      </c>
      <c r="B9061" s="29" t="s">
        <v>3223</v>
      </c>
      <c r="C9061" s="29"/>
      <c r="D9061" s="29" t="s">
        <v>4156</v>
      </c>
      <c r="E9061" s="29"/>
      <c r="F9061" s="29" t="s">
        <v>2998</v>
      </c>
      <c r="G9061" s="29" t="s">
        <v>3020</v>
      </c>
      <c r="H9061" s="29" t="s">
        <v>3043</v>
      </c>
      <c r="I9061" s="29"/>
      <c r="J9061" s="29" t="s">
        <v>3044</v>
      </c>
      <c r="K9061" s="29"/>
      <c r="L9061" s="29" t="s">
        <v>1217</v>
      </c>
      <c r="M9061" s="29"/>
      <c r="N9061" s="29" t="s">
        <v>1690</v>
      </c>
      <c r="O9061" s="29"/>
      <c r="P9061" s="29" t="s">
        <v>13947</v>
      </c>
      <c r="Q9061" t="s">
        <v>2039</v>
      </c>
      <c r="R9061" t="s">
        <v>2632</v>
      </c>
      <c r="S9061">
        <v>37</v>
      </c>
      <c r="T9061" s="43" t="str">
        <f>HYPERLINK("https://ictv.global/ictv/proposals/2021.034M.R.Quaranjavirus_4nsp.zip","2021.034M.R.Quaranjavirus_4nsp.zip")</f>
        <v>2021.034M.R.Quaranjavirus_4nsp.zip</v>
      </c>
      <c r="U9061" s="43" t="str">
        <f>HYPERLINK("https://ictv.global/taxonomy/taxondetails?taxnode_id=202212247","ictv.global=202212247")</f>
        <v>ictv.global=202212247</v>
      </c>
    </row>
    <row r="9062" spans="1:21">
      <c r="A9062">
        <v>9061</v>
      </c>
      <c r="B9062" s="29" t="s">
        <v>3223</v>
      </c>
      <c r="C9062" s="29"/>
      <c r="D9062" s="29" t="s">
        <v>4156</v>
      </c>
      <c r="E9062" s="29"/>
      <c r="F9062" s="29" t="s">
        <v>2998</v>
      </c>
      <c r="G9062" s="29" t="s">
        <v>3020</v>
      </c>
      <c r="H9062" s="29" t="s">
        <v>3043</v>
      </c>
      <c r="I9062" s="29"/>
      <c r="J9062" s="29" t="s">
        <v>3044</v>
      </c>
      <c r="K9062" s="29"/>
      <c r="L9062" s="29" t="s">
        <v>1217</v>
      </c>
      <c r="M9062" s="29"/>
      <c r="N9062" s="29" t="s">
        <v>13948</v>
      </c>
      <c r="O9062" s="29"/>
      <c r="P9062" s="29" t="s">
        <v>13949</v>
      </c>
      <c r="Q9062" t="s">
        <v>2039</v>
      </c>
      <c r="R9062" t="s">
        <v>2632</v>
      </c>
      <c r="S9062">
        <v>37</v>
      </c>
      <c r="T9062" s="43" t="str">
        <f>HYPERLINK("https://ictv.global/ictv/proposals/2021.023M.R.Orthomyxoviridae_1ngen_1nsp_Sardino.zip","2021.023M.R.Orthomyxoviridae_1ngen_1nsp_Sardino.zip")</f>
        <v>2021.023M.R.Orthomyxoviridae_1ngen_1nsp_Sardino.zip</v>
      </c>
      <c r="U9062" s="43" t="str">
        <f>HYPERLINK("https://ictv.global/taxonomy/taxondetails?taxnode_id=202212230","ictv.global=202212230")</f>
        <v>ictv.global=202212230</v>
      </c>
    </row>
    <row r="9063" spans="1:21">
      <c r="A9063">
        <v>9062</v>
      </c>
      <c r="B9063" s="29" t="s">
        <v>3223</v>
      </c>
      <c r="C9063" s="29"/>
      <c r="D9063" s="29" t="s">
        <v>4156</v>
      </c>
      <c r="E9063" s="29"/>
      <c r="F9063" s="29" t="s">
        <v>2998</v>
      </c>
      <c r="G9063" s="29" t="s">
        <v>3020</v>
      </c>
      <c r="H9063" s="29" t="s">
        <v>3043</v>
      </c>
      <c r="I9063" s="29"/>
      <c r="J9063" s="29" t="s">
        <v>3044</v>
      </c>
      <c r="K9063" s="29"/>
      <c r="L9063" s="29" t="s">
        <v>1217</v>
      </c>
      <c r="M9063" s="29"/>
      <c r="N9063" s="29" t="s">
        <v>637</v>
      </c>
      <c r="O9063" s="29"/>
      <c r="P9063" s="29" t="s">
        <v>13950</v>
      </c>
      <c r="Q9063" t="s">
        <v>2039</v>
      </c>
      <c r="R9063" t="s">
        <v>2632</v>
      </c>
      <c r="S9063">
        <v>37</v>
      </c>
      <c r="T9063" s="43" t="str">
        <f>HYPERLINK("https://ictv.global/ictv/proposals/2021.038M.R.Thogotovirus_6nsp.zip","2021.038M.R.Thogotovirus_6nsp.zip")</f>
        <v>2021.038M.R.Thogotovirus_6nsp.zip</v>
      </c>
      <c r="U9063" s="43" t="str">
        <f>HYPERLINK("https://ictv.global/taxonomy/taxondetails?taxnode_id=202212930","ictv.global=202212930")</f>
        <v>ictv.global=202212930</v>
      </c>
    </row>
    <row r="9064" spans="1:21">
      <c r="A9064">
        <v>9063</v>
      </c>
      <c r="B9064" s="29" t="s">
        <v>3223</v>
      </c>
      <c r="C9064" s="29"/>
      <c r="D9064" s="29" t="s">
        <v>4156</v>
      </c>
      <c r="E9064" s="29"/>
      <c r="F9064" s="29" t="s">
        <v>2998</v>
      </c>
      <c r="G9064" s="29" t="s">
        <v>3020</v>
      </c>
      <c r="H9064" s="29" t="s">
        <v>3043</v>
      </c>
      <c r="I9064" s="29"/>
      <c r="J9064" s="29" t="s">
        <v>3044</v>
      </c>
      <c r="K9064" s="29"/>
      <c r="L9064" s="29" t="s">
        <v>1217</v>
      </c>
      <c r="M9064" s="29"/>
      <c r="N9064" s="29" t="s">
        <v>637</v>
      </c>
      <c r="O9064" s="29"/>
      <c r="P9064" s="29" t="s">
        <v>13951</v>
      </c>
      <c r="Q9064" t="s">
        <v>2039</v>
      </c>
      <c r="R9064" t="s">
        <v>2635</v>
      </c>
      <c r="S9064">
        <v>37</v>
      </c>
      <c r="T9064" s="43" t="str">
        <f>HYPERLINK("https://ictv.global/ictv/proposals/2021.024M.R.Orthomyxoviridae_sprename.zip","2021.024M.R.Orthomyxoviridae_sprename.zip")</f>
        <v>2021.024M.R.Orthomyxoviridae_sprename.zip</v>
      </c>
      <c r="U9064" s="43" t="str">
        <f>HYPERLINK("https://ictv.global/taxonomy/taxondetails?taxnode_id=202203969","ictv.global=202203969")</f>
        <v>ictv.global=202203969</v>
      </c>
    </row>
    <row r="9065" spans="1:21">
      <c r="A9065">
        <v>9064</v>
      </c>
      <c r="B9065" s="29" t="s">
        <v>3223</v>
      </c>
      <c r="C9065" s="29"/>
      <c r="D9065" s="29" t="s">
        <v>4156</v>
      </c>
      <c r="E9065" s="29"/>
      <c r="F9065" s="29" t="s">
        <v>2998</v>
      </c>
      <c r="G9065" s="29" t="s">
        <v>3020</v>
      </c>
      <c r="H9065" s="29" t="s">
        <v>3043</v>
      </c>
      <c r="I9065" s="29"/>
      <c r="J9065" s="29" t="s">
        <v>3044</v>
      </c>
      <c r="K9065" s="29"/>
      <c r="L9065" s="29" t="s">
        <v>1217</v>
      </c>
      <c r="M9065" s="29"/>
      <c r="N9065" s="29" t="s">
        <v>637</v>
      </c>
      <c r="O9065" s="29"/>
      <c r="P9065" s="29" t="s">
        <v>13952</v>
      </c>
      <c r="Q9065" t="s">
        <v>2039</v>
      </c>
      <c r="R9065" t="s">
        <v>2632</v>
      </c>
      <c r="S9065">
        <v>37</v>
      </c>
      <c r="T9065" s="43" t="str">
        <f>HYPERLINK("https://ictv.global/ictv/proposals/2021.038M.R.Thogotovirus_6nsp.zip","2021.038M.R.Thogotovirus_6nsp.zip")</f>
        <v>2021.038M.R.Thogotovirus_6nsp.zip</v>
      </c>
      <c r="U9065" s="43" t="str">
        <f>HYPERLINK("https://ictv.global/taxonomy/taxondetails?taxnode_id=202212928","ictv.global=202212928")</f>
        <v>ictv.global=202212928</v>
      </c>
    </row>
    <row r="9066" spans="1:21">
      <c r="A9066">
        <v>9065</v>
      </c>
      <c r="B9066" s="29" t="s">
        <v>3223</v>
      </c>
      <c r="C9066" s="29"/>
      <c r="D9066" s="29" t="s">
        <v>4156</v>
      </c>
      <c r="E9066" s="29"/>
      <c r="F9066" s="29" t="s">
        <v>2998</v>
      </c>
      <c r="G9066" s="29" t="s">
        <v>3020</v>
      </c>
      <c r="H9066" s="29" t="s">
        <v>3043</v>
      </c>
      <c r="I9066" s="29"/>
      <c r="J9066" s="29" t="s">
        <v>3044</v>
      </c>
      <c r="K9066" s="29"/>
      <c r="L9066" s="29" t="s">
        <v>1217</v>
      </c>
      <c r="M9066" s="29"/>
      <c r="N9066" s="29" t="s">
        <v>637</v>
      </c>
      <c r="O9066" s="29"/>
      <c r="P9066" s="29" t="s">
        <v>13953</v>
      </c>
      <c r="Q9066" t="s">
        <v>2039</v>
      </c>
      <c r="R9066" t="s">
        <v>2632</v>
      </c>
      <c r="S9066">
        <v>37</v>
      </c>
      <c r="T9066" s="43" t="str">
        <f>HYPERLINK("https://ictv.global/ictv/proposals/2021.038M.R.Thogotovirus_6nsp.zip","2021.038M.R.Thogotovirus_6nsp.zip")</f>
        <v>2021.038M.R.Thogotovirus_6nsp.zip</v>
      </c>
      <c r="U9066" s="43" t="str">
        <f>HYPERLINK("https://ictv.global/taxonomy/taxondetails?taxnode_id=202212931","ictv.global=202212931")</f>
        <v>ictv.global=202212931</v>
      </c>
    </row>
    <row r="9067" spans="1:21">
      <c r="A9067">
        <v>9066</v>
      </c>
      <c r="B9067" s="29" t="s">
        <v>3223</v>
      </c>
      <c r="C9067" s="29"/>
      <c r="D9067" s="29" t="s">
        <v>4156</v>
      </c>
      <c r="E9067" s="29"/>
      <c r="F9067" s="29" t="s">
        <v>2998</v>
      </c>
      <c r="G9067" s="29" t="s">
        <v>3020</v>
      </c>
      <c r="H9067" s="29" t="s">
        <v>3043</v>
      </c>
      <c r="I9067" s="29"/>
      <c r="J9067" s="29" t="s">
        <v>3044</v>
      </c>
      <c r="K9067" s="29"/>
      <c r="L9067" s="29" t="s">
        <v>1217</v>
      </c>
      <c r="M9067" s="29"/>
      <c r="N9067" s="29" t="s">
        <v>637</v>
      </c>
      <c r="O9067" s="29"/>
      <c r="P9067" s="29" t="s">
        <v>13954</v>
      </c>
      <c r="Q9067" t="s">
        <v>2039</v>
      </c>
      <c r="R9067" t="s">
        <v>2632</v>
      </c>
      <c r="S9067">
        <v>37</v>
      </c>
      <c r="T9067" s="43" t="str">
        <f>HYPERLINK("https://ictv.global/ictv/proposals/2021.038M.R.Thogotovirus_6nsp.zip","2021.038M.R.Thogotovirus_6nsp.zip")</f>
        <v>2021.038M.R.Thogotovirus_6nsp.zip</v>
      </c>
      <c r="U9067" s="43" t="str">
        <f>HYPERLINK("https://ictv.global/taxonomy/taxondetails?taxnode_id=202212933","ictv.global=202212933")</f>
        <v>ictv.global=202212933</v>
      </c>
    </row>
    <row r="9068" spans="1:21">
      <c r="A9068">
        <v>9067</v>
      </c>
      <c r="B9068" s="29" t="s">
        <v>3223</v>
      </c>
      <c r="C9068" s="29"/>
      <c r="D9068" s="29" t="s">
        <v>4156</v>
      </c>
      <c r="E9068" s="29"/>
      <c r="F9068" s="29" t="s">
        <v>2998</v>
      </c>
      <c r="G9068" s="29" t="s">
        <v>3020</v>
      </c>
      <c r="H9068" s="29" t="s">
        <v>3043</v>
      </c>
      <c r="I9068" s="29"/>
      <c r="J9068" s="29" t="s">
        <v>3044</v>
      </c>
      <c r="K9068" s="29"/>
      <c r="L9068" s="29" t="s">
        <v>1217</v>
      </c>
      <c r="M9068" s="29"/>
      <c r="N9068" s="29" t="s">
        <v>637</v>
      </c>
      <c r="O9068" s="29"/>
      <c r="P9068" s="29" t="s">
        <v>13955</v>
      </c>
      <c r="Q9068" t="s">
        <v>2039</v>
      </c>
      <c r="R9068" t="s">
        <v>2632</v>
      </c>
      <c r="S9068">
        <v>37</v>
      </c>
      <c r="T9068" s="43" t="str">
        <f>HYPERLINK("https://ictv.global/ictv/proposals/2021.038M.R.Thogotovirus_6nsp.zip","2021.038M.R.Thogotovirus_6nsp.zip")</f>
        <v>2021.038M.R.Thogotovirus_6nsp.zip</v>
      </c>
      <c r="U9068" s="43" t="str">
        <f>HYPERLINK("https://ictv.global/taxonomy/taxondetails?taxnode_id=202212932","ictv.global=202212932")</f>
        <v>ictv.global=202212932</v>
      </c>
    </row>
    <row r="9069" spans="1:21">
      <c r="A9069">
        <v>9068</v>
      </c>
      <c r="B9069" s="29" t="s">
        <v>3223</v>
      </c>
      <c r="C9069" s="29"/>
      <c r="D9069" s="29" t="s">
        <v>4156</v>
      </c>
      <c r="E9069" s="29"/>
      <c r="F9069" s="29" t="s">
        <v>2998</v>
      </c>
      <c r="G9069" s="29" t="s">
        <v>3020</v>
      </c>
      <c r="H9069" s="29" t="s">
        <v>3043</v>
      </c>
      <c r="I9069" s="29"/>
      <c r="J9069" s="29" t="s">
        <v>3044</v>
      </c>
      <c r="K9069" s="29"/>
      <c r="L9069" s="29" t="s">
        <v>1217</v>
      </c>
      <c r="M9069" s="29"/>
      <c r="N9069" s="29" t="s">
        <v>637</v>
      </c>
      <c r="O9069" s="29"/>
      <c r="P9069" s="29" t="s">
        <v>13956</v>
      </c>
      <c r="Q9069" t="s">
        <v>2039</v>
      </c>
      <c r="R9069" t="s">
        <v>2635</v>
      </c>
      <c r="S9069">
        <v>37</v>
      </c>
      <c r="T9069" s="43" t="str">
        <f>HYPERLINK("https://ictv.global/ictv/proposals/2021.024M.R.Orthomyxoviridae_sprename.zip","2021.024M.R.Orthomyxoviridae_sprename.zip")</f>
        <v>2021.024M.R.Orthomyxoviridae_sprename.zip</v>
      </c>
      <c r="U9069" s="43" t="str">
        <f>HYPERLINK("https://ictv.global/taxonomy/taxondetails?taxnode_id=202203970","ictv.global=202203970")</f>
        <v>ictv.global=202203970</v>
      </c>
    </row>
    <row r="9070" spans="1:21">
      <c r="A9070">
        <v>9069</v>
      </c>
      <c r="B9070" s="29" t="s">
        <v>3223</v>
      </c>
      <c r="C9070" s="29"/>
      <c r="D9070" s="29" t="s">
        <v>4156</v>
      </c>
      <c r="E9070" s="29"/>
      <c r="F9070" s="29" t="s">
        <v>2998</v>
      </c>
      <c r="G9070" s="29" t="s">
        <v>3020</v>
      </c>
      <c r="H9070" s="29" t="s">
        <v>3043</v>
      </c>
      <c r="I9070" s="29"/>
      <c r="J9070" s="29" t="s">
        <v>3044</v>
      </c>
      <c r="K9070" s="29"/>
      <c r="L9070" s="29" t="s">
        <v>1217</v>
      </c>
      <c r="M9070" s="29"/>
      <c r="N9070" s="29" t="s">
        <v>637</v>
      </c>
      <c r="O9070" s="29"/>
      <c r="P9070" s="29" t="s">
        <v>13957</v>
      </c>
      <c r="Q9070" t="s">
        <v>2039</v>
      </c>
      <c r="R9070" t="s">
        <v>2632</v>
      </c>
      <c r="S9070">
        <v>37</v>
      </c>
      <c r="T9070" s="43" t="str">
        <f>HYPERLINK("https://ictv.global/ictv/proposals/2021.038M.R.Thogotovirus_6nsp.zip","2021.038M.R.Thogotovirus_6nsp.zip")</f>
        <v>2021.038M.R.Thogotovirus_6nsp.zip</v>
      </c>
      <c r="U9070" s="43" t="str">
        <f>HYPERLINK("https://ictv.global/taxonomy/taxondetails?taxnode_id=202212929","ictv.global=202212929")</f>
        <v>ictv.global=202212929</v>
      </c>
    </row>
    <row r="9071" spans="1:21">
      <c r="A9071">
        <v>9070</v>
      </c>
      <c r="B9071" s="29" t="s">
        <v>3223</v>
      </c>
      <c r="C9071" s="29"/>
      <c r="D9071" s="29" t="s">
        <v>4156</v>
      </c>
      <c r="E9071" s="29"/>
      <c r="F9071" s="29" t="s">
        <v>2998</v>
      </c>
      <c r="G9071" s="29"/>
      <c r="H9071" s="29"/>
      <c r="I9071" s="29"/>
      <c r="J9071" s="29"/>
      <c r="K9071" s="29"/>
      <c r="L9071" s="29" t="s">
        <v>13958</v>
      </c>
      <c r="M9071" s="29"/>
      <c r="N9071" s="29" t="s">
        <v>13959</v>
      </c>
      <c r="O9071" s="29"/>
      <c r="P9071" s="29" t="s">
        <v>13960</v>
      </c>
      <c r="Q9071" t="s">
        <v>2190</v>
      </c>
      <c r="R9071" t="s">
        <v>2632</v>
      </c>
      <c r="S9071">
        <v>38</v>
      </c>
      <c r="T9071" s="43" t="str">
        <f>HYPERLINK("https://ictv.global/ictv/proposals/2022.010M.Fraservirus_1nfam_1ngen_1nsp.zip","2022.010M.Fraservirus_1nfam_1ngen_1nsp.zip")</f>
        <v>2022.010M.Fraservirus_1nfam_1ngen_1nsp.zip</v>
      </c>
      <c r="U9071" s="43" t="str">
        <f>HYPERLINK("https://ictv.global/taxonomy/taxondetails?taxnode_id=202214180","ictv.global=202214180")</f>
        <v>ictv.global=202214180</v>
      </c>
    </row>
    <row r="9072" spans="1:21">
      <c r="A9072">
        <v>9071</v>
      </c>
      <c r="B9072" s="29" t="s">
        <v>3223</v>
      </c>
      <c r="C9072" s="29"/>
      <c r="D9072" s="29" t="s">
        <v>4156</v>
      </c>
      <c r="E9072" s="29"/>
      <c r="F9072" s="29" t="s">
        <v>4230</v>
      </c>
      <c r="G9072" s="29"/>
      <c r="H9072" s="29" t="s">
        <v>4231</v>
      </c>
      <c r="I9072" s="29"/>
      <c r="J9072" s="29" t="s">
        <v>4232</v>
      </c>
      <c r="K9072" s="29"/>
      <c r="L9072" s="29" t="s">
        <v>1782</v>
      </c>
      <c r="M9072" s="29"/>
      <c r="N9072" s="29" t="s">
        <v>1783</v>
      </c>
      <c r="O9072" s="29"/>
      <c r="P9072" s="29" t="s">
        <v>13961</v>
      </c>
      <c r="Q9072" t="s">
        <v>2042</v>
      </c>
      <c r="R9072" t="s">
        <v>2635</v>
      </c>
      <c r="S9072">
        <v>38</v>
      </c>
      <c r="T9072" s="43" t="str">
        <f t="shared" ref="T9072:T9081" si="391">HYPERLINK("https://ictv.global/ictv/proposals/2022.006P.Amalgaviridae_rename.zip","2022.006P.Amalgaviridae_rename.zip")</f>
        <v>2022.006P.Amalgaviridae_rename.zip</v>
      </c>
      <c r="U9072" s="43" t="str">
        <f>HYPERLINK("https://ictv.global/taxonomy/taxondetails?taxnode_id=202206725","ictv.global=202206725")</f>
        <v>ictv.global=202206725</v>
      </c>
    </row>
    <row r="9073" spans="1:21">
      <c r="A9073">
        <v>9072</v>
      </c>
      <c r="B9073" s="29" t="s">
        <v>3223</v>
      </c>
      <c r="C9073" s="29"/>
      <c r="D9073" s="29" t="s">
        <v>4156</v>
      </c>
      <c r="E9073" s="29"/>
      <c r="F9073" s="29" t="s">
        <v>4230</v>
      </c>
      <c r="G9073" s="29"/>
      <c r="H9073" s="29" t="s">
        <v>4231</v>
      </c>
      <c r="I9073" s="29"/>
      <c r="J9073" s="29" t="s">
        <v>4232</v>
      </c>
      <c r="K9073" s="29"/>
      <c r="L9073" s="29" t="s">
        <v>1782</v>
      </c>
      <c r="M9073" s="29"/>
      <c r="N9073" s="29" t="s">
        <v>1783</v>
      </c>
      <c r="O9073" s="29"/>
      <c r="P9073" s="29" t="s">
        <v>13962</v>
      </c>
      <c r="Q9073" t="s">
        <v>2042</v>
      </c>
      <c r="R9073" t="s">
        <v>2635</v>
      </c>
      <c r="S9073">
        <v>38</v>
      </c>
      <c r="T9073" s="43" t="str">
        <f t="shared" si="391"/>
        <v>2022.006P.Amalgaviridae_rename.zip</v>
      </c>
      <c r="U9073" s="43" t="str">
        <f>HYPERLINK("https://ictv.global/taxonomy/taxondetails?taxnode_id=202206726","ictv.global=202206726")</f>
        <v>ictv.global=202206726</v>
      </c>
    </row>
    <row r="9074" spans="1:21">
      <c r="A9074">
        <v>9073</v>
      </c>
      <c r="B9074" s="29" t="s">
        <v>3223</v>
      </c>
      <c r="C9074" s="29"/>
      <c r="D9074" s="29" t="s">
        <v>4156</v>
      </c>
      <c r="E9074" s="29"/>
      <c r="F9074" s="29" t="s">
        <v>4230</v>
      </c>
      <c r="G9074" s="29"/>
      <c r="H9074" s="29" t="s">
        <v>4231</v>
      </c>
      <c r="I9074" s="29"/>
      <c r="J9074" s="29" t="s">
        <v>4232</v>
      </c>
      <c r="K9074" s="29"/>
      <c r="L9074" s="29" t="s">
        <v>1782</v>
      </c>
      <c r="M9074" s="29"/>
      <c r="N9074" s="29" t="s">
        <v>1783</v>
      </c>
      <c r="O9074" s="29"/>
      <c r="P9074" s="29" t="s">
        <v>13963</v>
      </c>
      <c r="Q9074" t="s">
        <v>2042</v>
      </c>
      <c r="R9074" t="s">
        <v>2635</v>
      </c>
      <c r="S9074">
        <v>38</v>
      </c>
      <c r="T9074" s="43" t="str">
        <f t="shared" si="391"/>
        <v>2022.006P.Amalgaviridae_rename.zip</v>
      </c>
      <c r="U9074" s="43" t="str">
        <f>HYPERLINK("https://ictv.global/taxonomy/taxondetails?taxnode_id=202202479","ictv.global=202202479")</f>
        <v>ictv.global=202202479</v>
      </c>
    </row>
    <row r="9075" spans="1:21">
      <c r="A9075">
        <v>9074</v>
      </c>
      <c r="B9075" s="29" t="s">
        <v>3223</v>
      </c>
      <c r="C9075" s="29"/>
      <c r="D9075" s="29" t="s">
        <v>4156</v>
      </c>
      <c r="E9075" s="29"/>
      <c r="F9075" s="29" t="s">
        <v>4230</v>
      </c>
      <c r="G9075" s="29"/>
      <c r="H9075" s="29" t="s">
        <v>4231</v>
      </c>
      <c r="I9075" s="29"/>
      <c r="J9075" s="29" t="s">
        <v>4232</v>
      </c>
      <c r="K9075" s="29"/>
      <c r="L9075" s="29" t="s">
        <v>1782</v>
      </c>
      <c r="M9075" s="29"/>
      <c r="N9075" s="29" t="s">
        <v>1783</v>
      </c>
      <c r="O9075" s="29"/>
      <c r="P9075" s="29" t="s">
        <v>13964</v>
      </c>
      <c r="Q9075" t="s">
        <v>2042</v>
      </c>
      <c r="R9075" t="s">
        <v>2635</v>
      </c>
      <c r="S9075">
        <v>38</v>
      </c>
      <c r="T9075" s="43" t="str">
        <f t="shared" si="391"/>
        <v>2022.006P.Amalgaviridae_rename.zip</v>
      </c>
      <c r="U9075" s="43" t="str">
        <f>HYPERLINK("https://ictv.global/taxonomy/taxondetails?taxnode_id=202206729","ictv.global=202206729")</f>
        <v>ictv.global=202206729</v>
      </c>
    </row>
    <row r="9076" spans="1:21">
      <c r="A9076">
        <v>9075</v>
      </c>
      <c r="B9076" s="29" t="s">
        <v>3223</v>
      </c>
      <c r="C9076" s="29"/>
      <c r="D9076" s="29" t="s">
        <v>4156</v>
      </c>
      <c r="E9076" s="29"/>
      <c r="F9076" s="29" t="s">
        <v>4230</v>
      </c>
      <c r="G9076" s="29"/>
      <c r="H9076" s="29" t="s">
        <v>4231</v>
      </c>
      <c r="I9076" s="29"/>
      <c r="J9076" s="29" t="s">
        <v>4232</v>
      </c>
      <c r="K9076" s="29"/>
      <c r="L9076" s="29" t="s">
        <v>1782</v>
      </c>
      <c r="M9076" s="29"/>
      <c r="N9076" s="29" t="s">
        <v>1783</v>
      </c>
      <c r="O9076" s="29"/>
      <c r="P9076" s="29" t="s">
        <v>13965</v>
      </c>
      <c r="Q9076" t="s">
        <v>2042</v>
      </c>
      <c r="R9076" t="s">
        <v>2635</v>
      </c>
      <c r="S9076">
        <v>38</v>
      </c>
      <c r="T9076" s="43" t="str">
        <f t="shared" si="391"/>
        <v>2022.006P.Amalgaviridae_rename.zip</v>
      </c>
      <c r="U9076" s="43" t="str">
        <f>HYPERLINK("https://ictv.global/taxonomy/taxondetails?taxnode_id=202202478","ictv.global=202202478")</f>
        <v>ictv.global=202202478</v>
      </c>
    </row>
    <row r="9077" spans="1:21">
      <c r="A9077">
        <v>9076</v>
      </c>
      <c r="B9077" s="29" t="s">
        <v>3223</v>
      </c>
      <c r="C9077" s="29"/>
      <c r="D9077" s="29" t="s">
        <v>4156</v>
      </c>
      <c r="E9077" s="29"/>
      <c r="F9077" s="29" t="s">
        <v>4230</v>
      </c>
      <c r="G9077" s="29"/>
      <c r="H9077" s="29" t="s">
        <v>4231</v>
      </c>
      <c r="I9077" s="29"/>
      <c r="J9077" s="29" t="s">
        <v>4232</v>
      </c>
      <c r="K9077" s="29"/>
      <c r="L9077" s="29" t="s">
        <v>1782</v>
      </c>
      <c r="M9077" s="29"/>
      <c r="N9077" s="29" t="s">
        <v>1783</v>
      </c>
      <c r="O9077" s="29"/>
      <c r="P9077" s="29" t="s">
        <v>13966</v>
      </c>
      <c r="Q9077" t="s">
        <v>2042</v>
      </c>
      <c r="R9077" t="s">
        <v>2635</v>
      </c>
      <c r="S9077">
        <v>38</v>
      </c>
      <c r="T9077" s="43" t="str">
        <f t="shared" si="391"/>
        <v>2022.006P.Amalgaviridae_rename.zip</v>
      </c>
      <c r="U9077" s="43" t="str">
        <f>HYPERLINK("https://ictv.global/taxonomy/taxondetails?taxnode_id=202206727","ictv.global=202206727")</f>
        <v>ictv.global=202206727</v>
      </c>
    </row>
    <row r="9078" spans="1:21">
      <c r="A9078">
        <v>9077</v>
      </c>
      <c r="B9078" s="29" t="s">
        <v>3223</v>
      </c>
      <c r="C9078" s="29"/>
      <c r="D9078" s="29" t="s">
        <v>4156</v>
      </c>
      <c r="E9078" s="29"/>
      <c r="F9078" s="29" t="s">
        <v>4230</v>
      </c>
      <c r="G9078" s="29"/>
      <c r="H9078" s="29" t="s">
        <v>4231</v>
      </c>
      <c r="I9078" s="29"/>
      <c r="J9078" s="29" t="s">
        <v>4232</v>
      </c>
      <c r="K9078" s="29"/>
      <c r="L9078" s="29" t="s">
        <v>1782</v>
      </c>
      <c r="M9078" s="29"/>
      <c r="N9078" s="29" t="s">
        <v>1783</v>
      </c>
      <c r="O9078" s="29"/>
      <c r="P9078" s="29" t="s">
        <v>13967</v>
      </c>
      <c r="Q9078" t="s">
        <v>2042</v>
      </c>
      <c r="R9078" t="s">
        <v>2635</v>
      </c>
      <c r="S9078">
        <v>38</v>
      </c>
      <c r="T9078" s="43" t="str">
        <f t="shared" si="391"/>
        <v>2022.006P.Amalgaviridae_rename.zip</v>
      </c>
      <c r="U9078" s="43" t="str">
        <f>HYPERLINK("https://ictv.global/taxonomy/taxondetails?taxnode_id=202202477","ictv.global=202202477")</f>
        <v>ictv.global=202202477</v>
      </c>
    </row>
    <row r="9079" spans="1:21">
      <c r="A9079">
        <v>9078</v>
      </c>
      <c r="B9079" s="29" t="s">
        <v>3223</v>
      </c>
      <c r="C9079" s="29"/>
      <c r="D9079" s="29" t="s">
        <v>4156</v>
      </c>
      <c r="E9079" s="29"/>
      <c r="F9079" s="29" t="s">
        <v>4230</v>
      </c>
      <c r="G9079" s="29"/>
      <c r="H9079" s="29" t="s">
        <v>4231</v>
      </c>
      <c r="I9079" s="29"/>
      <c r="J9079" s="29" t="s">
        <v>4232</v>
      </c>
      <c r="K9079" s="29"/>
      <c r="L9079" s="29" t="s">
        <v>1782</v>
      </c>
      <c r="M9079" s="29"/>
      <c r="N9079" s="29" t="s">
        <v>1783</v>
      </c>
      <c r="O9079" s="29"/>
      <c r="P9079" s="29" t="s">
        <v>13968</v>
      </c>
      <c r="Q9079" t="s">
        <v>2042</v>
      </c>
      <c r="R9079" t="s">
        <v>2635</v>
      </c>
      <c r="S9079">
        <v>38</v>
      </c>
      <c r="T9079" s="43" t="str">
        <f t="shared" si="391"/>
        <v>2022.006P.Amalgaviridae_rename.zip</v>
      </c>
      <c r="U9079" s="43" t="str">
        <f>HYPERLINK("https://ictv.global/taxonomy/taxondetails?taxnode_id=202202480","ictv.global=202202480")</f>
        <v>ictv.global=202202480</v>
      </c>
    </row>
    <row r="9080" spans="1:21">
      <c r="A9080">
        <v>9079</v>
      </c>
      <c r="B9080" s="29" t="s">
        <v>3223</v>
      </c>
      <c r="C9080" s="29"/>
      <c r="D9080" s="29" t="s">
        <v>4156</v>
      </c>
      <c r="E9080" s="29"/>
      <c r="F9080" s="29" t="s">
        <v>4230</v>
      </c>
      <c r="G9080" s="29"/>
      <c r="H9080" s="29" t="s">
        <v>4231</v>
      </c>
      <c r="I9080" s="29"/>
      <c r="J9080" s="29" t="s">
        <v>4232</v>
      </c>
      <c r="K9080" s="29"/>
      <c r="L9080" s="29" t="s">
        <v>1782</v>
      </c>
      <c r="M9080" s="29"/>
      <c r="N9080" s="29" t="s">
        <v>1783</v>
      </c>
      <c r="O9080" s="29"/>
      <c r="P9080" s="29" t="s">
        <v>13969</v>
      </c>
      <c r="Q9080" t="s">
        <v>2042</v>
      </c>
      <c r="R9080" t="s">
        <v>2635</v>
      </c>
      <c r="S9080">
        <v>38</v>
      </c>
      <c r="T9080" s="43" t="str">
        <f t="shared" si="391"/>
        <v>2022.006P.Amalgaviridae_rename.zip</v>
      </c>
      <c r="U9080" s="43" t="str">
        <f>HYPERLINK("https://ictv.global/taxonomy/taxondetails?taxnode_id=202206728","ictv.global=202206728")</f>
        <v>ictv.global=202206728</v>
      </c>
    </row>
    <row r="9081" spans="1:21">
      <c r="A9081">
        <v>9080</v>
      </c>
      <c r="B9081" s="29" t="s">
        <v>3223</v>
      </c>
      <c r="C9081" s="29"/>
      <c r="D9081" s="29" t="s">
        <v>4156</v>
      </c>
      <c r="E9081" s="29"/>
      <c r="F9081" s="29" t="s">
        <v>4230</v>
      </c>
      <c r="G9081" s="29"/>
      <c r="H9081" s="29" t="s">
        <v>4231</v>
      </c>
      <c r="I9081" s="29"/>
      <c r="J9081" s="29" t="s">
        <v>4232</v>
      </c>
      <c r="K9081" s="29"/>
      <c r="L9081" s="29" t="s">
        <v>1782</v>
      </c>
      <c r="M9081" s="29"/>
      <c r="N9081" s="29" t="s">
        <v>3313</v>
      </c>
      <c r="O9081" s="29"/>
      <c r="P9081" s="29" t="s">
        <v>13970</v>
      </c>
      <c r="Q9081" t="s">
        <v>2042</v>
      </c>
      <c r="R9081" t="s">
        <v>2635</v>
      </c>
      <c r="S9081">
        <v>38</v>
      </c>
      <c r="T9081" s="43" t="str">
        <f t="shared" si="391"/>
        <v>2022.006P.Amalgaviridae_rename.zip</v>
      </c>
      <c r="U9081" s="43" t="str">
        <f>HYPERLINK("https://ictv.global/taxonomy/taxondetails?taxnode_id=202206731","ictv.global=202206731")</f>
        <v>ictv.global=202206731</v>
      </c>
    </row>
    <row r="9082" spans="1:21">
      <c r="A9082">
        <v>9081</v>
      </c>
      <c r="B9082" s="29" t="s">
        <v>3223</v>
      </c>
      <c r="C9082" s="29"/>
      <c r="D9082" s="29" t="s">
        <v>4156</v>
      </c>
      <c r="E9082" s="29"/>
      <c r="F9082" s="29" t="s">
        <v>4230</v>
      </c>
      <c r="G9082" s="29"/>
      <c r="H9082" s="29" t="s">
        <v>4231</v>
      </c>
      <c r="I9082" s="29"/>
      <c r="J9082" s="29" t="s">
        <v>4232</v>
      </c>
      <c r="K9082" s="29"/>
      <c r="L9082" s="29" t="s">
        <v>6678</v>
      </c>
      <c r="M9082" s="29"/>
      <c r="N9082" s="29" t="s">
        <v>6679</v>
      </c>
      <c r="O9082" s="29"/>
      <c r="P9082" s="29" t="s">
        <v>6680</v>
      </c>
      <c r="Q9082" t="s">
        <v>2042</v>
      </c>
      <c r="R9082" t="s">
        <v>2632</v>
      </c>
      <c r="S9082">
        <v>36</v>
      </c>
      <c r="T9082" s="43" t="str">
        <f t="shared" ref="T9082:T9089" si="392">HYPERLINK("https://ictv.global/ictv/proposals/2020.002F.R.Curvulaviridae.zip","2020.002F.R.Curvulaviridae.zip")</f>
        <v>2020.002F.R.Curvulaviridae.zip</v>
      </c>
      <c r="U9082" s="43" t="str">
        <f>HYPERLINK("https://ictv.global/taxonomy/taxondetails?taxnode_id=202208783","ictv.global=202208783")</f>
        <v>ictv.global=202208783</v>
      </c>
    </row>
    <row r="9083" spans="1:21">
      <c r="A9083">
        <v>9082</v>
      </c>
      <c r="B9083" s="29" t="s">
        <v>3223</v>
      </c>
      <c r="C9083" s="29"/>
      <c r="D9083" s="29" t="s">
        <v>4156</v>
      </c>
      <c r="E9083" s="29"/>
      <c r="F9083" s="29" t="s">
        <v>4230</v>
      </c>
      <c r="G9083" s="29"/>
      <c r="H9083" s="29" t="s">
        <v>4231</v>
      </c>
      <c r="I9083" s="29"/>
      <c r="J9083" s="29" t="s">
        <v>4232</v>
      </c>
      <c r="K9083" s="29"/>
      <c r="L9083" s="29" t="s">
        <v>6678</v>
      </c>
      <c r="M9083" s="29"/>
      <c r="N9083" s="29" t="s">
        <v>6679</v>
      </c>
      <c r="O9083" s="29"/>
      <c r="P9083" s="29" t="s">
        <v>6681</v>
      </c>
      <c r="Q9083" t="s">
        <v>2042</v>
      </c>
      <c r="R9083" t="s">
        <v>2632</v>
      </c>
      <c r="S9083">
        <v>36</v>
      </c>
      <c r="T9083" s="43" t="str">
        <f t="shared" si="392"/>
        <v>2020.002F.R.Curvulaviridae.zip</v>
      </c>
      <c r="U9083" s="43" t="str">
        <f>HYPERLINK("https://ictv.global/taxonomy/taxondetails?taxnode_id=202208784","ictv.global=202208784")</f>
        <v>ictv.global=202208784</v>
      </c>
    </row>
    <row r="9084" spans="1:21">
      <c r="A9084">
        <v>9083</v>
      </c>
      <c r="B9084" s="29" t="s">
        <v>3223</v>
      </c>
      <c r="C9084" s="29"/>
      <c r="D9084" s="29" t="s">
        <v>4156</v>
      </c>
      <c r="E9084" s="29"/>
      <c r="F9084" s="29" t="s">
        <v>4230</v>
      </c>
      <c r="G9084" s="29"/>
      <c r="H9084" s="29" t="s">
        <v>4231</v>
      </c>
      <c r="I9084" s="29"/>
      <c r="J9084" s="29" t="s">
        <v>4232</v>
      </c>
      <c r="K9084" s="29"/>
      <c r="L9084" s="29" t="s">
        <v>6678</v>
      </c>
      <c r="M9084" s="29"/>
      <c r="N9084" s="29" t="s">
        <v>6679</v>
      </c>
      <c r="O9084" s="29"/>
      <c r="P9084" s="29" t="s">
        <v>6682</v>
      </c>
      <c r="Q9084" t="s">
        <v>2042</v>
      </c>
      <c r="R9084" t="s">
        <v>2632</v>
      </c>
      <c r="S9084">
        <v>36</v>
      </c>
      <c r="T9084" s="43" t="str">
        <f t="shared" si="392"/>
        <v>2020.002F.R.Curvulaviridae.zip</v>
      </c>
      <c r="U9084" s="43" t="str">
        <f>HYPERLINK("https://ictv.global/taxonomy/taxondetails?taxnode_id=202208785","ictv.global=202208785")</f>
        <v>ictv.global=202208785</v>
      </c>
    </row>
    <row r="9085" spans="1:21">
      <c r="A9085">
        <v>9084</v>
      </c>
      <c r="B9085" s="29" t="s">
        <v>3223</v>
      </c>
      <c r="C9085" s="29"/>
      <c r="D9085" s="29" t="s">
        <v>4156</v>
      </c>
      <c r="E9085" s="29"/>
      <c r="F9085" s="29" t="s">
        <v>4230</v>
      </c>
      <c r="G9085" s="29"/>
      <c r="H9085" s="29" t="s">
        <v>4231</v>
      </c>
      <c r="I9085" s="29"/>
      <c r="J9085" s="29" t="s">
        <v>4232</v>
      </c>
      <c r="K9085" s="29"/>
      <c r="L9085" s="29" t="s">
        <v>6678</v>
      </c>
      <c r="M9085" s="29"/>
      <c r="N9085" s="29" t="s">
        <v>6679</v>
      </c>
      <c r="O9085" s="29"/>
      <c r="P9085" s="29" t="s">
        <v>6683</v>
      </c>
      <c r="Q9085" t="s">
        <v>2042</v>
      </c>
      <c r="R9085" t="s">
        <v>2632</v>
      </c>
      <c r="S9085">
        <v>36</v>
      </c>
      <c r="T9085" s="43" t="str">
        <f t="shared" si="392"/>
        <v>2020.002F.R.Curvulaviridae.zip</v>
      </c>
      <c r="U9085" s="43" t="str">
        <f>HYPERLINK("https://ictv.global/taxonomy/taxondetails?taxnode_id=202208786","ictv.global=202208786")</f>
        <v>ictv.global=202208786</v>
      </c>
    </row>
    <row r="9086" spans="1:21">
      <c r="A9086">
        <v>9085</v>
      </c>
      <c r="B9086" s="29" t="s">
        <v>3223</v>
      </c>
      <c r="C9086" s="29"/>
      <c r="D9086" s="29" t="s">
        <v>4156</v>
      </c>
      <c r="E9086" s="29"/>
      <c r="F9086" s="29" t="s">
        <v>4230</v>
      </c>
      <c r="G9086" s="29"/>
      <c r="H9086" s="29" t="s">
        <v>4231</v>
      </c>
      <c r="I9086" s="29"/>
      <c r="J9086" s="29" t="s">
        <v>4232</v>
      </c>
      <c r="K9086" s="29"/>
      <c r="L9086" s="29" t="s">
        <v>6678</v>
      </c>
      <c r="M9086" s="29"/>
      <c r="N9086" s="29" t="s">
        <v>6679</v>
      </c>
      <c r="O9086" s="29"/>
      <c r="P9086" s="29" t="s">
        <v>6684</v>
      </c>
      <c r="Q9086" t="s">
        <v>2042</v>
      </c>
      <c r="R9086" t="s">
        <v>2632</v>
      </c>
      <c r="S9086">
        <v>36</v>
      </c>
      <c r="T9086" s="43" t="str">
        <f t="shared" si="392"/>
        <v>2020.002F.R.Curvulaviridae.zip</v>
      </c>
      <c r="U9086" s="43" t="str">
        <f>HYPERLINK("https://ictv.global/taxonomy/taxondetails?taxnode_id=202208787","ictv.global=202208787")</f>
        <v>ictv.global=202208787</v>
      </c>
    </row>
    <row r="9087" spans="1:21">
      <c r="A9087">
        <v>9086</v>
      </c>
      <c r="B9087" s="29" t="s">
        <v>3223</v>
      </c>
      <c r="C9087" s="29"/>
      <c r="D9087" s="29" t="s">
        <v>4156</v>
      </c>
      <c r="E9087" s="29"/>
      <c r="F9087" s="29" t="s">
        <v>4230</v>
      </c>
      <c r="G9087" s="29"/>
      <c r="H9087" s="29" t="s">
        <v>4231</v>
      </c>
      <c r="I9087" s="29"/>
      <c r="J9087" s="29" t="s">
        <v>4232</v>
      </c>
      <c r="K9087" s="29"/>
      <c r="L9087" s="29" t="s">
        <v>6678</v>
      </c>
      <c r="M9087" s="29"/>
      <c r="N9087" s="29" t="s">
        <v>6679</v>
      </c>
      <c r="O9087" s="29"/>
      <c r="P9087" s="29" t="s">
        <v>6685</v>
      </c>
      <c r="Q9087" t="s">
        <v>2042</v>
      </c>
      <c r="R9087" t="s">
        <v>2632</v>
      </c>
      <c r="S9087">
        <v>36</v>
      </c>
      <c r="T9087" s="43" t="str">
        <f t="shared" si="392"/>
        <v>2020.002F.R.Curvulaviridae.zip</v>
      </c>
      <c r="U9087" s="43" t="str">
        <f>HYPERLINK("https://ictv.global/taxonomy/taxondetails?taxnode_id=202208788","ictv.global=202208788")</f>
        <v>ictv.global=202208788</v>
      </c>
    </row>
    <row r="9088" spans="1:21">
      <c r="A9088">
        <v>9087</v>
      </c>
      <c r="B9088" s="29" t="s">
        <v>3223</v>
      </c>
      <c r="C9088" s="29"/>
      <c r="D9088" s="29" t="s">
        <v>4156</v>
      </c>
      <c r="E9088" s="29"/>
      <c r="F9088" s="29" t="s">
        <v>4230</v>
      </c>
      <c r="G9088" s="29"/>
      <c r="H9088" s="29" t="s">
        <v>4231</v>
      </c>
      <c r="I9088" s="29"/>
      <c r="J9088" s="29" t="s">
        <v>4232</v>
      </c>
      <c r="K9088" s="29"/>
      <c r="L9088" s="29" t="s">
        <v>6678</v>
      </c>
      <c r="M9088" s="29"/>
      <c r="N9088" s="29" t="s">
        <v>6679</v>
      </c>
      <c r="O9088" s="29"/>
      <c r="P9088" s="29" t="s">
        <v>6686</v>
      </c>
      <c r="Q9088" t="s">
        <v>2042</v>
      </c>
      <c r="R9088" t="s">
        <v>2632</v>
      </c>
      <c r="S9088">
        <v>36</v>
      </c>
      <c r="T9088" s="43" t="str">
        <f t="shared" si="392"/>
        <v>2020.002F.R.Curvulaviridae.zip</v>
      </c>
      <c r="U9088" s="43" t="str">
        <f>HYPERLINK("https://ictv.global/taxonomy/taxondetails?taxnode_id=202208789","ictv.global=202208789")</f>
        <v>ictv.global=202208789</v>
      </c>
    </row>
    <row r="9089" spans="1:21">
      <c r="A9089">
        <v>9088</v>
      </c>
      <c r="B9089" s="29" t="s">
        <v>3223</v>
      </c>
      <c r="C9089" s="29"/>
      <c r="D9089" s="29" t="s">
        <v>4156</v>
      </c>
      <c r="E9089" s="29"/>
      <c r="F9089" s="29" t="s">
        <v>4230</v>
      </c>
      <c r="G9089" s="29"/>
      <c r="H9089" s="29" t="s">
        <v>4231</v>
      </c>
      <c r="I9089" s="29"/>
      <c r="J9089" s="29" t="s">
        <v>4232</v>
      </c>
      <c r="K9089" s="29"/>
      <c r="L9089" s="29" t="s">
        <v>6678</v>
      </c>
      <c r="M9089" s="29"/>
      <c r="N9089" s="29" t="s">
        <v>6679</v>
      </c>
      <c r="O9089" s="29"/>
      <c r="P9089" s="29" t="s">
        <v>6687</v>
      </c>
      <c r="Q9089" t="s">
        <v>2042</v>
      </c>
      <c r="R9089" t="s">
        <v>2632</v>
      </c>
      <c r="S9089">
        <v>36</v>
      </c>
      <c r="T9089" s="43" t="str">
        <f t="shared" si="392"/>
        <v>2020.002F.R.Curvulaviridae.zip</v>
      </c>
      <c r="U9089" s="43" t="str">
        <f>HYPERLINK("https://ictv.global/taxonomy/taxondetails?taxnode_id=202208790","ictv.global=202208790")</f>
        <v>ictv.global=202208790</v>
      </c>
    </row>
    <row r="9090" spans="1:21">
      <c r="A9090">
        <v>9089</v>
      </c>
      <c r="B9090" s="29" t="s">
        <v>3223</v>
      </c>
      <c r="C9090" s="29"/>
      <c r="D9090" s="29" t="s">
        <v>4156</v>
      </c>
      <c r="E9090" s="29"/>
      <c r="F9090" s="29" t="s">
        <v>4230</v>
      </c>
      <c r="G9090" s="29"/>
      <c r="H9090" s="29" t="s">
        <v>4231</v>
      </c>
      <c r="I9090" s="29"/>
      <c r="J9090" s="29" t="s">
        <v>4232</v>
      </c>
      <c r="K9090" s="29"/>
      <c r="L9090" s="29" t="s">
        <v>13971</v>
      </c>
      <c r="M9090" s="29"/>
      <c r="N9090" s="29" t="s">
        <v>13972</v>
      </c>
      <c r="O9090" s="29"/>
      <c r="P9090" s="29" t="s">
        <v>13973</v>
      </c>
      <c r="Q9090" t="s">
        <v>2040</v>
      </c>
      <c r="R9090" t="s">
        <v>2632</v>
      </c>
      <c r="S9090">
        <v>37</v>
      </c>
      <c r="T9090" s="43" t="str">
        <f t="shared" ref="T9090:T9123" si="393">HYPERLINK("https://ictv.global/ictv/proposals/2021.001F.R.Fusariviridae_1newfam.zip","2021.001F.R.Fusariviridae_1newfam.zip")</f>
        <v>2021.001F.R.Fusariviridae_1newfam.zip</v>
      </c>
      <c r="U9090" s="43" t="str">
        <f>HYPERLINK("https://ictv.global/taxonomy/taxondetails?taxnode_id=202213713","ictv.global=202213713")</f>
        <v>ictv.global=202213713</v>
      </c>
    </row>
    <row r="9091" spans="1:21">
      <c r="A9091">
        <v>9090</v>
      </c>
      <c r="B9091" s="29" t="s">
        <v>3223</v>
      </c>
      <c r="C9091" s="29"/>
      <c r="D9091" s="29" t="s">
        <v>4156</v>
      </c>
      <c r="E9091" s="29"/>
      <c r="F9091" s="29" t="s">
        <v>4230</v>
      </c>
      <c r="G9091" s="29"/>
      <c r="H9091" s="29" t="s">
        <v>4231</v>
      </c>
      <c r="I9091" s="29"/>
      <c r="J9091" s="29" t="s">
        <v>4232</v>
      </c>
      <c r="K9091" s="29"/>
      <c r="L9091" s="29" t="s">
        <v>13971</v>
      </c>
      <c r="M9091" s="29"/>
      <c r="N9091" s="29" t="s">
        <v>13972</v>
      </c>
      <c r="O9091" s="29"/>
      <c r="P9091" s="29" t="s">
        <v>13974</v>
      </c>
      <c r="Q9091" t="s">
        <v>2040</v>
      </c>
      <c r="R9091" t="s">
        <v>2632</v>
      </c>
      <c r="S9091">
        <v>37</v>
      </c>
      <c r="T9091" s="43" t="str">
        <f t="shared" si="393"/>
        <v>2021.001F.R.Fusariviridae_1newfam.zip</v>
      </c>
      <c r="U9091" s="43" t="str">
        <f>HYPERLINK("https://ictv.global/taxonomy/taxondetails?taxnode_id=202213715","ictv.global=202213715")</f>
        <v>ictv.global=202213715</v>
      </c>
    </row>
    <row r="9092" spans="1:21">
      <c r="A9092">
        <v>9091</v>
      </c>
      <c r="B9092" s="29" t="s">
        <v>3223</v>
      </c>
      <c r="C9092" s="29"/>
      <c r="D9092" s="29" t="s">
        <v>4156</v>
      </c>
      <c r="E9092" s="29"/>
      <c r="F9092" s="29" t="s">
        <v>4230</v>
      </c>
      <c r="G9092" s="29"/>
      <c r="H9092" s="29" t="s">
        <v>4231</v>
      </c>
      <c r="I9092" s="29"/>
      <c r="J9092" s="29" t="s">
        <v>4232</v>
      </c>
      <c r="K9092" s="29"/>
      <c r="L9092" s="29" t="s">
        <v>13971</v>
      </c>
      <c r="M9092" s="29"/>
      <c r="N9092" s="29" t="s">
        <v>13972</v>
      </c>
      <c r="O9092" s="29"/>
      <c r="P9092" s="29" t="s">
        <v>13975</v>
      </c>
      <c r="Q9092" t="s">
        <v>2040</v>
      </c>
      <c r="R9092" t="s">
        <v>2632</v>
      </c>
      <c r="S9092">
        <v>37</v>
      </c>
      <c r="T9092" s="43" t="str">
        <f t="shared" si="393"/>
        <v>2021.001F.R.Fusariviridae_1newfam.zip</v>
      </c>
      <c r="U9092" s="43" t="str">
        <f>HYPERLINK("https://ictv.global/taxonomy/taxondetails?taxnode_id=202213716","ictv.global=202213716")</f>
        <v>ictv.global=202213716</v>
      </c>
    </row>
    <row r="9093" spans="1:21">
      <c r="A9093">
        <v>9092</v>
      </c>
      <c r="B9093" s="29" t="s">
        <v>3223</v>
      </c>
      <c r="C9093" s="29"/>
      <c r="D9093" s="29" t="s">
        <v>4156</v>
      </c>
      <c r="E9093" s="29"/>
      <c r="F9093" s="29" t="s">
        <v>4230</v>
      </c>
      <c r="G9093" s="29"/>
      <c r="H9093" s="29" t="s">
        <v>4231</v>
      </c>
      <c r="I9093" s="29"/>
      <c r="J9093" s="29" t="s">
        <v>4232</v>
      </c>
      <c r="K9093" s="29"/>
      <c r="L9093" s="29" t="s">
        <v>13971</v>
      </c>
      <c r="M9093" s="29"/>
      <c r="N9093" s="29" t="s">
        <v>13972</v>
      </c>
      <c r="O9093" s="29"/>
      <c r="P9093" s="29" t="s">
        <v>13976</v>
      </c>
      <c r="Q9093" t="s">
        <v>2040</v>
      </c>
      <c r="R9093" t="s">
        <v>2632</v>
      </c>
      <c r="S9093">
        <v>37</v>
      </c>
      <c r="T9093" s="43" t="str">
        <f t="shared" si="393"/>
        <v>2021.001F.R.Fusariviridae_1newfam.zip</v>
      </c>
      <c r="U9093" s="43" t="str">
        <f>HYPERLINK("https://ictv.global/taxonomy/taxondetails?taxnode_id=202213717","ictv.global=202213717")</f>
        <v>ictv.global=202213717</v>
      </c>
    </row>
    <row r="9094" spans="1:21">
      <c r="A9094">
        <v>9093</v>
      </c>
      <c r="B9094" s="29" t="s">
        <v>3223</v>
      </c>
      <c r="C9094" s="29"/>
      <c r="D9094" s="29" t="s">
        <v>4156</v>
      </c>
      <c r="E9094" s="29"/>
      <c r="F9094" s="29" t="s">
        <v>4230</v>
      </c>
      <c r="G9094" s="29"/>
      <c r="H9094" s="29" t="s">
        <v>4231</v>
      </c>
      <c r="I9094" s="29"/>
      <c r="J9094" s="29" t="s">
        <v>4232</v>
      </c>
      <c r="K9094" s="29"/>
      <c r="L9094" s="29" t="s">
        <v>13971</v>
      </c>
      <c r="M9094" s="29"/>
      <c r="N9094" s="29" t="s">
        <v>13972</v>
      </c>
      <c r="O9094" s="29"/>
      <c r="P9094" s="29" t="s">
        <v>13977</v>
      </c>
      <c r="Q9094" t="s">
        <v>2040</v>
      </c>
      <c r="R9094" t="s">
        <v>2632</v>
      </c>
      <c r="S9094">
        <v>37</v>
      </c>
      <c r="T9094" s="43" t="str">
        <f t="shared" si="393"/>
        <v>2021.001F.R.Fusariviridae_1newfam.zip</v>
      </c>
      <c r="U9094" s="43" t="str">
        <f>HYPERLINK("https://ictv.global/taxonomy/taxondetails?taxnode_id=202213718","ictv.global=202213718")</f>
        <v>ictv.global=202213718</v>
      </c>
    </row>
    <row r="9095" spans="1:21">
      <c r="A9095">
        <v>9094</v>
      </c>
      <c r="B9095" s="29" t="s">
        <v>3223</v>
      </c>
      <c r="C9095" s="29"/>
      <c r="D9095" s="29" t="s">
        <v>4156</v>
      </c>
      <c r="E9095" s="29"/>
      <c r="F9095" s="29" t="s">
        <v>4230</v>
      </c>
      <c r="G9095" s="29"/>
      <c r="H9095" s="29" t="s">
        <v>4231</v>
      </c>
      <c r="I9095" s="29"/>
      <c r="J9095" s="29" t="s">
        <v>4232</v>
      </c>
      <c r="K9095" s="29"/>
      <c r="L9095" s="29" t="s">
        <v>13971</v>
      </c>
      <c r="M9095" s="29"/>
      <c r="N9095" s="29" t="s">
        <v>13972</v>
      </c>
      <c r="O9095" s="29"/>
      <c r="P9095" s="29" t="s">
        <v>13978</v>
      </c>
      <c r="Q9095" t="s">
        <v>2040</v>
      </c>
      <c r="R9095" t="s">
        <v>2632</v>
      </c>
      <c r="S9095">
        <v>37</v>
      </c>
      <c r="T9095" s="43" t="str">
        <f t="shared" si="393"/>
        <v>2021.001F.R.Fusariviridae_1newfam.zip</v>
      </c>
      <c r="U9095" s="43" t="str">
        <f>HYPERLINK("https://ictv.global/taxonomy/taxondetails?taxnode_id=202213719","ictv.global=202213719")</f>
        <v>ictv.global=202213719</v>
      </c>
    </row>
    <row r="9096" spans="1:21">
      <c r="A9096">
        <v>9095</v>
      </c>
      <c r="B9096" s="29" t="s">
        <v>3223</v>
      </c>
      <c r="C9096" s="29"/>
      <c r="D9096" s="29" t="s">
        <v>4156</v>
      </c>
      <c r="E9096" s="29"/>
      <c r="F9096" s="29" t="s">
        <v>4230</v>
      </c>
      <c r="G9096" s="29"/>
      <c r="H9096" s="29" t="s">
        <v>4231</v>
      </c>
      <c r="I9096" s="29"/>
      <c r="J9096" s="29" t="s">
        <v>4232</v>
      </c>
      <c r="K9096" s="29"/>
      <c r="L9096" s="29" t="s">
        <v>13971</v>
      </c>
      <c r="M9096" s="29"/>
      <c r="N9096" s="29" t="s">
        <v>13972</v>
      </c>
      <c r="O9096" s="29"/>
      <c r="P9096" s="29" t="s">
        <v>13979</v>
      </c>
      <c r="Q9096" t="s">
        <v>2040</v>
      </c>
      <c r="R9096" t="s">
        <v>2632</v>
      </c>
      <c r="S9096">
        <v>37</v>
      </c>
      <c r="T9096" s="43" t="str">
        <f t="shared" si="393"/>
        <v>2021.001F.R.Fusariviridae_1newfam.zip</v>
      </c>
      <c r="U9096" s="43" t="str">
        <f>HYPERLINK("https://ictv.global/taxonomy/taxondetails?taxnode_id=202213720","ictv.global=202213720")</f>
        <v>ictv.global=202213720</v>
      </c>
    </row>
    <row r="9097" spans="1:21">
      <c r="A9097">
        <v>9096</v>
      </c>
      <c r="B9097" s="29" t="s">
        <v>3223</v>
      </c>
      <c r="C9097" s="29"/>
      <c r="D9097" s="29" t="s">
        <v>4156</v>
      </c>
      <c r="E9097" s="29"/>
      <c r="F9097" s="29" t="s">
        <v>4230</v>
      </c>
      <c r="G9097" s="29"/>
      <c r="H9097" s="29" t="s">
        <v>4231</v>
      </c>
      <c r="I9097" s="29"/>
      <c r="J9097" s="29" t="s">
        <v>4232</v>
      </c>
      <c r="K9097" s="29"/>
      <c r="L9097" s="29" t="s">
        <v>13971</v>
      </c>
      <c r="M9097" s="29"/>
      <c r="N9097" s="29" t="s">
        <v>13972</v>
      </c>
      <c r="O9097" s="29"/>
      <c r="P9097" s="29" t="s">
        <v>13980</v>
      </c>
      <c r="Q9097" t="s">
        <v>2040</v>
      </c>
      <c r="R9097" t="s">
        <v>2632</v>
      </c>
      <c r="S9097">
        <v>37</v>
      </c>
      <c r="T9097" s="43" t="str">
        <f t="shared" si="393"/>
        <v>2021.001F.R.Fusariviridae_1newfam.zip</v>
      </c>
      <c r="U9097" s="43" t="str">
        <f>HYPERLINK("https://ictv.global/taxonomy/taxondetails?taxnode_id=202213727","ictv.global=202213727")</f>
        <v>ictv.global=202213727</v>
      </c>
    </row>
    <row r="9098" spans="1:21">
      <c r="A9098">
        <v>9097</v>
      </c>
      <c r="B9098" s="29" t="s">
        <v>3223</v>
      </c>
      <c r="C9098" s="29"/>
      <c r="D9098" s="29" t="s">
        <v>4156</v>
      </c>
      <c r="E9098" s="29"/>
      <c r="F9098" s="29" t="s">
        <v>4230</v>
      </c>
      <c r="G9098" s="29"/>
      <c r="H9098" s="29" t="s">
        <v>4231</v>
      </c>
      <c r="I9098" s="29"/>
      <c r="J9098" s="29" t="s">
        <v>4232</v>
      </c>
      <c r="K9098" s="29"/>
      <c r="L9098" s="29" t="s">
        <v>13971</v>
      </c>
      <c r="M9098" s="29"/>
      <c r="N9098" s="29" t="s">
        <v>13972</v>
      </c>
      <c r="O9098" s="29"/>
      <c r="P9098" s="29" t="s">
        <v>13981</v>
      </c>
      <c r="Q9098" t="s">
        <v>2040</v>
      </c>
      <c r="R9098" t="s">
        <v>2632</v>
      </c>
      <c r="S9098">
        <v>37</v>
      </c>
      <c r="T9098" s="43" t="str">
        <f t="shared" si="393"/>
        <v>2021.001F.R.Fusariviridae_1newfam.zip</v>
      </c>
      <c r="U9098" s="43" t="str">
        <f>HYPERLINK("https://ictv.global/taxonomy/taxondetails?taxnode_id=202213721","ictv.global=202213721")</f>
        <v>ictv.global=202213721</v>
      </c>
    </row>
    <row r="9099" spans="1:21">
      <c r="A9099">
        <v>9098</v>
      </c>
      <c r="B9099" s="29" t="s">
        <v>3223</v>
      </c>
      <c r="C9099" s="29"/>
      <c r="D9099" s="29" t="s">
        <v>4156</v>
      </c>
      <c r="E9099" s="29"/>
      <c r="F9099" s="29" t="s">
        <v>4230</v>
      </c>
      <c r="G9099" s="29"/>
      <c r="H9099" s="29" t="s">
        <v>4231</v>
      </c>
      <c r="I9099" s="29"/>
      <c r="J9099" s="29" t="s">
        <v>4232</v>
      </c>
      <c r="K9099" s="29"/>
      <c r="L9099" s="29" t="s">
        <v>13971</v>
      </c>
      <c r="M9099" s="29"/>
      <c r="N9099" s="29" t="s">
        <v>13972</v>
      </c>
      <c r="O9099" s="29"/>
      <c r="P9099" s="29" t="s">
        <v>13982</v>
      </c>
      <c r="Q9099" t="s">
        <v>2040</v>
      </c>
      <c r="R9099" t="s">
        <v>2632</v>
      </c>
      <c r="S9099">
        <v>37</v>
      </c>
      <c r="T9099" s="43" t="str">
        <f t="shared" si="393"/>
        <v>2021.001F.R.Fusariviridae_1newfam.zip</v>
      </c>
      <c r="U9099" s="43" t="str">
        <f>HYPERLINK("https://ictv.global/taxonomy/taxondetails?taxnode_id=202213722","ictv.global=202213722")</f>
        <v>ictv.global=202213722</v>
      </c>
    </row>
    <row r="9100" spans="1:21">
      <c r="A9100">
        <v>9099</v>
      </c>
      <c r="B9100" s="29" t="s">
        <v>3223</v>
      </c>
      <c r="C9100" s="29"/>
      <c r="D9100" s="29" t="s">
        <v>4156</v>
      </c>
      <c r="E9100" s="29"/>
      <c r="F9100" s="29" t="s">
        <v>4230</v>
      </c>
      <c r="G9100" s="29"/>
      <c r="H9100" s="29" t="s">
        <v>4231</v>
      </c>
      <c r="I9100" s="29"/>
      <c r="J9100" s="29" t="s">
        <v>4232</v>
      </c>
      <c r="K9100" s="29"/>
      <c r="L9100" s="29" t="s">
        <v>13971</v>
      </c>
      <c r="M9100" s="29"/>
      <c r="N9100" s="29" t="s">
        <v>13972</v>
      </c>
      <c r="O9100" s="29"/>
      <c r="P9100" s="29" t="s">
        <v>13983</v>
      </c>
      <c r="Q9100" t="s">
        <v>2040</v>
      </c>
      <c r="R9100" t="s">
        <v>2632</v>
      </c>
      <c r="S9100">
        <v>37</v>
      </c>
      <c r="T9100" s="43" t="str">
        <f t="shared" si="393"/>
        <v>2021.001F.R.Fusariviridae_1newfam.zip</v>
      </c>
      <c r="U9100" s="43" t="str">
        <f>HYPERLINK("https://ictv.global/taxonomy/taxondetails?taxnode_id=202213723","ictv.global=202213723")</f>
        <v>ictv.global=202213723</v>
      </c>
    </row>
    <row r="9101" spans="1:21">
      <c r="A9101">
        <v>9100</v>
      </c>
      <c r="B9101" s="29" t="s">
        <v>3223</v>
      </c>
      <c r="C9101" s="29"/>
      <c r="D9101" s="29" t="s">
        <v>4156</v>
      </c>
      <c r="E9101" s="29"/>
      <c r="F9101" s="29" t="s">
        <v>4230</v>
      </c>
      <c r="G9101" s="29"/>
      <c r="H9101" s="29" t="s">
        <v>4231</v>
      </c>
      <c r="I9101" s="29"/>
      <c r="J9101" s="29" t="s">
        <v>4232</v>
      </c>
      <c r="K9101" s="29"/>
      <c r="L9101" s="29" t="s">
        <v>13971</v>
      </c>
      <c r="M9101" s="29"/>
      <c r="N9101" s="29" t="s">
        <v>13972</v>
      </c>
      <c r="O9101" s="29"/>
      <c r="P9101" s="29" t="s">
        <v>13984</v>
      </c>
      <c r="Q9101" t="s">
        <v>2040</v>
      </c>
      <c r="R9101" t="s">
        <v>2632</v>
      </c>
      <c r="S9101">
        <v>37</v>
      </c>
      <c r="T9101" s="43" t="str">
        <f t="shared" si="393"/>
        <v>2021.001F.R.Fusariviridae_1newfam.zip</v>
      </c>
      <c r="U9101" s="43" t="str">
        <f>HYPERLINK("https://ictv.global/taxonomy/taxondetails?taxnode_id=202213724","ictv.global=202213724")</f>
        <v>ictv.global=202213724</v>
      </c>
    </row>
    <row r="9102" spans="1:21">
      <c r="A9102">
        <v>9101</v>
      </c>
      <c r="B9102" s="29" t="s">
        <v>3223</v>
      </c>
      <c r="C9102" s="29"/>
      <c r="D9102" s="29" t="s">
        <v>4156</v>
      </c>
      <c r="E9102" s="29"/>
      <c r="F9102" s="29" t="s">
        <v>4230</v>
      </c>
      <c r="G9102" s="29"/>
      <c r="H9102" s="29" t="s">
        <v>4231</v>
      </c>
      <c r="I9102" s="29"/>
      <c r="J9102" s="29" t="s">
        <v>4232</v>
      </c>
      <c r="K9102" s="29"/>
      <c r="L9102" s="29" t="s">
        <v>13971</v>
      </c>
      <c r="M9102" s="29"/>
      <c r="N9102" s="29" t="s">
        <v>13972</v>
      </c>
      <c r="O9102" s="29"/>
      <c r="P9102" s="29" t="s">
        <v>13985</v>
      </c>
      <c r="Q9102" t="s">
        <v>2040</v>
      </c>
      <c r="R9102" t="s">
        <v>2632</v>
      </c>
      <c r="S9102">
        <v>37</v>
      </c>
      <c r="T9102" s="43" t="str">
        <f t="shared" si="393"/>
        <v>2021.001F.R.Fusariviridae_1newfam.zip</v>
      </c>
      <c r="U9102" s="43" t="str">
        <f>HYPERLINK("https://ictv.global/taxonomy/taxondetails?taxnode_id=202213726","ictv.global=202213726")</f>
        <v>ictv.global=202213726</v>
      </c>
    </row>
    <row r="9103" spans="1:21">
      <c r="A9103">
        <v>9102</v>
      </c>
      <c r="B9103" s="29" t="s">
        <v>3223</v>
      </c>
      <c r="C9103" s="29"/>
      <c r="D9103" s="29" t="s">
        <v>4156</v>
      </c>
      <c r="E9103" s="29"/>
      <c r="F9103" s="29" t="s">
        <v>4230</v>
      </c>
      <c r="G9103" s="29"/>
      <c r="H9103" s="29" t="s">
        <v>4231</v>
      </c>
      <c r="I9103" s="29"/>
      <c r="J9103" s="29" t="s">
        <v>4232</v>
      </c>
      <c r="K9103" s="29"/>
      <c r="L9103" s="29" t="s">
        <v>13971</v>
      </c>
      <c r="M9103" s="29"/>
      <c r="N9103" s="29" t="s">
        <v>13972</v>
      </c>
      <c r="O9103" s="29"/>
      <c r="P9103" s="29" t="s">
        <v>13986</v>
      </c>
      <c r="Q9103" t="s">
        <v>2040</v>
      </c>
      <c r="R9103" t="s">
        <v>2632</v>
      </c>
      <c r="S9103">
        <v>37</v>
      </c>
      <c r="T9103" s="43" t="str">
        <f t="shared" si="393"/>
        <v>2021.001F.R.Fusariviridae_1newfam.zip</v>
      </c>
      <c r="U9103" s="43" t="str">
        <f>HYPERLINK("https://ictv.global/taxonomy/taxondetails?taxnode_id=202213728","ictv.global=202213728")</f>
        <v>ictv.global=202213728</v>
      </c>
    </row>
    <row r="9104" spans="1:21">
      <c r="A9104">
        <v>9103</v>
      </c>
      <c r="B9104" s="29" t="s">
        <v>3223</v>
      </c>
      <c r="C9104" s="29"/>
      <c r="D9104" s="29" t="s">
        <v>4156</v>
      </c>
      <c r="E9104" s="29"/>
      <c r="F9104" s="29" t="s">
        <v>4230</v>
      </c>
      <c r="G9104" s="29"/>
      <c r="H9104" s="29" t="s">
        <v>4231</v>
      </c>
      <c r="I9104" s="29"/>
      <c r="J9104" s="29" t="s">
        <v>4232</v>
      </c>
      <c r="K9104" s="29"/>
      <c r="L9104" s="29" t="s">
        <v>13971</v>
      </c>
      <c r="M9104" s="29"/>
      <c r="N9104" s="29" t="s">
        <v>13972</v>
      </c>
      <c r="O9104" s="29"/>
      <c r="P9104" s="29" t="s">
        <v>13987</v>
      </c>
      <c r="Q9104" t="s">
        <v>2040</v>
      </c>
      <c r="R9104" t="s">
        <v>2632</v>
      </c>
      <c r="S9104">
        <v>37</v>
      </c>
      <c r="T9104" s="43" t="str">
        <f t="shared" si="393"/>
        <v>2021.001F.R.Fusariviridae_1newfam.zip</v>
      </c>
      <c r="U9104" s="43" t="str">
        <f>HYPERLINK("https://ictv.global/taxonomy/taxondetails?taxnode_id=202213714","ictv.global=202213714")</f>
        <v>ictv.global=202213714</v>
      </c>
    </row>
    <row r="9105" spans="1:21">
      <c r="A9105">
        <v>9104</v>
      </c>
      <c r="B9105" s="29" t="s">
        <v>3223</v>
      </c>
      <c r="C9105" s="29"/>
      <c r="D9105" s="29" t="s">
        <v>4156</v>
      </c>
      <c r="E9105" s="29"/>
      <c r="F9105" s="29" t="s">
        <v>4230</v>
      </c>
      <c r="G9105" s="29"/>
      <c r="H9105" s="29" t="s">
        <v>4231</v>
      </c>
      <c r="I9105" s="29"/>
      <c r="J9105" s="29" t="s">
        <v>4232</v>
      </c>
      <c r="K9105" s="29"/>
      <c r="L9105" s="29" t="s">
        <v>13971</v>
      </c>
      <c r="M9105" s="29"/>
      <c r="N9105" s="29" t="s">
        <v>13972</v>
      </c>
      <c r="O9105" s="29"/>
      <c r="P9105" s="29" t="s">
        <v>13988</v>
      </c>
      <c r="Q9105" t="s">
        <v>2040</v>
      </c>
      <c r="R9105" t="s">
        <v>2632</v>
      </c>
      <c r="S9105">
        <v>37</v>
      </c>
      <c r="T9105" s="43" t="str">
        <f t="shared" si="393"/>
        <v>2021.001F.R.Fusariviridae_1newfam.zip</v>
      </c>
      <c r="U9105" s="43" t="str">
        <f>HYPERLINK("https://ictv.global/taxonomy/taxondetails?taxnode_id=202213729","ictv.global=202213729")</f>
        <v>ictv.global=202213729</v>
      </c>
    </row>
    <row r="9106" spans="1:21">
      <c r="A9106">
        <v>9105</v>
      </c>
      <c r="B9106" s="29" t="s">
        <v>3223</v>
      </c>
      <c r="C9106" s="29"/>
      <c r="D9106" s="29" t="s">
        <v>4156</v>
      </c>
      <c r="E9106" s="29"/>
      <c r="F9106" s="29" t="s">
        <v>4230</v>
      </c>
      <c r="G9106" s="29"/>
      <c r="H9106" s="29" t="s">
        <v>4231</v>
      </c>
      <c r="I9106" s="29"/>
      <c r="J9106" s="29" t="s">
        <v>4232</v>
      </c>
      <c r="K9106" s="29"/>
      <c r="L9106" s="29" t="s">
        <v>13971</v>
      </c>
      <c r="M9106" s="29"/>
      <c r="N9106" s="29" t="s">
        <v>13972</v>
      </c>
      <c r="O9106" s="29"/>
      <c r="P9106" s="29" t="s">
        <v>13989</v>
      </c>
      <c r="Q9106" t="s">
        <v>2040</v>
      </c>
      <c r="R9106" t="s">
        <v>2632</v>
      </c>
      <c r="S9106">
        <v>37</v>
      </c>
      <c r="T9106" s="43" t="str">
        <f t="shared" si="393"/>
        <v>2021.001F.R.Fusariviridae_1newfam.zip</v>
      </c>
      <c r="U9106" s="43" t="str">
        <f>HYPERLINK("https://ictv.global/taxonomy/taxondetails?taxnode_id=202213733","ictv.global=202213733")</f>
        <v>ictv.global=202213733</v>
      </c>
    </row>
    <row r="9107" spans="1:21">
      <c r="A9107">
        <v>9106</v>
      </c>
      <c r="B9107" s="29" t="s">
        <v>3223</v>
      </c>
      <c r="C9107" s="29"/>
      <c r="D9107" s="29" t="s">
        <v>4156</v>
      </c>
      <c r="E9107" s="29"/>
      <c r="F9107" s="29" t="s">
        <v>4230</v>
      </c>
      <c r="G9107" s="29"/>
      <c r="H9107" s="29" t="s">
        <v>4231</v>
      </c>
      <c r="I9107" s="29"/>
      <c r="J9107" s="29" t="s">
        <v>4232</v>
      </c>
      <c r="K9107" s="29"/>
      <c r="L9107" s="29" t="s">
        <v>13971</v>
      </c>
      <c r="M9107" s="29"/>
      <c r="N9107" s="29" t="s">
        <v>13972</v>
      </c>
      <c r="O9107" s="29"/>
      <c r="P9107" s="29" t="s">
        <v>13990</v>
      </c>
      <c r="Q9107" t="s">
        <v>2040</v>
      </c>
      <c r="R9107" t="s">
        <v>2632</v>
      </c>
      <c r="S9107">
        <v>37</v>
      </c>
      <c r="T9107" s="43" t="str">
        <f t="shared" si="393"/>
        <v>2021.001F.R.Fusariviridae_1newfam.zip</v>
      </c>
      <c r="U9107" s="43" t="str">
        <f>HYPERLINK("https://ictv.global/taxonomy/taxondetails?taxnode_id=202213725","ictv.global=202213725")</f>
        <v>ictv.global=202213725</v>
      </c>
    </row>
    <row r="9108" spans="1:21">
      <c r="A9108">
        <v>9107</v>
      </c>
      <c r="B9108" s="29" t="s">
        <v>3223</v>
      </c>
      <c r="C9108" s="29"/>
      <c r="D9108" s="29" t="s">
        <v>4156</v>
      </c>
      <c r="E9108" s="29"/>
      <c r="F9108" s="29" t="s">
        <v>4230</v>
      </c>
      <c r="G9108" s="29"/>
      <c r="H9108" s="29" t="s">
        <v>4231</v>
      </c>
      <c r="I9108" s="29"/>
      <c r="J9108" s="29" t="s">
        <v>4232</v>
      </c>
      <c r="K9108" s="29"/>
      <c r="L9108" s="29" t="s">
        <v>13971</v>
      </c>
      <c r="M9108" s="29"/>
      <c r="N9108" s="29" t="s">
        <v>13972</v>
      </c>
      <c r="O9108" s="29"/>
      <c r="P9108" s="29" t="s">
        <v>13991</v>
      </c>
      <c r="Q9108" t="s">
        <v>2040</v>
      </c>
      <c r="R9108" t="s">
        <v>2632</v>
      </c>
      <c r="S9108">
        <v>37</v>
      </c>
      <c r="T9108" s="43" t="str">
        <f t="shared" si="393"/>
        <v>2021.001F.R.Fusariviridae_1newfam.zip</v>
      </c>
      <c r="U9108" s="43" t="str">
        <f>HYPERLINK("https://ictv.global/taxonomy/taxondetails?taxnode_id=202213730","ictv.global=202213730")</f>
        <v>ictv.global=202213730</v>
      </c>
    </row>
    <row r="9109" spans="1:21">
      <c r="A9109">
        <v>9108</v>
      </c>
      <c r="B9109" s="29" t="s">
        <v>3223</v>
      </c>
      <c r="C9109" s="29"/>
      <c r="D9109" s="29" t="s">
        <v>4156</v>
      </c>
      <c r="E9109" s="29"/>
      <c r="F9109" s="29" t="s">
        <v>4230</v>
      </c>
      <c r="G9109" s="29"/>
      <c r="H9109" s="29" t="s">
        <v>4231</v>
      </c>
      <c r="I9109" s="29"/>
      <c r="J9109" s="29" t="s">
        <v>4232</v>
      </c>
      <c r="K9109" s="29"/>
      <c r="L9109" s="29" t="s">
        <v>13971</v>
      </c>
      <c r="M9109" s="29"/>
      <c r="N9109" s="29" t="s">
        <v>13972</v>
      </c>
      <c r="O9109" s="29"/>
      <c r="P9109" s="29" t="s">
        <v>13992</v>
      </c>
      <c r="Q9109" t="s">
        <v>2040</v>
      </c>
      <c r="R9109" t="s">
        <v>2632</v>
      </c>
      <c r="S9109">
        <v>37</v>
      </c>
      <c r="T9109" s="43" t="str">
        <f t="shared" si="393"/>
        <v>2021.001F.R.Fusariviridae_1newfam.zip</v>
      </c>
      <c r="U9109" s="43" t="str">
        <f>HYPERLINK("https://ictv.global/taxonomy/taxondetails?taxnode_id=202213731","ictv.global=202213731")</f>
        <v>ictv.global=202213731</v>
      </c>
    </row>
    <row r="9110" spans="1:21">
      <c r="A9110">
        <v>9109</v>
      </c>
      <c r="B9110" s="29" t="s">
        <v>3223</v>
      </c>
      <c r="C9110" s="29"/>
      <c r="D9110" s="29" t="s">
        <v>4156</v>
      </c>
      <c r="E9110" s="29"/>
      <c r="F9110" s="29" t="s">
        <v>4230</v>
      </c>
      <c r="G9110" s="29"/>
      <c r="H9110" s="29" t="s">
        <v>4231</v>
      </c>
      <c r="I9110" s="29"/>
      <c r="J9110" s="29" t="s">
        <v>4232</v>
      </c>
      <c r="K9110" s="29"/>
      <c r="L9110" s="29" t="s">
        <v>13971</v>
      </c>
      <c r="M9110" s="29"/>
      <c r="N9110" s="29" t="s">
        <v>13972</v>
      </c>
      <c r="O9110" s="29"/>
      <c r="P9110" s="29" t="s">
        <v>13993</v>
      </c>
      <c r="Q9110" t="s">
        <v>2040</v>
      </c>
      <c r="R9110" t="s">
        <v>2632</v>
      </c>
      <c r="S9110">
        <v>37</v>
      </c>
      <c r="T9110" s="43" t="str">
        <f t="shared" si="393"/>
        <v>2021.001F.R.Fusariviridae_1newfam.zip</v>
      </c>
      <c r="U9110" s="43" t="str">
        <f>HYPERLINK("https://ictv.global/taxonomy/taxondetails?taxnode_id=202213732","ictv.global=202213732")</f>
        <v>ictv.global=202213732</v>
      </c>
    </row>
    <row r="9111" spans="1:21">
      <c r="A9111">
        <v>9110</v>
      </c>
      <c r="B9111" s="29" t="s">
        <v>3223</v>
      </c>
      <c r="C9111" s="29"/>
      <c r="D9111" s="29" t="s">
        <v>4156</v>
      </c>
      <c r="E9111" s="29"/>
      <c r="F9111" s="29" t="s">
        <v>4230</v>
      </c>
      <c r="G9111" s="29"/>
      <c r="H9111" s="29" t="s">
        <v>4231</v>
      </c>
      <c r="I9111" s="29"/>
      <c r="J9111" s="29" t="s">
        <v>4232</v>
      </c>
      <c r="K9111" s="29"/>
      <c r="L9111" s="29" t="s">
        <v>13971</v>
      </c>
      <c r="M9111" s="29"/>
      <c r="N9111" s="29" t="s">
        <v>13972</v>
      </c>
      <c r="O9111" s="29"/>
      <c r="P9111" s="29" t="s">
        <v>13994</v>
      </c>
      <c r="Q9111" t="s">
        <v>2040</v>
      </c>
      <c r="R9111" t="s">
        <v>2632</v>
      </c>
      <c r="S9111">
        <v>37</v>
      </c>
      <c r="T9111" s="43" t="str">
        <f t="shared" si="393"/>
        <v>2021.001F.R.Fusariviridae_1newfam.zip</v>
      </c>
      <c r="U9111" s="43" t="str">
        <f>HYPERLINK("https://ictv.global/taxonomy/taxondetails?taxnode_id=202213734","ictv.global=202213734")</f>
        <v>ictv.global=202213734</v>
      </c>
    </row>
    <row r="9112" spans="1:21">
      <c r="A9112">
        <v>9111</v>
      </c>
      <c r="B9112" s="29" t="s">
        <v>3223</v>
      </c>
      <c r="C9112" s="29"/>
      <c r="D9112" s="29" t="s">
        <v>4156</v>
      </c>
      <c r="E9112" s="29"/>
      <c r="F9112" s="29" t="s">
        <v>4230</v>
      </c>
      <c r="G9112" s="29"/>
      <c r="H9112" s="29" t="s">
        <v>4231</v>
      </c>
      <c r="I9112" s="29"/>
      <c r="J9112" s="29" t="s">
        <v>4232</v>
      </c>
      <c r="K9112" s="29"/>
      <c r="L9112" s="29" t="s">
        <v>13971</v>
      </c>
      <c r="M9112" s="29"/>
      <c r="N9112" s="29" t="s">
        <v>13995</v>
      </c>
      <c r="O9112" s="29"/>
      <c r="P9112" s="29" t="s">
        <v>13996</v>
      </c>
      <c r="Q9112" t="s">
        <v>2040</v>
      </c>
      <c r="R9112" t="s">
        <v>2632</v>
      </c>
      <c r="S9112">
        <v>37</v>
      </c>
      <c r="T9112" s="43" t="str">
        <f t="shared" si="393"/>
        <v>2021.001F.R.Fusariviridae_1newfam.zip</v>
      </c>
      <c r="U9112" s="43" t="str">
        <f>HYPERLINK("https://ictv.global/taxonomy/taxondetails?taxnode_id=202213736","ictv.global=202213736")</f>
        <v>ictv.global=202213736</v>
      </c>
    </row>
    <row r="9113" spans="1:21">
      <c r="A9113">
        <v>9112</v>
      </c>
      <c r="B9113" s="29" t="s">
        <v>3223</v>
      </c>
      <c r="C9113" s="29"/>
      <c r="D9113" s="29" t="s">
        <v>4156</v>
      </c>
      <c r="E9113" s="29"/>
      <c r="F9113" s="29" t="s">
        <v>4230</v>
      </c>
      <c r="G9113" s="29"/>
      <c r="H9113" s="29" t="s">
        <v>4231</v>
      </c>
      <c r="I9113" s="29"/>
      <c r="J9113" s="29" t="s">
        <v>4232</v>
      </c>
      <c r="K9113" s="29"/>
      <c r="L9113" s="29" t="s">
        <v>13971</v>
      </c>
      <c r="M9113" s="29"/>
      <c r="N9113" s="29" t="s">
        <v>13995</v>
      </c>
      <c r="O9113" s="29"/>
      <c r="P9113" s="29" t="s">
        <v>13997</v>
      </c>
      <c r="Q9113" t="s">
        <v>2040</v>
      </c>
      <c r="R9113" t="s">
        <v>2632</v>
      </c>
      <c r="S9113">
        <v>37</v>
      </c>
      <c r="T9113" s="43" t="str">
        <f t="shared" si="393"/>
        <v>2021.001F.R.Fusariviridae_1newfam.zip</v>
      </c>
      <c r="U9113" s="43" t="str">
        <f>HYPERLINK("https://ictv.global/taxonomy/taxondetails?taxnode_id=202213740","ictv.global=202213740")</f>
        <v>ictv.global=202213740</v>
      </c>
    </row>
    <row r="9114" spans="1:21">
      <c r="A9114">
        <v>9113</v>
      </c>
      <c r="B9114" s="29" t="s">
        <v>3223</v>
      </c>
      <c r="C9114" s="29"/>
      <c r="D9114" s="29" t="s">
        <v>4156</v>
      </c>
      <c r="E9114" s="29"/>
      <c r="F9114" s="29" t="s">
        <v>4230</v>
      </c>
      <c r="G9114" s="29"/>
      <c r="H9114" s="29" t="s">
        <v>4231</v>
      </c>
      <c r="I9114" s="29"/>
      <c r="J9114" s="29" t="s">
        <v>4232</v>
      </c>
      <c r="K9114" s="29"/>
      <c r="L9114" s="29" t="s">
        <v>13971</v>
      </c>
      <c r="M9114" s="29"/>
      <c r="N9114" s="29" t="s">
        <v>13995</v>
      </c>
      <c r="O9114" s="29"/>
      <c r="P9114" s="29" t="s">
        <v>13998</v>
      </c>
      <c r="Q9114" t="s">
        <v>2040</v>
      </c>
      <c r="R9114" t="s">
        <v>2632</v>
      </c>
      <c r="S9114">
        <v>37</v>
      </c>
      <c r="T9114" s="43" t="str">
        <f t="shared" si="393"/>
        <v>2021.001F.R.Fusariviridae_1newfam.zip</v>
      </c>
      <c r="U9114" s="43" t="str">
        <f>HYPERLINK("https://ictv.global/taxonomy/taxondetails?taxnode_id=202213744","ictv.global=202213744")</f>
        <v>ictv.global=202213744</v>
      </c>
    </row>
    <row r="9115" spans="1:21">
      <c r="A9115">
        <v>9114</v>
      </c>
      <c r="B9115" s="29" t="s">
        <v>3223</v>
      </c>
      <c r="C9115" s="29"/>
      <c r="D9115" s="29" t="s">
        <v>4156</v>
      </c>
      <c r="E9115" s="29"/>
      <c r="F9115" s="29" t="s">
        <v>4230</v>
      </c>
      <c r="G9115" s="29"/>
      <c r="H9115" s="29" t="s">
        <v>4231</v>
      </c>
      <c r="I9115" s="29"/>
      <c r="J9115" s="29" t="s">
        <v>4232</v>
      </c>
      <c r="K9115" s="29"/>
      <c r="L9115" s="29" t="s">
        <v>13971</v>
      </c>
      <c r="M9115" s="29"/>
      <c r="N9115" s="29" t="s">
        <v>13995</v>
      </c>
      <c r="O9115" s="29"/>
      <c r="P9115" s="29" t="s">
        <v>13999</v>
      </c>
      <c r="Q9115" t="s">
        <v>2040</v>
      </c>
      <c r="R9115" t="s">
        <v>2632</v>
      </c>
      <c r="S9115">
        <v>37</v>
      </c>
      <c r="T9115" s="43" t="str">
        <f t="shared" si="393"/>
        <v>2021.001F.R.Fusariviridae_1newfam.zip</v>
      </c>
      <c r="U9115" s="43" t="str">
        <f>HYPERLINK("https://ictv.global/taxonomy/taxondetails?taxnode_id=202213741","ictv.global=202213741")</f>
        <v>ictv.global=202213741</v>
      </c>
    </row>
    <row r="9116" spans="1:21">
      <c r="A9116">
        <v>9115</v>
      </c>
      <c r="B9116" s="29" t="s">
        <v>3223</v>
      </c>
      <c r="C9116" s="29"/>
      <c r="D9116" s="29" t="s">
        <v>4156</v>
      </c>
      <c r="E9116" s="29"/>
      <c r="F9116" s="29" t="s">
        <v>4230</v>
      </c>
      <c r="G9116" s="29"/>
      <c r="H9116" s="29" t="s">
        <v>4231</v>
      </c>
      <c r="I9116" s="29"/>
      <c r="J9116" s="29" t="s">
        <v>4232</v>
      </c>
      <c r="K9116" s="29"/>
      <c r="L9116" s="29" t="s">
        <v>13971</v>
      </c>
      <c r="M9116" s="29"/>
      <c r="N9116" s="29" t="s">
        <v>13995</v>
      </c>
      <c r="O9116" s="29"/>
      <c r="P9116" s="29" t="s">
        <v>14000</v>
      </c>
      <c r="Q9116" t="s">
        <v>2040</v>
      </c>
      <c r="R9116" t="s">
        <v>2632</v>
      </c>
      <c r="S9116">
        <v>37</v>
      </c>
      <c r="T9116" s="43" t="str">
        <f t="shared" si="393"/>
        <v>2021.001F.R.Fusariviridae_1newfam.zip</v>
      </c>
      <c r="U9116" s="43" t="str">
        <f>HYPERLINK("https://ictv.global/taxonomy/taxondetails?taxnode_id=202213738","ictv.global=202213738")</f>
        <v>ictv.global=202213738</v>
      </c>
    </row>
    <row r="9117" spans="1:21">
      <c r="A9117">
        <v>9116</v>
      </c>
      <c r="B9117" s="29" t="s">
        <v>3223</v>
      </c>
      <c r="C9117" s="29"/>
      <c r="D9117" s="29" t="s">
        <v>4156</v>
      </c>
      <c r="E9117" s="29"/>
      <c r="F9117" s="29" t="s">
        <v>4230</v>
      </c>
      <c r="G9117" s="29"/>
      <c r="H9117" s="29" t="s">
        <v>4231</v>
      </c>
      <c r="I9117" s="29"/>
      <c r="J9117" s="29" t="s">
        <v>4232</v>
      </c>
      <c r="K9117" s="29"/>
      <c r="L9117" s="29" t="s">
        <v>13971</v>
      </c>
      <c r="M9117" s="29"/>
      <c r="N9117" s="29" t="s">
        <v>13995</v>
      </c>
      <c r="O9117" s="29"/>
      <c r="P9117" s="29" t="s">
        <v>14001</v>
      </c>
      <c r="Q9117" t="s">
        <v>2040</v>
      </c>
      <c r="R9117" t="s">
        <v>2632</v>
      </c>
      <c r="S9117">
        <v>37</v>
      </c>
      <c r="T9117" s="43" t="str">
        <f t="shared" si="393"/>
        <v>2021.001F.R.Fusariviridae_1newfam.zip</v>
      </c>
      <c r="U9117" s="43" t="str">
        <f>HYPERLINK("https://ictv.global/taxonomy/taxondetails?taxnode_id=202213745","ictv.global=202213745")</f>
        <v>ictv.global=202213745</v>
      </c>
    </row>
    <row r="9118" spans="1:21">
      <c r="A9118">
        <v>9117</v>
      </c>
      <c r="B9118" s="29" t="s">
        <v>3223</v>
      </c>
      <c r="C9118" s="29"/>
      <c r="D9118" s="29" t="s">
        <v>4156</v>
      </c>
      <c r="E9118" s="29"/>
      <c r="F9118" s="29" t="s">
        <v>4230</v>
      </c>
      <c r="G9118" s="29"/>
      <c r="H9118" s="29" t="s">
        <v>4231</v>
      </c>
      <c r="I9118" s="29"/>
      <c r="J9118" s="29" t="s">
        <v>4232</v>
      </c>
      <c r="K9118" s="29"/>
      <c r="L9118" s="29" t="s">
        <v>13971</v>
      </c>
      <c r="M9118" s="29"/>
      <c r="N9118" s="29" t="s">
        <v>13995</v>
      </c>
      <c r="O9118" s="29"/>
      <c r="P9118" s="29" t="s">
        <v>14002</v>
      </c>
      <c r="Q9118" t="s">
        <v>2040</v>
      </c>
      <c r="R9118" t="s">
        <v>2632</v>
      </c>
      <c r="S9118">
        <v>37</v>
      </c>
      <c r="T9118" s="43" t="str">
        <f t="shared" si="393"/>
        <v>2021.001F.R.Fusariviridae_1newfam.zip</v>
      </c>
      <c r="U9118" s="43" t="str">
        <f>HYPERLINK("https://ictv.global/taxonomy/taxondetails?taxnode_id=202213739","ictv.global=202213739")</f>
        <v>ictv.global=202213739</v>
      </c>
    </row>
    <row r="9119" spans="1:21">
      <c r="A9119">
        <v>9118</v>
      </c>
      <c r="B9119" s="29" t="s">
        <v>3223</v>
      </c>
      <c r="C9119" s="29"/>
      <c r="D9119" s="29" t="s">
        <v>4156</v>
      </c>
      <c r="E9119" s="29"/>
      <c r="F9119" s="29" t="s">
        <v>4230</v>
      </c>
      <c r="G9119" s="29"/>
      <c r="H9119" s="29" t="s">
        <v>4231</v>
      </c>
      <c r="I9119" s="29"/>
      <c r="J9119" s="29" t="s">
        <v>4232</v>
      </c>
      <c r="K9119" s="29"/>
      <c r="L9119" s="29" t="s">
        <v>13971</v>
      </c>
      <c r="M9119" s="29"/>
      <c r="N9119" s="29" t="s">
        <v>13995</v>
      </c>
      <c r="O9119" s="29"/>
      <c r="P9119" s="29" t="s">
        <v>14003</v>
      </c>
      <c r="Q9119" t="s">
        <v>2040</v>
      </c>
      <c r="R9119" t="s">
        <v>2632</v>
      </c>
      <c r="S9119">
        <v>37</v>
      </c>
      <c r="T9119" s="43" t="str">
        <f t="shared" si="393"/>
        <v>2021.001F.R.Fusariviridae_1newfam.zip</v>
      </c>
      <c r="U9119" s="43" t="str">
        <f>HYPERLINK("https://ictv.global/taxonomy/taxondetails?taxnode_id=202213742","ictv.global=202213742")</f>
        <v>ictv.global=202213742</v>
      </c>
    </row>
    <row r="9120" spans="1:21">
      <c r="A9120">
        <v>9119</v>
      </c>
      <c r="B9120" s="29" t="s">
        <v>3223</v>
      </c>
      <c r="C9120" s="29"/>
      <c r="D9120" s="29" t="s">
        <v>4156</v>
      </c>
      <c r="E9120" s="29"/>
      <c r="F9120" s="29" t="s">
        <v>4230</v>
      </c>
      <c r="G9120" s="29"/>
      <c r="H9120" s="29" t="s">
        <v>4231</v>
      </c>
      <c r="I9120" s="29"/>
      <c r="J9120" s="29" t="s">
        <v>4232</v>
      </c>
      <c r="K9120" s="29"/>
      <c r="L9120" s="29" t="s">
        <v>13971</v>
      </c>
      <c r="M9120" s="29"/>
      <c r="N9120" s="29" t="s">
        <v>13995</v>
      </c>
      <c r="O9120" s="29"/>
      <c r="P9120" s="29" t="s">
        <v>14004</v>
      </c>
      <c r="Q9120" t="s">
        <v>2040</v>
      </c>
      <c r="R9120" t="s">
        <v>2632</v>
      </c>
      <c r="S9120">
        <v>37</v>
      </c>
      <c r="T9120" s="43" t="str">
        <f t="shared" si="393"/>
        <v>2021.001F.R.Fusariviridae_1newfam.zip</v>
      </c>
      <c r="U9120" s="43" t="str">
        <f>HYPERLINK("https://ictv.global/taxonomy/taxondetails?taxnode_id=202213743","ictv.global=202213743")</f>
        <v>ictv.global=202213743</v>
      </c>
    </row>
    <row r="9121" spans="1:21">
      <c r="A9121">
        <v>9120</v>
      </c>
      <c r="B9121" s="29" t="s">
        <v>3223</v>
      </c>
      <c r="C9121" s="29"/>
      <c r="D9121" s="29" t="s">
        <v>4156</v>
      </c>
      <c r="E9121" s="29"/>
      <c r="F9121" s="29" t="s">
        <v>4230</v>
      </c>
      <c r="G9121" s="29"/>
      <c r="H9121" s="29" t="s">
        <v>4231</v>
      </c>
      <c r="I9121" s="29"/>
      <c r="J9121" s="29" t="s">
        <v>4232</v>
      </c>
      <c r="K9121" s="29"/>
      <c r="L9121" s="29" t="s">
        <v>13971</v>
      </c>
      <c r="M9121" s="29"/>
      <c r="N9121" s="29" t="s">
        <v>13995</v>
      </c>
      <c r="O9121" s="29"/>
      <c r="P9121" s="29" t="s">
        <v>14005</v>
      </c>
      <c r="Q9121" t="s">
        <v>2040</v>
      </c>
      <c r="R9121" t="s">
        <v>2632</v>
      </c>
      <c r="S9121">
        <v>37</v>
      </c>
      <c r="T9121" s="43" t="str">
        <f t="shared" si="393"/>
        <v>2021.001F.R.Fusariviridae_1newfam.zip</v>
      </c>
      <c r="U9121" s="43" t="str">
        <f>HYPERLINK("https://ictv.global/taxonomy/taxondetails?taxnode_id=202213746","ictv.global=202213746")</f>
        <v>ictv.global=202213746</v>
      </c>
    </row>
    <row r="9122" spans="1:21">
      <c r="A9122">
        <v>9121</v>
      </c>
      <c r="B9122" s="29" t="s">
        <v>3223</v>
      </c>
      <c r="C9122" s="29"/>
      <c r="D9122" s="29" t="s">
        <v>4156</v>
      </c>
      <c r="E9122" s="29"/>
      <c r="F9122" s="29" t="s">
        <v>4230</v>
      </c>
      <c r="G9122" s="29"/>
      <c r="H9122" s="29" t="s">
        <v>4231</v>
      </c>
      <c r="I9122" s="29"/>
      <c r="J9122" s="29" t="s">
        <v>4232</v>
      </c>
      <c r="K9122" s="29"/>
      <c r="L9122" s="29" t="s">
        <v>13971</v>
      </c>
      <c r="M9122" s="29"/>
      <c r="N9122" s="29" t="s">
        <v>13995</v>
      </c>
      <c r="O9122" s="29"/>
      <c r="P9122" s="29" t="s">
        <v>14006</v>
      </c>
      <c r="Q9122" t="s">
        <v>2040</v>
      </c>
      <c r="R9122" t="s">
        <v>2632</v>
      </c>
      <c r="S9122">
        <v>37</v>
      </c>
      <c r="T9122" s="43" t="str">
        <f t="shared" si="393"/>
        <v>2021.001F.R.Fusariviridae_1newfam.zip</v>
      </c>
      <c r="U9122" s="43" t="str">
        <f>HYPERLINK("https://ictv.global/taxonomy/taxondetails?taxnode_id=202213737","ictv.global=202213737")</f>
        <v>ictv.global=202213737</v>
      </c>
    </row>
    <row r="9123" spans="1:21">
      <c r="A9123">
        <v>9122</v>
      </c>
      <c r="B9123" s="29" t="s">
        <v>3223</v>
      </c>
      <c r="C9123" s="29"/>
      <c r="D9123" s="29" t="s">
        <v>4156</v>
      </c>
      <c r="E9123" s="29"/>
      <c r="F9123" s="29" t="s">
        <v>4230</v>
      </c>
      <c r="G9123" s="29"/>
      <c r="H9123" s="29" t="s">
        <v>4231</v>
      </c>
      <c r="I9123" s="29"/>
      <c r="J9123" s="29" t="s">
        <v>4232</v>
      </c>
      <c r="K9123" s="29"/>
      <c r="L9123" s="29" t="s">
        <v>13971</v>
      </c>
      <c r="M9123" s="29"/>
      <c r="N9123" s="29" t="s">
        <v>14007</v>
      </c>
      <c r="O9123" s="29"/>
      <c r="P9123" s="29" t="s">
        <v>14008</v>
      </c>
      <c r="Q9123" t="s">
        <v>2040</v>
      </c>
      <c r="R9123" t="s">
        <v>2632</v>
      </c>
      <c r="S9123">
        <v>37</v>
      </c>
      <c r="T9123" s="43" t="str">
        <f t="shared" si="393"/>
        <v>2021.001F.R.Fusariviridae_1newfam.zip</v>
      </c>
      <c r="U9123" s="43" t="str">
        <f>HYPERLINK("https://ictv.global/taxonomy/taxondetails?taxnode_id=202213748","ictv.global=202213748")</f>
        <v>ictv.global=202213748</v>
      </c>
    </row>
    <row r="9124" spans="1:21">
      <c r="A9124">
        <v>9123</v>
      </c>
      <c r="B9124" s="29" t="s">
        <v>3223</v>
      </c>
      <c r="C9124" s="29"/>
      <c r="D9124" s="29" t="s">
        <v>4156</v>
      </c>
      <c r="E9124" s="29"/>
      <c r="F9124" s="29" t="s">
        <v>4230</v>
      </c>
      <c r="G9124" s="29"/>
      <c r="H9124" s="29" t="s">
        <v>4231</v>
      </c>
      <c r="I9124" s="29"/>
      <c r="J9124" s="29" t="s">
        <v>4232</v>
      </c>
      <c r="K9124" s="29"/>
      <c r="L9124" s="29" t="s">
        <v>207</v>
      </c>
      <c r="M9124" s="29"/>
      <c r="N9124" s="29" t="s">
        <v>14009</v>
      </c>
      <c r="O9124" s="29"/>
      <c r="P9124" s="29" t="s">
        <v>14010</v>
      </c>
      <c r="Q9124" t="s">
        <v>3206</v>
      </c>
      <c r="R9124" t="s">
        <v>2632</v>
      </c>
      <c r="S9124">
        <v>37</v>
      </c>
      <c r="T9124" s="43" t="str">
        <f t="shared" ref="T9124:T9162" si="394">HYPERLINK("https://ictv.global/ictv/proposals/2021.006F.R.Hypoviridae_8newgen_35newsp.zip","2021.006F.R.Hypoviridae_8newgen_35newsp.zip")</f>
        <v>2021.006F.R.Hypoviridae_8newgen_35newsp.zip</v>
      </c>
      <c r="U9124" s="43" t="str">
        <f>HYPERLINK("https://ictv.global/taxonomy/taxondetails?taxnode_id=202212488","ictv.global=202212488")</f>
        <v>ictv.global=202212488</v>
      </c>
    </row>
    <row r="9125" spans="1:21">
      <c r="A9125">
        <v>9124</v>
      </c>
      <c r="B9125" s="29" t="s">
        <v>3223</v>
      </c>
      <c r="C9125" s="29"/>
      <c r="D9125" s="29" t="s">
        <v>4156</v>
      </c>
      <c r="E9125" s="29"/>
      <c r="F9125" s="29" t="s">
        <v>4230</v>
      </c>
      <c r="G9125" s="29"/>
      <c r="H9125" s="29" t="s">
        <v>4231</v>
      </c>
      <c r="I9125" s="29"/>
      <c r="J9125" s="29" t="s">
        <v>4232</v>
      </c>
      <c r="K9125" s="29"/>
      <c r="L9125" s="29" t="s">
        <v>207</v>
      </c>
      <c r="M9125" s="29"/>
      <c r="N9125" s="29" t="s">
        <v>14009</v>
      </c>
      <c r="O9125" s="29"/>
      <c r="P9125" s="29" t="s">
        <v>14011</v>
      </c>
      <c r="Q9125" t="s">
        <v>3206</v>
      </c>
      <c r="R9125" t="s">
        <v>2633</v>
      </c>
      <c r="S9125">
        <v>37</v>
      </c>
      <c r="T9125" s="43" t="str">
        <f t="shared" si="394"/>
        <v>2021.006F.R.Hypoviridae_8newgen_35newsp.zip</v>
      </c>
      <c r="U9125" s="43" t="str">
        <f>HYPERLINK("https://ictv.global/taxonomy/taxondetails?taxnode_id=202203675","ictv.global=202203675")</f>
        <v>ictv.global=202203675</v>
      </c>
    </row>
    <row r="9126" spans="1:21">
      <c r="A9126">
        <v>9125</v>
      </c>
      <c r="B9126" s="29" t="s">
        <v>3223</v>
      </c>
      <c r="C9126" s="29"/>
      <c r="D9126" s="29" t="s">
        <v>4156</v>
      </c>
      <c r="E9126" s="29"/>
      <c r="F9126" s="29" t="s">
        <v>4230</v>
      </c>
      <c r="G9126" s="29"/>
      <c r="H9126" s="29" t="s">
        <v>4231</v>
      </c>
      <c r="I9126" s="29"/>
      <c r="J9126" s="29" t="s">
        <v>4232</v>
      </c>
      <c r="K9126" s="29"/>
      <c r="L9126" s="29" t="s">
        <v>207</v>
      </c>
      <c r="M9126" s="29"/>
      <c r="N9126" s="29" t="s">
        <v>14009</v>
      </c>
      <c r="O9126" s="29"/>
      <c r="P9126" s="29" t="s">
        <v>14012</v>
      </c>
      <c r="Q9126" t="s">
        <v>3206</v>
      </c>
      <c r="R9126" t="s">
        <v>2632</v>
      </c>
      <c r="S9126">
        <v>37</v>
      </c>
      <c r="T9126" s="43" t="str">
        <f t="shared" si="394"/>
        <v>2021.006F.R.Hypoviridae_8newgen_35newsp.zip</v>
      </c>
      <c r="U9126" s="43" t="str">
        <f>HYPERLINK("https://ictv.global/taxonomy/taxondetails?taxnode_id=202212485","ictv.global=202212485")</f>
        <v>ictv.global=202212485</v>
      </c>
    </row>
    <row r="9127" spans="1:21">
      <c r="A9127">
        <v>9126</v>
      </c>
      <c r="B9127" s="29" t="s">
        <v>3223</v>
      </c>
      <c r="C9127" s="29"/>
      <c r="D9127" s="29" t="s">
        <v>4156</v>
      </c>
      <c r="E9127" s="29"/>
      <c r="F9127" s="29" t="s">
        <v>4230</v>
      </c>
      <c r="G9127" s="29"/>
      <c r="H9127" s="29" t="s">
        <v>4231</v>
      </c>
      <c r="I9127" s="29"/>
      <c r="J9127" s="29" t="s">
        <v>4232</v>
      </c>
      <c r="K9127" s="29"/>
      <c r="L9127" s="29" t="s">
        <v>207</v>
      </c>
      <c r="M9127" s="29"/>
      <c r="N9127" s="29" t="s">
        <v>14009</v>
      </c>
      <c r="O9127" s="29"/>
      <c r="P9127" s="29" t="s">
        <v>14013</v>
      </c>
      <c r="Q9127" t="s">
        <v>3206</v>
      </c>
      <c r="R9127" t="s">
        <v>2632</v>
      </c>
      <c r="S9127">
        <v>37</v>
      </c>
      <c r="T9127" s="43" t="str">
        <f t="shared" si="394"/>
        <v>2021.006F.R.Hypoviridae_8newgen_35newsp.zip</v>
      </c>
      <c r="U9127" s="43" t="str">
        <f>HYPERLINK("https://ictv.global/taxonomy/taxondetails?taxnode_id=202212487","ictv.global=202212487")</f>
        <v>ictv.global=202212487</v>
      </c>
    </row>
    <row r="9128" spans="1:21">
      <c r="A9128">
        <v>9127</v>
      </c>
      <c r="B9128" s="29" t="s">
        <v>3223</v>
      </c>
      <c r="C9128" s="29"/>
      <c r="D9128" s="29" t="s">
        <v>4156</v>
      </c>
      <c r="E9128" s="29"/>
      <c r="F9128" s="29" t="s">
        <v>4230</v>
      </c>
      <c r="G9128" s="29"/>
      <c r="H9128" s="29" t="s">
        <v>4231</v>
      </c>
      <c r="I9128" s="29"/>
      <c r="J9128" s="29" t="s">
        <v>4232</v>
      </c>
      <c r="K9128" s="29"/>
      <c r="L9128" s="29" t="s">
        <v>207</v>
      </c>
      <c r="M9128" s="29"/>
      <c r="N9128" s="29" t="s">
        <v>14009</v>
      </c>
      <c r="O9128" s="29"/>
      <c r="P9128" s="29" t="s">
        <v>14014</v>
      </c>
      <c r="Q9128" t="s">
        <v>3206</v>
      </c>
      <c r="R9128" t="s">
        <v>2633</v>
      </c>
      <c r="S9128">
        <v>37</v>
      </c>
      <c r="T9128" s="43" t="str">
        <f t="shared" si="394"/>
        <v>2021.006F.R.Hypoviridae_8newgen_35newsp.zip</v>
      </c>
      <c r="U9128" s="43" t="str">
        <f>HYPERLINK("https://ictv.global/taxonomy/taxondetails?taxnode_id=202203674","ictv.global=202203674")</f>
        <v>ictv.global=202203674</v>
      </c>
    </row>
    <row r="9129" spans="1:21">
      <c r="A9129">
        <v>9128</v>
      </c>
      <c r="B9129" s="29" t="s">
        <v>3223</v>
      </c>
      <c r="C9129" s="29"/>
      <c r="D9129" s="29" t="s">
        <v>4156</v>
      </c>
      <c r="E9129" s="29"/>
      <c r="F9129" s="29" t="s">
        <v>4230</v>
      </c>
      <c r="G9129" s="29"/>
      <c r="H9129" s="29" t="s">
        <v>4231</v>
      </c>
      <c r="I9129" s="29"/>
      <c r="J9129" s="29" t="s">
        <v>4232</v>
      </c>
      <c r="K9129" s="29"/>
      <c r="L9129" s="29" t="s">
        <v>207</v>
      </c>
      <c r="M9129" s="29"/>
      <c r="N9129" s="29" t="s">
        <v>14009</v>
      </c>
      <c r="O9129" s="29"/>
      <c r="P9129" s="29" t="s">
        <v>14015</v>
      </c>
      <c r="Q9129" t="s">
        <v>3206</v>
      </c>
      <c r="R9129" t="s">
        <v>2632</v>
      </c>
      <c r="S9129">
        <v>37</v>
      </c>
      <c r="T9129" s="43" t="str">
        <f t="shared" si="394"/>
        <v>2021.006F.R.Hypoviridae_8newgen_35newsp.zip</v>
      </c>
      <c r="U9129" s="43" t="str">
        <f>HYPERLINK("https://ictv.global/taxonomy/taxondetails?taxnode_id=202212482","ictv.global=202212482")</f>
        <v>ictv.global=202212482</v>
      </c>
    </row>
    <row r="9130" spans="1:21">
      <c r="A9130">
        <v>9129</v>
      </c>
      <c r="B9130" s="29" t="s">
        <v>3223</v>
      </c>
      <c r="C9130" s="29"/>
      <c r="D9130" s="29" t="s">
        <v>4156</v>
      </c>
      <c r="E9130" s="29"/>
      <c r="F9130" s="29" t="s">
        <v>4230</v>
      </c>
      <c r="G9130" s="29"/>
      <c r="H9130" s="29" t="s">
        <v>4231</v>
      </c>
      <c r="I9130" s="29"/>
      <c r="J9130" s="29" t="s">
        <v>4232</v>
      </c>
      <c r="K9130" s="29"/>
      <c r="L9130" s="29" t="s">
        <v>207</v>
      </c>
      <c r="M9130" s="29"/>
      <c r="N9130" s="29" t="s">
        <v>14009</v>
      </c>
      <c r="O9130" s="29"/>
      <c r="P9130" s="29" t="s">
        <v>14016</v>
      </c>
      <c r="Q9130" t="s">
        <v>3206</v>
      </c>
      <c r="R9130" t="s">
        <v>2632</v>
      </c>
      <c r="S9130">
        <v>37</v>
      </c>
      <c r="T9130" s="43" t="str">
        <f t="shared" si="394"/>
        <v>2021.006F.R.Hypoviridae_8newgen_35newsp.zip</v>
      </c>
      <c r="U9130" s="43" t="str">
        <f>HYPERLINK("https://ictv.global/taxonomy/taxondetails?taxnode_id=202212489","ictv.global=202212489")</f>
        <v>ictv.global=202212489</v>
      </c>
    </row>
    <row r="9131" spans="1:21">
      <c r="A9131">
        <v>9130</v>
      </c>
      <c r="B9131" s="29" t="s">
        <v>3223</v>
      </c>
      <c r="C9131" s="29"/>
      <c r="D9131" s="29" t="s">
        <v>4156</v>
      </c>
      <c r="E9131" s="29"/>
      <c r="F9131" s="29" t="s">
        <v>4230</v>
      </c>
      <c r="G9131" s="29"/>
      <c r="H9131" s="29" t="s">
        <v>4231</v>
      </c>
      <c r="I9131" s="29"/>
      <c r="J9131" s="29" t="s">
        <v>4232</v>
      </c>
      <c r="K9131" s="29"/>
      <c r="L9131" s="29" t="s">
        <v>207</v>
      </c>
      <c r="M9131" s="29"/>
      <c r="N9131" s="29" t="s">
        <v>14009</v>
      </c>
      <c r="O9131" s="29"/>
      <c r="P9131" s="29" t="s">
        <v>14017</v>
      </c>
      <c r="Q9131" t="s">
        <v>3206</v>
      </c>
      <c r="R9131" t="s">
        <v>2632</v>
      </c>
      <c r="S9131">
        <v>37</v>
      </c>
      <c r="T9131" s="43" t="str">
        <f t="shared" si="394"/>
        <v>2021.006F.R.Hypoviridae_8newgen_35newsp.zip</v>
      </c>
      <c r="U9131" s="43" t="str">
        <f>HYPERLINK("https://ictv.global/taxonomy/taxondetails?taxnode_id=202212484","ictv.global=202212484")</f>
        <v>ictv.global=202212484</v>
      </c>
    </row>
    <row r="9132" spans="1:21">
      <c r="A9132">
        <v>9131</v>
      </c>
      <c r="B9132" s="29" t="s">
        <v>3223</v>
      </c>
      <c r="C9132" s="29"/>
      <c r="D9132" s="29" t="s">
        <v>4156</v>
      </c>
      <c r="E9132" s="29"/>
      <c r="F9132" s="29" t="s">
        <v>4230</v>
      </c>
      <c r="G9132" s="29"/>
      <c r="H9132" s="29" t="s">
        <v>4231</v>
      </c>
      <c r="I9132" s="29"/>
      <c r="J9132" s="29" t="s">
        <v>4232</v>
      </c>
      <c r="K9132" s="29"/>
      <c r="L9132" s="29" t="s">
        <v>207</v>
      </c>
      <c r="M9132" s="29"/>
      <c r="N9132" s="29" t="s">
        <v>14009</v>
      </c>
      <c r="O9132" s="29"/>
      <c r="P9132" s="29" t="s">
        <v>14018</v>
      </c>
      <c r="Q9132" t="s">
        <v>3206</v>
      </c>
      <c r="R9132" t="s">
        <v>2632</v>
      </c>
      <c r="S9132">
        <v>37</v>
      </c>
      <c r="T9132" s="43" t="str">
        <f t="shared" si="394"/>
        <v>2021.006F.R.Hypoviridae_8newgen_35newsp.zip</v>
      </c>
      <c r="U9132" s="43" t="str">
        <f>HYPERLINK("https://ictv.global/taxonomy/taxondetails?taxnode_id=202212481","ictv.global=202212481")</f>
        <v>ictv.global=202212481</v>
      </c>
    </row>
    <row r="9133" spans="1:21">
      <c r="A9133">
        <v>9132</v>
      </c>
      <c r="B9133" s="29" t="s">
        <v>3223</v>
      </c>
      <c r="C9133" s="29"/>
      <c r="D9133" s="29" t="s">
        <v>4156</v>
      </c>
      <c r="E9133" s="29"/>
      <c r="F9133" s="29" t="s">
        <v>4230</v>
      </c>
      <c r="G9133" s="29"/>
      <c r="H9133" s="29" t="s">
        <v>4231</v>
      </c>
      <c r="I9133" s="29"/>
      <c r="J9133" s="29" t="s">
        <v>4232</v>
      </c>
      <c r="K9133" s="29"/>
      <c r="L9133" s="29" t="s">
        <v>207</v>
      </c>
      <c r="M9133" s="29"/>
      <c r="N9133" s="29" t="s">
        <v>14009</v>
      </c>
      <c r="O9133" s="29"/>
      <c r="P9133" s="29" t="s">
        <v>14019</v>
      </c>
      <c r="Q9133" t="s">
        <v>3206</v>
      </c>
      <c r="R9133" t="s">
        <v>2632</v>
      </c>
      <c r="S9133">
        <v>37</v>
      </c>
      <c r="T9133" s="43" t="str">
        <f t="shared" si="394"/>
        <v>2021.006F.R.Hypoviridae_8newgen_35newsp.zip</v>
      </c>
      <c r="U9133" s="43" t="str">
        <f>HYPERLINK("https://ictv.global/taxonomy/taxondetails?taxnode_id=202212486","ictv.global=202212486")</f>
        <v>ictv.global=202212486</v>
      </c>
    </row>
    <row r="9134" spans="1:21">
      <c r="A9134">
        <v>9133</v>
      </c>
      <c r="B9134" s="29" t="s">
        <v>3223</v>
      </c>
      <c r="C9134" s="29"/>
      <c r="D9134" s="29" t="s">
        <v>4156</v>
      </c>
      <c r="E9134" s="29"/>
      <c r="F9134" s="29" t="s">
        <v>4230</v>
      </c>
      <c r="G9134" s="29"/>
      <c r="H9134" s="29" t="s">
        <v>4231</v>
      </c>
      <c r="I9134" s="29"/>
      <c r="J9134" s="29" t="s">
        <v>4232</v>
      </c>
      <c r="K9134" s="29"/>
      <c r="L9134" s="29" t="s">
        <v>207</v>
      </c>
      <c r="M9134" s="29"/>
      <c r="N9134" s="29" t="s">
        <v>14009</v>
      </c>
      <c r="O9134" s="29"/>
      <c r="P9134" s="29" t="s">
        <v>14020</v>
      </c>
      <c r="Q9134" t="s">
        <v>3206</v>
      </c>
      <c r="R9134" t="s">
        <v>2632</v>
      </c>
      <c r="S9134">
        <v>37</v>
      </c>
      <c r="T9134" s="43" t="str">
        <f t="shared" si="394"/>
        <v>2021.006F.R.Hypoviridae_8newgen_35newsp.zip</v>
      </c>
      <c r="U9134" s="43" t="str">
        <f>HYPERLINK("https://ictv.global/taxonomy/taxondetails?taxnode_id=202212483","ictv.global=202212483")</f>
        <v>ictv.global=202212483</v>
      </c>
    </row>
    <row r="9135" spans="1:21">
      <c r="A9135">
        <v>9134</v>
      </c>
      <c r="B9135" s="29" t="s">
        <v>3223</v>
      </c>
      <c r="C9135" s="29"/>
      <c r="D9135" s="29" t="s">
        <v>4156</v>
      </c>
      <c r="E9135" s="29"/>
      <c r="F9135" s="29" t="s">
        <v>4230</v>
      </c>
      <c r="G9135" s="29"/>
      <c r="H9135" s="29" t="s">
        <v>4231</v>
      </c>
      <c r="I9135" s="29"/>
      <c r="J9135" s="29" t="s">
        <v>4232</v>
      </c>
      <c r="K9135" s="29"/>
      <c r="L9135" s="29" t="s">
        <v>207</v>
      </c>
      <c r="M9135" s="29"/>
      <c r="N9135" s="29" t="s">
        <v>14021</v>
      </c>
      <c r="O9135" s="29"/>
      <c r="P9135" s="29" t="s">
        <v>14022</v>
      </c>
      <c r="Q9135" t="s">
        <v>3206</v>
      </c>
      <c r="R9135" t="s">
        <v>2633</v>
      </c>
      <c r="S9135">
        <v>37</v>
      </c>
      <c r="T9135" s="43" t="str">
        <f t="shared" si="394"/>
        <v>2021.006F.R.Hypoviridae_8newgen_35newsp.zip</v>
      </c>
      <c r="U9135" s="43" t="str">
        <f>HYPERLINK("https://ictv.global/taxonomy/taxondetails?taxnode_id=202203677","ictv.global=202203677")</f>
        <v>ictv.global=202203677</v>
      </c>
    </row>
    <row r="9136" spans="1:21">
      <c r="A9136">
        <v>9135</v>
      </c>
      <c r="B9136" s="29" t="s">
        <v>3223</v>
      </c>
      <c r="C9136" s="29"/>
      <c r="D9136" s="29" t="s">
        <v>4156</v>
      </c>
      <c r="E9136" s="29"/>
      <c r="F9136" s="29" t="s">
        <v>4230</v>
      </c>
      <c r="G9136" s="29"/>
      <c r="H9136" s="29" t="s">
        <v>4231</v>
      </c>
      <c r="I9136" s="29"/>
      <c r="J9136" s="29" t="s">
        <v>4232</v>
      </c>
      <c r="K9136" s="29"/>
      <c r="L9136" s="29" t="s">
        <v>207</v>
      </c>
      <c r="M9136" s="29"/>
      <c r="N9136" s="29" t="s">
        <v>14021</v>
      </c>
      <c r="O9136" s="29"/>
      <c r="P9136" s="29" t="s">
        <v>14023</v>
      </c>
      <c r="Q9136" t="s">
        <v>3206</v>
      </c>
      <c r="R9136" t="s">
        <v>2633</v>
      </c>
      <c r="S9136">
        <v>37</v>
      </c>
      <c r="T9136" s="43" t="str">
        <f t="shared" si="394"/>
        <v>2021.006F.R.Hypoviridae_8newgen_35newsp.zip</v>
      </c>
      <c r="U9136" s="43" t="str">
        <f>HYPERLINK("https://ictv.global/taxonomy/taxondetails?taxnode_id=202203676","ictv.global=202203676")</f>
        <v>ictv.global=202203676</v>
      </c>
    </row>
    <row r="9137" spans="1:21">
      <c r="A9137">
        <v>9136</v>
      </c>
      <c r="B9137" s="29" t="s">
        <v>3223</v>
      </c>
      <c r="C9137" s="29"/>
      <c r="D9137" s="29" t="s">
        <v>4156</v>
      </c>
      <c r="E9137" s="29"/>
      <c r="F9137" s="29" t="s">
        <v>4230</v>
      </c>
      <c r="G9137" s="29"/>
      <c r="H9137" s="29" t="s">
        <v>4231</v>
      </c>
      <c r="I9137" s="29"/>
      <c r="J9137" s="29" t="s">
        <v>4232</v>
      </c>
      <c r="K9137" s="29"/>
      <c r="L9137" s="29" t="s">
        <v>207</v>
      </c>
      <c r="M9137" s="29"/>
      <c r="N9137" s="29" t="s">
        <v>14021</v>
      </c>
      <c r="O9137" s="29"/>
      <c r="P9137" s="29" t="s">
        <v>14024</v>
      </c>
      <c r="Q9137" t="s">
        <v>3206</v>
      </c>
      <c r="R9137" t="s">
        <v>2632</v>
      </c>
      <c r="S9137">
        <v>37</v>
      </c>
      <c r="T9137" s="43" t="str">
        <f t="shared" si="394"/>
        <v>2021.006F.R.Hypoviridae_8newgen_35newsp.zip</v>
      </c>
      <c r="U9137" s="43" t="str">
        <f>HYPERLINK("https://ictv.global/taxonomy/taxondetails?taxnode_id=202212494","ictv.global=202212494")</f>
        <v>ictv.global=202212494</v>
      </c>
    </row>
    <row r="9138" spans="1:21">
      <c r="A9138">
        <v>9137</v>
      </c>
      <c r="B9138" s="29" t="s">
        <v>3223</v>
      </c>
      <c r="C9138" s="29"/>
      <c r="D9138" s="29" t="s">
        <v>4156</v>
      </c>
      <c r="E9138" s="29"/>
      <c r="F9138" s="29" t="s">
        <v>4230</v>
      </c>
      <c r="G9138" s="29"/>
      <c r="H9138" s="29" t="s">
        <v>4231</v>
      </c>
      <c r="I9138" s="29"/>
      <c r="J9138" s="29" t="s">
        <v>4232</v>
      </c>
      <c r="K9138" s="29"/>
      <c r="L9138" s="29" t="s">
        <v>207</v>
      </c>
      <c r="M9138" s="29"/>
      <c r="N9138" s="29" t="s">
        <v>14021</v>
      </c>
      <c r="O9138" s="29"/>
      <c r="P9138" s="29" t="s">
        <v>14025</v>
      </c>
      <c r="Q9138" t="s">
        <v>3206</v>
      </c>
      <c r="R9138" t="s">
        <v>2632</v>
      </c>
      <c r="S9138">
        <v>37</v>
      </c>
      <c r="T9138" s="43" t="str">
        <f t="shared" si="394"/>
        <v>2021.006F.R.Hypoviridae_8newgen_35newsp.zip</v>
      </c>
      <c r="U9138" s="43" t="str">
        <f>HYPERLINK("https://ictv.global/taxonomy/taxondetails?taxnode_id=202212496","ictv.global=202212496")</f>
        <v>ictv.global=202212496</v>
      </c>
    </row>
    <row r="9139" spans="1:21">
      <c r="A9139">
        <v>9138</v>
      </c>
      <c r="B9139" s="29" t="s">
        <v>3223</v>
      </c>
      <c r="C9139" s="29"/>
      <c r="D9139" s="29" t="s">
        <v>4156</v>
      </c>
      <c r="E9139" s="29"/>
      <c r="F9139" s="29" t="s">
        <v>4230</v>
      </c>
      <c r="G9139" s="29"/>
      <c r="H9139" s="29" t="s">
        <v>4231</v>
      </c>
      <c r="I9139" s="29"/>
      <c r="J9139" s="29" t="s">
        <v>4232</v>
      </c>
      <c r="K9139" s="29"/>
      <c r="L9139" s="29" t="s">
        <v>207</v>
      </c>
      <c r="M9139" s="29"/>
      <c r="N9139" s="29" t="s">
        <v>14021</v>
      </c>
      <c r="O9139" s="29"/>
      <c r="P9139" s="29" t="s">
        <v>14026</v>
      </c>
      <c r="Q9139" t="s">
        <v>3206</v>
      </c>
      <c r="R9139" t="s">
        <v>2632</v>
      </c>
      <c r="S9139">
        <v>37</v>
      </c>
      <c r="T9139" s="43" t="str">
        <f t="shared" si="394"/>
        <v>2021.006F.R.Hypoviridae_8newgen_35newsp.zip</v>
      </c>
      <c r="U9139" s="43" t="str">
        <f>HYPERLINK("https://ictv.global/taxonomy/taxondetails?taxnode_id=202212491","ictv.global=202212491")</f>
        <v>ictv.global=202212491</v>
      </c>
    </row>
    <row r="9140" spans="1:21">
      <c r="A9140">
        <v>9139</v>
      </c>
      <c r="B9140" s="29" t="s">
        <v>3223</v>
      </c>
      <c r="C9140" s="29"/>
      <c r="D9140" s="29" t="s">
        <v>4156</v>
      </c>
      <c r="E9140" s="29"/>
      <c r="F9140" s="29" t="s">
        <v>4230</v>
      </c>
      <c r="G9140" s="29"/>
      <c r="H9140" s="29" t="s">
        <v>4231</v>
      </c>
      <c r="I9140" s="29"/>
      <c r="J9140" s="29" t="s">
        <v>4232</v>
      </c>
      <c r="K9140" s="29"/>
      <c r="L9140" s="29" t="s">
        <v>207</v>
      </c>
      <c r="M9140" s="29"/>
      <c r="N9140" s="29" t="s">
        <v>14021</v>
      </c>
      <c r="O9140" s="29"/>
      <c r="P9140" s="29" t="s">
        <v>14027</v>
      </c>
      <c r="Q9140" t="s">
        <v>3206</v>
      </c>
      <c r="R9140" t="s">
        <v>2632</v>
      </c>
      <c r="S9140">
        <v>37</v>
      </c>
      <c r="T9140" s="43" t="str">
        <f t="shared" si="394"/>
        <v>2021.006F.R.Hypoviridae_8newgen_35newsp.zip</v>
      </c>
      <c r="U9140" s="43" t="str">
        <f>HYPERLINK("https://ictv.global/taxonomy/taxondetails?taxnode_id=202212492","ictv.global=202212492")</f>
        <v>ictv.global=202212492</v>
      </c>
    </row>
    <row r="9141" spans="1:21">
      <c r="A9141">
        <v>9140</v>
      </c>
      <c r="B9141" s="29" t="s">
        <v>3223</v>
      </c>
      <c r="C9141" s="29"/>
      <c r="D9141" s="29" t="s">
        <v>4156</v>
      </c>
      <c r="E9141" s="29"/>
      <c r="F9141" s="29" t="s">
        <v>4230</v>
      </c>
      <c r="G9141" s="29"/>
      <c r="H9141" s="29" t="s">
        <v>4231</v>
      </c>
      <c r="I9141" s="29"/>
      <c r="J9141" s="29" t="s">
        <v>4232</v>
      </c>
      <c r="K9141" s="29"/>
      <c r="L9141" s="29" t="s">
        <v>207</v>
      </c>
      <c r="M9141" s="29"/>
      <c r="N9141" s="29" t="s">
        <v>14021</v>
      </c>
      <c r="O9141" s="29"/>
      <c r="P9141" s="29" t="s">
        <v>14028</v>
      </c>
      <c r="Q9141" t="s">
        <v>3206</v>
      </c>
      <c r="R9141" t="s">
        <v>2632</v>
      </c>
      <c r="S9141">
        <v>37</v>
      </c>
      <c r="T9141" s="43" t="str">
        <f t="shared" si="394"/>
        <v>2021.006F.R.Hypoviridae_8newgen_35newsp.zip</v>
      </c>
      <c r="U9141" s="43" t="str">
        <f>HYPERLINK("https://ictv.global/taxonomy/taxondetails?taxnode_id=202212497","ictv.global=202212497")</f>
        <v>ictv.global=202212497</v>
      </c>
    </row>
    <row r="9142" spans="1:21">
      <c r="A9142">
        <v>9141</v>
      </c>
      <c r="B9142" s="29" t="s">
        <v>3223</v>
      </c>
      <c r="C9142" s="29"/>
      <c r="D9142" s="29" t="s">
        <v>4156</v>
      </c>
      <c r="E9142" s="29"/>
      <c r="F9142" s="29" t="s">
        <v>4230</v>
      </c>
      <c r="G9142" s="29"/>
      <c r="H9142" s="29" t="s">
        <v>4231</v>
      </c>
      <c r="I9142" s="29"/>
      <c r="J9142" s="29" t="s">
        <v>4232</v>
      </c>
      <c r="K9142" s="29"/>
      <c r="L9142" s="29" t="s">
        <v>207</v>
      </c>
      <c r="M9142" s="29"/>
      <c r="N9142" s="29" t="s">
        <v>14021</v>
      </c>
      <c r="O9142" s="29"/>
      <c r="P9142" s="29" t="s">
        <v>14029</v>
      </c>
      <c r="Q9142" t="s">
        <v>3206</v>
      </c>
      <c r="R9142" t="s">
        <v>2632</v>
      </c>
      <c r="S9142">
        <v>37</v>
      </c>
      <c r="T9142" s="43" t="str">
        <f t="shared" si="394"/>
        <v>2021.006F.R.Hypoviridae_8newgen_35newsp.zip</v>
      </c>
      <c r="U9142" s="43" t="str">
        <f>HYPERLINK("https://ictv.global/taxonomy/taxondetails?taxnode_id=202212493","ictv.global=202212493")</f>
        <v>ictv.global=202212493</v>
      </c>
    </row>
    <row r="9143" spans="1:21">
      <c r="A9143">
        <v>9142</v>
      </c>
      <c r="B9143" s="29" t="s">
        <v>3223</v>
      </c>
      <c r="C9143" s="29"/>
      <c r="D9143" s="29" t="s">
        <v>4156</v>
      </c>
      <c r="E9143" s="29"/>
      <c r="F9143" s="29" t="s">
        <v>4230</v>
      </c>
      <c r="G9143" s="29"/>
      <c r="H9143" s="29" t="s">
        <v>4231</v>
      </c>
      <c r="I9143" s="29"/>
      <c r="J9143" s="29" t="s">
        <v>4232</v>
      </c>
      <c r="K9143" s="29"/>
      <c r="L9143" s="29" t="s">
        <v>207</v>
      </c>
      <c r="M9143" s="29"/>
      <c r="N9143" s="29" t="s">
        <v>14021</v>
      </c>
      <c r="O9143" s="29"/>
      <c r="P9143" s="29" t="s">
        <v>14030</v>
      </c>
      <c r="Q9143" t="s">
        <v>3206</v>
      </c>
      <c r="R9143" t="s">
        <v>2632</v>
      </c>
      <c r="S9143">
        <v>37</v>
      </c>
      <c r="T9143" s="43" t="str">
        <f t="shared" si="394"/>
        <v>2021.006F.R.Hypoviridae_8newgen_35newsp.zip</v>
      </c>
      <c r="U9143" s="43" t="str">
        <f>HYPERLINK("https://ictv.global/taxonomy/taxondetails?taxnode_id=202212495","ictv.global=202212495")</f>
        <v>ictv.global=202212495</v>
      </c>
    </row>
    <row r="9144" spans="1:21">
      <c r="A9144">
        <v>9143</v>
      </c>
      <c r="B9144" s="29" t="s">
        <v>3223</v>
      </c>
      <c r="C9144" s="29"/>
      <c r="D9144" s="29" t="s">
        <v>4156</v>
      </c>
      <c r="E9144" s="29"/>
      <c r="F9144" s="29" t="s">
        <v>4230</v>
      </c>
      <c r="G9144" s="29"/>
      <c r="H9144" s="29" t="s">
        <v>4231</v>
      </c>
      <c r="I9144" s="29"/>
      <c r="J9144" s="29" t="s">
        <v>4232</v>
      </c>
      <c r="K9144" s="29"/>
      <c r="L9144" s="29" t="s">
        <v>207</v>
      </c>
      <c r="M9144" s="29"/>
      <c r="N9144" s="29" t="s">
        <v>14031</v>
      </c>
      <c r="O9144" s="29"/>
      <c r="P9144" s="29" t="s">
        <v>14032</v>
      </c>
      <c r="Q9144" t="s">
        <v>3206</v>
      </c>
      <c r="R9144" t="s">
        <v>2632</v>
      </c>
      <c r="S9144">
        <v>37</v>
      </c>
      <c r="T9144" s="43" t="str">
        <f t="shared" si="394"/>
        <v>2021.006F.R.Hypoviridae_8newgen_35newsp.zip</v>
      </c>
      <c r="U9144" s="43" t="str">
        <f>HYPERLINK("https://ictv.global/taxonomy/taxondetails?taxnode_id=202212505","ictv.global=202212505")</f>
        <v>ictv.global=202212505</v>
      </c>
    </row>
    <row r="9145" spans="1:21">
      <c r="A9145">
        <v>9144</v>
      </c>
      <c r="B9145" s="29" t="s">
        <v>3223</v>
      </c>
      <c r="C9145" s="29"/>
      <c r="D9145" s="29" t="s">
        <v>4156</v>
      </c>
      <c r="E9145" s="29"/>
      <c r="F9145" s="29" t="s">
        <v>4230</v>
      </c>
      <c r="G9145" s="29"/>
      <c r="H9145" s="29" t="s">
        <v>4231</v>
      </c>
      <c r="I9145" s="29"/>
      <c r="J9145" s="29" t="s">
        <v>4232</v>
      </c>
      <c r="K9145" s="29"/>
      <c r="L9145" s="29" t="s">
        <v>207</v>
      </c>
      <c r="M9145" s="29"/>
      <c r="N9145" s="29" t="s">
        <v>14031</v>
      </c>
      <c r="O9145" s="29"/>
      <c r="P9145" s="29" t="s">
        <v>14033</v>
      </c>
      <c r="Q9145" t="s">
        <v>3206</v>
      </c>
      <c r="R9145" t="s">
        <v>2632</v>
      </c>
      <c r="S9145">
        <v>37</v>
      </c>
      <c r="T9145" s="43" t="str">
        <f t="shared" si="394"/>
        <v>2021.006F.R.Hypoviridae_8newgen_35newsp.zip</v>
      </c>
      <c r="U9145" s="43" t="str">
        <f>HYPERLINK("https://ictv.global/taxonomy/taxondetails?taxnode_id=202212506","ictv.global=202212506")</f>
        <v>ictv.global=202212506</v>
      </c>
    </row>
    <row r="9146" spans="1:21">
      <c r="A9146">
        <v>9145</v>
      </c>
      <c r="B9146" s="29" t="s">
        <v>3223</v>
      </c>
      <c r="C9146" s="29"/>
      <c r="D9146" s="29" t="s">
        <v>4156</v>
      </c>
      <c r="E9146" s="29"/>
      <c r="F9146" s="29" t="s">
        <v>4230</v>
      </c>
      <c r="G9146" s="29"/>
      <c r="H9146" s="29" t="s">
        <v>4231</v>
      </c>
      <c r="I9146" s="29"/>
      <c r="J9146" s="29" t="s">
        <v>4232</v>
      </c>
      <c r="K9146" s="29"/>
      <c r="L9146" s="29" t="s">
        <v>207</v>
      </c>
      <c r="M9146" s="29"/>
      <c r="N9146" s="29" t="s">
        <v>14034</v>
      </c>
      <c r="O9146" s="29"/>
      <c r="P9146" s="29" t="s">
        <v>14035</v>
      </c>
      <c r="Q9146" t="s">
        <v>3206</v>
      </c>
      <c r="R9146" t="s">
        <v>2632</v>
      </c>
      <c r="S9146">
        <v>37</v>
      </c>
      <c r="T9146" s="43" t="str">
        <f t="shared" si="394"/>
        <v>2021.006F.R.Hypoviridae_8newgen_35newsp.zip</v>
      </c>
      <c r="U9146" s="43" t="str">
        <f>HYPERLINK("https://ictv.global/taxonomy/taxondetails?taxnode_id=202212508","ictv.global=202212508")</f>
        <v>ictv.global=202212508</v>
      </c>
    </row>
    <row r="9147" spans="1:21">
      <c r="A9147">
        <v>9146</v>
      </c>
      <c r="B9147" s="29" t="s">
        <v>3223</v>
      </c>
      <c r="C9147" s="29"/>
      <c r="D9147" s="29" t="s">
        <v>4156</v>
      </c>
      <c r="E9147" s="29"/>
      <c r="F9147" s="29" t="s">
        <v>4230</v>
      </c>
      <c r="G9147" s="29"/>
      <c r="H9147" s="29" t="s">
        <v>4231</v>
      </c>
      <c r="I9147" s="29"/>
      <c r="J9147" s="29" t="s">
        <v>4232</v>
      </c>
      <c r="K9147" s="29"/>
      <c r="L9147" s="29" t="s">
        <v>207</v>
      </c>
      <c r="M9147" s="29"/>
      <c r="N9147" s="29" t="s">
        <v>14034</v>
      </c>
      <c r="O9147" s="29"/>
      <c r="P9147" s="29" t="s">
        <v>14036</v>
      </c>
      <c r="Q9147" t="s">
        <v>3206</v>
      </c>
      <c r="R9147" t="s">
        <v>2632</v>
      </c>
      <c r="S9147">
        <v>37</v>
      </c>
      <c r="T9147" s="43" t="str">
        <f t="shared" si="394"/>
        <v>2021.006F.R.Hypoviridae_8newgen_35newsp.zip</v>
      </c>
      <c r="U9147" s="43" t="str">
        <f>HYPERLINK("https://ictv.global/taxonomy/taxondetails?taxnode_id=202212509","ictv.global=202212509")</f>
        <v>ictv.global=202212509</v>
      </c>
    </row>
    <row r="9148" spans="1:21">
      <c r="A9148">
        <v>9147</v>
      </c>
      <c r="B9148" s="29" t="s">
        <v>3223</v>
      </c>
      <c r="C9148" s="29"/>
      <c r="D9148" s="29" t="s">
        <v>4156</v>
      </c>
      <c r="E9148" s="29"/>
      <c r="F9148" s="29" t="s">
        <v>4230</v>
      </c>
      <c r="G9148" s="29"/>
      <c r="H9148" s="29" t="s">
        <v>4231</v>
      </c>
      <c r="I9148" s="29"/>
      <c r="J9148" s="29" t="s">
        <v>4232</v>
      </c>
      <c r="K9148" s="29"/>
      <c r="L9148" s="29" t="s">
        <v>207</v>
      </c>
      <c r="M9148" s="29"/>
      <c r="N9148" s="29" t="s">
        <v>14034</v>
      </c>
      <c r="O9148" s="29"/>
      <c r="P9148" s="29" t="s">
        <v>14037</v>
      </c>
      <c r="Q9148" t="s">
        <v>3206</v>
      </c>
      <c r="R9148" t="s">
        <v>2632</v>
      </c>
      <c r="S9148">
        <v>37</v>
      </c>
      <c r="T9148" s="43" t="str">
        <f t="shared" si="394"/>
        <v>2021.006F.R.Hypoviridae_8newgen_35newsp.zip</v>
      </c>
      <c r="U9148" s="43" t="str">
        <f>HYPERLINK("https://ictv.global/taxonomy/taxondetails?taxnode_id=202212511","ictv.global=202212511")</f>
        <v>ictv.global=202212511</v>
      </c>
    </row>
    <row r="9149" spans="1:21">
      <c r="A9149">
        <v>9148</v>
      </c>
      <c r="B9149" s="29" t="s">
        <v>3223</v>
      </c>
      <c r="C9149" s="29"/>
      <c r="D9149" s="29" t="s">
        <v>4156</v>
      </c>
      <c r="E9149" s="29"/>
      <c r="F9149" s="29" t="s">
        <v>4230</v>
      </c>
      <c r="G9149" s="29"/>
      <c r="H9149" s="29" t="s">
        <v>4231</v>
      </c>
      <c r="I9149" s="29"/>
      <c r="J9149" s="29" t="s">
        <v>4232</v>
      </c>
      <c r="K9149" s="29"/>
      <c r="L9149" s="29" t="s">
        <v>207</v>
      </c>
      <c r="M9149" s="29"/>
      <c r="N9149" s="29" t="s">
        <v>14034</v>
      </c>
      <c r="O9149" s="29"/>
      <c r="P9149" s="29" t="s">
        <v>14038</v>
      </c>
      <c r="Q9149" t="s">
        <v>3206</v>
      </c>
      <c r="R9149" t="s">
        <v>2632</v>
      </c>
      <c r="S9149">
        <v>37</v>
      </c>
      <c r="T9149" s="43" t="str">
        <f t="shared" si="394"/>
        <v>2021.006F.R.Hypoviridae_8newgen_35newsp.zip</v>
      </c>
      <c r="U9149" s="43" t="str">
        <f>HYPERLINK("https://ictv.global/taxonomy/taxondetails?taxnode_id=202212513","ictv.global=202212513")</f>
        <v>ictv.global=202212513</v>
      </c>
    </row>
    <row r="9150" spans="1:21">
      <c r="A9150">
        <v>9149</v>
      </c>
      <c r="B9150" s="29" t="s">
        <v>3223</v>
      </c>
      <c r="C9150" s="29"/>
      <c r="D9150" s="29" t="s">
        <v>4156</v>
      </c>
      <c r="E9150" s="29"/>
      <c r="F9150" s="29" t="s">
        <v>4230</v>
      </c>
      <c r="G9150" s="29"/>
      <c r="H9150" s="29" t="s">
        <v>4231</v>
      </c>
      <c r="I9150" s="29"/>
      <c r="J9150" s="29" t="s">
        <v>4232</v>
      </c>
      <c r="K9150" s="29"/>
      <c r="L9150" s="29" t="s">
        <v>207</v>
      </c>
      <c r="M9150" s="29"/>
      <c r="N9150" s="29" t="s">
        <v>14034</v>
      </c>
      <c r="O9150" s="29"/>
      <c r="P9150" s="29" t="s">
        <v>14039</v>
      </c>
      <c r="Q9150" t="s">
        <v>3206</v>
      </c>
      <c r="R9150" t="s">
        <v>2632</v>
      </c>
      <c r="S9150">
        <v>37</v>
      </c>
      <c r="T9150" s="43" t="str">
        <f t="shared" si="394"/>
        <v>2021.006F.R.Hypoviridae_8newgen_35newsp.zip</v>
      </c>
      <c r="U9150" s="43" t="str">
        <f>HYPERLINK("https://ictv.global/taxonomy/taxondetails?taxnode_id=202212510","ictv.global=202212510")</f>
        <v>ictv.global=202212510</v>
      </c>
    </row>
    <row r="9151" spans="1:21">
      <c r="A9151">
        <v>9150</v>
      </c>
      <c r="B9151" s="29" t="s">
        <v>3223</v>
      </c>
      <c r="C9151" s="29"/>
      <c r="D9151" s="29" t="s">
        <v>4156</v>
      </c>
      <c r="E9151" s="29"/>
      <c r="F9151" s="29" t="s">
        <v>4230</v>
      </c>
      <c r="G9151" s="29"/>
      <c r="H9151" s="29" t="s">
        <v>4231</v>
      </c>
      <c r="I9151" s="29"/>
      <c r="J9151" s="29" t="s">
        <v>4232</v>
      </c>
      <c r="K9151" s="29"/>
      <c r="L9151" s="29" t="s">
        <v>207</v>
      </c>
      <c r="M9151" s="29"/>
      <c r="N9151" s="29" t="s">
        <v>14034</v>
      </c>
      <c r="O9151" s="29"/>
      <c r="P9151" s="29" t="s">
        <v>14040</v>
      </c>
      <c r="Q9151" t="s">
        <v>3206</v>
      </c>
      <c r="R9151" t="s">
        <v>2632</v>
      </c>
      <c r="S9151">
        <v>37</v>
      </c>
      <c r="T9151" s="43" t="str">
        <f t="shared" si="394"/>
        <v>2021.006F.R.Hypoviridae_8newgen_35newsp.zip</v>
      </c>
      <c r="U9151" s="43" t="str">
        <f>HYPERLINK("https://ictv.global/taxonomy/taxondetails?taxnode_id=202212512","ictv.global=202212512")</f>
        <v>ictv.global=202212512</v>
      </c>
    </row>
    <row r="9152" spans="1:21">
      <c r="A9152">
        <v>9151</v>
      </c>
      <c r="B9152" s="29" t="s">
        <v>3223</v>
      </c>
      <c r="C9152" s="29"/>
      <c r="D9152" s="29" t="s">
        <v>4156</v>
      </c>
      <c r="E9152" s="29"/>
      <c r="F9152" s="29" t="s">
        <v>4230</v>
      </c>
      <c r="G9152" s="29"/>
      <c r="H9152" s="29" t="s">
        <v>4231</v>
      </c>
      <c r="I9152" s="29"/>
      <c r="J9152" s="29" t="s">
        <v>4232</v>
      </c>
      <c r="K9152" s="29"/>
      <c r="L9152" s="29" t="s">
        <v>207</v>
      </c>
      <c r="M9152" s="29"/>
      <c r="N9152" s="29" t="s">
        <v>14041</v>
      </c>
      <c r="O9152" s="29"/>
      <c r="P9152" s="29" t="s">
        <v>14042</v>
      </c>
      <c r="Q9152" t="s">
        <v>3206</v>
      </c>
      <c r="R9152" t="s">
        <v>2632</v>
      </c>
      <c r="S9152">
        <v>37</v>
      </c>
      <c r="T9152" s="43" t="str">
        <f t="shared" si="394"/>
        <v>2021.006F.R.Hypoviridae_8newgen_35newsp.zip</v>
      </c>
      <c r="U9152" s="43" t="str">
        <f>HYPERLINK("https://ictv.global/taxonomy/taxondetails?taxnode_id=202212517","ictv.global=202212517")</f>
        <v>ictv.global=202212517</v>
      </c>
    </row>
    <row r="9153" spans="1:21">
      <c r="A9153">
        <v>9152</v>
      </c>
      <c r="B9153" s="29" t="s">
        <v>3223</v>
      </c>
      <c r="C9153" s="29"/>
      <c r="D9153" s="29" t="s">
        <v>4156</v>
      </c>
      <c r="E9153" s="29"/>
      <c r="F9153" s="29" t="s">
        <v>4230</v>
      </c>
      <c r="G9153" s="29"/>
      <c r="H9153" s="29" t="s">
        <v>4231</v>
      </c>
      <c r="I9153" s="29"/>
      <c r="J9153" s="29" t="s">
        <v>4232</v>
      </c>
      <c r="K9153" s="29"/>
      <c r="L9153" s="29" t="s">
        <v>207</v>
      </c>
      <c r="M9153" s="29"/>
      <c r="N9153" s="29" t="s">
        <v>14043</v>
      </c>
      <c r="O9153" s="29"/>
      <c r="P9153" s="29" t="s">
        <v>14044</v>
      </c>
      <c r="Q9153" t="s">
        <v>3206</v>
      </c>
      <c r="R9153" t="s">
        <v>2632</v>
      </c>
      <c r="S9153">
        <v>37</v>
      </c>
      <c r="T9153" s="43" t="str">
        <f t="shared" si="394"/>
        <v>2021.006F.R.Hypoviridae_8newgen_35newsp.zip</v>
      </c>
      <c r="U9153" s="43" t="str">
        <f>HYPERLINK("https://ictv.global/taxonomy/taxondetails?taxnode_id=202212501","ictv.global=202212501")</f>
        <v>ictv.global=202212501</v>
      </c>
    </row>
    <row r="9154" spans="1:21">
      <c r="A9154">
        <v>9153</v>
      </c>
      <c r="B9154" s="29" t="s">
        <v>3223</v>
      </c>
      <c r="C9154" s="29"/>
      <c r="D9154" s="29" t="s">
        <v>4156</v>
      </c>
      <c r="E9154" s="29"/>
      <c r="F9154" s="29" t="s">
        <v>4230</v>
      </c>
      <c r="G9154" s="29"/>
      <c r="H9154" s="29" t="s">
        <v>4231</v>
      </c>
      <c r="I9154" s="29"/>
      <c r="J9154" s="29" t="s">
        <v>4232</v>
      </c>
      <c r="K9154" s="29"/>
      <c r="L9154" s="29" t="s">
        <v>207</v>
      </c>
      <c r="M9154" s="29"/>
      <c r="N9154" s="29" t="s">
        <v>14043</v>
      </c>
      <c r="O9154" s="29"/>
      <c r="P9154" s="29" t="s">
        <v>14045</v>
      </c>
      <c r="Q9154" t="s">
        <v>3206</v>
      </c>
      <c r="R9154" t="s">
        <v>2632</v>
      </c>
      <c r="S9154">
        <v>37</v>
      </c>
      <c r="T9154" s="43" t="str">
        <f t="shared" si="394"/>
        <v>2021.006F.R.Hypoviridae_8newgen_35newsp.zip</v>
      </c>
      <c r="U9154" s="43" t="str">
        <f>HYPERLINK("https://ictv.global/taxonomy/taxondetails?taxnode_id=202212502","ictv.global=202212502")</f>
        <v>ictv.global=202212502</v>
      </c>
    </row>
    <row r="9155" spans="1:21">
      <c r="A9155">
        <v>9154</v>
      </c>
      <c r="B9155" s="29" t="s">
        <v>3223</v>
      </c>
      <c r="C9155" s="29"/>
      <c r="D9155" s="29" t="s">
        <v>4156</v>
      </c>
      <c r="E9155" s="29"/>
      <c r="F9155" s="29" t="s">
        <v>4230</v>
      </c>
      <c r="G9155" s="29"/>
      <c r="H9155" s="29" t="s">
        <v>4231</v>
      </c>
      <c r="I9155" s="29"/>
      <c r="J9155" s="29" t="s">
        <v>4232</v>
      </c>
      <c r="K9155" s="29"/>
      <c r="L9155" s="29" t="s">
        <v>207</v>
      </c>
      <c r="M9155" s="29"/>
      <c r="N9155" s="29" t="s">
        <v>14043</v>
      </c>
      <c r="O9155" s="29"/>
      <c r="P9155" s="29" t="s">
        <v>14046</v>
      </c>
      <c r="Q9155" t="s">
        <v>3206</v>
      </c>
      <c r="R9155" t="s">
        <v>2632</v>
      </c>
      <c r="S9155">
        <v>37</v>
      </c>
      <c r="T9155" s="43" t="str">
        <f t="shared" si="394"/>
        <v>2021.006F.R.Hypoviridae_8newgen_35newsp.zip</v>
      </c>
      <c r="U9155" s="43" t="str">
        <f>HYPERLINK("https://ictv.global/taxonomy/taxondetails?taxnode_id=202212499","ictv.global=202212499")</f>
        <v>ictv.global=202212499</v>
      </c>
    </row>
    <row r="9156" spans="1:21">
      <c r="A9156">
        <v>9155</v>
      </c>
      <c r="B9156" s="29" t="s">
        <v>3223</v>
      </c>
      <c r="C9156" s="29"/>
      <c r="D9156" s="29" t="s">
        <v>4156</v>
      </c>
      <c r="E9156" s="29"/>
      <c r="F9156" s="29" t="s">
        <v>4230</v>
      </c>
      <c r="G9156" s="29"/>
      <c r="H9156" s="29" t="s">
        <v>4231</v>
      </c>
      <c r="I9156" s="29"/>
      <c r="J9156" s="29" t="s">
        <v>4232</v>
      </c>
      <c r="K9156" s="29"/>
      <c r="L9156" s="29" t="s">
        <v>207</v>
      </c>
      <c r="M9156" s="29"/>
      <c r="N9156" s="29" t="s">
        <v>14043</v>
      </c>
      <c r="O9156" s="29"/>
      <c r="P9156" s="29" t="s">
        <v>14047</v>
      </c>
      <c r="Q9156" t="s">
        <v>3206</v>
      </c>
      <c r="R9156" t="s">
        <v>2632</v>
      </c>
      <c r="S9156">
        <v>37</v>
      </c>
      <c r="T9156" s="43" t="str">
        <f t="shared" si="394"/>
        <v>2021.006F.R.Hypoviridae_8newgen_35newsp.zip</v>
      </c>
      <c r="U9156" s="43" t="str">
        <f>HYPERLINK("https://ictv.global/taxonomy/taxondetails?taxnode_id=202212500","ictv.global=202212500")</f>
        <v>ictv.global=202212500</v>
      </c>
    </row>
    <row r="9157" spans="1:21">
      <c r="A9157">
        <v>9156</v>
      </c>
      <c r="B9157" s="29" t="s">
        <v>3223</v>
      </c>
      <c r="C9157" s="29"/>
      <c r="D9157" s="29" t="s">
        <v>4156</v>
      </c>
      <c r="E9157" s="29"/>
      <c r="F9157" s="29" t="s">
        <v>4230</v>
      </c>
      <c r="G9157" s="29"/>
      <c r="H9157" s="29" t="s">
        <v>4231</v>
      </c>
      <c r="I9157" s="29"/>
      <c r="J9157" s="29" t="s">
        <v>4232</v>
      </c>
      <c r="K9157" s="29"/>
      <c r="L9157" s="29" t="s">
        <v>207</v>
      </c>
      <c r="M9157" s="29"/>
      <c r="N9157" s="29" t="s">
        <v>14043</v>
      </c>
      <c r="O9157" s="29"/>
      <c r="P9157" s="29" t="s">
        <v>14048</v>
      </c>
      <c r="Q9157" t="s">
        <v>3206</v>
      </c>
      <c r="R9157" t="s">
        <v>2632</v>
      </c>
      <c r="S9157">
        <v>37</v>
      </c>
      <c r="T9157" s="43" t="str">
        <f t="shared" si="394"/>
        <v>2021.006F.R.Hypoviridae_8newgen_35newsp.zip</v>
      </c>
      <c r="U9157" s="43" t="str">
        <f>HYPERLINK("https://ictv.global/taxonomy/taxondetails?taxnode_id=202212503","ictv.global=202212503")</f>
        <v>ictv.global=202212503</v>
      </c>
    </row>
    <row r="9158" spans="1:21">
      <c r="A9158">
        <v>9157</v>
      </c>
      <c r="B9158" s="29" t="s">
        <v>3223</v>
      </c>
      <c r="C9158" s="29"/>
      <c r="D9158" s="29" t="s">
        <v>4156</v>
      </c>
      <c r="E9158" s="29"/>
      <c r="F9158" s="29" t="s">
        <v>4230</v>
      </c>
      <c r="G9158" s="29"/>
      <c r="H9158" s="29" t="s">
        <v>4231</v>
      </c>
      <c r="I9158" s="29"/>
      <c r="J9158" s="29" t="s">
        <v>4232</v>
      </c>
      <c r="K9158" s="29"/>
      <c r="L9158" s="29" t="s">
        <v>207</v>
      </c>
      <c r="M9158" s="29"/>
      <c r="N9158" s="29" t="s">
        <v>14049</v>
      </c>
      <c r="O9158" s="29"/>
      <c r="P9158" s="29" t="s">
        <v>14050</v>
      </c>
      <c r="Q9158" t="s">
        <v>3206</v>
      </c>
      <c r="R9158" t="s">
        <v>2632</v>
      </c>
      <c r="S9158">
        <v>37</v>
      </c>
      <c r="T9158" s="43" t="str">
        <f t="shared" si="394"/>
        <v>2021.006F.R.Hypoviridae_8newgen_35newsp.zip</v>
      </c>
      <c r="U9158" s="43" t="str">
        <f>HYPERLINK("https://ictv.global/taxonomy/taxondetails?taxnode_id=202212522","ictv.global=202212522")</f>
        <v>ictv.global=202212522</v>
      </c>
    </row>
    <row r="9159" spans="1:21">
      <c r="A9159">
        <v>9158</v>
      </c>
      <c r="B9159" s="29" t="s">
        <v>3223</v>
      </c>
      <c r="C9159" s="29"/>
      <c r="D9159" s="29" t="s">
        <v>4156</v>
      </c>
      <c r="E9159" s="29"/>
      <c r="F9159" s="29" t="s">
        <v>4230</v>
      </c>
      <c r="G9159" s="29"/>
      <c r="H9159" s="29" t="s">
        <v>4231</v>
      </c>
      <c r="I9159" s="29"/>
      <c r="J9159" s="29" t="s">
        <v>4232</v>
      </c>
      <c r="K9159" s="29"/>
      <c r="L9159" s="29" t="s">
        <v>207</v>
      </c>
      <c r="M9159" s="29"/>
      <c r="N9159" s="29" t="s">
        <v>14049</v>
      </c>
      <c r="O9159" s="29"/>
      <c r="P9159" s="29" t="s">
        <v>14051</v>
      </c>
      <c r="Q9159" t="s">
        <v>3206</v>
      </c>
      <c r="R9159" t="s">
        <v>2632</v>
      </c>
      <c r="S9159">
        <v>37</v>
      </c>
      <c r="T9159" s="43" t="str">
        <f t="shared" si="394"/>
        <v>2021.006F.R.Hypoviridae_8newgen_35newsp.zip</v>
      </c>
      <c r="U9159" s="43" t="str">
        <f>HYPERLINK("https://ictv.global/taxonomy/taxondetails?taxnode_id=202212521","ictv.global=202212521")</f>
        <v>ictv.global=202212521</v>
      </c>
    </row>
    <row r="9160" spans="1:21">
      <c r="A9160">
        <v>9159</v>
      </c>
      <c r="B9160" s="29" t="s">
        <v>3223</v>
      </c>
      <c r="C9160" s="29"/>
      <c r="D9160" s="29" t="s">
        <v>4156</v>
      </c>
      <c r="E9160" s="29"/>
      <c r="F9160" s="29" t="s">
        <v>4230</v>
      </c>
      <c r="G9160" s="29"/>
      <c r="H9160" s="29" t="s">
        <v>4231</v>
      </c>
      <c r="I9160" s="29"/>
      <c r="J9160" s="29" t="s">
        <v>4232</v>
      </c>
      <c r="K9160" s="29"/>
      <c r="L9160" s="29" t="s">
        <v>207</v>
      </c>
      <c r="M9160" s="29"/>
      <c r="N9160" s="29" t="s">
        <v>14049</v>
      </c>
      <c r="O9160" s="29"/>
      <c r="P9160" s="29" t="s">
        <v>14052</v>
      </c>
      <c r="Q9160" t="s">
        <v>3206</v>
      </c>
      <c r="R9160" t="s">
        <v>2632</v>
      </c>
      <c r="S9160">
        <v>37</v>
      </c>
      <c r="T9160" s="43" t="str">
        <f t="shared" si="394"/>
        <v>2021.006F.R.Hypoviridae_8newgen_35newsp.zip</v>
      </c>
      <c r="U9160" s="43" t="str">
        <f>HYPERLINK("https://ictv.global/taxonomy/taxondetails?taxnode_id=202212519","ictv.global=202212519")</f>
        <v>ictv.global=202212519</v>
      </c>
    </row>
    <row r="9161" spans="1:21">
      <c r="A9161">
        <v>9160</v>
      </c>
      <c r="B9161" s="29" t="s">
        <v>3223</v>
      </c>
      <c r="C9161" s="29"/>
      <c r="D9161" s="29" t="s">
        <v>4156</v>
      </c>
      <c r="E9161" s="29"/>
      <c r="F9161" s="29" t="s">
        <v>4230</v>
      </c>
      <c r="G9161" s="29"/>
      <c r="H9161" s="29" t="s">
        <v>4231</v>
      </c>
      <c r="I9161" s="29"/>
      <c r="J9161" s="29" t="s">
        <v>4232</v>
      </c>
      <c r="K9161" s="29"/>
      <c r="L9161" s="29" t="s">
        <v>207</v>
      </c>
      <c r="M9161" s="29"/>
      <c r="N9161" s="29" t="s">
        <v>14049</v>
      </c>
      <c r="O9161" s="29"/>
      <c r="P9161" s="29" t="s">
        <v>14053</v>
      </c>
      <c r="Q9161" t="s">
        <v>3206</v>
      </c>
      <c r="R9161" t="s">
        <v>2632</v>
      </c>
      <c r="S9161">
        <v>37</v>
      </c>
      <c r="T9161" s="43" t="str">
        <f t="shared" si="394"/>
        <v>2021.006F.R.Hypoviridae_8newgen_35newsp.zip</v>
      </c>
      <c r="U9161" s="43" t="str">
        <f>HYPERLINK("https://ictv.global/taxonomy/taxondetails?taxnode_id=202212520","ictv.global=202212520")</f>
        <v>ictv.global=202212520</v>
      </c>
    </row>
    <row r="9162" spans="1:21">
      <c r="A9162">
        <v>9161</v>
      </c>
      <c r="B9162" s="29" t="s">
        <v>3223</v>
      </c>
      <c r="C9162" s="29"/>
      <c r="D9162" s="29" t="s">
        <v>4156</v>
      </c>
      <c r="E9162" s="29"/>
      <c r="F9162" s="29" t="s">
        <v>4230</v>
      </c>
      <c r="G9162" s="29"/>
      <c r="H9162" s="29" t="s">
        <v>4231</v>
      </c>
      <c r="I9162" s="29"/>
      <c r="J9162" s="29" t="s">
        <v>4232</v>
      </c>
      <c r="K9162" s="29"/>
      <c r="L9162" s="29" t="s">
        <v>207</v>
      </c>
      <c r="M9162" s="29"/>
      <c r="N9162" s="29" t="s">
        <v>14054</v>
      </c>
      <c r="O9162" s="29"/>
      <c r="P9162" s="29" t="s">
        <v>14055</v>
      </c>
      <c r="Q9162" t="s">
        <v>3206</v>
      </c>
      <c r="R9162" t="s">
        <v>2632</v>
      </c>
      <c r="S9162">
        <v>37</v>
      </c>
      <c r="T9162" s="43" t="str">
        <f t="shared" si="394"/>
        <v>2021.006F.R.Hypoviridae_8newgen_35newsp.zip</v>
      </c>
      <c r="U9162" s="43" t="str">
        <f>HYPERLINK("https://ictv.global/taxonomy/taxondetails?taxnode_id=202212515","ictv.global=202212515")</f>
        <v>ictv.global=202212515</v>
      </c>
    </row>
    <row r="9163" spans="1:21">
      <c r="A9163">
        <v>9162</v>
      </c>
      <c r="B9163" s="29" t="s">
        <v>3223</v>
      </c>
      <c r="C9163" s="29"/>
      <c r="D9163" s="29" t="s">
        <v>4156</v>
      </c>
      <c r="E9163" s="29"/>
      <c r="F9163" s="29" t="s">
        <v>4230</v>
      </c>
      <c r="G9163" s="29"/>
      <c r="H9163" s="29" t="s">
        <v>4231</v>
      </c>
      <c r="I9163" s="29"/>
      <c r="J9163" s="29" t="s">
        <v>4232</v>
      </c>
      <c r="K9163" s="29"/>
      <c r="L9163" s="29" t="s">
        <v>1236</v>
      </c>
      <c r="M9163" s="29"/>
      <c r="N9163" s="29" t="s">
        <v>1921</v>
      </c>
      <c r="O9163" s="29"/>
      <c r="P9163" s="29" t="s">
        <v>729</v>
      </c>
      <c r="Q9163" t="s">
        <v>2042</v>
      </c>
      <c r="R9163" t="s">
        <v>2634</v>
      </c>
      <c r="S9163">
        <v>35</v>
      </c>
      <c r="T9163" s="43" t="str">
        <f t="shared" ref="T9163:T9175" si="395">HYPERLINK("https://ictv.global/ictv/proposals/2019.006G.zip","2019.006G.zip")</f>
        <v>2019.006G.zip</v>
      </c>
      <c r="U9163" s="43" t="str">
        <f>HYPERLINK("https://ictv.global/taxonomy/taxondetails?taxnode_id=202204141","ictv.global=202204141")</f>
        <v>ictv.global=202204141</v>
      </c>
    </row>
    <row r="9164" spans="1:21">
      <c r="A9164">
        <v>9163</v>
      </c>
      <c r="B9164" s="29" t="s">
        <v>3223</v>
      </c>
      <c r="C9164" s="29"/>
      <c r="D9164" s="29" t="s">
        <v>4156</v>
      </c>
      <c r="E9164" s="29"/>
      <c r="F9164" s="29" t="s">
        <v>4230</v>
      </c>
      <c r="G9164" s="29"/>
      <c r="H9164" s="29" t="s">
        <v>4231</v>
      </c>
      <c r="I9164" s="29"/>
      <c r="J9164" s="29" t="s">
        <v>4232</v>
      </c>
      <c r="K9164" s="29"/>
      <c r="L9164" s="29" t="s">
        <v>1236</v>
      </c>
      <c r="M9164" s="29"/>
      <c r="N9164" s="29" t="s">
        <v>1921</v>
      </c>
      <c r="O9164" s="29"/>
      <c r="P9164" s="29" t="s">
        <v>1922</v>
      </c>
      <c r="Q9164" t="s">
        <v>2042</v>
      </c>
      <c r="R9164" t="s">
        <v>2634</v>
      </c>
      <c r="S9164">
        <v>35</v>
      </c>
      <c r="T9164" s="43" t="str">
        <f t="shared" si="395"/>
        <v>2019.006G.zip</v>
      </c>
      <c r="U9164" s="43" t="str">
        <f>HYPERLINK("https://ictv.global/taxonomy/taxondetails?taxnode_id=202204142","ictv.global=202204142")</f>
        <v>ictv.global=202204142</v>
      </c>
    </row>
    <row r="9165" spans="1:21">
      <c r="A9165">
        <v>9164</v>
      </c>
      <c r="B9165" s="29" t="s">
        <v>3223</v>
      </c>
      <c r="C9165" s="29"/>
      <c r="D9165" s="29" t="s">
        <v>4156</v>
      </c>
      <c r="E9165" s="29"/>
      <c r="F9165" s="29" t="s">
        <v>4230</v>
      </c>
      <c r="G9165" s="29"/>
      <c r="H9165" s="29" t="s">
        <v>4231</v>
      </c>
      <c r="I9165" s="29"/>
      <c r="J9165" s="29" t="s">
        <v>4232</v>
      </c>
      <c r="K9165" s="29"/>
      <c r="L9165" s="29" t="s">
        <v>1236</v>
      </c>
      <c r="M9165" s="29"/>
      <c r="N9165" s="29" t="s">
        <v>1921</v>
      </c>
      <c r="O9165" s="29"/>
      <c r="P9165" s="29" t="s">
        <v>1923</v>
      </c>
      <c r="Q9165" t="s">
        <v>2042</v>
      </c>
      <c r="R9165" t="s">
        <v>2634</v>
      </c>
      <c r="S9165">
        <v>35</v>
      </c>
      <c r="T9165" s="43" t="str">
        <f t="shared" si="395"/>
        <v>2019.006G.zip</v>
      </c>
      <c r="U9165" s="43" t="str">
        <f>HYPERLINK("https://ictv.global/taxonomy/taxondetails?taxnode_id=202204143","ictv.global=202204143")</f>
        <v>ictv.global=202204143</v>
      </c>
    </row>
    <row r="9166" spans="1:21">
      <c r="A9166">
        <v>9165</v>
      </c>
      <c r="B9166" s="29" t="s">
        <v>3223</v>
      </c>
      <c r="C9166" s="29"/>
      <c r="D9166" s="29" t="s">
        <v>4156</v>
      </c>
      <c r="E9166" s="29"/>
      <c r="F9166" s="29" t="s">
        <v>4230</v>
      </c>
      <c r="G9166" s="29"/>
      <c r="H9166" s="29" t="s">
        <v>4231</v>
      </c>
      <c r="I9166" s="29"/>
      <c r="J9166" s="29" t="s">
        <v>4232</v>
      </c>
      <c r="K9166" s="29"/>
      <c r="L9166" s="29" t="s">
        <v>1236</v>
      </c>
      <c r="M9166" s="29"/>
      <c r="N9166" s="29" t="s">
        <v>1921</v>
      </c>
      <c r="O9166" s="29"/>
      <c r="P9166" s="29" t="s">
        <v>1924</v>
      </c>
      <c r="Q9166" t="s">
        <v>2042</v>
      </c>
      <c r="R9166" t="s">
        <v>2634</v>
      </c>
      <c r="S9166">
        <v>35</v>
      </c>
      <c r="T9166" s="43" t="str">
        <f t="shared" si="395"/>
        <v>2019.006G.zip</v>
      </c>
      <c r="U9166" s="43" t="str">
        <f>HYPERLINK("https://ictv.global/taxonomy/taxondetails?taxnode_id=202204144","ictv.global=202204144")</f>
        <v>ictv.global=202204144</v>
      </c>
    </row>
    <row r="9167" spans="1:21">
      <c r="A9167">
        <v>9166</v>
      </c>
      <c r="B9167" s="29" t="s">
        <v>3223</v>
      </c>
      <c r="C9167" s="29"/>
      <c r="D9167" s="29" t="s">
        <v>4156</v>
      </c>
      <c r="E9167" s="29"/>
      <c r="F9167" s="29" t="s">
        <v>4230</v>
      </c>
      <c r="G9167" s="29"/>
      <c r="H9167" s="29" t="s">
        <v>4231</v>
      </c>
      <c r="I9167" s="29"/>
      <c r="J9167" s="29" t="s">
        <v>4232</v>
      </c>
      <c r="K9167" s="29"/>
      <c r="L9167" s="29" t="s">
        <v>1236</v>
      </c>
      <c r="M9167" s="29"/>
      <c r="N9167" s="29" t="s">
        <v>1921</v>
      </c>
      <c r="O9167" s="29"/>
      <c r="P9167" s="29" t="s">
        <v>1925</v>
      </c>
      <c r="Q9167" t="s">
        <v>2042</v>
      </c>
      <c r="R9167" t="s">
        <v>2634</v>
      </c>
      <c r="S9167">
        <v>35</v>
      </c>
      <c r="T9167" s="43" t="str">
        <f t="shared" si="395"/>
        <v>2019.006G.zip</v>
      </c>
      <c r="U9167" s="43" t="str">
        <f>HYPERLINK("https://ictv.global/taxonomy/taxondetails?taxnode_id=202204145","ictv.global=202204145")</f>
        <v>ictv.global=202204145</v>
      </c>
    </row>
    <row r="9168" spans="1:21">
      <c r="A9168">
        <v>9167</v>
      </c>
      <c r="B9168" s="29" t="s">
        <v>3223</v>
      </c>
      <c r="C9168" s="29"/>
      <c r="D9168" s="29" t="s">
        <v>4156</v>
      </c>
      <c r="E9168" s="29"/>
      <c r="F9168" s="29" t="s">
        <v>4230</v>
      </c>
      <c r="G9168" s="29"/>
      <c r="H9168" s="29" t="s">
        <v>4231</v>
      </c>
      <c r="I9168" s="29"/>
      <c r="J9168" s="29" t="s">
        <v>4232</v>
      </c>
      <c r="K9168" s="29"/>
      <c r="L9168" s="29" t="s">
        <v>1236</v>
      </c>
      <c r="M9168" s="29"/>
      <c r="N9168" s="29" t="s">
        <v>1921</v>
      </c>
      <c r="O9168" s="29"/>
      <c r="P9168" s="29" t="s">
        <v>1992</v>
      </c>
      <c r="Q9168" t="s">
        <v>2042</v>
      </c>
      <c r="R9168" t="s">
        <v>2634</v>
      </c>
      <c r="S9168">
        <v>35</v>
      </c>
      <c r="T9168" s="43" t="str">
        <f t="shared" si="395"/>
        <v>2019.006G.zip</v>
      </c>
      <c r="U9168" s="43" t="str">
        <f>HYPERLINK("https://ictv.global/taxonomy/taxondetails?taxnode_id=202204146","ictv.global=202204146")</f>
        <v>ictv.global=202204146</v>
      </c>
    </row>
    <row r="9169" spans="1:21">
      <c r="A9169">
        <v>9168</v>
      </c>
      <c r="B9169" s="29" t="s">
        <v>3223</v>
      </c>
      <c r="C9169" s="29"/>
      <c r="D9169" s="29" t="s">
        <v>4156</v>
      </c>
      <c r="E9169" s="29"/>
      <c r="F9169" s="29" t="s">
        <v>4230</v>
      </c>
      <c r="G9169" s="29"/>
      <c r="H9169" s="29" t="s">
        <v>4231</v>
      </c>
      <c r="I9169" s="29"/>
      <c r="J9169" s="29" t="s">
        <v>4232</v>
      </c>
      <c r="K9169" s="29"/>
      <c r="L9169" s="29" t="s">
        <v>1236</v>
      </c>
      <c r="M9169" s="29"/>
      <c r="N9169" s="29" t="s">
        <v>1921</v>
      </c>
      <c r="O9169" s="29"/>
      <c r="P9169" s="29" t="s">
        <v>1993</v>
      </c>
      <c r="Q9169" t="s">
        <v>2042</v>
      </c>
      <c r="R9169" t="s">
        <v>2634</v>
      </c>
      <c r="S9169">
        <v>35</v>
      </c>
      <c r="T9169" s="43" t="str">
        <f t="shared" si="395"/>
        <v>2019.006G.zip</v>
      </c>
      <c r="U9169" s="43" t="str">
        <f>HYPERLINK("https://ictv.global/taxonomy/taxondetails?taxnode_id=202204147","ictv.global=202204147")</f>
        <v>ictv.global=202204147</v>
      </c>
    </row>
    <row r="9170" spans="1:21">
      <c r="A9170">
        <v>9169</v>
      </c>
      <c r="B9170" s="29" t="s">
        <v>3223</v>
      </c>
      <c r="C9170" s="29"/>
      <c r="D9170" s="29" t="s">
        <v>4156</v>
      </c>
      <c r="E9170" s="29"/>
      <c r="F9170" s="29" t="s">
        <v>4230</v>
      </c>
      <c r="G9170" s="29"/>
      <c r="H9170" s="29" t="s">
        <v>4231</v>
      </c>
      <c r="I9170" s="29"/>
      <c r="J9170" s="29" t="s">
        <v>4232</v>
      </c>
      <c r="K9170" s="29"/>
      <c r="L9170" s="29" t="s">
        <v>1236</v>
      </c>
      <c r="M9170" s="29"/>
      <c r="N9170" s="29" t="s">
        <v>1921</v>
      </c>
      <c r="O9170" s="29"/>
      <c r="P9170" s="29" t="s">
        <v>1994</v>
      </c>
      <c r="Q9170" t="s">
        <v>2042</v>
      </c>
      <c r="R9170" t="s">
        <v>2634</v>
      </c>
      <c r="S9170">
        <v>35</v>
      </c>
      <c r="T9170" s="43" t="str">
        <f t="shared" si="395"/>
        <v>2019.006G.zip</v>
      </c>
      <c r="U9170" s="43" t="str">
        <f>HYPERLINK("https://ictv.global/taxonomy/taxondetails?taxnode_id=202204148","ictv.global=202204148")</f>
        <v>ictv.global=202204148</v>
      </c>
    </row>
    <row r="9171" spans="1:21">
      <c r="A9171">
        <v>9170</v>
      </c>
      <c r="B9171" s="29" t="s">
        <v>3223</v>
      </c>
      <c r="C9171" s="29"/>
      <c r="D9171" s="29" t="s">
        <v>4156</v>
      </c>
      <c r="E9171" s="29"/>
      <c r="F9171" s="29" t="s">
        <v>4230</v>
      </c>
      <c r="G9171" s="29"/>
      <c r="H9171" s="29" t="s">
        <v>4231</v>
      </c>
      <c r="I9171" s="29"/>
      <c r="J9171" s="29" t="s">
        <v>4232</v>
      </c>
      <c r="K9171" s="29"/>
      <c r="L9171" s="29" t="s">
        <v>1236</v>
      </c>
      <c r="M9171" s="29"/>
      <c r="N9171" s="29" t="s">
        <v>1921</v>
      </c>
      <c r="O9171" s="29"/>
      <c r="P9171" s="29" t="s">
        <v>2306</v>
      </c>
      <c r="Q9171" t="s">
        <v>2042</v>
      </c>
      <c r="R9171" t="s">
        <v>2634</v>
      </c>
      <c r="S9171">
        <v>35</v>
      </c>
      <c r="T9171" s="43" t="str">
        <f t="shared" si="395"/>
        <v>2019.006G.zip</v>
      </c>
      <c r="U9171" s="43" t="str">
        <f>HYPERLINK("https://ictv.global/taxonomy/taxondetails?taxnode_id=202204149","ictv.global=202204149")</f>
        <v>ictv.global=202204149</v>
      </c>
    </row>
    <row r="9172" spans="1:21">
      <c r="A9172">
        <v>9171</v>
      </c>
      <c r="B9172" s="29" t="s">
        <v>3223</v>
      </c>
      <c r="C9172" s="29"/>
      <c r="D9172" s="29" t="s">
        <v>4156</v>
      </c>
      <c r="E9172" s="29"/>
      <c r="F9172" s="29" t="s">
        <v>4230</v>
      </c>
      <c r="G9172" s="29"/>
      <c r="H9172" s="29" t="s">
        <v>4231</v>
      </c>
      <c r="I9172" s="29"/>
      <c r="J9172" s="29" t="s">
        <v>4232</v>
      </c>
      <c r="K9172" s="29"/>
      <c r="L9172" s="29" t="s">
        <v>1236</v>
      </c>
      <c r="M9172" s="29"/>
      <c r="N9172" s="29" t="s">
        <v>1921</v>
      </c>
      <c r="O9172" s="29"/>
      <c r="P9172" s="29" t="s">
        <v>2307</v>
      </c>
      <c r="Q9172" t="s">
        <v>2042</v>
      </c>
      <c r="R9172" t="s">
        <v>2634</v>
      </c>
      <c r="S9172">
        <v>35</v>
      </c>
      <c r="T9172" s="43" t="str">
        <f t="shared" si="395"/>
        <v>2019.006G.zip</v>
      </c>
      <c r="U9172" s="43" t="str">
        <f>HYPERLINK("https://ictv.global/taxonomy/taxondetails?taxnode_id=202204150","ictv.global=202204150")</f>
        <v>ictv.global=202204150</v>
      </c>
    </row>
    <row r="9173" spans="1:21">
      <c r="A9173">
        <v>9172</v>
      </c>
      <c r="B9173" s="29" t="s">
        <v>3223</v>
      </c>
      <c r="C9173" s="29"/>
      <c r="D9173" s="29" t="s">
        <v>4156</v>
      </c>
      <c r="E9173" s="29"/>
      <c r="F9173" s="29" t="s">
        <v>4230</v>
      </c>
      <c r="G9173" s="29"/>
      <c r="H9173" s="29" t="s">
        <v>4231</v>
      </c>
      <c r="I9173" s="29"/>
      <c r="J9173" s="29" t="s">
        <v>4232</v>
      </c>
      <c r="K9173" s="29"/>
      <c r="L9173" s="29" t="s">
        <v>1236</v>
      </c>
      <c r="M9173" s="29"/>
      <c r="N9173" s="29" t="s">
        <v>1921</v>
      </c>
      <c r="O9173" s="29"/>
      <c r="P9173" s="29" t="s">
        <v>2308</v>
      </c>
      <c r="Q9173" t="s">
        <v>2042</v>
      </c>
      <c r="R9173" t="s">
        <v>2634</v>
      </c>
      <c r="S9173">
        <v>35</v>
      </c>
      <c r="T9173" s="43" t="str">
        <f t="shared" si="395"/>
        <v>2019.006G.zip</v>
      </c>
      <c r="U9173" s="43" t="str">
        <f>HYPERLINK("https://ictv.global/taxonomy/taxondetails?taxnode_id=202204151","ictv.global=202204151")</f>
        <v>ictv.global=202204151</v>
      </c>
    </row>
    <row r="9174" spans="1:21">
      <c r="A9174">
        <v>9173</v>
      </c>
      <c r="B9174" s="29" t="s">
        <v>3223</v>
      </c>
      <c r="C9174" s="29"/>
      <c r="D9174" s="29" t="s">
        <v>4156</v>
      </c>
      <c r="E9174" s="29"/>
      <c r="F9174" s="29" t="s">
        <v>4230</v>
      </c>
      <c r="G9174" s="29"/>
      <c r="H9174" s="29" t="s">
        <v>4231</v>
      </c>
      <c r="I9174" s="29"/>
      <c r="J9174" s="29" t="s">
        <v>4232</v>
      </c>
      <c r="K9174" s="29"/>
      <c r="L9174" s="29" t="s">
        <v>1236</v>
      </c>
      <c r="M9174" s="29"/>
      <c r="N9174" s="29" t="s">
        <v>1921</v>
      </c>
      <c r="O9174" s="29"/>
      <c r="P9174" s="29" t="s">
        <v>1926</v>
      </c>
      <c r="Q9174" t="s">
        <v>2042</v>
      </c>
      <c r="R9174" t="s">
        <v>2634</v>
      </c>
      <c r="S9174">
        <v>35</v>
      </c>
      <c r="T9174" s="43" t="str">
        <f t="shared" si="395"/>
        <v>2019.006G.zip</v>
      </c>
      <c r="U9174" s="43" t="str">
        <f>HYPERLINK("https://ictv.global/taxonomy/taxondetails?taxnode_id=202204152","ictv.global=202204152")</f>
        <v>ictv.global=202204152</v>
      </c>
    </row>
    <row r="9175" spans="1:21">
      <c r="A9175">
        <v>9174</v>
      </c>
      <c r="B9175" s="29" t="s">
        <v>3223</v>
      </c>
      <c r="C9175" s="29"/>
      <c r="D9175" s="29" t="s">
        <v>4156</v>
      </c>
      <c r="E9175" s="29"/>
      <c r="F9175" s="29" t="s">
        <v>4230</v>
      </c>
      <c r="G9175" s="29"/>
      <c r="H9175" s="29" t="s">
        <v>4231</v>
      </c>
      <c r="I9175" s="29"/>
      <c r="J9175" s="29" t="s">
        <v>4232</v>
      </c>
      <c r="K9175" s="29"/>
      <c r="L9175" s="29" t="s">
        <v>1236</v>
      </c>
      <c r="M9175" s="29"/>
      <c r="N9175" s="29" t="s">
        <v>1921</v>
      </c>
      <c r="O9175" s="29"/>
      <c r="P9175" s="29" t="s">
        <v>682</v>
      </c>
      <c r="Q9175" t="s">
        <v>2042</v>
      </c>
      <c r="R9175" t="s">
        <v>2634</v>
      </c>
      <c r="S9175">
        <v>35</v>
      </c>
      <c r="T9175" s="43" t="str">
        <f t="shared" si="395"/>
        <v>2019.006G.zip</v>
      </c>
      <c r="U9175" s="43" t="str">
        <f>HYPERLINK("https://ictv.global/taxonomy/taxondetails?taxnode_id=202204153","ictv.global=202204153")</f>
        <v>ictv.global=202204153</v>
      </c>
    </row>
    <row r="9176" spans="1:21">
      <c r="A9176">
        <v>9175</v>
      </c>
      <c r="B9176" s="29" t="s">
        <v>3223</v>
      </c>
      <c r="C9176" s="29"/>
      <c r="D9176" s="29" t="s">
        <v>4156</v>
      </c>
      <c r="E9176" s="29"/>
      <c r="F9176" s="29" t="s">
        <v>4230</v>
      </c>
      <c r="G9176" s="29"/>
      <c r="H9176" s="29" t="s">
        <v>4231</v>
      </c>
      <c r="I9176" s="29"/>
      <c r="J9176" s="29" t="s">
        <v>4232</v>
      </c>
      <c r="K9176" s="29"/>
      <c r="L9176" s="29" t="s">
        <v>1236</v>
      </c>
      <c r="M9176" s="29"/>
      <c r="N9176" s="29" t="s">
        <v>1921</v>
      </c>
      <c r="O9176" s="29"/>
      <c r="P9176" s="29" t="s">
        <v>683</v>
      </c>
      <c r="Q9176" t="s">
        <v>2042</v>
      </c>
      <c r="R9176" t="s">
        <v>6901</v>
      </c>
      <c r="S9176">
        <v>36</v>
      </c>
      <c r="T9176" s="43" t="str">
        <f>HYPERLINK("https://ictv.global/ictv/proposals/2020.001G.R.Abolish_type_species.pdf","2020.001G.R.Abolish_type_species.pdf")</f>
        <v>2020.001G.R.Abolish_type_species.pdf</v>
      </c>
      <c r="U9176" s="43" t="str">
        <f>HYPERLINK("https://ictv.global/taxonomy/taxondetails?taxnode_id=202204154","ictv.global=202204154")</f>
        <v>ictv.global=202204154</v>
      </c>
    </row>
    <row r="9177" spans="1:21">
      <c r="A9177">
        <v>9176</v>
      </c>
      <c r="B9177" s="29" t="s">
        <v>3223</v>
      </c>
      <c r="C9177" s="29"/>
      <c r="D9177" s="29" t="s">
        <v>4156</v>
      </c>
      <c r="E9177" s="29"/>
      <c r="F9177" s="29" t="s">
        <v>4230</v>
      </c>
      <c r="G9177" s="29"/>
      <c r="H9177" s="29" t="s">
        <v>4231</v>
      </c>
      <c r="I9177" s="29"/>
      <c r="J9177" s="29" t="s">
        <v>4232</v>
      </c>
      <c r="K9177" s="29"/>
      <c r="L9177" s="29" t="s">
        <v>1236</v>
      </c>
      <c r="M9177" s="29"/>
      <c r="N9177" s="29" t="s">
        <v>1927</v>
      </c>
      <c r="O9177" s="29"/>
      <c r="P9177" s="29" t="s">
        <v>1197</v>
      </c>
      <c r="Q9177" t="s">
        <v>2042</v>
      </c>
      <c r="R9177" t="s">
        <v>6901</v>
      </c>
      <c r="S9177">
        <v>36</v>
      </c>
      <c r="T9177" s="43" t="str">
        <f>HYPERLINK("https://ictv.global/ictv/proposals/2020.001G.R.Abolish_type_species.pdf","2020.001G.R.Abolish_type_species.pdf")</f>
        <v>2020.001G.R.Abolish_type_species.pdf</v>
      </c>
      <c r="U9177" s="43" t="str">
        <f>HYPERLINK("https://ictv.global/taxonomy/taxondetails?taxnode_id=202204156","ictv.global=202204156")</f>
        <v>ictv.global=202204156</v>
      </c>
    </row>
    <row r="9178" spans="1:21">
      <c r="A9178">
        <v>9177</v>
      </c>
      <c r="B9178" s="29" t="s">
        <v>3223</v>
      </c>
      <c r="C9178" s="29"/>
      <c r="D9178" s="29" t="s">
        <v>4156</v>
      </c>
      <c r="E9178" s="29"/>
      <c r="F9178" s="29" t="s">
        <v>4230</v>
      </c>
      <c r="G9178" s="29"/>
      <c r="H9178" s="29" t="s">
        <v>4231</v>
      </c>
      <c r="I9178" s="29"/>
      <c r="J9178" s="29" t="s">
        <v>4232</v>
      </c>
      <c r="K9178" s="29"/>
      <c r="L9178" s="29" t="s">
        <v>1236</v>
      </c>
      <c r="M9178" s="29"/>
      <c r="N9178" s="29" t="s">
        <v>1927</v>
      </c>
      <c r="O9178" s="29"/>
      <c r="P9178" s="29" t="s">
        <v>1928</v>
      </c>
      <c r="Q9178" t="s">
        <v>2042</v>
      </c>
      <c r="R9178" t="s">
        <v>2634</v>
      </c>
      <c r="S9178">
        <v>35</v>
      </c>
      <c r="T9178" s="43" t="str">
        <f t="shared" ref="T9178:T9193" si="396">HYPERLINK("https://ictv.global/ictv/proposals/2019.006G.zip","2019.006G.zip")</f>
        <v>2019.006G.zip</v>
      </c>
      <c r="U9178" s="43" t="str">
        <f>HYPERLINK("https://ictv.global/taxonomy/taxondetails?taxnode_id=202204157","ictv.global=202204157")</f>
        <v>ictv.global=202204157</v>
      </c>
    </row>
    <row r="9179" spans="1:21">
      <c r="A9179">
        <v>9178</v>
      </c>
      <c r="B9179" s="29" t="s">
        <v>3223</v>
      </c>
      <c r="C9179" s="29"/>
      <c r="D9179" s="29" t="s">
        <v>4156</v>
      </c>
      <c r="E9179" s="29"/>
      <c r="F9179" s="29" t="s">
        <v>4230</v>
      </c>
      <c r="G9179" s="29"/>
      <c r="H9179" s="29" t="s">
        <v>4231</v>
      </c>
      <c r="I9179" s="29"/>
      <c r="J9179" s="29" t="s">
        <v>4232</v>
      </c>
      <c r="K9179" s="29"/>
      <c r="L9179" s="29" t="s">
        <v>1236</v>
      </c>
      <c r="M9179" s="29"/>
      <c r="N9179" s="29" t="s">
        <v>1927</v>
      </c>
      <c r="O9179" s="29"/>
      <c r="P9179" s="29" t="s">
        <v>602</v>
      </c>
      <c r="Q9179" t="s">
        <v>2042</v>
      </c>
      <c r="R9179" t="s">
        <v>2634</v>
      </c>
      <c r="S9179">
        <v>35</v>
      </c>
      <c r="T9179" s="43" t="str">
        <f t="shared" si="396"/>
        <v>2019.006G.zip</v>
      </c>
      <c r="U9179" s="43" t="str">
        <f>HYPERLINK("https://ictv.global/taxonomy/taxondetails?taxnode_id=202204158","ictv.global=202204158")</f>
        <v>ictv.global=202204158</v>
      </c>
    </row>
    <row r="9180" spans="1:21">
      <c r="A9180">
        <v>9179</v>
      </c>
      <c r="B9180" s="29" t="s">
        <v>3223</v>
      </c>
      <c r="C9180" s="29"/>
      <c r="D9180" s="29" t="s">
        <v>4156</v>
      </c>
      <c r="E9180" s="29"/>
      <c r="F9180" s="29" t="s">
        <v>4230</v>
      </c>
      <c r="G9180" s="29"/>
      <c r="H9180" s="29" t="s">
        <v>4231</v>
      </c>
      <c r="I9180" s="29"/>
      <c r="J9180" s="29" t="s">
        <v>4232</v>
      </c>
      <c r="K9180" s="29"/>
      <c r="L9180" s="29" t="s">
        <v>1236</v>
      </c>
      <c r="M9180" s="29"/>
      <c r="N9180" s="29" t="s">
        <v>1927</v>
      </c>
      <c r="O9180" s="29"/>
      <c r="P9180" s="29" t="s">
        <v>1929</v>
      </c>
      <c r="Q9180" t="s">
        <v>2042</v>
      </c>
      <c r="R9180" t="s">
        <v>2634</v>
      </c>
      <c r="S9180">
        <v>35</v>
      </c>
      <c r="T9180" s="43" t="str">
        <f t="shared" si="396"/>
        <v>2019.006G.zip</v>
      </c>
      <c r="U9180" s="43" t="str">
        <f>HYPERLINK("https://ictv.global/taxonomy/taxondetails?taxnode_id=202204159","ictv.global=202204159")</f>
        <v>ictv.global=202204159</v>
      </c>
    </row>
    <row r="9181" spans="1:21">
      <c r="A9181">
        <v>9180</v>
      </c>
      <c r="B9181" s="29" t="s">
        <v>3223</v>
      </c>
      <c r="C9181" s="29"/>
      <c r="D9181" s="29" t="s">
        <v>4156</v>
      </c>
      <c r="E9181" s="29"/>
      <c r="F9181" s="29" t="s">
        <v>4230</v>
      </c>
      <c r="G9181" s="29"/>
      <c r="H9181" s="29" t="s">
        <v>4231</v>
      </c>
      <c r="I9181" s="29"/>
      <c r="J9181" s="29" t="s">
        <v>4232</v>
      </c>
      <c r="K9181" s="29"/>
      <c r="L9181" s="29" t="s">
        <v>1236</v>
      </c>
      <c r="M9181" s="29"/>
      <c r="N9181" s="29" t="s">
        <v>1927</v>
      </c>
      <c r="O9181" s="29"/>
      <c r="P9181" s="29" t="s">
        <v>1930</v>
      </c>
      <c r="Q9181" t="s">
        <v>2042</v>
      </c>
      <c r="R9181" t="s">
        <v>2634</v>
      </c>
      <c r="S9181">
        <v>35</v>
      </c>
      <c r="T9181" s="43" t="str">
        <f t="shared" si="396"/>
        <v>2019.006G.zip</v>
      </c>
      <c r="U9181" s="43" t="str">
        <f>HYPERLINK("https://ictv.global/taxonomy/taxondetails?taxnode_id=202204160","ictv.global=202204160")</f>
        <v>ictv.global=202204160</v>
      </c>
    </row>
    <row r="9182" spans="1:21">
      <c r="A9182">
        <v>9181</v>
      </c>
      <c r="B9182" s="29" t="s">
        <v>3223</v>
      </c>
      <c r="C9182" s="29"/>
      <c r="D9182" s="29" t="s">
        <v>4156</v>
      </c>
      <c r="E9182" s="29"/>
      <c r="F9182" s="29" t="s">
        <v>4230</v>
      </c>
      <c r="G9182" s="29"/>
      <c r="H9182" s="29" t="s">
        <v>4231</v>
      </c>
      <c r="I9182" s="29"/>
      <c r="J9182" s="29" t="s">
        <v>4232</v>
      </c>
      <c r="K9182" s="29"/>
      <c r="L9182" s="29" t="s">
        <v>1236</v>
      </c>
      <c r="M9182" s="29"/>
      <c r="N9182" s="29" t="s">
        <v>1927</v>
      </c>
      <c r="O9182" s="29"/>
      <c r="P9182" s="29" t="s">
        <v>1404</v>
      </c>
      <c r="Q9182" t="s">
        <v>2042</v>
      </c>
      <c r="R9182" t="s">
        <v>2634</v>
      </c>
      <c r="S9182">
        <v>35</v>
      </c>
      <c r="T9182" s="43" t="str">
        <f t="shared" si="396"/>
        <v>2019.006G.zip</v>
      </c>
      <c r="U9182" s="43" t="str">
        <f>HYPERLINK("https://ictv.global/taxonomy/taxondetails?taxnode_id=202204161","ictv.global=202204161")</f>
        <v>ictv.global=202204161</v>
      </c>
    </row>
    <row r="9183" spans="1:21">
      <c r="A9183">
        <v>9182</v>
      </c>
      <c r="B9183" s="29" t="s">
        <v>3223</v>
      </c>
      <c r="C9183" s="29"/>
      <c r="D9183" s="29" t="s">
        <v>4156</v>
      </c>
      <c r="E9183" s="29"/>
      <c r="F9183" s="29" t="s">
        <v>4230</v>
      </c>
      <c r="G9183" s="29"/>
      <c r="H9183" s="29" t="s">
        <v>4231</v>
      </c>
      <c r="I9183" s="29"/>
      <c r="J9183" s="29" t="s">
        <v>4232</v>
      </c>
      <c r="K9183" s="29"/>
      <c r="L9183" s="29" t="s">
        <v>1236</v>
      </c>
      <c r="M9183" s="29"/>
      <c r="N9183" s="29" t="s">
        <v>1927</v>
      </c>
      <c r="O9183" s="29"/>
      <c r="P9183" s="29" t="s">
        <v>1995</v>
      </c>
      <c r="Q9183" t="s">
        <v>2042</v>
      </c>
      <c r="R9183" t="s">
        <v>2634</v>
      </c>
      <c r="S9183">
        <v>35</v>
      </c>
      <c r="T9183" s="43" t="str">
        <f t="shared" si="396"/>
        <v>2019.006G.zip</v>
      </c>
      <c r="U9183" s="43" t="str">
        <f>HYPERLINK("https://ictv.global/taxonomy/taxondetails?taxnode_id=202204162","ictv.global=202204162")</f>
        <v>ictv.global=202204162</v>
      </c>
    </row>
    <row r="9184" spans="1:21">
      <c r="A9184">
        <v>9183</v>
      </c>
      <c r="B9184" s="29" t="s">
        <v>3223</v>
      </c>
      <c r="C9184" s="29"/>
      <c r="D9184" s="29" t="s">
        <v>4156</v>
      </c>
      <c r="E9184" s="29"/>
      <c r="F9184" s="29" t="s">
        <v>4230</v>
      </c>
      <c r="G9184" s="29"/>
      <c r="H9184" s="29" t="s">
        <v>4231</v>
      </c>
      <c r="I9184" s="29"/>
      <c r="J9184" s="29" t="s">
        <v>4232</v>
      </c>
      <c r="K9184" s="29"/>
      <c r="L9184" s="29" t="s">
        <v>1236</v>
      </c>
      <c r="M9184" s="29"/>
      <c r="N9184" s="29" t="s">
        <v>1927</v>
      </c>
      <c r="O9184" s="29"/>
      <c r="P9184" s="29" t="s">
        <v>2309</v>
      </c>
      <c r="Q9184" t="s">
        <v>2042</v>
      </c>
      <c r="R9184" t="s">
        <v>2634</v>
      </c>
      <c r="S9184">
        <v>35</v>
      </c>
      <c r="T9184" s="43" t="str">
        <f t="shared" si="396"/>
        <v>2019.006G.zip</v>
      </c>
      <c r="U9184" s="43" t="str">
        <f>HYPERLINK("https://ictv.global/taxonomy/taxondetails?taxnode_id=202204163","ictv.global=202204163")</f>
        <v>ictv.global=202204163</v>
      </c>
    </row>
    <row r="9185" spans="1:21">
      <c r="A9185">
        <v>9184</v>
      </c>
      <c r="B9185" s="29" t="s">
        <v>3223</v>
      </c>
      <c r="C9185" s="29"/>
      <c r="D9185" s="29" t="s">
        <v>4156</v>
      </c>
      <c r="E9185" s="29"/>
      <c r="F9185" s="29" t="s">
        <v>4230</v>
      </c>
      <c r="G9185" s="29"/>
      <c r="H9185" s="29" t="s">
        <v>4231</v>
      </c>
      <c r="I9185" s="29"/>
      <c r="J9185" s="29" t="s">
        <v>4232</v>
      </c>
      <c r="K9185" s="29"/>
      <c r="L9185" s="29" t="s">
        <v>1236</v>
      </c>
      <c r="M9185" s="29"/>
      <c r="N9185" s="29" t="s">
        <v>1927</v>
      </c>
      <c r="O9185" s="29"/>
      <c r="P9185" s="29" t="s">
        <v>1996</v>
      </c>
      <c r="Q9185" t="s">
        <v>2042</v>
      </c>
      <c r="R9185" t="s">
        <v>2634</v>
      </c>
      <c r="S9185">
        <v>35</v>
      </c>
      <c r="T9185" s="43" t="str">
        <f t="shared" si="396"/>
        <v>2019.006G.zip</v>
      </c>
      <c r="U9185" s="43" t="str">
        <f>HYPERLINK("https://ictv.global/taxonomy/taxondetails?taxnode_id=202204164","ictv.global=202204164")</f>
        <v>ictv.global=202204164</v>
      </c>
    </row>
    <row r="9186" spans="1:21">
      <c r="A9186">
        <v>9185</v>
      </c>
      <c r="B9186" s="29" t="s">
        <v>3223</v>
      </c>
      <c r="C9186" s="29"/>
      <c r="D9186" s="29" t="s">
        <v>4156</v>
      </c>
      <c r="E9186" s="29"/>
      <c r="F9186" s="29" t="s">
        <v>4230</v>
      </c>
      <c r="G9186" s="29"/>
      <c r="H9186" s="29" t="s">
        <v>4231</v>
      </c>
      <c r="I9186" s="29"/>
      <c r="J9186" s="29" t="s">
        <v>4232</v>
      </c>
      <c r="K9186" s="29"/>
      <c r="L9186" s="29" t="s">
        <v>1236</v>
      </c>
      <c r="M9186" s="29"/>
      <c r="N9186" s="29" t="s">
        <v>1927</v>
      </c>
      <c r="O9186" s="29"/>
      <c r="P9186" s="29" t="s">
        <v>1997</v>
      </c>
      <c r="Q9186" t="s">
        <v>2042</v>
      </c>
      <c r="R9186" t="s">
        <v>2634</v>
      </c>
      <c r="S9186">
        <v>35</v>
      </c>
      <c r="T9186" s="43" t="str">
        <f t="shared" si="396"/>
        <v>2019.006G.zip</v>
      </c>
      <c r="U9186" s="43" t="str">
        <f>HYPERLINK("https://ictv.global/taxonomy/taxondetails?taxnode_id=202204165","ictv.global=202204165")</f>
        <v>ictv.global=202204165</v>
      </c>
    </row>
    <row r="9187" spans="1:21">
      <c r="A9187">
        <v>9186</v>
      </c>
      <c r="B9187" s="29" t="s">
        <v>3223</v>
      </c>
      <c r="C9187" s="29"/>
      <c r="D9187" s="29" t="s">
        <v>4156</v>
      </c>
      <c r="E9187" s="29"/>
      <c r="F9187" s="29" t="s">
        <v>4230</v>
      </c>
      <c r="G9187" s="29"/>
      <c r="H9187" s="29" t="s">
        <v>4231</v>
      </c>
      <c r="I9187" s="29"/>
      <c r="J9187" s="29" t="s">
        <v>4232</v>
      </c>
      <c r="K9187" s="29"/>
      <c r="L9187" s="29" t="s">
        <v>1236</v>
      </c>
      <c r="M9187" s="29"/>
      <c r="N9187" s="29" t="s">
        <v>1927</v>
      </c>
      <c r="O9187" s="29"/>
      <c r="P9187" s="29" t="s">
        <v>495</v>
      </c>
      <c r="Q9187" t="s">
        <v>2042</v>
      </c>
      <c r="R9187" t="s">
        <v>2634</v>
      </c>
      <c r="S9187">
        <v>35</v>
      </c>
      <c r="T9187" s="43" t="str">
        <f t="shared" si="396"/>
        <v>2019.006G.zip</v>
      </c>
      <c r="U9187" s="43" t="str">
        <f>HYPERLINK("https://ictv.global/taxonomy/taxondetails?taxnode_id=202204166","ictv.global=202204166")</f>
        <v>ictv.global=202204166</v>
      </c>
    </row>
    <row r="9188" spans="1:21">
      <c r="A9188">
        <v>9187</v>
      </c>
      <c r="B9188" s="29" t="s">
        <v>3223</v>
      </c>
      <c r="C9188" s="29"/>
      <c r="D9188" s="29" t="s">
        <v>4156</v>
      </c>
      <c r="E9188" s="29"/>
      <c r="F9188" s="29" t="s">
        <v>4230</v>
      </c>
      <c r="G9188" s="29"/>
      <c r="H9188" s="29" t="s">
        <v>4231</v>
      </c>
      <c r="I9188" s="29"/>
      <c r="J9188" s="29" t="s">
        <v>4232</v>
      </c>
      <c r="K9188" s="29"/>
      <c r="L9188" s="29" t="s">
        <v>1236</v>
      </c>
      <c r="M9188" s="29"/>
      <c r="N9188" s="29" t="s">
        <v>1927</v>
      </c>
      <c r="O9188" s="29"/>
      <c r="P9188" s="29" t="s">
        <v>928</v>
      </c>
      <c r="Q9188" t="s">
        <v>2042</v>
      </c>
      <c r="R9188" t="s">
        <v>2634</v>
      </c>
      <c r="S9188">
        <v>35</v>
      </c>
      <c r="T9188" s="43" t="str">
        <f t="shared" si="396"/>
        <v>2019.006G.zip</v>
      </c>
      <c r="U9188" s="43" t="str">
        <f>HYPERLINK("https://ictv.global/taxonomy/taxondetails?taxnode_id=202204167","ictv.global=202204167")</f>
        <v>ictv.global=202204167</v>
      </c>
    </row>
    <row r="9189" spans="1:21">
      <c r="A9189">
        <v>9188</v>
      </c>
      <c r="B9189" s="29" t="s">
        <v>3223</v>
      </c>
      <c r="C9189" s="29"/>
      <c r="D9189" s="29" t="s">
        <v>4156</v>
      </c>
      <c r="E9189" s="29"/>
      <c r="F9189" s="29" t="s">
        <v>4230</v>
      </c>
      <c r="G9189" s="29"/>
      <c r="H9189" s="29" t="s">
        <v>4231</v>
      </c>
      <c r="I9189" s="29"/>
      <c r="J9189" s="29" t="s">
        <v>4232</v>
      </c>
      <c r="K9189" s="29"/>
      <c r="L9189" s="29" t="s">
        <v>1236</v>
      </c>
      <c r="M9189" s="29"/>
      <c r="N9189" s="29" t="s">
        <v>1927</v>
      </c>
      <c r="O9189" s="29"/>
      <c r="P9189" s="29" t="s">
        <v>1931</v>
      </c>
      <c r="Q9189" t="s">
        <v>2042</v>
      </c>
      <c r="R9189" t="s">
        <v>2634</v>
      </c>
      <c r="S9189">
        <v>35</v>
      </c>
      <c r="T9189" s="43" t="str">
        <f t="shared" si="396"/>
        <v>2019.006G.zip</v>
      </c>
      <c r="U9189" s="43" t="str">
        <f>HYPERLINK("https://ictv.global/taxonomy/taxondetails?taxnode_id=202204168","ictv.global=202204168")</f>
        <v>ictv.global=202204168</v>
      </c>
    </row>
    <row r="9190" spans="1:21">
      <c r="A9190">
        <v>9189</v>
      </c>
      <c r="B9190" s="29" t="s">
        <v>3223</v>
      </c>
      <c r="C9190" s="29"/>
      <c r="D9190" s="29" t="s">
        <v>4156</v>
      </c>
      <c r="E9190" s="29"/>
      <c r="F9190" s="29" t="s">
        <v>4230</v>
      </c>
      <c r="G9190" s="29"/>
      <c r="H9190" s="29" t="s">
        <v>4231</v>
      </c>
      <c r="I9190" s="29"/>
      <c r="J9190" s="29" t="s">
        <v>4232</v>
      </c>
      <c r="K9190" s="29"/>
      <c r="L9190" s="29" t="s">
        <v>1236</v>
      </c>
      <c r="M9190" s="29"/>
      <c r="N9190" s="29" t="s">
        <v>1927</v>
      </c>
      <c r="O9190" s="29"/>
      <c r="P9190" s="29" t="s">
        <v>496</v>
      </c>
      <c r="Q9190" t="s">
        <v>2042</v>
      </c>
      <c r="R9190" t="s">
        <v>2634</v>
      </c>
      <c r="S9190">
        <v>35</v>
      </c>
      <c r="T9190" s="43" t="str">
        <f t="shared" si="396"/>
        <v>2019.006G.zip</v>
      </c>
      <c r="U9190" s="43" t="str">
        <f>HYPERLINK("https://ictv.global/taxonomy/taxondetails?taxnode_id=202204169","ictv.global=202204169")</f>
        <v>ictv.global=202204169</v>
      </c>
    </row>
    <row r="9191" spans="1:21">
      <c r="A9191">
        <v>9190</v>
      </c>
      <c r="B9191" s="29" t="s">
        <v>3223</v>
      </c>
      <c r="C9191" s="29"/>
      <c r="D9191" s="29" t="s">
        <v>4156</v>
      </c>
      <c r="E9191" s="29"/>
      <c r="F9191" s="29" t="s">
        <v>4230</v>
      </c>
      <c r="G9191" s="29"/>
      <c r="H9191" s="29" t="s">
        <v>4231</v>
      </c>
      <c r="I9191" s="29"/>
      <c r="J9191" s="29" t="s">
        <v>4232</v>
      </c>
      <c r="K9191" s="29"/>
      <c r="L9191" s="29" t="s">
        <v>1236</v>
      </c>
      <c r="M9191" s="29"/>
      <c r="N9191" s="29" t="s">
        <v>1927</v>
      </c>
      <c r="O9191" s="29"/>
      <c r="P9191" s="29" t="s">
        <v>689</v>
      </c>
      <c r="Q9191" t="s">
        <v>2042</v>
      </c>
      <c r="R9191" t="s">
        <v>2634</v>
      </c>
      <c r="S9191">
        <v>35</v>
      </c>
      <c r="T9191" s="43" t="str">
        <f t="shared" si="396"/>
        <v>2019.006G.zip</v>
      </c>
      <c r="U9191" s="43" t="str">
        <f>HYPERLINK("https://ictv.global/taxonomy/taxondetails?taxnode_id=202204170","ictv.global=202204170")</f>
        <v>ictv.global=202204170</v>
      </c>
    </row>
    <row r="9192" spans="1:21">
      <c r="A9192">
        <v>9191</v>
      </c>
      <c r="B9192" s="29" t="s">
        <v>3223</v>
      </c>
      <c r="C9192" s="29"/>
      <c r="D9192" s="29" t="s">
        <v>4156</v>
      </c>
      <c r="E9192" s="29"/>
      <c r="F9192" s="29" t="s">
        <v>4230</v>
      </c>
      <c r="G9192" s="29"/>
      <c r="H9192" s="29" t="s">
        <v>4231</v>
      </c>
      <c r="I9192" s="29"/>
      <c r="J9192" s="29" t="s">
        <v>4232</v>
      </c>
      <c r="K9192" s="29"/>
      <c r="L9192" s="29" t="s">
        <v>1236</v>
      </c>
      <c r="M9192" s="29"/>
      <c r="N9192" s="29" t="s">
        <v>1927</v>
      </c>
      <c r="O9192" s="29"/>
      <c r="P9192" s="29" t="s">
        <v>1117</v>
      </c>
      <c r="Q9192" t="s">
        <v>2042</v>
      </c>
      <c r="R9192" t="s">
        <v>2634</v>
      </c>
      <c r="S9192">
        <v>35</v>
      </c>
      <c r="T9192" s="43" t="str">
        <f t="shared" si="396"/>
        <v>2019.006G.zip</v>
      </c>
      <c r="U9192" s="43" t="str">
        <f>HYPERLINK("https://ictv.global/taxonomy/taxondetails?taxnode_id=202204171","ictv.global=202204171")</f>
        <v>ictv.global=202204171</v>
      </c>
    </row>
    <row r="9193" spans="1:21">
      <c r="A9193">
        <v>9192</v>
      </c>
      <c r="B9193" s="29" t="s">
        <v>3223</v>
      </c>
      <c r="C9193" s="29"/>
      <c r="D9193" s="29" t="s">
        <v>4156</v>
      </c>
      <c r="E9193" s="29"/>
      <c r="F9193" s="29" t="s">
        <v>4230</v>
      </c>
      <c r="G9193" s="29"/>
      <c r="H9193" s="29" t="s">
        <v>4231</v>
      </c>
      <c r="I9193" s="29"/>
      <c r="J9193" s="29" t="s">
        <v>4232</v>
      </c>
      <c r="K9193" s="29"/>
      <c r="L9193" s="29" t="s">
        <v>1236</v>
      </c>
      <c r="M9193" s="29"/>
      <c r="N9193" s="29" t="s">
        <v>1927</v>
      </c>
      <c r="O9193" s="29"/>
      <c r="P9193" s="29" t="s">
        <v>497</v>
      </c>
      <c r="Q9193" t="s">
        <v>2042</v>
      </c>
      <c r="R9193" t="s">
        <v>2634</v>
      </c>
      <c r="S9193">
        <v>35</v>
      </c>
      <c r="T9193" s="43" t="str">
        <f t="shared" si="396"/>
        <v>2019.006G.zip</v>
      </c>
      <c r="U9193" s="43" t="str">
        <f>HYPERLINK("https://ictv.global/taxonomy/taxondetails?taxnode_id=202204172","ictv.global=202204172")</f>
        <v>ictv.global=202204172</v>
      </c>
    </row>
    <row r="9194" spans="1:21">
      <c r="A9194">
        <v>9193</v>
      </c>
      <c r="B9194" s="29" t="s">
        <v>3223</v>
      </c>
      <c r="C9194" s="29"/>
      <c r="D9194" s="29" t="s">
        <v>4156</v>
      </c>
      <c r="E9194" s="29"/>
      <c r="F9194" s="29" t="s">
        <v>4230</v>
      </c>
      <c r="G9194" s="29"/>
      <c r="H9194" s="29" t="s">
        <v>4231</v>
      </c>
      <c r="I9194" s="29"/>
      <c r="J9194" s="29" t="s">
        <v>4232</v>
      </c>
      <c r="K9194" s="29"/>
      <c r="L9194" s="29" t="s">
        <v>1236</v>
      </c>
      <c r="M9194" s="29"/>
      <c r="N9194" s="29" t="s">
        <v>929</v>
      </c>
      <c r="O9194" s="29"/>
      <c r="P9194" s="29" t="s">
        <v>240</v>
      </c>
      <c r="Q9194" t="s">
        <v>2042</v>
      </c>
      <c r="R9194" t="s">
        <v>6901</v>
      </c>
      <c r="S9194">
        <v>36</v>
      </c>
      <c r="T9194" s="43" t="str">
        <f>HYPERLINK("https://ictv.global/ictv/proposals/2020.001G.R.Abolish_type_species.pdf","2020.001G.R.Abolish_type_species.pdf")</f>
        <v>2020.001G.R.Abolish_type_species.pdf</v>
      </c>
      <c r="U9194" s="43" t="str">
        <f>HYPERLINK("https://ictv.global/taxonomy/taxondetails?taxnode_id=202204174","ictv.global=202204174")</f>
        <v>ictv.global=202204174</v>
      </c>
    </row>
    <row r="9195" spans="1:21">
      <c r="A9195">
        <v>9194</v>
      </c>
      <c r="B9195" s="29" t="s">
        <v>3223</v>
      </c>
      <c r="C9195" s="29"/>
      <c r="D9195" s="29" t="s">
        <v>4156</v>
      </c>
      <c r="E9195" s="29"/>
      <c r="F9195" s="29" t="s">
        <v>4230</v>
      </c>
      <c r="G9195" s="29"/>
      <c r="H9195" s="29" t="s">
        <v>4231</v>
      </c>
      <c r="I9195" s="29"/>
      <c r="J9195" s="29" t="s">
        <v>4232</v>
      </c>
      <c r="K9195" s="29"/>
      <c r="L9195" s="29" t="s">
        <v>1236</v>
      </c>
      <c r="M9195" s="29"/>
      <c r="N9195" s="29" t="s">
        <v>1932</v>
      </c>
      <c r="O9195" s="29"/>
      <c r="P9195" s="29" t="s">
        <v>730</v>
      </c>
      <c r="Q9195" t="s">
        <v>2042</v>
      </c>
      <c r="R9195" t="s">
        <v>2634</v>
      </c>
      <c r="S9195">
        <v>35</v>
      </c>
      <c r="T9195" s="43" t="str">
        <f>HYPERLINK("https://ictv.global/ictv/proposals/2019.006G.zip","2019.006G.zip")</f>
        <v>2019.006G.zip</v>
      </c>
      <c r="U9195" s="43" t="str">
        <f>HYPERLINK("https://ictv.global/taxonomy/taxondetails?taxnode_id=202204176","ictv.global=202204176")</f>
        <v>ictv.global=202204176</v>
      </c>
    </row>
    <row r="9196" spans="1:21">
      <c r="A9196">
        <v>9195</v>
      </c>
      <c r="B9196" s="29" t="s">
        <v>3223</v>
      </c>
      <c r="C9196" s="29"/>
      <c r="D9196" s="29" t="s">
        <v>4156</v>
      </c>
      <c r="E9196" s="29"/>
      <c r="F9196" s="29" t="s">
        <v>4230</v>
      </c>
      <c r="G9196" s="29"/>
      <c r="H9196" s="29" t="s">
        <v>4231</v>
      </c>
      <c r="I9196" s="29"/>
      <c r="J9196" s="29" t="s">
        <v>4232</v>
      </c>
      <c r="K9196" s="29"/>
      <c r="L9196" s="29" t="s">
        <v>1236</v>
      </c>
      <c r="M9196" s="29"/>
      <c r="N9196" s="29" t="s">
        <v>1932</v>
      </c>
      <c r="O9196" s="29"/>
      <c r="P9196" s="29" t="s">
        <v>731</v>
      </c>
      <c r="Q9196" t="s">
        <v>2042</v>
      </c>
      <c r="R9196" t="s">
        <v>2634</v>
      </c>
      <c r="S9196">
        <v>35</v>
      </c>
      <c r="T9196" s="43" t="str">
        <f>HYPERLINK("https://ictv.global/ictv/proposals/2019.006G.zip","2019.006G.zip")</f>
        <v>2019.006G.zip</v>
      </c>
      <c r="U9196" s="43" t="str">
        <f>HYPERLINK("https://ictv.global/taxonomy/taxondetails?taxnode_id=202204177","ictv.global=202204177")</f>
        <v>ictv.global=202204177</v>
      </c>
    </row>
    <row r="9197" spans="1:21">
      <c r="A9197">
        <v>9196</v>
      </c>
      <c r="B9197" s="29" t="s">
        <v>3223</v>
      </c>
      <c r="C9197" s="29"/>
      <c r="D9197" s="29" t="s">
        <v>4156</v>
      </c>
      <c r="E9197" s="29"/>
      <c r="F9197" s="29" t="s">
        <v>4230</v>
      </c>
      <c r="G9197" s="29"/>
      <c r="H9197" s="29" t="s">
        <v>4231</v>
      </c>
      <c r="I9197" s="29"/>
      <c r="J9197" s="29" t="s">
        <v>4232</v>
      </c>
      <c r="K9197" s="29"/>
      <c r="L9197" s="29" t="s">
        <v>1236</v>
      </c>
      <c r="M9197" s="29"/>
      <c r="N9197" s="29" t="s">
        <v>1932</v>
      </c>
      <c r="O9197" s="29"/>
      <c r="P9197" s="29" t="s">
        <v>1933</v>
      </c>
      <c r="Q9197" t="s">
        <v>2042</v>
      </c>
      <c r="R9197" t="s">
        <v>2634</v>
      </c>
      <c r="S9197">
        <v>35</v>
      </c>
      <c r="T9197" s="43" t="str">
        <f>HYPERLINK("https://ictv.global/ictv/proposals/2019.006G.zip","2019.006G.zip")</f>
        <v>2019.006G.zip</v>
      </c>
      <c r="U9197" s="43" t="str">
        <f>HYPERLINK("https://ictv.global/taxonomy/taxondetails?taxnode_id=202204178","ictv.global=202204178")</f>
        <v>ictv.global=202204178</v>
      </c>
    </row>
    <row r="9198" spans="1:21">
      <c r="A9198">
        <v>9197</v>
      </c>
      <c r="B9198" s="29" t="s">
        <v>3223</v>
      </c>
      <c r="C9198" s="29"/>
      <c r="D9198" s="29" t="s">
        <v>4156</v>
      </c>
      <c r="E9198" s="29"/>
      <c r="F9198" s="29" t="s">
        <v>4230</v>
      </c>
      <c r="G9198" s="29"/>
      <c r="H9198" s="29" t="s">
        <v>4231</v>
      </c>
      <c r="I9198" s="29"/>
      <c r="J9198" s="29" t="s">
        <v>4232</v>
      </c>
      <c r="K9198" s="29"/>
      <c r="L9198" s="29" t="s">
        <v>1236</v>
      </c>
      <c r="M9198" s="29"/>
      <c r="N9198" s="29" t="s">
        <v>1932</v>
      </c>
      <c r="O9198" s="29"/>
      <c r="P9198" s="29" t="s">
        <v>1934</v>
      </c>
      <c r="Q9198" t="s">
        <v>2042</v>
      </c>
      <c r="R9198" t="s">
        <v>6901</v>
      </c>
      <c r="S9198">
        <v>36</v>
      </c>
      <c r="T9198" s="43" t="str">
        <f>HYPERLINK("https://ictv.global/ictv/proposals/2020.001G.R.Abolish_type_species.pdf","2020.001G.R.Abolish_type_species.pdf")</f>
        <v>2020.001G.R.Abolish_type_species.pdf</v>
      </c>
      <c r="U9198" s="43" t="str">
        <f>HYPERLINK("https://ictv.global/taxonomy/taxondetails?taxnode_id=202204179","ictv.global=202204179")</f>
        <v>ictv.global=202204179</v>
      </c>
    </row>
    <row r="9199" spans="1:21">
      <c r="A9199">
        <v>9198</v>
      </c>
      <c r="B9199" s="29" t="s">
        <v>3223</v>
      </c>
      <c r="C9199" s="29"/>
      <c r="D9199" s="29" t="s">
        <v>4156</v>
      </c>
      <c r="E9199" s="29"/>
      <c r="F9199" s="29" t="s">
        <v>4230</v>
      </c>
      <c r="G9199" s="29"/>
      <c r="H9199" s="29" t="s">
        <v>4231</v>
      </c>
      <c r="I9199" s="29"/>
      <c r="J9199" s="29" t="s">
        <v>4232</v>
      </c>
      <c r="K9199" s="29"/>
      <c r="L9199" s="29" t="s">
        <v>1236</v>
      </c>
      <c r="M9199" s="29"/>
      <c r="N9199" s="29" t="s">
        <v>1932</v>
      </c>
      <c r="O9199" s="29"/>
      <c r="P9199" s="29" t="s">
        <v>1935</v>
      </c>
      <c r="Q9199" t="s">
        <v>2042</v>
      </c>
      <c r="R9199" t="s">
        <v>2634</v>
      </c>
      <c r="S9199">
        <v>35</v>
      </c>
      <c r="T9199" s="43" t="str">
        <f t="shared" ref="T9199:T9206" si="397">HYPERLINK("https://ictv.global/ictv/proposals/2019.006G.zip","2019.006G.zip")</f>
        <v>2019.006G.zip</v>
      </c>
      <c r="U9199" s="43" t="str">
        <f>HYPERLINK("https://ictv.global/taxonomy/taxondetails?taxnode_id=202204180","ictv.global=202204180")</f>
        <v>ictv.global=202204180</v>
      </c>
    </row>
    <row r="9200" spans="1:21">
      <c r="A9200">
        <v>9199</v>
      </c>
      <c r="B9200" s="29" t="s">
        <v>3223</v>
      </c>
      <c r="C9200" s="29"/>
      <c r="D9200" s="29" t="s">
        <v>4156</v>
      </c>
      <c r="E9200" s="29"/>
      <c r="F9200" s="29" t="s">
        <v>4230</v>
      </c>
      <c r="G9200" s="29"/>
      <c r="H9200" s="29" t="s">
        <v>4231</v>
      </c>
      <c r="I9200" s="29"/>
      <c r="J9200" s="29" t="s">
        <v>4232</v>
      </c>
      <c r="K9200" s="29"/>
      <c r="L9200" s="29" t="s">
        <v>1236</v>
      </c>
      <c r="M9200" s="29"/>
      <c r="N9200" s="29" t="s">
        <v>1936</v>
      </c>
      <c r="O9200" s="29"/>
      <c r="P9200" s="29" t="s">
        <v>499</v>
      </c>
      <c r="Q9200" t="s">
        <v>2042</v>
      </c>
      <c r="R9200" t="s">
        <v>2634</v>
      </c>
      <c r="S9200">
        <v>35</v>
      </c>
      <c r="T9200" s="43" t="str">
        <f t="shared" si="397"/>
        <v>2019.006G.zip</v>
      </c>
      <c r="U9200" s="43" t="str">
        <f>HYPERLINK("https://ictv.global/taxonomy/taxondetails?taxnode_id=202204182","ictv.global=202204182")</f>
        <v>ictv.global=202204182</v>
      </c>
    </row>
    <row r="9201" spans="1:21">
      <c r="A9201">
        <v>9200</v>
      </c>
      <c r="B9201" s="29" t="s">
        <v>3223</v>
      </c>
      <c r="C9201" s="29"/>
      <c r="D9201" s="29" t="s">
        <v>4156</v>
      </c>
      <c r="E9201" s="29"/>
      <c r="F9201" s="29" t="s">
        <v>4230</v>
      </c>
      <c r="G9201" s="29"/>
      <c r="H9201" s="29" t="s">
        <v>4231</v>
      </c>
      <c r="I9201" s="29"/>
      <c r="J9201" s="29" t="s">
        <v>4232</v>
      </c>
      <c r="K9201" s="29"/>
      <c r="L9201" s="29" t="s">
        <v>1236</v>
      </c>
      <c r="M9201" s="29"/>
      <c r="N9201" s="29" t="s">
        <v>1936</v>
      </c>
      <c r="O9201" s="29"/>
      <c r="P9201" s="29" t="s">
        <v>1198</v>
      </c>
      <c r="Q9201" t="s">
        <v>2042</v>
      </c>
      <c r="R9201" t="s">
        <v>2634</v>
      </c>
      <c r="S9201">
        <v>35</v>
      </c>
      <c r="T9201" s="43" t="str">
        <f t="shared" si="397"/>
        <v>2019.006G.zip</v>
      </c>
      <c r="U9201" s="43" t="str">
        <f>HYPERLINK("https://ictv.global/taxonomy/taxondetails?taxnode_id=202204183","ictv.global=202204183")</f>
        <v>ictv.global=202204183</v>
      </c>
    </row>
    <row r="9202" spans="1:21">
      <c r="A9202">
        <v>9201</v>
      </c>
      <c r="B9202" s="29" t="s">
        <v>3223</v>
      </c>
      <c r="C9202" s="29"/>
      <c r="D9202" s="29" t="s">
        <v>4156</v>
      </c>
      <c r="E9202" s="29"/>
      <c r="F9202" s="29" t="s">
        <v>4230</v>
      </c>
      <c r="G9202" s="29"/>
      <c r="H9202" s="29" t="s">
        <v>4231</v>
      </c>
      <c r="I9202" s="29"/>
      <c r="J9202" s="29" t="s">
        <v>4232</v>
      </c>
      <c r="K9202" s="29"/>
      <c r="L9202" s="29" t="s">
        <v>1236</v>
      </c>
      <c r="M9202" s="29"/>
      <c r="N9202" s="29" t="s">
        <v>1936</v>
      </c>
      <c r="O9202" s="29"/>
      <c r="P9202" s="29" t="s">
        <v>1403</v>
      </c>
      <c r="Q9202" t="s">
        <v>2042</v>
      </c>
      <c r="R9202" t="s">
        <v>2634</v>
      </c>
      <c r="S9202">
        <v>35</v>
      </c>
      <c r="T9202" s="43" t="str">
        <f t="shared" si="397"/>
        <v>2019.006G.zip</v>
      </c>
      <c r="U9202" s="43" t="str">
        <f>HYPERLINK("https://ictv.global/taxonomy/taxondetails?taxnode_id=202204184","ictv.global=202204184")</f>
        <v>ictv.global=202204184</v>
      </c>
    </row>
    <row r="9203" spans="1:21">
      <c r="A9203">
        <v>9202</v>
      </c>
      <c r="B9203" s="29" t="s">
        <v>3223</v>
      </c>
      <c r="C9203" s="29"/>
      <c r="D9203" s="29" t="s">
        <v>4156</v>
      </c>
      <c r="E9203" s="29"/>
      <c r="F9203" s="29" t="s">
        <v>4230</v>
      </c>
      <c r="G9203" s="29"/>
      <c r="H9203" s="29" t="s">
        <v>4231</v>
      </c>
      <c r="I9203" s="29"/>
      <c r="J9203" s="29" t="s">
        <v>4232</v>
      </c>
      <c r="K9203" s="29"/>
      <c r="L9203" s="29" t="s">
        <v>1236</v>
      </c>
      <c r="M9203" s="29"/>
      <c r="N9203" s="29" t="s">
        <v>1936</v>
      </c>
      <c r="O9203" s="29"/>
      <c r="P9203" s="29" t="s">
        <v>1405</v>
      </c>
      <c r="Q9203" t="s">
        <v>2042</v>
      </c>
      <c r="R9203" t="s">
        <v>2634</v>
      </c>
      <c r="S9203">
        <v>35</v>
      </c>
      <c r="T9203" s="43" t="str">
        <f t="shared" si="397"/>
        <v>2019.006G.zip</v>
      </c>
      <c r="U9203" s="43" t="str">
        <f>HYPERLINK("https://ictv.global/taxonomy/taxondetails?taxnode_id=202204185","ictv.global=202204185")</f>
        <v>ictv.global=202204185</v>
      </c>
    </row>
    <row r="9204" spans="1:21">
      <c r="A9204">
        <v>9203</v>
      </c>
      <c r="B9204" s="29" t="s">
        <v>3223</v>
      </c>
      <c r="C9204" s="29"/>
      <c r="D9204" s="29" t="s">
        <v>4156</v>
      </c>
      <c r="E9204" s="29"/>
      <c r="F9204" s="29" t="s">
        <v>4230</v>
      </c>
      <c r="G9204" s="29"/>
      <c r="H9204" s="29" t="s">
        <v>4231</v>
      </c>
      <c r="I9204" s="29"/>
      <c r="J9204" s="29" t="s">
        <v>4232</v>
      </c>
      <c r="K9204" s="29"/>
      <c r="L9204" s="29" t="s">
        <v>1236</v>
      </c>
      <c r="M9204" s="29"/>
      <c r="N9204" s="29" t="s">
        <v>1936</v>
      </c>
      <c r="O9204" s="29"/>
      <c r="P9204" s="29" t="s">
        <v>693</v>
      </c>
      <c r="Q9204" t="s">
        <v>2042</v>
      </c>
      <c r="R9204" t="s">
        <v>2634</v>
      </c>
      <c r="S9204">
        <v>35</v>
      </c>
      <c r="T9204" s="43" t="str">
        <f t="shared" si="397"/>
        <v>2019.006G.zip</v>
      </c>
      <c r="U9204" s="43" t="str">
        <f>HYPERLINK("https://ictv.global/taxonomy/taxondetails?taxnode_id=202204186","ictv.global=202204186")</f>
        <v>ictv.global=202204186</v>
      </c>
    </row>
    <row r="9205" spans="1:21">
      <c r="A9205">
        <v>9204</v>
      </c>
      <c r="B9205" s="29" t="s">
        <v>3223</v>
      </c>
      <c r="C9205" s="29"/>
      <c r="D9205" s="29" t="s">
        <v>4156</v>
      </c>
      <c r="E9205" s="29"/>
      <c r="F9205" s="29" t="s">
        <v>4230</v>
      </c>
      <c r="G9205" s="29"/>
      <c r="H9205" s="29" t="s">
        <v>4231</v>
      </c>
      <c r="I9205" s="29"/>
      <c r="J9205" s="29" t="s">
        <v>4232</v>
      </c>
      <c r="K9205" s="29"/>
      <c r="L9205" s="29" t="s">
        <v>1236</v>
      </c>
      <c r="M9205" s="29"/>
      <c r="N9205" s="29" t="s">
        <v>1936</v>
      </c>
      <c r="O9205" s="29"/>
      <c r="P9205" s="29" t="s">
        <v>926</v>
      </c>
      <c r="Q9205" t="s">
        <v>2042</v>
      </c>
      <c r="R9205" t="s">
        <v>2634</v>
      </c>
      <c r="S9205">
        <v>35</v>
      </c>
      <c r="T9205" s="43" t="str">
        <f t="shared" si="397"/>
        <v>2019.006G.zip</v>
      </c>
      <c r="U9205" s="43" t="str">
        <f>HYPERLINK("https://ictv.global/taxonomy/taxondetails?taxnode_id=202204187","ictv.global=202204187")</f>
        <v>ictv.global=202204187</v>
      </c>
    </row>
    <row r="9206" spans="1:21">
      <c r="A9206">
        <v>9205</v>
      </c>
      <c r="B9206" s="29" t="s">
        <v>3223</v>
      </c>
      <c r="C9206" s="29"/>
      <c r="D9206" s="29" t="s">
        <v>4156</v>
      </c>
      <c r="E9206" s="29"/>
      <c r="F9206" s="29" t="s">
        <v>4230</v>
      </c>
      <c r="G9206" s="29"/>
      <c r="H9206" s="29" t="s">
        <v>4231</v>
      </c>
      <c r="I9206" s="29"/>
      <c r="J9206" s="29" t="s">
        <v>4232</v>
      </c>
      <c r="K9206" s="29"/>
      <c r="L9206" s="29" t="s">
        <v>1236</v>
      </c>
      <c r="M9206" s="29"/>
      <c r="N9206" s="29" t="s">
        <v>1936</v>
      </c>
      <c r="O9206" s="29"/>
      <c r="P9206" s="29" t="s">
        <v>927</v>
      </c>
      <c r="Q9206" t="s">
        <v>2042</v>
      </c>
      <c r="R9206" t="s">
        <v>2634</v>
      </c>
      <c r="S9206">
        <v>35</v>
      </c>
      <c r="T9206" s="43" t="str">
        <f t="shared" si="397"/>
        <v>2019.006G.zip</v>
      </c>
      <c r="U9206" s="43" t="str">
        <f>HYPERLINK("https://ictv.global/taxonomy/taxondetails?taxnode_id=202204188","ictv.global=202204188")</f>
        <v>ictv.global=202204188</v>
      </c>
    </row>
    <row r="9207" spans="1:21">
      <c r="A9207">
        <v>9206</v>
      </c>
      <c r="B9207" s="29" t="s">
        <v>3223</v>
      </c>
      <c r="C9207" s="29"/>
      <c r="D9207" s="29" t="s">
        <v>4156</v>
      </c>
      <c r="E9207" s="29"/>
      <c r="F9207" s="29" t="s">
        <v>4230</v>
      </c>
      <c r="G9207" s="29"/>
      <c r="H9207" s="29" t="s">
        <v>4231</v>
      </c>
      <c r="I9207" s="29"/>
      <c r="J9207" s="29" t="s">
        <v>4232</v>
      </c>
      <c r="K9207" s="29"/>
      <c r="L9207" s="29" t="s">
        <v>1236</v>
      </c>
      <c r="M9207" s="29"/>
      <c r="N9207" s="29" t="s">
        <v>1936</v>
      </c>
      <c r="O9207" s="29"/>
      <c r="P9207" s="29" t="s">
        <v>688</v>
      </c>
      <c r="Q9207" t="s">
        <v>2042</v>
      </c>
      <c r="R9207" t="s">
        <v>6901</v>
      </c>
      <c r="S9207">
        <v>36</v>
      </c>
      <c r="T9207" s="43" t="str">
        <f>HYPERLINK("https://ictv.global/ictv/proposals/2020.001G.R.Abolish_type_species.pdf","2020.001G.R.Abolish_type_species.pdf")</f>
        <v>2020.001G.R.Abolish_type_species.pdf</v>
      </c>
      <c r="U9207" s="43" t="str">
        <f>HYPERLINK("https://ictv.global/taxonomy/taxondetails?taxnode_id=202204189","ictv.global=202204189")</f>
        <v>ictv.global=202204189</v>
      </c>
    </row>
    <row r="9208" spans="1:21">
      <c r="A9208">
        <v>9207</v>
      </c>
      <c r="B9208" s="29" t="s">
        <v>3223</v>
      </c>
      <c r="C9208" s="29"/>
      <c r="D9208" s="29" t="s">
        <v>4156</v>
      </c>
      <c r="E9208" s="29"/>
      <c r="F9208" s="29" t="s">
        <v>4230</v>
      </c>
      <c r="G9208" s="29"/>
      <c r="H9208" s="29" t="s">
        <v>4231</v>
      </c>
      <c r="I9208" s="29"/>
      <c r="J9208" s="29" t="s">
        <v>4232</v>
      </c>
      <c r="K9208" s="29"/>
      <c r="L9208" s="29" t="s">
        <v>1236</v>
      </c>
      <c r="M9208" s="29"/>
      <c r="N9208" s="29"/>
      <c r="O9208" s="29"/>
      <c r="P9208" s="29" t="s">
        <v>498</v>
      </c>
      <c r="Q9208" t="s">
        <v>2042</v>
      </c>
      <c r="R9208" t="s">
        <v>2634</v>
      </c>
      <c r="S9208">
        <v>35</v>
      </c>
      <c r="T9208" s="43" t="str">
        <f t="shared" ref="T9208:T9222" si="398">HYPERLINK("https://ictv.global/ictv/proposals/2019.006G.zip","2019.006G.zip")</f>
        <v>2019.006G.zip</v>
      </c>
      <c r="U9208" s="43" t="str">
        <f>HYPERLINK("https://ictv.global/taxonomy/taxondetails?taxnode_id=202204191","ictv.global=202204191")</f>
        <v>ictv.global=202204191</v>
      </c>
    </row>
    <row r="9209" spans="1:21">
      <c r="A9209">
        <v>9208</v>
      </c>
      <c r="B9209" s="29" t="s">
        <v>3223</v>
      </c>
      <c r="C9209" s="29"/>
      <c r="D9209" s="29" t="s">
        <v>4156</v>
      </c>
      <c r="E9209" s="29"/>
      <c r="F9209" s="29" t="s">
        <v>4230</v>
      </c>
      <c r="G9209" s="29"/>
      <c r="H9209" s="29" t="s">
        <v>4231</v>
      </c>
      <c r="I9209" s="29"/>
      <c r="J9209" s="29" t="s">
        <v>4232</v>
      </c>
      <c r="K9209" s="29"/>
      <c r="L9209" s="29" t="s">
        <v>1236</v>
      </c>
      <c r="M9209" s="29"/>
      <c r="N9209" s="29"/>
      <c r="O9209" s="29"/>
      <c r="P9209" s="29" t="s">
        <v>728</v>
      </c>
      <c r="Q9209" t="s">
        <v>2042</v>
      </c>
      <c r="R9209" t="s">
        <v>2634</v>
      </c>
      <c r="S9209">
        <v>35</v>
      </c>
      <c r="T9209" s="43" t="str">
        <f t="shared" si="398"/>
        <v>2019.006G.zip</v>
      </c>
      <c r="U9209" s="43" t="str">
        <f>HYPERLINK("https://ictv.global/taxonomy/taxondetails?taxnode_id=202204192","ictv.global=202204192")</f>
        <v>ictv.global=202204192</v>
      </c>
    </row>
    <row r="9210" spans="1:21">
      <c r="A9210">
        <v>9209</v>
      </c>
      <c r="B9210" s="29" t="s">
        <v>3223</v>
      </c>
      <c r="C9210" s="29"/>
      <c r="D9210" s="29" t="s">
        <v>4156</v>
      </c>
      <c r="E9210" s="29"/>
      <c r="F9210" s="29" t="s">
        <v>4230</v>
      </c>
      <c r="G9210" s="29"/>
      <c r="H9210" s="29" t="s">
        <v>4231</v>
      </c>
      <c r="I9210" s="29"/>
      <c r="J9210" s="29" t="s">
        <v>4232</v>
      </c>
      <c r="K9210" s="29"/>
      <c r="L9210" s="29" t="s">
        <v>1236</v>
      </c>
      <c r="M9210" s="29"/>
      <c r="N9210" s="29"/>
      <c r="O9210" s="29"/>
      <c r="P9210" s="29" t="s">
        <v>732</v>
      </c>
      <c r="Q9210" t="s">
        <v>2042</v>
      </c>
      <c r="R9210" t="s">
        <v>2634</v>
      </c>
      <c r="S9210">
        <v>35</v>
      </c>
      <c r="T9210" s="43" t="str">
        <f t="shared" si="398"/>
        <v>2019.006G.zip</v>
      </c>
      <c r="U9210" s="43" t="str">
        <f>HYPERLINK("https://ictv.global/taxonomy/taxondetails?taxnode_id=202204193","ictv.global=202204193")</f>
        <v>ictv.global=202204193</v>
      </c>
    </row>
    <row r="9211" spans="1:21">
      <c r="A9211">
        <v>9210</v>
      </c>
      <c r="B9211" s="29" t="s">
        <v>3223</v>
      </c>
      <c r="C9211" s="29"/>
      <c r="D9211" s="29" t="s">
        <v>4156</v>
      </c>
      <c r="E9211" s="29"/>
      <c r="F9211" s="29" t="s">
        <v>4230</v>
      </c>
      <c r="G9211" s="29"/>
      <c r="H9211" s="29" t="s">
        <v>4231</v>
      </c>
      <c r="I9211" s="29"/>
      <c r="J9211" s="29" t="s">
        <v>4232</v>
      </c>
      <c r="K9211" s="29"/>
      <c r="L9211" s="29" t="s">
        <v>1236</v>
      </c>
      <c r="M9211" s="29"/>
      <c r="N9211" s="29"/>
      <c r="O9211" s="29"/>
      <c r="P9211" s="29" t="s">
        <v>733</v>
      </c>
      <c r="Q9211" t="s">
        <v>2042</v>
      </c>
      <c r="R9211" t="s">
        <v>2634</v>
      </c>
      <c r="S9211">
        <v>35</v>
      </c>
      <c r="T9211" s="43" t="str">
        <f t="shared" si="398"/>
        <v>2019.006G.zip</v>
      </c>
      <c r="U9211" s="43" t="str">
        <f>HYPERLINK("https://ictv.global/taxonomy/taxondetails?taxnode_id=202204194","ictv.global=202204194")</f>
        <v>ictv.global=202204194</v>
      </c>
    </row>
    <row r="9212" spans="1:21">
      <c r="A9212">
        <v>9211</v>
      </c>
      <c r="B9212" s="29" t="s">
        <v>3223</v>
      </c>
      <c r="C9212" s="29"/>
      <c r="D9212" s="29" t="s">
        <v>4156</v>
      </c>
      <c r="E9212" s="29"/>
      <c r="F9212" s="29" t="s">
        <v>4230</v>
      </c>
      <c r="G9212" s="29"/>
      <c r="H9212" s="29" t="s">
        <v>4231</v>
      </c>
      <c r="I9212" s="29"/>
      <c r="J9212" s="29" t="s">
        <v>4232</v>
      </c>
      <c r="K9212" s="29"/>
      <c r="L9212" s="29" t="s">
        <v>1236</v>
      </c>
      <c r="M9212" s="29"/>
      <c r="N9212" s="29"/>
      <c r="O9212" s="29"/>
      <c r="P9212" s="29" t="s">
        <v>494</v>
      </c>
      <c r="Q9212" t="s">
        <v>2042</v>
      </c>
      <c r="R9212" t="s">
        <v>2634</v>
      </c>
      <c r="S9212">
        <v>35</v>
      </c>
      <c r="T9212" s="43" t="str">
        <f t="shared" si="398"/>
        <v>2019.006G.zip</v>
      </c>
      <c r="U9212" s="43" t="str">
        <f>HYPERLINK("https://ictv.global/taxonomy/taxondetails?taxnode_id=202204195","ictv.global=202204195")</f>
        <v>ictv.global=202204195</v>
      </c>
    </row>
    <row r="9213" spans="1:21">
      <c r="A9213">
        <v>9212</v>
      </c>
      <c r="B9213" s="29" t="s">
        <v>3223</v>
      </c>
      <c r="C9213" s="29"/>
      <c r="D9213" s="29" t="s">
        <v>4156</v>
      </c>
      <c r="E9213" s="29"/>
      <c r="F9213" s="29" t="s">
        <v>4230</v>
      </c>
      <c r="G9213" s="29"/>
      <c r="H9213" s="29" t="s">
        <v>4231</v>
      </c>
      <c r="I9213" s="29"/>
      <c r="J9213" s="29" t="s">
        <v>4232</v>
      </c>
      <c r="K9213" s="29"/>
      <c r="L9213" s="29" t="s">
        <v>1236</v>
      </c>
      <c r="M9213" s="29"/>
      <c r="N9213" s="29"/>
      <c r="O9213" s="29"/>
      <c r="P9213" s="29" t="s">
        <v>734</v>
      </c>
      <c r="Q9213" t="s">
        <v>2042</v>
      </c>
      <c r="R9213" t="s">
        <v>2634</v>
      </c>
      <c r="S9213">
        <v>35</v>
      </c>
      <c r="T9213" s="43" t="str">
        <f t="shared" si="398"/>
        <v>2019.006G.zip</v>
      </c>
      <c r="U9213" s="43" t="str">
        <f>HYPERLINK("https://ictv.global/taxonomy/taxondetails?taxnode_id=202204196","ictv.global=202204196")</f>
        <v>ictv.global=202204196</v>
      </c>
    </row>
    <row r="9214" spans="1:21">
      <c r="A9214">
        <v>9213</v>
      </c>
      <c r="B9214" s="29" t="s">
        <v>3223</v>
      </c>
      <c r="C9214" s="29"/>
      <c r="D9214" s="29" t="s">
        <v>4156</v>
      </c>
      <c r="E9214" s="29"/>
      <c r="F9214" s="29" t="s">
        <v>4230</v>
      </c>
      <c r="G9214" s="29"/>
      <c r="H9214" s="29" t="s">
        <v>4231</v>
      </c>
      <c r="I9214" s="29"/>
      <c r="J9214" s="29" t="s">
        <v>4232</v>
      </c>
      <c r="K9214" s="29"/>
      <c r="L9214" s="29" t="s">
        <v>1236</v>
      </c>
      <c r="M9214" s="29"/>
      <c r="N9214" s="29"/>
      <c r="O9214" s="29"/>
      <c r="P9214" s="29" t="s">
        <v>735</v>
      </c>
      <c r="Q9214" t="s">
        <v>2042</v>
      </c>
      <c r="R9214" t="s">
        <v>2634</v>
      </c>
      <c r="S9214">
        <v>35</v>
      </c>
      <c r="T9214" s="43" t="str">
        <f t="shared" si="398"/>
        <v>2019.006G.zip</v>
      </c>
      <c r="U9214" s="43" t="str">
        <f>HYPERLINK("https://ictv.global/taxonomy/taxondetails?taxnode_id=202204197","ictv.global=202204197")</f>
        <v>ictv.global=202204197</v>
      </c>
    </row>
    <row r="9215" spans="1:21">
      <c r="A9215">
        <v>9214</v>
      </c>
      <c r="B9215" s="29" t="s">
        <v>3223</v>
      </c>
      <c r="C9215" s="29"/>
      <c r="D9215" s="29" t="s">
        <v>4156</v>
      </c>
      <c r="E9215" s="29"/>
      <c r="F9215" s="29" t="s">
        <v>4230</v>
      </c>
      <c r="G9215" s="29"/>
      <c r="H9215" s="29" t="s">
        <v>4231</v>
      </c>
      <c r="I9215" s="29"/>
      <c r="J9215" s="29" t="s">
        <v>4232</v>
      </c>
      <c r="K9215" s="29"/>
      <c r="L9215" s="29" t="s">
        <v>1236</v>
      </c>
      <c r="M9215" s="29"/>
      <c r="N9215" s="29"/>
      <c r="O9215" s="29"/>
      <c r="P9215" s="29" t="s">
        <v>2953</v>
      </c>
      <c r="Q9215" t="s">
        <v>2042</v>
      </c>
      <c r="R9215" t="s">
        <v>2634</v>
      </c>
      <c r="S9215">
        <v>35</v>
      </c>
      <c r="T9215" s="43" t="str">
        <f t="shared" si="398"/>
        <v>2019.006G.zip</v>
      </c>
      <c r="U9215" s="43" t="str">
        <f>HYPERLINK("https://ictv.global/taxonomy/taxondetails?taxnode_id=202204198","ictv.global=202204198")</f>
        <v>ictv.global=202204198</v>
      </c>
    </row>
    <row r="9216" spans="1:21">
      <c r="A9216">
        <v>9215</v>
      </c>
      <c r="B9216" s="29" t="s">
        <v>3223</v>
      </c>
      <c r="C9216" s="29"/>
      <c r="D9216" s="29" t="s">
        <v>4156</v>
      </c>
      <c r="E9216" s="29"/>
      <c r="F9216" s="29" t="s">
        <v>4230</v>
      </c>
      <c r="G9216" s="29"/>
      <c r="H9216" s="29" t="s">
        <v>4231</v>
      </c>
      <c r="I9216" s="29"/>
      <c r="J9216" s="29" t="s">
        <v>4232</v>
      </c>
      <c r="K9216" s="29"/>
      <c r="L9216" s="29" t="s">
        <v>1236</v>
      </c>
      <c r="M9216" s="29"/>
      <c r="N9216" s="29"/>
      <c r="O9216" s="29"/>
      <c r="P9216" s="29" t="s">
        <v>2954</v>
      </c>
      <c r="Q9216" t="s">
        <v>2042</v>
      </c>
      <c r="R9216" t="s">
        <v>2634</v>
      </c>
      <c r="S9216">
        <v>35</v>
      </c>
      <c r="T9216" s="43" t="str">
        <f t="shared" si="398"/>
        <v>2019.006G.zip</v>
      </c>
      <c r="U9216" s="43" t="str">
        <f>HYPERLINK("https://ictv.global/taxonomy/taxondetails?taxnode_id=202204199","ictv.global=202204199")</f>
        <v>ictv.global=202204199</v>
      </c>
    </row>
    <row r="9217" spans="1:21">
      <c r="A9217">
        <v>9216</v>
      </c>
      <c r="B9217" s="29" t="s">
        <v>3223</v>
      </c>
      <c r="C9217" s="29"/>
      <c r="D9217" s="29" t="s">
        <v>4156</v>
      </c>
      <c r="E9217" s="29"/>
      <c r="F9217" s="29" t="s">
        <v>4230</v>
      </c>
      <c r="G9217" s="29"/>
      <c r="H9217" s="29" t="s">
        <v>4231</v>
      </c>
      <c r="I9217" s="29"/>
      <c r="J9217" s="29" t="s">
        <v>4232</v>
      </c>
      <c r="K9217" s="29"/>
      <c r="L9217" s="29" t="s">
        <v>1236</v>
      </c>
      <c r="M9217" s="29"/>
      <c r="N9217" s="29"/>
      <c r="O9217" s="29"/>
      <c r="P9217" s="29" t="s">
        <v>677</v>
      </c>
      <c r="Q9217" t="s">
        <v>2042</v>
      </c>
      <c r="R9217" t="s">
        <v>2634</v>
      </c>
      <c r="S9217">
        <v>35</v>
      </c>
      <c r="T9217" s="43" t="str">
        <f t="shared" si="398"/>
        <v>2019.006G.zip</v>
      </c>
      <c r="U9217" s="43" t="str">
        <f>HYPERLINK("https://ictv.global/taxonomy/taxondetails?taxnode_id=202204200","ictv.global=202204200")</f>
        <v>ictv.global=202204200</v>
      </c>
    </row>
    <row r="9218" spans="1:21">
      <c r="A9218">
        <v>9217</v>
      </c>
      <c r="B9218" s="29" t="s">
        <v>3223</v>
      </c>
      <c r="C9218" s="29"/>
      <c r="D9218" s="29" t="s">
        <v>4156</v>
      </c>
      <c r="E9218" s="29"/>
      <c r="F9218" s="29" t="s">
        <v>4230</v>
      </c>
      <c r="G9218" s="29"/>
      <c r="H9218" s="29" t="s">
        <v>4231</v>
      </c>
      <c r="I9218" s="29"/>
      <c r="J9218" s="29" t="s">
        <v>4232</v>
      </c>
      <c r="K9218" s="29"/>
      <c r="L9218" s="29" t="s">
        <v>1236</v>
      </c>
      <c r="M9218" s="29"/>
      <c r="N9218" s="29"/>
      <c r="O9218" s="29"/>
      <c r="P9218" s="29" t="s">
        <v>678</v>
      </c>
      <c r="Q9218" t="s">
        <v>2042</v>
      </c>
      <c r="R9218" t="s">
        <v>2634</v>
      </c>
      <c r="S9218">
        <v>35</v>
      </c>
      <c r="T9218" s="43" t="str">
        <f t="shared" si="398"/>
        <v>2019.006G.zip</v>
      </c>
      <c r="U9218" s="43" t="str">
        <f>HYPERLINK("https://ictv.global/taxonomy/taxondetails?taxnode_id=202204201","ictv.global=202204201")</f>
        <v>ictv.global=202204201</v>
      </c>
    </row>
    <row r="9219" spans="1:21">
      <c r="A9219">
        <v>9218</v>
      </c>
      <c r="B9219" s="29" t="s">
        <v>3223</v>
      </c>
      <c r="C9219" s="29"/>
      <c r="D9219" s="29" t="s">
        <v>4156</v>
      </c>
      <c r="E9219" s="29"/>
      <c r="F9219" s="29" t="s">
        <v>4230</v>
      </c>
      <c r="G9219" s="29"/>
      <c r="H9219" s="29" t="s">
        <v>4231</v>
      </c>
      <c r="I9219" s="29"/>
      <c r="J9219" s="29" t="s">
        <v>4232</v>
      </c>
      <c r="K9219" s="29"/>
      <c r="L9219" s="29" t="s">
        <v>1236</v>
      </c>
      <c r="M9219" s="29"/>
      <c r="N9219" s="29"/>
      <c r="O9219" s="29"/>
      <c r="P9219" s="29" t="s">
        <v>679</v>
      </c>
      <c r="Q9219" t="s">
        <v>2042</v>
      </c>
      <c r="R9219" t="s">
        <v>2634</v>
      </c>
      <c r="S9219">
        <v>35</v>
      </c>
      <c r="T9219" s="43" t="str">
        <f t="shared" si="398"/>
        <v>2019.006G.zip</v>
      </c>
      <c r="U9219" s="43" t="str">
        <f>HYPERLINK("https://ictv.global/taxonomy/taxondetails?taxnode_id=202204202","ictv.global=202204202")</f>
        <v>ictv.global=202204202</v>
      </c>
    </row>
    <row r="9220" spans="1:21">
      <c r="A9220">
        <v>9219</v>
      </c>
      <c r="B9220" s="29" t="s">
        <v>3223</v>
      </c>
      <c r="C9220" s="29"/>
      <c r="D9220" s="29" t="s">
        <v>4156</v>
      </c>
      <c r="E9220" s="29"/>
      <c r="F9220" s="29" t="s">
        <v>4230</v>
      </c>
      <c r="G9220" s="29"/>
      <c r="H9220" s="29" t="s">
        <v>4231</v>
      </c>
      <c r="I9220" s="29"/>
      <c r="J9220" s="29" t="s">
        <v>4232</v>
      </c>
      <c r="K9220" s="29"/>
      <c r="L9220" s="29" t="s">
        <v>1236</v>
      </c>
      <c r="M9220" s="29"/>
      <c r="N9220" s="29"/>
      <c r="O9220" s="29"/>
      <c r="P9220" s="29" t="s">
        <v>680</v>
      </c>
      <c r="Q9220" t="s">
        <v>2042</v>
      </c>
      <c r="R9220" t="s">
        <v>2634</v>
      </c>
      <c r="S9220">
        <v>35</v>
      </c>
      <c r="T9220" s="43" t="str">
        <f t="shared" si="398"/>
        <v>2019.006G.zip</v>
      </c>
      <c r="U9220" s="43" t="str">
        <f>HYPERLINK("https://ictv.global/taxonomy/taxondetails?taxnode_id=202204203","ictv.global=202204203")</f>
        <v>ictv.global=202204203</v>
      </c>
    </row>
    <row r="9221" spans="1:21">
      <c r="A9221">
        <v>9220</v>
      </c>
      <c r="B9221" s="29" t="s">
        <v>3223</v>
      </c>
      <c r="C9221" s="29"/>
      <c r="D9221" s="29" t="s">
        <v>4156</v>
      </c>
      <c r="E9221" s="29"/>
      <c r="F9221" s="29" t="s">
        <v>4230</v>
      </c>
      <c r="G9221" s="29"/>
      <c r="H9221" s="29" t="s">
        <v>4231</v>
      </c>
      <c r="I9221" s="29"/>
      <c r="J9221" s="29" t="s">
        <v>4232</v>
      </c>
      <c r="K9221" s="29"/>
      <c r="L9221" s="29" t="s">
        <v>1236</v>
      </c>
      <c r="M9221" s="29"/>
      <c r="N9221" s="29"/>
      <c r="O9221" s="29"/>
      <c r="P9221" s="29" t="s">
        <v>681</v>
      </c>
      <c r="Q9221" t="s">
        <v>2042</v>
      </c>
      <c r="R9221" t="s">
        <v>2634</v>
      </c>
      <c r="S9221">
        <v>35</v>
      </c>
      <c r="T9221" s="43" t="str">
        <f t="shared" si="398"/>
        <v>2019.006G.zip</v>
      </c>
      <c r="U9221" s="43" t="str">
        <f>HYPERLINK("https://ictv.global/taxonomy/taxondetails?taxnode_id=202204204","ictv.global=202204204")</f>
        <v>ictv.global=202204204</v>
      </c>
    </row>
    <row r="9222" spans="1:21">
      <c r="A9222">
        <v>9221</v>
      </c>
      <c r="B9222" s="29" t="s">
        <v>3223</v>
      </c>
      <c r="C9222" s="29"/>
      <c r="D9222" s="29" t="s">
        <v>4156</v>
      </c>
      <c r="E9222" s="29"/>
      <c r="F9222" s="29" t="s">
        <v>4230</v>
      </c>
      <c r="G9222" s="29"/>
      <c r="H9222" s="29" t="s">
        <v>4231</v>
      </c>
      <c r="I9222" s="29"/>
      <c r="J9222" s="29" t="s">
        <v>4232</v>
      </c>
      <c r="K9222" s="29"/>
      <c r="L9222" s="29" t="s">
        <v>1236</v>
      </c>
      <c r="M9222" s="29"/>
      <c r="N9222" s="29"/>
      <c r="O9222" s="29"/>
      <c r="P9222" s="29" t="s">
        <v>684</v>
      </c>
      <c r="Q9222" t="s">
        <v>2042</v>
      </c>
      <c r="R9222" t="s">
        <v>2634</v>
      </c>
      <c r="S9222">
        <v>35</v>
      </c>
      <c r="T9222" s="43" t="str">
        <f t="shared" si="398"/>
        <v>2019.006G.zip</v>
      </c>
      <c r="U9222" s="43" t="str">
        <f>HYPERLINK("https://ictv.global/taxonomy/taxondetails?taxnode_id=202204205","ictv.global=202204205")</f>
        <v>ictv.global=202204205</v>
      </c>
    </row>
    <row r="9223" spans="1:21">
      <c r="A9223">
        <v>9222</v>
      </c>
      <c r="B9223" s="29" t="s">
        <v>3223</v>
      </c>
      <c r="C9223" s="29"/>
      <c r="D9223" s="29" t="s">
        <v>4156</v>
      </c>
      <c r="E9223" s="29"/>
      <c r="F9223" s="29" t="s">
        <v>4230</v>
      </c>
      <c r="G9223" s="29"/>
      <c r="H9223" s="29" t="s">
        <v>4231</v>
      </c>
      <c r="I9223" s="29"/>
      <c r="J9223" s="29" t="s">
        <v>4232</v>
      </c>
      <c r="K9223" s="29"/>
      <c r="L9223" s="29" t="s">
        <v>673</v>
      </c>
      <c r="M9223" s="29"/>
      <c r="N9223" s="29" t="s">
        <v>14056</v>
      </c>
      <c r="O9223" s="29"/>
      <c r="P9223" s="29" t="s">
        <v>14057</v>
      </c>
      <c r="Q9223" t="s">
        <v>2042</v>
      </c>
      <c r="R9223" t="s">
        <v>2633</v>
      </c>
      <c r="S9223">
        <v>37</v>
      </c>
      <c r="T9223" s="43" t="str">
        <f>HYPERLINK("https://ictv.global/ictv/proposals/2021.032M.R.Picobirnaviridae_sprename_genrename.zip","2021.032M.R.Picobirnaviridae_sprename_genrename.zip")</f>
        <v>2021.032M.R.Picobirnaviridae_sprename_genrename.zip</v>
      </c>
      <c r="U9223" s="43" t="str">
        <f>HYPERLINK("https://ictv.global/taxonomy/taxondetails?taxnode_id=202208648","ictv.global=202208648")</f>
        <v>ictv.global=202208648</v>
      </c>
    </row>
    <row r="9224" spans="1:21">
      <c r="A9224">
        <v>9223</v>
      </c>
      <c r="B9224" s="29" t="s">
        <v>3223</v>
      </c>
      <c r="C9224" s="29"/>
      <c r="D9224" s="29" t="s">
        <v>4156</v>
      </c>
      <c r="E9224" s="29"/>
      <c r="F9224" s="29" t="s">
        <v>4230</v>
      </c>
      <c r="G9224" s="29"/>
      <c r="H9224" s="29" t="s">
        <v>4231</v>
      </c>
      <c r="I9224" s="29"/>
      <c r="J9224" s="29" t="s">
        <v>4232</v>
      </c>
      <c r="K9224" s="29"/>
      <c r="L9224" s="29" t="s">
        <v>673</v>
      </c>
      <c r="M9224" s="29"/>
      <c r="N9224" s="29" t="s">
        <v>14056</v>
      </c>
      <c r="O9224" s="29"/>
      <c r="P9224" s="29" t="s">
        <v>14058</v>
      </c>
      <c r="Q9224" t="s">
        <v>2042</v>
      </c>
      <c r="R9224" t="s">
        <v>2633</v>
      </c>
      <c r="S9224">
        <v>37</v>
      </c>
      <c r="T9224" s="43" t="str">
        <f>HYPERLINK("https://ictv.global/ictv/proposals/2021.032M.R.Picobirnaviridae_sprename_genrename.zip","2021.032M.R.Picobirnaviridae_sprename_genrename.zip")</f>
        <v>2021.032M.R.Picobirnaviridae_sprename_genrename.zip</v>
      </c>
      <c r="U9224" s="43" t="str">
        <f>HYPERLINK("https://ictv.global/taxonomy/taxondetails?taxnode_id=202208647","ictv.global=202208647")</f>
        <v>ictv.global=202208647</v>
      </c>
    </row>
    <row r="9225" spans="1:21">
      <c r="A9225">
        <v>9224</v>
      </c>
      <c r="B9225" s="29" t="s">
        <v>3223</v>
      </c>
      <c r="C9225" s="29"/>
      <c r="D9225" s="29" t="s">
        <v>4156</v>
      </c>
      <c r="E9225" s="29"/>
      <c r="F9225" s="29" t="s">
        <v>4230</v>
      </c>
      <c r="G9225" s="29"/>
      <c r="H9225" s="29" t="s">
        <v>4231</v>
      </c>
      <c r="I9225" s="29"/>
      <c r="J9225" s="29" t="s">
        <v>4232</v>
      </c>
      <c r="K9225" s="29"/>
      <c r="L9225" s="29" t="s">
        <v>673</v>
      </c>
      <c r="M9225" s="29"/>
      <c r="N9225" s="29" t="s">
        <v>14056</v>
      </c>
      <c r="O9225" s="29"/>
      <c r="P9225" s="29" t="s">
        <v>14059</v>
      </c>
      <c r="Q9225" t="s">
        <v>2042</v>
      </c>
      <c r="R9225" t="s">
        <v>2633</v>
      </c>
      <c r="S9225">
        <v>37</v>
      </c>
      <c r="T9225" s="43" t="str">
        <f>HYPERLINK("https://ictv.global/ictv/proposals/2021.032M.R.Picobirnaviridae_sprename_genrename.zip","2021.032M.R.Picobirnaviridae_sprename_genrename.zip")</f>
        <v>2021.032M.R.Picobirnaviridae_sprename_genrename.zip</v>
      </c>
      <c r="U9225" s="43" t="str">
        <f>HYPERLINK("https://ictv.global/taxonomy/taxondetails?taxnode_id=202204334","ictv.global=202204334")</f>
        <v>ictv.global=202204334</v>
      </c>
    </row>
    <row r="9226" spans="1:21">
      <c r="A9226">
        <v>9225</v>
      </c>
      <c r="B9226" s="29" t="s">
        <v>3223</v>
      </c>
      <c r="C9226" s="29"/>
      <c r="D9226" s="29" t="s">
        <v>4156</v>
      </c>
      <c r="E9226" s="29"/>
      <c r="F9226" s="29" t="s">
        <v>4230</v>
      </c>
      <c r="G9226" s="29"/>
      <c r="H9226" s="29" t="s">
        <v>4233</v>
      </c>
      <c r="I9226" s="29"/>
      <c r="J9226" s="29" t="s">
        <v>1065</v>
      </c>
      <c r="K9226" s="29" t="s">
        <v>3046</v>
      </c>
      <c r="L9226" s="29" t="s">
        <v>3047</v>
      </c>
      <c r="M9226" s="29" t="s">
        <v>3048</v>
      </c>
      <c r="N9226" s="29" t="s">
        <v>3049</v>
      </c>
      <c r="O9226" s="29" t="s">
        <v>3050</v>
      </c>
      <c r="P9226" s="29" t="s">
        <v>3051</v>
      </c>
      <c r="Q9226" t="s">
        <v>2040</v>
      </c>
      <c r="R9226" t="s">
        <v>6901</v>
      </c>
      <c r="S9226">
        <v>36</v>
      </c>
      <c r="T9226" s="43" t="str">
        <f t="shared" ref="T9226:T9231" si="399">HYPERLINK("https://ictv.global/ictv/proposals/2020.001G.R.Abolish_type_species.pdf","2020.001G.R.Abolish_type_species.pdf")</f>
        <v>2020.001G.R.Abolish_type_species.pdf</v>
      </c>
      <c r="U9226" s="43" t="str">
        <f>HYPERLINK("https://ictv.global/taxonomy/taxondetails?taxnode_id=202206200","ictv.global=202206200")</f>
        <v>ictv.global=202206200</v>
      </c>
    </row>
    <row r="9227" spans="1:21">
      <c r="A9227">
        <v>9226</v>
      </c>
      <c r="B9227" s="29" t="s">
        <v>3223</v>
      </c>
      <c r="C9227" s="29"/>
      <c r="D9227" s="29" t="s">
        <v>4156</v>
      </c>
      <c r="E9227" s="29"/>
      <c r="F9227" s="29" t="s">
        <v>4230</v>
      </c>
      <c r="G9227" s="29"/>
      <c r="H9227" s="29" t="s">
        <v>4233</v>
      </c>
      <c r="I9227" s="29"/>
      <c r="J9227" s="29" t="s">
        <v>1065</v>
      </c>
      <c r="K9227" s="29" t="s">
        <v>3052</v>
      </c>
      <c r="L9227" s="29" t="s">
        <v>1066</v>
      </c>
      <c r="M9227" s="29" t="s">
        <v>3053</v>
      </c>
      <c r="N9227" s="29" t="s">
        <v>3054</v>
      </c>
      <c r="O9227" s="29"/>
      <c r="P9227" s="29" t="s">
        <v>3055</v>
      </c>
      <c r="Q9227" t="s">
        <v>2040</v>
      </c>
      <c r="R9227" t="s">
        <v>6901</v>
      </c>
      <c r="S9227">
        <v>36</v>
      </c>
      <c r="T9227" s="43" t="str">
        <f t="shared" si="399"/>
        <v>2020.001G.R.Abolish_type_species.pdf</v>
      </c>
      <c r="U9227" s="43" t="str">
        <f>HYPERLINK("https://ictv.global/taxonomy/taxondetails?taxnode_id=202206015","ictv.global=202206015")</f>
        <v>ictv.global=202206015</v>
      </c>
    </row>
    <row r="9228" spans="1:21">
      <c r="A9228">
        <v>9227</v>
      </c>
      <c r="B9228" s="29" t="s">
        <v>3223</v>
      </c>
      <c r="C9228" s="29"/>
      <c r="D9228" s="29" t="s">
        <v>4156</v>
      </c>
      <c r="E9228" s="29"/>
      <c r="F9228" s="29" t="s">
        <v>4230</v>
      </c>
      <c r="G9228" s="29"/>
      <c r="H9228" s="29" t="s">
        <v>4233</v>
      </c>
      <c r="I9228" s="29"/>
      <c r="J9228" s="29" t="s">
        <v>1065</v>
      </c>
      <c r="K9228" s="29" t="s">
        <v>3052</v>
      </c>
      <c r="L9228" s="29" t="s">
        <v>1066</v>
      </c>
      <c r="M9228" s="29" t="s">
        <v>3056</v>
      </c>
      <c r="N9228" s="29" t="s">
        <v>3057</v>
      </c>
      <c r="O9228" s="29"/>
      <c r="P9228" s="29" t="s">
        <v>3058</v>
      </c>
      <c r="Q9228" t="s">
        <v>2040</v>
      </c>
      <c r="R9228" t="s">
        <v>6901</v>
      </c>
      <c r="S9228">
        <v>36</v>
      </c>
      <c r="T9228" s="43" t="str">
        <f t="shared" si="399"/>
        <v>2020.001G.R.Abolish_type_species.pdf</v>
      </c>
      <c r="U9228" s="43" t="str">
        <f>HYPERLINK("https://ictv.global/taxonomy/taxondetails?taxnode_id=202201827","ictv.global=202201827")</f>
        <v>ictv.global=202201827</v>
      </c>
    </row>
    <row r="9229" spans="1:21">
      <c r="A9229">
        <v>9228</v>
      </c>
      <c r="B9229" s="29" t="s">
        <v>3223</v>
      </c>
      <c r="C9229" s="29"/>
      <c r="D9229" s="29" t="s">
        <v>4156</v>
      </c>
      <c r="E9229" s="29"/>
      <c r="F9229" s="29" t="s">
        <v>4230</v>
      </c>
      <c r="G9229" s="29"/>
      <c r="H9229" s="29" t="s">
        <v>4233</v>
      </c>
      <c r="I9229" s="29"/>
      <c r="J9229" s="29" t="s">
        <v>1065</v>
      </c>
      <c r="K9229" s="29" t="s">
        <v>3052</v>
      </c>
      <c r="L9229" s="29" t="s">
        <v>1066</v>
      </c>
      <c r="M9229" s="29" t="s">
        <v>3059</v>
      </c>
      <c r="N9229" s="29" t="s">
        <v>3060</v>
      </c>
      <c r="O9229" s="29"/>
      <c r="P9229" s="29" t="s">
        <v>3061</v>
      </c>
      <c r="Q9229" t="s">
        <v>2040</v>
      </c>
      <c r="R9229" t="s">
        <v>6901</v>
      </c>
      <c r="S9229">
        <v>36</v>
      </c>
      <c r="T9229" s="43" t="str">
        <f t="shared" si="399"/>
        <v>2020.001G.R.Abolish_type_species.pdf</v>
      </c>
      <c r="U9229" s="43" t="str">
        <f>HYPERLINK("https://ictv.global/taxonomy/taxondetails?taxnode_id=202201829","ictv.global=202201829")</f>
        <v>ictv.global=202201829</v>
      </c>
    </row>
    <row r="9230" spans="1:21">
      <c r="A9230">
        <v>9229</v>
      </c>
      <c r="B9230" s="29" t="s">
        <v>3223</v>
      </c>
      <c r="C9230" s="29"/>
      <c r="D9230" s="29" t="s">
        <v>4156</v>
      </c>
      <c r="E9230" s="29"/>
      <c r="F9230" s="29" t="s">
        <v>4230</v>
      </c>
      <c r="G9230" s="29"/>
      <c r="H9230" s="29" t="s">
        <v>4233</v>
      </c>
      <c r="I9230" s="29"/>
      <c r="J9230" s="29" t="s">
        <v>1065</v>
      </c>
      <c r="K9230" s="29" t="s">
        <v>3052</v>
      </c>
      <c r="L9230" s="29" t="s">
        <v>1066</v>
      </c>
      <c r="M9230" s="29" t="s">
        <v>3062</v>
      </c>
      <c r="N9230" s="29" t="s">
        <v>3063</v>
      </c>
      <c r="O9230" s="29" t="s">
        <v>3064</v>
      </c>
      <c r="P9230" s="29" t="s">
        <v>3065</v>
      </c>
      <c r="Q9230" t="s">
        <v>2040</v>
      </c>
      <c r="R9230" t="s">
        <v>6901</v>
      </c>
      <c r="S9230">
        <v>36</v>
      </c>
      <c r="T9230" s="43" t="str">
        <f t="shared" si="399"/>
        <v>2020.001G.R.Abolish_type_species.pdf</v>
      </c>
      <c r="U9230" s="43" t="str">
        <f>HYPERLINK("https://ictv.global/taxonomy/taxondetails?taxnode_id=202201845","ictv.global=202201845")</f>
        <v>ictv.global=202201845</v>
      </c>
    </row>
    <row r="9231" spans="1:21">
      <c r="A9231">
        <v>9230</v>
      </c>
      <c r="B9231" s="29" t="s">
        <v>3223</v>
      </c>
      <c r="C9231" s="29"/>
      <c r="D9231" s="29" t="s">
        <v>4156</v>
      </c>
      <c r="E9231" s="29"/>
      <c r="F9231" s="29" t="s">
        <v>4230</v>
      </c>
      <c r="G9231" s="29"/>
      <c r="H9231" s="29" t="s">
        <v>4233</v>
      </c>
      <c r="I9231" s="29"/>
      <c r="J9231" s="29" t="s">
        <v>1065</v>
      </c>
      <c r="K9231" s="29" t="s">
        <v>3052</v>
      </c>
      <c r="L9231" s="29" t="s">
        <v>1066</v>
      </c>
      <c r="M9231" s="29" t="s">
        <v>3062</v>
      </c>
      <c r="N9231" s="29" t="s">
        <v>3066</v>
      </c>
      <c r="O9231" s="29" t="s">
        <v>3067</v>
      </c>
      <c r="P9231" s="29" t="s">
        <v>3068</v>
      </c>
      <c r="Q9231" t="s">
        <v>2040</v>
      </c>
      <c r="R9231" t="s">
        <v>6901</v>
      </c>
      <c r="S9231">
        <v>36</v>
      </c>
      <c r="T9231" s="43" t="str">
        <f t="shared" si="399"/>
        <v>2020.001G.R.Abolish_type_species.pdf</v>
      </c>
      <c r="U9231" s="43" t="str">
        <f>HYPERLINK("https://ictv.global/taxonomy/taxondetails?taxnode_id=202201844","ictv.global=202201844")</f>
        <v>ictv.global=202201844</v>
      </c>
    </row>
    <row r="9232" spans="1:21">
      <c r="A9232">
        <v>9231</v>
      </c>
      <c r="B9232" s="29" t="s">
        <v>3223</v>
      </c>
      <c r="C9232" s="29"/>
      <c r="D9232" s="29" t="s">
        <v>4156</v>
      </c>
      <c r="E9232" s="29"/>
      <c r="F9232" s="29" t="s">
        <v>4230</v>
      </c>
      <c r="G9232" s="29"/>
      <c r="H9232" s="29" t="s">
        <v>4233</v>
      </c>
      <c r="I9232" s="29"/>
      <c r="J9232" s="29" t="s">
        <v>1065</v>
      </c>
      <c r="K9232" s="29" t="s">
        <v>3052</v>
      </c>
      <c r="L9232" s="29" t="s">
        <v>1066</v>
      </c>
      <c r="M9232" s="29" t="s">
        <v>3062</v>
      </c>
      <c r="N9232" s="29" t="s">
        <v>3066</v>
      </c>
      <c r="O9232" s="29" t="s">
        <v>3067</v>
      </c>
      <c r="P9232" s="29" t="s">
        <v>3069</v>
      </c>
      <c r="Q9232" t="s">
        <v>2040</v>
      </c>
      <c r="R9232" t="s">
        <v>2634</v>
      </c>
      <c r="S9232">
        <v>35</v>
      </c>
      <c r="T9232" s="43" t="str">
        <f>HYPERLINK("https://ictv.global/ictv/proposals/2019.006G.zip","2019.006G.zip")</f>
        <v>2019.006G.zip</v>
      </c>
      <c r="U9232" s="43" t="str">
        <f>HYPERLINK("https://ictv.global/taxonomy/taxondetails?taxnode_id=202201837","ictv.global=202201837")</f>
        <v>ictv.global=202201837</v>
      </c>
    </row>
    <row r="9233" spans="1:21">
      <c r="A9233">
        <v>9232</v>
      </c>
      <c r="B9233" s="29" t="s">
        <v>3223</v>
      </c>
      <c r="C9233" s="29"/>
      <c r="D9233" s="29" t="s">
        <v>4156</v>
      </c>
      <c r="E9233" s="29"/>
      <c r="F9233" s="29" t="s">
        <v>4230</v>
      </c>
      <c r="G9233" s="29"/>
      <c r="H9233" s="29" t="s">
        <v>4233</v>
      </c>
      <c r="I9233" s="29"/>
      <c r="J9233" s="29" t="s">
        <v>1065</v>
      </c>
      <c r="K9233" s="29" t="s">
        <v>3052</v>
      </c>
      <c r="L9233" s="29" t="s">
        <v>1066</v>
      </c>
      <c r="M9233" s="29" t="s">
        <v>3062</v>
      </c>
      <c r="N9233" s="29" t="s">
        <v>3066</v>
      </c>
      <c r="O9233" s="29" t="s">
        <v>3067</v>
      </c>
      <c r="P9233" s="29" t="s">
        <v>3070</v>
      </c>
      <c r="Q9233" t="s">
        <v>2040</v>
      </c>
      <c r="R9233" t="s">
        <v>2634</v>
      </c>
      <c r="S9233">
        <v>35</v>
      </c>
      <c r="T9233" s="43" t="str">
        <f>HYPERLINK("https://ictv.global/ictv/proposals/2019.006G.zip","2019.006G.zip")</f>
        <v>2019.006G.zip</v>
      </c>
      <c r="U9233" s="43" t="str">
        <f>HYPERLINK("https://ictv.global/taxonomy/taxondetails?taxnode_id=202206098","ictv.global=202206098")</f>
        <v>ictv.global=202206098</v>
      </c>
    </row>
    <row r="9234" spans="1:21">
      <c r="A9234">
        <v>9233</v>
      </c>
      <c r="B9234" s="29" t="s">
        <v>3223</v>
      </c>
      <c r="C9234" s="29"/>
      <c r="D9234" s="29" t="s">
        <v>4156</v>
      </c>
      <c r="E9234" s="29"/>
      <c r="F9234" s="29" t="s">
        <v>4230</v>
      </c>
      <c r="G9234" s="29"/>
      <c r="H9234" s="29" t="s">
        <v>4233</v>
      </c>
      <c r="I9234" s="29"/>
      <c r="J9234" s="29" t="s">
        <v>1065</v>
      </c>
      <c r="K9234" s="29" t="s">
        <v>3052</v>
      </c>
      <c r="L9234" s="29" t="s">
        <v>1066</v>
      </c>
      <c r="M9234" s="29" t="s">
        <v>3062</v>
      </c>
      <c r="N9234" s="29" t="s">
        <v>3071</v>
      </c>
      <c r="O9234" s="29"/>
      <c r="P9234" s="29" t="s">
        <v>3072</v>
      </c>
      <c r="Q9234" t="s">
        <v>2040</v>
      </c>
      <c r="R9234" t="s">
        <v>6901</v>
      </c>
      <c r="S9234">
        <v>36</v>
      </c>
      <c r="T9234" s="43" t="str">
        <f>HYPERLINK("https://ictv.global/ictv/proposals/2020.001G.R.Abolish_type_species.pdf","2020.001G.R.Abolish_type_species.pdf")</f>
        <v>2020.001G.R.Abolish_type_species.pdf</v>
      </c>
      <c r="U9234" s="43" t="str">
        <f>HYPERLINK("https://ictv.global/taxonomy/taxondetails?taxnode_id=202201840","ictv.global=202201840")</f>
        <v>ictv.global=202201840</v>
      </c>
    </row>
    <row r="9235" spans="1:21">
      <c r="A9235">
        <v>9234</v>
      </c>
      <c r="B9235" s="29" t="s">
        <v>3223</v>
      </c>
      <c r="C9235" s="29"/>
      <c r="D9235" s="29" t="s">
        <v>4156</v>
      </c>
      <c r="E9235" s="29"/>
      <c r="F9235" s="29" t="s">
        <v>4230</v>
      </c>
      <c r="G9235" s="29"/>
      <c r="H9235" s="29" t="s">
        <v>4233</v>
      </c>
      <c r="I9235" s="29"/>
      <c r="J9235" s="29" t="s">
        <v>1065</v>
      </c>
      <c r="K9235" s="29" t="s">
        <v>3052</v>
      </c>
      <c r="L9235" s="29" t="s">
        <v>1066</v>
      </c>
      <c r="M9235" s="29" t="s">
        <v>3062</v>
      </c>
      <c r="N9235" s="29" t="s">
        <v>3073</v>
      </c>
      <c r="O9235" s="29" t="s">
        <v>3083</v>
      </c>
      <c r="P9235" s="29" t="s">
        <v>3084</v>
      </c>
      <c r="Q9235" t="s">
        <v>2040</v>
      </c>
      <c r="R9235" t="s">
        <v>2634</v>
      </c>
      <c r="S9235">
        <v>35</v>
      </c>
      <c r="T9235" s="43" t="str">
        <f>HYPERLINK("https://ictv.global/ictv/proposals/2019.006G.zip","2019.006G.zip")</f>
        <v>2019.006G.zip</v>
      </c>
      <c r="U9235" s="43" t="str">
        <f>HYPERLINK("https://ictv.global/taxonomy/taxondetails?taxnode_id=202201836","ictv.global=202201836")</f>
        <v>ictv.global=202201836</v>
      </c>
    </row>
    <row r="9236" spans="1:21">
      <c r="A9236">
        <v>9235</v>
      </c>
      <c r="B9236" s="29" t="s">
        <v>3223</v>
      </c>
      <c r="C9236" s="29"/>
      <c r="D9236" s="29" t="s">
        <v>4156</v>
      </c>
      <c r="E9236" s="29"/>
      <c r="F9236" s="29" t="s">
        <v>4230</v>
      </c>
      <c r="G9236" s="29"/>
      <c r="H9236" s="29" t="s">
        <v>4233</v>
      </c>
      <c r="I9236" s="29"/>
      <c r="J9236" s="29" t="s">
        <v>1065</v>
      </c>
      <c r="K9236" s="29" t="s">
        <v>3052</v>
      </c>
      <c r="L9236" s="29" t="s">
        <v>1066</v>
      </c>
      <c r="M9236" s="29" t="s">
        <v>3062</v>
      </c>
      <c r="N9236" s="29" t="s">
        <v>3073</v>
      </c>
      <c r="O9236" s="29" t="s">
        <v>3074</v>
      </c>
      <c r="P9236" s="29" t="s">
        <v>3075</v>
      </c>
      <c r="Q9236" t="s">
        <v>2040</v>
      </c>
      <c r="R9236" t="s">
        <v>6901</v>
      </c>
      <c r="S9236">
        <v>36</v>
      </c>
      <c r="T9236" s="43" t="str">
        <f>HYPERLINK("https://ictv.global/ictv/proposals/2020.001G.R.Abolish_type_species.pdf","2020.001G.R.Abolish_type_species.pdf")</f>
        <v>2020.001G.R.Abolish_type_species.pdf</v>
      </c>
      <c r="U9236" s="43" t="str">
        <f>HYPERLINK("https://ictv.global/taxonomy/taxondetails?taxnode_id=202201841","ictv.global=202201841")</f>
        <v>ictv.global=202201841</v>
      </c>
    </row>
    <row r="9237" spans="1:21">
      <c r="A9237">
        <v>9236</v>
      </c>
      <c r="B9237" s="29" t="s">
        <v>3223</v>
      </c>
      <c r="C9237" s="29"/>
      <c r="D9237" s="29" t="s">
        <v>4156</v>
      </c>
      <c r="E9237" s="29"/>
      <c r="F9237" s="29" t="s">
        <v>4230</v>
      </c>
      <c r="G9237" s="29"/>
      <c r="H9237" s="29" t="s">
        <v>4233</v>
      </c>
      <c r="I9237" s="29"/>
      <c r="J9237" s="29" t="s">
        <v>1065</v>
      </c>
      <c r="K9237" s="29" t="s">
        <v>3052</v>
      </c>
      <c r="L9237" s="29" t="s">
        <v>1066</v>
      </c>
      <c r="M9237" s="29" t="s">
        <v>3062</v>
      </c>
      <c r="N9237" s="29" t="s">
        <v>3073</v>
      </c>
      <c r="O9237" s="29" t="s">
        <v>6688</v>
      </c>
      <c r="P9237" s="29" t="s">
        <v>4234</v>
      </c>
      <c r="Q9237" t="s">
        <v>2040</v>
      </c>
      <c r="R9237" t="s">
        <v>2634</v>
      </c>
      <c r="S9237">
        <v>36</v>
      </c>
      <c r="T9237" s="43" t="str">
        <f>HYPERLINK("https://ictv.global/ictv/proposals/2020.014S.R.Arteriviridae_corr.zip","2020.014S.R.Arteriviridae_corr.zip")</f>
        <v>2020.014S.R.Arteriviridae_corr.zip</v>
      </c>
      <c r="U9237" s="43" t="str">
        <f>HYPERLINK("https://ictv.global/taxonomy/taxondetails?taxnode_id=202201843","ictv.global=202201843")</f>
        <v>ictv.global=202201843</v>
      </c>
    </row>
    <row r="9238" spans="1:21">
      <c r="A9238">
        <v>9237</v>
      </c>
      <c r="B9238" s="29" t="s">
        <v>3223</v>
      </c>
      <c r="C9238" s="29"/>
      <c r="D9238" s="29" t="s">
        <v>4156</v>
      </c>
      <c r="E9238" s="29"/>
      <c r="F9238" s="29" t="s">
        <v>4230</v>
      </c>
      <c r="G9238" s="29"/>
      <c r="H9238" s="29" t="s">
        <v>4233</v>
      </c>
      <c r="I9238" s="29"/>
      <c r="J9238" s="29" t="s">
        <v>1065</v>
      </c>
      <c r="K9238" s="29" t="s">
        <v>3052</v>
      </c>
      <c r="L9238" s="29" t="s">
        <v>1066</v>
      </c>
      <c r="M9238" s="29" t="s">
        <v>3062</v>
      </c>
      <c r="N9238" s="29" t="s">
        <v>3076</v>
      </c>
      <c r="O9238" s="29" t="s">
        <v>3085</v>
      </c>
      <c r="P9238" s="29" t="s">
        <v>3086</v>
      </c>
      <c r="Q9238" t="s">
        <v>2040</v>
      </c>
      <c r="R9238" t="s">
        <v>2634</v>
      </c>
      <c r="S9238">
        <v>35</v>
      </c>
      <c r="T9238" s="43" t="str">
        <f>HYPERLINK("https://ictv.global/ictv/proposals/2019.006G.zip","2019.006G.zip")</f>
        <v>2019.006G.zip</v>
      </c>
      <c r="U9238" s="43" t="str">
        <f>HYPERLINK("https://ictv.global/taxonomy/taxondetails?taxnode_id=202201838","ictv.global=202201838")</f>
        <v>ictv.global=202201838</v>
      </c>
    </row>
    <row r="9239" spans="1:21">
      <c r="A9239">
        <v>9238</v>
      </c>
      <c r="B9239" s="29" t="s">
        <v>3223</v>
      </c>
      <c r="C9239" s="29"/>
      <c r="D9239" s="29" t="s">
        <v>4156</v>
      </c>
      <c r="E9239" s="29"/>
      <c r="F9239" s="29" t="s">
        <v>4230</v>
      </c>
      <c r="G9239" s="29"/>
      <c r="H9239" s="29" t="s">
        <v>4233</v>
      </c>
      <c r="I9239" s="29"/>
      <c r="J9239" s="29" t="s">
        <v>1065</v>
      </c>
      <c r="K9239" s="29" t="s">
        <v>3052</v>
      </c>
      <c r="L9239" s="29" t="s">
        <v>1066</v>
      </c>
      <c r="M9239" s="29" t="s">
        <v>3062</v>
      </c>
      <c r="N9239" s="29" t="s">
        <v>3076</v>
      </c>
      <c r="O9239" s="29" t="s">
        <v>3077</v>
      </c>
      <c r="P9239" s="29" t="s">
        <v>3078</v>
      </c>
      <c r="Q9239" t="s">
        <v>2040</v>
      </c>
      <c r="R9239" t="s">
        <v>6901</v>
      </c>
      <c r="S9239">
        <v>36</v>
      </c>
      <c r="T9239" s="43" t="str">
        <f>HYPERLINK("https://ictv.global/ictv/proposals/2020.001G.R.Abolish_type_species.pdf","2020.001G.R.Abolish_type_species.pdf")</f>
        <v>2020.001G.R.Abolish_type_species.pdf</v>
      </c>
      <c r="U9239" s="43" t="str">
        <f>HYPERLINK("https://ictv.global/taxonomy/taxondetails?taxnode_id=202201842","ictv.global=202201842")</f>
        <v>ictv.global=202201842</v>
      </c>
    </row>
    <row r="9240" spans="1:21">
      <c r="A9240">
        <v>9239</v>
      </c>
      <c r="B9240" s="29" t="s">
        <v>3223</v>
      </c>
      <c r="C9240" s="29"/>
      <c r="D9240" s="29" t="s">
        <v>4156</v>
      </c>
      <c r="E9240" s="29"/>
      <c r="F9240" s="29" t="s">
        <v>4230</v>
      </c>
      <c r="G9240" s="29"/>
      <c r="H9240" s="29" t="s">
        <v>4233</v>
      </c>
      <c r="I9240" s="29"/>
      <c r="J9240" s="29" t="s">
        <v>1065</v>
      </c>
      <c r="K9240" s="29" t="s">
        <v>3052</v>
      </c>
      <c r="L9240" s="29" t="s">
        <v>1066</v>
      </c>
      <c r="M9240" s="29" t="s">
        <v>3062</v>
      </c>
      <c r="N9240" s="29" t="s">
        <v>3092</v>
      </c>
      <c r="O9240" s="29"/>
      <c r="P9240" s="29" t="s">
        <v>3093</v>
      </c>
      <c r="Q9240" t="s">
        <v>2040</v>
      </c>
      <c r="R9240" t="s">
        <v>6901</v>
      </c>
      <c r="S9240">
        <v>36</v>
      </c>
      <c r="T9240" s="43" t="str">
        <f>HYPERLINK("https://ictv.global/ictv/proposals/2020.001G.R.Abolish_type_species.pdf","2020.001G.R.Abolish_type_species.pdf")</f>
        <v>2020.001G.R.Abolish_type_species.pdf</v>
      </c>
      <c r="U9240" s="43" t="str">
        <f>HYPERLINK("https://ictv.global/taxonomy/taxondetails?taxnode_id=202201839","ictv.global=202201839")</f>
        <v>ictv.global=202201839</v>
      </c>
    </row>
    <row r="9241" spans="1:21">
      <c r="A9241">
        <v>9240</v>
      </c>
      <c r="B9241" s="29" t="s">
        <v>3223</v>
      </c>
      <c r="C9241" s="29"/>
      <c r="D9241" s="29" t="s">
        <v>4156</v>
      </c>
      <c r="E9241" s="29"/>
      <c r="F9241" s="29" t="s">
        <v>4230</v>
      </c>
      <c r="G9241" s="29"/>
      <c r="H9241" s="29" t="s">
        <v>4233</v>
      </c>
      <c r="I9241" s="29"/>
      <c r="J9241" s="29" t="s">
        <v>1065</v>
      </c>
      <c r="K9241" s="29" t="s">
        <v>3052</v>
      </c>
      <c r="L9241" s="29" t="s">
        <v>1066</v>
      </c>
      <c r="M9241" s="29" t="s">
        <v>3079</v>
      </c>
      <c r="N9241" s="29" t="s">
        <v>3080</v>
      </c>
      <c r="O9241" s="29" t="s">
        <v>3081</v>
      </c>
      <c r="P9241" s="29" t="s">
        <v>3082</v>
      </c>
      <c r="Q9241" t="s">
        <v>2040</v>
      </c>
      <c r="R9241" t="s">
        <v>2634</v>
      </c>
      <c r="S9241">
        <v>35</v>
      </c>
      <c r="T9241" s="43" t="str">
        <f>HYPERLINK("https://ictv.global/ictv/proposals/2019.006G.zip","2019.006G.zip")</f>
        <v>2019.006G.zip</v>
      </c>
      <c r="U9241" s="43" t="str">
        <f>HYPERLINK("https://ictv.global/taxonomy/taxondetails?taxnode_id=202201833","ictv.global=202201833")</f>
        <v>ictv.global=202201833</v>
      </c>
    </row>
    <row r="9242" spans="1:21">
      <c r="A9242">
        <v>9241</v>
      </c>
      <c r="B9242" s="29" t="s">
        <v>3223</v>
      </c>
      <c r="C9242" s="29"/>
      <c r="D9242" s="29" t="s">
        <v>4156</v>
      </c>
      <c r="E9242" s="29"/>
      <c r="F9242" s="29" t="s">
        <v>4230</v>
      </c>
      <c r="G9242" s="29"/>
      <c r="H9242" s="29" t="s">
        <v>4233</v>
      </c>
      <c r="I9242" s="29"/>
      <c r="J9242" s="29" t="s">
        <v>1065</v>
      </c>
      <c r="K9242" s="29" t="s">
        <v>3052</v>
      </c>
      <c r="L9242" s="29" t="s">
        <v>1066</v>
      </c>
      <c r="M9242" s="29" t="s">
        <v>3079</v>
      </c>
      <c r="N9242" s="29" t="s">
        <v>3080</v>
      </c>
      <c r="O9242" s="29" t="s">
        <v>3099</v>
      </c>
      <c r="P9242" s="29" t="s">
        <v>3100</v>
      </c>
      <c r="Q9242" t="s">
        <v>2040</v>
      </c>
      <c r="R9242" t="s">
        <v>2634</v>
      </c>
      <c r="S9242">
        <v>35</v>
      </c>
      <c r="T9242" s="43" t="str">
        <f>HYPERLINK("https://ictv.global/ictv/proposals/2019.006G.zip","2019.006G.zip")</f>
        <v>2019.006G.zip</v>
      </c>
      <c r="U9242" s="43" t="str">
        <f>HYPERLINK("https://ictv.global/taxonomy/taxondetails?taxnode_id=202201834","ictv.global=202201834")</f>
        <v>ictv.global=202201834</v>
      </c>
    </row>
    <row r="9243" spans="1:21">
      <c r="A9243">
        <v>9242</v>
      </c>
      <c r="B9243" s="29" t="s">
        <v>3223</v>
      </c>
      <c r="C9243" s="29"/>
      <c r="D9243" s="29" t="s">
        <v>4156</v>
      </c>
      <c r="E9243" s="29"/>
      <c r="F9243" s="29" t="s">
        <v>4230</v>
      </c>
      <c r="G9243" s="29"/>
      <c r="H9243" s="29" t="s">
        <v>4233</v>
      </c>
      <c r="I9243" s="29"/>
      <c r="J9243" s="29" t="s">
        <v>1065</v>
      </c>
      <c r="K9243" s="29" t="s">
        <v>3052</v>
      </c>
      <c r="L9243" s="29" t="s">
        <v>1066</v>
      </c>
      <c r="M9243" s="29" t="s">
        <v>3079</v>
      </c>
      <c r="N9243" s="29" t="s">
        <v>3080</v>
      </c>
      <c r="O9243" s="29" t="s">
        <v>3099</v>
      </c>
      <c r="P9243" s="29" t="s">
        <v>3101</v>
      </c>
      <c r="Q9243" t="s">
        <v>2040</v>
      </c>
      <c r="R9243" t="s">
        <v>2634</v>
      </c>
      <c r="S9243">
        <v>35</v>
      </c>
      <c r="T9243" s="43" t="str">
        <f>HYPERLINK("https://ictv.global/ictv/proposals/2019.006G.zip","2019.006G.zip")</f>
        <v>2019.006G.zip</v>
      </c>
      <c r="U9243" s="43" t="str">
        <f>HYPERLINK("https://ictv.global/taxonomy/taxondetails?taxnode_id=202206090","ictv.global=202206090")</f>
        <v>ictv.global=202206090</v>
      </c>
    </row>
    <row r="9244" spans="1:21">
      <c r="A9244">
        <v>9243</v>
      </c>
      <c r="B9244" s="29" t="s">
        <v>3223</v>
      </c>
      <c r="C9244" s="29"/>
      <c r="D9244" s="29" t="s">
        <v>4156</v>
      </c>
      <c r="E9244" s="29"/>
      <c r="F9244" s="29" t="s">
        <v>4230</v>
      </c>
      <c r="G9244" s="29"/>
      <c r="H9244" s="29" t="s">
        <v>4233</v>
      </c>
      <c r="I9244" s="29"/>
      <c r="J9244" s="29" t="s">
        <v>1065</v>
      </c>
      <c r="K9244" s="29" t="s">
        <v>3052</v>
      </c>
      <c r="L9244" s="29" t="s">
        <v>1066</v>
      </c>
      <c r="M9244" s="29" t="s">
        <v>3079</v>
      </c>
      <c r="N9244" s="29" t="s">
        <v>3080</v>
      </c>
      <c r="O9244" s="29" t="s">
        <v>3099</v>
      </c>
      <c r="P9244" s="29" t="s">
        <v>4235</v>
      </c>
      <c r="Q9244" t="s">
        <v>2040</v>
      </c>
      <c r="R9244" t="s">
        <v>2632</v>
      </c>
      <c r="S9244">
        <v>35</v>
      </c>
      <c r="T9244" s="43" t="str">
        <f>HYPERLINK("https://ictv.global/ictv/proposals/2019.020S-023S.zip","2019.020S-023S.zip")</f>
        <v>2019.020S-023S.zip</v>
      </c>
      <c r="U9244" s="43" t="str">
        <f>HYPERLINK("https://ictv.global/taxonomy/taxondetails?taxnode_id=202207464","ictv.global=202207464")</f>
        <v>ictv.global=202207464</v>
      </c>
    </row>
    <row r="9245" spans="1:21">
      <c r="A9245">
        <v>9244</v>
      </c>
      <c r="B9245" s="29" t="s">
        <v>3223</v>
      </c>
      <c r="C9245" s="29"/>
      <c r="D9245" s="29" t="s">
        <v>4156</v>
      </c>
      <c r="E9245" s="29"/>
      <c r="F9245" s="29" t="s">
        <v>4230</v>
      </c>
      <c r="G9245" s="29"/>
      <c r="H9245" s="29" t="s">
        <v>4233</v>
      </c>
      <c r="I9245" s="29"/>
      <c r="J9245" s="29" t="s">
        <v>1065</v>
      </c>
      <c r="K9245" s="29" t="s">
        <v>3052</v>
      </c>
      <c r="L9245" s="29" t="s">
        <v>1066</v>
      </c>
      <c r="M9245" s="29" t="s">
        <v>3079</v>
      </c>
      <c r="N9245" s="29" t="s">
        <v>3080</v>
      </c>
      <c r="O9245" s="29" t="s">
        <v>3102</v>
      </c>
      <c r="P9245" s="29" t="s">
        <v>3103</v>
      </c>
      <c r="Q9245" t="s">
        <v>2040</v>
      </c>
      <c r="R9245" t="s">
        <v>6901</v>
      </c>
      <c r="S9245">
        <v>36</v>
      </c>
      <c r="T9245" s="43" t="str">
        <f>HYPERLINK("https://ictv.global/ictv/proposals/2020.001G.R.Abolish_type_species.pdf","2020.001G.R.Abolish_type_species.pdf")</f>
        <v>2020.001G.R.Abolish_type_species.pdf</v>
      </c>
      <c r="U9245" s="43" t="str">
        <f>HYPERLINK("https://ictv.global/taxonomy/taxondetails?taxnode_id=202201832","ictv.global=202201832")</f>
        <v>ictv.global=202201832</v>
      </c>
    </row>
    <row r="9246" spans="1:21">
      <c r="A9246">
        <v>9245</v>
      </c>
      <c r="B9246" s="29" t="s">
        <v>3223</v>
      </c>
      <c r="C9246" s="29"/>
      <c r="D9246" s="29" t="s">
        <v>4156</v>
      </c>
      <c r="E9246" s="29"/>
      <c r="F9246" s="29" t="s">
        <v>4230</v>
      </c>
      <c r="G9246" s="29"/>
      <c r="H9246" s="29" t="s">
        <v>4233</v>
      </c>
      <c r="I9246" s="29"/>
      <c r="J9246" s="29" t="s">
        <v>1065</v>
      </c>
      <c r="K9246" s="29" t="s">
        <v>3052</v>
      </c>
      <c r="L9246" s="29" t="s">
        <v>1066</v>
      </c>
      <c r="M9246" s="29" t="s">
        <v>3079</v>
      </c>
      <c r="N9246" s="29" t="s">
        <v>3080</v>
      </c>
      <c r="O9246" s="29" t="s">
        <v>6689</v>
      </c>
      <c r="P9246" s="29" t="s">
        <v>4236</v>
      </c>
      <c r="Q9246" t="s">
        <v>2040</v>
      </c>
      <c r="R9246" t="s">
        <v>2634</v>
      </c>
      <c r="S9246">
        <v>36</v>
      </c>
      <c r="T9246" s="43" t="str">
        <f>HYPERLINK("https://ictv.global/ictv/proposals/2020.014S.R.Arteriviridae_corr.zip","2020.014S.R.Arteriviridae_corr.zip")</f>
        <v>2020.014S.R.Arteriviridae_corr.zip</v>
      </c>
      <c r="U9246" s="43" t="str">
        <f>HYPERLINK("https://ictv.global/taxonomy/taxondetails?taxnode_id=202207466","ictv.global=202207466")</f>
        <v>ictv.global=202207466</v>
      </c>
    </row>
    <row r="9247" spans="1:21">
      <c r="A9247">
        <v>9246</v>
      </c>
      <c r="B9247" s="29" t="s">
        <v>3223</v>
      </c>
      <c r="C9247" s="29"/>
      <c r="D9247" s="29" t="s">
        <v>4156</v>
      </c>
      <c r="E9247" s="29"/>
      <c r="F9247" s="29" t="s">
        <v>4230</v>
      </c>
      <c r="G9247" s="29"/>
      <c r="H9247" s="29" t="s">
        <v>4233</v>
      </c>
      <c r="I9247" s="29"/>
      <c r="J9247" s="29" t="s">
        <v>1065</v>
      </c>
      <c r="K9247" s="29" t="s">
        <v>3052</v>
      </c>
      <c r="L9247" s="29" t="s">
        <v>1066</v>
      </c>
      <c r="M9247" s="29" t="s">
        <v>3079</v>
      </c>
      <c r="N9247" s="29" t="s">
        <v>3087</v>
      </c>
      <c r="O9247" s="29"/>
      <c r="P9247" s="29" t="s">
        <v>3088</v>
      </c>
      <c r="Q9247" t="s">
        <v>2040</v>
      </c>
      <c r="R9247" t="s">
        <v>6901</v>
      </c>
      <c r="S9247">
        <v>36</v>
      </c>
      <c r="T9247" s="43" t="str">
        <f>HYPERLINK("https://ictv.global/ictv/proposals/2020.001G.R.Abolish_type_species.pdf","2020.001G.R.Abolish_type_species.pdf")</f>
        <v>2020.001G.R.Abolish_type_species.pdf</v>
      </c>
      <c r="U9247" s="43" t="str">
        <f>HYPERLINK("https://ictv.global/taxonomy/taxondetails?taxnode_id=202201831","ictv.global=202201831")</f>
        <v>ictv.global=202201831</v>
      </c>
    </row>
    <row r="9248" spans="1:21">
      <c r="A9248">
        <v>9247</v>
      </c>
      <c r="B9248" s="29" t="s">
        <v>3223</v>
      </c>
      <c r="C9248" s="29"/>
      <c r="D9248" s="29" t="s">
        <v>4156</v>
      </c>
      <c r="E9248" s="29"/>
      <c r="F9248" s="29" t="s">
        <v>4230</v>
      </c>
      <c r="G9248" s="29"/>
      <c r="H9248" s="29" t="s">
        <v>4233</v>
      </c>
      <c r="I9248" s="29"/>
      <c r="J9248" s="29" t="s">
        <v>1065</v>
      </c>
      <c r="K9248" s="29" t="s">
        <v>3052</v>
      </c>
      <c r="L9248" s="29" t="s">
        <v>1066</v>
      </c>
      <c r="M9248" s="29" t="s">
        <v>3079</v>
      </c>
      <c r="N9248" s="29" t="s">
        <v>4237</v>
      </c>
      <c r="O9248" s="29"/>
      <c r="P9248" s="29" t="s">
        <v>4238</v>
      </c>
      <c r="Q9248" t="s">
        <v>2040</v>
      </c>
      <c r="R9248" t="s">
        <v>6901</v>
      </c>
      <c r="S9248">
        <v>36</v>
      </c>
      <c r="T9248" s="43" t="str">
        <f>HYPERLINK("https://ictv.global/ictv/proposals/2020.001G.R.Abolish_type_species.pdf","2020.001G.R.Abolish_type_species.pdf")</f>
        <v>2020.001G.R.Abolish_type_species.pdf</v>
      </c>
      <c r="U9248" s="43" t="str">
        <f>HYPERLINK("https://ictv.global/taxonomy/taxondetails?taxnode_id=202207468","ictv.global=202207468")</f>
        <v>ictv.global=202207468</v>
      </c>
    </row>
    <row r="9249" spans="1:21">
      <c r="A9249">
        <v>9248</v>
      </c>
      <c r="B9249" s="29" t="s">
        <v>3223</v>
      </c>
      <c r="C9249" s="29"/>
      <c r="D9249" s="29" t="s">
        <v>4156</v>
      </c>
      <c r="E9249" s="29"/>
      <c r="F9249" s="29" t="s">
        <v>4230</v>
      </c>
      <c r="G9249" s="29"/>
      <c r="H9249" s="29" t="s">
        <v>4233</v>
      </c>
      <c r="I9249" s="29"/>
      <c r="J9249" s="29" t="s">
        <v>1065</v>
      </c>
      <c r="K9249" s="29" t="s">
        <v>3052</v>
      </c>
      <c r="L9249" s="29" t="s">
        <v>1066</v>
      </c>
      <c r="M9249" s="29" t="s">
        <v>3089</v>
      </c>
      <c r="N9249" s="29" t="s">
        <v>3090</v>
      </c>
      <c r="O9249" s="29"/>
      <c r="P9249" s="29" t="s">
        <v>3091</v>
      </c>
      <c r="Q9249" t="s">
        <v>2040</v>
      </c>
      <c r="R9249" t="s">
        <v>6901</v>
      </c>
      <c r="S9249">
        <v>36</v>
      </c>
      <c r="T9249" s="43" t="str">
        <f>HYPERLINK("https://ictv.global/ictv/proposals/2020.001G.R.Abolish_type_species.pdf","2020.001G.R.Abolish_type_species.pdf")</f>
        <v>2020.001G.R.Abolish_type_species.pdf</v>
      </c>
      <c r="U9249" s="43" t="str">
        <f>HYPERLINK("https://ictv.global/taxonomy/taxondetails?taxnode_id=202201825","ictv.global=202201825")</f>
        <v>ictv.global=202201825</v>
      </c>
    </row>
    <row r="9250" spans="1:21">
      <c r="A9250">
        <v>9249</v>
      </c>
      <c r="B9250" s="29" t="s">
        <v>3223</v>
      </c>
      <c r="C9250" s="29"/>
      <c r="D9250" s="29" t="s">
        <v>4156</v>
      </c>
      <c r="E9250" s="29"/>
      <c r="F9250" s="29" t="s">
        <v>4230</v>
      </c>
      <c r="G9250" s="29"/>
      <c r="H9250" s="29" t="s">
        <v>4233</v>
      </c>
      <c r="I9250" s="29"/>
      <c r="J9250" s="29" t="s">
        <v>1065</v>
      </c>
      <c r="K9250" s="29" t="s">
        <v>3052</v>
      </c>
      <c r="L9250" s="29" t="s">
        <v>4239</v>
      </c>
      <c r="M9250" s="29" t="s">
        <v>14060</v>
      </c>
      <c r="N9250" s="29" t="s">
        <v>14061</v>
      </c>
      <c r="O9250" s="29" t="s">
        <v>14062</v>
      </c>
      <c r="P9250" s="29" t="s">
        <v>14063</v>
      </c>
      <c r="Q9250" t="s">
        <v>2040</v>
      </c>
      <c r="R9250" t="s">
        <v>2632</v>
      </c>
      <c r="S9250">
        <v>37</v>
      </c>
      <c r="T9250" s="43" t="str">
        <f>HYPERLINK("https://ictv.global/ictv/proposals/2021.005S.R.Nidovirales.zip","2021.005S.R.Nidovirales.zip")</f>
        <v>2021.005S.R.Nidovirales.zip</v>
      </c>
      <c r="U9250" s="43" t="str">
        <f>HYPERLINK("https://ictv.global/taxonomy/taxondetails?taxnode_id=202213927","ictv.global=202213927")</f>
        <v>ictv.global=202213927</v>
      </c>
    </row>
    <row r="9251" spans="1:21">
      <c r="A9251">
        <v>9250</v>
      </c>
      <c r="B9251" s="29" t="s">
        <v>3223</v>
      </c>
      <c r="C9251" s="29"/>
      <c r="D9251" s="29" t="s">
        <v>4156</v>
      </c>
      <c r="E9251" s="29"/>
      <c r="F9251" s="29" t="s">
        <v>4230</v>
      </c>
      <c r="G9251" s="29"/>
      <c r="H9251" s="29" t="s">
        <v>4233</v>
      </c>
      <c r="I9251" s="29"/>
      <c r="J9251" s="29" t="s">
        <v>1065</v>
      </c>
      <c r="K9251" s="29" t="s">
        <v>3052</v>
      </c>
      <c r="L9251" s="29" t="s">
        <v>4239</v>
      </c>
      <c r="M9251" s="29" t="s">
        <v>4240</v>
      </c>
      <c r="N9251" s="29" t="s">
        <v>4241</v>
      </c>
      <c r="O9251" s="29"/>
      <c r="P9251" s="29" t="s">
        <v>4242</v>
      </c>
      <c r="Q9251" t="s">
        <v>2040</v>
      </c>
      <c r="R9251" t="s">
        <v>6901</v>
      </c>
      <c r="S9251">
        <v>36</v>
      </c>
      <c r="T9251" s="43" t="str">
        <f>HYPERLINK("https://ictv.global/ictv/proposals/2020.001G.R.Abolish_type_species.pdf","2020.001G.R.Abolish_type_species.pdf")</f>
        <v>2020.001G.R.Abolish_type_species.pdf</v>
      </c>
      <c r="U9251" s="43" t="str">
        <f>HYPERLINK("https://ictv.global/taxonomy/taxondetails?taxnode_id=202207480","ictv.global=202207480")</f>
        <v>ictv.global=202207480</v>
      </c>
    </row>
    <row r="9252" spans="1:21">
      <c r="A9252">
        <v>9251</v>
      </c>
      <c r="B9252" s="29" t="s">
        <v>3223</v>
      </c>
      <c r="C9252" s="29"/>
      <c r="D9252" s="29" t="s">
        <v>4156</v>
      </c>
      <c r="E9252" s="29"/>
      <c r="F9252" s="29" t="s">
        <v>4230</v>
      </c>
      <c r="G9252" s="29"/>
      <c r="H9252" s="29" t="s">
        <v>4233</v>
      </c>
      <c r="I9252" s="29"/>
      <c r="J9252" s="29" t="s">
        <v>1065</v>
      </c>
      <c r="K9252" s="29" t="s">
        <v>3052</v>
      </c>
      <c r="L9252" s="29" t="s">
        <v>4243</v>
      </c>
      <c r="M9252" s="29" t="s">
        <v>4244</v>
      </c>
      <c r="N9252" s="29" t="s">
        <v>4245</v>
      </c>
      <c r="O9252" s="29"/>
      <c r="P9252" s="29" t="s">
        <v>4246</v>
      </c>
      <c r="Q9252" t="s">
        <v>2040</v>
      </c>
      <c r="R9252" t="s">
        <v>6901</v>
      </c>
      <c r="S9252">
        <v>36</v>
      </c>
      <c r="T9252" s="43" t="str">
        <f>HYPERLINK("https://ictv.global/ictv/proposals/2020.001G.R.Abolish_type_species.pdf","2020.001G.R.Abolish_type_species.pdf")</f>
        <v>2020.001G.R.Abolish_type_species.pdf</v>
      </c>
      <c r="U9252" s="43" t="str">
        <f>HYPERLINK("https://ictv.global/taxonomy/taxondetails?taxnode_id=202207476","ictv.global=202207476")</f>
        <v>ictv.global=202207476</v>
      </c>
    </row>
    <row r="9253" spans="1:21">
      <c r="A9253">
        <v>9252</v>
      </c>
      <c r="B9253" s="29" t="s">
        <v>3223</v>
      </c>
      <c r="C9253" s="29"/>
      <c r="D9253" s="29" t="s">
        <v>4156</v>
      </c>
      <c r="E9253" s="29"/>
      <c r="F9253" s="29" t="s">
        <v>4230</v>
      </c>
      <c r="G9253" s="29"/>
      <c r="H9253" s="29" t="s">
        <v>4233</v>
      </c>
      <c r="I9253" s="29"/>
      <c r="J9253" s="29" t="s">
        <v>1065</v>
      </c>
      <c r="K9253" s="29" t="s">
        <v>3052</v>
      </c>
      <c r="L9253" s="29" t="s">
        <v>4247</v>
      </c>
      <c r="M9253" s="29" t="s">
        <v>4248</v>
      </c>
      <c r="N9253" s="29" t="s">
        <v>4249</v>
      </c>
      <c r="O9253" s="29"/>
      <c r="P9253" s="29" t="s">
        <v>4250</v>
      </c>
      <c r="Q9253" t="s">
        <v>2040</v>
      </c>
      <c r="R9253" t="s">
        <v>6901</v>
      </c>
      <c r="S9253">
        <v>36</v>
      </c>
      <c r="T9253" s="43" t="str">
        <f>HYPERLINK("https://ictv.global/ictv/proposals/2020.001G.R.Abolish_type_species.pdf","2020.001G.R.Abolish_type_species.pdf")</f>
        <v>2020.001G.R.Abolish_type_species.pdf</v>
      </c>
      <c r="U9253" s="43" t="str">
        <f>HYPERLINK("https://ictv.global/taxonomy/taxondetails?taxnode_id=202207472","ictv.global=202207472")</f>
        <v>ictv.global=202207472</v>
      </c>
    </row>
    <row r="9254" spans="1:21">
      <c r="A9254">
        <v>9253</v>
      </c>
      <c r="B9254" s="29" t="s">
        <v>3223</v>
      </c>
      <c r="C9254" s="29"/>
      <c r="D9254" s="29" t="s">
        <v>4156</v>
      </c>
      <c r="E9254" s="29"/>
      <c r="F9254" s="29" t="s">
        <v>4230</v>
      </c>
      <c r="G9254" s="29"/>
      <c r="H9254" s="29" t="s">
        <v>4233</v>
      </c>
      <c r="I9254" s="29"/>
      <c r="J9254" s="29" t="s">
        <v>1065</v>
      </c>
      <c r="K9254" s="29" t="s">
        <v>3094</v>
      </c>
      <c r="L9254" s="29" t="s">
        <v>1029</v>
      </c>
      <c r="M9254" s="29" t="s">
        <v>3095</v>
      </c>
      <c r="N9254" s="29" t="s">
        <v>3096</v>
      </c>
      <c r="O9254" s="29" t="s">
        <v>3097</v>
      </c>
      <c r="P9254" s="29" t="s">
        <v>3098</v>
      </c>
      <c r="Q9254" t="s">
        <v>2040</v>
      </c>
      <c r="R9254" t="s">
        <v>6901</v>
      </c>
      <c r="S9254">
        <v>36</v>
      </c>
      <c r="T9254" s="43" t="str">
        <f>HYPERLINK("https://ictv.global/ictv/proposals/2020.001G.R.Abolish_type_species.pdf","2020.001G.R.Abolish_type_species.pdf")</f>
        <v>2020.001G.R.Abolish_type_species.pdf</v>
      </c>
      <c r="U9254" s="43" t="str">
        <f>HYPERLINK("https://ictv.global/taxonomy/taxondetails?taxnode_id=202206140","ictv.global=202206140")</f>
        <v>ictv.global=202206140</v>
      </c>
    </row>
    <row r="9255" spans="1:21">
      <c r="A9255">
        <v>9254</v>
      </c>
      <c r="B9255" s="29" t="s">
        <v>3223</v>
      </c>
      <c r="C9255" s="29"/>
      <c r="D9255" s="29" t="s">
        <v>4156</v>
      </c>
      <c r="E9255" s="29"/>
      <c r="F9255" s="29" t="s">
        <v>4230</v>
      </c>
      <c r="G9255" s="29"/>
      <c r="H9255" s="29" t="s">
        <v>4233</v>
      </c>
      <c r="I9255" s="29"/>
      <c r="J9255" s="29" t="s">
        <v>1065</v>
      </c>
      <c r="K9255" s="29" t="s">
        <v>3094</v>
      </c>
      <c r="L9255" s="29" t="s">
        <v>1029</v>
      </c>
      <c r="M9255" s="29" t="s">
        <v>3104</v>
      </c>
      <c r="N9255" s="29" t="s">
        <v>1352</v>
      </c>
      <c r="O9255" s="29" t="s">
        <v>14064</v>
      </c>
      <c r="P9255" s="29" t="s">
        <v>14065</v>
      </c>
      <c r="Q9255" t="s">
        <v>2040</v>
      </c>
      <c r="R9255" t="s">
        <v>2632</v>
      </c>
      <c r="S9255">
        <v>37</v>
      </c>
      <c r="T9255" s="43" t="str">
        <f>HYPERLINK("https://ictv.global/ictv/proposals/2021.005S.R.Nidovirales.zip","2021.005S.R.Nidovirales.zip")</f>
        <v>2021.005S.R.Nidovirales.zip</v>
      </c>
      <c r="U9255" s="43" t="str">
        <f>HYPERLINK("https://ictv.global/taxonomy/taxondetails?taxnode_id=202213903","ictv.global=202213903")</f>
        <v>ictv.global=202213903</v>
      </c>
    </row>
    <row r="9256" spans="1:21">
      <c r="A9256">
        <v>9255</v>
      </c>
      <c r="B9256" s="29" t="s">
        <v>3223</v>
      </c>
      <c r="C9256" s="29"/>
      <c r="D9256" s="29" t="s">
        <v>4156</v>
      </c>
      <c r="E9256" s="29"/>
      <c r="F9256" s="29" t="s">
        <v>4230</v>
      </c>
      <c r="G9256" s="29"/>
      <c r="H9256" s="29" t="s">
        <v>4233</v>
      </c>
      <c r="I9256" s="29"/>
      <c r="J9256" s="29" t="s">
        <v>1065</v>
      </c>
      <c r="K9256" s="29" t="s">
        <v>3094</v>
      </c>
      <c r="L9256" s="29" t="s">
        <v>1029</v>
      </c>
      <c r="M9256" s="29" t="s">
        <v>3104</v>
      </c>
      <c r="N9256" s="29" t="s">
        <v>1352</v>
      </c>
      <c r="O9256" s="29" t="s">
        <v>3105</v>
      </c>
      <c r="P9256" s="29" t="s">
        <v>2142</v>
      </c>
      <c r="Q9256" t="s">
        <v>2040</v>
      </c>
      <c r="R9256" t="s">
        <v>2634</v>
      </c>
      <c r="S9256">
        <v>35</v>
      </c>
      <c r="T9256" s="43" t="str">
        <f>HYPERLINK("https://ictv.global/ictv/proposals/2019.006G.zip","2019.006G.zip")</f>
        <v>2019.006G.zip</v>
      </c>
      <c r="U9256" s="43" t="str">
        <f>HYPERLINK("https://ictv.global/taxonomy/taxondetails?taxnode_id=202201850","ictv.global=202201850")</f>
        <v>ictv.global=202201850</v>
      </c>
    </row>
    <row r="9257" spans="1:21">
      <c r="A9257">
        <v>9256</v>
      </c>
      <c r="B9257" s="29" t="s">
        <v>3223</v>
      </c>
      <c r="C9257" s="29"/>
      <c r="D9257" s="29" t="s">
        <v>4156</v>
      </c>
      <c r="E9257" s="29"/>
      <c r="F9257" s="29" t="s">
        <v>4230</v>
      </c>
      <c r="G9257" s="29"/>
      <c r="H9257" s="29" t="s">
        <v>4233</v>
      </c>
      <c r="I9257" s="29"/>
      <c r="J9257" s="29" t="s">
        <v>1065</v>
      </c>
      <c r="K9257" s="29" t="s">
        <v>3094</v>
      </c>
      <c r="L9257" s="29" t="s">
        <v>1029</v>
      </c>
      <c r="M9257" s="29" t="s">
        <v>3104</v>
      </c>
      <c r="N9257" s="29" t="s">
        <v>1352</v>
      </c>
      <c r="O9257" s="29" t="s">
        <v>3113</v>
      </c>
      <c r="P9257" s="29" t="s">
        <v>14066</v>
      </c>
      <c r="Q9257" t="s">
        <v>2040</v>
      </c>
      <c r="R9257" t="s">
        <v>2632</v>
      </c>
      <c r="S9257">
        <v>37</v>
      </c>
      <c r="T9257" s="43" t="str">
        <f>HYPERLINK("https://ictv.global/ictv/proposals/2021.005S.R.Nidovirales.zip","2021.005S.R.Nidovirales.zip")</f>
        <v>2021.005S.R.Nidovirales.zip</v>
      </c>
      <c r="U9257" s="43" t="str">
        <f>HYPERLINK("https://ictv.global/taxonomy/taxondetails?taxnode_id=202213898","ictv.global=202213898")</f>
        <v>ictv.global=202213898</v>
      </c>
    </row>
    <row r="9258" spans="1:21">
      <c r="A9258">
        <v>9257</v>
      </c>
      <c r="B9258" s="29" t="s">
        <v>3223</v>
      </c>
      <c r="C9258" s="29"/>
      <c r="D9258" s="29" t="s">
        <v>4156</v>
      </c>
      <c r="E9258" s="29"/>
      <c r="F9258" s="29" t="s">
        <v>4230</v>
      </c>
      <c r="G9258" s="29"/>
      <c r="H9258" s="29" t="s">
        <v>4233</v>
      </c>
      <c r="I9258" s="29"/>
      <c r="J9258" s="29" t="s">
        <v>1065</v>
      </c>
      <c r="K9258" s="29" t="s">
        <v>3094</v>
      </c>
      <c r="L9258" s="29" t="s">
        <v>1029</v>
      </c>
      <c r="M9258" s="29" t="s">
        <v>3104</v>
      </c>
      <c r="N9258" s="29" t="s">
        <v>1352</v>
      </c>
      <c r="O9258" s="29" t="s">
        <v>3113</v>
      </c>
      <c r="P9258" s="29" t="s">
        <v>14067</v>
      </c>
      <c r="Q9258" t="s">
        <v>2040</v>
      </c>
      <c r="R9258" t="s">
        <v>2632</v>
      </c>
      <c r="S9258">
        <v>37</v>
      </c>
      <c r="T9258" s="43" t="str">
        <f>HYPERLINK("https://ictv.global/ictv/proposals/2021.005S.R.Nidovirales.zip","2021.005S.R.Nidovirales.zip")</f>
        <v>2021.005S.R.Nidovirales.zip</v>
      </c>
      <c r="U9258" s="43" t="str">
        <f>HYPERLINK("https://ictv.global/taxonomy/taxondetails?taxnode_id=202213899","ictv.global=202213899")</f>
        <v>ictv.global=202213899</v>
      </c>
    </row>
    <row r="9259" spans="1:21">
      <c r="A9259">
        <v>9258</v>
      </c>
      <c r="B9259" s="29" t="s">
        <v>3223</v>
      </c>
      <c r="C9259" s="29"/>
      <c r="D9259" s="29" t="s">
        <v>4156</v>
      </c>
      <c r="E9259" s="29"/>
      <c r="F9259" s="29" t="s">
        <v>4230</v>
      </c>
      <c r="G9259" s="29"/>
      <c r="H9259" s="29" t="s">
        <v>4233</v>
      </c>
      <c r="I9259" s="29"/>
      <c r="J9259" s="29" t="s">
        <v>1065</v>
      </c>
      <c r="K9259" s="29" t="s">
        <v>3094</v>
      </c>
      <c r="L9259" s="29" t="s">
        <v>1029</v>
      </c>
      <c r="M9259" s="29" t="s">
        <v>3104</v>
      </c>
      <c r="N9259" s="29" t="s">
        <v>1352</v>
      </c>
      <c r="O9259" s="29" t="s">
        <v>3113</v>
      </c>
      <c r="P9259" s="29" t="s">
        <v>2143</v>
      </c>
      <c r="Q9259" t="s">
        <v>2040</v>
      </c>
      <c r="R9259" t="s">
        <v>2634</v>
      </c>
      <c r="S9259">
        <v>35</v>
      </c>
      <c r="T9259" s="43" t="str">
        <f>HYPERLINK("https://ictv.global/ictv/proposals/2019.006G.zip","2019.006G.zip")</f>
        <v>2019.006G.zip</v>
      </c>
      <c r="U9259" s="43" t="str">
        <f>HYPERLINK("https://ictv.global/taxonomy/taxondetails?taxnode_id=202201851","ictv.global=202201851")</f>
        <v>ictv.global=202201851</v>
      </c>
    </row>
    <row r="9260" spans="1:21">
      <c r="A9260">
        <v>9259</v>
      </c>
      <c r="B9260" s="29" t="s">
        <v>3223</v>
      </c>
      <c r="C9260" s="29"/>
      <c r="D9260" s="29" t="s">
        <v>4156</v>
      </c>
      <c r="E9260" s="29"/>
      <c r="F9260" s="29" t="s">
        <v>4230</v>
      </c>
      <c r="G9260" s="29"/>
      <c r="H9260" s="29" t="s">
        <v>4233</v>
      </c>
      <c r="I9260" s="29"/>
      <c r="J9260" s="29" t="s">
        <v>1065</v>
      </c>
      <c r="K9260" s="29" t="s">
        <v>3094</v>
      </c>
      <c r="L9260" s="29" t="s">
        <v>1029</v>
      </c>
      <c r="M9260" s="29" t="s">
        <v>3104</v>
      </c>
      <c r="N9260" s="29" t="s">
        <v>1352</v>
      </c>
      <c r="O9260" s="29" t="s">
        <v>3113</v>
      </c>
      <c r="P9260" s="29" t="s">
        <v>3114</v>
      </c>
      <c r="Q9260" t="s">
        <v>2040</v>
      </c>
      <c r="R9260" t="s">
        <v>2634</v>
      </c>
      <c r="S9260">
        <v>35</v>
      </c>
      <c r="T9260" s="43" t="str">
        <f>HYPERLINK("https://ictv.global/ictv/proposals/2019.006G.zip","2019.006G.zip")</f>
        <v>2019.006G.zip</v>
      </c>
      <c r="U9260" s="43" t="str">
        <f>HYPERLINK("https://ictv.global/taxonomy/taxondetails?taxnode_id=202206109","ictv.global=202206109")</f>
        <v>ictv.global=202206109</v>
      </c>
    </row>
    <row r="9261" spans="1:21">
      <c r="A9261">
        <v>9260</v>
      </c>
      <c r="B9261" s="29" t="s">
        <v>3223</v>
      </c>
      <c r="C9261" s="29"/>
      <c r="D9261" s="29" t="s">
        <v>4156</v>
      </c>
      <c r="E9261" s="29"/>
      <c r="F9261" s="29" t="s">
        <v>4230</v>
      </c>
      <c r="G9261" s="29"/>
      <c r="H9261" s="29" t="s">
        <v>4233</v>
      </c>
      <c r="I9261" s="29"/>
      <c r="J9261" s="29" t="s">
        <v>1065</v>
      </c>
      <c r="K9261" s="29" t="s">
        <v>3094</v>
      </c>
      <c r="L9261" s="29" t="s">
        <v>1029</v>
      </c>
      <c r="M9261" s="29" t="s">
        <v>3104</v>
      </c>
      <c r="N9261" s="29" t="s">
        <v>1352</v>
      </c>
      <c r="O9261" s="29" t="s">
        <v>3116</v>
      </c>
      <c r="P9261" s="29" t="s">
        <v>1030</v>
      </c>
      <c r="Q9261" t="s">
        <v>2040</v>
      </c>
      <c r="R9261" t="s">
        <v>2634</v>
      </c>
      <c r="S9261">
        <v>35</v>
      </c>
      <c r="T9261" s="43" t="str">
        <f>HYPERLINK("https://ictv.global/ictv/proposals/2019.006G.zip","2019.006G.zip")</f>
        <v>2019.006G.zip</v>
      </c>
      <c r="U9261" s="43" t="str">
        <f>HYPERLINK("https://ictv.global/taxonomy/taxondetails?taxnode_id=202201852","ictv.global=202201852")</f>
        <v>ictv.global=202201852</v>
      </c>
    </row>
    <row r="9262" spans="1:21">
      <c r="A9262">
        <v>9261</v>
      </c>
      <c r="B9262" s="29" t="s">
        <v>3223</v>
      </c>
      <c r="C9262" s="29"/>
      <c r="D9262" s="29" t="s">
        <v>4156</v>
      </c>
      <c r="E9262" s="29"/>
      <c r="F9262" s="29" t="s">
        <v>4230</v>
      </c>
      <c r="G9262" s="29"/>
      <c r="H9262" s="29" t="s">
        <v>4233</v>
      </c>
      <c r="I9262" s="29"/>
      <c r="J9262" s="29" t="s">
        <v>1065</v>
      </c>
      <c r="K9262" s="29" t="s">
        <v>3094</v>
      </c>
      <c r="L9262" s="29" t="s">
        <v>1029</v>
      </c>
      <c r="M9262" s="29" t="s">
        <v>3104</v>
      </c>
      <c r="N9262" s="29" t="s">
        <v>1352</v>
      </c>
      <c r="O9262" s="29" t="s">
        <v>3106</v>
      </c>
      <c r="P9262" s="29" t="s">
        <v>3107</v>
      </c>
      <c r="Q9262" t="s">
        <v>2040</v>
      </c>
      <c r="R9262" t="s">
        <v>2634</v>
      </c>
      <c r="S9262">
        <v>35</v>
      </c>
      <c r="T9262" s="43" t="str">
        <f>HYPERLINK("https://ictv.global/ictv/proposals/2019.006G.zip","2019.006G.zip")</f>
        <v>2019.006G.zip</v>
      </c>
      <c r="U9262" s="43" t="str">
        <f>HYPERLINK("https://ictv.global/taxonomy/taxondetails?taxnode_id=202206122","ictv.global=202206122")</f>
        <v>ictv.global=202206122</v>
      </c>
    </row>
    <row r="9263" spans="1:21">
      <c r="A9263">
        <v>9262</v>
      </c>
      <c r="B9263" s="29" t="s">
        <v>3223</v>
      </c>
      <c r="C9263" s="29"/>
      <c r="D9263" s="29" t="s">
        <v>4156</v>
      </c>
      <c r="E9263" s="29"/>
      <c r="F9263" s="29" t="s">
        <v>4230</v>
      </c>
      <c r="G9263" s="29"/>
      <c r="H9263" s="29" t="s">
        <v>4233</v>
      </c>
      <c r="I9263" s="29"/>
      <c r="J9263" s="29" t="s">
        <v>1065</v>
      </c>
      <c r="K9263" s="29" t="s">
        <v>3094</v>
      </c>
      <c r="L9263" s="29" t="s">
        <v>1029</v>
      </c>
      <c r="M9263" s="29" t="s">
        <v>3104</v>
      </c>
      <c r="N9263" s="29" t="s">
        <v>1352</v>
      </c>
      <c r="O9263" s="29" t="s">
        <v>3108</v>
      </c>
      <c r="P9263" s="29" t="s">
        <v>2144</v>
      </c>
      <c r="Q9263" t="s">
        <v>2040</v>
      </c>
      <c r="R9263" t="s">
        <v>2634</v>
      </c>
      <c r="S9263">
        <v>35</v>
      </c>
      <c r="T9263" s="43" t="str">
        <f>HYPERLINK("https://ictv.global/ictv/proposals/2019.020S-023S.zip","2019.020S-023S.zip")</f>
        <v>2019.020S-023S.zip</v>
      </c>
      <c r="U9263" s="43" t="str">
        <f>HYPERLINK("https://ictv.global/taxonomy/taxondetails?taxnode_id=202201856","ictv.global=202201856")</f>
        <v>ictv.global=202201856</v>
      </c>
    </row>
    <row r="9264" spans="1:21">
      <c r="A9264">
        <v>9263</v>
      </c>
      <c r="B9264" s="29" t="s">
        <v>3223</v>
      </c>
      <c r="C9264" s="29"/>
      <c r="D9264" s="29" t="s">
        <v>4156</v>
      </c>
      <c r="E9264" s="29"/>
      <c r="F9264" s="29" t="s">
        <v>4230</v>
      </c>
      <c r="G9264" s="29"/>
      <c r="H9264" s="29" t="s">
        <v>4233</v>
      </c>
      <c r="I9264" s="29"/>
      <c r="J9264" s="29" t="s">
        <v>1065</v>
      </c>
      <c r="K9264" s="29" t="s">
        <v>3094</v>
      </c>
      <c r="L9264" s="29" t="s">
        <v>1029</v>
      </c>
      <c r="M9264" s="29" t="s">
        <v>3104</v>
      </c>
      <c r="N9264" s="29" t="s">
        <v>1352</v>
      </c>
      <c r="O9264" s="29" t="s">
        <v>3120</v>
      </c>
      <c r="P9264" s="29" t="s">
        <v>469</v>
      </c>
      <c r="Q9264" t="s">
        <v>2040</v>
      </c>
      <c r="R9264" t="s">
        <v>2634</v>
      </c>
      <c r="S9264">
        <v>35</v>
      </c>
      <c r="T9264" s="43" t="str">
        <f>HYPERLINK("https://ictv.global/ictv/proposals/2019.006G.zip","2019.006G.zip")</f>
        <v>2019.006G.zip</v>
      </c>
      <c r="U9264" s="43" t="str">
        <f>HYPERLINK("https://ictv.global/taxonomy/taxondetails?taxnode_id=202201854","ictv.global=202201854")</f>
        <v>ictv.global=202201854</v>
      </c>
    </row>
    <row r="9265" spans="1:21">
      <c r="A9265">
        <v>9264</v>
      </c>
      <c r="B9265" s="29" t="s">
        <v>3223</v>
      </c>
      <c r="C9265" s="29"/>
      <c r="D9265" s="29" t="s">
        <v>4156</v>
      </c>
      <c r="E9265" s="29"/>
      <c r="F9265" s="29" t="s">
        <v>4230</v>
      </c>
      <c r="G9265" s="29"/>
      <c r="H9265" s="29" t="s">
        <v>4233</v>
      </c>
      <c r="I9265" s="29"/>
      <c r="J9265" s="29" t="s">
        <v>1065</v>
      </c>
      <c r="K9265" s="29" t="s">
        <v>3094</v>
      </c>
      <c r="L9265" s="29" t="s">
        <v>1029</v>
      </c>
      <c r="M9265" s="29" t="s">
        <v>3104</v>
      </c>
      <c r="N9265" s="29" t="s">
        <v>1352</v>
      </c>
      <c r="O9265" s="29" t="s">
        <v>3120</v>
      </c>
      <c r="P9265" s="29" t="s">
        <v>470</v>
      </c>
      <c r="Q9265" t="s">
        <v>2040</v>
      </c>
      <c r="R9265" t="s">
        <v>2634</v>
      </c>
      <c r="S9265">
        <v>35</v>
      </c>
      <c r="T9265" s="43" t="str">
        <f>HYPERLINK("https://ictv.global/ictv/proposals/2019.006G.zip","2019.006G.zip")</f>
        <v>2019.006G.zip</v>
      </c>
      <c r="U9265" s="43" t="str">
        <f>HYPERLINK("https://ictv.global/taxonomy/taxondetails?taxnode_id=202201855","ictv.global=202201855")</f>
        <v>ictv.global=202201855</v>
      </c>
    </row>
    <row r="9266" spans="1:21">
      <c r="A9266">
        <v>9265</v>
      </c>
      <c r="B9266" s="29" t="s">
        <v>3223</v>
      </c>
      <c r="C9266" s="29"/>
      <c r="D9266" s="29" t="s">
        <v>4156</v>
      </c>
      <c r="E9266" s="29"/>
      <c r="F9266" s="29" t="s">
        <v>4230</v>
      </c>
      <c r="G9266" s="29"/>
      <c r="H9266" s="29" t="s">
        <v>4233</v>
      </c>
      <c r="I9266" s="29"/>
      <c r="J9266" s="29" t="s">
        <v>1065</v>
      </c>
      <c r="K9266" s="29" t="s">
        <v>3094</v>
      </c>
      <c r="L9266" s="29" t="s">
        <v>1029</v>
      </c>
      <c r="M9266" s="29" t="s">
        <v>3104</v>
      </c>
      <c r="N9266" s="29" t="s">
        <v>1352</v>
      </c>
      <c r="O9266" s="29" t="s">
        <v>3109</v>
      </c>
      <c r="P9266" s="29" t="s">
        <v>3110</v>
      </c>
      <c r="Q9266" t="s">
        <v>2040</v>
      </c>
      <c r="R9266" t="s">
        <v>2634</v>
      </c>
      <c r="S9266">
        <v>35</v>
      </c>
      <c r="T9266" s="43" t="str">
        <f>HYPERLINK("https://ictv.global/ictv/proposals/2019.006G.zip","2019.006G.zip")</f>
        <v>2019.006G.zip</v>
      </c>
      <c r="U9266" s="43" t="str">
        <f>HYPERLINK("https://ictv.global/taxonomy/taxondetails?taxnode_id=202206119","ictv.global=202206119")</f>
        <v>ictv.global=202206119</v>
      </c>
    </row>
    <row r="9267" spans="1:21">
      <c r="A9267">
        <v>9266</v>
      </c>
      <c r="B9267" s="29" t="s">
        <v>3223</v>
      </c>
      <c r="C9267" s="29"/>
      <c r="D9267" s="29" t="s">
        <v>4156</v>
      </c>
      <c r="E9267" s="29"/>
      <c r="F9267" s="29" t="s">
        <v>4230</v>
      </c>
      <c r="G9267" s="29"/>
      <c r="H9267" s="29" t="s">
        <v>4233</v>
      </c>
      <c r="I9267" s="29"/>
      <c r="J9267" s="29" t="s">
        <v>1065</v>
      </c>
      <c r="K9267" s="29" t="s">
        <v>3094</v>
      </c>
      <c r="L9267" s="29" t="s">
        <v>1029</v>
      </c>
      <c r="M9267" s="29" t="s">
        <v>3104</v>
      </c>
      <c r="N9267" s="29" t="s">
        <v>1352</v>
      </c>
      <c r="O9267" s="29" t="s">
        <v>3111</v>
      </c>
      <c r="P9267" s="29" t="s">
        <v>14068</v>
      </c>
      <c r="Q9267" t="s">
        <v>2040</v>
      </c>
      <c r="R9267" t="s">
        <v>2632</v>
      </c>
      <c r="S9267">
        <v>37</v>
      </c>
      <c r="T9267" s="43" t="str">
        <f>HYPERLINK("https://ictv.global/ictv/proposals/2021.005S.R.Nidovirales.zip","2021.005S.R.Nidovirales.zip")</f>
        <v>2021.005S.R.Nidovirales.zip</v>
      </c>
      <c r="U9267" s="43" t="str">
        <f>HYPERLINK("https://ictv.global/taxonomy/taxondetails?taxnode_id=202213901","ictv.global=202213901")</f>
        <v>ictv.global=202213901</v>
      </c>
    </row>
    <row r="9268" spans="1:21">
      <c r="A9268">
        <v>9267</v>
      </c>
      <c r="B9268" s="29" t="s">
        <v>3223</v>
      </c>
      <c r="C9268" s="29"/>
      <c r="D9268" s="29" t="s">
        <v>4156</v>
      </c>
      <c r="E9268" s="29"/>
      <c r="F9268" s="29" t="s">
        <v>4230</v>
      </c>
      <c r="G9268" s="29"/>
      <c r="H9268" s="29" t="s">
        <v>4233</v>
      </c>
      <c r="I9268" s="29"/>
      <c r="J9268" s="29" t="s">
        <v>1065</v>
      </c>
      <c r="K9268" s="29" t="s">
        <v>3094</v>
      </c>
      <c r="L9268" s="29" t="s">
        <v>1029</v>
      </c>
      <c r="M9268" s="29" t="s">
        <v>3104</v>
      </c>
      <c r="N9268" s="29" t="s">
        <v>1352</v>
      </c>
      <c r="O9268" s="29" t="s">
        <v>3111</v>
      </c>
      <c r="P9268" s="29" t="s">
        <v>14069</v>
      </c>
      <c r="Q9268" t="s">
        <v>2040</v>
      </c>
      <c r="R9268" t="s">
        <v>2632</v>
      </c>
      <c r="S9268">
        <v>37</v>
      </c>
      <c r="T9268" s="43" t="str">
        <f>HYPERLINK("https://ictv.global/ictv/proposals/2021.005S.R.Nidovirales.zip","2021.005S.R.Nidovirales.zip")</f>
        <v>2021.005S.R.Nidovirales.zip</v>
      </c>
      <c r="U9268" s="43" t="str">
        <f>HYPERLINK("https://ictv.global/taxonomy/taxondetails?taxnode_id=202213900","ictv.global=202213900")</f>
        <v>ictv.global=202213900</v>
      </c>
    </row>
    <row r="9269" spans="1:21">
      <c r="A9269">
        <v>9268</v>
      </c>
      <c r="B9269" s="29" t="s">
        <v>3223</v>
      </c>
      <c r="C9269" s="29"/>
      <c r="D9269" s="29" t="s">
        <v>4156</v>
      </c>
      <c r="E9269" s="29"/>
      <c r="F9269" s="29" t="s">
        <v>4230</v>
      </c>
      <c r="G9269" s="29"/>
      <c r="H9269" s="29" t="s">
        <v>4233</v>
      </c>
      <c r="I9269" s="29"/>
      <c r="J9269" s="29" t="s">
        <v>1065</v>
      </c>
      <c r="K9269" s="29" t="s">
        <v>3094</v>
      </c>
      <c r="L9269" s="29" t="s">
        <v>1029</v>
      </c>
      <c r="M9269" s="29" t="s">
        <v>3104</v>
      </c>
      <c r="N9269" s="29" t="s">
        <v>1352</v>
      </c>
      <c r="O9269" s="29" t="s">
        <v>3111</v>
      </c>
      <c r="P9269" s="29" t="s">
        <v>3112</v>
      </c>
      <c r="Q9269" t="s">
        <v>2040</v>
      </c>
      <c r="R9269" t="s">
        <v>2634</v>
      </c>
      <c r="S9269">
        <v>35</v>
      </c>
      <c r="T9269" s="43" t="str">
        <f>HYPERLINK("https://ictv.global/ictv/proposals/2019.006G.zip","2019.006G.zip")</f>
        <v>2019.006G.zip</v>
      </c>
      <c r="U9269" s="43" t="str">
        <f>HYPERLINK("https://ictv.global/taxonomy/taxondetails?taxnode_id=202206120","ictv.global=202206120")</f>
        <v>ictv.global=202206120</v>
      </c>
    </row>
    <row r="9270" spans="1:21">
      <c r="A9270">
        <v>9269</v>
      </c>
      <c r="B9270" s="29" t="s">
        <v>3223</v>
      </c>
      <c r="C9270" s="29"/>
      <c r="D9270" s="29" t="s">
        <v>4156</v>
      </c>
      <c r="E9270" s="29"/>
      <c r="F9270" s="29" t="s">
        <v>4230</v>
      </c>
      <c r="G9270" s="29"/>
      <c r="H9270" s="29" t="s">
        <v>4233</v>
      </c>
      <c r="I9270" s="29"/>
      <c r="J9270" s="29" t="s">
        <v>1065</v>
      </c>
      <c r="K9270" s="29" t="s">
        <v>3094</v>
      </c>
      <c r="L9270" s="29" t="s">
        <v>1029</v>
      </c>
      <c r="M9270" s="29" t="s">
        <v>3104</v>
      </c>
      <c r="N9270" s="29" t="s">
        <v>1352</v>
      </c>
      <c r="O9270" s="29" t="s">
        <v>3111</v>
      </c>
      <c r="P9270" s="29" t="s">
        <v>4251</v>
      </c>
      <c r="Q9270" t="s">
        <v>2040</v>
      </c>
      <c r="R9270" t="s">
        <v>2632</v>
      </c>
      <c r="S9270">
        <v>35</v>
      </c>
      <c r="T9270" s="43" t="str">
        <f>HYPERLINK("https://ictv.global/ictv/proposals/2019.020S-023S.zip","2019.020S-023S.zip")</f>
        <v>2019.020S-023S.zip</v>
      </c>
      <c r="U9270" s="43" t="str">
        <f>HYPERLINK("https://ictv.global/taxonomy/taxondetails?taxnode_id=202207490","ictv.global=202207490")</f>
        <v>ictv.global=202207490</v>
      </c>
    </row>
    <row r="9271" spans="1:21">
      <c r="A9271">
        <v>9270</v>
      </c>
      <c r="B9271" s="29" t="s">
        <v>3223</v>
      </c>
      <c r="C9271" s="29"/>
      <c r="D9271" s="29" t="s">
        <v>4156</v>
      </c>
      <c r="E9271" s="29"/>
      <c r="F9271" s="29" t="s">
        <v>4230</v>
      </c>
      <c r="G9271" s="29"/>
      <c r="H9271" s="29" t="s">
        <v>4233</v>
      </c>
      <c r="I9271" s="29"/>
      <c r="J9271" s="29" t="s">
        <v>1065</v>
      </c>
      <c r="K9271" s="29" t="s">
        <v>3094</v>
      </c>
      <c r="L9271" s="29" t="s">
        <v>1029</v>
      </c>
      <c r="M9271" s="29" t="s">
        <v>3104</v>
      </c>
      <c r="N9271" s="29" t="s">
        <v>1352</v>
      </c>
      <c r="O9271" s="29" t="s">
        <v>3115</v>
      </c>
      <c r="P9271" s="29" t="s">
        <v>14070</v>
      </c>
      <c r="Q9271" t="s">
        <v>2040</v>
      </c>
      <c r="R9271" t="s">
        <v>2632</v>
      </c>
      <c r="S9271">
        <v>37</v>
      </c>
      <c r="T9271" s="43" t="str">
        <f>HYPERLINK("https://ictv.global/ictv/proposals/2021.005S.R.Nidovirales.zip","2021.005S.R.Nidovirales.zip")</f>
        <v>2021.005S.R.Nidovirales.zip</v>
      </c>
      <c r="U9271" s="43" t="str">
        <f>HYPERLINK("https://ictv.global/taxonomy/taxondetails?taxnode_id=202213897","ictv.global=202213897")</f>
        <v>ictv.global=202213897</v>
      </c>
    </row>
    <row r="9272" spans="1:21">
      <c r="A9272">
        <v>9271</v>
      </c>
      <c r="B9272" s="29" t="s">
        <v>3223</v>
      </c>
      <c r="C9272" s="29"/>
      <c r="D9272" s="29" t="s">
        <v>4156</v>
      </c>
      <c r="E9272" s="29"/>
      <c r="F9272" s="29" t="s">
        <v>4230</v>
      </c>
      <c r="G9272" s="29"/>
      <c r="H9272" s="29" t="s">
        <v>4233</v>
      </c>
      <c r="I9272" s="29"/>
      <c r="J9272" s="29" t="s">
        <v>1065</v>
      </c>
      <c r="K9272" s="29" t="s">
        <v>3094</v>
      </c>
      <c r="L9272" s="29" t="s">
        <v>1029</v>
      </c>
      <c r="M9272" s="29" t="s">
        <v>3104</v>
      </c>
      <c r="N9272" s="29" t="s">
        <v>1352</v>
      </c>
      <c r="O9272" s="29" t="s">
        <v>3115</v>
      </c>
      <c r="P9272" s="29" t="s">
        <v>14071</v>
      </c>
      <c r="Q9272" t="s">
        <v>2040</v>
      </c>
      <c r="R9272" t="s">
        <v>2632</v>
      </c>
      <c r="S9272">
        <v>37</v>
      </c>
      <c r="T9272" s="43" t="str">
        <f>HYPERLINK("https://ictv.global/ictv/proposals/2021.005S.R.Nidovirales.zip","2021.005S.R.Nidovirales.zip")</f>
        <v>2021.005S.R.Nidovirales.zip</v>
      </c>
      <c r="U9272" s="43" t="str">
        <f>HYPERLINK("https://ictv.global/taxonomy/taxondetails?taxnode_id=202213896","ictv.global=202213896")</f>
        <v>ictv.global=202213896</v>
      </c>
    </row>
    <row r="9273" spans="1:21">
      <c r="A9273">
        <v>9272</v>
      </c>
      <c r="B9273" s="29" t="s">
        <v>3223</v>
      </c>
      <c r="C9273" s="29"/>
      <c r="D9273" s="29" t="s">
        <v>4156</v>
      </c>
      <c r="E9273" s="29"/>
      <c r="F9273" s="29" t="s">
        <v>4230</v>
      </c>
      <c r="G9273" s="29"/>
      <c r="H9273" s="29" t="s">
        <v>4233</v>
      </c>
      <c r="I9273" s="29"/>
      <c r="J9273" s="29" t="s">
        <v>1065</v>
      </c>
      <c r="K9273" s="29" t="s">
        <v>3094</v>
      </c>
      <c r="L9273" s="29" t="s">
        <v>1029</v>
      </c>
      <c r="M9273" s="29" t="s">
        <v>3104</v>
      </c>
      <c r="N9273" s="29" t="s">
        <v>1352</v>
      </c>
      <c r="O9273" s="29" t="s">
        <v>3115</v>
      </c>
      <c r="P9273" s="29" t="s">
        <v>800</v>
      </c>
      <c r="Q9273" t="s">
        <v>2040</v>
      </c>
      <c r="R9273" t="s">
        <v>2634</v>
      </c>
      <c r="S9273">
        <v>35</v>
      </c>
      <c r="T9273" s="43" t="str">
        <f>HYPERLINK("https://ictv.global/ictv/proposals/2019.006G.zip","2019.006G.zip")</f>
        <v>2019.006G.zip</v>
      </c>
      <c r="U9273" s="43" t="str">
        <f>HYPERLINK("https://ictv.global/taxonomy/taxondetails?taxnode_id=202201857","ictv.global=202201857")</f>
        <v>ictv.global=202201857</v>
      </c>
    </row>
    <row r="9274" spans="1:21">
      <c r="A9274">
        <v>9273</v>
      </c>
      <c r="B9274" s="29" t="s">
        <v>3223</v>
      </c>
      <c r="C9274" s="29"/>
      <c r="D9274" s="29" t="s">
        <v>4156</v>
      </c>
      <c r="E9274" s="29"/>
      <c r="F9274" s="29" t="s">
        <v>4230</v>
      </c>
      <c r="G9274" s="29"/>
      <c r="H9274" s="29" t="s">
        <v>4233</v>
      </c>
      <c r="I9274" s="29"/>
      <c r="J9274" s="29" t="s">
        <v>1065</v>
      </c>
      <c r="K9274" s="29" t="s">
        <v>3094</v>
      </c>
      <c r="L9274" s="29" t="s">
        <v>1029</v>
      </c>
      <c r="M9274" s="29" t="s">
        <v>3104</v>
      </c>
      <c r="N9274" s="29" t="s">
        <v>1352</v>
      </c>
      <c r="O9274" s="29" t="s">
        <v>3115</v>
      </c>
      <c r="P9274" s="29" t="s">
        <v>472</v>
      </c>
      <c r="Q9274" t="s">
        <v>2040</v>
      </c>
      <c r="R9274" t="s">
        <v>2634</v>
      </c>
      <c r="S9274">
        <v>35</v>
      </c>
      <c r="T9274" s="43" t="str">
        <f>HYPERLINK("https://ictv.global/ictv/proposals/2019.006G.zip","2019.006G.zip")</f>
        <v>2019.006G.zip</v>
      </c>
      <c r="U9274" s="43" t="str">
        <f>HYPERLINK("https://ictv.global/taxonomy/taxondetails?taxnode_id=202201859","ictv.global=202201859")</f>
        <v>ictv.global=202201859</v>
      </c>
    </row>
    <row r="9275" spans="1:21">
      <c r="A9275">
        <v>9274</v>
      </c>
      <c r="B9275" s="29" t="s">
        <v>3223</v>
      </c>
      <c r="C9275" s="29"/>
      <c r="D9275" s="29" t="s">
        <v>4156</v>
      </c>
      <c r="E9275" s="29"/>
      <c r="F9275" s="29" t="s">
        <v>4230</v>
      </c>
      <c r="G9275" s="29"/>
      <c r="H9275" s="29" t="s">
        <v>4233</v>
      </c>
      <c r="I9275" s="29"/>
      <c r="J9275" s="29" t="s">
        <v>1065</v>
      </c>
      <c r="K9275" s="29" t="s">
        <v>3094</v>
      </c>
      <c r="L9275" s="29" t="s">
        <v>1029</v>
      </c>
      <c r="M9275" s="29" t="s">
        <v>3104</v>
      </c>
      <c r="N9275" s="29" t="s">
        <v>1352</v>
      </c>
      <c r="O9275" s="29" t="s">
        <v>3117</v>
      </c>
      <c r="P9275" s="29" t="s">
        <v>471</v>
      </c>
      <c r="Q9275" t="s">
        <v>2040</v>
      </c>
      <c r="R9275" t="s">
        <v>2634</v>
      </c>
      <c r="S9275">
        <v>35</v>
      </c>
      <c r="T9275" s="43" t="str">
        <f>HYPERLINK("https://ictv.global/ictv/proposals/2019.006G.zip","2019.006G.zip")</f>
        <v>2019.006G.zip</v>
      </c>
      <c r="U9275" s="43" t="str">
        <f>HYPERLINK("https://ictv.global/taxonomy/taxondetails?taxnode_id=202201858","ictv.global=202201858")</f>
        <v>ictv.global=202201858</v>
      </c>
    </row>
    <row r="9276" spans="1:21">
      <c r="A9276">
        <v>9275</v>
      </c>
      <c r="B9276" s="29" t="s">
        <v>3223</v>
      </c>
      <c r="C9276" s="29"/>
      <c r="D9276" s="29" t="s">
        <v>4156</v>
      </c>
      <c r="E9276" s="29"/>
      <c r="F9276" s="29" t="s">
        <v>4230</v>
      </c>
      <c r="G9276" s="29"/>
      <c r="H9276" s="29" t="s">
        <v>4233</v>
      </c>
      <c r="I9276" s="29"/>
      <c r="J9276" s="29" t="s">
        <v>1065</v>
      </c>
      <c r="K9276" s="29" t="s">
        <v>3094</v>
      </c>
      <c r="L9276" s="29" t="s">
        <v>1029</v>
      </c>
      <c r="M9276" s="29" t="s">
        <v>3104</v>
      </c>
      <c r="N9276" s="29" t="s">
        <v>1352</v>
      </c>
      <c r="O9276" s="29" t="s">
        <v>3118</v>
      </c>
      <c r="P9276" s="29" t="s">
        <v>799</v>
      </c>
      <c r="Q9276" t="s">
        <v>2040</v>
      </c>
      <c r="R9276" t="s">
        <v>2634</v>
      </c>
      <c r="S9276">
        <v>35</v>
      </c>
      <c r="T9276" s="43" t="str">
        <f>HYPERLINK("https://ictv.global/ictv/proposals/2019.006G.zip","2019.006G.zip")</f>
        <v>2019.006G.zip</v>
      </c>
      <c r="U9276" s="43" t="str">
        <f>HYPERLINK("https://ictv.global/taxonomy/taxondetails?taxnode_id=202201853","ictv.global=202201853")</f>
        <v>ictv.global=202201853</v>
      </c>
    </row>
    <row r="9277" spans="1:21">
      <c r="A9277">
        <v>9276</v>
      </c>
      <c r="B9277" s="29" t="s">
        <v>3223</v>
      </c>
      <c r="C9277" s="29"/>
      <c r="D9277" s="29" t="s">
        <v>4156</v>
      </c>
      <c r="E9277" s="29"/>
      <c r="F9277" s="29" t="s">
        <v>4230</v>
      </c>
      <c r="G9277" s="29"/>
      <c r="H9277" s="29" t="s">
        <v>4233</v>
      </c>
      <c r="I9277" s="29"/>
      <c r="J9277" s="29" t="s">
        <v>1065</v>
      </c>
      <c r="K9277" s="29" t="s">
        <v>3094</v>
      </c>
      <c r="L9277" s="29" t="s">
        <v>1029</v>
      </c>
      <c r="M9277" s="29" t="s">
        <v>3104</v>
      </c>
      <c r="N9277" s="29" t="s">
        <v>1352</v>
      </c>
      <c r="O9277" s="29" t="s">
        <v>3118</v>
      </c>
      <c r="P9277" s="29" t="s">
        <v>3119</v>
      </c>
      <c r="Q9277" t="s">
        <v>2040</v>
      </c>
      <c r="R9277" t="s">
        <v>2634</v>
      </c>
      <c r="S9277">
        <v>35</v>
      </c>
      <c r="T9277" s="43" t="str">
        <f>HYPERLINK("https://ictv.global/ictv/proposals/2019.006G.zip","2019.006G.zip")</f>
        <v>2019.006G.zip</v>
      </c>
      <c r="U9277" s="43" t="str">
        <f>HYPERLINK("https://ictv.global/taxonomy/taxondetails?taxnode_id=202206112","ictv.global=202206112")</f>
        <v>ictv.global=202206112</v>
      </c>
    </row>
    <row r="9278" spans="1:21">
      <c r="A9278">
        <v>9277</v>
      </c>
      <c r="B9278" s="29" t="s">
        <v>3223</v>
      </c>
      <c r="C9278" s="29"/>
      <c r="D9278" s="29" t="s">
        <v>4156</v>
      </c>
      <c r="E9278" s="29"/>
      <c r="F9278" s="29" t="s">
        <v>4230</v>
      </c>
      <c r="G9278" s="29"/>
      <c r="H9278" s="29" t="s">
        <v>4233</v>
      </c>
      <c r="I9278" s="29"/>
      <c r="J9278" s="29" t="s">
        <v>1065</v>
      </c>
      <c r="K9278" s="29" t="s">
        <v>3094</v>
      </c>
      <c r="L9278" s="29" t="s">
        <v>1029</v>
      </c>
      <c r="M9278" s="29" t="s">
        <v>3104</v>
      </c>
      <c r="N9278" s="29" t="s">
        <v>1352</v>
      </c>
      <c r="O9278" s="29" t="s">
        <v>4252</v>
      </c>
      <c r="P9278" s="29" t="s">
        <v>4253</v>
      </c>
      <c r="Q9278" t="s">
        <v>2040</v>
      </c>
      <c r="R9278" t="s">
        <v>2632</v>
      </c>
      <c r="S9278">
        <v>35</v>
      </c>
      <c r="T9278" s="43" t="str">
        <f>HYPERLINK("https://ictv.global/ictv/proposals/2019.020S-023S.zip","2019.020S-023S.zip")</f>
        <v>2019.020S-023S.zip</v>
      </c>
      <c r="U9278" s="43" t="str">
        <f>HYPERLINK("https://ictv.global/taxonomy/taxondetails?taxnode_id=202207494","ictv.global=202207494")</f>
        <v>ictv.global=202207494</v>
      </c>
    </row>
    <row r="9279" spans="1:21">
      <c r="A9279">
        <v>9278</v>
      </c>
      <c r="B9279" s="29" t="s">
        <v>3223</v>
      </c>
      <c r="C9279" s="29"/>
      <c r="D9279" s="29" t="s">
        <v>4156</v>
      </c>
      <c r="E9279" s="29"/>
      <c r="F9279" s="29" t="s">
        <v>4230</v>
      </c>
      <c r="G9279" s="29"/>
      <c r="H9279" s="29" t="s">
        <v>4233</v>
      </c>
      <c r="I9279" s="29"/>
      <c r="J9279" s="29" t="s">
        <v>1065</v>
      </c>
      <c r="K9279" s="29" t="s">
        <v>3094</v>
      </c>
      <c r="L9279" s="29" t="s">
        <v>1029</v>
      </c>
      <c r="M9279" s="29" t="s">
        <v>3104</v>
      </c>
      <c r="N9279" s="29" t="s">
        <v>1352</v>
      </c>
      <c r="O9279" s="29" t="s">
        <v>4254</v>
      </c>
      <c r="P9279" s="29" t="s">
        <v>4255</v>
      </c>
      <c r="Q9279" t="s">
        <v>2040</v>
      </c>
      <c r="R9279" t="s">
        <v>2632</v>
      </c>
      <c r="S9279">
        <v>35</v>
      </c>
      <c r="T9279" s="43" t="str">
        <f>HYPERLINK("https://ictv.global/ictv/proposals/2019.020S-023S.zip","2019.020S-023S.zip")</f>
        <v>2019.020S-023S.zip</v>
      </c>
      <c r="U9279" s="43" t="str">
        <f>HYPERLINK("https://ictv.global/taxonomy/taxondetails?taxnode_id=202207492","ictv.global=202207492")</f>
        <v>ictv.global=202207492</v>
      </c>
    </row>
    <row r="9280" spans="1:21">
      <c r="A9280">
        <v>9279</v>
      </c>
      <c r="B9280" s="29" t="s">
        <v>3223</v>
      </c>
      <c r="C9280" s="29"/>
      <c r="D9280" s="29" t="s">
        <v>4156</v>
      </c>
      <c r="E9280" s="29"/>
      <c r="F9280" s="29" t="s">
        <v>4230</v>
      </c>
      <c r="G9280" s="29"/>
      <c r="H9280" s="29" t="s">
        <v>4233</v>
      </c>
      <c r="I9280" s="29"/>
      <c r="J9280" s="29" t="s">
        <v>1065</v>
      </c>
      <c r="K9280" s="29" t="s">
        <v>3094</v>
      </c>
      <c r="L9280" s="29" t="s">
        <v>1029</v>
      </c>
      <c r="M9280" s="29" t="s">
        <v>3104</v>
      </c>
      <c r="N9280" s="29" t="s">
        <v>1352</v>
      </c>
      <c r="O9280" s="29" t="s">
        <v>3121</v>
      </c>
      <c r="P9280" s="29" t="s">
        <v>1353</v>
      </c>
      <c r="Q9280" t="s">
        <v>2040</v>
      </c>
      <c r="R9280" t="s">
        <v>6901</v>
      </c>
      <c r="S9280">
        <v>36</v>
      </c>
      <c r="T9280" s="43" t="str">
        <f>HYPERLINK("https://ictv.global/ictv/proposals/2020.001G.R.Abolish_type_species.pdf","2020.001G.R.Abolish_type_species.pdf")</f>
        <v>2020.001G.R.Abolish_type_species.pdf</v>
      </c>
      <c r="U9280" s="43" t="str">
        <f>HYPERLINK("https://ictv.global/taxonomy/taxondetails?taxnode_id=202201849","ictv.global=202201849")</f>
        <v>ictv.global=202201849</v>
      </c>
    </row>
    <row r="9281" spans="1:21">
      <c r="A9281">
        <v>9280</v>
      </c>
      <c r="B9281" s="29" t="s">
        <v>3223</v>
      </c>
      <c r="C9281" s="29"/>
      <c r="D9281" s="29" t="s">
        <v>4156</v>
      </c>
      <c r="E9281" s="29"/>
      <c r="F9281" s="29" t="s">
        <v>4230</v>
      </c>
      <c r="G9281" s="29"/>
      <c r="H9281" s="29" t="s">
        <v>4233</v>
      </c>
      <c r="I9281" s="29"/>
      <c r="J9281" s="29" t="s">
        <v>1065</v>
      </c>
      <c r="K9281" s="29" t="s">
        <v>3094</v>
      </c>
      <c r="L9281" s="29" t="s">
        <v>1029</v>
      </c>
      <c r="M9281" s="29" t="s">
        <v>3104</v>
      </c>
      <c r="N9281" s="29" t="s">
        <v>371</v>
      </c>
      <c r="O9281" s="29" t="s">
        <v>3127</v>
      </c>
      <c r="P9281" s="29" t="s">
        <v>373</v>
      </c>
      <c r="Q9281" t="s">
        <v>2040</v>
      </c>
      <c r="R9281" t="s">
        <v>2634</v>
      </c>
      <c r="S9281">
        <v>35</v>
      </c>
      <c r="T9281" s="43" t="str">
        <f>HYPERLINK("https://ictv.global/ictv/proposals/2019.006G.zip","2019.006G.zip")</f>
        <v>2019.006G.zip</v>
      </c>
      <c r="U9281" s="43" t="str">
        <f>HYPERLINK("https://ictv.global/taxonomy/taxondetails?taxnode_id=202201861","ictv.global=202201861")</f>
        <v>ictv.global=202201861</v>
      </c>
    </row>
    <row r="9282" spans="1:21">
      <c r="A9282">
        <v>9281</v>
      </c>
      <c r="B9282" s="29" t="s">
        <v>3223</v>
      </c>
      <c r="C9282" s="29"/>
      <c r="D9282" s="29" t="s">
        <v>4156</v>
      </c>
      <c r="E9282" s="29"/>
      <c r="F9282" s="29" t="s">
        <v>4230</v>
      </c>
      <c r="G9282" s="29"/>
      <c r="H9282" s="29" t="s">
        <v>4233</v>
      </c>
      <c r="I9282" s="29"/>
      <c r="J9282" s="29" t="s">
        <v>1065</v>
      </c>
      <c r="K9282" s="29" t="s">
        <v>3094</v>
      </c>
      <c r="L9282" s="29" t="s">
        <v>1029</v>
      </c>
      <c r="M9282" s="29" t="s">
        <v>3104</v>
      </c>
      <c r="N9282" s="29" t="s">
        <v>371</v>
      </c>
      <c r="O9282" s="29" t="s">
        <v>3127</v>
      </c>
      <c r="P9282" s="29" t="s">
        <v>3128</v>
      </c>
      <c r="Q9282" t="s">
        <v>2040</v>
      </c>
      <c r="R9282" t="s">
        <v>2634</v>
      </c>
      <c r="S9282">
        <v>35</v>
      </c>
      <c r="T9282" s="43" t="str">
        <f>HYPERLINK("https://ictv.global/ictv/proposals/2019.006G.zip","2019.006G.zip")</f>
        <v>2019.006G.zip</v>
      </c>
      <c r="U9282" s="43" t="str">
        <f>HYPERLINK("https://ictv.global/taxonomy/taxondetails?taxnode_id=202206124","ictv.global=202206124")</f>
        <v>ictv.global=202206124</v>
      </c>
    </row>
    <row r="9283" spans="1:21">
      <c r="A9283">
        <v>9282</v>
      </c>
      <c r="B9283" s="29" t="s">
        <v>3223</v>
      </c>
      <c r="C9283" s="29"/>
      <c r="D9283" s="29" t="s">
        <v>4156</v>
      </c>
      <c r="E9283" s="29"/>
      <c r="F9283" s="29" t="s">
        <v>4230</v>
      </c>
      <c r="G9283" s="29"/>
      <c r="H9283" s="29" t="s">
        <v>4233</v>
      </c>
      <c r="I9283" s="29"/>
      <c r="J9283" s="29" t="s">
        <v>1065</v>
      </c>
      <c r="K9283" s="29" t="s">
        <v>3094</v>
      </c>
      <c r="L9283" s="29" t="s">
        <v>1029</v>
      </c>
      <c r="M9283" s="29" t="s">
        <v>3104</v>
      </c>
      <c r="N9283" s="29" t="s">
        <v>371</v>
      </c>
      <c r="O9283" s="29" t="s">
        <v>3127</v>
      </c>
      <c r="P9283" s="29" t="s">
        <v>1040</v>
      </c>
      <c r="Q9283" t="s">
        <v>2040</v>
      </c>
      <c r="R9283" t="s">
        <v>2634</v>
      </c>
      <c r="S9283">
        <v>35</v>
      </c>
      <c r="T9283" s="43" t="str">
        <f>HYPERLINK("https://ictv.global/ictv/proposals/2019.006G.zip","2019.006G.zip")</f>
        <v>2019.006G.zip</v>
      </c>
      <c r="U9283" s="43" t="str">
        <f>HYPERLINK("https://ictv.global/taxonomy/taxondetails?taxnode_id=202201863","ictv.global=202201863")</f>
        <v>ictv.global=202201863</v>
      </c>
    </row>
    <row r="9284" spans="1:21">
      <c r="A9284">
        <v>9283</v>
      </c>
      <c r="B9284" s="29" t="s">
        <v>3223</v>
      </c>
      <c r="C9284" s="29"/>
      <c r="D9284" s="29" t="s">
        <v>4156</v>
      </c>
      <c r="E9284" s="29"/>
      <c r="F9284" s="29" t="s">
        <v>4230</v>
      </c>
      <c r="G9284" s="29"/>
      <c r="H9284" s="29" t="s">
        <v>4233</v>
      </c>
      <c r="I9284" s="29"/>
      <c r="J9284" s="29" t="s">
        <v>1065</v>
      </c>
      <c r="K9284" s="29" t="s">
        <v>3094</v>
      </c>
      <c r="L9284" s="29" t="s">
        <v>1029</v>
      </c>
      <c r="M9284" s="29" t="s">
        <v>3104</v>
      </c>
      <c r="N9284" s="29" t="s">
        <v>371</v>
      </c>
      <c r="O9284" s="29" t="s">
        <v>3127</v>
      </c>
      <c r="P9284" s="29" t="s">
        <v>372</v>
      </c>
      <c r="Q9284" t="s">
        <v>2040</v>
      </c>
      <c r="R9284" t="s">
        <v>6901</v>
      </c>
      <c r="S9284">
        <v>36</v>
      </c>
      <c r="T9284" s="43" t="str">
        <f>HYPERLINK("https://ictv.global/ictv/proposals/2020.001G.R.Abolish_type_species.pdf","2020.001G.R.Abolish_type_species.pdf")</f>
        <v>2020.001G.R.Abolish_type_species.pdf</v>
      </c>
      <c r="U9284" s="43" t="str">
        <f>HYPERLINK("https://ictv.global/taxonomy/taxondetails?taxnode_id=202201865","ictv.global=202201865")</f>
        <v>ictv.global=202201865</v>
      </c>
    </row>
    <row r="9285" spans="1:21">
      <c r="A9285">
        <v>9284</v>
      </c>
      <c r="B9285" s="29" t="s">
        <v>3223</v>
      </c>
      <c r="C9285" s="29"/>
      <c r="D9285" s="29" t="s">
        <v>4156</v>
      </c>
      <c r="E9285" s="29"/>
      <c r="F9285" s="29" t="s">
        <v>4230</v>
      </c>
      <c r="G9285" s="29"/>
      <c r="H9285" s="29" t="s">
        <v>4233</v>
      </c>
      <c r="I9285" s="29"/>
      <c r="J9285" s="29" t="s">
        <v>1065</v>
      </c>
      <c r="K9285" s="29" t="s">
        <v>3094</v>
      </c>
      <c r="L9285" s="29" t="s">
        <v>1029</v>
      </c>
      <c r="M9285" s="29" t="s">
        <v>3104</v>
      </c>
      <c r="N9285" s="29" t="s">
        <v>371</v>
      </c>
      <c r="O9285" s="29" t="s">
        <v>3127</v>
      </c>
      <c r="P9285" s="29" t="s">
        <v>4256</v>
      </c>
      <c r="Q9285" t="s">
        <v>2040</v>
      </c>
      <c r="R9285" t="s">
        <v>2632</v>
      </c>
      <c r="S9285">
        <v>35</v>
      </c>
      <c r="T9285" s="43" t="str">
        <f>HYPERLINK("https://ictv.global/ictv/proposals/2019.020S-023S.zip","2019.020S-023S.zip")</f>
        <v>2019.020S-023S.zip</v>
      </c>
      <c r="U9285" s="43" t="str">
        <f>HYPERLINK("https://ictv.global/taxonomy/taxondetails?taxnode_id=202207496","ictv.global=202207496")</f>
        <v>ictv.global=202207496</v>
      </c>
    </row>
    <row r="9286" spans="1:21">
      <c r="A9286">
        <v>9285</v>
      </c>
      <c r="B9286" s="29" t="s">
        <v>3223</v>
      </c>
      <c r="C9286" s="29"/>
      <c r="D9286" s="29" t="s">
        <v>4156</v>
      </c>
      <c r="E9286" s="29"/>
      <c r="F9286" s="29" t="s">
        <v>4230</v>
      </c>
      <c r="G9286" s="29"/>
      <c r="H9286" s="29" t="s">
        <v>4233</v>
      </c>
      <c r="I9286" s="29"/>
      <c r="J9286" s="29" t="s">
        <v>1065</v>
      </c>
      <c r="K9286" s="29" t="s">
        <v>3094</v>
      </c>
      <c r="L9286" s="29" t="s">
        <v>1029</v>
      </c>
      <c r="M9286" s="29" t="s">
        <v>3104</v>
      </c>
      <c r="N9286" s="29" t="s">
        <v>371</v>
      </c>
      <c r="O9286" s="29" t="s">
        <v>3122</v>
      </c>
      <c r="P9286" s="29" t="s">
        <v>3123</v>
      </c>
      <c r="Q9286" t="s">
        <v>2040</v>
      </c>
      <c r="R9286" t="s">
        <v>2634</v>
      </c>
      <c r="S9286">
        <v>35</v>
      </c>
      <c r="T9286" s="43" t="str">
        <f>HYPERLINK("https://ictv.global/ictv/proposals/2019.006G.zip","2019.006G.zip")</f>
        <v>2019.006G.zip</v>
      </c>
      <c r="U9286" s="43" t="str">
        <f>HYPERLINK("https://ictv.global/taxonomy/taxondetails?taxnode_id=202206131","ictv.global=202206131")</f>
        <v>ictv.global=202206131</v>
      </c>
    </row>
    <row r="9287" spans="1:21">
      <c r="A9287">
        <v>9286</v>
      </c>
      <c r="B9287" s="29" t="s">
        <v>3223</v>
      </c>
      <c r="C9287" s="29"/>
      <c r="D9287" s="29" t="s">
        <v>4156</v>
      </c>
      <c r="E9287" s="29"/>
      <c r="F9287" s="29" t="s">
        <v>4230</v>
      </c>
      <c r="G9287" s="29"/>
      <c r="H9287" s="29" t="s">
        <v>4233</v>
      </c>
      <c r="I9287" s="29"/>
      <c r="J9287" s="29" t="s">
        <v>1065</v>
      </c>
      <c r="K9287" s="29" t="s">
        <v>3094</v>
      </c>
      <c r="L9287" s="29" t="s">
        <v>1029</v>
      </c>
      <c r="M9287" s="29" t="s">
        <v>3104</v>
      </c>
      <c r="N9287" s="29" t="s">
        <v>371</v>
      </c>
      <c r="O9287" s="29" t="s">
        <v>3130</v>
      </c>
      <c r="P9287" s="29" t="s">
        <v>2145</v>
      </c>
      <c r="Q9287" t="s">
        <v>2040</v>
      </c>
      <c r="R9287" t="s">
        <v>2634</v>
      </c>
      <c r="S9287">
        <v>35</v>
      </c>
      <c r="T9287" s="43" t="str">
        <f>HYPERLINK("https://ictv.global/ictv/proposals/2019.006G.zip","2019.006G.zip")</f>
        <v>2019.006G.zip</v>
      </c>
      <c r="U9287" s="43" t="str">
        <f>HYPERLINK("https://ictv.global/taxonomy/taxondetails?taxnode_id=202201862","ictv.global=202201862")</f>
        <v>ictv.global=202201862</v>
      </c>
    </row>
    <row r="9288" spans="1:21">
      <c r="A9288">
        <v>9287</v>
      </c>
      <c r="B9288" s="29" t="s">
        <v>3223</v>
      </c>
      <c r="C9288" s="29"/>
      <c r="D9288" s="29" t="s">
        <v>4156</v>
      </c>
      <c r="E9288" s="29"/>
      <c r="F9288" s="29" t="s">
        <v>4230</v>
      </c>
      <c r="G9288" s="29"/>
      <c r="H9288" s="29" t="s">
        <v>4233</v>
      </c>
      <c r="I9288" s="29"/>
      <c r="J9288" s="29" t="s">
        <v>1065</v>
      </c>
      <c r="K9288" s="29" t="s">
        <v>3094</v>
      </c>
      <c r="L9288" s="29" t="s">
        <v>1029</v>
      </c>
      <c r="M9288" s="29" t="s">
        <v>3104</v>
      </c>
      <c r="N9288" s="29" t="s">
        <v>371</v>
      </c>
      <c r="O9288" s="29" t="s">
        <v>3130</v>
      </c>
      <c r="P9288" s="29" t="s">
        <v>2146</v>
      </c>
      <c r="Q9288" t="s">
        <v>2040</v>
      </c>
      <c r="R9288" t="s">
        <v>2634</v>
      </c>
      <c r="S9288">
        <v>35</v>
      </c>
      <c r="T9288" s="43" t="str">
        <f>HYPERLINK("https://ictv.global/ictv/proposals/2019.006G.zip","2019.006G.zip")</f>
        <v>2019.006G.zip</v>
      </c>
      <c r="U9288" s="43" t="str">
        <f>HYPERLINK("https://ictv.global/taxonomy/taxondetails?taxnode_id=202201864","ictv.global=202201864")</f>
        <v>ictv.global=202201864</v>
      </c>
    </row>
    <row r="9289" spans="1:21">
      <c r="A9289">
        <v>9288</v>
      </c>
      <c r="B9289" s="29" t="s">
        <v>3223</v>
      </c>
      <c r="C9289" s="29"/>
      <c r="D9289" s="29" t="s">
        <v>4156</v>
      </c>
      <c r="E9289" s="29"/>
      <c r="F9289" s="29" t="s">
        <v>4230</v>
      </c>
      <c r="G9289" s="29"/>
      <c r="H9289" s="29" t="s">
        <v>4233</v>
      </c>
      <c r="I9289" s="29"/>
      <c r="J9289" s="29" t="s">
        <v>1065</v>
      </c>
      <c r="K9289" s="29" t="s">
        <v>3094</v>
      </c>
      <c r="L9289" s="29" t="s">
        <v>1029</v>
      </c>
      <c r="M9289" s="29" t="s">
        <v>3104</v>
      </c>
      <c r="N9289" s="29" t="s">
        <v>371</v>
      </c>
      <c r="O9289" s="29" t="s">
        <v>3130</v>
      </c>
      <c r="P9289" s="29" t="s">
        <v>473</v>
      </c>
      <c r="Q9289" t="s">
        <v>2040</v>
      </c>
      <c r="R9289" t="s">
        <v>2634</v>
      </c>
      <c r="S9289">
        <v>35</v>
      </c>
      <c r="T9289" s="43" t="str">
        <f>HYPERLINK("https://ictv.global/ictv/proposals/2019.006G.zip","2019.006G.zip")</f>
        <v>2019.006G.zip</v>
      </c>
      <c r="U9289" s="43" t="str">
        <f>HYPERLINK("https://ictv.global/taxonomy/taxondetails?taxnode_id=202201866","ictv.global=202201866")</f>
        <v>ictv.global=202201866</v>
      </c>
    </row>
    <row r="9290" spans="1:21">
      <c r="A9290">
        <v>9289</v>
      </c>
      <c r="B9290" s="29" t="s">
        <v>3223</v>
      </c>
      <c r="C9290" s="29"/>
      <c r="D9290" s="29" t="s">
        <v>4156</v>
      </c>
      <c r="E9290" s="29"/>
      <c r="F9290" s="29" t="s">
        <v>4230</v>
      </c>
      <c r="G9290" s="29"/>
      <c r="H9290" s="29" t="s">
        <v>4233</v>
      </c>
      <c r="I9290" s="29"/>
      <c r="J9290" s="29" t="s">
        <v>1065</v>
      </c>
      <c r="K9290" s="29" t="s">
        <v>3094</v>
      </c>
      <c r="L9290" s="29" t="s">
        <v>1029</v>
      </c>
      <c r="M9290" s="29" t="s">
        <v>3104</v>
      </c>
      <c r="N9290" s="29" t="s">
        <v>371</v>
      </c>
      <c r="O9290" s="29" t="s">
        <v>3130</v>
      </c>
      <c r="P9290" s="29" t="s">
        <v>475</v>
      </c>
      <c r="Q9290" t="s">
        <v>2040</v>
      </c>
      <c r="R9290" t="s">
        <v>2634</v>
      </c>
      <c r="S9290">
        <v>35</v>
      </c>
      <c r="T9290" s="43" t="str">
        <f>HYPERLINK("https://ictv.global/ictv/proposals/2019.006G.zip","2019.006G.zip")</f>
        <v>2019.006G.zip</v>
      </c>
      <c r="U9290" s="43" t="str">
        <f>HYPERLINK("https://ictv.global/taxonomy/taxondetails?taxnode_id=202201869","ictv.global=202201869")</f>
        <v>ictv.global=202201869</v>
      </c>
    </row>
    <row r="9291" spans="1:21">
      <c r="A9291">
        <v>9290</v>
      </c>
      <c r="B9291" s="29" t="s">
        <v>3223</v>
      </c>
      <c r="C9291" s="29"/>
      <c r="D9291" s="29" t="s">
        <v>4156</v>
      </c>
      <c r="E9291" s="29"/>
      <c r="F9291" s="29" t="s">
        <v>4230</v>
      </c>
      <c r="G9291" s="29"/>
      <c r="H9291" s="29" t="s">
        <v>4233</v>
      </c>
      <c r="I9291" s="29"/>
      <c r="J9291" s="29" t="s">
        <v>1065</v>
      </c>
      <c r="K9291" s="29" t="s">
        <v>3094</v>
      </c>
      <c r="L9291" s="29" t="s">
        <v>1029</v>
      </c>
      <c r="M9291" s="29" t="s">
        <v>3104</v>
      </c>
      <c r="N9291" s="29" t="s">
        <v>371</v>
      </c>
      <c r="O9291" s="29" t="s">
        <v>3124</v>
      </c>
      <c r="P9291" s="29" t="s">
        <v>4257</v>
      </c>
      <c r="Q9291" t="s">
        <v>2040</v>
      </c>
      <c r="R9291" t="s">
        <v>2632</v>
      </c>
      <c r="S9291">
        <v>35</v>
      </c>
      <c r="T9291" s="43" t="str">
        <f>HYPERLINK("https://ictv.global/ictv/proposals/2019.020S-023S.zip","2019.020S-023S.zip")</f>
        <v>2019.020S-023S.zip</v>
      </c>
      <c r="U9291" s="43" t="str">
        <f>HYPERLINK("https://ictv.global/taxonomy/taxondetails?taxnode_id=202207495","ictv.global=202207495")</f>
        <v>ictv.global=202207495</v>
      </c>
    </row>
    <row r="9292" spans="1:21">
      <c r="A9292">
        <v>9291</v>
      </c>
      <c r="B9292" s="29" t="s">
        <v>3223</v>
      </c>
      <c r="C9292" s="29"/>
      <c r="D9292" s="29" t="s">
        <v>4156</v>
      </c>
      <c r="E9292" s="29"/>
      <c r="F9292" s="29" t="s">
        <v>4230</v>
      </c>
      <c r="G9292" s="29"/>
      <c r="H9292" s="29" t="s">
        <v>4233</v>
      </c>
      <c r="I9292" s="29"/>
      <c r="J9292" s="29" t="s">
        <v>1065</v>
      </c>
      <c r="K9292" s="29" t="s">
        <v>3094</v>
      </c>
      <c r="L9292" s="29" t="s">
        <v>1029</v>
      </c>
      <c r="M9292" s="29" t="s">
        <v>3104</v>
      </c>
      <c r="N9292" s="29" t="s">
        <v>371</v>
      </c>
      <c r="O9292" s="29" t="s">
        <v>3124</v>
      </c>
      <c r="P9292" s="29" t="s">
        <v>3125</v>
      </c>
      <c r="Q9292" t="s">
        <v>2040</v>
      </c>
      <c r="R9292" t="s">
        <v>2634</v>
      </c>
      <c r="S9292">
        <v>35</v>
      </c>
      <c r="T9292" s="43" t="str">
        <f>HYPERLINK("https://ictv.global/ictv/proposals/2019.006G.zip","2019.006G.zip")</f>
        <v>2019.006G.zip</v>
      </c>
      <c r="U9292" s="43" t="str">
        <f>HYPERLINK("https://ictv.global/taxonomy/taxondetails?taxnode_id=202206128","ictv.global=202206128")</f>
        <v>ictv.global=202206128</v>
      </c>
    </row>
    <row r="9293" spans="1:21">
      <c r="A9293">
        <v>9292</v>
      </c>
      <c r="B9293" s="29" t="s">
        <v>3223</v>
      </c>
      <c r="C9293" s="29"/>
      <c r="D9293" s="29" t="s">
        <v>4156</v>
      </c>
      <c r="E9293" s="29"/>
      <c r="F9293" s="29" t="s">
        <v>4230</v>
      </c>
      <c r="G9293" s="29"/>
      <c r="H9293" s="29" t="s">
        <v>4233</v>
      </c>
      <c r="I9293" s="29"/>
      <c r="J9293" s="29" t="s">
        <v>1065</v>
      </c>
      <c r="K9293" s="29" t="s">
        <v>3094</v>
      </c>
      <c r="L9293" s="29" t="s">
        <v>1029</v>
      </c>
      <c r="M9293" s="29" t="s">
        <v>3104</v>
      </c>
      <c r="N9293" s="29" t="s">
        <v>371</v>
      </c>
      <c r="O9293" s="29" t="s">
        <v>3124</v>
      </c>
      <c r="P9293" s="29" t="s">
        <v>474</v>
      </c>
      <c r="Q9293" t="s">
        <v>2040</v>
      </c>
      <c r="R9293" t="s">
        <v>2634</v>
      </c>
      <c r="S9293">
        <v>35</v>
      </c>
      <c r="T9293" s="43" t="str">
        <f>HYPERLINK("https://ictv.global/ictv/proposals/2019.006G.zip","2019.006G.zip")</f>
        <v>2019.006G.zip</v>
      </c>
      <c r="U9293" s="43" t="str">
        <f>HYPERLINK("https://ictv.global/taxonomy/taxondetails?taxnode_id=202201867","ictv.global=202201867")</f>
        <v>ictv.global=202201867</v>
      </c>
    </row>
    <row r="9294" spans="1:21">
      <c r="A9294">
        <v>9293</v>
      </c>
      <c r="B9294" s="29" t="s">
        <v>3223</v>
      </c>
      <c r="C9294" s="29"/>
      <c r="D9294" s="29" t="s">
        <v>4156</v>
      </c>
      <c r="E9294" s="29"/>
      <c r="F9294" s="29" t="s">
        <v>4230</v>
      </c>
      <c r="G9294" s="29"/>
      <c r="H9294" s="29" t="s">
        <v>4233</v>
      </c>
      <c r="I9294" s="29"/>
      <c r="J9294" s="29" t="s">
        <v>1065</v>
      </c>
      <c r="K9294" s="29" t="s">
        <v>3094</v>
      </c>
      <c r="L9294" s="29" t="s">
        <v>1029</v>
      </c>
      <c r="M9294" s="29" t="s">
        <v>3104</v>
      </c>
      <c r="N9294" s="29" t="s">
        <v>371</v>
      </c>
      <c r="O9294" s="29" t="s">
        <v>3126</v>
      </c>
      <c r="P9294" s="29" t="s">
        <v>1015</v>
      </c>
      <c r="Q9294" t="s">
        <v>2040</v>
      </c>
      <c r="R9294" t="s">
        <v>2634</v>
      </c>
      <c r="S9294">
        <v>35</v>
      </c>
      <c r="T9294" s="43" t="str">
        <f>HYPERLINK("https://ictv.global/ictv/proposals/2019.006G.zip","2019.006G.zip")</f>
        <v>2019.006G.zip</v>
      </c>
      <c r="U9294" s="43" t="str">
        <f>HYPERLINK("https://ictv.global/taxonomy/taxondetails?taxnode_id=202201868","ictv.global=202201868")</f>
        <v>ictv.global=202201868</v>
      </c>
    </row>
    <row r="9295" spans="1:21">
      <c r="A9295">
        <v>9294</v>
      </c>
      <c r="B9295" s="29" t="s">
        <v>3223</v>
      </c>
      <c r="C9295" s="29"/>
      <c r="D9295" s="29" t="s">
        <v>4156</v>
      </c>
      <c r="E9295" s="29"/>
      <c r="F9295" s="29" t="s">
        <v>4230</v>
      </c>
      <c r="G9295" s="29"/>
      <c r="H9295" s="29" t="s">
        <v>4233</v>
      </c>
      <c r="I9295" s="29"/>
      <c r="J9295" s="29" t="s">
        <v>1065</v>
      </c>
      <c r="K9295" s="29" t="s">
        <v>3094</v>
      </c>
      <c r="L9295" s="29" t="s">
        <v>1029</v>
      </c>
      <c r="M9295" s="29" t="s">
        <v>3104</v>
      </c>
      <c r="N9295" s="29" t="s">
        <v>0</v>
      </c>
      <c r="O9295" s="29" t="s">
        <v>3133</v>
      </c>
      <c r="P9295" s="29" t="s">
        <v>2151</v>
      </c>
      <c r="Q9295" t="s">
        <v>2040</v>
      </c>
      <c r="R9295" t="s">
        <v>2634</v>
      </c>
      <c r="S9295">
        <v>35</v>
      </c>
      <c r="T9295" s="43" t="str">
        <f>HYPERLINK("https://ictv.global/ictv/proposals/2019.006G.zip","2019.006G.zip")</f>
        <v>2019.006G.zip</v>
      </c>
      <c r="U9295" s="43" t="str">
        <f>HYPERLINK("https://ictv.global/taxonomy/taxondetails?taxnode_id=202201878","ictv.global=202201878")</f>
        <v>ictv.global=202201878</v>
      </c>
    </row>
    <row r="9296" spans="1:21">
      <c r="A9296">
        <v>9295</v>
      </c>
      <c r="B9296" s="29" t="s">
        <v>3223</v>
      </c>
      <c r="C9296" s="29"/>
      <c r="D9296" s="29" t="s">
        <v>4156</v>
      </c>
      <c r="E9296" s="29"/>
      <c r="F9296" s="29" t="s">
        <v>4230</v>
      </c>
      <c r="G9296" s="29"/>
      <c r="H9296" s="29" t="s">
        <v>4233</v>
      </c>
      <c r="I9296" s="29"/>
      <c r="J9296" s="29" t="s">
        <v>1065</v>
      </c>
      <c r="K9296" s="29" t="s">
        <v>3094</v>
      </c>
      <c r="L9296" s="29" t="s">
        <v>1029</v>
      </c>
      <c r="M9296" s="29" t="s">
        <v>3104</v>
      </c>
      <c r="N9296" s="29" t="s">
        <v>0</v>
      </c>
      <c r="O9296" s="29" t="s">
        <v>3129</v>
      </c>
      <c r="P9296" s="29" t="s">
        <v>1</v>
      </c>
      <c r="Q9296" t="s">
        <v>2040</v>
      </c>
      <c r="R9296" t="s">
        <v>6901</v>
      </c>
      <c r="S9296">
        <v>36</v>
      </c>
      <c r="T9296" s="43" t="str">
        <f>HYPERLINK("https://ictv.global/ictv/proposals/2020.001G.R.Abolish_type_species.pdf","2020.001G.R.Abolish_type_species.pdf")</f>
        <v>2020.001G.R.Abolish_type_species.pdf</v>
      </c>
      <c r="U9296" s="43" t="str">
        <f>HYPERLINK("https://ictv.global/taxonomy/taxondetails?taxnode_id=202201871","ictv.global=202201871")</f>
        <v>ictv.global=202201871</v>
      </c>
    </row>
    <row r="9297" spans="1:21">
      <c r="A9297">
        <v>9296</v>
      </c>
      <c r="B9297" s="29" t="s">
        <v>3223</v>
      </c>
      <c r="C9297" s="29"/>
      <c r="D9297" s="29" t="s">
        <v>4156</v>
      </c>
      <c r="E9297" s="29"/>
      <c r="F9297" s="29" t="s">
        <v>4230</v>
      </c>
      <c r="G9297" s="29"/>
      <c r="H9297" s="29" t="s">
        <v>4233</v>
      </c>
      <c r="I9297" s="29"/>
      <c r="J9297" s="29" t="s">
        <v>1065</v>
      </c>
      <c r="K9297" s="29" t="s">
        <v>3094</v>
      </c>
      <c r="L9297" s="29" t="s">
        <v>1029</v>
      </c>
      <c r="M9297" s="29" t="s">
        <v>3104</v>
      </c>
      <c r="N9297" s="29" t="s">
        <v>0</v>
      </c>
      <c r="O9297" s="29" t="s">
        <v>3129</v>
      </c>
      <c r="P9297" s="29" t="s">
        <v>2147</v>
      </c>
      <c r="Q9297" t="s">
        <v>2040</v>
      </c>
      <c r="R9297" t="s">
        <v>2634</v>
      </c>
      <c r="S9297">
        <v>35</v>
      </c>
      <c r="T9297" s="43" t="str">
        <f>HYPERLINK("https://ictv.global/ictv/proposals/2019.020S-023S.zip","2019.020S-023S.zip")</f>
        <v>2019.020S-023S.zip</v>
      </c>
      <c r="U9297" s="43" t="str">
        <f>HYPERLINK("https://ictv.global/taxonomy/taxondetails?taxnode_id=202201872","ictv.global=202201872")</f>
        <v>ictv.global=202201872</v>
      </c>
    </row>
    <row r="9298" spans="1:21">
      <c r="A9298">
        <v>9297</v>
      </c>
      <c r="B9298" s="29" t="s">
        <v>3223</v>
      </c>
      <c r="C9298" s="29"/>
      <c r="D9298" s="29" t="s">
        <v>4156</v>
      </c>
      <c r="E9298" s="29"/>
      <c r="F9298" s="29" t="s">
        <v>4230</v>
      </c>
      <c r="G9298" s="29"/>
      <c r="H9298" s="29" t="s">
        <v>4233</v>
      </c>
      <c r="I9298" s="29"/>
      <c r="J9298" s="29" t="s">
        <v>1065</v>
      </c>
      <c r="K9298" s="29" t="s">
        <v>3094</v>
      </c>
      <c r="L9298" s="29" t="s">
        <v>1029</v>
      </c>
      <c r="M9298" s="29" t="s">
        <v>3104</v>
      </c>
      <c r="N9298" s="29" t="s">
        <v>0</v>
      </c>
      <c r="O9298" s="29" t="s">
        <v>3129</v>
      </c>
      <c r="P9298" s="29" t="s">
        <v>2148</v>
      </c>
      <c r="Q9298" t="s">
        <v>2040</v>
      </c>
      <c r="R9298" t="s">
        <v>2634</v>
      </c>
      <c r="S9298">
        <v>35</v>
      </c>
      <c r="T9298" s="43" t="str">
        <f>HYPERLINK("https://ictv.global/ictv/proposals/2019.006G.zip","2019.006G.zip")</f>
        <v>2019.006G.zip</v>
      </c>
      <c r="U9298" s="43" t="str">
        <f>HYPERLINK("https://ictv.global/taxonomy/taxondetails?taxnode_id=202201873","ictv.global=202201873")</f>
        <v>ictv.global=202201873</v>
      </c>
    </row>
    <row r="9299" spans="1:21">
      <c r="A9299">
        <v>9298</v>
      </c>
      <c r="B9299" s="29" t="s">
        <v>3223</v>
      </c>
      <c r="C9299" s="29"/>
      <c r="D9299" s="29" t="s">
        <v>4156</v>
      </c>
      <c r="E9299" s="29"/>
      <c r="F9299" s="29" t="s">
        <v>4230</v>
      </c>
      <c r="G9299" s="29"/>
      <c r="H9299" s="29" t="s">
        <v>4233</v>
      </c>
      <c r="I9299" s="29"/>
      <c r="J9299" s="29" t="s">
        <v>1065</v>
      </c>
      <c r="K9299" s="29" t="s">
        <v>3094</v>
      </c>
      <c r="L9299" s="29" t="s">
        <v>1029</v>
      </c>
      <c r="M9299" s="29" t="s">
        <v>3104</v>
      </c>
      <c r="N9299" s="29" t="s">
        <v>0</v>
      </c>
      <c r="O9299" s="29" t="s">
        <v>3129</v>
      </c>
      <c r="P9299" s="29" t="s">
        <v>466</v>
      </c>
      <c r="Q9299" t="s">
        <v>2040</v>
      </c>
      <c r="R9299" t="s">
        <v>2634</v>
      </c>
      <c r="S9299">
        <v>35</v>
      </c>
      <c r="T9299" s="43" t="str">
        <f>HYPERLINK("https://ictv.global/ictv/proposals/2019.006G.zip","2019.006G.zip")</f>
        <v>2019.006G.zip</v>
      </c>
      <c r="U9299" s="43" t="str">
        <f>HYPERLINK("https://ictv.global/taxonomy/taxondetails?taxnode_id=202201874","ictv.global=202201874")</f>
        <v>ictv.global=202201874</v>
      </c>
    </row>
    <row r="9300" spans="1:21">
      <c r="A9300">
        <v>9299</v>
      </c>
      <c r="B9300" s="29" t="s">
        <v>3223</v>
      </c>
      <c r="C9300" s="29"/>
      <c r="D9300" s="29" t="s">
        <v>4156</v>
      </c>
      <c r="E9300" s="29"/>
      <c r="F9300" s="29" t="s">
        <v>4230</v>
      </c>
      <c r="G9300" s="29"/>
      <c r="H9300" s="29" t="s">
        <v>4233</v>
      </c>
      <c r="I9300" s="29"/>
      <c r="J9300" s="29" t="s">
        <v>1065</v>
      </c>
      <c r="K9300" s="29" t="s">
        <v>3094</v>
      </c>
      <c r="L9300" s="29" t="s">
        <v>1029</v>
      </c>
      <c r="M9300" s="29" t="s">
        <v>3104</v>
      </c>
      <c r="N9300" s="29" t="s">
        <v>0</v>
      </c>
      <c r="O9300" s="29" t="s">
        <v>3129</v>
      </c>
      <c r="P9300" s="29" t="s">
        <v>2150</v>
      </c>
      <c r="Q9300" t="s">
        <v>2040</v>
      </c>
      <c r="R9300" t="s">
        <v>2634</v>
      </c>
      <c r="S9300">
        <v>35</v>
      </c>
      <c r="T9300" s="43" t="str">
        <f>HYPERLINK("https://ictv.global/ictv/proposals/2019.006G.zip","2019.006G.zip")</f>
        <v>2019.006G.zip</v>
      </c>
      <c r="U9300" s="43" t="str">
        <f>HYPERLINK("https://ictv.global/taxonomy/taxondetails?taxnode_id=202201877","ictv.global=202201877")</f>
        <v>ictv.global=202201877</v>
      </c>
    </row>
    <row r="9301" spans="1:21">
      <c r="A9301">
        <v>9300</v>
      </c>
      <c r="B9301" s="29" t="s">
        <v>3223</v>
      </c>
      <c r="C9301" s="29"/>
      <c r="D9301" s="29" t="s">
        <v>4156</v>
      </c>
      <c r="E9301" s="29"/>
      <c r="F9301" s="29" t="s">
        <v>4230</v>
      </c>
      <c r="G9301" s="29"/>
      <c r="H9301" s="29" t="s">
        <v>4233</v>
      </c>
      <c r="I9301" s="29"/>
      <c r="J9301" s="29" t="s">
        <v>1065</v>
      </c>
      <c r="K9301" s="29" t="s">
        <v>3094</v>
      </c>
      <c r="L9301" s="29" t="s">
        <v>1029</v>
      </c>
      <c r="M9301" s="29" t="s">
        <v>3104</v>
      </c>
      <c r="N9301" s="29" t="s">
        <v>0</v>
      </c>
      <c r="O9301" s="29" t="s">
        <v>3131</v>
      </c>
      <c r="P9301" s="29" t="s">
        <v>2149</v>
      </c>
      <c r="Q9301" t="s">
        <v>2040</v>
      </c>
      <c r="R9301" t="s">
        <v>2634</v>
      </c>
      <c r="S9301">
        <v>35</v>
      </c>
      <c r="T9301" s="43" t="str">
        <f>HYPERLINK("https://ictv.global/ictv/proposals/2019.006G.zip","2019.006G.zip")</f>
        <v>2019.006G.zip</v>
      </c>
      <c r="U9301" s="43" t="str">
        <f>HYPERLINK("https://ictv.global/taxonomy/taxondetails?taxnode_id=202201875","ictv.global=202201875")</f>
        <v>ictv.global=202201875</v>
      </c>
    </row>
    <row r="9302" spans="1:21">
      <c r="A9302">
        <v>9301</v>
      </c>
      <c r="B9302" s="29" t="s">
        <v>3223</v>
      </c>
      <c r="C9302" s="29"/>
      <c r="D9302" s="29" t="s">
        <v>4156</v>
      </c>
      <c r="E9302" s="29"/>
      <c r="F9302" s="29" t="s">
        <v>4230</v>
      </c>
      <c r="G9302" s="29"/>
      <c r="H9302" s="29" t="s">
        <v>4233</v>
      </c>
      <c r="I9302" s="29"/>
      <c r="J9302" s="29" t="s">
        <v>1065</v>
      </c>
      <c r="K9302" s="29" t="s">
        <v>3094</v>
      </c>
      <c r="L9302" s="29" t="s">
        <v>1029</v>
      </c>
      <c r="M9302" s="29" t="s">
        <v>3104</v>
      </c>
      <c r="N9302" s="29" t="s">
        <v>344</v>
      </c>
      <c r="O9302" s="29" t="s">
        <v>4258</v>
      </c>
      <c r="P9302" s="29" t="s">
        <v>4259</v>
      </c>
      <c r="Q9302" t="s">
        <v>2040</v>
      </c>
      <c r="R9302" t="s">
        <v>2632</v>
      </c>
      <c r="S9302">
        <v>35</v>
      </c>
      <c r="T9302" s="43" t="str">
        <f>HYPERLINK("https://ictv.global/ictv/proposals/2019.020S-023S.zip","2019.020S-023S.zip")</f>
        <v>2019.020S-023S.zip</v>
      </c>
      <c r="U9302" s="43" t="str">
        <f>HYPERLINK("https://ictv.global/taxonomy/taxondetails?taxnode_id=202207498","ictv.global=202207498")</f>
        <v>ictv.global=202207498</v>
      </c>
    </row>
    <row r="9303" spans="1:21">
      <c r="A9303">
        <v>9302</v>
      </c>
      <c r="B9303" s="29" t="s">
        <v>3223</v>
      </c>
      <c r="C9303" s="29"/>
      <c r="D9303" s="29" t="s">
        <v>4156</v>
      </c>
      <c r="E9303" s="29"/>
      <c r="F9303" s="29" t="s">
        <v>4230</v>
      </c>
      <c r="G9303" s="29"/>
      <c r="H9303" s="29" t="s">
        <v>4233</v>
      </c>
      <c r="I9303" s="29"/>
      <c r="J9303" s="29" t="s">
        <v>1065</v>
      </c>
      <c r="K9303" s="29" t="s">
        <v>3094</v>
      </c>
      <c r="L9303" s="29" t="s">
        <v>1029</v>
      </c>
      <c r="M9303" s="29" t="s">
        <v>3104</v>
      </c>
      <c r="N9303" s="29" t="s">
        <v>344</v>
      </c>
      <c r="O9303" s="29" t="s">
        <v>3143</v>
      </c>
      <c r="P9303" s="29" t="s">
        <v>346</v>
      </c>
      <c r="Q9303" t="s">
        <v>2040</v>
      </c>
      <c r="R9303" t="s">
        <v>2634</v>
      </c>
      <c r="S9303">
        <v>35</v>
      </c>
      <c r="T9303" s="43" t="str">
        <f>HYPERLINK("https://ictv.global/ictv/proposals/2019.006G.zip","2019.006G.zip")</f>
        <v>2019.006G.zip</v>
      </c>
      <c r="U9303" s="43" t="str">
        <f>HYPERLINK("https://ictv.global/taxonomy/taxondetails?taxnode_id=202201881","ictv.global=202201881")</f>
        <v>ictv.global=202201881</v>
      </c>
    </row>
    <row r="9304" spans="1:21">
      <c r="A9304">
        <v>9303</v>
      </c>
      <c r="B9304" s="29" t="s">
        <v>3223</v>
      </c>
      <c r="C9304" s="29"/>
      <c r="D9304" s="29" t="s">
        <v>4156</v>
      </c>
      <c r="E9304" s="29"/>
      <c r="F9304" s="29" t="s">
        <v>4230</v>
      </c>
      <c r="G9304" s="29"/>
      <c r="H9304" s="29" t="s">
        <v>4233</v>
      </c>
      <c r="I9304" s="29"/>
      <c r="J9304" s="29" t="s">
        <v>1065</v>
      </c>
      <c r="K9304" s="29" t="s">
        <v>3094</v>
      </c>
      <c r="L9304" s="29" t="s">
        <v>1029</v>
      </c>
      <c r="M9304" s="29" t="s">
        <v>3104</v>
      </c>
      <c r="N9304" s="29" t="s">
        <v>344</v>
      </c>
      <c r="O9304" s="29" t="s">
        <v>3132</v>
      </c>
      <c r="P9304" s="29" t="s">
        <v>345</v>
      </c>
      <c r="Q9304" t="s">
        <v>2040</v>
      </c>
      <c r="R9304" t="s">
        <v>6901</v>
      </c>
      <c r="S9304">
        <v>36</v>
      </c>
      <c r="T9304" s="43" t="str">
        <f>HYPERLINK("https://ictv.global/ictv/proposals/2020.001G.R.Abolish_type_species.pdf","2020.001G.R.Abolish_type_species.pdf")</f>
        <v>2020.001G.R.Abolish_type_species.pdf</v>
      </c>
      <c r="U9304" s="43" t="str">
        <f>HYPERLINK("https://ictv.global/taxonomy/taxondetails?taxnode_id=202201880","ictv.global=202201880")</f>
        <v>ictv.global=202201880</v>
      </c>
    </row>
    <row r="9305" spans="1:21">
      <c r="A9305">
        <v>9304</v>
      </c>
      <c r="B9305" s="29" t="s">
        <v>3223</v>
      </c>
      <c r="C9305" s="29"/>
      <c r="D9305" s="29" t="s">
        <v>4156</v>
      </c>
      <c r="E9305" s="29"/>
      <c r="F9305" s="29" t="s">
        <v>4230</v>
      </c>
      <c r="G9305" s="29"/>
      <c r="H9305" s="29" t="s">
        <v>4233</v>
      </c>
      <c r="I9305" s="29"/>
      <c r="J9305" s="29" t="s">
        <v>1065</v>
      </c>
      <c r="K9305" s="29" t="s">
        <v>3094</v>
      </c>
      <c r="L9305" s="29" t="s">
        <v>1029</v>
      </c>
      <c r="M9305" s="29" t="s">
        <v>3104</v>
      </c>
      <c r="N9305" s="29" t="s">
        <v>344</v>
      </c>
      <c r="O9305" s="29" t="s">
        <v>3132</v>
      </c>
      <c r="P9305" s="29" t="s">
        <v>4260</v>
      </c>
      <c r="Q9305" t="s">
        <v>2040</v>
      </c>
      <c r="R9305" t="s">
        <v>2632</v>
      </c>
      <c r="S9305">
        <v>35</v>
      </c>
      <c r="T9305" s="43" t="str">
        <f>HYPERLINK("https://ictv.global/ictv/proposals/2019.020S-023S.zip","2019.020S-023S.zip")</f>
        <v>2019.020S-023S.zip</v>
      </c>
      <c r="U9305" s="43" t="str">
        <f>HYPERLINK("https://ictv.global/taxonomy/taxondetails?taxnode_id=202207500","ictv.global=202207500")</f>
        <v>ictv.global=202207500</v>
      </c>
    </row>
    <row r="9306" spans="1:21">
      <c r="A9306">
        <v>9305</v>
      </c>
      <c r="B9306" s="29" t="s">
        <v>3223</v>
      </c>
      <c r="C9306" s="29"/>
      <c r="D9306" s="29" t="s">
        <v>4156</v>
      </c>
      <c r="E9306" s="29"/>
      <c r="F9306" s="29" t="s">
        <v>4230</v>
      </c>
      <c r="G9306" s="29"/>
      <c r="H9306" s="29" t="s">
        <v>4233</v>
      </c>
      <c r="I9306" s="29"/>
      <c r="J9306" s="29" t="s">
        <v>1065</v>
      </c>
      <c r="K9306" s="29" t="s">
        <v>3094</v>
      </c>
      <c r="L9306" s="29" t="s">
        <v>1029</v>
      </c>
      <c r="M9306" s="29" t="s">
        <v>3104</v>
      </c>
      <c r="N9306" s="29" t="s">
        <v>344</v>
      </c>
      <c r="O9306" s="29" t="s">
        <v>3132</v>
      </c>
      <c r="P9306" s="29" t="s">
        <v>4261</v>
      </c>
      <c r="Q9306" t="s">
        <v>2040</v>
      </c>
      <c r="R9306" t="s">
        <v>2632</v>
      </c>
      <c r="S9306">
        <v>35</v>
      </c>
      <c r="T9306" s="43" t="str">
        <f>HYPERLINK("https://ictv.global/ictv/proposals/2019.020S-023S.zip","2019.020S-023S.zip")</f>
        <v>2019.020S-023S.zip</v>
      </c>
      <c r="U9306" s="43" t="str">
        <f>HYPERLINK("https://ictv.global/taxonomy/taxondetails?taxnode_id=202207499","ictv.global=202207499")</f>
        <v>ictv.global=202207499</v>
      </c>
    </row>
    <row r="9307" spans="1:21">
      <c r="A9307">
        <v>9306</v>
      </c>
      <c r="B9307" s="29" t="s">
        <v>3223</v>
      </c>
      <c r="C9307" s="29"/>
      <c r="D9307" s="29" t="s">
        <v>4156</v>
      </c>
      <c r="E9307" s="29"/>
      <c r="F9307" s="29" t="s">
        <v>4230</v>
      </c>
      <c r="G9307" s="29"/>
      <c r="H9307" s="29" t="s">
        <v>4233</v>
      </c>
      <c r="I9307" s="29"/>
      <c r="J9307" s="29" t="s">
        <v>1065</v>
      </c>
      <c r="K9307" s="29" t="s">
        <v>3094</v>
      </c>
      <c r="L9307" s="29" t="s">
        <v>1029</v>
      </c>
      <c r="M9307" s="29" t="s">
        <v>14072</v>
      </c>
      <c r="N9307" s="29" t="s">
        <v>14073</v>
      </c>
      <c r="O9307" s="29" t="s">
        <v>14074</v>
      </c>
      <c r="P9307" s="29" t="s">
        <v>14075</v>
      </c>
      <c r="Q9307" t="s">
        <v>2040</v>
      </c>
      <c r="R9307" t="s">
        <v>2632</v>
      </c>
      <c r="S9307">
        <v>37</v>
      </c>
      <c r="T9307" s="43" t="str">
        <f>HYPERLINK("https://ictv.global/ictv/proposals/2021.005S.R.Nidovirales.zip","2021.005S.R.Nidovirales.zip")</f>
        <v>2021.005S.R.Nidovirales.zip</v>
      </c>
      <c r="U9307" s="43" t="str">
        <f>HYPERLINK("https://ictv.global/taxonomy/taxondetails?taxnode_id=202213907","ictv.global=202213907")</f>
        <v>ictv.global=202213907</v>
      </c>
    </row>
    <row r="9308" spans="1:21">
      <c r="A9308">
        <v>9307</v>
      </c>
      <c r="B9308" s="29" t="s">
        <v>3223</v>
      </c>
      <c r="C9308" s="29"/>
      <c r="D9308" s="29" t="s">
        <v>4156</v>
      </c>
      <c r="E9308" s="29"/>
      <c r="F9308" s="29" t="s">
        <v>4230</v>
      </c>
      <c r="G9308" s="29"/>
      <c r="H9308" s="29" t="s">
        <v>4233</v>
      </c>
      <c r="I9308" s="29"/>
      <c r="J9308" s="29" t="s">
        <v>1065</v>
      </c>
      <c r="K9308" s="29" t="s">
        <v>3134</v>
      </c>
      <c r="L9308" s="29" t="s">
        <v>3135</v>
      </c>
      <c r="M9308" s="29" t="s">
        <v>3136</v>
      </c>
      <c r="N9308" s="29" t="s">
        <v>3140</v>
      </c>
      <c r="O9308" s="29" t="s">
        <v>3141</v>
      </c>
      <c r="P9308" s="29" t="s">
        <v>3142</v>
      </c>
      <c r="Q9308" t="s">
        <v>2040</v>
      </c>
      <c r="R9308" t="s">
        <v>2634</v>
      </c>
      <c r="S9308">
        <v>37</v>
      </c>
      <c r="T9308" s="43" t="str">
        <f>HYPERLINK("https://ictv.global/ictv/proposals/2021.005S.R.Nidovirales.zip","2021.005S.R.Nidovirales.zip")</f>
        <v>2021.005S.R.Nidovirales.zip</v>
      </c>
      <c r="U9308" s="43" t="str">
        <f>HYPERLINK("https://ictv.global/taxonomy/taxondetails?taxnode_id=202206179","ictv.global=202206179")</f>
        <v>ictv.global=202206179</v>
      </c>
    </row>
    <row r="9309" spans="1:21">
      <c r="A9309">
        <v>9308</v>
      </c>
      <c r="B9309" s="29" t="s">
        <v>3223</v>
      </c>
      <c r="C9309" s="29"/>
      <c r="D9309" s="29" t="s">
        <v>4156</v>
      </c>
      <c r="E9309" s="29"/>
      <c r="F9309" s="29" t="s">
        <v>4230</v>
      </c>
      <c r="G9309" s="29"/>
      <c r="H9309" s="29" t="s">
        <v>4233</v>
      </c>
      <c r="I9309" s="29"/>
      <c r="J9309" s="29" t="s">
        <v>1065</v>
      </c>
      <c r="K9309" s="29" t="s">
        <v>3134</v>
      </c>
      <c r="L9309" s="29" t="s">
        <v>3135</v>
      </c>
      <c r="M9309" s="29" t="s">
        <v>3136</v>
      </c>
      <c r="N9309" s="29" t="s">
        <v>3137</v>
      </c>
      <c r="O9309" s="29" t="s">
        <v>3138</v>
      </c>
      <c r="P9309" s="29" t="s">
        <v>3139</v>
      </c>
      <c r="Q9309" t="s">
        <v>2040</v>
      </c>
      <c r="R9309" t="s">
        <v>6901</v>
      </c>
      <c r="S9309">
        <v>36</v>
      </c>
      <c r="T9309" s="43" t="str">
        <f>HYPERLINK("https://ictv.global/ictv/proposals/2020.001G.R.Abolish_type_species.pdf","2020.001G.R.Abolish_type_species.pdf")</f>
        <v>2020.001G.R.Abolish_type_species.pdf</v>
      </c>
      <c r="U9309" s="43" t="str">
        <f>HYPERLINK("https://ictv.global/taxonomy/taxondetails?taxnode_id=202206175","ictv.global=202206175")</f>
        <v>ictv.global=202206175</v>
      </c>
    </row>
    <row r="9310" spans="1:21">
      <c r="A9310">
        <v>9309</v>
      </c>
      <c r="B9310" s="29" t="s">
        <v>3223</v>
      </c>
      <c r="C9310" s="29"/>
      <c r="D9310" s="29" t="s">
        <v>4156</v>
      </c>
      <c r="E9310" s="29"/>
      <c r="F9310" s="29" t="s">
        <v>4230</v>
      </c>
      <c r="G9310" s="29"/>
      <c r="H9310" s="29" t="s">
        <v>4233</v>
      </c>
      <c r="I9310" s="29"/>
      <c r="J9310" s="29" t="s">
        <v>1065</v>
      </c>
      <c r="K9310" s="29" t="s">
        <v>3134</v>
      </c>
      <c r="L9310" s="29" t="s">
        <v>1606</v>
      </c>
      <c r="M9310" s="29" t="s">
        <v>3144</v>
      </c>
      <c r="N9310" s="29" t="s">
        <v>1607</v>
      </c>
      <c r="O9310" s="29" t="s">
        <v>3145</v>
      </c>
      <c r="P9310" s="29" t="s">
        <v>2156</v>
      </c>
      <c r="Q9310" t="s">
        <v>2040</v>
      </c>
      <c r="R9310" t="s">
        <v>2634</v>
      </c>
      <c r="S9310">
        <v>35</v>
      </c>
      <c r="T9310" s="43" t="str">
        <f t="shared" ref="T9310:T9316" si="400">HYPERLINK("https://ictv.global/ictv/proposals/2019.006G.zip","2019.006G.zip")</f>
        <v>2019.006G.zip</v>
      </c>
      <c r="U9310" s="43" t="str">
        <f>HYPERLINK("https://ictv.global/taxonomy/taxondetails?taxnode_id=202201901","ictv.global=202201901")</f>
        <v>ictv.global=202201901</v>
      </c>
    </row>
    <row r="9311" spans="1:21">
      <c r="A9311">
        <v>9310</v>
      </c>
      <c r="B9311" s="29" t="s">
        <v>3223</v>
      </c>
      <c r="C9311" s="29"/>
      <c r="D9311" s="29" t="s">
        <v>4156</v>
      </c>
      <c r="E9311" s="29"/>
      <c r="F9311" s="29" t="s">
        <v>4230</v>
      </c>
      <c r="G9311" s="29"/>
      <c r="H9311" s="29" t="s">
        <v>4233</v>
      </c>
      <c r="I9311" s="29"/>
      <c r="J9311" s="29" t="s">
        <v>1065</v>
      </c>
      <c r="K9311" s="29" t="s">
        <v>3134</v>
      </c>
      <c r="L9311" s="29" t="s">
        <v>1606</v>
      </c>
      <c r="M9311" s="29" t="s">
        <v>3144</v>
      </c>
      <c r="N9311" s="29" t="s">
        <v>1607</v>
      </c>
      <c r="O9311" s="29" t="s">
        <v>3151</v>
      </c>
      <c r="P9311" s="29" t="s">
        <v>3152</v>
      </c>
      <c r="Q9311" t="s">
        <v>2040</v>
      </c>
      <c r="R9311" t="s">
        <v>2634</v>
      </c>
      <c r="S9311">
        <v>35</v>
      </c>
      <c r="T9311" s="43" t="str">
        <f t="shared" si="400"/>
        <v>2019.006G.zip</v>
      </c>
      <c r="U9311" s="43" t="str">
        <f>HYPERLINK("https://ictv.global/taxonomy/taxondetails?taxnode_id=202201904","ictv.global=202201904")</f>
        <v>ictv.global=202201904</v>
      </c>
    </row>
    <row r="9312" spans="1:21">
      <c r="A9312">
        <v>9311</v>
      </c>
      <c r="B9312" s="29" t="s">
        <v>3223</v>
      </c>
      <c r="C9312" s="29"/>
      <c r="D9312" s="29" t="s">
        <v>4156</v>
      </c>
      <c r="E9312" s="29"/>
      <c r="F9312" s="29" t="s">
        <v>4230</v>
      </c>
      <c r="G9312" s="29"/>
      <c r="H9312" s="29" t="s">
        <v>4233</v>
      </c>
      <c r="I9312" s="29"/>
      <c r="J9312" s="29" t="s">
        <v>1065</v>
      </c>
      <c r="K9312" s="29" t="s">
        <v>3134</v>
      </c>
      <c r="L9312" s="29" t="s">
        <v>1606</v>
      </c>
      <c r="M9312" s="29" t="s">
        <v>3144</v>
      </c>
      <c r="N9312" s="29" t="s">
        <v>1607</v>
      </c>
      <c r="O9312" s="29" t="s">
        <v>3153</v>
      </c>
      <c r="P9312" s="29" t="s">
        <v>2157</v>
      </c>
      <c r="Q9312" t="s">
        <v>2040</v>
      </c>
      <c r="R9312" t="s">
        <v>2634</v>
      </c>
      <c r="S9312">
        <v>35</v>
      </c>
      <c r="T9312" s="43" t="str">
        <f t="shared" si="400"/>
        <v>2019.006G.zip</v>
      </c>
      <c r="U9312" s="43" t="str">
        <f>HYPERLINK("https://ictv.global/taxonomy/taxondetails?taxnode_id=202201902","ictv.global=202201902")</f>
        <v>ictv.global=202201902</v>
      </c>
    </row>
    <row r="9313" spans="1:21">
      <c r="A9313">
        <v>9312</v>
      </c>
      <c r="B9313" s="29" t="s">
        <v>3223</v>
      </c>
      <c r="C9313" s="29"/>
      <c r="D9313" s="29" t="s">
        <v>4156</v>
      </c>
      <c r="E9313" s="29"/>
      <c r="F9313" s="29" t="s">
        <v>4230</v>
      </c>
      <c r="G9313" s="29"/>
      <c r="H9313" s="29" t="s">
        <v>4233</v>
      </c>
      <c r="I9313" s="29"/>
      <c r="J9313" s="29" t="s">
        <v>1065</v>
      </c>
      <c r="K9313" s="29" t="s">
        <v>3134</v>
      </c>
      <c r="L9313" s="29" t="s">
        <v>1606</v>
      </c>
      <c r="M9313" s="29" t="s">
        <v>3144</v>
      </c>
      <c r="N9313" s="29" t="s">
        <v>1607</v>
      </c>
      <c r="O9313" s="29" t="s">
        <v>3146</v>
      </c>
      <c r="P9313" s="29" t="s">
        <v>3147</v>
      </c>
      <c r="Q9313" t="s">
        <v>2040</v>
      </c>
      <c r="R9313" t="s">
        <v>2634</v>
      </c>
      <c r="S9313">
        <v>35</v>
      </c>
      <c r="T9313" s="43" t="str">
        <f t="shared" si="400"/>
        <v>2019.006G.zip</v>
      </c>
      <c r="U9313" s="43" t="str">
        <f>HYPERLINK("https://ictv.global/taxonomy/taxondetails?taxnode_id=202206168","ictv.global=202206168")</f>
        <v>ictv.global=202206168</v>
      </c>
    </row>
    <row r="9314" spans="1:21">
      <c r="A9314">
        <v>9313</v>
      </c>
      <c r="B9314" s="29" t="s">
        <v>3223</v>
      </c>
      <c r="C9314" s="29"/>
      <c r="D9314" s="29" t="s">
        <v>4156</v>
      </c>
      <c r="E9314" s="29"/>
      <c r="F9314" s="29" t="s">
        <v>4230</v>
      </c>
      <c r="G9314" s="29"/>
      <c r="H9314" s="29" t="s">
        <v>4233</v>
      </c>
      <c r="I9314" s="29"/>
      <c r="J9314" s="29" t="s">
        <v>1065</v>
      </c>
      <c r="K9314" s="29" t="s">
        <v>3134</v>
      </c>
      <c r="L9314" s="29" t="s">
        <v>1606</v>
      </c>
      <c r="M9314" s="29" t="s">
        <v>3144</v>
      </c>
      <c r="N9314" s="29" t="s">
        <v>1607</v>
      </c>
      <c r="O9314" s="29" t="s">
        <v>3148</v>
      </c>
      <c r="P9314" s="29" t="s">
        <v>2154</v>
      </c>
      <c r="Q9314" t="s">
        <v>2040</v>
      </c>
      <c r="R9314" t="s">
        <v>2634</v>
      </c>
      <c r="S9314">
        <v>35</v>
      </c>
      <c r="T9314" s="43" t="str">
        <f t="shared" si="400"/>
        <v>2019.006G.zip</v>
      </c>
      <c r="U9314" s="43" t="str">
        <f>HYPERLINK("https://ictv.global/taxonomy/taxondetails?taxnode_id=202201899","ictv.global=202201899")</f>
        <v>ictv.global=202201899</v>
      </c>
    </row>
    <row r="9315" spans="1:21">
      <c r="A9315">
        <v>9314</v>
      </c>
      <c r="B9315" s="29" t="s">
        <v>3223</v>
      </c>
      <c r="C9315" s="29"/>
      <c r="D9315" s="29" t="s">
        <v>4156</v>
      </c>
      <c r="E9315" s="29"/>
      <c r="F9315" s="29" t="s">
        <v>4230</v>
      </c>
      <c r="G9315" s="29"/>
      <c r="H9315" s="29" t="s">
        <v>4233</v>
      </c>
      <c r="I9315" s="29"/>
      <c r="J9315" s="29" t="s">
        <v>1065</v>
      </c>
      <c r="K9315" s="29" t="s">
        <v>3134</v>
      </c>
      <c r="L9315" s="29" t="s">
        <v>1606</v>
      </c>
      <c r="M9315" s="29" t="s">
        <v>3144</v>
      </c>
      <c r="N9315" s="29" t="s">
        <v>1607</v>
      </c>
      <c r="O9315" s="29" t="s">
        <v>3148</v>
      </c>
      <c r="P9315" s="29" t="s">
        <v>2155</v>
      </c>
      <c r="Q9315" t="s">
        <v>2040</v>
      </c>
      <c r="R9315" t="s">
        <v>2634</v>
      </c>
      <c r="S9315">
        <v>35</v>
      </c>
      <c r="T9315" s="43" t="str">
        <f t="shared" si="400"/>
        <v>2019.006G.zip</v>
      </c>
      <c r="U9315" s="43" t="str">
        <f>HYPERLINK("https://ictv.global/taxonomy/taxondetails?taxnode_id=202201900","ictv.global=202201900")</f>
        <v>ictv.global=202201900</v>
      </c>
    </row>
    <row r="9316" spans="1:21">
      <c r="A9316">
        <v>9315</v>
      </c>
      <c r="B9316" s="29" t="s">
        <v>3223</v>
      </c>
      <c r="C9316" s="29"/>
      <c r="D9316" s="29" t="s">
        <v>4156</v>
      </c>
      <c r="E9316" s="29"/>
      <c r="F9316" s="29" t="s">
        <v>4230</v>
      </c>
      <c r="G9316" s="29"/>
      <c r="H9316" s="29" t="s">
        <v>4233</v>
      </c>
      <c r="I9316" s="29"/>
      <c r="J9316" s="29" t="s">
        <v>1065</v>
      </c>
      <c r="K9316" s="29" t="s">
        <v>3134</v>
      </c>
      <c r="L9316" s="29" t="s">
        <v>1606</v>
      </c>
      <c r="M9316" s="29" t="s">
        <v>3144</v>
      </c>
      <c r="N9316" s="29" t="s">
        <v>1607</v>
      </c>
      <c r="O9316" s="29" t="s">
        <v>3160</v>
      </c>
      <c r="P9316" s="29" t="s">
        <v>3161</v>
      </c>
      <c r="Q9316" t="s">
        <v>2040</v>
      </c>
      <c r="R9316" t="s">
        <v>2634</v>
      </c>
      <c r="S9316">
        <v>35</v>
      </c>
      <c r="T9316" s="43" t="str">
        <f t="shared" si="400"/>
        <v>2019.006G.zip</v>
      </c>
      <c r="U9316" s="43" t="str">
        <f>HYPERLINK("https://ictv.global/taxonomy/taxondetails?taxnode_id=202201905","ictv.global=202201905")</f>
        <v>ictv.global=202201905</v>
      </c>
    </row>
    <row r="9317" spans="1:21">
      <c r="A9317">
        <v>9316</v>
      </c>
      <c r="B9317" s="29" t="s">
        <v>3223</v>
      </c>
      <c r="C9317" s="29"/>
      <c r="D9317" s="29" t="s">
        <v>4156</v>
      </c>
      <c r="E9317" s="29"/>
      <c r="F9317" s="29" t="s">
        <v>4230</v>
      </c>
      <c r="G9317" s="29"/>
      <c r="H9317" s="29" t="s">
        <v>4233</v>
      </c>
      <c r="I9317" s="29"/>
      <c r="J9317" s="29" t="s">
        <v>1065</v>
      </c>
      <c r="K9317" s="29" t="s">
        <v>3134</v>
      </c>
      <c r="L9317" s="29" t="s">
        <v>1606</v>
      </c>
      <c r="M9317" s="29" t="s">
        <v>3144</v>
      </c>
      <c r="N9317" s="29" t="s">
        <v>1607</v>
      </c>
      <c r="O9317" s="29" t="s">
        <v>3168</v>
      </c>
      <c r="P9317" s="29" t="s">
        <v>1608</v>
      </c>
      <c r="Q9317" t="s">
        <v>2040</v>
      </c>
      <c r="R9317" t="s">
        <v>6901</v>
      </c>
      <c r="S9317">
        <v>36</v>
      </c>
      <c r="T9317" s="43" t="str">
        <f>HYPERLINK("https://ictv.global/ictv/proposals/2020.001G.R.Abolish_type_species.pdf","2020.001G.R.Abolish_type_species.pdf")</f>
        <v>2020.001G.R.Abolish_type_species.pdf</v>
      </c>
      <c r="U9317" s="43" t="str">
        <f>HYPERLINK("https://ictv.global/taxonomy/taxondetails?taxnode_id=202201898","ictv.global=202201898")</f>
        <v>ictv.global=202201898</v>
      </c>
    </row>
    <row r="9318" spans="1:21">
      <c r="A9318">
        <v>9317</v>
      </c>
      <c r="B9318" s="29" t="s">
        <v>3223</v>
      </c>
      <c r="C9318" s="29"/>
      <c r="D9318" s="29" t="s">
        <v>4156</v>
      </c>
      <c r="E9318" s="29"/>
      <c r="F9318" s="29" t="s">
        <v>4230</v>
      </c>
      <c r="G9318" s="29"/>
      <c r="H9318" s="29" t="s">
        <v>4233</v>
      </c>
      <c r="I9318" s="29"/>
      <c r="J9318" s="29" t="s">
        <v>1065</v>
      </c>
      <c r="K9318" s="29" t="s">
        <v>3134</v>
      </c>
      <c r="L9318" s="29" t="s">
        <v>1606</v>
      </c>
      <c r="M9318" s="29" t="s">
        <v>3144</v>
      </c>
      <c r="N9318" s="29" t="s">
        <v>1607</v>
      </c>
      <c r="O9318" s="29" t="s">
        <v>3168</v>
      </c>
      <c r="P9318" s="29" t="s">
        <v>4262</v>
      </c>
      <c r="Q9318" t="s">
        <v>2040</v>
      </c>
      <c r="R9318" t="s">
        <v>2632</v>
      </c>
      <c r="S9318">
        <v>35</v>
      </c>
      <c r="T9318" s="43" t="str">
        <f>HYPERLINK("https://ictv.global/ictv/proposals/2019.020S-023S.zip","2019.020S-023S.zip")</f>
        <v>2019.020S-023S.zip</v>
      </c>
      <c r="U9318" s="43" t="str">
        <f>HYPERLINK("https://ictv.global/taxonomy/taxondetails?taxnode_id=202207509","ictv.global=202207509")</f>
        <v>ictv.global=202207509</v>
      </c>
    </row>
    <row r="9319" spans="1:21">
      <c r="A9319">
        <v>9318</v>
      </c>
      <c r="B9319" s="29" t="s">
        <v>3223</v>
      </c>
      <c r="C9319" s="29"/>
      <c r="D9319" s="29" t="s">
        <v>4156</v>
      </c>
      <c r="E9319" s="29"/>
      <c r="F9319" s="29" t="s">
        <v>4230</v>
      </c>
      <c r="G9319" s="29"/>
      <c r="H9319" s="29" t="s">
        <v>4233</v>
      </c>
      <c r="I9319" s="29"/>
      <c r="J9319" s="29" t="s">
        <v>1065</v>
      </c>
      <c r="K9319" s="29" t="s">
        <v>3134</v>
      </c>
      <c r="L9319" s="29" t="s">
        <v>1606</v>
      </c>
      <c r="M9319" s="29" t="s">
        <v>3144</v>
      </c>
      <c r="N9319" s="29" t="s">
        <v>1607</v>
      </c>
      <c r="O9319" s="29" t="s">
        <v>3149</v>
      </c>
      <c r="P9319" s="29" t="s">
        <v>3150</v>
      </c>
      <c r="Q9319" t="s">
        <v>2040</v>
      </c>
      <c r="R9319" t="s">
        <v>2634</v>
      </c>
      <c r="S9319">
        <v>35</v>
      </c>
      <c r="T9319" s="43" t="str">
        <f>HYPERLINK("https://ictv.global/ictv/proposals/2019.006G.zip","2019.006G.zip")</f>
        <v>2019.006G.zip</v>
      </c>
      <c r="U9319" s="43" t="str">
        <f>HYPERLINK("https://ictv.global/taxonomy/taxondetails?taxnode_id=202206127","ictv.global=202206127")</f>
        <v>ictv.global=202206127</v>
      </c>
    </row>
    <row r="9320" spans="1:21">
      <c r="A9320">
        <v>9319</v>
      </c>
      <c r="B9320" s="29" t="s">
        <v>3223</v>
      </c>
      <c r="C9320" s="29"/>
      <c r="D9320" s="29" t="s">
        <v>4156</v>
      </c>
      <c r="E9320" s="29"/>
      <c r="F9320" s="29" t="s">
        <v>4230</v>
      </c>
      <c r="G9320" s="29"/>
      <c r="H9320" s="29" t="s">
        <v>4233</v>
      </c>
      <c r="I9320" s="29"/>
      <c r="J9320" s="29" t="s">
        <v>1065</v>
      </c>
      <c r="K9320" s="29" t="s">
        <v>3134</v>
      </c>
      <c r="L9320" s="29" t="s">
        <v>1606</v>
      </c>
      <c r="M9320" s="29" t="s">
        <v>3144</v>
      </c>
      <c r="N9320" s="29" t="s">
        <v>1607</v>
      </c>
      <c r="O9320" s="29" t="s">
        <v>14076</v>
      </c>
      <c r="P9320" s="29" t="s">
        <v>14077</v>
      </c>
      <c r="Q9320" t="s">
        <v>2040</v>
      </c>
      <c r="R9320" t="s">
        <v>2632</v>
      </c>
      <c r="S9320">
        <v>37</v>
      </c>
      <c r="T9320" s="43" t="str">
        <f>HYPERLINK("https://ictv.global/ictv/proposals/2021.005S.R.Nidovirales.zip","2021.005S.R.Nidovirales.zip")</f>
        <v>2021.005S.R.Nidovirales.zip</v>
      </c>
      <c r="U9320" s="43" t="str">
        <f>HYPERLINK("https://ictv.global/taxonomy/taxondetails?taxnode_id=202213940","ictv.global=202213940")</f>
        <v>ictv.global=202213940</v>
      </c>
    </row>
    <row r="9321" spans="1:21">
      <c r="A9321">
        <v>9320</v>
      </c>
      <c r="B9321" s="29" t="s">
        <v>3223</v>
      </c>
      <c r="C9321" s="29"/>
      <c r="D9321" s="29" t="s">
        <v>4156</v>
      </c>
      <c r="E9321" s="29"/>
      <c r="F9321" s="29" t="s">
        <v>4230</v>
      </c>
      <c r="G9321" s="29"/>
      <c r="H9321" s="29" t="s">
        <v>4233</v>
      </c>
      <c r="I9321" s="29"/>
      <c r="J9321" s="29" t="s">
        <v>1065</v>
      </c>
      <c r="K9321" s="29" t="s">
        <v>3134</v>
      </c>
      <c r="L9321" s="29" t="s">
        <v>1606</v>
      </c>
      <c r="M9321" s="29" t="s">
        <v>14078</v>
      </c>
      <c r="N9321" s="29" t="s">
        <v>14079</v>
      </c>
      <c r="O9321" s="29" t="s">
        <v>14080</v>
      </c>
      <c r="P9321" s="29" t="s">
        <v>14081</v>
      </c>
      <c r="Q9321" t="s">
        <v>2040</v>
      </c>
      <c r="R9321" t="s">
        <v>2632</v>
      </c>
      <c r="S9321">
        <v>37</v>
      </c>
      <c r="T9321" s="43" t="str">
        <f>HYPERLINK("https://ictv.global/ictv/proposals/2021.005S.R.Nidovirales.zip","2021.005S.R.Nidovirales.zip")</f>
        <v>2021.005S.R.Nidovirales.zip</v>
      </c>
      <c r="U9321" s="43" t="str">
        <f>HYPERLINK("https://ictv.global/taxonomy/taxondetails?taxnode_id=202213938","ictv.global=202213938")</f>
        <v>ictv.global=202213938</v>
      </c>
    </row>
    <row r="9322" spans="1:21">
      <c r="A9322">
        <v>9321</v>
      </c>
      <c r="B9322" s="29" t="s">
        <v>3223</v>
      </c>
      <c r="C9322" s="29"/>
      <c r="D9322" s="29" t="s">
        <v>4156</v>
      </c>
      <c r="E9322" s="29"/>
      <c r="F9322" s="29" t="s">
        <v>4230</v>
      </c>
      <c r="G9322" s="29"/>
      <c r="H9322" s="29" t="s">
        <v>4233</v>
      </c>
      <c r="I9322" s="29"/>
      <c r="J9322" s="29" t="s">
        <v>1065</v>
      </c>
      <c r="K9322" s="29" t="s">
        <v>3134</v>
      </c>
      <c r="L9322" s="29" t="s">
        <v>1606</v>
      </c>
      <c r="M9322" s="29" t="s">
        <v>14082</v>
      </c>
      <c r="N9322" s="29" t="s">
        <v>14083</v>
      </c>
      <c r="O9322" s="29" t="s">
        <v>14084</v>
      </c>
      <c r="P9322" s="29" t="s">
        <v>14085</v>
      </c>
      <c r="Q9322" t="s">
        <v>2040</v>
      </c>
      <c r="R9322" t="s">
        <v>2632</v>
      </c>
      <c r="S9322">
        <v>37</v>
      </c>
      <c r="T9322" s="43" t="str">
        <f>HYPERLINK("https://ictv.global/ictv/proposals/2021.005S.R.Nidovirales.zip","2021.005S.R.Nidovirales.zip")</f>
        <v>2021.005S.R.Nidovirales.zip</v>
      </c>
      <c r="U9322" s="43" t="str">
        <f>HYPERLINK("https://ictv.global/taxonomy/taxondetails?taxnode_id=202213934","ictv.global=202213934")</f>
        <v>ictv.global=202213934</v>
      </c>
    </row>
    <row r="9323" spans="1:21">
      <c r="A9323">
        <v>9322</v>
      </c>
      <c r="B9323" s="29" t="s">
        <v>3223</v>
      </c>
      <c r="C9323" s="29"/>
      <c r="D9323" s="29" t="s">
        <v>4156</v>
      </c>
      <c r="E9323" s="29"/>
      <c r="F9323" s="29" t="s">
        <v>4230</v>
      </c>
      <c r="G9323" s="29"/>
      <c r="H9323" s="29" t="s">
        <v>4233</v>
      </c>
      <c r="I9323" s="29"/>
      <c r="J9323" s="29" t="s">
        <v>1065</v>
      </c>
      <c r="K9323" s="29" t="s">
        <v>3134</v>
      </c>
      <c r="L9323" s="29" t="s">
        <v>1606</v>
      </c>
      <c r="M9323" s="29" t="s">
        <v>14082</v>
      </c>
      <c r="N9323" s="29" t="s">
        <v>14086</v>
      </c>
      <c r="O9323" s="29" t="s">
        <v>14087</v>
      </c>
      <c r="P9323" s="29" t="s">
        <v>14088</v>
      </c>
      <c r="Q9323" t="s">
        <v>2040</v>
      </c>
      <c r="R9323" t="s">
        <v>2632</v>
      </c>
      <c r="S9323">
        <v>37</v>
      </c>
      <c r="T9323" s="43" t="str">
        <f>HYPERLINK("https://ictv.global/ictv/proposals/2021.005S.R.Nidovirales.zip","2021.005S.R.Nidovirales.zip")</f>
        <v>2021.005S.R.Nidovirales.zip</v>
      </c>
      <c r="U9323" s="43" t="str">
        <f>HYPERLINK("https://ictv.global/taxonomy/taxondetails?taxnode_id=202213931","ictv.global=202213931")</f>
        <v>ictv.global=202213931</v>
      </c>
    </row>
    <row r="9324" spans="1:21">
      <c r="A9324">
        <v>9323</v>
      </c>
      <c r="B9324" s="29" t="s">
        <v>3223</v>
      </c>
      <c r="C9324" s="29"/>
      <c r="D9324" s="29" t="s">
        <v>4156</v>
      </c>
      <c r="E9324" s="29"/>
      <c r="F9324" s="29" t="s">
        <v>4230</v>
      </c>
      <c r="G9324" s="29"/>
      <c r="H9324" s="29" t="s">
        <v>4233</v>
      </c>
      <c r="I9324" s="29"/>
      <c r="J9324" s="29" t="s">
        <v>1065</v>
      </c>
      <c r="K9324" s="29" t="s">
        <v>3154</v>
      </c>
      <c r="L9324" s="29" t="s">
        <v>3155</v>
      </c>
      <c r="M9324" s="29" t="s">
        <v>3156</v>
      </c>
      <c r="N9324" s="29" t="s">
        <v>3157</v>
      </c>
      <c r="O9324" s="29" t="s">
        <v>3158</v>
      </c>
      <c r="P9324" s="29" t="s">
        <v>3159</v>
      </c>
      <c r="Q9324" t="s">
        <v>2040</v>
      </c>
      <c r="R9324" t="s">
        <v>6901</v>
      </c>
      <c r="S9324">
        <v>36</v>
      </c>
      <c r="T9324" s="43" t="str">
        <f>HYPERLINK("https://ictv.global/ictv/proposals/2020.001G.R.Abolish_type_species.pdf","2020.001G.R.Abolish_type_species.pdf")</f>
        <v>2020.001G.R.Abolish_type_species.pdf</v>
      </c>
      <c r="U9324" s="43" t="str">
        <f>HYPERLINK("https://ictv.global/taxonomy/taxondetails?taxnode_id=202206206","ictv.global=202206206")</f>
        <v>ictv.global=202206206</v>
      </c>
    </row>
    <row r="9325" spans="1:21">
      <c r="A9325">
        <v>9324</v>
      </c>
      <c r="B9325" s="29" t="s">
        <v>3223</v>
      </c>
      <c r="C9325" s="29"/>
      <c r="D9325" s="29" t="s">
        <v>4156</v>
      </c>
      <c r="E9325" s="29"/>
      <c r="F9325" s="29" t="s">
        <v>4230</v>
      </c>
      <c r="G9325" s="29"/>
      <c r="H9325" s="29" t="s">
        <v>4233</v>
      </c>
      <c r="I9325" s="29"/>
      <c r="J9325" s="29" t="s">
        <v>1065</v>
      </c>
      <c r="K9325" s="29" t="s">
        <v>4263</v>
      </c>
      <c r="L9325" s="29" t="s">
        <v>4264</v>
      </c>
      <c r="M9325" s="29" t="s">
        <v>4265</v>
      </c>
      <c r="N9325" s="29" t="s">
        <v>4266</v>
      </c>
      <c r="O9325" s="29"/>
      <c r="P9325" s="29" t="s">
        <v>4267</v>
      </c>
      <c r="Q9325" t="s">
        <v>2040</v>
      </c>
      <c r="R9325" t="s">
        <v>6901</v>
      </c>
      <c r="S9325">
        <v>36</v>
      </c>
      <c r="T9325" s="43" t="str">
        <f>HYPERLINK("https://ictv.global/ictv/proposals/2020.001G.R.Abolish_type_species.pdf","2020.001G.R.Abolish_type_species.pdf")</f>
        <v>2020.001G.R.Abolish_type_species.pdf</v>
      </c>
      <c r="U9325" s="43" t="str">
        <f>HYPERLINK("https://ictv.global/taxonomy/taxondetails?taxnode_id=202207489","ictv.global=202207489")</f>
        <v>ictv.global=202207489</v>
      </c>
    </row>
    <row r="9326" spans="1:21">
      <c r="A9326">
        <v>9325</v>
      </c>
      <c r="B9326" s="29" t="s">
        <v>3223</v>
      </c>
      <c r="C9326" s="29"/>
      <c r="D9326" s="29" t="s">
        <v>4156</v>
      </c>
      <c r="E9326" s="29"/>
      <c r="F9326" s="29" t="s">
        <v>4230</v>
      </c>
      <c r="G9326" s="29"/>
      <c r="H9326" s="29" t="s">
        <v>4233</v>
      </c>
      <c r="I9326" s="29"/>
      <c r="J9326" s="29" t="s">
        <v>1065</v>
      </c>
      <c r="K9326" s="29" t="s">
        <v>4263</v>
      </c>
      <c r="L9326" s="29" t="s">
        <v>4268</v>
      </c>
      <c r="M9326" s="29" t="s">
        <v>4269</v>
      </c>
      <c r="N9326" s="29" t="s">
        <v>4270</v>
      </c>
      <c r="O9326" s="29"/>
      <c r="P9326" s="29" t="s">
        <v>4271</v>
      </c>
      <c r="Q9326" t="s">
        <v>2040</v>
      </c>
      <c r="R9326" t="s">
        <v>6901</v>
      </c>
      <c r="S9326">
        <v>36</v>
      </c>
      <c r="T9326" s="43" t="str">
        <f>HYPERLINK("https://ictv.global/ictv/proposals/2020.001G.R.Abolish_type_species.pdf","2020.001G.R.Abolish_type_species.pdf")</f>
        <v>2020.001G.R.Abolish_type_species.pdf</v>
      </c>
      <c r="U9326" s="43" t="str">
        <f>HYPERLINK("https://ictv.global/taxonomy/taxondetails?taxnode_id=202207485","ictv.global=202207485")</f>
        <v>ictv.global=202207485</v>
      </c>
    </row>
    <row r="9327" spans="1:21">
      <c r="A9327">
        <v>9326</v>
      </c>
      <c r="B9327" s="29" t="s">
        <v>3223</v>
      </c>
      <c r="C9327" s="29"/>
      <c r="D9327" s="29" t="s">
        <v>4156</v>
      </c>
      <c r="E9327" s="29"/>
      <c r="F9327" s="29" t="s">
        <v>4230</v>
      </c>
      <c r="G9327" s="29"/>
      <c r="H9327" s="29" t="s">
        <v>4233</v>
      </c>
      <c r="I9327" s="29"/>
      <c r="J9327" s="29" t="s">
        <v>1065</v>
      </c>
      <c r="K9327" s="29" t="s">
        <v>3162</v>
      </c>
      <c r="L9327" s="29" t="s">
        <v>3163</v>
      </c>
      <c r="M9327" s="29" t="s">
        <v>3164</v>
      </c>
      <c r="N9327" s="29" t="s">
        <v>3165</v>
      </c>
      <c r="O9327" s="29" t="s">
        <v>3166</v>
      </c>
      <c r="P9327" s="29" t="s">
        <v>3167</v>
      </c>
      <c r="Q9327" t="s">
        <v>2040</v>
      </c>
      <c r="R9327" t="s">
        <v>6901</v>
      </c>
      <c r="S9327">
        <v>36</v>
      </c>
      <c r="T9327" s="43" t="str">
        <f>HYPERLINK("https://ictv.global/ictv/proposals/2020.001G.R.Abolish_type_species.pdf","2020.001G.R.Abolish_type_species.pdf")</f>
        <v>2020.001G.R.Abolish_type_species.pdf</v>
      </c>
      <c r="U9327" s="43" t="str">
        <f>HYPERLINK("https://ictv.global/taxonomy/taxondetails?taxnode_id=202206188","ictv.global=202206188")</f>
        <v>ictv.global=202206188</v>
      </c>
    </row>
    <row r="9328" spans="1:21">
      <c r="A9328">
        <v>9327</v>
      </c>
      <c r="B9328" s="29" t="s">
        <v>3223</v>
      </c>
      <c r="C9328" s="29"/>
      <c r="D9328" s="29" t="s">
        <v>4156</v>
      </c>
      <c r="E9328" s="29"/>
      <c r="F9328" s="29" t="s">
        <v>4230</v>
      </c>
      <c r="G9328" s="29"/>
      <c r="H9328" s="29" t="s">
        <v>4233</v>
      </c>
      <c r="I9328" s="29"/>
      <c r="J9328" s="29" t="s">
        <v>1065</v>
      </c>
      <c r="K9328" s="29" t="s">
        <v>3162</v>
      </c>
      <c r="L9328" s="29" t="s">
        <v>3163</v>
      </c>
      <c r="M9328" s="29" t="s">
        <v>3164</v>
      </c>
      <c r="N9328" s="29" t="s">
        <v>3165</v>
      </c>
      <c r="O9328" s="29" t="s">
        <v>3169</v>
      </c>
      <c r="P9328" s="29" t="s">
        <v>3170</v>
      </c>
      <c r="Q9328" t="s">
        <v>2040</v>
      </c>
      <c r="R9328" t="s">
        <v>2634</v>
      </c>
      <c r="S9328">
        <v>35</v>
      </c>
      <c r="T9328" s="43" t="str">
        <f>HYPERLINK("https://ictv.global/ictv/proposals/2019.006G.zip","2019.006G.zip")</f>
        <v>2019.006G.zip</v>
      </c>
      <c r="U9328" s="43" t="str">
        <f>HYPERLINK("https://ictv.global/taxonomy/taxondetails?taxnode_id=202206190","ictv.global=202206190")</f>
        <v>ictv.global=202206190</v>
      </c>
    </row>
    <row r="9329" spans="1:21">
      <c r="A9329">
        <v>9328</v>
      </c>
      <c r="B9329" s="29" t="s">
        <v>3223</v>
      </c>
      <c r="C9329" s="29"/>
      <c r="D9329" s="29" t="s">
        <v>4156</v>
      </c>
      <c r="E9329" s="29"/>
      <c r="F9329" s="29" t="s">
        <v>4230</v>
      </c>
      <c r="G9329" s="29"/>
      <c r="H9329" s="29" t="s">
        <v>4233</v>
      </c>
      <c r="I9329" s="29"/>
      <c r="J9329" s="29" t="s">
        <v>1065</v>
      </c>
      <c r="K9329" s="29" t="s">
        <v>3162</v>
      </c>
      <c r="L9329" s="29" t="s">
        <v>3163</v>
      </c>
      <c r="M9329" s="29" t="s">
        <v>3164</v>
      </c>
      <c r="N9329" s="29" t="s">
        <v>3171</v>
      </c>
      <c r="O9329" s="29" t="s">
        <v>3172</v>
      </c>
      <c r="P9329" s="29" t="s">
        <v>3173</v>
      </c>
      <c r="Q9329" t="s">
        <v>2040</v>
      </c>
      <c r="R9329" t="s">
        <v>2634</v>
      </c>
      <c r="S9329">
        <v>37</v>
      </c>
      <c r="T9329" s="43" t="str">
        <f>HYPERLINK("https://ictv.global/ictv/proposals/2021.005S.R.Nidovirales.zip","2021.005S.R.Nidovirales.zip")</f>
        <v>2021.005S.R.Nidovirales.zip</v>
      </c>
      <c r="U9329" s="43" t="str">
        <f>HYPERLINK("https://ictv.global/taxonomy/taxondetails?taxnode_id=202206194","ictv.global=202206194")</f>
        <v>ictv.global=202206194</v>
      </c>
    </row>
    <row r="9330" spans="1:21">
      <c r="A9330">
        <v>9329</v>
      </c>
      <c r="B9330" s="29" t="s">
        <v>3223</v>
      </c>
      <c r="C9330" s="29"/>
      <c r="D9330" s="29" t="s">
        <v>4156</v>
      </c>
      <c r="E9330" s="29"/>
      <c r="F9330" s="29" t="s">
        <v>4230</v>
      </c>
      <c r="G9330" s="29"/>
      <c r="H9330" s="29" t="s">
        <v>4233</v>
      </c>
      <c r="I9330" s="29"/>
      <c r="J9330" s="29" t="s">
        <v>1065</v>
      </c>
      <c r="K9330" s="29" t="s">
        <v>3162</v>
      </c>
      <c r="L9330" s="29" t="s">
        <v>804</v>
      </c>
      <c r="M9330" s="29" t="s">
        <v>3174</v>
      </c>
      <c r="N9330" s="29" t="s">
        <v>14089</v>
      </c>
      <c r="O9330" s="29" t="s">
        <v>14090</v>
      </c>
      <c r="P9330" s="29" t="s">
        <v>14091</v>
      </c>
      <c r="Q9330" t="s">
        <v>2040</v>
      </c>
      <c r="R9330" t="s">
        <v>2632</v>
      </c>
      <c r="S9330">
        <v>37</v>
      </c>
      <c r="T9330" s="43" t="str">
        <f>HYPERLINK("https://ictv.global/ictv/proposals/2021.005S.R.Nidovirales.zip","2021.005S.R.Nidovirales.zip")</f>
        <v>2021.005S.R.Nidovirales.zip</v>
      </c>
      <c r="U9330" s="43" t="str">
        <f>HYPERLINK("https://ictv.global/taxonomy/taxondetails?taxnode_id=202213943","ictv.global=202213943")</f>
        <v>ictv.global=202213943</v>
      </c>
    </row>
    <row r="9331" spans="1:21">
      <c r="A9331">
        <v>9330</v>
      </c>
      <c r="B9331" s="29" t="s">
        <v>3223</v>
      </c>
      <c r="C9331" s="29"/>
      <c r="D9331" s="29" t="s">
        <v>4156</v>
      </c>
      <c r="E9331" s="29"/>
      <c r="F9331" s="29" t="s">
        <v>4230</v>
      </c>
      <c r="G9331" s="29"/>
      <c r="H9331" s="29" t="s">
        <v>4233</v>
      </c>
      <c r="I9331" s="29"/>
      <c r="J9331" s="29" t="s">
        <v>1065</v>
      </c>
      <c r="K9331" s="29" t="s">
        <v>3162</v>
      </c>
      <c r="L9331" s="29" t="s">
        <v>804</v>
      </c>
      <c r="M9331" s="29" t="s">
        <v>3174</v>
      </c>
      <c r="N9331" s="29" t="s">
        <v>805</v>
      </c>
      <c r="O9331" s="29" t="s">
        <v>3175</v>
      </c>
      <c r="P9331" s="29" t="s">
        <v>14092</v>
      </c>
      <c r="Q9331" t="s">
        <v>2040</v>
      </c>
      <c r="R9331" t="s">
        <v>2635</v>
      </c>
      <c r="S9331">
        <v>38</v>
      </c>
      <c r="T9331" s="43" t="str">
        <f>HYPERLINK("https://ictv.global/ictv/proposals/2022.005S.Roniviridae_rename.zip","2022.005S.Roniviridae_rename.zip")</f>
        <v>2022.005S.Roniviridae_rename.zip</v>
      </c>
      <c r="U9331" s="43" t="str">
        <f>HYPERLINK("https://ictv.global/taxonomy/taxondetails?taxnode_id=202201909","ictv.global=202201909")</f>
        <v>ictv.global=202201909</v>
      </c>
    </row>
    <row r="9332" spans="1:21">
      <c r="A9332">
        <v>9331</v>
      </c>
      <c r="B9332" s="29" t="s">
        <v>3223</v>
      </c>
      <c r="C9332" s="29"/>
      <c r="D9332" s="29" t="s">
        <v>4156</v>
      </c>
      <c r="E9332" s="29"/>
      <c r="F9332" s="29" t="s">
        <v>4230</v>
      </c>
      <c r="G9332" s="29"/>
      <c r="H9332" s="29" t="s">
        <v>4233</v>
      </c>
      <c r="I9332" s="29"/>
      <c r="J9332" s="29" t="s">
        <v>1065</v>
      </c>
      <c r="K9332" s="29" t="s">
        <v>3162</v>
      </c>
      <c r="L9332" s="29" t="s">
        <v>804</v>
      </c>
      <c r="M9332" s="29" t="s">
        <v>3174</v>
      </c>
      <c r="N9332" s="29" t="s">
        <v>805</v>
      </c>
      <c r="O9332" s="29" t="s">
        <v>3175</v>
      </c>
      <c r="P9332" s="29" t="s">
        <v>14093</v>
      </c>
      <c r="Q9332" t="s">
        <v>2040</v>
      </c>
      <c r="R9332" t="s">
        <v>2635</v>
      </c>
      <c r="S9332">
        <v>38</v>
      </c>
      <c r="T9332" s="43" t="str">
        <f>HYPERLINK("https://ictv.global/ictv/proposals/2022.005S.Roniviridae_rename.zip","2022.005S.Roniviridae_rename.zip")</f>
        <v>2022.005S.Roniviridae_rename.zip</v>
      </c>
      <c r="U9332" s="43" t="str">
        <f>HYPERLINK("https://ictv.global/taxonomy/taxondetails?taxnode_id=202206183","ictv.global=202206183")</f>
        <v>ictv.global=202206183</v>
      </c>
    </row>
    <row r="9333" spans="1:21">
      <c r="A9333">
        <v>9332</v>
      </c>
      <c r="B9333" s="29" t="s">
        <v>3223</v>
      </c>
      <c r="C9333" s="29"/>
      <c r="D9333" s="29" t="s">
        <v>4156</v>
      </c>
      <c r="E9333" s="29"/>
      <c r="F9333" s="29" t="s">
        <v>4230</v>
      </c>
      <c r="G9333" s="29"/>
      <c r="H9333" s="29" t="s">
        <v>4233</v>
      </c>
      <c r="I9333" s="29"/>
      <c r="J9333" s="29" t="s">
        <v>1065</v>
      </c>
      <c r="K9333" s="29" t="s">
        <v>3162</v>
      </c>
      <c r="L9333" s="29" t="s">
        <v>804</v>
      </c>
      <c r="M9333" s="29" t="s">
        <v>3174</v>
      </c>
      <c r="N9333" s="29" t="s">
        <v>805</v>
      </c>
      <c r="O9333" s="29" t="s">
        <v>3175</v>
      </c>
      <c r="P9333" s="29" t="s">
        <v>14094</v>
      </c>
      <c r="Q9333" t="s">
        <v>2040</v>
      </c>
      <c r="R9333" t="s">
        <v>2635</v>
      </c>
      <c r="S9333">
        <v>38</v>
      </c>
      <c r="T9333" s="43" t="str">
        <f>HYPERLINK("https://ictv.global/ictv/proposals/2022.005S.Roniviridae_rename.zip","2022.005S.Roniviridae_rename.zip")</f>
        <v>2022.005S.Roniviridae_rename.zip</v>
      </c>
      <c r="U9333" s="43" t="str">
        <f>HYPERLINK("https://ictv.global/taxonomy/taxondetails?taxnode_id=202207510","ictv.global=202207510")</f>
        <v>ictv.global=202207510</v>
      </c>
    </row>
    <row r="9334" spans="1:21">
      <c r="A9334">
        <v>9333</v>
      </c>
      <c r="B9334" s="29" t="s">
        <v>3223</v>
      </c>
      <c r="C9334" s="29"/>
      <c r="D9334" s="29" t="s">
        <v>4156</v>
      </c>
      <c r="E9334" s="29"/>
      <c r="F9334" s="29" t="s">
        <v>4230</v>
      </c>
      <c r="G9334" s="29"/>
      <c r="H9334" s="29" t="s">
        <v>4233</v>
      </c>
      <c r="I9334" s="29"/>
      <c r="J9334" s="29" t="s">
        <v>1065</v>
      </c>
      <c r="K9334" s="29" t="s">
        <v>3176</v>
      </c>
      <c r="L9334" s="29" t="s">
        <v>3177</v>
      </c>
      <c r="M9334" s="29" t="s">
        <v>3178</v>
      </c>
      <c r="N9334" s="29" t="s">
        <v>254</v>
      </c>
      <c r="O9334" s="29" t="s">
        <v>3191</v>
      </c>
      <c r="P9334" s="29" t="s">
        <v>255</v>
      </c>
      <c r="Q9334" t="s">
        <v>2040</v>
      </c>
      <c r="R9334" t="s">
        <v>6901</v>
      </c>
      <c r="S9334">
        <v>36</v>
      </c>
      <c r="T9334" s="43" t="str">
        <f>HYPERLINK("https://ictv.global/ictv/proposals/2020.001G.R.Abolish_type_species.pdf","2020.001G.R.Abolish_type_species.pdf")</f>
        <v>2020.001G.R.Abolish_type_species.pdf</v>
      </c>
      <c r="U9334" s="43" t="str">
        <f>HYPERLINK("https://ictv.global/taxonomy/taxondetails?taxnode_id=202201885","ictv.global=202201885")</f>
        <v>ictv.global=202201885</v>
      </c>
    </row>
    <row r="9335" spans="1:21">
      <c r="A9335">
        <v>9334</v>
      </c>
      <c r="B9335" s="29" t="s">
        <v>3223</v>
      </c>
      <c r="C9335" s="29"/>
      <c r="D9335" s="29" t="s">
        <v>4156</v>
      </c>
      <c r="E9335" s="29"/>
      <c r="F9335" s="29" t="s">
        <v>4230</v>
      </c>
      <c r="G9335" s="29"/>
      <c r="H9335" s="29" t="s">
        <v>4233</v>
      </c>
      <c r="I9335" s="29"/>
      <c r="J9335" s="29" t="s">
        <v>1065</v>
      </c>
      <c r="K9335" s="29" t="s">
        <v>3176</v>
      </c>
      <c r="L9335" s="29" t="s">
        <v>3177</v>
      </c>
      <c r="M9335" s="29" t="s">
        <v>3178</v>
      </c>
      <c r="N9335" s="29" t="s">
        <v>254</v>
      </c>
      <c r="O9335" s="29" t="s">
        <v>3179</v>
      </c>
      <c r="P9335" s="29" t="s">
        <v>2152</v>
      </c>
      <c r="Q9335" t="s">
        <v>2040</v>
      </c>
      <c r="R9335" t="s">
        <v>2634</v>
      </c>
      <c r="S9335">
        <v>35</v>
      </c>
      <c r="T9335" s="43" t="str">
        <f>HYPERLINK("https://ictv.global/ictv/proposals/2019.006G.zip","2019.006G.zip")</f>
        <v>2019.006G.zip</v>
      </c>
      <c r="U9335" s="43" t="str">
        <f>HYPERLINK("https://ictv.global/taxonomy/taxondetails?taxnode_id=202201884","ictv.global=202201884")</f>
        <v>ictv.global=202201884</v>
      </c>
    </row>
    <row r="9336" spans="1:21">
      <c r="A9336">
        <v>9335</v>
      </c>
      <c r="B9336" s="29" t="s">
        <v>3223</v>
      </c>
      <c r="C9336" s="29"/>
      <c r="D9336" s="29" t="s">
        <v>4156</v>
      </c>
      <c r="E9336" s="29"/>
      <c r="F9336" s="29" t="s">
        <v>4230</v>
      </c>
      <c r="G9336" s="29"/>
      <c r="H9336" s="29" t="s">
        <v>4233</v>
      </c>
      <c r="I9336" s="29"/>
      <c r="J9336" s="29" t="s">
        <v>1065</v>
      </c>
      <c r="K9336" s="29" t="s">
        <v>3176</v>
      </c>
      <c r="L9336" s="29" t="s">
        <v>3177</v>
      </c>
      <c r="M9336" s="29" t="s">
        <v>3178</v>
      </c>
      <c r="N9336" s="29" t="s">
        <v>3180</v>
      </c>
      <c r="O9336" s="29" t="s">
        <v>3181</v>
      </c>
      <c r="P9336" s="29" t="s">
        <v>2460</v>
      </c>
      <c r="Q9336" t="s">
        <v>2040</v>
      </c>
      <c r="R9336" t="s">
        <v>6901</v>
      </c>
      <c r="S9336">
        <v>36</v>
      </c>
      <c r="T9336" s="43" t="str">
        <f>HYPERLINK("https://ictv.global/ictv/proposals/2020.001G.R.Abolish_type_species.pdf","2020.001G.R.Abolish_type_species.pdf")</f>
        <v>2020.001G.R.Abolish_type_species.pdf</v>
      </c>
      <c r="U9336" s="43" t="str">
        <f>HYPERLINK("https://ictv.global/taxonomy/taxondetails?taxnode_id=202201894","ictv.global=202201894")</f>
        <v>ictv.global=202201894</v>
      </c>
    </row>
    <row r="9337" spans="1:21">
      <c r="A9337">
        <v>9336</v>
      </c>
      <c r="B9337" s="29" t="s">
        <v>3223</v>
      </c>
      <c r="C9337" s="29"/>
      <c r="D9337" s="29" t="s">
        <v>4156</v>
      </c>
      <c r="E9337" s="29"/>
      <c r="F9337" s="29" t="s">
        <v>4230</v>
      </c>
      <c r="G9337" s="29"/>
      <c r="H9337" s="29" t="s">
        <v>4233</v>
      </c>
      <c r="I9337" s="29"/>
      <c r="J9337" s="29" t="s">
        <v>1065</v>
      </c>
      <c r="K9337" s="29" t="s">
        <v>3176</v>
      </c>
      <c r="L9337" s="29" t="s">
        <v>3177</v>
      </c>
      <c r="M9337" s="29" t="s">
        <v>3182</v>
      </c>
      <c r="N9337" s="29" t="s">
        <v>3183</v>
      </c>
      <c r="O9337" s="29" t="s">
        <v>3184</v>
      </c>
      <c r="P9337" s="29" t="s">
        <v>2459</v>
      </c>
      <c r="Q9337" t="s">
        <v>2040</v>
      </c>
      <c r="R9337" t="s">
        <v>6901</v>
      </c>
      <c r="S9337">
        <v>36</v>
      </c>
      <c r="T9337" s="43" t="str">
        <f>HYPERLINK("https://ictv.global/ictv/proposals/2020.001G.R.Abolish_type_species.pdf","2020.001G.R.Abolish_type_species.pdf")</f>
        <v>2020.001G.R.Abolish_type_species.pdf</v>
      </c>
      <c r="U9337" s="43" t="str">
        <f>HYPERLINK("https://ictv.global/taxonomy/taxondetails?taxnode_id=202201893","ictv.global=202201893")</f>
        <v>ictv.global=202201893</v>
      </c>
    </row>
    <row r="9338" spans="1:21">
      <c r="A9338">
        <v>9337</v>
      </c>
      <c r="B9338" s="29" t="s">
        <v>3223</v>
      </c>
      <c r="C9338" s="29"/>
      <c r="D9338" s="29" t="s">
        <v>4156</v>
      </c>
      <c r="E9338" s="29"/>
      <c r="F9338" s="29" t="s">
        <v>4230</v>
      </c>
      <c r="G9338" s="29"/>
      <c r="H9338" s="29" t="s">
        <v>4233</v>
      </c>
      <c r="I9338" s="29"/>
      <c r="J9338" s="29" t="s">
        <v>1065</v>
      </c>
      <c r="K9338" s="29" t="s">
        <v>3176</v>
      </c>
      <c r="L9338" s="29" t="s">
        <v>3177</v>
      </c>
      <c r="M9338" s="29" t="s">
        <v>3185</v>
      </c>
      <c r="N9338" s="29" t="s">
        <v>3186</v>
      </c>
      <c r="O9338" s="29" t="s">
        <v>4272</v>
      </c>
      <c r="P9338" s="29" t="s">
        <v>4273</v>
      </c>
      <c r="Q9338" t="s">
        <v>2040</v>
      </c>
      <c r="R9338" t="s">
        <v>2632</v>
      </c>
      <c r="S9338">
        <v>35</v>
      </c>
      <c r="T9338" s="43" t="str">
        <f>HYPERLINK("https://ictv.global/ictv/proposals/2019.020S-023S.zip","2019.020S-023S.zip")</f>
        <v>2019.020S-023S.zip</v>
      </c>
      <c r="U9338" s="43" t="str">
        <f>HYPERLINK("https://ictv.global/taxonomy/taxondetails?taxnode_id=202207502","ictv.global=202207502")</f>
        <v>ictv.global=202207502</v>
      </c>
    </row>
    <row r="9339" spans="1:21">
      <c r="A9339">
        <v>9338</v>
      </c>
      <c r="B9339" s="29" t="s">
        <v>3223</v>
      </c>
      <c r="C9339" s="29"/>
      <c r="D9339" s="29" t="s">
        <v>4156</v>
      </c>
      <c r="E9339" s="29"/>
      <c r="F9339" s="29" t="s">
        <v>4230</v>
      </c>
      <c r="G9339" s="29"/>
      <c r="H9339" s="29" t="s">
        <v>4233</v>
      </c>
      <c r="I9339" s="29"/>
      <c r="J9339" s="29" t="s">
        <v>1065</v>
      </c>
      <c r="K9339" s="29" t="s">
        <v>3176</v>
      </c>
      <c r="L9339" s="29" t="s">
        <v>3177</v>
      </c>
      <c r="M9339" s="29" t="s">
        <v>3185</v>
      </c>
      <c r="N9339" s="29" t="s">
        <v>3186</v>
      </c>
      <c r="O9339" s="29" t="s">
        <v>14095</v>
      </c>
      <c r="P9339" s="29" t="s">
        <v>14096</v>
      </c>
      <c r="Q9339" t="s">
        <v>2040</v>
      </c>
      <c r="R9339" t="s">
        <v>2632</v>
      </c>
      <c r="S9339">
        <v>37</v>
      </c>
      <c r="T9339" s="43" t="str">
        <f>HYPERLINK("https://ictv.global/ictv/proposals/2021.005S.R.Nidovirales.zip","2021.005S.R.Nidovirales.zip")</f>
        <v>2021.005S.R.Nidovirales.zip</v>
      </c>
      <c r="U9339" s="43" t="str">
        <f>HYPERLINK("https://ictv.global/taxonomy/taxondetails?taxnode_id=202213911","ictv.global=202213911")</f>
        <v>ictv.global=202213911</v>
      </c>
    </row>
    <row r="9340" spans="1:21">
      <c r="A9340">
        <v>9339</v>
      </c>
      <c r="B9340" s="29" t="s">
        <v>3223</v>
      </c>
      <c r="C9340" s="29"/>
      <c r="D9340" s="29" t="s">
        <v>4156</v>
      </c>
      <c r="E9340" s="29"/>
      <c r="F9340" s="29" t="s">
        <v>4230</v>
      </c>
      <c r="G9340" s="29"/>
      <c r="H9340" s="29" t="s">
        <v>4233</v>
      </c>
      <c r="I9340" s="29"/>
      <c r="J9340" s="29" t="s">
        <v>1065</v>
      </c>
      <c r="K9340" s="29" t="s">
        <v>3176</v>
      </c>
      <c r="L9340" s="29" t="s">
        <v>3177</v>
      </c>
      <c r="M9340" s="29" t="s">
        <v>3185</v>
      </c>
      <c r="N9340" s="29" t="s">
        <v>3186</v>
      </c>
      <c r="O9340" s="29" t="s">
        <v>3187</v>
      </c>
      <c r="P9340" s="29" t="s">
        <v>3188</v>
      </c>
      <c r="Q9340" t="s">
        <v>2040</v>
      </c>
      <c r="R9340" t="s">
        <v>6901</v>
      </c>
      <c r="S9340">
        <v>36</v>
      </c>
      <c r="T9340" s="43" t="str">
        <f>HYPERLINK("https://ictv.global/ictv/proposals/2020.001G.R.Abolish_type_species.pdf","2020.001G.R.Abolish_type_species.pdf")</f>
        <v>2020.001G.R.Abolish_type_species.pdf</v>
      </c>
      <c r="U9340" s="43" t="str">
        <f>HYPERLINK("https://ictv.global/taxonomy/taxondetails?taxnode_id=202206154","ictv.global=202206154")</f>
        <v>ictv.global=202206154</v>
      </c>
    </row>
    <row r="9341" spans="1:21">
      <c r="A9341">
        <v>9340</v>
      </c>
      <c r="B9341" s="29" t="s">
        <v>3223</v>
      </c>
      <c r="C9341" s="29"/>
      <c r="D9341" s="29" t="s">
        <v>4156</v>
      </c>
      <c r="E9341" s="29"/>
      <c r="F9341" s="29" t="s">
        <v>4230</v>
      </c>
      <c r="G9341" s="29"/>
      <c r="H9341" s="29" t="s">
        <v>4233</v>
      </c>
      <c r="I9341" s="29"/>
      <c r="J9341" s="29" t="s">
        <v>1065</v>
      </c>
      <c r="K9341" s="29" t="s">
        <v>3176</v>
      </c>
      <c r="L9341" s="29" t="s">
        <v>3177</v>
      </c>
      <c r="M9341" s="29" t="s">
        <v>3185</v>
      </c>
      <c r="N9341" s="29" t="s">
        <v>4274</v>
      </c>
      <c r="O9341" s="29" t="s">
        <v>14097</v>
      </c>
      <c r="P9341" s="29" t="s">
        <v>14098</v>
      </c>
      <c r="Q9341" t="s">
        <v>2040</v>
      </c>
      <c r="R9341" t="s">
        <v>2632</v>
      </c>
      <c r="S9341">
        <v>37</v>
      </c>
      <c r="T9341" s="43" t="str">
        <f>HYPERLINK("https://ictv.global/ictv/proposals/2021.005S.R.Nidovirales.zip","2021.005S.R.Nidovirales.zip")</f>
        <v>2021.005S.R.Nidovirales.zip</v>
      </c>
      <c r="U9341" s="43" t="str">
        <f>HYPERLINK("https://ictv.global/taxonomy/taxondetails?taxnode_id=202213913","ictv.global=202213913")</f>
        <v>ictv.global=202213913</v>
      </c>
    </row>
    <row r="9342" spans="1:21">
      <c r="A9342">
        <v>9341</v>
      </c>
      <c r="B9342" s="29" t="s">
        <v>3223</v>
      </c>
      <c r="C9342" s="29"/>
      <c r="D9342" s="29" t="s">
        <v>4156</v>
      </c>
      <c r="E9342" s="29"/>
      <c r="F9342" s="29" t="s">
        <v>4230</v>
      </c>
      <c r="G9342" s="29"/>
      <c r="H9342" s="29" t="s">
        <v>4233</v>
      </c>
      <c r="I9342" s="29"/>
      <c r="J9342" s="29" t="s">
        <v>1065</v>
      </c>
      <c r="K9342" s="29" t="s">
        <v>3176</v>
      </c>
      <c r="L9342" s="29" t="s">
        <v>3177</v>
      </c>
      <c r="M9342" s="29" t="s">
        <v>3185</v>
      </c>
      <c r="N9342" s="29" t="s">
        <v>4274</v>
      </c>
      <c r="O9342" s="29" t="s">
        <v>4275</v>
      </c>
      <c r="P9342" s="29" t="s">
        <v>4276</v>
      </c>
      <c r="Q9342" t="s">
        <v>2040</v>
      </c>
      <c r="R9342" t="s">
        <v>6901</v>
      </c>
      <c r="S9342">
        <v>36</v>
      </c>
      <c r="T9342" s="43" t="str">
        <f>HYPERLINK("https://ictv.global/ictv/proposals/2020.001G.R.Abolish_type_species.pdf","2020.001G.R.Abolish_type_species.pdf")</f>
        <v>2020.001G.R.Abolish_type_species.pdf</v>
      </c>
      <c r="U9342" s="43" t="str">
        <f>HYPERLINK("https://ictv.global/taxonomy/taxondetails?taxnode_id=202207505","ictv.global=202207505")</f>
        <v>ictv.global=202207505</v>
      </c>
    </row>
    <row r="9343" spans="1:21">
      <c r="A9343">
        <v>9342</v>
      </c>
      <c r="B9343" s="29" t="s">
        <v>3223</v>
      </c>
      <c r="C9343" s="29"/>
      <c r="D9343" s="29" t="s">
        <v>4156</v>
      </c>
      <c r="E9343" s="29"/>
      <c r="F9343" s="29" t="s">
        <v>4230</v>
      </c>
      <c r="G9343" s="29"/>
      <c r="H9343" s="29" t="s">
        <v>4233</v>
      </c>
      <c r="I9343" s="29"/>
      <c r="J9343" s="29" t="s">
        <v>1065</v>
      </c>
      <c r="K9343" s="29" t="s">
        <v>3176</v>
      </c>
      <c r="L9343" s="29" t="s">
        <v>3177</v>
      </c>
      <c r="M9343" s="29" t="s">
        <v>3185</v>
      </c>
      <c r="N9343" s="29" t="s">
        <v>3189</v>
      </c>
      <c r="O9343" s="29" t="s">
        <v>3190</v>
      </c>
      <c r="P9343" s="29" t="s">
        <v>2153</v>
      </c>
      <c r="Q9343" t="s">
        <v>2040</v>
      </c>
      <c r="R9343" t="s">
        <v>6901</v>
      </c>
      <c r="S9343">
        <v>36</v>
      </c>
      <c r="T9343" s="43" t="str">
        <f>HYPERLINK("https://ictv.global/ictv/proposals/2020.001G.R.Abolish_type_species.pdf","2020.001G.R.Abolish_type_species.pdf")</f>
        <v>2020.001G.R.Abolish_type_species.pdf</v>
      </c>
      <c r="U9343" s="43" t="str">
        <f>HYPERLINK("https://ictv.global/taxonomy/taxondetails?taxnode_id=202201892","ictv.global=202201892")</f>
        <v>ictv.global=202201892</v>
      </c>
    </row>
    <row r="9344" spans="1:21">
      <c r="A9344">
        <v>9343</v>
      </c>
      <c r="B9344" s="29" t="s">
        <v>3223</v>
      </c>
      <c r="C9344" s="29"/>
      <c r="D9344" s="29" t="s">
        <v>4156</v>
      </c>
      <c r="E9344" s="29"/>
      <c r="F9344" s="29" t="s">
        <v>4230</v>
      </c>
      <c r="G9344" s="29"/>
      <c r="H9344" s="29" t="s">
        <v>4233</v>
      </c>
      <c r="I9344" s="29"/>
      <c r="J9344" s="29" t="s">
        <v>1065</v>
      </c>
      <c r="K9344" s="29" t="s">
        <v>3176</v>
      </c>
      <c r="L9344" s="29" t="s">
        <v>3177</v>
      </c>
      <c r="M9344" s="29" t="s">
        <v>3185</v>
      </c>
      <c r="N9344" s="29" t="s">
        <v>3189</v>
      </c>
      <c r="O9344" s="29" t="s">
        <v>3190</v>
      </c>
      <c r="P9344" s="29" t="s">
        <v>4277</v>
      </c>
      <c r="Q9344" t="s">
        <v>2040</v>
      </c>
      <c r="R9344" t="s">
        <v>2632</v>
      </c>
      <c r="S9344">
        <v>35</v>
      </c>
      <c r="T9344" s="43" t="str">
        <f>HYPERLINK("https://ictv.global/ictv/proposals/2019.020S-023S.zip","2019.020S-023S.zip")</f>
        <v>2019.020S-023S.zip</v>
      </c>
      <c r="U9344" s="43" t="str">
        <f>HYPERLINK("https://ictv.global/taxonomy/taxondetails?taxnode_id=202207508","ictv.global=202207508")</f>
        <v>ictv.global=202207508</v>
      </c>
    </row>
    <row r="9345" spans="1:21">
      <c r="A9345">
        <v>9344</v>
      </c>
      <c r="B9345" s="29" t="s">
        <v>3223</v>
      </c>
      <c r="C9345" s="29"/>
      <c r="D9345" s="29" t="s">
        <v>4156</v>
      </c>
      <c r="E9345" s="29"/>
      <c r="F9345" s="29" t="s">
        <v>4230</v>
      </c>
      <c r="G9345" s="29"/>
      <c r="H9345" s="29" t="s">
        <v>4233</v>
      </c>
      <c r="I9345" s="29"/>
      <c r="J9345" s="29" t="s">
        <v>1065</v>
      </c>
      <c r="K9345" s="29" t="s">
        <v>3176</v>
      </c>
      <c r="L9345" s="29" t="s">
        <v>3177</v>
      </c>
      <c r="M9345" s="29" t="s">
        <v>3185</v>
      </c>
      <c r="N9345" s="29" t="s">
        <v>3189</v>
      </c>
      <c r="O9345" s="29" t="s">
        <v>3190</v>
      </c>
      <c r="P9345" s="29" t="s">
        <v>14099</v>
      </c>
      <c r="Q9345" t="s">
        <v>2040</v>
      </c>
      <c r="R9345" t="s">
        <v>2632</v>
      </c>
      <c r="S9345">
        <v>37</v>
      </c>
      <c r="T9345" s="43" t="str">
        <f>HYPERLINK("https://ictv.global/ictv/proposals/2021.005S.R.Nidovirales.zip","2021.005S.R.Nidovirales.zip")</f>
        <v>2021.005S.R.Nidovirales.zip</v>
      </c>
      <c r="U9345" s="43" t="str">
        <f>HYPERLINK("https://ictv.global/taxonomy/taxondetails?taxnode_id=202213917","ictv.global=202213917")</f>
        <v>ictv.global=202213917</v>
      </c>
    </row>
    <row r="9346" spans="1:21">
      <c r="A9346">
        <v>9345</v>
      </c>
      <c r="B9346" s="29" t="s">
        <v>3223</v>
      </c>
      <c r="C9346" s="29"/>
      <c r="D9346" s="29" t="s">
        <v>4156</v>
      </c>
      <c r="E9346" s="29"/>
      <c r="F9346" s="29" t="s">
        <v>4230</v>
      </c>
      <c r="G9346" s="29"/>
      <c r="H9346" s="29" t="s">
        <v>4233</v>
      </c>
      <c r="I9346" s="29"/>
      <c r="J9346" s="29" t="s">
        <v>1065</v>
      </c>
      <c r="K9346" s="29" t="s">
        <v>3176</v>
      </c>
      <c r="L9346" s="29" t="s">
        <v>3177</v>
      </c>
      <c r="M9346" s="29" t="s">
        <v>3185</v>
      </c>
      <c r="N9346" s="29" t="s">
        <v>3189</v>
      </c>
      <c r="O9346" s="29" t="s">
        <v>4278</v>
      </c>
      <c r="P9346" s="29" t="s">
        <v>4279</v>
      </c>
      <c r="Q9346" t="s">
        <v>2040</v>
      </c>
      <c r="R9346" t="s">
        <v>2632</v>
      </c>
      <c r="S9346">
        <v>35</v>
      </c>
      <c r="T9346" s="43" t="str">
        <f>HYPERLINK("https://ictv.global/ictv/proposals/2019.020S-023S.zip","2019.020S-023S.zip")</f>
        <v>2019.020S-023S.zip</v>
      </c>
      <c r="U9346" s="43" t="str">
        <f>HYPERLINK("https://ictv.global/taxonomy/taxondetails?taxnode_id=202207507","ictv.global=202207507")</f>
        <v>ictv.global=202207507</v>
      </c>
    </row>
    <row r="9347" spans="1:21">
      <c r="A9347">
        <v>9346</v>
      </c>
      <c r="B9347" s="29" t="s">
        <v>3223</v>
      </c>
      <c r="C9347" s="29"/>
      <c r="D9347" s="29" t="s">
        <v>4156</v>
      </c>
      <c r="E9347" s="29"/>
      <c r="F9347" s="29" t="s">
        <v>4230</v>
      </c>
      <c r="G9347" s="29"/>
      <c r="H9347" s="29" t="s">
        <v>4233</v>
      </c>
      <c r="I9347" s="29"/>
      <c r="J9347" s="29" t="s">
        <v>1065</v>
      </c>
      <c r="K9347" s="29" t="s">
        <v>3176</v>
      </c>
      <c r="L9347" s="29" t="s">
        <v>3177</v>
      </c>
      <c r="M9347" s="29" t="s">
        <v>3185</v>
      </c>
      <c r="N9347" s="29" t="s">
        <v>3189</v>
      </c>
      <c r="O9347" s="29" t="s">
        <v>3195</v>
      </c>
      <c r="P9347" s="29" t="s">
        <v>3196</v>
      </c>
      <c r="Q9347" t="s">
        <v>2040</v>
      </c>
      <c r="R9347" t="s">
        <v>6899</v>
      </c>
      <c r="S9347">
        <v>35</v>
      </c>
      <c r="T9347" s="43" t="str">
        <f>HYPERLINK("https://ictv.global/ictv/proposals/2019.020S-023S.zip","2019.020S-023S.zip")</f>
        <v>2019.020S-023S.zip</v>
      </c>
      <c r="U9347" s="43" t="str">
        <f>HYPERLINK("https://ictv.global/taxonomy/taxondetails?taxnode_id=202206156","ictv.global=202206156")</f>
        <v>ictv.global=202206156</v>
      </c>
    </row>
    <row r="9348" spans="1:21">
      <c r="A9348">
        <v>9347</v>
      </c>
      <c r="B9348" s="29" t="s">
        <v>3223</v>
      </c>
      <c r="C9348" s="29"/>
      <c r="D9348" s="29" t="s">
        <v>4156</v>
      </c>
      <c r="E9348" s="29"/>
      <c r="F9348" s="29" t="s">
        <v>4230</v>
      </c>
      <c r="G9348" s="29"/>
      <c r="H9348" s="29" t="s">
        <v>4233</v>
      </c>
      <c r="I9348" s="29"/>
      <c r="J9348" s="29" t="s">
        <v>1065</v>
      </c>
      <c r="K9348" s="29" t="s">
        <v>3176</v>
      </c>
      <c r="L9348" s="29" t="s">
        <v>3177</v>
      </c>
      <c r="M9348" s="29" t="s">
        <v>3185</v>
      </c>
      <c r="N9348" s="29" t="s">
        <v>3192</v>
      </c>
      <c r="O9348" s="29" t="s">
        <v>3193</v>
      </c>
      <c r="P9348" s="29" t="s">
        <v>3194</v>
      </c>
      <c r="Q9348" t="s">
        <v>2040</v>
      </c>
      <c r="R9348" t="s">
        <v>6901</v>
      </c>
      <c r="S9348">
        <v>36</v>
      </c>
      <c r="T9348" s="43" t="str">
        <f>HYPERLINK("https://ictv.global/ictv/proposals/2020.001G.R.Abolish_type_species.pdf","2020.001G.R.Abolish_type_species.pdf")</f>
        <v>2020.001G.R.Abolish_type_species.pdf</v>
      </c>
      <c r="U9348" s="43" t="str">
        <f>HYPERLINK("https://ictv.global/taxonomy/taxondetails?taxnode_id=202206155","ictv.global=202206155")</f>
        <v>ictv.global=202206155</v>
      </c>
    </row>
    <row r="9349" spans="1:21">
      <c r="A9349">
        <v>9348</v>
      </c>
      <c r="B9349" s="29" t="s">
        <v>3223</v>
      </c>
      <c r="C9349" s="29"/>
      <c r="D9349" s="29" t="s">
        <v>4156</v>
      </c>
      <c r="E9349" s="29"/>
      <c r="F9349" s="29" t="s">
        <v>4230</v>
      </c>
      <c r="G9349" s="29"/>
      <c r="H9349" s="29" t="s">
        <v>4233</v>
      </c>
      <c r="I9349" s="29"/>
      <c r="J9349" s="29" t="s">
        <v>1065</v>
      </c>
      <c r="K9349" s="29" t="s">
        <v>3176</v>
      </c>
      <c r="L9349" s="29" t="s">
        <v>3177</v>
      </c>
      <c r="M9349" s="29" t="s">
        <v>3185</v>
      </c>
      <c r="N9349" s="29" t="s">
        <v>14100</v>
      </c>
      <c r="O9349" s="29" t="s">
        <v>14101</v>
      </c>
      <c r="P9349" s="29" t="s">
        <v>14102</v>
      </c>
      <c r="Q9349" t="s">
        <v>2040</v>
      </c>
      <c r="R9349" t="s">
        <v>2632</v>
      </c>
      <c r="S9349">
        <v>37</v>
      </c>
      <c r="T9349" s="43" t="str">
        <f>HYPERLINK("https://ictv.global/ictv/proposals/2021.005S.R.Nidovirales.zip","2021.005S.R.Nidovirales.zip")</f>
        <v>2021.005S.R.Nidovirales.zip</v>
      </c>
      <c r="U9349" s="43" t="str">
        <f>HYPERLINK("https://ictv.global/taxonomy/taxondetails?taxnode_id=202213920","ictv.global=202213920")</f>
        <v>ictv.global=202213920</v>
      </c>
    </row>
    <row r="9350" spans="1:21">
      <c r="A9350">
        <v>9349</v>
      </c>
      <c r="B9350" s="29" t="s">
        <v>3223</v>
      </c>
      <c r="C9350" s="29"/>
      <c r="D9350" s="29" t="s">
        <v>4156</v>
      </c>
      <c r="E9350" s="29"/>
      <c r="F9350" s="29" t="s">
        <v>4230</v>
      </c>
      <c r="G9350" s="29"/>
      <c r="H9350" s="29" t="s">
        <v>4233</v>
      </c>
      <c r="I9350" s="29"/>
      <c r="J9350" s="29" t="s">
        <v>1065</v>
      </c>
      <c r="K9350" s="29" t="s">
        <v>3176</v>
      </c>
      <c r="L9350" s="29" t="s">
        <v>3177</v>
      </c>
      <c r="M9350" s="29" t="s">
        <v>3185</v>
      </c>
      <c r="N9350" s="29" t="s">
        <v>14103</v>
      </c>
      <c r="O9350" s="29" t="s">
        <v>14104</v>
      </c>
      <c r="P9350" s="29" t="s">
        <v>14105</v>
      </c>
      <c r="Q9350" t="s">
        <v>2040</v>
      </c>
      <c r="R9350" t="s">
        <v>2632</v>
      </c>
      <c r="S9350">
        <v>37</v>
      </c>
      <c r="T9350" s="43" t="str">
        <f>HYPERLINK("https://ictv.global/ictv/proposals/2021.005S.R.Nidovirales.zip","2021.005S.R.Nidovirales.zip")</f>
        <v>2021.005S.R.Nidovirales.zip</v>
      </c>
      <c r="U9350" s="43" t="str">
        <f>HYPERLINK("https://ictv.global/taxonomy/taxondetails?taxnode_id=202213923","ictv.global=202213923")</f>
        <v>ictv.global=202213923</v>
      </c>
    </row>
    <row r="9351" spans="1:21">
      <c r="A9351">
        <v>9350</v>
      </c>
      <c r="B9351" s="29" t="s">
        <v>3223</v>
      </c>
      <c r="C9351" s="29"/>
      <c r="D9351" s="29" t="s">
        <v>4156</v>
      </c>
      <c r="E9351" s="29"/>
      <c r="F9351" s="29" t="s">
        <v>4230</v>
      </c>
      <c r="G9351" s="29"/>
      <c r="H9351" s="29" t="s">
        <v>4233</v>
      </c>
      <c r="I9351" s="29"/>
      <c r="J9351" s="29" t="s">
        <v>1065</v>
      </c>
      <c r="K9351" s="29" t="s">
        <v>3176</v>
      </c>
      <c r="L9351" s="29" t="s">
        <v>3177</v>
      </c>
      <c r="M9351" s="29" t="s">
        <v>3185</v>
      </c>
      <c r="N9351" s="29" t="s">
        <v>14106</v>
      </c>
      <c r="O9351" s="29" t="s">
        <v>14107</v>
      </c>
      <c r="P9351" s="29" t="s">
        <v>14108</v>
      </c>
      <c r="Q9351" t="s">
        <v>2040</v>
      </c>
      <c r="R9351" t="s">
        <v>2632</v>
      </c>
      <c r="S9351">
        <v>37</v>
      </c>
      <c r="T9351" s="43" t="str">
        <f>HYPERLINK("https://ictv.global/ictv/proposals/2021.005S.R.Nidovirales.zip","2021.005S.R.Nidovirales.zip")</f>
        <v>2021.005S.R.Nidovirales.zip</v>
      </c>
      <c r="U9351" s="43" t="str">
        <f>HYPERLINK("https://ictv.global/taxonomy/taxondetails?taxnode_id=202213916","ictv.global=202213916")</f>
        <v>ictv.global=202213916</v>
      </c>
    </row>
    <row r="9352" spans="1:21">
      <c r="A9352">
        <v>9351</v>
      </c>
      <c r="B9352" s="29" t="s">
        <v>3223</v>
      </c>
      <c r="C9352" s="29"/>
      <c r="D9352" s="29" t="s">
        <v>4156</v>
      </c>
      <c r="E9352" s="29"/>
      <c r="F9352" s="29" t="s">
        <v>4230</v>
      </c>
      <c r="G9352" s="29"/>
      <c r="H9352" s="29" t="s">
        <v>4233</v>
      </c>
      <c r="I9352" s="29"/>
      <c r="J9352" s="29" t="s">
        <v>1065</v>
      </c>
      <c r="K9352" s="29" t="s">
        <v>3176</v>
      </c>
      <c r="L9352" s="29" t="s">
        <v>3177</v>
      </c>
      <c r="M9352" s="29" t="s">
        <v>347</v>
      </c>
      <c r="N9352" s="29" t="s">
        <v>801</v>
      </c>
      <c r="O9352" s="29" t="s">
        <v>14109</v>
      </c>
      <c r="P9352" s="29" t="s">
        <v>14110</v>
      </c>
      <c r="Q9352" t="s">
        <v>2040</v>
      </c>
      <c r="R9352" t="s">
        <v>2632</v>
      </c>
      <c r="S9352">
        <v>37</v>
      </c>
      <c r="T9352" s="43" t="str">
        <f>HYPERLINK("https://ictv.global/ictv/proposals/2021.005S.R.Nidovirales.zip","2021.005S.R.Nidovirales.zip")</f>
        <v>2021.005S.R.Nidovirales.zip</v>
      </c>
      <c r="U9352" s="43" t="str">
        <f>HYPERLINK("https://ictv.global/taxonomy/taxondetails?taxnode_id=202213909","ictv.global=202213909")</f>
        <v>ictv.global=202213909</v>
      </c>
    </row>
    <row r="9353" spans="1:21">
      <c r="A9353">
        <v>9352</v>
      </c>
      <c r="B9353" s="29" t="s">
        <v>3223</v>
      </c>
      <c r="C9353" s="29"/>
      <c r="D9353" s="29" t="s">
        <v>4156</v>
      </c>
      <c r="E9353" s="29"/>
      <c r="F9353" s="29" t="s">
        <v>4230</v>
      </c>
      <c r="G9353" s="29"/>
      <c r="H9353" s="29" t="s">
        <v>4233</v>
      </c>
      <c r="I9353" s="29"/>
      <c r="J9353" s="29" t="s">
        <v>1065</v>
      </c>
      <c r="K9353" s="29" t="s">
        <v>3176</v>
      </c>
      <c r="L9353" s="29" t="s">
        <v>3177</v>
      </c>
      <c r="M9353" s="29" t="s">
        <v>347</v>
      </c>
      <c r="N9353" s="29" t="s">
        <v>801</v>
      </c>
      <c r="O9353" s="29" t="s">
        <v>3197</v>
      </c>
      <c r="P9353" s="29" t="s">
        <v>802</v>
      </c>
      <c r="Q9353" t="s">
        <v>2040</v>
      </c>
      <c r="R9353" t="s">
        <v>2634</v>
      </c>
      <c r="S9353">
        <v>35</v>
      </c>
      <c r="T9353" s="43" t="str">
        <f>HYPERLINK("https://ictv.global/ictv/proposals/2019.006G.zip","2019.006G.zip")</f>
        <v>2019.006G.zip</v>
      </c>
      <c r="U9353" s="43" t="str">
        <f>HYPERLINK("https://ictv.global/taxonomy/taxondetails?taxnode_id=202201887","ictv.global=202201887")</f>
        <v>ictv.global=202201887</v>
      </c>
    </row>
    <row r="9354" spans="1:21">
      <c r="A9354">
        <v>9353</v>
      </c>
      <c r="B9354" s="29" t="s">
        <v>3223</v>
      </c>
      <c r="C9354" s="29"/>
      <c r="D9354" s="29" t="s">
        <v>4156</v>
      </c>
      <c r="E9354" s="29"/>
      <c r="F9354" s="29" t="s">
        <v>4230</v>
      </c>
      <c r="G9354" s="29"/>
      <c r="H9354" s="29" t="s">
        <v>4233</v>
      </c>
      <c r="I9354" s="29"/>
      <c r="J9354" s="29" t="s">
        <v>1065</v>
      </c>
      <c r="K9354" s="29" t="s">
        <v>3176</v>
      </c>
      <c r="L9354" s="29" t="s">
        <v>3177</v>
      </c>
      <c r="M9354" s="29" t="s">
        <v>347</v>
      </c>
      <c r="N9354" s="29" t="s">
        <v>801</v>
      </c>
      <c r="O9354" s="29" t="s">
        <v>3197</v>
      </c>
      <c r="P9354" s="29" t="s">
        <v>545</v>
      </c>
      <c r="Q9354" t="s">
        <v>2040</v>
      </c>
      <c r="R9354" t="s">
        <v>6901</v>
      </c>
      <c r="S9354">
        <v>36</v>
      </c>
      <c r="T9354" s="43" t="str">
        <f>HYPERLINK("https://ictv.global/ictv/proposals/2020.001G.R.Abolish_type_species.pdf","2020.001G.R.Abolish_type_species.pdf")</f>
        <v>2020.001G.R.Abolish_type_species.pdf</v>
      </c>
      <c r="U9354" s="43" t="str">
        <f>HYPERLINK("https://ictv.global/taxonomy/taxondetails?taxnode_id=202201888","ictv.global=202201888")</f>
        <v>ictv.global=202201888</v>
      </c>
    </row>
    <row r="9355" spans="1:21">
      <c r="A9355">
        <v>9354</v>
      </c>
      <c r="B9355" s="29" t="s">
        <v>3223</v>
      </c>
      <c r="C9355" s="29"/>
      <c r="D9355" s="29" t="s">
        <v>4156</v>
      </c>
      <c r="E9355" s="29"/>
      <c r="F9355" s="29" t="s">
        <v>4230</v>
      </c>
      <c r="G9355" s="29"/>
      <c r="H9355" s="29" t="s">
        <v>4233</v>
      </c>
      <c r="I9355" s="29"/>
      <c r="J9355" s="29" t="s">
        <v>1065</v>
      </c>
      <c r="K9355" s="29" t="s">
        <v>3176</v>
      </c>
      <c r="L9355" s="29" t="s">
        <v>3177</v>
      </c>
      <c r="M9355" s="29" t="s">
        <v>347</v>
      </c>
      <c r="N9355" s="29" t="s">
        <v>801</v>
      </c>
      <c r="O9355" s="29" t="s">
        <v>3197</v>
      </c>
      <c r="P9355" s="29" t="s">
        <v>803</v>
      </c>
      <c r="Q9355" t="s">
        <v>2040</v>
      </c>
      <c r="R9355" t="s">
        <v>2634</v>
      </c>
      <c r="S9355">
        <v>35</v>
      </c>
      <c r="T9355" s="43" t="str">
        <f>HYPERLINK("https://ictv.global/ictv/proposals/2019.006G.zip","2019.006G.zip")</f>
        <v>2019.006G.zip</v>
      </c>
      <c r="U9355" s="43" t="str">
        <f>HYPERLINK("https://ictv.global/taxonomy/taxondetails?taxnode_id=202201890","ictv.global=202201890")</f>
        <v>ictv.global=202201890</v>
      </c>
    </row>
    <row r="9356" spans="1:21">
      <c r="A9356">
        <v>9355</v>
      </c>
      <c r="B9356" s="29" t="s">
        <v>3223</v>
      </c>
      <c r="C9356" s="29"/>
      <c r="D9356" s="29" t="s">
        <v>4156</v>
      </c>
      <c r="E9356" s="29"/>
      <c r="F9356" s="29" t="s">
        <v>4230</v>
      </c>
      <c r="G9356" s="29"/>
      <c r="H9356" s="29" t="s">
        <v>4233</v>
      </c>
      <c r="I9356" s="29"/>
      <c r="J9356" s="29" t="s">
        <v>806</v>
      </c>
      <c r="K9356" s="29"/>
      <c r="L9356" s="29" t="s">
        <v>1467</v>
      </c>
      <c r="M9356" s="29"/>
      <c r="N9356" s="29" t="s">
        <v>3325</v>
      </c>
      <c r="O9356" s="29"/>
      <c r="P9356" s="29" t="s">
        <v>3326</v>
      </c>
      <c r="Q9356" t="s">
        <v>2040</v>
      </c>
      <c r="R9356" t="s">
        <v>6901</v>
      </c>
      <c r="S9356">
        <v>36</v>
      </c>
      <c r="T9356" s="43" t="str">
        <f>HYPERLINK("https://ictv.global/ictv/proposals/2020.001G.R.Abolish_type_species.pdf","2020.001G.R.Abolish_type_species.pdf")</f>
        <v>2020.001G.R.Abolish_type_species.pdf</v>
      </c>
      <c r="U9356" s="43" t="str">
        <f>HYPERLINK("https://ictv.global/taxonomy/taxondetails?taxnode_id=202206495","ictv.global=202206495")</f>
        <v>ictv.global=202206495</v>
      </c>
    </row>
    <row r="9357" spans="1:21">
      <c r="A9357">
        <v>9356</v>
      </c>
      <c r="B9357" s="29" t="s">
        <v>3223</v>
      </c>
      <c r="C9357" s="29"/>
      <c r="D9357" s="29" t="s">
        <v>4156</v>
      </c>
      <c r="E9357" s="29"/>
      <c r="F9357" s="29" t="s">
        <v>4230</v>
      </c>
      <c r="G9357" s="29"/>
      <c r="H9357" s="29" t="s">
        <v>4233</v>
      </c>
      <c r="I9357" s="29"/>
      <c r="J9357" s="29" t="s">
        <v>806</v>
      </c>
      <c r="K9357" s="29"/>
      <c r="L9357" s="29" t="s">
        <v>1467</v>
      </c>
      <c r="M9357" s="29"/>
      <c r="N9357" s="29" t="s">
        <v>1468</v>
      </c>
      <c r="O9357" s="29"/>
      <c r="P9357" s="29" t="s">
        <v>1469</v>
      </c>
      <c r="Q9357" t="s">
        <v>2040</v>
      </c>
      <c r="R9357" t="s">
        <v>2634</v>
      </c>
      <c r="S9357">
        <v>35</v>
      </c>
      <c r="T9357" s="43" t="str">
        <f>HYPERLINK("https://ictv.global/ictv/proposals/2019.006G.zip","2019.006G.zip")</f>
        <v>2019.006G.zip</v>
      </c>
      <c r="U9357" s="43" t="str">
        <f>HYPERLINK("https://ictv.global/taxonomy/taxondetails?taxnode_id=202202801","ictv.global=202202801")</f>
        <v>ictv.global=202202801</v>
      </c>
    </row>
    <row r="9358" spans="1:21">
      <c r="A9358">
        <v>9357</v>
      </c>
      <c r="B9358" s="29" t="s">
        <v>3223</v>
      </c>
      <c r="C9358" s="29"/>
      <c r="D9358" s="29" t="s">
        <v>4156</v>
      </c>
      <c r="E9358" s="29"/>
      <c r="F9358" s="29" t="s">
        <v>4230</v>
      </c>
      <c r="G9358" s="29"/>
      <c r="H9358" s="29" t="s">
        <v>4233</v>
      </c>
      <c r="I9358" s="29"/>
      <c r="J9358" s="29" t="s">
        <v>806</v>
      </c>
      <c r="K9358" s="29"/>
      <c r="L9358" s="29" t="s">
        <v>1467</v>
      </c>
      <c r="M9358" s="29"/>
      <c r="N9358" s="29" t="s">
        <v>1468</v>
      </c>
      <c r="O9358" s="29"/>
      <c r="P9358" s="29" t="s">
        <v>1470</v>
      </c>
      <c r="Q9358" t="s">
        <v>2040</v>
      </c>
      <c r="R9358" t="s">
        <v>6901</v>
      </c>
      <c r="S9358">
        <v>36</v>
      </c>
      <c r="T9358" s="43" t="str">
        <f t="shared" ref="T9358:T9366" si="401">HYPERLINK("https://ictv.global/ictv/proposals/2020.001G.R.Abolish_type_species.pdf","2020.001G.R.Abolish_type_species.pdf")</f>
        <v>2020.001G.R.Abolish_type_species.pdf</v>
      </c>
      <c r="U9358" s="43" t="str">
        <f>HYPERLINK("https://ictv.global/taxonomy/taxondetails?taxnode_id=202202802","ictv.global=202202802")</f>
        <v>ictv.global=202202802</v>
      </c>
    </row>
    <row r="9359" spans="1:21">
      <c r="A9359">
        <v>9358</v>
      </c>
      <c r="B9359" s="29" t="s">
        <v>3223</v>
      </c>
      <c r="C9359" s="29"/>
      <c r="D9359" s="29" t="s">
        <v>4156</v>
      </c>
      <c r="E9359" s="29"/>
      <c r="F9359" s="29" t="s">
        <v>4230</v>
      </c>
      <c r="G9359" s="29"/>
      <c r="H9359" s="29" t="s">
        <v>4233</v>
      </c>
      <c r="I9359" s="29"/>
      <c r="J9359" s="29" t="s">
        <v>806</v>
      </c>
      <c r="K9359" s="29"/>
      <c r="L9359" s="29" t="s">
        <v>1467</v>
      </c>
      <c r="M9359" s="29"/>
      <c r="N9359" s="29" t="s">
        <v>3327</v>
      </c>
      <c r="O9359" s="29"/>
      <c r="P9359" s="29" t="s">
        <v>3328</v>
      </c>
      <c r="Q9359" t="s">
        <v>2040</v>
      </c>
      <c r="R9359" t="s">
        <v>6901</v>
      </c>
      <c r="S9359">
        <v>36</v>
      </c>
      <c r="T9359" s="43" t="str">
        <f t="shared" si="401"/>
        <v>2020.001G.R.Abolish_type_species.pdf</v>
      </c>
      <c r="U9359" s="43" t="str">
        <f>HYPERLINK("https://ictv.global/taxonomy/taxondetails?taxnode_id=202206497","ictv.global=202206497")</f>
        <v>ictv.global=202206497</v>
      </c>
    </row>
    <row r="9360" spans="1:21">
      <c r="A9360">
        <v>9359</v>
      </c>
      <c r="B9360" s="29" t="s">
        <v>3223</v>
      </c>
      <c r="C9360" s="29"/>
      <c r="D9360" s="29" t="s">
        <v>4156</v>
      </c>
      <c r="E9360" s="29"/>
      <c r="F9360" s="29" t="s">
        <v>4230</v>
      </c>
      <c r="G9360" s="29"/>
      <c r="H9360" s="29" t="s">
        <v>4233</v>
      </c>
      <c r="I9360" s="29"/>
      <c r="J9360" s="29" t="s">
        <v>806</v>
      </c>
      <c r="K9360" s="29"/>
      <c r="L9360" s="29" t="s">
        <v>1467</v>
      </c>
      <c r="M9360" s="29"/>
      <c r="N9360" s="29" t="s">
        <v>3329</v>
      </c>
      <c r="O9360" s="29"/>
      <c r="P9360" s="29" t="s">
        <v>3330</v>
      </c>
      <c r="Q9360" t="s">
        <v>2040</v>
      </c>
      <c r="R9360" t="s">
        <v>6901</v>
      </c>
      <c r="S9360">
        <v>36</v>
      </c>
      <c r="T9360" s="43" t="str">
        <f t="shared" si="401"/>
        <v>2020.001G.R.Abolish_type_species.pdf</v>
      </c>
      <c r="U9360" s="43" t="str">
        <f>HYPERLINK("https://ictv.global/taxonomy/taxondetails?taxnode_id=202206499","ictv.global=202206499")</f>
        <v>ictv.global=202206499</v>
      </c>
    </row>
    <row r="9361" spans="1:21">
      <c r="A9361">
        <v>9360</v>
      </c>
      <c r="B9361" s="29" t="s">
        <v>3223</v>
      </c>
      <c r="C9361" s="29"/>
      <c r="D9361" s="29" t="s">
        <v>4156</v>
      </c>
      <c r="E9361" s="29"/>
      <c r="F9361" s="29" t="s">
        <v>4230</v>
      </c>
      <c r="G9361" s="29"/>
      <c r="H9361" s="29" t="s">
        <v>4233</v>
      </c>
      <c r="I9361" s="29"/>
      <c r="J9361" s="29" t="s">
        <v>806</v>
      </c>
      <c r="K9361" s="29"/>
      <c r="L9361" s="29" t="s">
        <v>1467</v>
      </c>
      <c r="M9361" s="29"/>
      <c r="N9361" s="29" t="s">
        <v>1351</v>
      </c>
      <c r="O9361" s="29"/>
      <c r="P9361" s="29" t="s">
        <v>2838</v>
      </c>
      <c r="Q9361" t="s">
        <v>2040</v>
      </c>
      <c r="R9361" t="s">
        <v>6901</v>
      </c>
      <c r="S9361">
        <v>36</v>
      </c>
      <c r="T9361" s="43" t="str">
        <f t="shared" si="401"/>
        <v>2020.001G.R.Abolish_type_species.pdf</v>
      </c>
      <c r="U9361" s="43" t="str">
        <f>HYPERLINK("https://ictv.global/taxonomy/taxondetails?taxnode_id=202202804","ictv.global=202202804")</f>
        <v>ictv.global=202202804</v>
      </c>
    </row>
    <row r="9362" spans="1:21">
      <c r="A9362">
        <v>9361</v>
      </c>
      <c r="B9362" s="29" t="s">
        <v>3223</v>
      </c>
      <c r="C9362" s="29"/>
      <c r="D9362" s="29" t="s">
        <v>4156</v>
      </c>
      <c r="E9362" s="29"/>
      <c r="F9362" s="29" t="s">
        <v>4230</v>
      </c>
      <c r="G9362" s="29"/>
      <c r="H9362" s="29" t="s">
        <v>4233</v>
      </c>
      <c r="I9362" s="29"/>
      <c r="J9362" s="29" t="s">
        <v>806</v>
      </c>
      <c r="K9362" s="29"/>
      <c r="L9362" s="29" t="s">
        <v>1467</v>
      </c>
      <c r="M9362" s="29"/>
      <c r="N9362" s="29" t="s">
        <v>1471</v>
      </c>
      <c r="O9362" s="29"/>
      <c r="P9362" s="29" t="s">
        <v>1472</v>
      </c>
      <c r="Q9362" t="s">
        <v>2040</v>
      </c>
      <c r="R9362" t="s">
        <v>6901</v>
      </c>
      <c r="S9362">
        <v>36</v>
      </c>
      <c r="T9362" s="43" t="str">
        <f t="shared" si="401"/>
        <v>2020.001G.R.Abolish_type_species.pdf</v>
      </c>
      <c r="U9362" s="43" t="str">
        <f>HYPERLINK("https://ictv.global/taxonomy/taxondetails?taxnode_id=202202806","ictv.global=202202806")</f>
        <v>ictv.global=202202806</v>
      </c>
    </row>
    <row r="9363" spans="1:21">
      <c r="A9363">
        <v>9362</v>
      </c>
      <c r="B9363" s="29" t="s">
        <v>3223</v>
      </c>
      <c r="C9363" s="29"/>
      <c r="D9363" s="29" t="s">
        <v>4156</v>
      </c>
      <c r="E9363" s="29"/>
      <c r="F9363" s="29" t="s">
        <v>4230</v>
      </c>
      <c r="G9363" s="29"/>
      <c r="H9363" s="29" t="s">
        <v>4233</v>
      </c>
      <c r="I9363" s="29"/>
      <c r="J9363" s="29" t="s">
        <v>806</v>
      </c>
      <c r="K9363" s="29"/>
      <c r="L9363" s="29" t="s">
        <v>1467</v>
      </c>
      <c r="M9363" s="29"/>
      <c r="N9363" s="29" t="s">
        <v>3331</v>
      </c>
      <c r="O9363" s="29"/>
      <c r="P9363" s="29" t="s">
        <v>3332</v>
      </c>
      <c r="Q9363" t="s">
        <v>2040</v>
      </c>
      <c r="R9363" t="s">
        <v>6901</v>
      </c>
      <c r="S9363">
        <v>36</v>
      </c>
      <c r="T9363" s="43" t="str">
        <f t="shared" si="401"/>
        <v>2020.001G.R.Abolish_type_species.pdf</v>
      </c>
      <c r="U9363" s="43" t="str">
        <f>HYPERLINK("https://ictv.global/taxonomy/taxondetails?taxnode_id=202206501","ictv.global=202206501")</f>
        <v>ictv.global=202206501</v>
      </c>
    </row>
    <row r="9364" spans="1:21">
      <c r="A9364">
        <v>9363</v>
      </c>
      <c r="B9364" s="29" t="s">
        <v>3223</v>
      </c>
      <c r="C9364" s="29"/>
      <c r="D9364" s="29" t="s">
        <v>4156</v>
      </c>
      <c r="E9364" s="29"/>
      <c r="F9364" s="29" t="s">
        <v>4230</v>
      </c>
      <c r="G9364" s="29"/>
      <c r="H9364" s="29" t="s">
        <v>4233</v>
      </c>
      <c r="I9364" s="29"/>
      <c r="J9364" s="29" t="s">
        <v>806</v>
      </c>
      <c r="K9364" s="29"/>
      <c r="L9364" s="29" t="s">
        <v>1467</v>
      </c>
      <c r="M9364" s="29"/>
      <c r="N9364" s="29" t="s">
        <v>3333</v>
      </c>
      <c r="O9364" s="29"/>
      <c r="P9364" s="29" t="s">
        <v>3334</v>
      </c>
      <c r="Q9364" t="s">
        <v>2040</v>
      </c>
      <c r="R9364" t="s">
        <v>6901</v>
      </c>
      <c r="S9364">
        <v>36</v>
      </c>
      <c r="T9364" s="43" t="str">
        <f t="shared" si="401"/>
        <v>2020.001G.R.Abolish_type_species.pdf</v>
      </c>
      <c r="U9364" s="43" t="str">
        <f>HYPERLINK("https://ictv.global/taxonomy/taxondetails?taxnode_id=202206503","ictv.global=202206503")</f>
        <v>ictv.global=202206503</v>
      </c>
    </row>
    <row r="9365" spans="1:21">
      <c r="A9365">
        <v>9364</v>
      </c>
      <c r="B9365" s="29" t="s">
        <v>3223</v>
      </c>
      <c r="C9365" s="29"/>
      <c r="D9365" s="29" t="s">
        <v>4156</v>
      </c>
      <c r="E9365" s="29"/>
      <c r="F9365" s="29" t="s">
        <v>4230</v>
      </c>
      <c r="G9365" s="29"/>
      <c r="H9365" s="29" t="s">
        <v>4233</v>
      </c>
      <c r="I9365" s="29"/>
      <c r="J9365" s="29" t="s">
        <v>806</v>
      </c>
      <c r="K9365" s="29"/>
      <c r="L9365" s="29" t="s">
        <v>1467</v>
      </c>
      <c r="M9365" s="29"/>
      <c r="N9365" s="29" t="s">
        <v>1473</v>
      </c>
      <c r="O9365" s="29"/>
      <c r="P9365" s="29" t="s">
        <v>1474</v>
      </c>
      <c r="Q9365" t="s">
        <v>2040</v>
      </c>
      <c r="R9365" t="s">
        <v>6901</v>
      </c>
      <c r="S9365">
        <v>36</v>
      </c>
      <c r="T9365" s="43" t="str">
        <f t="shared" si="401"/>
        <v>2020.001G.R.Abolish_type_species.pdf</v>
      </c>
      <c r="U9365" s="43" t="str">
        <f>HYPERLINK("https://ictv.global/taxonomy/taxondetails?taxnode_id=202202808","ictv.global=202202808")</f>
        <v>ictv.global=202202808</v>
      </c>
    </row>
    <row r="9366" spans="1:21">
      <c r="A9366">
        <v>9365</v>
      </c>
      <c r="B9366" s="29" t="s">
        <v>3223</v>
      </c>
      <c r="C9366" s="29"/>
      <c r="D9366" s="29" t="s">
        <v>4156</v>
      </c>
      <c r="E9366" s="29"/>
      <c r="F9366" s="29" t="s">
        <v>4230</v>
      </c>
      <c r="G9366" s="29"/>
      <c r="H9366" s="29" t="s">
        <v>4233</v>
      </c>
      <c r="I9366" s="29"/>
      <c r="J9366" s="29" t="s">
        <v>806</v>
      </c>
      <c r="K9366" s="29"/>
      <c r="L9366" s="29" t="s">
        <v>1467</v>
      </c>
      <c r="M9366" s="29"/>
      <c r="N9366" s="29" t="s">
        <v>3335</v>
      </c>
      <c r="O9366" s="29"/>
      <c r="P9366" s="29" t="s">
        <v>3336</v>
      </c>
      <c r="Q9366" t="s">
        <v>2040</v>
      </c>
      <c r="R9366" t="s">
        <v>6901</v>
      </c>
      <c r="S9366">
        <v>36</v>
      </c>
      <c r="T9366" s="43" t="str">
        <f t="shared" si="401"/>
        <v>2020.001G.R.Abolish_type_species.pdf</v>
      </c>
      <c r="U9366" s="43" t="str">
        <f>HYPERLINK("https://ictv.global/taxonomy/taxondetails?taxnode_id=202206505","ictv.global=202206505")</f>
        <v>ictv.global=202206505</v>
      </c>
    </row>
    <row r="9367" spans="1:21">
      <c r="A9367">
        <v>9366</v>
      </c>
      <c r="B9367" s="29" t="s">
        <v>3223</v>
      </c>
      <c r="C9367" s="29"/>
      <c r="D9367" s="29" t="s">
        <v>4156</v>
      </c>
      <c r="E9367" s="29"/>
      <c r="F9367" s="29" t="s">
        <v>4230</v>
      </c>
      <c r="G9367" s="29"/>
      <c r="H9367" s="29" t="s">
        <v>4233</v>
      </c>
      <c r="I9367" s="29"/>
      <c r="J9367" s="29" t="s">
        <v>806</v>
      </c>
      <c r="K9367" s="29"/>
      <c r="L9367" s="29" t="s">
        <v>1467</v>
      </c>
      <c r="M9367" s="29"/>
      <c r="N9367" s="29" t="s">
        <v>1475</v>
      </c>
      <c r="O9367" s="29"/>
      <c r="P9367" s="29" t="s">
        <v>1476</v>
      </c>
      <c r="Q9367" t="s">
        <v>2040</v>
      </c>
      <c r="R9367" t="s">
        <v>2634</v>
      </c>
      <c r="S9367">
        <v>35</v>
      </c>
      <c r="T9367" s="43" t="str">
        <f>HYPERLINK("https://ictv.global/ictv/proposals/2019.006G.zip","2019.006G.zip")</f>
        <v>2019.006G.zip</v>
      </c>
      <c r="U9367" s="43" t="str">
        <f>HYPERLINK("https://ictv.global/taxonomy/taxondetails?taxnode_id=202202810","ictv.global=202202810")</f>
        <v>ictv.global=202202810</v>
      </c>
    </row>
    <row r="9368" spans="1:21">
      <c r="A9368">
        <v>9367</v>
      </c>
      <c r="B9368" s="29" t="s">
        <v>3223</v>
      </c>
      <c r="C9368" s="29"/>
      <c r="D9368" s="29" t="s">
        <v>4156</v>
      </c>
      <c r="E9368" s="29"/>
      <c r="F9368" s="29" t="s">
        <v>4230</v>
      </c>
      <c r="G9368" s="29"/>
      <c r="H9368" s="29" t="s">
        <v>4233</v>
      </c>
      <c r="I9368" s="29"/>
      <c r="J9368" s="29" t="s">
        <v>806</v>
      </c>
      <c r="K9368" s="29"/>
      <c r="L9368" s="29" t="s">
        <v>1467</v>
      </c>
      <c r="M9368" s="29"/>
      <c r="N9368" s="29" t="s">
        <v>1475</v>
      </c>
      <c r="O9368" s="29"/>
      <c r="P9368" s="29" t="s">
        <v>1477</v>
      </c>
      <c r="Q9368" t="s">
        <v>2040</v>
      </c>
      <c r="R9368" t="s">
        <v>6901</v>
      </c>
      <c r="S9368">
        <v>36</v>
      </c>
      <c r="T9368" s="43" t="str">
        <f>HYPERLINK("https://ictv.global/ictv/proposals/2020.001G.R.Abolish_type_species.pdf","2020.001G.R.Abolish_type_species.pdf")</f>
        <v>2020.001G.R.Abolish_type_species.pdf</v>
      </c>
      <c r="U9368" s="43" t="str">
        <f>HYPERLINK("https://ictv.global/taxonomy/taxondetails?taxnode_id=202202811","ictv.global=202202811")</f>
        <v>ictv.global=202202811</v>
      </c>
    </row>
    <row r="9369" spans="1:21">
      <c r="A9369">
        <v>9368</v>
      </c>
      <c r="B9369" s="29" t="s">
        <v>3223</v>
      </c>
      <c r="C9369" s="29"/>
      <c r="D9369" s="29" t="s">
        <v>4156</v>
      </c>
      <c r="E9369" s="29"/>
      <c r="F9369" s="29" t="s">
        <v>4230</v>
      </c>
      <c r="G9369" s="29"/>
      <c r="H9369" s="29" t="s">
        <v>4233</v>
      </c>
      <c r="I9369" s="29"/>
      <c r="J9369" s="29" t="s">
        <v>806</v>
      </c>
      <c r="K9369" s="29"/>
      <c r="L9369" s="29" t="s">
        <v>777</v>
      </c>
      <c r="M9369" s="29"/>
      <c r="N9369" s="29" t="s">
        <v>1009</v>
      </c>
      <c r="O9369" s="29"/>
      <c r="P9369" s="29" t="s">
        <v>14111</v>
      </c>
      <c r="Q9369" t="s">
        <v>2040</v>
      </c>
      <c r="R9369" t="s">
        <v>2635</v>
      </c>
      <c r="S9369">
        <v>38</v>
      </c>
      <c r="T9369" s="43" t="str">
        <f t="shared" ref="T9369:T9377" si="402">HYPERLINK("https://ictv.global/ictv/proposals/2022.003S.Dicistroviridae_rename.zip","2022.003S.Dicistroviridae_rename.zip")</f>
        <v>2022.003S.Dicistroviridae_rename.zip</v>
      </c>
      <c r="U9369" s="43" t="str">
        <f>HYPERLINK("https://ictv.global/taxonomy/taxondetails?taxnode_id=202201914","ictv.global=202201914")</f>
        <v>ictv.global=202201914</v>
      </c>
    </row>
    <row r="9370" spans="1:21">
      <c r="A9370">
        <v>9369</v>
      </c>
      <c r="B9370" s="29" t="s">
        <v>3223</v>
      </c>
      <c r="C9370" s="29"/>
      <c r="D9370" s="29" t="s">
        <v>4156</v>
      </c>
      <c r="E9370" s="29"/>
      <c r="F9370" s="29" t="s">
        <v>4230</v>
      </c>
      <c r="G9370" s="29"/>
      <c r="H9370" s="29" t="s">
        <v>4233</v>
      </c>
      <c r="I9370" s="29"/>
      <c r="J9370" s="29" t="s">
        <v>806</v>
      </c>
      <c r="K9370" s="29"/>
      <c r="L9370" s="29" t="s">
        <v>777</v>
      </c>
      <c r="M9370" s="29"/>
      <c r="N9370" s="29" t="s">
        <v>1009</v>
      </c>
      <c r="O9370" s="29"/>
      <c r="P9370" s="29" t="s">
        <v>14112</v>
      </c>
      <c r="Q9370" t="s">
        <v>2040</v>
      </c>
      <c r="R9370" t="s">
        <v>2635</v>
      </c>
      <c r="S9370">
        <v>38</v>
      </c>
      <c r="T9370" s="43" t="str">
        <f t="shared" si="402"/>
        <v>2022.003S.Dicistroviridae_rename.zip</v>
      </c>
      <c r="U9370" s="43" t="str">
        <f>HYPERLINK("https://ictv.global/taxonomy/taxondetails?taxnode_id=202201917","ictv.global=202201917")</f>
        <v>ictv.global=202201917</v>
      </c>
    </row>
    <row r="9371" spans="1:21">
      <c r="A9371">
        <v>9370</v>
      </c>
      <c r="B9371" s="29" t="s">
        <v>3223</v>
      </c>
      <c r="C9371" s="29"/>
      <c r="D9371" s="29" t="s">
        <v>4156</v>
      </c>
      <c r="E9371" s="29"/>
      <c r="F9371" s="29" t="s">
        <v>4230</v>
      </c>
      <c r="G9371" s="29"/>
      <c r="H9371" s="29" t="s">
        <v>4233</v>
      </c>
      <c r="I9371" s="29"/>
      <c r="J9371" s="29" t="s">
        <v>806</v>
      </c>
      <c r="K9371" s="29"/>
      <c r="L9371" s="29" t="s">
        <v>777</v>
      </c>
      <c r="M9371" s="29"/>
      <c r="N9371" s="29" t="s">
        <v>1009</v>
      </c>
      <c r="O9371" s="29"/>
      <c r="P9371" s="29" t="s">
        <v>14113</v>
      </c>
      <c r="Q9371" t="s">
        <v>2040</v>
      </c>
      <c r="R9371" t="s">
        <v>2635</v>
      </c>
      <c r="S9371">
        <v>38</v>
      </c>
      <c r="T9371" s="43" t="str">
        <f t="shared" si="402"/>
        <v>2022.003S.Dicistroviridae_rename.zip</v>
      </c>
      <c r="U9371" s="43" t="str">
        <f>HYPERLINK("https://ictv.global/taxonomy/taxondetails?taxnode_id=202201915","ictv.global=202201915")</f>
        <v>ictv.global=202201915</v>
      </c>
    </row>
    <row r="9372" spans="1:21">
      <c r="A9372">
        <v>9371</v>
      </c>
      <c r="B9372" s="29" t="s">
        <v>3223</v>
      </c>
      <c r="C9372" s="29"/>
      <c r="D9372" s="29" t="s">
        <v>4156</v>
      </c>
      <c r="E9372" s="29"/>
      <c r="F9372" s="29" t="s">
        <v>4230</v>
      </c>
      <c r="G9372" s="29"/>
      <c r="H9372" s="29" t="s">
        <v>4233</v>
      </c>
      <c r="I9372" s="29"/>
      <c r="J9372" s="29" t="s">
        <v>806</v>
      </c>
      <c r="K9372" s="29"/>
      <c r="L9372" s="29" t="s">
        <v>777</v>
      </c>
      <c r="M9372" s="29"/>
      <c r="N9372" s="29" t="s">
        <v>1009</v>
      </c>
      <c r="O9372" s="29"/>
      <c r="P9372" s="29" t="s">
        <v>14114</v>
      </c>
      <c r="Q9372" t="s">
        <v>2040</v>
      </c>
      <c r="R9372" t="s">
        <v>2635</v>
      </c>
      <c r="S9372">
        <v>38</v>
      </c>
      <c r="T9372" s="43" t="str">
        <f t="shared" si="402"/>
        <v>2022.003S.Dicistroviridae_rename.zip</v>
      </c>
      <c r="U9372" s="43" t="str">
        <f>HYPERLINK("https://ictv.global/taxonomy/taxondetails?taxnode_id=202201916","ictv.global=202201916")</f>
        <v>ictv.global=202201916</v>
      </c>
    </row>
    <row r="9373" spans="1:21">
      <c r="A9373">
        <v>9372</v>
      </c>
      <c r="B9373" s="29" t="s">
        <v>3223</v>
      </c>
      <c r="C9373" s="29"/>
      <c r="D9373" s="29" t="s">
        <v>4156</v>
      </c>
      <c r="E9373" s="29"/>
      <c r="F9373" s="29" t="s">
        <v>4230</v>
      </c>
      <c r="G9373" s="29"/>
      <c r="H9373" s="29" t="s">
        <v>4233</v>
      </c>
      <c r="I9373" s="29"/>
      <c r="J9373" s="29" t="s">
        <v>806</v>
      </c>
      <c r="K9373" s="29"/>
      <c r="L9373" s="29" t="s">
        <v>777</v>
      </c>
      <c r="M9373" s="29"/>
      <c r="N9373" s="29" t="s">
        <v>1009</v>
      </c>
      <c r="O9373" s="29"/>
      <c r="P9373" s="29" t="s">
        <v>14115</v>
      </c>
      <c r="Q9373" t="s">
        <v>2040</v>
      </c>
      <c r="R9373" t="s">
        <v>2635</v>
      </c>
      <c r="S9373">
        <v>38</v>
      </c>
      <c r="T9373" s="43" t="str">
        <f t="shared" si="402"/>
        <v>2022.003S.Dicistroviridae_rename.zip</v>
      </c>
      <c r="U9373" s="43" t="str">
        <f>HYPERLINK("https://ictv.global/taxonomy/taxondetails?taxnode_id=202201919","ictv.global=202201919")</f>
        <v>ictv.global=202201919</v>
      </c>
    </row>
    <row r="9374" spans="1:21">
      <c r="A9374">
        <v>9373</v>
      </c>
      <c r="B9374" s="29" t="s">
        <v>3223</v>
      </c>
      <c r="C9374" s="29"/>
      <c r="D9374" s="29" t="s">
        <v>4156</v>
      </c>
      <c r="E9374" s="29"/>
      <c r="F9374" s="29" t="s">
        <v>4230</v>
      </c>
      <c r="G9374" s="29"/>
      <c r="H9374" s="29" t="s">
        <v>4233</v>
      </c>
      <c r="I9374" s="29"/>
      <c r="J9374" s="29" t="s">
        <v>806</v>
      </c>
      <c r="K9374" s="29"/>
      <c r="L9374" s="29" t="s">
        <v>777</v>
      </c>
      <c r="M9374" s="29"/>
      <c r="N9374" s="29" t="s">
        <v>1009</v>
      </c>
      <c r="O9374" s="29"/>
      <c r="P9374" s="29" t="s">
        <v>14116</v>
      </c>
      <c r="Q9374" t="s">
        <v>2040</v>
      </c>
      <c r="R9374" t="s">
        <v>2635</v>
      </c>
      <c r="S9374">
        <v>38</v>
      </c>
      <c r="T9374" s="43" t="str">
        <f t="shared" si="402"/>
        <v>2022.003S.Dicistroviridae_rename.zip</v>
      </c>
      <c r="U9374" s="43" t="str">
        <f>HYPERLINK("https://ictv.global/taxonomy/taxondetails?taxnode_id=202201918","ictv.global=202201918")</f>
        <v>ictv.global=202201918</v>
      </c>
    </row>
    <row r="9375" spans="1:21">
      <c r="A9375">
        <v>9374</v>
      </c>
      <c r="B9375" s="29" t="s">
        <v>3223</v>
      </c>
      <c r="C9375" s="29"/>
      <c r="D9375" s="29" t="s">
        <v>4156</v>
      </c>
      <c r="E9375" s="29"/>
      <c r="F9375" s="29" t="s">
        <v>4230</v>
      </c>
      <c r="G9375" s="29"/>
      <c r="H9375" s="29" t="s">
        <v>4233</v>
      </c>
      <c r="I9375" s="29"/>
      <c r="J9375" s="29" t="s">
        <v>806</v>
      </c>
      <c r="K9375" s="29"/>
      <c r="L9375" s="29" t="s">
        <v>777</v>
      </c>
      <c r="M9375" s="29"/>
      <c r="N9375" s="29" t="s">
        <v>778</v>
      </c>
      <c r="O9375" s="29"/>
      <c r="P9375" s="29" t="s">
        <v>14117</v>
      </c>
      <c r="Q9375" t="s">
        <v>2040</v>
      </c>
      <c r="R9375" t="s">
        <v>2635</v>
      </c>
      <c r="S9375">
        <v>38</v>
      </c>
      <c r="T9375" s="43" t="str">
        <f t="shared" si="402"/>
        <v>2022.003S.Dicistroviridae_rename.zip</v>
      </c>
      <c r="U9375" s="43" t="str">
        <f>HYPERLINK("https://ictv.global/taxonomy/taxondetails?taxnode_id=202201923","ictv.global=202201923")</f>
        <v>ictv.global=202201923</v>
      </c>
    </row>
    <row r="9376" spans="1:21">
      <c r="A9376">
        <v>9375</v>
      </c>
      <c r="B9376" s="29" t="s">
        <v>3223</v>
      </c>
      <c r="C9376" s="29"/>
      <c r="D9376" s="29" t="s">
        <v>4156</v>
      </c>
      <c r="E9376" s="29"/>
      <c r="F9376" s="29" t="s">
        <v>4230</v>
      </c>
      <c r="G9376" s="29"/>
      <c r="H9376" s="29" t="s">
        <v>4233</v>
      </c>
      <c r="I9376" s="29"/>
      <c r="J9376" s="29" t="s">
        <v>806</v>
      </c>
      <c r="K9376" s="29"/>
      <c r="L9376" s="29" t="s">
        <v>777</v>
      </c>
      <c r="M9376" s="29"/>
      <c r="N9376" s="29" t="s">
        <v>778</v>
      </c>
      <c r="O9376" s="29"/>
      <c r="P9376" s="29" t="s">
        <v>14118</v>
      </c>
      <c r="Q9376" t="s">
        <v>2040</v>
      </c>
      <c r="R9376" t="s">
        <v>2635</v>
      </c>
      <c r="S9376">
        <v>38</v>
      </c>
      <c r="T9376" s="43" t="str">
        <f t="shared" si="402"/>
        <v>2022.003S.Dicistroviridae_rename.zip</v>
      </c>
      <c r="U9376" s="43" t="str">
        <f>HYPERLINK("https://ictv.global/taxonomy/taxondetails?taxnode_id=202201922","ictv.global=202201922")</f>
        <v>ictv.global=202201922</v>
      </c>
    </row>
    <row r="9377" spans="1:21">
      <c r="A9377">
        <v>9376</v>
      </c>
      <c r="B9377" s="29" t="s">
        <v>3223</v>
      </c>
      <c r="C9377" s="29"/>
      <c r="D9377" s="29" t="s">
        <v>4156</v>
      </c>
      <c r="E9377" s="29"/>
      <c r="F9377" s="29" t="s">
        <v>4230</v>
      </c>
      <c r="G9377" s="29"/>
      <c r="H9377" s="29" t="s">
        <v>4233</v>
      </c>
      <c r="I9377" s="29"/>
      <c r="J9377" s="29" t="s">
        <v>806</v>
      </c>
      <c r="K9377" s="29"/>
      <c r="L9377" s="29" t="s">
        <v>777</v>
      </c>
      <c r="M9377" s="29"/>
      <c r="N9377" s="29" t="s">
        <v>778</v>
      </c>
      <c r="O9377" s="29"/>
      <c r="P9377" s="29" t="s">
        <v>14119</v>
      </c>
      <c r="Q9377" t="s">
        <v>2040</v>
      </c>
      <c r="R9377" t="s">
        <v>2635</v>
      </c>
      <c r="S9377">
        <v>38</v>
      </c>
      <c r="T9377" s="43" t="str">
        <f t="shared" si="402"/>
        <v>2022.003S.Dicistroviridae_rename.zip</v>
      </c>
      <c r="U9377" s="43" t="str">
        <f>HYPERLINK("https://ictv.global/taxonomy/taxondetails?taxnode_id=202201921","ictv.global=202201921")</f>
        <v>ictv.global=202201921</v>
      </c>
    </row>
    <row r="9378" spans="1:21">
      <c r="A9378">
        <v>9377</v>
      </c>
      <c r="B9378" s="29" t="s">
        <v>3223</v>
      </c>
      <c r="C9378" s="29"/>
      <c r="D9378" s="29" t="s">
        <v>4156</v>
      </c>
      <c r="E9378" s="29"/>
      <c r="F9378" s="29" t="s">
        <v>4230</v>
      </c>
      <c r="G9378" s="29"/>
      <c r="H9378" s="29" t="s">
        <v>4233</v>
      </c>
      <c r="I9378" s="29"/>
      <c r="J9378" s="29" t="s">
        <v>806</v>
      </c>
      <c r="K9378" s="29"/>
      <c r="L9378" s="29" t="s">
        <v>777</v>
      </c>
      <c r="M9378" s="29"/>
      <c r="N9378" s="29" t="s">
        <v>778</v>
      </c>
      <c r="O9378" s="29"/>
      <c r="P9378" s="29" t="s">
        <v>14120</v>
      </c>
      <c r="Q9378" t="s">
        <v>2040</v>
      </c>
      <c r="R9378" t="s">
        <v>2632</v>
      </c>
      <c r="S9378">
        <v>38</v>
      </c>
      <c r="T9378" s="43" t="str">
        <f>HYPERLINK("https://ictv.global/ictv/proposals/2022.006S.Cripavirus_1nsp.zip","2022.006S.Cripavirus_1nsp.zip")</f>
        <v>2022.006S.Cripavirus_1nsp.zip</v>
      </c>
      <c r="U9378" s="43" t="str">
        <f>HYPERLINK("https://ictv.global/taxonomy/taxondetails?taxnode_id=202214012","ictv.global=202214012")</f>
        <v>ictv.global=202214012</v>
      </c>
    </row>
    <row r="9379" spans="1:21">
      <c r="A9379">
        <v>9378</v>
      </c>
      <c r="B9379" s="29" t="s">
        <v>3223</v>
      </c>
      <c r="C9379" s="29"/>
      <c r="D9379" s="29" t="s">
        <v>4156</v>
      </c>
      <c r="E9379" s="29"/>
      <c r="F9379" s="29" t="s">
        <v>4230</v>
      </c>
      <c r="G9379" s="29"/>
      <c r="H9379" s="29" t="s">
        <v>4233</v>
      </c>
      <c r="I9379" s="29"/>
      <c r="J9379" s="29" t="s">
        <v>806</v>
      </c>
      <c r="K9379" s="29"/>
      <c r="L9379" s="29" t="s">
        <v>777</v>
      </c>
      <c r="M9379" s="29"/>
      <c r="N9379" s="29" t="s">
        <v>778</v>
      </c>
      <c r="O9379" s="29"/>
      <c r="P9379" s="29" t="s">
        <v>14121</v>
      </c>
      <c r="Q9379" t="s">
        <v>2040</v>
      </c>
      <c r="R9379" t="s">
        <v>2635</v>
      </c>
      <c r="S9379">
        <v>38</v>
      </c>
      <c r="T9379" s="43" t="str">
        <f t="shared" ref="T9379:T9384" si="403">HYPERLINK("https://ictv.global/ictv/proposals/2022.003S.Dicistroviridae_rename.zip","2022.003S.Dicistroviridae_rename.zip")</f>
        <v>2022.003S.Dicistroviridae_rename.zip</v>
      </c>
      <c r="U9379" s="43" t="str">
        <f>HYPERLINK("https://ictv.global/taxonomy/taxondetails?taxnode_id=202201924","ictv.global=202201924")</f>
        <v>ictv.global=202201924</v>
      </c>
    </row>
    <row r="9380" spans="1:21">
      <c r="A9380">
        <v>9379</v>
      </c>
      <c r="B9380" s="29" t="s">
        <v>3223</v>
      </c>
      <c r="C9380" s="29"/>
      <c r="D9380" s="29" t="s">
        <v>4156</v>
      </c>
      <c r="E9380" s="29"/>
      <c r="F9380" s="29" t="s">
        <v>4230</v>
      </c>
      <c r="G9380" s="29"/>
      <c r="H9380" s="29" t="s">
        <v>4233</v>
      </c>
      <c r="I9380" s="29"/>
      <c r="J9380" s="29" t="s">
        <v>806</v>
      </c>
      <c r="K9380" s="29"/>
      <c r="L9380" s="29" t="s">
        <v>777</v>
      </c>
      <c r="M9380" s="29"/>
      <c r="N9380" s="29" t="s">
        <v>2158</v>
      </c>
      <c r="O9380" s="29"/>
      <c r="P9380" s="29" t="s">
        <v>14122</v>
      </c>
      <c r="Q9380" t="s">
        <v>2040</v>
      </c>
      <c r="R9380" t="s">
        <v>2635</v>
      </c>
      <c r="S9380">
        <v>38</v>
      </c>
      <c r="T9380" s="43" t="str">
        <f t="shared" si="403"/>
        <v>2022.003S.Dicistroviridae_rename.zip</v>
      </c>
      <c r="U9380" s="43" t="str">
        <f>HYPERLINK("https://ictv.global/taxonomy/taxondetails?taxnode_id=202201927","ictv.global=202201927")</f>
        <v>ictv.global=202201927</v>
      </c>
    </row>
    <row r="9381" spans="1:21">
      <c r="A9381">
        <v>9380</v>
      </c>
      <c r="B9381" s="29" t="s">
        <v>3223</v>
      </c>
      <c r="C9381" s="29"/>
      <c r="D9381" s="29" t="s">
        <v>4156</v>
      </c>
      <c r="E9381" s="29"/>
      <c r="F9381" s="29" t="s">
        <v>4230</v>
      </c>
      <c r="G9381" s="29"/>
      <c r="H9381" s="29" t="s">
        <v>4233</v>
      </c>
      <c r="I9381" s="29"/>
      <c r="J9381" s="29" t="s">
        <v>806</v>
      </c>
      <c r="K9381" s="29"/>
      <c r="L9381" s="29" t="s">
        <v>777</v>
      </c>
      <c r="M9381" s="29"/>
      <c r="N9381" s="29" t="s">
        <v>2158</v>
      </c>
      <c r="O9381" s="29"/>
      <c r="P9381" s="29" t="s">
        <v>14123</v>
      </c>
      <c r="Q9381" t="s">
        <v>2040</v>
      </c>
      <c r="R9381" t="s">
        <v>2635</v>
      </c>
      <c r="S9381">
        <v>38</v>
      </c>
      <c r="T9381" s="43" t="str">
        <f t="shared" si="403"/>
        <v>2022.003S.Dicistroviridae_rename.zip</v>
      </c>
      <c r="U9381" s="43" t="str">
        <f>HYPERLINK("https://ictv.global/taxonomy/taxondetails?taxnode_id=202201928","ictv.global=202201928")</f>
        <v>ictv.global=202201928</v>
      </c>
    </row>
    <row r="9382" spans="1:21">
      <c r="A9382">
        <v>9381</v>
      </c>
      <c r="B9382" s="29" t="s">
        <v>3223</v>
      </c>
      <c r="C9382" s="29"/>
      <c r="D9382" s="29" t="s">
        <v>4156</v>
      </c>
      <c r="E9382" s="29"/>
      <c r="F9382" s="29" t="s">
        <v>4230</v>
      </c>
      <c r="G9382" s="29"/>
      <c r="H9382" s="29" t="s">
        <v>4233</v>
      </c>
      <c r="I9382" s="29"/>
      <c r="J9382" s="29" t="s">
        <v>806</v>
      </c>
      <c r="K9382" s="29"/>
      <c r="L9382" s="29" t="s">
        <v>777</v>
      </c>
      <c r="M9382" s="29"/>
      <c r="N9382" s="29" t="s">
        <v>2158</v>
      </c>
      <c r="O9382" s="29"/>
      <c r="P9382" s="29" t="s">
        <v>14124</v>
      </c>
      <c r="Q9382" t="s">
        <v>2040</v>
      </c>
      <c r="R9382" t="s">
        <v>2635</v>
      </c>
      <c r="S9382">
        <v>38</v>
      </c>
      <c r="T9382" s="43" t="str">
        <f t="shared" si="403"/>
        <v>2022.003S.Dicistroviridae_rename.zip</v>
      </c>
      <c r="U9382" s="43" t="str">
        <f>HYPERLINK("https://ictv.global/taxonomy/taxondetails?taxnode_id=202201926","ictv.global=202201926")</f>
        <v>ictv.global=202201926</v>
      </c>
    </row>
    <row r="9383" spans="1:21">
      <c r="A9383">
        <v>9382</v>
      </c>
      <c r="B9383" s="29" t="s">
        <v>3223</v>
      </c>
      <c r="C9383" s="29"/>
      <c r="D9383" s="29" t="s">
        <v>4156</v>
      </c>
      <c r="E9383" s="29"/>
      <c r="F9383" s="29" t="s">
        <v>4230</v>
      </c>
      <c r="G9383" s="29"/>
      <c r="H9383" s="29" t="s">
        <v>4233</v>
      </c>
      <c r="I9383" s="29"/>
      <c r="J9383" s="29" t="s">
        <v>806</v>
      </c>
      <c r="K9383" s="29"/>
      <c r="L9383" s="29" t="s">
        <v>777</v>
      </c>
      <c r="M9383" s="29"/>
      <c r="N9383" s="29" t="s">
        <v>2158</v>
      </c>
      <c r="O9383" s="29"/>
      <c r="P9383" s="29" t="s">
        <v>14125</v>
      </c>
      <c r="Q9383" t="s">
        <v>2040</v>
      </c>
      <c r="R9383" t="s">
        <v>2635</v>
      </c>
      <c r="S9383">
        <v>38</v>
      </c>
      <c r="T9383" s="43" t="str">
        <f t="shared" si="403"/>
        <v>2022.003S.Dicistroviridae_rename.zip</v>
      </c>
      <c r="U9383" s="43" t="str">
        <f>HYPERLINK("https://ictv.global/taxonomy/taxondetails?taxnode_id=202201929","ictv.global=202201929")</f>
        <v>ictv.global=202201929</v>
      </c>
    </row>
    <row r="9384" spans="1:21">
      <c r="A9384">
        <v>9383</v>
      </c>
      <c r="B9384" s="29" t="s">
        <v>3223</v>
      </c>
      <c r="C9384" s="29"/>
      <c r="D9384" s="29" t="s">
        <v>4156</v>
      </c>
      <c r="E9384" s="29"/>
      <c r="F9384" s="29" t="s">
        <v>4230</v>
      </c>
      <c r="G9384" s="29"/>
      <c r="H9384" s="29" t="s">
        <v>4233</v>
      </c>
      <c r="I9384" s="29"/>
      <c r="J9384" s="29" t="s">
        <v>806</v>
      </c>
      <c r="K9384" s="29"/>
      <c r="L9384" s="29" t="s">
        <v>777</v>
      </c>
      <c r="M9384" s="29"/>
      <c r="N9384" s="29" t="s">
        <v>2158</v>
      </c>
      <c r="O9384" s="29"/>
      <c r="P9384" s="29" t="s">
        <v>14126</v>
      </c>
      <c r="Q9384" t="s">
        <v>2040</v>
      </c>
      <c r="R9384" t="s">
        <v>2635</v>
      </c>
      <c r="S9384">
        <v>38</v>
      </c>
      <c r="T9384" s="43" t="str">
        <f t="shared" si="403"/>
        <v>2022.003S.Dicistroviridae_rename.zip</v>
      </c>
      <c r="U9384" s="43" t="str">
        <f>HYPERLINK("https://ictv.global/taxonomy/taxondetails?taxnode_id=202201930","ictv.global=202201930")</f>
        <v>ictv.global=202201930</v>
      </c>
    </row>
    <row r="9385" spans="1:21">
      <c r="A9385">
        <v>9384</v>
      </c>
      <c r="B9385" s="29" t="s">
        <v>3223</v>
      </c>
      <c r="C9385" s="29"/>
      <c r="D9385" s="29" t="s">
        <v>4156</v>
      </c>
      <c r="E9385" s="29"/>
      <c r="F9385" s="29" t="s">
        <v>4230</v>
      </c>
      <c r="G9385" s="29"/>
      <c r="H9385" s="29" t="s">
        <v>4233</v>
      </c>
      <c r="I9385" s="29"/>
      <c r="J9385" s="29" t="s">
        <v>806</v>
      </c>
      <c r="K9385" s="29"/>
      <c r="L9385" s="29" t="s">
        <v>836</v>
      </c>
      <c r="M9385" s="29"/>
      <c r="N9385" s="29" t="s">
        <v>837</v>
      </c>
      <c r="O9385" s="29"/>
      <c r="P9385" s="29" t="s">
        <v>14127</v>
      </c>
      <c r="Q9385" t="s">
        <v>2040</v>
      </c>
      <c r="R9385" t="s">
        <v>2635</v>
      </c>
      <c r="S9385">
        <v>38</v>
      </c>
      <c r="T9385" s="43" t="str">
        <f t="shared" ref="T9385:T9400" si="404">HYPERLINK("https://ictv.global/ictv/proposals/2022.004S.Iflaviridae_rename.zip","2022.004S.Iflaviridae_rename.zip")</f>
        <v>2022.004S.Iflaviridae_rename.zip</v>
      </c>
      <c r="U9385" s="43" t="str">
        <f>HYPERLINK("https://ictv.global/taxonomy/taxondetails?taxnode_id=202213895","ictv.global=202213895")</f>
        <v>ictv.global=202213895</v>
      </c>
    </row>
    <row r="9386" spans="1:21">
      <c r="A9386">
        <v>9385</v>
      </c>
      <c r="B9386" s="29" t="s">
        <v>3223</v>
      </c>
      <c r="C9386" s="29"/>
      <c r="D9386" s="29" t="s">
        <v>4156</v>
      </c>
      <c r="E9386" s="29"/>
      <c r="F9386" s="29" t="s">
        <v>4230</v>
      </c>
      <c r="G9386" s="29"/>
      <c r="H9386" s="29" t="s">
        <v>4233</v>
      </c>
      <c r="I9386" s="29"/>
      <c r="J9386" s="29" t="s">
        <v>806</v>
      </c>
      <c r="K9386" s="29"/>
      <c r="L9386" s="29" t="s">
        <v>836</v>
      </c>
      <c r="M9386" s="29"/>
      <c r="N9386" s="29" t="s">
        <v>837</v>
      </c>
      <c r="O9386" s="29"/>
      <c r="P9386" s="29" t="s">
        <v>14128</v>
      </c>
      <c r="Q9386" t="s">
        <v>2040</v>
      </c>
      <c r="R9386" t="s">
        <v>2635</v>
      </c>
      <c r="S9386">
        <v>38</v>
      </c>
      <c r="T9386" s="43" t="str">
        <f t="shared" si="404"/>
        <v>2022.004S.Iflaviridae_rename.zip</v>
      </c>
      <c r="U9386" s="43" t="str">
        <f>HYPERLINK("https://ictv.global/taxonomy/taxondetails?taxnode_id=202201936","ictv.global=202201936")</f>
        <v>ictv.global=202201936</v>
      </c>
    </row>
    <row r="9387" spans="1:21">
      <c r="A9387">
        <v>9386</v>
      </c>
      <c r="B9387" s="29" t="s">
        <v>3223</v>
      </c>
      <c r="C9387" s="29"/>
      <c r="D9387" s="29" t="s">
        <v>4156</v>
      </c>
      <c r="E9387" s="29"/>
      <c r="F9387" s="29" t="s">
        <v>4230</v>
      </c>
      <c r="G9387" s="29"/>
      <c r="H9387" s="29" t="s">
        <v>4233</v>
      </c>
      <c r="I9387" s="29"/>
      <c r="J9387" s="29" t="s">
        <v>806</v>
      </c>
      <c r="K9387" s="29"/>
      <c r="L9387" s="29" t="s">
        <v>836</v>
      </c>
      <c r="M9387" s="29"/>
      <c r="N9387" s="29" t="s">
        <v>837</v>
      </c>
      <c r="O9387" s="29"/>
      <c r="P9387" s="29" t="s">
        <v>14129</v>
      </c>
      <c r="Q9387" t="s">
        <v>2040</v>
      </c>
      <c r="R9387" t="s">
        <v>2635</v>
      </c>
      <c r="S9387">
        <v>38</v>
      </c>
      <c r="T9387" s="43" t="str">
        <f t="shared" si="404"/>
        <v>2022.004S.Iflaviridae_rename.zip</v>
      </c>
      <c r="U9387" s="43" t="str">
        <f>HYPERLINK("https://ictv.global/taxonomy/taxondetails?taxnode_id=202201945","ictv.global=202201945")</f>
        <v>ictv.global=202201945</v>
      </c>
    </row>
    <row r="9388" spans="1:21">
      <c r="A9388">
        <v>9387</v>
      </c>
      <c r="B9388" s="29" t="s">
        <v>3223</v>
      </c>
      <c r="C9388" s="29"/>
      <c r="D9388" s="29" t="s">
        <v>4156</v>
      </c>
      <c r="E9388" s="29"/>
      <c r="F9388" s="29" t="s">
        <v>4230</v>
      </c>
      <c r="G9388" s="29"/>
      <c r="H9388" s="29" t="s">
        <v>4233</v>
      </c>
      <c r="I9388" s="29"/>
      <c r="J9388" s="29" t="s">
        <v>806</v>
      </c>
      <c r="K9388" s="29"/>
      <c r="L9388" s="29" t="s">
        <v>836</v>
      </c>
      <c r="M9388" s="29"/>
      <c r="N9388" s="29" t="s">
        <v>837</v>
      </c>
      <c r="O9388" s="29"/>
      <c r="P9388" s="29" t="s">
        <v>14130</v>
      </c>
      <c r="Q9388" t="s">
        <v>2040</v>
      </c>
      <c r="R9388" t="s">
        <v>2635</v>
      </c>
      <c r="S9388">
        <v>38</v>
      </c>
      <c r="T9388" s="43" t="str">
        <f t="shared" si="404"/>
        <v>2022.004S.Iflaviridae_rename.zip</v>
      </c>
      <c r="U9388" s="43" t="str">
        <f>HYPERLINK("https://ictv.global/taxonomy/taxondetails?taxnode_id=202201947","ictv.global=202201947")</f>
        <v>ictv.global=202201947</v>
      </c>
    </row>
    <row r="9389" spans="1:21">
      <c r="A9389">
        <v>9388</v>
      </c>
      <c r="B9389" s="29" t="s">
        <v>3223</v>
      </c>
      <c r="C9389" s="29"/>
      <c r="D9389" s="29" t="s">
        <v>4156</v>
      </c>
      <c r="E9389" s="29"/>
      <c r="F9389" s="29" t="s">
        <v>4230</v>
      </c>
      <c r="G9389" s="29"/>
      <c r="H9389" s="29" t="s">
        <v>4233</v>
      </c>
      <c r="I9389" s="29"/>
      <c r="J9389" s="29" t="s">
        <v>806</v>
      </c>
      <c r="K9389" s="29"/>
      <c r="L9389" s="29" t="s">
        <v>836</v>
      </c>
      <c r="M9389" s="29"/>
      <c r="N9389" s="29" t="s">
        <v>837</v>
      </c>
      <c r="O9389" s="29"/>
      <c r="P9389" s="29" t="s">
        <v>14131</v>
      </c>
      <c r="Q9389" t="s">
        <v>2040</v>
      </c>
      <c r="R9389" t="s">
        <v>2635</v>
      </c>
      <c r="S9389">
        <v>38</v>
      </c>
      <c r="T9389" s="43" t="str">
        <f t="shared" si="404"/>
        <v>2022.004S.Iflaviridae_rename.zip</v>
      </c>
      <c r="U9389" s="43" t="str">
        <f>HYPERLINK("https://ictv.global/taxonomy/taxondetails?taxnode_id=202201935","ictv.global=202201935")</f>
        <v>ictv.global=202201935</v>
      </c>
    </row>
    <row r="9390" spans="1:21">
      <c r="A9390">
        <v>9389</v>
      </c>
      <c r="B9390" s="29" t="s">
        <v>3223</v>
      </c>
      <c r="C9390" s="29"/>
      <c r="D9390" s="29" t="s">
        <v>4156</v>
      </c>
      <c r="E9390" s="29"/>
      <c r="F9390" s="29" t="s">
        <v>4230</v>
      </c>
      <c r="G9390" s="29"/>
      <c r="H9390" s="29" t="s">
        <v>4233</v>
      </c>
      <c r="I9390" s="29"/>
      <c r="J9390" s="29" t="s">
        <v>806</v>
      </c>
      <c r="K9390" s="29"/>
      <c r="L9390" s="29" t="s">
        <v>836</v>
      </c>
      <c r="M9390" s="29"/>
      <c r="N9390" s="29" t="s">
        <v>837</v>
      </c>
      <c r="O9390" s="29"/>
      <c r="P9390" s="29" t="s">
        <v>14132</v>
      </c>
      <c r="Q9390" t="s">
        <v>2040</v>
      </c>
      <c r="R9390" t="s">
        <v>2635</v>
      </c>
      <c r="S9390">
        <v>38</v>
      </c>
      <c r="T9390" s="43" t="str">
        <f t="shared" si="404"/>
        <v>2022.004S.Iflaviridae_rename.zip</v>
      </c>
      <c r="U9390" s="43" t="str">
        <f>HYPERLINK("https://ictv.global/taxonomy/taxondetails?taxnode_id=202201937","ictv.global=202201937")</f>
        <v>ictv.global=202201937</v>
      </c>
    </row>
    <row r="9391" spans="1:21">
      <c r="A9391">
        <v>9390</v>
      </c>
      <c r="B9391" s="29" t="s">
        <v>3223</v>
      </c>
      <c r="C9391" s="29"/>
      <c r="D9391" s="29" t="s">
        <v>4156</v>
      </c>
      <c r="E9391" s="29"/>
      <c r="F9391" s="29" t="s">
        <v>4230</v>
      </c>
      <c r="G9391" s="29"/>
      <c r="H9391" s="29" t="s">
        <v>4233</v>
      </c>
      <c r="I9391" s="29"/>
      <c r="J9391" s="29" t="s">
        <v>806</v>
      </c>
      <c r="K9391" s="29"/>
      <c r="L9391" s="29" t="s">
        <v>836</v>
      </c>
      <c r="M9391" s="29"/>
      <c r="N9391" s="29" t="s">
        <v>837</v>
      </c>
      <c r="O9391" s="29"/>
      <c r="P9391" s="29" t="s">
        <v>14133</v>
      </c>
      <c r="Q9391" t="s">
        <v>2040</v>
      </c>
      <c r="R9391" t="s">
        <v>2635</v>
      </c>
      <c r="S9391">
        <v>38</v>
      </c>
      <c r="T9391" s="43" t="str">
        <f t="shared" si="404"/>
        <v>2022.004S.Iflaviridae_rename.zip</v>
      </c>
      <c r="U9391" s="43" t="str">
        <f>HYPERLINK("https://ictv.global/taxonomy/taxondetails?taxnode_id=202201938","ictv.global=202201938")</f>
        <v>ictv.global=202201938</v>
      </c>
    </row>
    <row r="9392" spans="1:21">
      <c r="A9392">
        <v>9391</v>
      </c>
      <c r="B9392" s="29" t="s">
        <v>3223</v>
      </c>
      <c r="C9392" s="29"/>
      <c r="D9392" s="29" t="s">
        <v>4156</v>
      </c>
      <c r="E9392" s="29"/>
      <c r="F9392" s="29" t="s">
        <v>4230</v>
      </c>
      <c r="G9392" s="29"/>
      <c r="H9392" s="29" t="s">
        <v>4233</v>
      </c>
      <c r="I9392" s="29"/>
      <c r="J9392" s="29" t="s">
        <v>806</v>
      </c>
      <c r="K9392" s="29"/>
      <c r="L9392" s="29" t="s">
        <v>836</v>
      </c>
      <c r="M9392" s="29"/>
      <c r="N9392" s="29" t="s">
        <v>837</v>
      </c>
      <c r="O9392" s="29"/>
      <c r="P9392" s="29" t="s">
        <v>14134</v>
      </c>
      <c r="Q9392" t="s">
        <v>2040</v>
      </c>
      <c r="R9392" t="s">
        <v>2635</v>
      </c>
      <c r="S9392">
        <v>38</v>
      </c>
      <c r="T9392" s="43" t="str">
        <f t="shared" si="404"/>
        <v>2022.004S.Iflaviridae_rename.zip</v>
      </c>
      <c r="U9392" s="43" t="str">
        <f>HYPERLINK("https://ictv.global/taxonomy/taxondetails?taxnode_id=202201939","ictv.global=202201939")</f>
        <v>ictv.global=202201939</v>
      </c>
    </row>
    <row r="9393" spans="1:21">
      <c r="A9393">
        <v>9392</v>
      </c>
      <c r="B9393" s="29" t="s">
        <v>3223</v>
      </c>
      <c r="C9393" s="29"/>
      <c r="D9393" s="29" t="s">
        <v>4156</v>
      </c>
      <c r="E9393" s="29"/>
      <c r="F9393" s="29" t="s">
        <v>4230</v>
      </c>
      <c r="G9393" s="29"/>
      <c r="H9393" s="29" t="s">
        <v>4233</v>
      </c>
      <c r="I9393" s="29"/>
      <c r="J9393" s="29" t="s">
        <v>806</v>
      </c>
      <c r="K9393" s="29"/>
      <c r="L9393" s="29" t="s">
        <v>836</v>
      </c>
      <c r="M9393" s="29"/>
      <c r="N9393" s="29" t="s">
        <v>837</v>
      </c>
      <c r="O9393" s="29"/>
      <c r="P9393" s="29" t="s">
        <v>14135</v>
      </c>
      <c r="Q9393" t="s">
        <v>2040</v>
      </c>
      <c r="R9393" t="s">
        <v>2635</v>
      </c>
      <c r="S9393">
        <v>38</v>
      </c>
      <c r="T9393" s="43" t="str">
        <f t="shared" si="404"/>
        <v>2022.004S.Iflaviridae_rename.zip</v>
      </c>
      <c r="U9393" s="43" t="str">
        <f>HYPERLINK("https://ictv.global/taxonomy/taxondetails?taxnode_id=202201941","ictv.global=202201941")</f>
        <v>ictv.global=202201941</v>
      </c>
    </row>
    <row r="9394" spans="1:21">
      <c r="A9394">
        <v>9393</v>
      </c>
      <c r="B9394" s="29" t="s">
        <v>3223</v>
      </c>
      <c r="C9394" s="29"/>
      <c r="D9394" s="29" t="s">
        <v>4156</v>
      </c>
      <c r="E9394" s="29"/>
      <c r="F9394" s="29" t="s">
        <v>4230</v>
      </c>
      <c r="G9394" s="29"/>
      <c r="H9394" s="29" t="s">
        <v>4233</v>
      </c>
      <c r="I9394" s="29"/>
      <c r="J9394" s="29" t="s">
        <v>806</v>
      </c>
      <c r="K9394" s="29"/>
      <c r="L9394" s="29" t="s">
        <v>836</v>
      </c>
      <c r="M9394" s="29"/>
      <c r="N9394" s="29" t="s">
        <v>837</v>
      </c>
      <c r="O9394" s="29"/>
      <c r="P9394" s="29" t="s">
        <v>14136</v>
      </c>
      <c r="Q9394" t="s">
        <v>2040</v>
      </c>
      <c r="R9394" t="s">
        <v>2635</v>
      </c>
      <c r="S9394">
        <v>38</v>
      </c>
      <c r="T9394" s="43" t="str">
        <f t="shared" si="404"/>
        <v>2022.004S.Iflaviridae_rename.zip</v>
      </c>
      <c r="U9394" s="43" t="str">
        <f>HYPERLINK("https://ictv.global/taxonomy/taxondetails?taxnode_id=202201940","ictv.global=202201940")</f>
        <v>ictv.global=202201940</v>
      </c>
    </row>
    <row r="9395" spans="1:21">
      <c r="A9395">
        <v>9394</v>
      </c>
      <c r="B9395" s="29" t="s">
        <v>3223</v>
      </c>
      <c r="C9395" s="29"/>
      <c r="D9395" s="29" t="s">
        <v>4156</v>
      </c>
      <c r="E9395" s="29"/>
      <c r="F9395" s="29" t="s">
        <v>4230</v>
      </c>
      <c r="G9395" s="29"/>
      <c r="H9395" s="29" t="s">
        <v>4233</v>
      </c>
      <c r="I9395" s="29"/>
      <c r="J9395" s="29" t="s">
        <v>806</v>
      </c>
      <c r="K9395" s="29"/>
      <c r="L9395" s="29" t="s">
        <v>836</v>
      </c>
      <c r="M9395" s="29"/>
      <c r="N9395" s="29" t="s">
        <v>837</v>
      </c>
      <c r="O9395" s="29"/>
      <c r="P9395" s="29" t="s">
        <v>14137</v>
      </c>
      <c r="Q9395" t="s">
        <v>2040</v>
      </c>
      <c r="R9395" t="s">
        <v>2635</v>
      </c>
      <c r="S9395">
        <v>38</v>
      </c>
      <c r="T9395" s="43" t="str">
        <f t="shared" si="404"/>
        <v>2022.004S.Iflaviridae_rename.zip</v>
      </c>
      <c r="U9395" s="43" t="str">
        <f>HYPERLINK("https://ictv.global/taxonomy/taxondetails?taxnode_id=202201942","ictv.global=202201942")</f>
        <v>ictv.global=202201942</v>
      </c>
    </row>
    <row r="9396" spans="1:21">
      <c r="A9396">
        <v>9395</v>
      </c>
      <c r="B9396" s="29" t="s">
        <v>3223</v>
      </c>
      <c r="C9396" s="29"/>
      <c r="D9396" s="29" t="s">
        <v>4156</v>
      </c>
      <c r="E9396" s="29"/>
      <c r="F9396" s="29" t="s">
        <v>4230</v>
      </c>
      <c r="G9396" s="29"/>
      <c r="H9396" s="29" t="s">
        <v>4233</v>
      </c>
      <c r="I9396" s="29"/>
      <c r="J9396" s="29" t="s">
        <v>806</v>
      </c>
      <c r="K9396" s="29"/>
      <c r="L9396" s="29" t="s">
        <v>836</v>
      </c>
      <c r="M9396" s="29"/>
      <c r="N9396" s="29" t="s">
        <v>837</v>
      </c>
      <c r="O9396" s="29"/>
      <c r="P9396" s="29" t="s">
        <v>14138</v>
      </c>
      <c r="Q9396" t="s">
        <v>2040</v>
      </c>
      <c r="R9396" t="s">
        <v>2635</v>
      </c>
      <c r="S9396">
        <v>38</v>
      </c>
      <c r="T9396" s="43" t="str">
        <f t="shared" si="404"/>
        <v>2022.004S.Iflaviridae_rename.zip</v>
      </c>
      <c r="U9396" s="43" t="str">
        <f>HYPERLINK("https://ictv.global/taxonomy/taxondetails?taxnode_id=202201943","ictv.global=202201943")</f>
        <v>ictv.global=202201943</v>
      </c>
    </row>
    <row r="9397" spans="1:21">
      <c r="A9397">
        <v>9396</v>
      </c>
      <c r="B9397" s="29" t="s">
        <v>3223</v>
      </c>
      <c r="C9397" s="29"/>
      <c r="D9397" s="29" t="s">
        <v>4156</v>
      </c>
      <c r="E9397" s="29"/>
      <c r="F9397" s="29" t="s">
        <v>4230</v>
      </c>
      <c r="G9397" s="29"/>
      <c r="H9397" s="29" t="s">
        <v>4233</v>
      </c>
      <c r="I9397" s="29"/>
      <c r="J9397" s="29" t="s">
        <v>806</v>
      </c>
      <c r="K9397" s="29"/>
      <c r="L9397" s="29" t="s">
        <v>836</v>
      </c>
      <c r="M9397" s="29"/>
      <c r="N9397" s="29" t="s">
        <v>837</v>
      </c>
      <c r="O9397" s="29"/>
      <c r="P9397" s="29" t="s">
        <v>14139</v>
      </c>
      <c r="Q9397" t="s">
        <v>2040</v>
      </c>
      <c r="R9397" t="s">
        <v>2635</v>
      </c>
      <c r="S9397">
        <v>38</v>
      </c>
      <c r="T9397" s="43" t="str">
        <f t="shared" si="404"/>
        <v>2022.004S.Iflaviridae_rename.zip</v>
      </c>
      <c r="U9397" s="43" t="str">
        <f>HYPERLINK("https://ictv.global/taxonomy/taxondetails?taxnode_id=202201944","ictv.global=202201944")</f>
        <v>ictv.global=202201944</v>
      </c>
    </row>
    <row r="9398" spans="1:21">
      <c r="A9398">
        <v>9397</v>
      </c>
      <c r="B9398" s="29" t="s">
        <v>3223</v>
      </c>
      <c r="C9398" s="29"/>
      <c r="D9398" s="29" t="s">
        <v>4156</v>
      </c>
      <c r="E9398" s="29"/>
      <c r="F9398" s="29" t="s">
        <v>4230</v>
      </c>
      <c r="G9398" s="29"/>
      <c r="H9398" s="29" t="s">
        <v>4233</v>
      </c>
      <c r="I9398" s="29"/>
      <c r="J9398" s="29" t="s">
        <v>806</v>
      </c>
      <c r="K9398" s="29"/>
      <c r="L9398" s="29" t="s">
        <v>836</v>
      </c>
      <c r="M9398" s="29"/>
      <c r="N9398" s="29" t="s">
        <v>837</v>
      </c>
      <c r="O9398" s="29"/>
      <c r="P9398" s="29" t="s">
        <v>14140</v>
      </c>
      <c r="Q9398" t="s">
        <v>2040</v>
      </c>
      <c r="R9398" t="s">
        <v>2635</v>
      </c>
      <c r="S9398">
        <v>38</v>
      </c>
      <c r="T9398" s="43" t="str">
        <f t="shared" si="404"/>
        <v>2022.004S.Iflaviridae_rename.zip</v>
      </c>
      <c r="U9398" s="43" t="str">
        <f>HYPERLINK("https://ictv.global/taxonomy/taxondetails?taxnode_id=202201946","ictv.global=202201946")</f>
        <v>ictv.global=202201946</v>
      </c>
    </row>
    <row r="9399" spans="1:21">
      <c r="A9399">
        <v>9398</v>
      </c>
      <c r="B9399" s="29" t="s">
        <v>3223</v>
      </c>
      <c r="C9399" s="29"/>
      <c r="D9399" s="29" t="s">
        <v>4156</v>
      </c>
      <c r="E9399" s="29"/>
      <c r="F9399" s="29" t="s">
        <v>4230</v>
      </c>
      <c r="G9399" s="29"/>
      <c r="H9399" s="29" t="s">
        <v>4233</v>
      </c>
      <c r="I9399" s="29"/>
      <c r="J9399" s="29" t="s">
        <v>806</v>
      </c>
      <c r="K9399" s="29"/>
      <c r="L9399" s="29" t="s">
        <v>836</v>
      </c>
      <c r="M9399" s="29"/>
      <c r="N9399" s="29" t="s">
        <v>837</v>
      </c>
      <c r="O9399" s="29"/>
      <c r="P9399" s="29" t="s">
        <v>14141</v>
      </c>
      <c r="Q9399" t="s">
        <v>2040</v>
      </c>
      <c r="R9399" t="s">
        <v>2635</v>
      </c>
      <c r="S9399">
        <v>38</v>
      </c>
      <c r="T9399" s="43" t="str">
        <f t="shared" si="404"/>
        <v>2022.004S.Iflaviridae_rename.zip</v>
      </c>
      <c r="U9399" s="43" t="str">
        <f>HYPERLINK("https://ictv.global/taxonomy/taxondetails?taxnode_id=202213894","ictv.global=202213894")</f>
        <v>ictv.global=202213894</v>
      </c>
    </row>
    <row r="9400" spans="1:21">
      <c r="A9400">
        <v>9399</v>
      </c>
      <c r="B9400" s="29" t="s">
        <v>3223</v>
      </c>
      <c r="C9400" s="29"/>
      <c r="D9400" s="29" t="s">
        <v>4156</v>
      </c>
      <c r="E9400" s="29"/>
      <c r="F9400" s="29" t="s">
        <v>4230</v>
      </c>
      <c r="G9400" s="29"/>
      <c r="H9400" s="29" t="s">
        <v>4233</v>
      </c>
      <c r="I9400" s="29"/>
      <c r="J9400" s="29" t="s">
        <v>806</v>
      </c>
      <c r="K9400" s="29"/>
      <c r="L9400" s="29" t="s">
        <v>836</v>
      </c>
      <c r="M9400" s="29"/>
      <c r="N9400" s="29" t="s">
        <v>837</v>
      </c>
      <c r="O9400" s="29"/>
      <c r="P9400" s="29" t="s">
        <v>14142</v>
      </c>
      <c r="Q9400" t="s">
        <v>2040</v>
      </c>
      <c r="R9400" t="s">
        <v>2635</v>
      </c>
      <c r="S9400">
        <v>38</v>
      </c>
      <c r="T9400" s="43" t="str">
        <f t="shared" si="404"/>
        <v>2022.004S.Iflaviridae_rename.zip</v>
      </c>
      <c r="U9400" s="43" t="str">
        <f>HYPERLINK("https://ictv.global/taxonomy/taxondetails?taxnode_id=202201934","ictv.global=202201934")</f>
        <v>ictv.global=202201934</v>
      </c>
    </row>
    <row r="9401" spans="1:21">
      <c r="A9401">
        <v>9400</v>
      </c>
      <c r="B9401" s="29" t="s">
        <v>3223</v>
      </c>
      <c r="C9401" s="29"/>
      <c r="D9401" s="29" t="s">
        <v>4156</v>
      </c>
      <c r="E9401" s="29"/>
      <c r="F9401" s="29" t="s">
        <v>4230</v>
      </c>
      <c r="G9401" s="29"/>
      <c r="H9401" s="29" t="s">
        <v>4233</v>
      </c>
      <c r="I9401" s="29"/>
      <c r="J9401" s="29" t="s">
        <v>806</v>
      </c>
      <c r="K9401" s="29"/>
      <c r="L9401" s="29" t="s">
        <v>838</v>
      </c>
      <c r="M9401" s="29"/>
      <c r="N9401" s="29" t="s">
        <v>3</v>
      </c>
      <c r="O9401" s="29"/>
      <c r="P9401" s="29" t="s">
        <v>2730</v>
      </c>
      <c r="Q9401" t="s">
        <v>2040</v>
      </c>
      <c r="R9401" t="s">
        <v>2634</v>
      </c>
      <c r="S9401">
        <v>35</v>
      </c>
      <c r="T9401" s="43" t="str">
        <f>HYPERLINK("https://ictv.global/ictv/proposals/2019.006G.zip","2019.006G.zip")</f>
        <v>2019.006G.zip</v>
      </c>
      <c r="U9401" s="43" t="str">
        <f>HYPERLINK("https://ictv.global/taxonomy/taxondetails?taxnode_id=202202166","ictv.global=202202166")</f>
        <v>ictv.global=202202166</v>
      </c>
    </row>
    <row r="9402" spans="1:21">
      <c r="A9402">
        <v>9401</v>
      </c>
      <c r="B9402" s="29" t="s">
        <v>3223</v>
      </c>
      <c r="C9402" s="29"/>
      <c r="D9402" s="29" t="s">
        <v>4156</v>
      </c>
      <c r="E9402" s="29"/>
      <c r="F9402" s="29" t="s">
        <v>4230</v>
      </c>
      <c r="G9402" s="29"/>
      <c r="H9402" s="29" t="s">
        <v>4233</v>
      </c>
      <c r="I9402" s="29"/>
      <c r="J9402" s="29" t="s">
        <v>806</v>
      </c>
      <c r="K9402" s="29"/>
      <c r="L9402" s="29" t="s">
        <v>838</v>
      </c>
      <c r="M9402" s="29"/>
      <c r="N9402" s="29" t="s">
        <v>3</v>
      </c>
      <c r="O9402" s="29"/>
      <c r="P9402" s="29" t="s">
        <v>4</v>
      </c>
      <c r="Q9402" t="s">
        <v>2040</v>
      </c>
      <c r="R9402" t="s">
        <v>2634</v>
      </c>
      <c r="S9402">
        <v>35</v>
      </c>
      <c r="T9402" s="43" t="str">
        <f>HYPERLINK("https://ictv.global/ictv/proposals/2019.006G.zip","2019.006G.zip")</f>
        <v>2019.006G.zip</v>
      </c>
      <c r="U9402" s="43" t="str">
        <f>HYPERLINK("https://ictv.global/taxonomy/taxondetails?taxnode_id=202202167","ictv.global=202202167")</f>
        <v>ictv.global=202202167</v>
      </c>
    </row>
    <row r="9403" spans="1:21">
      <c r="A9403">
        <v>9402</v>
      </c>
      <c r="B9403" s="29" t="s">
        <v>3223</v>
      </c>
      <c r="C9403" s="29"/>
      <c r="D9403" s="29" t="s">
        <v>4156</v>
      </c>
      <c r="E9403" s="29"/>
      <c r="F9403" s="29" t="s">
        <v>4230</v>
      </c>
      <c r="G9403" s="29"/>
      <c r="H9403" s="29" t="s">
        <v>4233</v>
      </c>
      <c r="I9403" s="29"/>
      <c r="J9403" s="29" t="s">
        <v>806</v>
      </c>
      <c r="K9403" s="29"/>
      <c r="L9403" s="29" t="s">
        <v>838</v>
      </c>
      <c r="M9403" s="29"/>
      <c r="N9403" s="29" t="s">
        <v>3</v>
      </c>
      <c r="O9403" s="29"/>
      <c r="P9403" s="29" t="s">
        <v>5</v>
      </c>
      <c r="Q9403" t="s">
        <v>2040</v>
      </c>
      <c r="R9403" t="s">
        <v>6901</v>
      </c>
      <c r="S9403">
        <v>36</v>
      </c>
      <c r="T9403" s="43" t="str">
        <f>HYPERLINK("https://ictv.global/ictv/proposals/2020.001G.R.Abolish_type_species.pdf","2020.001G.R.Abolish_type_species.pdf")</f>
        <v>2020.001G.R.Abolish_type_species.pdf</v>
      </c>
      <c r="U9403" s="43" t="str">
        <f>HYPERLINK("https://ictv.global/taxonomy/taxondetails?taxnode_id=202202168","ictv.global=202202168")</f>
        <v>ictv.global=202202168</v>
      </c>
    </row>
    <row r="9404" spans="1:21">
      <c r="A9404">
        <v>9403</v>
      </c>
      <c r="B9404" s="29" t="s">
        <v>3223</v>
      </c>
      <c r="C9404" s="29"/>
      <c r="D9404" s="29" t="s">
        <v>4156</v>
      </c>
      <c r="E9404" s="29"/>
      <c r="F9404" s="29" t="s">
        <v>4230</v>
      </c>
      <c r="G9404" s="29"/>
      <c r="H9404" s="29" t="s">
        <v>4233</v>
      </c>
      <c r="I9404" s="29"/>
      <c r="J9404" s="29" t="s">
        <v>806</v>
      </c>
      <c r="K9404" s="29"/>
      <c r="L9404" s="29" t="s">
        <v>838</v>
      </c>
      <c r="M9404" s="29"/>
      <c r="N9404" s="29" t="s">
        <v>3259</v>
      </c>
      <c r="O9404" s="29"/>
      <c r="P9404" s="29" t="s">
        <v>3260</v>
      </c>
      <c r="Q9404" t="s">
        <v>2040</v>
      </c>
      <c r="R9404" t="s">
        <v>6901</v>
      </c>
      <c r="S9404">
        <v>36</v>
      </c>
      <c r="T9404" s="43" t="str">
        <f>HYPERLINK("https://ictv.global/ictv/proposals/2020.001G.R.Abolish_type_species.pdf","2020.001G.R.Abolish_type_species.pdf")</f>
        <v>2020.001G.R.Abolish_type_species.pdf</v>
      </c>
      <c r="U9404" s="43" t="str">
        <f>HYPERLINK("https://ictv.global/taxonomy/taxondetails?taxnode_id=202206540","ictv.global=202206540")</f>
        <v>ictv.global=202206540</v>
      </c>
    </row>
    <row r="9405" spans="1:21">
      <c r="A9405">
        <v>9404</v>
      </c>
      <c r="B9405" s="29" t="s">
        <v>3223</v>
      </c>
      <c r="C9405" s="29"/>
      <c r="D9405" s="29" t="s">
        <v>4156</v>
      </c>
      <c r="E9405" s="29"/>
      <c r="F9405" s="29" t="s">
        <v>4230</v>
      </c>
      <c r="G9405" s="29"/>
      <c r="H9405" s="29" t="s">
        <v>4233</v>
      </c>
      <c r="I9405" s="29"/>
      <c r="J9405" s="29" t="s">
        <v>806</v>
      </c>
      <c r="K9405" s="29"/>
      <c r="L9405" s="29" t="s">
        <v>838</v>
      </c>
      <c r="M9405" s="29"/>
      <c r="N9405" s="29" t="s">
        <v>6</v>
      </c>
      <c r="O9405" s="29"/>
      <c r="P9405" s="29" t="s">
        <v>7</v>
      </c>
      <c r="Q9405" t="s">
        <v>2040</v>
      </c>
      <c r="R9405" t="s">
        <v>6901</v>
      </c>
      <c r="S9405">
        <v>36</v>
      </c>
      <c r="T9405" s="43" t="str">
        <f>HYPERLINK("https://ictv.global/ictv/proposals/2020.001G.R.Abolish_type_species.pdf","2020.001G.R.Abolish_type_species.pdf")</f>
        <v>2020.001G.R.Abolish_type_species.pdf</v>
      </c>
      <c r="U9405" s="43" t="str">
        <f>HYPERLINK("https://ictv.global/taxonomy/taxondetails?taxnode_id=202202170","ictv.global=202202170")</f>
        <v>ictv.global=202202170</v>
      </c>
    </row>
    <row r="9406" spans="1:21">
      <c r="A9406">
        <v>9405</v>
      </c>
      <c r="B9406" s="29" t="s">
        <v>3223</v>
      </c>
      <c r="C9406" s="29"/>
      <c r="D9406" s="29" t="s">
        <v>4156</v>
      </c>
      <c r="E9406" s="29"/>
      <c r="F9406" s="29" t="s">
        <v>4230</v>
      </c>
      <c r="G9406" s="29"/>
      <c r="H9406" s="29" t="s">
        <v>4233</v>
      </c>
      <c r="I9406" s="29"/>
      <c r="J9406" s="29" t="s">
        <v>806</v>
      </c>
      <c r="K9406" s="29"/>
      <c r="L9406" s="29" t="s">
        <v>838</v>
      </c>
      <c r="M9406" s="29"/>
      <c r="N9406" s="29" t="s">
        <v>3261</v>
      </c>
      <c r="O9406" s="29"/>
      <c r="P9406" s="29" t="s">
        <v>3262</v>
      </c>
      <c r="Q9406" t="s">
        <v>2040</v>
      </c>
      <c r="R9406" t="s">
        <v>6901</v>
      </c>
      <c r="S9406">
        <v>36</v>
      </c>
      <c r="T9406" s="43" t="str">
        <f>HYPERLINK("https://ictv.global/ictv/proposals/2020.001G.R.Abolish_type_species.pdf","2020.001G.R.Abolish_type_species.pdf")</f>
        <v>2020.001G.R.Abolish_type_species.pdf</v>
      </c>
      <c r="U9406" s="43" t="str">
        <f>HYPERLINK("https://ictv.global/taxonomy/taxondetails?taxnode_id=202206538","ictv.global=202206538")</f>
        <v>ictv.global=202206538</v>
      </c>
    </row>
    <row r="9407" spans="1:21">
      <c r="A9407">
        <v>9406</v>
      </c>
      <c r="B9407" s="29" t="s">
        <v>3223</v>
      </c>
      <c r="C9407" s="29"/>
      <c r="D9407" s="29" t="s">
        <v>4156</v>
      </c>
      <c r="E9407" s="29"/>
      <c r="F9407" s="29" t="s">
        <v>4230</v>
      </c>
      <c r="G9407" s="29"/>
      <c r="H9407" s="29" t="s">
        <v>4233</v>
      </c>
      <c r="I9407" s="29"/>
      <c r="J9407" s="29" t="s">
        <v>806</v>
      </c>
      <c r="K9407" s="29"/>
      <c r="L9407" s="29" t="s">
        <v>838</v>
      </c>
      <c r="M9407" s="29"/>
      <c r="N9407" s="29" t="s">
        <v>3261</v>
      </c>
      <c r="O9407" s="29"/>
      <c r="P9407" s="29" t="s">
        <v>3263</v>
      </c>
      <c r="Q9407" t="s">
        <v>2040</v>
      </c>
      <c r="R9407" t="s">
        <v>2634</v>
      </c>
      <c r="S9407">
        <v>35</v>
      </c>
      <c r="T9407" s="43" t="str">
        <f>HYPERLINK("https://ictv.global/ictv/proposals/2019.006G.zip","2019.006G.zip")</f>
        <v>2019.006G.zip</v>
      </c>
      <c r="U9407" s="43" t="str">
        <f>HYPERLINK("https://ictv.global/taxonomy/taxondetails?taxnode_id=202206536","ictv.global=202206536")</f>
        <v>ictv.global=202206536</v>
      </c>
    </row>
    <row r="9408" spans="1:21">
      <c r="A9408">
        <v>9407</v>
      </c>
      <c r="B9408" s="29" t="s">
        <v>3223</v>
      </c>
      <c r="C9408" s="29"/>
      <c r="D9408" s="29" t="s">
        <v>4156</v>
      </c>
      <c r="E9408" s="29"/>
      <c r="F9408" s="29" t="s">
        <v>4230</v>
      </c>
      <c r="G9408" s="29"/>
      <c r="H9408" s="29" t="s">
        <v>4233</v>
      </c>
      <c r="I9408" s="29"/>
      <c r="J9408" s="29" t="s">
        <v>806</v>
      </c>
      <c r="K9408" s="29"/>
      <c r="L9408" s="29" t="s">
        <v>838</v>
      </c>
      <c r="M9408" s="29"/>
      <c r="N9408" s="29" t="s">
        <v>3261</v>
      </c>
      <c r="O9408" s="29"/>
      <c r="P9408" s="29" t="s">
        <v>3264</v>
      </c>
      <c r="Q9408" t="s">
        <v>2040</v>
      </c>
      <c r="R9408" t="s">
        <v>2634</v>
      </c>
      <c r="S9408">
        <v>35</v>
      </c>
      <c r="T9408" s="43" t="str">
        <f>HYPERLINK("https://ictv.global/ictv/proposals/2019.006G.zip","2019.006G.zip")</f>
        <v>2019.006G.zip</v>
      </c>
      <c r="U9408" s="43" t="str">
        <f>HYPERLINK("https://ictv.global/taxonomy/taxondetails?taxnode_id=202206535","ictv.global=202206535")</f>
        <v>ictv.global=202206535</v>
      </c>
    </row>
    <row r="9409" spans="1:21">
      <c r="A9409">
        <v>9408</v>
      </c>
      <c r="B9409" s="29" t="s">
        <v>3223</v>
      </c>
      <c r="C9409" s="29"/>
      <c r="D9409" s="29" t="s">
        <v>4156</v>
      </c>
      <c r="E9409" s="29"/>
      <c r="F9409" s="29" t="s">
        <v>4230</v>
      </c>
      <c r="G9409" s="29"/>
      <c r="H9409" s="29" t="s">
        <v>4233</v>
      </c>
      <c r="I9409" s="29"/>
      <c r="J9409" s="29" t="s">
        <v>806</v>
      </c>
      <c r="K9409" s="29"/>
      <c r="L9409" s="29" t="s">
        <v>838</v>
      </c>
      <c r="M9409" s="29"/>
      <c r="N9409" s="29" t="s">
        <v>3261</v>
      </c>
      <c r="O9409" s="29"/>
      <c r="P9409" s="29" t="s">
        <v>3265</v>
      </c>
      <c r="Q9409" t="s">
        <v>2040</v>
      </c>
      <c r="R9409" t="s">
        <v>2634</v>
      </c>
      <c r="S9409">
        <v>35</v>
      </c>
      <c r="T9409" s="43" t="str">
        <f>HYPERLINK("https://ictv.global/ictv/proposals/2019.006G.zip","2019.006G.zip")</f>
        <v>2019.006G.zip</v>
      </c>
      <c r="U9409" s="43" t="str">
        <f>HYPERLINK("https://ictv.global/taxonomy/taxondetails?taxnode_id=202206537","ictv.global=202206537")</f>
        <v>ictv.global=202206537</v>
      </c>
    </row>
    <row r="9410" spans="1:21">
      <c r="A9410">
        <v>9409</v>
      </c>
      <c r="B9410" s="29" t="s">
        <v>3223</v>
      </c>
      <c r="C9410" s="29"/>
      <c r="D9410" s="29" t="s">
        <v>4156</v>
      </c>
      <c r="E9410" s="29"/>
      <c r="F9410" s="29" t="s">
        <v>4230</v>
      </c>
      <c r="G9410" s="29"/>
      <c r="H9410" s="29" t="s">
        <v>4233</v>
      </c>
      <c r="I9410" s="29"/>
      <c r="J9410" s="29" t="s">
        <v>806</v>
      </c>
      <c r="K9410" s="29"/>
      <c r="L9410" s="29" t="s">
        <v>838</v>
      </c>
      <c r="M9410" s="29"/>
      <c r="N9410" s="29" t="s">
        <v>839</v>
      </c>
      <c r="O9410" s="29"/>
      <c r="P9410" s="29" t="s">
        <v>840</v>
      </c>
      <c r="Q9410" t="s">
        <v>2040</v>
      </c>
      <c r="R9410" t="s">
        <v>6901</v>
      </c>
      <c r="S9410">
        <v>36</v>
      </c>
      <c r="T9410" s="43" t="str">
        <f>HYPERLINK("https://ictv.global/ictv/proposals/2020.001G.R.Abolish_type_species.pdf","2020.001G.R.Abolish_type_species.pdf")</f>
        <v>2020.001G.R.Abolish_type_species.pdf</v>
      </c>
      <c r="U9410" s="43" t="str">
        <f>HYPERLINK("https://ictv.global/taxonomy/taxondetails?taxnode_id=202201952","ictv.global=202201952")</f>
        <v>ictv.global=202201952</v>
      </c>
    </row>
    <row r="9411" spans="1:21">
      <c r="A9411">
        <v>9410</v>
      </c>
      <c r="B9411" s="29" t="s">
        <v>3223</v>
      </c>
      <c r="C9411" s="29"/>
      <c r="D9411" s="29" t="s">
        <v>4156</v>
      </c>
      <c r="E9411" s="29"/>
      <c r="F9411" s="29" t="s">
        <v>4230</v>
      </c>
      <c r="G9411" s="29"/>
      <c r="H9411" s="29" t="s">
        <v>4233</v>
      </c>
      <c r="I9411" s="29"/>
      <c r="J9411" s="29" t="s">
        <v>806</v>
      </c>
      <c r="K9411" s="29"/>
      <c r="L9411" s="29" t="s">
        <v>838</v>
      </c>
      <c r="M9411" s="29"/>
      <c r="N9411" s="29" t="s">
        <v>3266</v>
      </c>
      <c r="O9411" s="29"/>
      <c r="P9411" s="29" t="s">
        <v>3267</v>
      </c>
      <c r="Q9411" t="s">
        <v>2040</v>
      </c>
      <c r="R9411" t="s">
        <v>2634</v>
      </c>
      <c r="S9411">
        <v>35</v>
      </c>
      <c r="T9411" s="43" t="str">
        <f>HYPERLINK("https://ictv.global/ictv/proposals/2019.006G.zip","2019.006G.zip")</f>
        <v>2019.006G.zip</v>
      </c>
      <c r="U9411" s="43" t="str">
        <f>HYPERLINK("https://ictv.global/taxonomy/taxondetails?taxnode_id=202206551","ictv.global=202206551")</f>
        <v>ictv.global=202206551</v>
      </c>
    </row>
    <row r="9412" spans="1:21">
      <c r="A9412">
        <v>9411</v>
      </c>
      <c r="B9412" s="29" t="s">
        <v>3223</v>
      </c>
      <c r="C9412" s="29"/>
      <c r="D9412" s="29" t="s">
        <v>4156</v>
      </c>
      <c r="E9412" s="29"/>
      <c r="F9412" s="29" t="s">
        <v>4230</v>
      </c>
      <c r="G9412" s="29"/>
      <c r="H9412" s="29" t="s">
        <v>4233</v>
      </c>
      <c r="I9412" s="29"/>
      <c r="J9412" s="29" t="s">
        <v>806</v>
      </c>
      <c r="K9412" s="29"/>
      <c r="L9412" s="29" t="s">
        <v>838</v>
      </c>
      <c r="M9412" s="29"/>
      <c r="N9412" s="29" t="s">
        <v>3266</v>
      </c>
      <c r="O9412" s="29"/>
      <c r="P9412" s="29" t="s">
        <v>3268</v>
      </c>
      <c r="Q9412" t="s">
        <v>2040</v>
      </c>
      <c r="R9412" t="s">
        <v>6901</v>
      </c>
      <c r="S9412">
        <v>36</v>
      </c>
      <c r="T9412" s="43" t="str">
        <f>HYPERLINK("https://ictv.global/ictv/proposals/2020.001G.R.Abolish_type_species.pdf","2020.001G.R.Abolish_type_species.pdf")</f>
        <v>2020.001G.R.Abolish_type_species.pdf</v>
      </c>
      <c r="U9412" s="43" t="str">
        <f>HYPERLINK("https://ictv.global/taxonomy/taxondetails?taxnode_id=202206549","ictv.global=202206549")</f>
        <v>ictv.global=202206549</v>
      </c>
    </row>
    <row r="9413" spans="1:21">
      <c r="A9413">
        <v>9412</v>
      </c>
      <c r="B9413" s="29" t="s">
        <v>3223</v>
      </c>
      <c r="C9413" s="29"/>
      <c r="D9413" s="29" t="s">
        <v>4156</v>
      </c>
      <c r="E9413" s="29"/>
      <c r="F9413" s="29" t="s">
        <v>4230</v>
      </c>
      <c r="G9413" s="29"/>
      <c r="H9413" s="29" t="s">
        <v>4233</v>
      </c>
      <c r="I9413" s="29"/>
      <c r="J9413" s="29" t="s">
        <v>806</v>
      </c>
      <c r="K9413" s="29"/>
      <c r="L9413" s="29" t="s">
        <v>838</v>
      </c>
      <c r="M9413" s="29"/>
      <c r="N9413" s="29" t="s">
        <v>3266</v>
      </c>
      <c r="O9413" s="29"/>
      <c r="P9413" s="29" t="s">
        <v>3269</v>
      </c>
      <c r="Q9413" t="s">
        <v>2040</v>
      </c>
      <c r="R9413" t="s">
        <v>2634</v>
      </c>
      <c r="S9413">
        <v>35</v>
      </c>
      <c r="T9413" s="43" t="str">
        <f>HYPERLINK("https://ictv.global/ictv/proposals/2019.006G.zip","2019.006G.zip")</f>
        <v>2019.006G.zip</v>
      </c>
      <c r="U9413" s="43" t="str">
        <f>HYPERLINK("https://ictv.global/taxonomy/taxondetails?taxnode_id=202206552","ictv.global=202206552")</f>
        <v>ictv.global=202206552</v>
      </c>
    </row>
    <row r="9414" spans="1:21">
      <c r="A9414">
        <v>9413</v>
      </c>
      <c r="B9414" s="29" t="s">
        <v>3223</v>
      </c>
      <c r="C9414" s="29"/>
      <c r="D9414" s="29" t="s">
        <v>4156</v>
      </c>
      <c r="E9414" s="29"/>
      <c r="F9414" s="29" t="s">
        <v>4230</v>
      </c>
      <c r="G9414" s="29"/>
      <c r="H9414" s="29" t="s">
        <v>4233</v>
      </c>
      <c r="I9414" s="29"/>
      <c r="J9414" s="29" t="s">
        <v>806</v>
      </c>
      <c r="K9414" s="29"/>
      <c r="L9414" s="29" t="s">
        <v>838</v>
      </c>
      <c r="M9414" s="29"/>
      <c r="N9414" s="29" t="s">
        <v>3266</v>
      </c>
      <c r="O9414" s="29"/>
      <c r="P9414" s="29" t="s">
        <v>3270</v>
      </c>
      <c r="Q9414" t="s">
        <v>2040</v>
      </c>
      <c r="R9414" t="s">
        <v>2634</v>
      </c>
      <c r="S9414">
        <v>35</v>
      </c>
      <c r="T9414" s="43" t="str">
        <f>HYPERLINK("https://ictv.global/ictv/proposals/2019.006G.zip","2019.006G.zip")</f>
        <v>2019.006G.zip</v>
      </c>
      <c r="U9414" s="43" t="str">
        <f>HYPERLINK("https://ictv.global/taxonomy/taxondetails?taxnode_id=202206550","ictv.global=202206550")</f>
        <v>ictv.global=202206550</v>
      </c>
    </row>
    <row r="9415" spans="1:21">
      <c r="A9415">
        <v>9414</v>
      </c>
      <c r="B9415" s="29" t="s">
        <v>3223</v>
      </c>
      <c r="C9415" s="29"/>
      <c r="D9415" s="29" t="s">
        <v>4156</v>
      </c>
      <c r="E9415" s="29"/>
      <c r="F9415" s="29" t="s">
        <v>4230</v>
      </c>
      <c r="G9415" s="29"/>
      <c r="H9415" s="29" t="s">
        <v>4233</v>
      </c>
      <c r="I9415" s="29"/>
      <c r="J9415" s="29" t="s">
        <v>806</v>
      </c>
      <c r="K9415" s="29"/>
      <c r="L9415" s="29" t="s">
        <v>838</v>
      </c>
      <c r="M9415" s="29"/>
      <c r="N9415" s="29" t="s">
        <v>3271</v>
      </c>
      <c r="O9415" s="29"/>
      <c r="P9415" s="29" t="s">
        <v>3272</v>
      </c>
      <c r="Q9415" t="s">
        <v>2040</v>
      </c>
      <c r="R9415" t="s">
        <v>2634</v>
      </c>
      <c r="S9415">
        <v>35</v>
      </c>
      <c r="T9415" s="43" t="str">
        <f>HYPERLINK("https://ictv.global/ictv/proposals/2019.006G.zip","2019.006G.zip")</f>
        <v>2019.006G.zip</v>
      </c>
      <c r="U9415" s="43" t="str">
        <f>HYPERLINK("https://ictv.global/taxonomy/taxondetails?taxnode_id=202206542","ictv.global=202206542")</f>
        <v>ictv.global=202206542</v>
      </c>
    </row>
    <row r="9416" spans="1:21">
      <c r="A9416">
        <v>9415</v>
      </c>
      <c r="B9416" s="29" t="s">
        <v>3223</v>
      </c>
      <c r="C9416" s="29"/>
      <c r="D9416" s="29" t="s">
        <v>4156</v>
      </c>
      <c r="E9416" s="29"/>
      <c r="F9416" s="29" t="s">
        <v>4230</v>
      </c>
      <c r="G9416" s="29"/>
      <c r="H9416" s="29" t="s">
        <v>4233</v>
      </c>
      <c r="I9416" s="29"/>
      <c r="J9416" s="29" t="s">
        <v>806</v>
      </c>
      <c r="K9416" s="29"/>
      <c r="L9416" s="29" t="s">
        <v>838</v>
      </c>
      <c r="M9416" s="29"/>
      <c r="N9416" s="29" t="s">
        <v>3271</v>
      </c>
      <c r="O9416" s="29"/>
      <c r="P9416" s="29" t="s">
        <v>3273</v>
      </c>
      <c r="Q9416" t="s">
        <v>2040</v>
      </c>
      <c r="R9416" t="s">
        <v>2634</v>
      </c>
      <c r="S9416">
        <v>35</v>
      </c>
      <c r="T9416" s="43" t="str">
        <f>HYPERLINK("https://ictv.global/ictv/proposals/2019.006G.zip","2019.006G.zip")</f>
        <v>2019.006G.zip</v>
      </c>
      <c r="U9416" s="43" t="str">
        <f>HYPERLINK("https://ictv.global/taxonomy/taxondetails?taxnode_id=202206544","ictv.global=202206544")</f>
        <v>ictv.global=202206544</v>
      </c>
    </row>
    <row r="9417" spans="1:21">
      <c r="A9417">
        <v>9416</v>
      </c>
      <c r="B9417" s="29" t="s">
        <v>3223</v>
      </c>
      <c r="C9417" s="29"/>
      <c r="D9417" s="29" t="s">
        <v>4156</v>
      </c>
      <c r="E9417" s="29"/>
      <c r="F9417" s="29" t="s">
        <v>4230</v>
      </c>
      <c r="G9417" s="29"/>
      <c r="H9417" s="29" t="s">
        <v>4233</v>
      </c>
      <c r="I9417" s="29"/>
      <c r="J9417" s="29" t="s">
        <v>806</v>
      </c>
      <c r="K9417" s="29"/>
      <c r="L9417" s="29" t="s">
        <v>838</v>
      </c>
      <c r="M9417" s="29"/>
      <c r="N9417" s="29" t="s">
        <v>3271</v>
      </c>
      <c r="O9417" s="29"/>
      <c r="P9417" s="29" t="s">
        <v>3274</v>
      </c>
      <c r="Q9417" t="s">
        <v>2040</v>
      </c>
      <c r="R9417" t="s">
        <v>2634</v>
      </c>
      <c r="S9417">
        <v>35</v>
      </c>
      <c r="T9417" s="43" t="str">
        <f>HYPERLINK("https://ictv.global/ictv/proposals/2019.006G.zip","2019.006G.zip")</f>
        <v>2019.006G.zip</v>
      </c>
      <c r="U9417" s="43" t="str">
        <f>HYPERLINK("https://ictv.global/taxonomy/taxondetails?taxnode_id=202206547","ictv.global=202206547")</f>
        <v>ictv.global=202206547</v>
      </c>
    </row>
    <row r="9418" spans="1:21">
      <c r="A9418">
        <v>9417</v>
      </c>
      <c r="B9418" s="29" t="s">
        <v>3223</v>
      </c>
      <c r="C9418" s="29"/>
      <c r="D9418" s="29" t="s">
        <v>4156</v>
      </c>
      <c r="E9418" s="29"/>
      <c r="F9418" s="29" t="s">
        <v>4230</v>
      </c>
      <c r="G9418" s="29"/>
      <c r="H9418" s="29" t="s">
        <v>4233</v>
      </c>
      <c r="I9418" s="29"/>
      <c r="J9418" s="29" t="s">
        <v>806</v>
      </c>
      <c r="K9418" s="29"/>
      <c r="L9418" s="29" t="s">
        <v>838</v>
      </c>
      <c r="M9418" s="29"/>
      <c r="N9418" s="29" t="s">
        <v>3271</v>
      </c>
      <c r="O9418" s="29"/>
      <c r="P9418" s="29" t="s">
        <v>3275</v>
      </c>
      <c r="Q9418" t="s">
        <v>2040</v>
      </c>
      <c r="R9418" t="s">
        <v>6901</v>
      </c>
      <c r="S9418">
        <v>36</v>
      </c>
      <c r="T9418" s="43" t="str">
        <f>HYPERLINK("https://ictv.global/ictv/proposals/2020.001G.R.Abolish_type_species.pdf","2020.001G.R.Abolish_type_species.pdf")</f>
        <v>2020.001G.R.Abolish_type_species.pdf</v>
      </c>
      <c r="U9418" s="43" t="str">
        <f>HYPERLINK("https://ictv.global/taxonomy/taxondetails?taxnode_id=202206546","ictv.global=202206546")</f>
        <v>ictv.global=202206546</v>
      </c>
    </row>
    <row r="9419" spans="1:21">
      <c r="A9419">
        <v>9418</v>
      </c>
      <c r="B9419" s="29" t="s">
        <v>3223</v>
      </c>
      <c r="C9419" s="29"/>
      <c r="D9419" s="29" t="s">
        <v>4156</v>
      </c>
      <c r="E9419" s="29"/>
      <c r="F9419" s="29" t="s">
        <v>4230</v>
      </c>
      <c r="G9419" s="29"/>
      <c r="H9419" s="29" t="s">
        <v>4233</v>
      </c>
      <c r="I9419" s="29"/>
      <c r="J9419" s="29" t="s">
        <v>806</v>
      </c>
      <c r="K9419" s="29"/>
      <c r="L9419" s="29" t="s">
        <v>838</v>
      </c>
      <c r="M9419" s="29"/>
      <c r="N9419" s="29" t="s">
        <v>3271</v>
      </c>
      <c r="O9419" s="29"/>
      <c r="P9419" s="29" t="s">
        <v>3276</v>
      </c>
      <c r="Q9419" t="s">
        <v>2040</v>
      </c>
      <c r="R9419" t="s">
        <v>2634</v>
      </c>
      <c r="S9419">
        <v>35</v>
      </c>
      <c r="T9419" s="43" t="str">
        <f>HYPERLINK("https://ictv.global/ictv/proposals/2019.006G.zip","2019.006G.zip")</f>
        <v>2019.006G.zip</v>
      </c>
      <c r="U9419" s="43" t="str">
        <f>HYPERLINK("https://ictv.global/taxonomy/taxondetails?taxnode_id=202206545","ictv.global=202206545")</f>
        <v>ictv.global=202206545</v>
      </c>
    </row>
    <row r="9420" spans="1:21">
      <c r="A9420">
        <v>9419</v>
      </c>
      <c r="B9420" s="29" t="s">
        <v>3223</v>
      </c>
      <c r="C9420" s="29"/>
      <c r="D9420" s="29" t="s">
        <v>4156</v>
      </c>
      <c r="E9420" s="29"/>
      <c r="F9420" s="29" t="s">
        <v>4230</v>
      </c>
      <c r="G9420" s="29"/>
      <c r="H9420" s="29" t="s">
        <v>4233</v>
      </c>
      <c r="I9420" s="29"/>
      <c r="J9420" s="29" t="s">
        <v>806</v>
      </c>
      <c r="K9420" s="29"/>
      <c r="L9420" s="29" t="s">
        <v>838</v>
      </c>
      <c r="M9420" s="29"/>
      <c r="N9420" s="29" t="s">
        <v>3271</v>
      </c>
      <c r="O9420" s="29"/>
      <c r="P9420" s="29" t="s">
        <v>3277</v>
      </c>
      <c r="Q9420" t="s">
        <v>2040</v>
      </c>
      <c r="R9420" t="s">
        <v>2634</v>
      </c>
      <c r="S9420">
        <v>35</v>
      </c>
      <c r="T9420" s="43" t="str">
        <f>HYPERLINK("https://ictv.global/ictv/proposals/2019.006G.zip","2019.006G.zip")</f>
        <v>2019.006G.zip</v>
      </c>
      <c r="U9420" s="43" t="str">
        <f>HYPERLINK("https://ictv.global/taxonomy/taxondetails?taxnode_id=202206543","ictv.global=202206543")</f>
        <v>ictv.global=202206543</v>
      </c>
    </row>
    <row r="9421" spans="1:21">
      <c r="A9421">
        <v>9420</v>
      </c>
      <c r="B9421" s="29" t="s">
        <v>3223</v>
      </c>
      <c r="C9421" s="29"/>
      <c r="D9421" s="29" t="s">
        <v>4156</v>
      </c>
      <c r="E9421" s="29"/>
      <c r="F9421" s="29" t="s">
        <v>4230</v>
      </c>
      <c r="G9421" s="29"/>
      <c r="H9421" s="29" t="s">
        <v>4233</v>
      </c>
      <c r="I9421" s="29"/>
      <c r="J9421" s="29" t="s">
        <v>806</v>
      </c>
      <c r="K9421" s="29"/>
      <c r="L9421" s="29" t="s">
        <v>14143</v>
      </c>
      <c r="M9421" s="29"/>
      <c r="N9421" s="29" t="s">
        <v>14144</v>
      </c>
      <c r="O9421" s="29"/>
      <c r="P9421" s="29" t="s">
        <v>14145</v>
      </c>
      <c r="Q9421" t="s">
        <v>2040</v>
      </c>
      <c r="R9421" t="s">
        <v>2632</v>
      </c>
      <c r="S9421">
        <v>38</v>
      </c>
      <c r="T9421" s="43" t="str">
        <f>HYPERLINK("https://ictv.global/ictv/proposals/2022.001S.Picornavirales_1nf.zip","2022.001S.Picornavirales_1nf.zip")</f>
        <v>2022.001S.Picornavirales_1nf.zip</v>
      </c>
      <c r="U9421" s="43" t="str">
        <f>HYPERLINK("https://ictv.global/taxonomy/taxondetails?taxnode_id=202214003","ictv.global=202214003")</f>
        <v>ictv.global=202214003</v>
      </c>
    </row>
    <row r="9422" spans="1:21">
      <c r="A9422">
        <v>9421</v>
      </c>
      <c r="B9422" s="29" t="s">
        <v>3223</v>
      </c>
      <c r="C9422" s="29"/>
      <c r="D9422" s="29" t="s">
        <v>4156</v>
      </c>
      <c r="E9422" s="29"/>
      <c r="F9422" s="29" t="s">
        <v>4230</v>
      </c>
      <c r="G9422" s="29"/>
      <c r="H9422" s="29" t="s">
        <v>4233</v>
      </c>
      <c r="I9422" s="29"/>
      <c r="J9422" s="29" t="s">
        <v>806</v>
      </c>
      <c r="K9422" s="29"/>
      <c r="L9422" s="29" t="s">
        <v>841</v>
      </c>
      <c r="M9422" s="29" t="s">
        <v>14146</v>
      </c>
      <c r="N9422" s="29" t="s">
        <v>3278</v>
      </c>
      <c r="O9422" s="29"/>
      <c r="P9422" s="29" t="s">
        <v>3279</v>
      </c>
      <c r="Q9422" t="s">
        <v>2040</v>
      </c>
      <c r="R9422" t="s">
        <v>2634</v>
      </c>
      <c r="S9422">
        <v>37</v>
      </c>
      <c r="T9422" s="43" t="str">
        <f t="shared" ref="T9422:T9453" si="405">HYPERLINK("https://ictv.global/ictv/proposals/2021.006S.R.Picornaviridae_5nsfam.zip","2021.006S.R.Picornaviridae_5nsfam.zip")</f>
        <v>2021.006S.R.Picornaviridae_5nsfam.zip</v>
      </c>
      <c r="U9422" s="43" t="str">
        <f>HYPERLINK("https://ictv.global/taxonomy/taxondetails?taxnode_id=202206525","ictv.global=202206525")</f>
        <v>ictv.global=202206525</v>
      </c>
    </row>
    <row r="9423" spans="1:21">
      <c r="A9423">
        <v>9422</v>
      </c>
      <c r="B9423" s="29" t="s">
        <v>3223</v>
      </c>
      <c r="C9423" s="29"/>
      <c r="D9423" s="29" t="s">
        <v>4156</v>
      </c>
      <c r="E9423" s="29"/>
      <c r="F9423" s="29" t="s">
        <v>4230</v>
      </c>
      <c r="G9423" s="29"/>
      <c r="H9423" s="29" t="s">
        <v>4233</v>
      </c>
      <c r="I9423" s="29"/>
      <c r="J9423" s="29" t="s">
        <v>806</v>
      </c>
      <c r="K9423" s="29"/>
      <c r="L9423" s="29" t="s">
        <v>841</v>
      </c>
      <c r="M9423" s="29" t="s">
        <v>14146</v>
      </c>
      <c r="N9423" s="29" t="s">
        <v>779</v>
      </c>
      <c r="O9423" s="29"/>
      <c r="P9423" s="29" t="s">
        <v>2</v>
      </c>
      <c r="Q9423" t="s">
        <v>2040</v>
      </c>
      <c r="R9423" t="s">
        <v>2634</v>
      </c>
      <c r="S9423">
        <v>37</v>
      </c>
      <c r="T9423" s="43" t="str">
        <f t="shared" si="405"/>
        <v>2021.006S.R.Picornaviridae_5nsfam.zip</v>
      </c>
      <c r="U9423" s="43" t="str">
        <f>HYPERLINK("https://ictv.global/taxonomy/taxondetails?taxnode_id=202201958","ictv.global=202201958")</f>
        <v>ictv.global=202201958</v>
      </c>
    </row>
    <row r="9424" spans="1:21">
      <c r="A9424">
        <v>9423</v>
      </c>
      <c r="B9424" s="29" t="s">
        <v>3223</v>
      </c>
      <c r="C9424" s="29"/>
      <c r="D9424" s="29" t="s">
        <v>4156</v>
      </c>
      <c r="E9424" s="29"/>
      <c r="F9424" s="29" t="s">
        <v>4230</v>
      </c>
      <c r="G9424" s="29"/>
      <c r="H9424" s="29" t="s">
        <v>4233</v>
      </c>
      <c r="I9424" s="29"/>
      <c r="J9424" s="29" t="s">
        <v>806</v>
      </c>
      <c r="K9424" s="29"/>
      <c r="L9424" s="29" t="s">
        <v>841</v>
      </c>
      <c r="M9424" s="29" t="s">
        <v>14146</v>
      </c>
      <c r="N9424" s="29" t="s">
        <v>779</v>
      </c>
      <c r="O9424" s="29"/>
      <c r="P9424" s="29" t="s">
        <v>1580</v>
      </c>
      <c r="Q9424" t="s">
        <v>2040</v>
      </c>
      <c r="R9424" t="s">
        <v>2634</v>
      </c>
      <c r="S9424">
        <v>37</v>
      </c>
      <c r="T9424" s="43" t="str">
        <f t="shared" si="405"/>
        <v>2021.006S.R.Picornaviridae_5nsfam.zip</v>
      </c>
      <c r="U9424" s="43" t="str">
        <f>HYPERLINK("https://ictv.global/taxonomy/taxondetails?taxnode_id=202201959","ictv.global=202201959")</f>
        <v>ictv.global=202201959</v>
      </c>
    </row>
    <row r="9425" spans="1:21">
      <c r="A9425">
        <v>9424</v>
      </c>
      <c r="B9425" s="29" t="s">
        <v>3223</v>
      </c>
      <c r="C9425" s="29"/>
      <c r="D9425" s="29" t="s">
        <v>4156</v>
      </c>
      <c r="E9425" s="29"/>
      <c r="F9425" s="29" t="s">
        <v>4230</v>
      </c>
      <c r="G9425" s="29"/>
      <c r="H9425" s="29" t="s">
        <v>4233</v>
      </c>
      <c r="I9425" s="29"/>
      <c r="J9425" s="29" t="s">
        <v>806</v>
      </c>
      <c r="K9425" s="29"/>
      <c r="L9425" s="29" t="s">
        <v>841</v>
      </c>
      <c r="M9425" s="29" t="s">
        <v>14146</v>
      </c>
      <c r="N9425" s="29" t="s">
        <v>779</v>
      </c>
      <c r="O9425" s="29"/>
      <c r="P9425" s="29" t="s">
        <v>552</v>
      </c>
      <c r="Q9425" t="s">
        <v>2040</v>
      </c>
      <c r="R9425" t="s">
        <v>2634</v>
      </c>
      <c r="S9425">
        <v>37</v>
      </c>
      <c r="T9425" s="43" t="str">
        <f t="shared" si="405"/>
        <v>2021.006S.R.Picornaviridae_5nsfam.zip</v>
      </c>
      <c r="U9425" s="43" t="str">
        <f>HYPERLINK("https://ictv.global/taxonomy/taxondetails?taxnode_id=202201960","ictv.global=202201960")</f>
        <v>ictv.global=202201960</v>
      </c>
    </row>
    <row r="9426" spans="1:21">
      <c r="A9426">
        <v>9425</v>
      </c>
      <c r="B9426" s="29" t="s">
        <v>3223</v>
      </c>
      <c r="C9426" s="29"/>
      <c r="D9426" s="29" t="s">
        <v>4156</v>
      </c>
      <c r="E9426" s="29"/>
      <c r="F9426" s="29" t="s">
        <v>4230</v>
      </c>
      <c r="G9426" s="29"/>
      <c r="H9426" s="29" t="s">
        <v>4233</v>
      </c>
      <c r="I9426" s="29"/>
      <c r="J9426" s="29" t="s">
        <v>806</v>
      </c>
      <c r="K9426" s="29"/>
      <c r="L9426" s="29" t="s">
        <v>841</v>
      </c>
      <c r="M9426" s="29" t="s">
        <v>14146</v>
      </c>
      <c r="N9426" s="29" t="s">
        <v>779</v>
      </c>
      <c r="O9426" s="29"/>
      <c r="P9426" s="29" t="s">
        <v>1288</v>
      </c>
      <c r="Q9426" t="s">
        <v>2040</v>
      </c>
      <c r="R9426" t="s">
        <v>2634</v>
      </c>
      <c r="S9426">
        <v>37</v>
      </c>
      <c r="T9426" s="43" t="str">
        <f t="shared" si="405"/>
        <v>2021.006S.R.Picornaviridae_5nsfam.zip</v>
      </c>
      <c r="U9426" s="43" t="str">
        <f>HYPERLINK("https://ictv.global/taxonomy/taxondetails?taxnode_id=202201961","ictv.global=202201961")</f>
        <v>ictv.global=202201961</v>
      </c>
    </row>
    <row r="9427" spans="1:21">
      <c r="A9427">
        <v>9426</v>
      </c>
      <c r="B9427" s="29" t="s">
        <v>3223</v>
      </c>
      <c r="C9427" s="29"/>
      <c r="D9427" s="29" t="s">
        <v>4156</v>
      </c>
      <c r="E9427" s="29"/>
      <c r="F9427" s="29" t="s">
        <v>4230</v>
      </c>
      <c r="G9427" s="29"/>
      <c r="H9427" s="29" t="s">
        <v>4233</v>
      </c>
      <c r="I9427" s="29"/>
      <c r="J9427" s="29" t="s">
        <v>806</v>
      </c>
      <c r="K9427" s="29"/>
      <c r="L9427" s="29" t="s">
        <v>841</v>
      </c>
      <c r="M9427" s="29" t="s">
        <v>14146</v>
      </c>
      <c r="N9427" s="29" t="s">
        <v>2694</v>
      </c>
      <c r="O9427" s="29"/>
      <c r="P9427" s="29" t="s">
        <v>2695</v>
      </c>
      <c r="Q9427" t="s">
        <v>2040</v>
      </c>
      <c r="R9427" t="s">
        <v>2634</v>
      </c>
      <c r="S9427">
        <v>37</v>
      </c>
      <c r="T9427" s="43" t="str">
        <f t="shared" si="405"/>
        <v>2021.006S.R.Picornaviridae_5nsfam.zip</v>
      </c>
      <c r="U9427" s="43" t="str">
        <f>HYPERLINK("https://ictv.global/taxonomy/taxondetails?taxnode_id=202205591","ictv.global=202205591")</f>
        <v>ictv.global=202205591</v>
      </c>
    </row>
    <row r="9428" spans="1:21">
      <c r="A9428">
        <v>9427</v>
      </c>
      <c r="B9428" s="29" t="s">
        <v>3223</v>
      </c>
      <c r="C9428" s="29"/>
      <c r="D9428" s="29" t="s">
        <v>4156</v>
      </c>
      <c r="E9428" s="29"/>
      <c r="F9428" s="29" t="s">
        <v>4230</v>
      </c>
      <c r="G9428" s="29"/>
      <c r="H9428" s="29" t="s">
        <v>4233</v>
      </c>
      <c r="I9428" s="29"/>
      <c r="J9428" s="29" t="s">
        <v>806</v>
      </c>
      <c r="K9428" s="29"/>
      <c r="L9428" s="29" t="s">
        <v>841</v>
      </c>
      <c r="M9428" s="29" t="s">
        <v>14146</v>
      </c>
      <c r="N9428" s="29" t="s">
        <v>1289</v>
      </c>
      <c r="O9428" s="29"/>
      <c r="P9428" s="29" t="s">
        <v>1970</v>
      </c>
      <c r="Q9428" t="s">
        <v>2040</v>
      </c>
      <c r="R9428" t="s">
        <v>2634</v>
      </c>
      <c r="S9428">
        <v>37</v>
      </c>
      <c r="T9428" s="43" t="str">
        <f t="shared" si="405"/>
        <v>2021.006S.R.Picornaviridae_5nsfam.zip</v>
      </c>
      <c r="U9428" s="43" t="str">
        <f>HYPERLINK("https://ictv.global/taxonomy/taxondetails?taxnode_id=202201971","ictv.global=202201971")</f>
        <v>ictv.global=202201971</v>
      </c>
    </row>
    <row r="9429" spans="1:21">
      <c r="A9429">
        <v>9428</v>
      </c>
      <c r="B9429" s="29" t="s">
        <v>3223</v>
      </c>
      <c r="C9429" s="29"/>
      <c r="D9429" s="29" t="s">
        <v>4156</v>
      </c>
      <c r="E9429" s="29"/>
      <c r="F9429" s="29" t="s">
        <v>4230</v>
      </c>
      <c r="G9429" s="29"/>
      <c r="H9429" s="29" t="s">
        <v>4233</v>
      </c>
      <c r="I9429" s="29"/>
      <c r="J9429" s="29" t="s">
        <v>806</v>
      </c>
      <c r="K9429" s="29"/>
      <c r="L9429" s="29" t="s">
        <v>841</v>
      </c>
      <c r="M9429" s="29" t="s">
        <v>14146</v>
      </c>
      <c r="N9429" s="29" t="s">
        <v>1289</v>
      </c>
      <c r="O9429" s="29"/>
      <c r="P9429" s="29" t="s">
        <v>1971</v>
      </c>
      <c r="Q9429" t="s">
        <v>2040</v>
      </c>
      <c r="R9429" t="s">
        <v>2634</v>
      </c>
      <c r="S9429">
        <v>37</v>
      </c>
      <c r="T9429" s="43" t="str">
        <f t="shared" si="405"/>
        <v>2021.006S.R.Picornaviridae_5nsfam.zip</v>
      </c>
      <c r="U9429" s="43" t="str">
        <f>HYPERLINK("https://ictv.global/taxonomy/taxondetails?taxnode_id=202201972","ictv.global=202201972")</f>
        <v>ictv.global=202201972</v>
      </c>
    </row>
    <row r="9430" spans="1:21">
      <c r="A9430">
        <v>9429</v>
      </c>
      <c r="B9430" s="29" t="s">
        <v>3223</v>
      </c>
      <c r="C9430" s="29"/>
      <c r="D9430" s="29" t="s">
        <v>4156</v>
      </c>
      <c r="E9430" s="29"/>
      <c r="F9430" s="29" t="s">
        <v>4230</v>
      </c>
      <c r="G9430" s="29"/>
      <c r="H9430" s="29" t="s">
        <v>4233</v>
      </c>
      <c r="I9430" s="29"/>
      <c r="J9430" s="29" t="s">
        <v>806</v>
      </c>
      <c r="K9430" s="29"/>
      <c r="L9430" s="29" t="s">
        <v>841</v>
      </c>
      <c r="M9430" s="29" t="s">
        <v>14146</v>
      </c>
      <c r="N9430" s="29" t="s">
        <v>1289</v>
      </c>
      <c r="O9430" s="29"/>
      <c r="P9430" s="29" t="s">
        <v>1972</v>
      </c>
      <c r="Q9430" t="s">
        <v>2040</v>
      </c>
      <c r="R9430" t="s">
        <v>2634</v>
      </c>
      <c r="S9430">
        <v>37</v>
      </c>
      <c r="T9430" s="43" t="str">
        <f t="shared" si="405"/>
        <v>2021.006S.R.Picornaviridae_5nsfam.zip</v>
      </c>
      <c r="U9430" s="43" t="str">
        <f>HYPERLINK("https://ictv.global/taxonomy/taxondetails?taxnode_id=202201973","ictv.global=202201973")</f>
        <v>ictv.global=202201973</v>
      </c>
    </row>
    <row r="9431" spans="1:21">
      <c r="A9431">
        <v>9430</v>
      </c>
      <c r="B9431" s="29" t="s">
        <v>3223</v>
      </c>
      <c r="C9431" s="29"/>
      <c r="D9431" s="29" t="s">
        <v>4156</v>
      </c>
      <c r="E9431" s="29"/>
      <c r="F9431" s="29" t="s">
        <v>4230</v>
      </c>
      <c r="G9431" s="29"/>
      <c r="H9431" s="29" t="s">
        <v>4233</v>
      </c>
      <c r="I9431" s="29"/>
      <c r="J9431" s="29" t="s">
        <v>806</v>
      </c>
      <c r="K9431" s="29"/>
      <c r="L9431" s="29" t="s">
        <v>841</v>
      </c>
      <c r="M9431" s="29" t="s">
        <v>14146</v>
      </c>
      <c r="N9431" s="29" t="s">
        <v>1289</v>
      </c>
      <c r="O9431" s="29"/>
      <c r="P9431" s="29" t="s">
        <v>4285</v>
      </c>
      <c r="Q9431" t="s">
        <v>2040</v>
      </c>
      <c r="R9431" t="s">
        <v>2634</v>
      </c>
      <c r="S9431">
        <v>37</v>
      </c>
      <c r="T9431" s="43" t="str">
        <f t="shared" si="405"/>
        <v>2021.006S.R.Picornaviridae_5nsfam.zip</v>
      </c>
      <c r="U9431" s="43" t="str">
        <f>HYPERLINK("https://ictv.global/taxonomy/taxondetails?taxnode_id=202207104","ictv.global=202207104")</f>
        <v>ictv.global=202207104</v>
      </c>
    </row>
    <row r="9432" spans="1:21">
      <c r="A9432">
        <v>9431</v>
      </c>
      <c r="B9432" s="29" t="s">
        <v>3223</v>
      </c>
      <c r="C9432" s="29"/>
      <c r="D9432" s="29" t="s">
        <v>4156</v>
      </c>
      <c r="E9432" s="29"/>
      <c r="F9432" s="29" t="s">
        <v>4230</v>
      </c>
      <c r="G9432" s="29"/>
      <c r="H9432" s="29" t="s">
        <v>4233</v>
      </c>
      <c r="I9432" s="29"/>
      <c r="J9432" s="29" t="s">
        <v>806</v>
      </c>
      <c r="K9432" s="29"/>
      <c r="L9432" s="29" t="s">
        <v>841</v>
      </c>
      <c r="M9432" s="29" t="s">
        <v>14146</v>
      </c>
      <c r="N9432" s="29" t="s">
        <v>1289</v>
      </c>
      <c r="O9432" s="29"/>
      <c r="P9432" s="29" t="s">
        <v>4286</v>
      </c>
      <c r="Q9432" t="s">
        <v>2040</v>
      </c>
      <c r="R9432" t="s">
        <v>2634</v>
      </c>
      <c r="S9432">
        <v>37</v>
      </c>
      <c r="T9432" s="43" t="str">
        <f t="shared" si="405"/>
        <v>2021.006S.R.Picornaviridae_5nsfam.zip</v>
      </c>
      <c r="U9432" s="43" t="str">
        <f>HYPERLINK("https://ictv.global/taxonomy/taxondetails?taxnode_id=202207105","ictv.global=202207105")</f>
        <v>ictv.global=202207105</v>
      </c>
    </row>
    <row r="9433" spans="1:21">
      <c r="A9433">
        <v>9432</v>
      </c>
      <c r="B9433" s="29" t="s">
        <v>3223</v>
      </c>
      <c r="C9433" s="29"/>
      <c r="D9433" s="29" t="s">
        <v>4156</v>
      </c>
      <c r="E9433" s="29"/>
      <c r="F9433" s="29" t="s">
        <v>4230</v>
      </c>
      <c r="G9433" s="29"/>
      <c r="H9433" s="29" t="s">
        <v>4233</v>
      </c>
      <c r="I9433" s="29"/>
      <c r="J9433" s="29" t="s">
        <v>806</v>
      </c>
      <c r="K9433" s="29"/>
      <c r="L9433" s="29" t="s">
        <v>841</v>
      </c>
      <c r="M9433" s="29" t="s">
        <v>14146</v>
      </c>
      <c r="N9433" s="29" t="s">
        <v>1289</v>
      </c>
      <c r="O9433" s="29"/>
      <c r="P9433" s="29" t="s">
        <v>4287</v>
      </c>
      <c r="Q9433" t="s">
        <v>2040</v>
      </c>
      <c r="R9433" t="s">
        <v>2634</v>
      </c>
      <c r="S9433">
        <v>37</v>
      </c>
      <c r="T9433" s="43" t="str">
        <f t="shared" si="405"/>
        <v>2021.006S.R.Picornaviridae_5nsfam.zip</v>
      </c>
      <c r="U9433" s="43" t="str">
        <f>HYPERLINK("https://ictv.global/taxonomy/taxondetails?taxnode_id=202207106","ictv.global=202207106")</f>
        <v>ictv.global=202207106</v>
      </c>
    </row>
    <row r="9434" spans="1:21">
      <c r="A9434">
        <v>9433</v>
      </c>
      <c r="B9434" s="29" t="s">
        <v>3223</v>
      </c>
      <c r="C9434" s="29"/>
      <c r="D9434" s="29" t="s">
        <v>4156</v>
      </c>
      <c r="E9434" s="29"/>
      <c r="F9434" s="29" t="s">
        <v>4230</v>
      </c>
      <c r="G9434" s="29"/>
      <c r="H9434" s="29" t="s">
        <v>4233</v>
      </c>
      <c r="I9434" s="29"/>
      <c r="J9434" s="29" t="s">
        <v>806</v>
      </c>
      <c r="K9434" s="29"/>
      <c r="L9434" s="29" t="s">
        <v>841</v>
      </c>
      <c r="M9434" s="29" t="s">
        <v>14146</v>
      </c>
      <c r="N9434" s="29" t="s">
        <v>1611</v>
      </c>
      <c r="O9434" s="29"/>
      <c r="P9434" s="29" t="s">
        <v>1612</v>
      </c>
      <c r="Q9434" t="s">
        <v>2040</v>
      </c>
      <c r="R9434" t="s">
        <v>2634</v>
      </c>
      <c r="S9434">
        <v>37</v>
      </c>
      <c r="T9434" s="43" t="str">
        <f t="shared" si="405"/>
        <v>2021.006S.R.Picornaviridae_5nsfam.zip</v>
      </c>
      <c r="U9434" s="43" t="str">
        <f>HYPERLINK("https://ictv.global/taxonomy/taxondetails?taxnode_id=202201975","ictv.global=202201975")</f>
        <v>ictv.global=202201975</v>
      </c>
    </row>
    <row r="9435" spans="1:21">
      <c r="A9435">
        <v>9434</v>
      </c>
      <c r="B9435" s="29" t="s">
        <v>3223</v>
      </c>
      <c r="C9435" s="29"/>
      <c r="D9435" s="29" t="s">
        <v>4156</v>
      </c>
      <c r="E9435" s="29"/>
      <c r="F9435" s="29" t="s">
        <v>4230</v>
      </c>
      <c r="G9435" s="29"/>
      <c r="H9435" s="29" t="s">
        <v>4233</v>
      </c>
      <c r="I9435" s="29"/>
      <c r="J9435" s="29" t="s">
        <v>806</v>
      </c>
      <c r="K9435" s="29"/>
      <c r="L9435" s="29" t="s">
        <v>841</v>
      </c>
      <c r="M9435" s="29" t="s">
        <v>14146</v>
      </c>
      <c r="N9435" s="29" t="s">
        <v>1611</v>
      </c>
      <c r="O9435" s="29"/>
      <c r="P9435" s="29" t="s">
        <v>2465</v>
      </c>
      <c r="Q9435" t="s">
        <v>2040</v>
      </c>
      <c r="R9435" t="s">
        <v>2634</v>
      </c>
      <c r="S9435">
        <v>37</v>
      </c>
      <c r="T9435" s="43" t="str">
        <f t="shared" si="405"/>
        <v>2021.006S.R.Picornaviridae_5nsfam.zip</v>
      </c>
      <c r="U9435" s="43" t="str">
        <f>HYPERLINK("https://ictv.global/taxonomy/taxondetails?taxnode_id=202201976","ictv.global=202201976")</f>
        <v>ictv.global=202201976</v>
      </c>
    </row>
    <row r="9436" spans="1:21">
      <c r="A9436">
        <v>9435</v>
      </c>
      <c r="B9436" s="29" t="s">
        <v>3223</v>
      </c>
      <c r="C9436" s="29"/>
      <c r="D9436" s="29" t="s">
        <v>4156</v>
      </c>
      <c r="E9436" s="29"/>
      <c r="F9436" s="29" t="s">
        <v>4230</v>
      </c>
      <c r="G9436" s="29"/>
      <c r="H9436" s="29" t="s">
        <v>4233</v>
      </c>
      <c r="I9436" s="29"/>
      <c r="J9436" s="29" t="s">
        <v>806</v>
      </c>
      <c r="K9436" s="29"/>
      <c r="L9436" s="29" t="s">
        <v>841</v>
      </c>
      <c r="M9436" s="29" t="s">
        <v>14146</v>
      </c>
      <c r="N9436" s="29" t="s">
        <v>1611</v>
      </c>
      <c r="O9436" s="29"/>
      <c r="P9436" s="29" t="s">
        <v>2466</v>
      </c>
      <c r="Q9436" t="s">
        <v>2040</v>
      </c>
      <c r="R9436" t="s">
        <v>2634</v>
      </c>
      <c r="S9436">
        <v>37</v>
      </c>
      <c r="T9436" s="43" t="str">
        <f t="shared" si="405"/>
        <v>2021.006S.R.Picornaviridae_5nsfam.zip</v>
      </c>
      <c r="U9436" s="43" t="str">
        <f>HYPERLINK("https://ictv.global/taxonomy/taxondetails?taxnode_id=202201977","ictv.global=202201977")</f>
        <v>ictv.global=202201977</v>
      </c>
    </row>
    <row r="9437" spans="1:21">
      <c r="A9437">
        <v>9436</v>
      </c>
      <c r="B9437" s="29" t="s">
        <v>3223</v>
      </c>
      <c r="C9437" s="29"/>
      <c r="D9437" s="29" t="s">
        <v>4156</v>
      </c>
      <c r="E9437" s="29"/>
      <c r="F9437" s="29" t="s">
        <v>4230</v>
      </c>
      <c r="G9437" s="29"/>
      <c r="H9437" s="29" t="s">
        <v>4233</v>
      </c>
      <c r="I9437" s="29"/>
      <c r="J9437" s="29" t="s">
        <v>806</v>
      </c>
      <c r="K9437" s="29"/>
      <c r="L9437" s="29" t="s">
        <v>841</v>
      </c>
      <c r="M9437" s="29" t="s">
        <v>14146</v>
      </c>
      <c r="N9437" s="29" t="s">
        <v>1611</v>
      </c>
      <c r="O9437" s="29"/>
      <c r="P9437" s="29" t="s">
        <v>2467</v>
      </c>
      <c r="Q9437" t="s">
        <v>2040</v>
      </c>
      <c r="R9437" t="s">
        <v>2634</v>
      </c>
      <c r="S9437">
        <v>37</v>
      </c>
      <c r="T9437" s="43" t="str">
        <f t="shared" si="405"/>
        <v>2021.006S.R.Picornaviridae_5nsfam.zip</v>
      </c>
      <c r="U9437" s="43" t="str">
        <f>HYPERLINK("https://ictv.global/taxonomy/taxondetails?taxnode_id=202201978","ictv.global=202201978")</f>
        <v>ictv.global=202201978</v>
      </c>
    </row>
    <row r="9438" spans="1:21">
      <c r="A9438">
        <v>9437</v>
      </c>
      <c r="B9438" s="29" t="s">
        <v>3223</v>
      </c>
      <c r="C9438" s="29"/>
      <c r="D9438" s="29" t="s">
        <v>4156</v>
      </c>
      <c r="E9438" s="29"/>
      <c r="F9438" s="29" t="s">
        <v>4230</v>
      </c>
      <c r="G9438" s="29"/>
      <c r="H9438" s="29" t="s">
        <v>4233</v>
      </c>
      <c r="I9438" s="29"/>
      <c r="J9438" s="29" t="s">
        <v>806</v>
      </c>
      <c r="K9438" s="29"/>
      <c r="L9438" s="29" t="s">
        <v>841</v>
      </c>
      <c r="M9438" s="29" t="s">
        <v>14146</v>
      </c>
      <c r="N9438" s="29" t="s">
        <v>1611</v>
      </c>
      <c r="O9438" s="29"/>
      <c r="P9438" s="29" t="s">
        <v>2468</v>
      </c>
      <c r="Q9438" t="s">
        <v>2040</v>
      </c>
      <c r="R9438" t="s">
        <v>2634</v>
      </c>
      <c r="S9438">
        <v>37</v>
      </c>
      <c r="T9438" s="43" t="str">
        <f t="shared" si="405"/>
        <v>2021.006S.R.Picornaviridae_5nsfam.zip</v>
      </c>
      <c r="U9438" s="43" t="str">
        <f>HYPERLINK("https://ictv.global/taxonomy/taxondetails?taxnode_id=202201979","ictv.global=202201979")</f>
        <v>ictv.global=202201979</v>
      </c>
    </row>
    <row r="9439" spans="1:21">
      <c r="A9439">
        <v>9438</v>
      </c>
      <c r="B9439" s="29" t="s">
        <v>3223</v>
      </c>
      <c r="C9439" s="29"/>
      <c r="D9439" s="29" t="s">
        <v>4156</v>
      </c>
      <c r="E9439" s="29"/>
      <c r="F9439" s="29" t="s">
        <v>4230</v>
      </c>
      <c r="G9439" s="29"/>
      <c r="H9439" s="29" t="s">
        <v>4233</v>
      </c>
      <c r="I9439" s="29"/>
      <c r="J9439" s="29" t="s">
        <v>806</v>
      </c>
      <c r="K9439" s="29"/>
      <c r="L9439" s="29" t="s">
        <v>841</v>
      </c>
      <c r="M9439" s="29" t="s">
        <v>14146</v>
      </c>
      <c r="N9439" s="29" t="s">
        <v>501</v>
      </c>
      <c r="O9439" s="29"/>
      <c r="P9439" s="29" t="s">
        <v>1973</v>
      </c>
      <c r="Q9439" t="s">
        <v>2040</v>
      </c>
      <c r="R9439" t="s">
        <v>2634</v>
      </c>
      <c r="S9439">
        <v>37</v>
      </c>
      <c r="T9439" s="43" t="str">
        <f t="shared" si="405"/>
        <v>2021.006S.R.Picornaviridae_5nsfam.zip</v>
      </c>
      <c r="U9439" s="43" t="str">
        <f>HYPERLINK("https://ictv.global/taxonomy/taxondetails?taxnode_id=202201997","ictv.global=202201997")</f>
        <v>ictv.global=202201997</v>
      </c>
    </row>
    <row r="9440" spans="1:21">
      <c r="A9440">
        <v>9439</v>
      </c>
      <c r="B9440" s="29" t="s">
        <v>3223</v>
      </c>
      <c r="C9440" s="29"/>
      <c r="D9440" s="29" t="s">
        <v>4156</v>
      </c>
      <c r="E9440" s="29"/>
      <c r="F9440" s="29" t="s">
        <v>4230</v>
      </c>
      <c r="G9440" s="29"/>
      <c r="H9440" s="29" t="s">
        <v>4233</v>
      </c>
      <c r="I9440" s="29"/>
      <c r="J9440" s="29" t="s">
        <v>806</v>
      </c>
      <c r="K9440" s="29"/>
      <c r="L9440" s="29" t="s">
        <v>841</v>
      </c>
      <c r="M9440" s="29" t="s">
        <v>14146</v>
      </c>
      <c r="N9440" s="29" t="s">
        <v>1719</v>
      </c>
      <c r="O9440" s="29"/>
      <c r="P9440" s="29" t="s">
        <v>1720</v>
      </c>
      <c r="Q9440" t="s">
        <v>2040</v>
      </c>
      <c r="R9440" t="s">
        <v>2634</v>
      </c>
      <c r="S9440">
        <v>37</v>
      </c>
      <c r="T9440" s="43" t="str">
        <f t="shared" si="405"/>
        <v>2021.006S.R.Picornaviridae_5nsfam.zip</v>
      </c>
      <c r="U9440" s="43" t="str">
        <f>HYPERLINK("https://ictv.global/taxonomy/taxondetails?taxnode_id=202202013","ictv.global=202202013")</f>
        <v>ictv.global=202202013</v>
      </c>
    </row>
    <row r="9441" spans="1:21">
      <c r="A9441">
        <v>9440</v>
      </c>
      <c r="B9441" s="29" t="s">
        <v>3223</v>
      </c>
      <c r="C9441" s="29"/>
      <c r="D9441" s="29" t="s">
        <v>4156</v>
      </c>
      <c r="E9441" s="29"/>
      <c r="F9441" s="29" t="s">
        <v>4230</v>
      </c>
      <c r="G9441" s="29"/>
      <c r="H9441" s="29" t="s">
        <v>4233</v>
      </c>
      <c r="I9441" s="29"/>
      <c r="J9441" s="29" t="s">
        <v>806</v>
      </c>
      <c r="K9441" s="29"/>
      <c r="L9441" s="29" t="s">
        <v>841</v>
      </c>
      <c r="M9441" s="29" t="s">
        <v>14146</v>
      </c>
      <c r="N9441" s="29" t="s">
        <v>3285</v>
      </c>
      <c r="O9441" s="29"/>
      <c r="P9441" s="29" t="s">
        <v>3286</v>
      </c>
      <c r="Q9441" t="s">
        <v>2040</v>
      </c>
      <c r="R9441" t="s">
        <v>2634</v>
      </c>
      <c r="S9441">
        <v>37</v>
      </c>
      <c r="T9441" s="43" t="str">
        <f t="shared" si="405"/>
        <v>2021.006S.R.Picornaviridae_5nsfam.zip</v>
      </c>
      <c r="U9441" s="43" t="str">
        <f>HYPERLINK("https://ictv.global/taxonomy/taxondetails?taxnode_id=202206324","ictv.global=202206324")</f>
        <v>ictv.global=202206324</v>
      </c>
    </row>
    <row r="9442" spans="1:21">
      <c r="A9442">
        <v>9441</v>
      </c>
      <c r="B9442" s="29" t="s">
        <v>3223</v>
      </c>
      <c r="C9442" s="29"/>
      <c r="D9442" s="29" t="s">
        <v>4156</v>
      </c>
      <c r="E9442" s="29"/>
      <c r="F9442" s="29" t="s">
        <v>4230</v>
      </c>
      <c r="G9442" s="29"/>
      <c r="H9442" s="29" t="s">
        <v>4233</v>
      </c>
      <c r="I9442" s="29"/>
      <c r="J9442" s="29" t="s">
        <v>806</v>
      </c>
      <c r="K9442" s="29"/>
      <c r="L9442" s="29" t="s">
        <v>841</v>
      </c>
      <c r="M9442" s="29" t="s">
        <v>14146</v>
      </c>
      <c r="N9442" s="29" t="s">
        <v>3285</v>
      </c>
      <c r="O9442" s="29"/>
      <c r="P9442" s="29" t="s">
        <v>3287</v>
      </c>
      <c r="Q9442" t="s">
        <v>2040</v>
      </c>
      <c r="R9442" t="s">
        <v>2634</v>
      </c>
      <c r="S9442">
        <v>37</v>
      </c>
      <c r="T9442" s="43" t="str">
        <f t="shared" si="405"/>
        <v>2021.006S.R.Picornaviridae_5nsfam.zip</v>
      </c>
      <c r="U9442" s="43" t="str">
        <f>HYPERLINK("https://ictv.global/taxonomy/taxondetails?taxnode_id=202206325","ictv.global=202206325")</f>
        <v>ictv.global=202206325</v>
      </c>
    </row>
    <row r="9443" spans="1:21">
      <c r="A9443">
        <v>9442</v>
      </c>
      <c r="B9443" s="29" t="s">
        <v>3223</v>
      </c>
      <c r="C9443" s="29"/>
      <c r="D9443" s="29" t="s">
        <v>4156</v>
      </c>
      <c r="E9443" s="29"/>
      <c r="F9443" s="29" t="s">
        <v>4230</v>
      </c>
      <c r="G9443" s="29"/>
      <c r="H9443" s="29" t="s">
        <v>4233</v>
      </c>
      <c r="I9443" s="29"/>
      <c r="J9443" s="29" t="s">
        <v>806</v>
      </c>
      <c r="K9443" s="29"/>
      <c r="L9443" s="29" t="s">
        <v>841</v>
      </c>
      <c r="M9443" s="29" t="s">
        <v>14146</v>
      </c>
      <c r="N9443" s="29" t="s">
        <v>6697</v>
      </c>
      <c r="O9443" s="29"/>
      <c r="P9443" s="29" t="s">
        <v>6698</v>
      </c>
      <c r="Q9443" t="s">
        <v>2040</v>
      </c>
      <c r="R9443" t="s">
        <v>2634</v>
      </c>
      <c r="S9443">
        <v>37</v>
      </c>
      <c r="T9443" s="43" t="str">
        <f t="shared" si="405"/>
        <v>2021.006S.R.Picornaviridae_5nsfam.zip</v>
      </c>
      <c r="U9443" s="43" t="str">
        <f>HYPERLINK("https://ictv.global/taxonomy/taxondetails?taxnode_id=202209140","ictv.global=202209140")</f>
        <v>ictv.global=202209140</v>
      </c>
    </row>
    <row r="9444" spans="1:21">
      <c r="A9444">
        <v>9443</v>
      </c>
      <c r="B9444" s="29" t="s">
        <v>3223</v>
      </c>
      <c r="C9444" s="29"/>
      <c r="D9444" s="29" t="s">
        <v>4156</v>
      </c>
      <c r="E9444" s="29"/>
      <c r="F9444" s="29" t="s">
        <v>4230</v>
      </c>
      <c r="G9444" s="29"/>
      <c r="H9444" s="29" t="s">
        <v>4233</v>
      </c>
      <c r="I9444" s="29"/>
      <c r="J9444" s="29" t="s">
        <v>806</v>
      </c>
      <c r="K9444" s="29"/>
      <c r="L9444" s="29" t="s">
        <v>841</v>
      </c>
      <c r="M9444" s="29" t="s">
        <v>14146</v>
      </c>
      <c r="N9444" s="29" t="s">
        <v>1721</v>
      </c>
      <c r="O9444" s="29"/>
      <c r="P9444" s="29" t="s">
        <v>1722</v>
      </c>
      <c r="Q9444" t="s">
        <v>2040</v>
      </c>
      <c r="R9444" t="s">
        <v>2634</v>
      </c>
      <c r="S9444">
        <v>37</v>
      </c>
      <c r="T9444" s="43" t="str">
        <f t="shared" si="405"/>
        <v>2021.006S.R.Picornaviridae_5nsfam.zip</v>
      </c>
      <c r="U9444" s="43" t="str">
        <f>HYPERLINK("https://ictv.global/taxonomy/taxondetails?taxnode_id=202202030","ictv.global=202202030")</f>
        <v>ictv.global=202202030</v>
      </c>
    </row>
    <row r="9445" spans="1:21">
      <c r="A9445">
        <v>9444</v>
      </c>
      <c r="B9445" s="29" t="s">
        <v>3223</v>
      </c>
      <c r="C9445" s="29"/>
      <c r="D9445" s="29" t="s">
        <v>4156</v>
      </c>
      <c r="E9445" s="29"/>
      <c r="F9445" s="29" t="s">
        <v>4230</v>
      </c>
      <c r="G9445" s="29"/>
      <c r="H9445" s="29" t="s">
        <v>4233</v>
      </c>
      <c r="I9445" s="29"/>
      <c r="J9445" s="29" t="s">
        <v>806</v>
      </c>
      <c r="K9445" s="29"/>
      <c r="L9445" s="29" t="s">
        <v>841</v>
      </c>
      <c r="M9445" s="29" t="s">
        <v>14146</v>
      </c>
      <c r="N9445" s="29" t="s">
        <v>1721</v>
      </c>
      <c r="O9445" s="29"/>
      <c r="P9445" s="29" t="s">
        <v>2483</v>
      </c>
      <c r="Q9445" t="s">
        <v>2040</v>
      </c>
      <c r="R9445" t="s">
        <v>2634</v>
      </c>
      <c r="S9445">
        <v>37</v>
      </c>
      <c r="T9445" s="43" t="str">
        <f t="shared" si="405"/>
        <v>2021.006S.R.Picornaviridae_5nsfam.zip</v>
      </c>
      <c r="U9445" s="43" t="str">
        <f>HYPERLINK("https://ictv.global/taxonomy/taxondetails?taxnode_id=202202031","ictv.global=202202031")</f>
        <v>ictv.global=202202031</v>
      </c>
    </row>
    <row r="9446" spans="1:21">
      <c r="A9446">
        <v>9445</v>
      </c>
      <c r="B9446" s="29" t="s">
        <v>3223</v>
      </c>
      <c r="C9446" s="29"/>
      <c r="D9446" s="29" t="s">
        <v>4156</v>
      </c>
      <c r="E9446" s="29"/>
      <c r="F9446" s="29" t="s">
        <v>4230</v>
      </c>
      <c r="G9446" s="29"/>
      <c r="H9446" s="29" t="s">
        <v>4233</v>
      </c>
      <c r="I9446" s="29"/>
      <c r="J9446" s="29" t="s">
        <v>806</v>
      </c>
      <c r="K9446" s="29"/>
      <c r="L9446" s="29" t="s">
        <v>841</v>
      </c>
      <c r="M9446" s="29" t="s">
        <v>14146</v>
      </c>
      <c r="N9446" s="29" t="s">
        <v>1721</v>
      </c>
      <c r="O9446" s="29"/>
      <c r="P9446" s="29" t="s">
        <v>2484</v>
      </c>
      <c r="Q9446" t="s">
        <v>2040</v>
      </c>
      <c r="R9446" t="s">
        <v>2634</v>
      </c>
      <c r="S9446">
        <v>37</v>
      </c>
      <c r="T9446" s="43" t="str">
        <f t="shared" si="405"/>
        <v>2021.006S.R.Picornaviridae_5nsfam.zip</v>
      </c>
      <c r="U9446" s="43" t="str">
        <f>HYPERLINK("https://ictv.global/taxonomy/taxondetails?taxnode_id=202202032","ictv.global=202202032")</f>
        <v>ictv.global=202202032</v>
      </c>
    </row>
    <row r="9447" spans="1:21">
      <c r="A9447">
        <v>9446</v>
      </c>
      <c r="B9447" s="29" t="s">
        <v>3223</v>
      </c>
      <c r="C9447" s="29"/>
      <c r="D9447" s="29" t="s">
        <v>4156</v>
      </c>
      <c r="E9447" s="29"/>
      <c r="F9447" s="29" t="s">
        <v>4230</v>
      </c>
      <c r="G9447" s="29"/>
      <c r="H9447" s="29" t="s">
        <v>4233</v>
      </c>
      <c r="I9447" s="29"/>
      <c r="J9447" s="29" t="s">
        <v>806</v>
      </c>
      <c r="K9447" s="29"/>
      <c r="L9447" s="29" t="s">
        <v>841</v>
      </c>
      <c r="M9447" s="29" t="s">
        <v>14146</v>
      </c>
      <c r="N9447" s="29" t="s">
        <v>1721</v>
      </c>
      <c r="O9447" s="29"/>
      <c r="P9447" s="29" t="s">
        <v>3288</v>
      </c>
      <c r="Q9447" t="s">
        <v>2040</v>
      </c>
      <c r="R9447" t="s">
        <v>2634</v>
      </c>
      <c r="S9447">
        <v>37</v>
      </c>
      <c r="T9447" s="43" t="str">
        <f t="shared" si="405"/>
        <v>2021.006S.R.Picornaviridae_5nsfam.zip</v>
      </c>
      <c r="U9447" s="43" t="str">
        <f>HYPERLINK("https://ictv.global/taxonomy/taxondetails?taxnode_id=202206330","ictv.global=202206330")</f>
        <v>ictv.global=202206330</v>
      </c>
    </row>
    <row r="9448" spans="1:21">
      <c r="A9448">
        <v>9447</v>
      </c>
      <c r="B9448" s="29" t="s">
        <v>3223</v>
      </c>
      <c r="C9448" s="29"/>
      <c r="D9448" s="29" t="s">
        <v>4156</v>
      </c>
      <c r="E9448" s="29"/>
      <c r="F9448" s="29" t="s">
        <v>4230</v>
      </c>
      <c r="G9448" s="29"/>
      <c r="H9448" s="29" t="s">
        <v>4233</v>
      </c>
      <c r="I9448" s="29"/>
      <c r="J9448" s="29" t="s">
        <v>806</v>
      </c>
      <c r="K9448" s="29"/>
      <c r="L9448" s="29" t="s">
        <v>841</v>
      </c>
      <c r="M9448" s="29" t="s">
        <v>14146</v>
      </c>
      <c r="N9448" s="29" t="s">
        <v>1721</v>
      </c>
      <c r="O9448" s="29"/>
      <c r="P9448" s="29" t="s">
        <v>6699</v>
      </c>
      <c r="Q9448" t="s">
        <v>2040</v>
      </c>
      <c r="R9448" t="s">
        <v>2634</v>
      </c>
      <c r="S9448">
        <v>37</v>
      </c>
      <c r="T9448" s="43" t="str">
        <f t="shared" si="405"/>
        <v>2021.006S.R.Picornaviridae_5nsfam.zip</v>
      </c>
      <c r="U9448" s="43" t="str">
        <f>HYPERLINK("https://ictv.global/taxonomy/taxondetails?taxnode_id=202209157","ictv.global=202209157")</f>
        <v>ictv.global=202209157</v>
      </c>
    </row>
    <row r="9449" spans="1:21">
      <c r="A9449">
        <v>9448</v>
      </c>
      <c r="B9449" s="29" t="s">
        <v>3223</v>
      </c>
      <c r="C9449" s="29"/>
      <c r="D9449" s="29" t="s">
        <v>4156</v>
      </c>
      <c r="E9449" s="29"/>
      <c r="F9449" s="29" t="s">
        <v>4230</v>
      </c>
      <c r="G9449" s="29"/>
      <c r="H9449" s="29" t="s">
        <v>4233</v>
      </c>
      <c r="I9449" s="29"/>
      <c r="J9449" s="29" t="s">
        <v>806</v>
      </c>
      <c r="K9449" s="29"/>
      <c r="L9449" s="29" t="s">
        <v>841</v>
      </c>
      <c r="M9449" s="29" t="s">
        <v>14146</v>
      </c>
      <c r="N9449" s="29" t="s">
        <v>1723</v>
      </c>
      <c r="O9449" s="29"/>
      <c r="P9449" s="29" t="s">
        <v>1724</v>
      </c>
      <c r="Q9449" t="s">
        <v>2040</v>
      </c>
      <c r="R9449" t="s">
        <v>2634</v>
      </c>
      <c r="S9449">
        <v>37</v>
      </c>
      <c r="T9449" s="43" t="str">
        <f t="shared" si="405"/>
        <v>2021.006S.R.Picornaviridae_5nsfam.zip</v>
      </c>
      <c r="U9449" s="43" t="str">
        <f>HYPERLINK("https://ictv.global/taxonomy/taxondetails?taxnode_id=202202034","ictv.global=202202034")</f>
        <v>ictv.global=202202034</v>
      </c>
    </row>
    <row r="9450" spans="1:21">
      <c r="A9450">
        <v>9449</v>
      </c>
      <c r="B9450" s="29" t="s">
        <v>3223</v>
      </c>
      <c r="C9450" s="29"/>
      <c r="D9450" s="29" t="s">
        <v>4156</v>
      </c>
      <c r="E9450" s="29"/>
      <c r="F9450" s="29" t="s">
        <v>4230</v>
      </c>
      <c r="G9450" s="29"/>
      <c r="H9450" s="29" t="s">
        <v>4233</v>
      </c>
      <c r="I9450" s="29"/>
      <c r="J9450" s="29" t="s">
        <v>806</v>
      </c>
      <c r="K9450" s="29"/>
      <c r="L9450" s="29" t="s">
        <v>841</v>
      </c>
      <c r="M9450" s="29" t="s">
        <v>14146</v>
      </c>
      <c r="N9450" s="29" t="s">
        <v>1723</v>
      </c>
      <c r="O9450" s="29"/>
      <c r="P9450" s="29" t="s">
        <v>4310</v>
      </c>
      <c r="Q9450" t="s">
        <v>2040</v>
      </c>
      <c r="R9450" t="s">
        <v>2634</v>
      </c>
      <c r="S9450">
        <v>37</v>
      </c>
      <c r="T9450" s="43" t="str">
        <f t="shared" si="405"/>
        <v>2021.006S.R.Picornaviridae_5nsfam.zip</v>
      </c>
      <c r="U9450" s="43" t="str">
        <f>HYPERLINK("https://ictv.global/taxonomy/taxondetails?taxnode_id=202207369","ictv.global=202207369")</f>
        <v>ictv.global=202207369</v>
      </c>
    </row>
    <row r="9451" spans="1:21">
      <c r="A9451">
        <v>9450</v>
      </c>
      <c r="B9451" s="29" t="s">
        <v>3223</v>
      </c>
      <c r="C9451" s="29"/>
      <c r="D9451" s="29" t="s">
        <v>4156</v>
      </c>
      <c r="E9451" s="29"/>
      <c r="F9451" s="29" t="s">
        <v>4230</v>
      </c>
      <c r="G9451" s="29"/>
      <c r="H9451" s="29" t="s">
        <v>4233</v>
      </c>
      <c r="I9451" s="29"/>
      <c r="J9451" s="29" t="s">
        <v>806</v>
      </c>
      <c r="K9451" s="29"/>
      <c r="L9451" s="29" t="s">
        <v>841</v>
      </c>
      <c r="M9451" s="29" t="s">
        <v>14146</v>
      </c>
      <c r="N9451" s="29" t="s">
        <v>4311</v>
      </c>
      <c r="O9451" s="29"/>
      <c r="P9451" s="29" t="s">
        <v>4312</v>
      </c>
      <c r="Q9451" t="s">
        <v>2040</v>
      </c>
      <c r="R9451" t="s">
        <v>2634</v>
      </c>
      <c r="S9451">
        <v>37</v>
      </c>
      <c r="T9451" s="43" t="str">
        <f t="shared" si="405"/>
        <v>2021.006S.R.Picornaviridae_5nsfam.zip</v>
      </c>
      <c r="U9451" s="43" t="str">
        <f>HYPERLINK("https://ictv.global/taxonomy/taxondetails?taxnode_id=202207398","ictv.global=202207398")</f>
        <v>ictv.global=202207398</v>
      </c>
    </row>
    <row r="9452" spans="1:21">
      <c r="A9452">
        <v>9451</v>
      </c>
      <c r="B9452" s="29" t="s">
        <v>3223</v>
      </c>
      <c r="C9452" s="29"/>
      <c r="D9452" s="29" t="s">
        <v>4156</v>
      </c>
      <c r="E9452" s="29"/>
      <c r="F9452" s="29" t="s">
        <v>4230</v>
      </c>
      <c r="G9452" s="29"/>
      <c r="H9452" s="29" t="s">
        <v>4233</v>
      </c>
      <c r="I9452" s="29"/>
      <c r="J9452" s="29" t="s">
        <v>806</v>
      </c>
      <c r="K9452" s="29"/>
      <c r="L9452" s="29" t="s">
        <v>841</v>
      </c>
      <c r="M9452" s="29" t="s">
        <v>14146</v>
      </c>
      <c r="N9452" s="29" t="s">
        <v>754</v>
      </c>
      <c r="O9452" s="29"/>
      <c r="P9452" s="29" t="s">
        <v>1983</v>
      </c>
      <c r="Q9452" t="s">
        <v>2040</v>
      </c>
      <c r="R9452" t="s">
        <v>2634</v>
      </c>
      <c r="S9452">
        <v>37</v>
      </c>
      <c r="T9452" s="43" t="str">
        <f t="shared" si="405"/>
        <v>2021.006S.R.Picornaviridae_5nsfam.zip</v>
      </c>
      <c r="U9452" s="43" t="str">
        <f>HYPERLINK("https://ictv.global/taxonomy/taxondetails?taxnode_id=202202061","ictv.global=202202061")</f>
        <v>ictv.global=202202061</v>
      </c>
    </row>
    <row r="9453" spans="1:21">
      <c r="A9453">
        <v>9452</v>
      </c>
      <c r="B9453" s="29" t="s">
        <v>3223</v>
      </c>
      <c r="C9453" s="29"/>
      <c r="D9453" s="29" t="s">
        <v>4156</v>
      </c>
      <c r="E9453" s="29"/>
      <c r="F9453" s="29" t="s">
        <v>4230</v>
      </c>
      <c r="G9453" s="29"/>
      <c r="H9453" s="29" t="s">
        <v>4233</v>
      </c>
      <c r="I9453" s="29"/>
      <c r="J9453" s="29" t="s">
        <v>806</v>
      </c>
      <c r="K9453" s="29"/>
      <c r="L9453" s="29" t="s">
        <v>841</v>
      </c>
      <c r="M9453" s="29" t="s">
        <v>14146</v>
      </c>
      <c r="N9453" s="29" t="s">
        <v>741</v>
      </c>
      <c r="O9453" s="29"/>
      <c r="P9453" s="29" t="s">
        <v>1986</v>
      </c>
      <c r="Q9453" t="s">
        <v>2040</v>
      </c>
      <c r="R9453" t="s">
        <v>2634</v>
      </c>
      <c r="S9453">
        <v>37</v>
      </c>
      <c r="T9453" s="43" t="str">
        <f t="shared" si="405"/>
        <v>2021.006S.R.Picornaviridae_5nsfam.zip</v>
      </c>
      <c r="U9453" s="43" t="str">
        <f>HYPERLINK("https://ictv.global/taxonomy/taxondetails?taxnode_id=202202065","ictv.global=202202065")</f>
        <v>ictv.global=202202065</v>
      </c>
    </row>
    <row r="9454" spans="1:21">
      <c r="A9454">
        <v>9453</v>
      </c>
      <c r="B9454" s="29" t="s">
        <v>3223</v>
      </c>
      <c r="C9454" s="29"/>
      <c r="D9454" s="29" t="s">
        <v>4156</v>
      </c>
      <c r="E9454" s="29"/>
      <c r="F9454" s="29" t="s">
        <v>4230</v>
      </c>
      <c r="G9454" s="29"/>
      <c r="H9454" s="29" t="s">
        <v>4233</v>
      </c>
      <c r="I9454" s="29"/>
      <c r="J9454" s="29" t="s">
        <v>806</v>
      </c>
      <c r="K9454" s="29"/>
      <c r="L9454" s="29" t="s">
        <v>841</v>
      </c>
      <c r="M9454" s="29" t="s">
        <v>14146</v>
      </c>
      <c r="N9454" s="29" t="s">
        <v>741</v>
      </c>
      <c r="O9454" s="29"/>
      <c r="P9454" s="29" t="s">
        <v>4329</v>
      </c>
      <c r="Q9454" t="s">
        <v>2040</v>
      </c>
      <c r="R9454" t="s">
        <v>2634</v>
      </c>
      <c r="S9454">
        <v>37</v>
      </c>
      <c r="T9454" s="43" t="str">
        <f t="shared" ref="T9454:T9485" si="406">HYPERLINK("https://ictv.global/ictv/proposals/2021.006S.R.Picornaviridae_5nsfam.zip","2021.006S.R.Picornaviridae_5nsfam.zip")</f>
        <v>2021.006S.R.Picornaviridae_5nsfam.zip</v>
      </c>
      <c r="U9454" s="43" t="str">
        <f>HYPERLINK("https://ictv.global/taxonomy/taxondetails?taxnode_id=202207451","ictv.global=202207451")</f>
        <v>ictv.global=202207451</v>
      </c>
    </row>
    <row r="9455" spans="1:21">
      <c r="A9455">
        <v>9454</v>
      </c>
      <c r="B9455" s="29" t="s">
        <v>3223</v>
      </c>
      <c r="C9455" s="29"/>
      <c r="D9455" s="29" t="s">
        <v>4156</v>
      </c>
      <c r="E9455" s="29"/>
      <c r="F9455" s="29" t="s">
        <v>4230</v>
      </c>
      <c r="G9455" s="29"/>
      <c r="H9455" s="29" t="s">
        <v>4233</v>
      </c>
      <c r="I9455" s="29"/>
      <c r="J9455" s="29" t="s">
        <v>806</v>
      </c>
      <c r="K9455" s="29"/>
      <c r="L9455" s="29" t="s">
        <v>841</v>
      </c>
      <c r="M9455" s="29" t="s">
        <v>14146</v>
      </c>
      <c r="N9455" s="29" t="s">
        <v>2489</v>
      </c>
      <c r="O9455" s="29"/>
      <c r="P9455" s="29" t="s">
        <v>2490</v>
      </c>
      <c r="Q9455" t="s">
        <v>2040</v>
      </c>
      <c r="R9455" t="s">
        <v>2634</v>
      </c>
      <c r="S9455">
        <v>37</v>
      </c>
      <c r="T9455" s="43" t="str">
        <f t="shared" si="406"/>
        <v>2021.006S.R.Picornaviridae_5nsfam.zip</v>
      </c>
      <c r="U9455" s="43" t="str">
        <f>HYPERLINK("https://ictv.global/taxonomy/taxondetails?taxnode_id=202202067","ictv.global=202202067")</f>
        <v>ictv.global=202202067</v>
      </c>
    </row>
    <row r="9456" spans="1:21">
      <c r="A9456">
        <v>9455</v>
      </c>
      <c r="B9456" s="29" t="s">
        <v>3223</v>
      </c>
      <c r="C9456" s="29"/>
      <c r="D9456" s="29" t="s">
        <v>4156</v>
      </c>
      <c r="E9456" s="29"/>
      <c r="F9456" s="29" t="s">
        <v>4230</v>
      </c>
      <c r="G9456" s="29"/>
      <c r="H9456" s="29" t="s">
        <v>4233</v>
      </c>
      <c r="I9456" s="29"/>
      <c r="J9456" s="29" t="s">
        <v>806</v>
      </c>
      <c r="K9456" s="29"/>
      <c r="L9456" s="29" t="s">
        <v>841</v>
      </c>
      <c r="M9456" s="29" t="s">
        <v>14146</v>
      </c>
      <c r="N9456" s="29" t="s">
        <v>3300</v>
      </c>
      <c r="O9456" s="29"/>
      <c r="P9456" s="29" t="s">
        <v>3301</v>
      </c>
      <c r="Q9456" t="s">
        <v>2040</v>
      </c>
      <c r="R9456" t="s">
        <v>2634</v>
      </c>
      <c r="S9456">
        <v>37</v>
      </c>
      <c r="T9456" s="43" t="str">
        <f t="shared" si="406"/>
        <v>2021.006S.R.Picornaviridae_5nsfam.zip</v>
      </c>
      <c r="U9456" s="43" t="str">
        <f>HYPERLINK("https://ictv.global/taxonomy/taxondetails?taxnode_id=202206483","ictv.global=202206483")</f>
        <v>ictv.global=202206483</v>
      </c>
    </row>
    <row r="9457" spans="1:21">
      <c r="A9457">
        <v>9456</v>
      </c>
      <c r="B9457" s="29" t="s">
        <v>3223</v>
      </c>
      <c r="C9457" s="29"/>
      <c r="D9457" s="29" t="s">
        <v>4156</v>
      </c>
      <c r="E9457" s="29"/>
      <c r="F9457" s="29" t="s">
        <v>4230</v>
      </c>
      <c r="G9457" s="29"/>
      <c r="H9457" s="29" t="s">
        <v>4233</v>
      </c>
      <c r="I9457" s="29"/>
      <c r="J9457" s="29" t="s">
        <v>806</v>
      </c>
      <c r="K9457" s="29"/>
      <c r="L9457" s="29" t="s">
        <v>841</v>
      </c>
      <c r="M9457" s="29" t="s">
        <v>14147</v>
      </c>
      <c r="N9457" s="29" t="s">
        <v>3280</v>
      </c>
      <c r="O9457" s="29"/>
      <c r="P9457" s="29" t="s">
        <v>3281</v>
      </c>
      <c r="Q9457" t="s">
        <v>2040</v>
      </c>
      <c r="R9457" t="s">
        <v>2634</v>
      </c>
      <c r="S9457">
        <v>37</v>
      </c>
      <c r="T9457" s="43" t="str">
        <f t="shared" si="406"/>
        <v>2021.006S.R.Picornaviridae_5nsfam.zip</v>
      </c>
      <c r="U9457" s="43" t="str">
        <f>HYPERLINK("https://ictv.global/taxonomy/taxondetails?taxnode_id=202202057","ictv.global=202202057")</f>
        <v>ictv.global=202202057</v>
      </c>
    </row>
    <row r="9458" spans="1:21">
      <c r="A9458">
        <v>9457</v>
      </c>
      <c r="B9458" s="29" t="s">
        <v>3223</v>
      </c>
      <c r="C9458" s="29"/>
      <c r="D9458" s="29" t="s">
        <v>4156</v>
      </c>
      <c r="E9458" s="29"/>
      <c r="F9458" s="29" t="s">
        <v>4230</v>
      </c>
      <c r="G9458" s="29"/>
      <c r="H9458" s="29" t="s">
        <v>4233</v>
      </c>
      <c r="I9458" s="29"/>
      <c r="J9458" s="29" t="s">
        <v>806</v>
      </c>
      <c r="K9458" s="29"/>
      <c r="L9458" s="29" t="s">
        <v>841</v>
      </c>
      <c r="M9458" s="29" t="s">
        <v>14147</v>
      </c>
      <c r="N9458" s="29" t="s">
        <v>3280</v>
      </c>
      <c r="O9458" s="29"/>
      <c r="P9458" s="29" t="s">
        <v>4280</v>
      </c>
      <c r="Q9458" t="s">
        <v>2040</v>
      </c>
      <c r="R9458" t="s">
        <v>2634</v>
      </c>
      <c r="S9458">
        <v>37</v>
      </c>
      <c r="T9458" s="43" t="str">
        <f t="shared" si="406"/>
        <v>2021.006S.R.Picornaviridae_5nsfam.zip</v>
      </c>
      <c r="U9458" s="43" t="str">
        <f>HYPERLINK("https://ictv.global/taxonomy/taxondetails?taxnode_id=202208674","ictv.global=202208674")</f>
        <v>ictv.global=202208674</v>
      </c>
    </row>
    <row r="9459" spans="1:21">
      <c r="A9459">
        <v>9458</v>
      </c>
      <c r="B9459" s="29" t="s">
        <v>3223</v>
      </c>
      <c r="C9459" s="29"/>
      <c r="D9459" s="29" t="s">
        <v>4156</v>
      </c>
      <c r="E9459" s="29"/>
      <c r="F9459" s="29" t="s">
        <v>4230</v>
      </c>
      <c r="G9459" s="29"/>
      <c r="H9459" s="29" t="s">
        <v>4233</v>
      </c>
      <c r="I9459" s="29"/>
      <c r="J9459" s="29" t="s">
        <v>806</v>
      </c>
      <c r="K9459" s="29"/>
      <c r="L9459" s="29" t="s">
        <v>841</v>
      </c>
      <c r="M9459" s="29" t="s">
        <v>14147</v>
      </c>
      <c r="N9459" s="29" t="s">
        <v>4281</v>
      </c>
      <c r="O9459" s="29"/>
      <c r="P9459" s="29" t="s">
        <v>4282</v>
      </c>
      <c r="Q9459" t="s">
        <v>2040</v>
      </c>
      <c r="R9459" t="s">
        <v>2634</v>
      </c>
      <c r="S9459">
        <v>37</v>
      </c>
      <c r="T9459" s="43" t="str">
        <f t="shared" si="406"/>
        <v>2021.006S.R.Picornaviridae_5nsfam.zip</v>
      </c>
      <c r="U9459" s="43" t="str">
        <f>HYPERLINK("https://ictv.global/taxonomy/taxondetails?taxnode_id=202208697","ictv.global=202208697")</f>
        <v>ictv.global=202208697</v>
      </c>
    </row>
    <row r="9460" spans="1:21">
      <c r="A9460">
        <v>9459</v>
      </c>
      <c r="B9460" s="29" t="s">
        <v>3223</v>
      </c>
      <c r="C9460" s="29"/>
      <c r="D9460" s="29" t="s">
        <v>4156</v>
      </c>
      <c r="E9460" s="29"/>
      <c r="F9460" s="29" t="s">
        <v>4230</v>
      </c>
      <c r="G9460" s="29"/>
      <c r="H9460" s="29" t="s">
        <v>4233</v>
      </c>
      <c r="I9460" s="29"/>
      <c r="J9460" s="29" t="s">
        <v>806</v>
      </c>
      <c r="K9460" s="29"/>
      <c r="L9460" s="29" t="s">
        <v>841</v>
      </c>
      <c r="M9460" s="29" t="s">
        <v>14147</v>
      </c>
      <c r="N9460" s="29" t="s">
        <v>4281</v>
      </c>
      <c r="O9460" s="29"/>
      <c r="P9460" s="29" t="s">
        <v>4283</v>
      </c>
      <c r="Q9460" t="s">
        <v>2040</v>
      </c>
      <c r="R9460" t="s">
        <v>2634</v>
      </c>
      <c r="S9460">
        <v>37</v>
      </c>
      <c r="T9460" s="43" t="str">
        <f t="shared" si="406"/>
        <v>2021.006S.R.Picornaviridae_5nsfam.zip</v>
      </c>
      <c r="U9460" s="43" t="str">
        <f>HYPERLINK("https://ictv.global/taxonomy/taxondetails?taxnode_id=202208698","ictv.global=202208698")</f>
        <v>ictv.global=202208698</v>
      </c>
    </row>
    <row r="9461" spans="1:21">
      <c r="A9461">
        <v>9460</v>
      </c>
      <c r="B9461" s="29" t="s">
        <v>3223</v>
      </c>
      <c r="C9461" s="29"/>
      <c r="D9461" s="29" t="s">
        <v>4156</v>
      </c>
      <c r="E9461" s="29"/>
      <c r="F9461" s="29" t="s">
        <v>4230</v>
      </c>
      <c r="G9461" s="29"/>
      <c r="H9461" s="29" t="s">
        <v>4233</v>
      </c>
      <c r="I9461" s="29"/>
      <c r="J9461" s="29" t="s">
        <v>806</v>
      </c>
      <c r="K9461" s="29"/>
      <c r="L9461" s="29" t="s">
        <v>841</v>
      </c>
      <c r="M9461" s="29" t="s">
        <v>14147</v>
      </c>
      <c r="N9461" s="29" t="s">
        <v>4281</v>
      </c>
      <c r="O9461" s="29"/>
      <c r="P9461" s="29" t="s">
        <v>4284</v>
      </c>
      <c r="Q9461" t="s">
        <v>2040</v>
      </c>
      <c r="R9461" t="s">
        <v>2634</v>
      </c>
      <c r="S9461">
        <v>37</v>
      </c>
      <c r="T9461" s="43" t="str">
        <f t="shared" si="406"/>
        <v>2021.006S.R.Picornaviridae_5nsfam.zip</v>
      </c>
      <c r="U9461" s="43" t="str">
        <f>HYPERLINK("https://ictv.global/taxonomy/taxondetails?taxnode_id=202208699","ictv.global=202208699")</f>
        <v>ictv.global=202208699</v>
      </c>
    </row>
    <row r="9462" spans="1:21">
      <c r="A9462">
        <v>9461</v>
      </c>
      <c r="B9462" s="29" t="s">
        <v>3223</v>
      </c>
      <c r="C9462" s="29"/>
      <c r="D9462" s="29" t="s">
        <v>4156</v>
      </c>
      <c r="E9462" s="29"/>
      <c r="F9462" s="29" t="s">
        <v>4230</v>
      </c>
      <c r="G9462" s="29"/>
      <c r="H9462" s="29" t="s">
        <v>4233</v>
      </c>
      <c r="I9462" s="29"/>
      <c r="J9462" s="29" t="s">
        <v>806</v>
      </c>
      <c r="K9462" s="29"/>
      <c r="L9462" s="29" t="s">
        <v>841</v>
      </c>
      <c r="M9462" s="29" t="s">
        <v>14147</v>
      </c>
      <c r="N9462" s="29" t="s">
        <v>4290</v>
      </c>
      <c r="O9462" s="29"/>
      <c r="P9462" s="29" t="s">
        <v>4291</v>
      </c>
      <c r="Q9462" t="s">
        <v>2040</v>
      </c>
      <c r="R9462" t="s">
        <v>2634</v>
      </c>
      <c r="S9462">
        <v>37</v>
      </c>
      <c r="T9462" s="43" t="str">
        <f t="shared" si="406"/>
        <v>2021.006S.R.Picornaviridae_5nsfam.zip</v>
      </c>
      <c r="U9462" s="43" t="str">
        <f>HYPERLINK("https://ictv.global/taxonomy/taxondetails?taxnode_id=202207188","ictv.global=202207188")</f>
        <v>ictv.global=202207188</v>
      </c>
    </row>
    <row r="9463" spans="1:21">
      <c r="A9463">
        <v>9462</v>
      </c>
      <c r="B9463" s="29" t="s">
        <v>3223</v>
      </c>
      <c r="C9463" s="29"/>
      <c r="D9463" s="29" t="s">
        <v>4156</v>
      </c>
      <c r="E9463" s="29"/>
      <c r="F9463" s="29" t="s">
        <v>4230</v>
      </c>
      <c r="G9463" s="29"/>
      <c r="H9463" s="29" t="s">
        <v>4233</v>
      </c>
      <c r="I9463" s="29"/>
      <c r="J9463" s="29" t="s">
        <v>806</v>
      </c>
      <c r="K9463" s="29"/>
      <c r="L9463" s="29" t="s">
        <v>841</v>
      </c>
      <c r="M9463" s="29" t="s">
        <v>14147</v>
      </c>
      <c r="N9463" s="29" t="s">
        <v>4290</v>
      </c>
      <c r="O9463" s="29"/>
      <c r="P9463" s="29" t="s">
        <v>4292</v>
      </c>
      <c r="Q9463" t="s">
        <v>2040</v>
      </c>
      <c r="R9463" t="s">
        <v>2634</v>
      </c>
      <c r="S9463">
        <v>37</v>
      </c>
      <c r="T9463" s="43" t="str">
        <f t="shared" si="406"/>
        <v>2021.006S.R.Picornaviridae_5nsfam.zip</v>
      </c>
      <c r="U9463" s="43" t="str">
        <f>HYPERLINK("https://ictv.global/taxonomy/taxondetails?taxnode_id=202207189","ictv.global=202207189")</f>
        <v>ictv.global=202207189</v>
      </c>
    </row>
    <row r="9464" spans="1:21">
      <c r="A9464">
        <v>9463</v>
      </c>
      <c r="B9464" s="29" t="s">
        <v>3223</v>
      </c>
      <c r="C9464" s="29"/>
      <c r="D9464" s="29" t="s">
        <v>4156</v>
      </c>
      <c r="E9464" s="29"/>
      <c r="F9464" s="29" t="s">
        <v>4230</v>
      </c>
      <c r="G9464" s="29"/>
      <c r="H9464" s="29" t="s">
        <v>4233</v>
      </c>
      <c r="I9464" s="29"/>
      <c r="J9464" s="29" t="s">
        <v>806</v>
      </c>
      <c r="K9464" s="29"/>
      <c r="L9464" s="29" t="s">
        <v>841</v>
      </c>
      <c r="M9464" s="29" t="s">
        <v>14147</v>
      </c>
      <c r="N9464" s="29" t="s">
        <v>500</v>
      </c>
      <c r="O9464" s="29"/>
      <c r="P9464" s="29" t="s">
        <v>1615</v>
      </c>
      <c r="Q9464" t="s">
        <v>2040</v>
      </c>
      <c r="R9464" t="s">
        <v>2634</v>
      </c>
      <c r="S9464">
        <v>37</v>
      </c>
      <c r="T9464" s="43" t="str">
        <f t="shared" si="406"/>
        <v>2021.006S.R.Picornaviridae_5nsfam.zip</v>
      </c>
      <c r="U9464" s="43" t="str">
        <f>HYPERLINK("https://ictv.global/taxonomy/taxondetails?taxnode_id=202201983","ictv.global=202201983")</f>
        <v>ictv.global=202201983</v>
      </c>
    </row>
    <row r="9465" spans="1:21">
      <c r="A9465">
        <v>9464</v>
      </c>
      <c r="B9465" s="29" t="s">
        <v>3223</v>
      </c>
      <c r="C9465" s="29"/>
      <c r="D9465" s="29" t="s">
        <v>4156</v>
      </c>
      <c r="E9465" s="29"/>
      <c r="F9465" s="29" t="s">
        <v>4230</v>
      </c>
      <c r="G9465" s="29"/>
      <c r="H9465" s="29" t="s">
        <v>4233</v>
      </c>
      <c r="I9465" s="29"/>
      <c r="J9465" s="29" t="s">
        <v>806</v>
      </c>
      <c r="K9465" s="29"/>
      <c r="L9465" s="29" t="s">
        <v>841</v>
      </c>
      <c r="M9465" s="29" t="s">
        <v>14147</v>
      </c>
      <c r="N9465" s="29" t="s">
        <v>500</v>
      </c>
      <c r="O9465" s="29"/>
      <c r="P9465" s="29" t="s">
        <v>1616</v>
      </c>
      <c r="Q9465" t="s">
        <v>2040</v>
      </c>
      <c r="R9465" t="s">
        <v>2634</v>
      </c>
      <c r="S9465">
        <v>37</v>
      </c>
      <c r="T9465" s="43" t="str">
        <f t="shared" si="406"/>
        <v>2021.006S.R.Picornaviridae_5nsfam.zip</v>
      </c>
      <c r="U9465" s="43" t="str">
        <f>HYPERLINK("https://ictv.global/taxonomy/taxondetails?taxnode_id=202201984","ictv.global=202201984")</f>
        <v>ictv.global=202201984</v>
      </c>
    </row>
    <row r="9466" spans="1:21">
      <c r="A9466">
        <v>9465</v>
      </c>
      <c r="B9466" s="29" t="s">
        <v>3223</v>
      </c>
      <c r="C9466" s="29"/>
      <c r="D9466" s="29" t="s">
        <v>4156</v>
      </c>
      <c r="E9466" s="29"/>
      <c r="F9466" s="29" t="s">
        <v>4230</v>
      </c>
      <c r="G9466" s="29"/>
      <c r="H9466" s="29" t="s">
        <v>4233</v>
      </c>
      <c r="I9466" s="29"/>
      <c r="J9466" s="29" t="s">
        <v>806</v>
      </c>
      <c r="K9466" s="29"/>
      <c r="L9466" s="29" t="s">
        <v>841</v>
      </c>
      <c r="M9466" s="29" t="s">
        <v>14147</v>
      </c>
      <c r="N9466" s="29" t="s">
        <v>500</v>
      </c>
      <c r="O9466" s="29"/>
      <c r="P9466" s="29" t="s">
        <v>1617</v>
      </c>
      <c r="Q9466" t="s">
        <v>2040</v>
      </c>
      <c r="R9466" t="s">
        <v>2634</v>
      </c>
      <c r="S9466">
        <v>37</v>
      </c>
      <c r="T9466" s="43" t="str">
        <f t="shared" si="406"/>
        <v>2021.006S.R.Picornaviridae_5nsfam.zip</v>
      </c>
      <c r="U9466" s="43" t="str">
        <f>HYPERLINK("https://ictv.global/taxonomy/taxondetails?taxnode_id=202201985","ictv.global=202201985")</f>
        <v>ictv.global=202201985</v>
      </c>
    </row>
    <row r="9467" spans="1:21">
      <c r="A9467">
        <v>9466</v>
      </c>
      <c r="B9467" s="29" t="s">
        <v>3223</v>
      </c>
      <c r="C9467" s="29"/>
      <c r="D9467" s="29" t="s">
        <v>4156</v>
      </c>
      <c r="E9467" s="29"/>
      <c r="F9467" s="29" t="s">
        <v>4230</v>
      </c>
      <c r="G9467" s="29"/>
      <c r="H9467" s="29" t="s">
        <v>4233</v>
      </c>
      <c r="I9467" s="29"/>
      <c r="J9467" s="29" t="s">
        <v>806</v>
      </c>
      <c r="K9467" s="29"/>
      <c r="L9467" s="29" t="s">
        <v>841</v>
      </c>
      <c r="M9467" s="29" t="s">
        <v>14147</v>
      </c>
      <c r="N9467" s="29" t="s">
        <v>500</v>
      </c>
      <c r="O9467" s="29"/>
      <c r="P9467" s="29" t="s">
        <v>1618</v>
      </c>
      <c r="Q9467" t="s">
        <v>2040</v>
      </c>
      <c r="R9467" t="s">
        <v>2634</v>
      </c>
      <c r="S9467">
        <v>37</v>
      </c>
      <c r="T9467" s="43" t="str">
        <f t="shared" si="406"/>
        <v>2021.006S.R.Picornaviridae_5nsfam.zip</v>
      </c>
      <c r="U9467" s="43" t="str">
        <f>HYPERLINK("https://ictv.global/taxonomy/taxondetails?taxnode_id=202201986","ictv.global=202201986")</f>
        <v>ictv.global=202201986</v>
      </c>
    </row>
    <row r="9468" spans="1:21">
      <c r="A9468">
        <v>9467</v>
      </c>
      <c r="B9468" s="29" t="s">
        <v>3223</v>
      </c>
      <c r="C9468" s="29"/>
      <c r="D9468" s="29" t="s">
        <v>4156</v>
      </c>
      <c r="E9468" s="29"/>
      <c r="F9468" s="29" t="s">
        <v>4230</v>
      </c>
      <c r="G9468" s="29"/>
      <c r="H9468" s="29" t="s">
        <v>4233</v>
      </c>
      <c r="I9468" s="29"/>
      <c r="J9468" s="29" t="s">
        <v>806</v>
      </c>
      <c r="K9468" s="29"/>
      <c r="L9468" s="29" t="s">
        <v>841</v>
      </c>
      <c r="M9468" s="29" t="s">
        <v>14147</v>
      </c>
      <c r="N9468" s="29" t="s">
        <v>500</v>
      </c>
      <c r="O9468" s="29"/>
      <c r="P9468" s="29" t="s">
        <v>1619</v>
      </c>
      <c r="Q9468" t="s">
        <v>2040</v>
      </c>
      <c r="R9468" t="s">
        <v>2634</v>
      </c>
      <c r="S9468">
        <v>37</v>
      </c>
      <c r="T9468" s="43" t="str">
        <f t="shared" si="406"/>
        <v>2021.006S.R.Picornaviridae_5nsfam.zip</v>
      </c>
      <c r="U9468" s="43" t="str">
        <f>HYPERLINK("https://ictv.global/taxonomy/taxondetails?taxnode_id=202201987","ictv.global=202201987")</f>
        <v>ictv.global=202201987</v>
      </c>
    </row>
    <row r="9469" spans="1:21">
      <c r="A9469">
        <v>9468</v>
      </c>
      <c r="B9469" s="29" t="s">
        <v>3223</v>
      </c>
      <c r="C9469" s="29"/>
      <c r="D9469" s="29" t="s">
        <v>4156</v>
      </c>
      <c r="E9469" s="29"/>
      <c r="F9469" s="29" t="s">
        <v>4230</v>
      </c>
      <c r="G9469" s="29"/>
      <c r="H9469" s="29" t="s">
        <v>4233</v>
      </c>
      <c r="I9469" s="29"/>
      <c r="J9469" s="29" t="s">
        <v>806</v>
      </c>
      <c r="K9469" s="29"/>
      <c r="L9469" s="29" t="s">
        <v>841</v>
      </c>
      <c r="M9469" s="29" t="s">
        <v>14147</v>
      </c>
      <c r="N9469" s="29" t="s">
        <v>500</v>
      </c>
      <c r="O9469" s="29"/>
      <c r="P9469" s="29" t="s">
        <v>1620</v>
      </c>
      <c r="Q9469" t="s">
        <v>2040</v>
      </c>
      <c r="R9469" t="s">
        <v>2634</v>
      </c>
      <c r="S9469">
        <v>37</v>
      </c>
      <c r="T9469" s="43" t="str">
        <f t="shared" si="406"/>
        <v>2021.006S.R.Picornaviridae_5nsfam.zip</v>
      </c>
      <c r="U9469" s="43" t="str">
        <f>HYPERLINK("https://ictv.global/taxonomy/taxondetails?taxnode_id=202201988","ictv.global=202201988")</f>
        <v>ictv.global=202201988</v>
      </c>
    </row>
    <row r="9470" spans="1:21">
      <c r="A9470">
        <v>9469</v>
      </c>
      <c r="B9470" s="29" t="s">
        <v>3223</v>
      </c>
      <c r="C9470" s="29"/>
      <c r="D9470" s="29" t="s">
        <v>4156</v>
      </c>
      <c r="E9470" s="29"/>
      <c r="F9470" s="29" t="s">
        <v>4230</v>
      </c>
      <c r="G9470" s="29"/>
      <c r="H9470" s="29" t="s">
        <v>4233</v>
      </c>
      <c r="I9470" s="29"/>
      <c r="J9470" s="29" t="s">
        <v>806</v>
      </c>
      <c r="K9470" s="29"/>
      <c r="L9470" s="29" t="s">
        <v>841</v>
      </c>
      <c r="M9470" s="29" t="s">
        <v>14147</v>
      </c>
      <c r="N9470" s="29" t="s">
        <v>500</v>
      </c>
      <c r="O9470" s="29"/>
      <c r="P9470" s="29" t="s">
        <v>1621</v>
      </c>
      <c r="Q9470" t="s">
        <v>2040</v>
      </c>
      <c r="R9470" t="s">
        <v>2634</v>
      </c>
      <c r="S9470">
        <v>37</v>
      </c>
      <c r="T9470" s="43" t="str">
        <f t="shared" si="406"/>
        <v>2021.006S.R.Picornaviridae_5nsfam.zip</v>
      </c>
      <c r="U9470" s="43" t="str">
        <f>HYPERLINK("https://ictv.global/taxonomy/taxondetails?taxnode_id=202201989","ictv.global=202201989")</f>
        <v>ictv.global=202201989</v>
      </c>
    </row>
    <row r="9471" spans="1:21">
      <c r="A9471">
        <v>9470</v>
      </c>
      <c r="B9471" s="29" t="s">
        <v>3223</v>
      </c>
      <c r="C9471" s="29"/>
      <c r="D9471" s="29" t="s">
        <v>4156</v>
      </c>
      <c r="E9471" s="29"/>
      <c r="F9471" s="29" t="s">
        <v>4230</v>
      </c>
      <c r="G9471" s="29"/>
      <c r="H9471" s="29" t="s">
        <v>4233</v>
      </c>
      <c r="I9471" s="29"/>
      <c r="J9471" s="29" t="s">
        <v>806</v>
      </c>
      <c r="K9471" s="29"/>
      <c r="L9471" s="29" t="s">
        <v>841</v>
      </c>
      <c r="M9471" s="29" t="s">
        <v>14147</v>
      </c>
      <c r="N9471" s="29" t="s">
        <v>500</v>
      </c>
      <c r="O9471" s="29"/>
      <c r="P9471" s="29" t="s">
        <v>1622</v>
      </c>
      <c r="Q9471" t="s">
        <v>2040</v>
      </c>
      <c r="R9471" t="s">
        <v>2634</v>
      </c>
      <c r="S9471">
        <v>37</v>
      </c>
      <c r="T9471" s="43" t="str">
        <f t="shared" si="406"/>
        <v>2021.006S.R.Picornaviridae_5nsfam.zip</v>
      </c>
      <c r="U9471" s="43" t="str">
        <f>HYPERLINK("https://ictv.global/taxonomy/taxondetails?taxnode_id=202201990","ictv.global=202201990")</f>
        <v>ictv.global=202201990</v>
      </c>
    </row>
    <row r="9472" spans="1:21">
      <c r="A9472">
        <v>9471</v>
      </c>
      <c r="B9472" s="29" t="s">
        <v>3223</v>
      </c>
      <c r="C9472" s="29"/>
      <c r="D9472" s="29" t="s">
        <v>4156</v>
      </c>
      <c r="E9472" s="29"/>
      <c r="F9472" s="29" t="s">
        <v>4230</v>
      </c>
      <c r="G9472" s="29"/>
      <c r="H9472" s="29" t="s">
        <v>4233</v>
      </c>
      <c r="I9472" s="29"/>
      <c r="J9472" s="29" t="s">
        <v>806</v>
      </c>
      <c r="K9472" s="29"/>
      <c r="L9472" s="29" t="s">
        <v>841</v>
      </c>
      <c r="M9472" s="29" t="s">
        <v>14147</v>
      </c>
      <c r="N9472" s="29" t="s">
        <v>500</v>
      </c>
      <c r="O9472" s="29"/>
      <c r="P9472" s="29" t="s">
        <v>2469</v>
      </c>
      <c r="Q9472" t="s">
        <v>2040</v>
      </c>
      <c r="R9472" t="s">
        <v>2634</v>
      </c>
      <c r="S9472">
        <v>37</v>
      </c>
      <c r="T9472" s="43" t="str">
        <f t="shared" si="406"/>
        <v>2021.006S.R.Picornaviridae_5nsfam.zip</v>
      </c>
      <c r="U9472" s="43" t="str">
        <f>HYPERLINK("https://ictv.global/taxonomy/taxondetails?taxnode_id=202201991","ictv.global=202201991")</f>
        <v>ictv.global=202201991</v>
      </c>
    </row>
    <row r="9473" spans="1:21">
      <c r="A9473">
        <v>9472</v>
      </c>
      <c r="B9473" s="29" t="s">
        <v>3223</v>
      </c>
      <c r="C9473" s="29"/>
      <c r="D9473" s="29" t="s">
        <v>4156</v>
      </c>
      <c r="E9473" s="29"/>
      <c r="F9473" s="29" t="s">
        <v>4230</v>
      </c>
      <c r="G9473" s="29"/>
      <c r="H9473" s="29" t="s">
        <v>4233</v>
      </c>
      <c r="I9473" s="29"/>
      <c r="J9473" s="29" t="s">
        <v>806</v>
      </c>
      <c r="K9473" s="29"/>
      <c r="L9473" s="29" t="s">
        <v>841</v>
      </c>
      <c r="M9473" s="29" t="s">
        <v>14147</v>
      </c>
      <c r="N9473" s="29" t="s">
        <v>500</v>
      </c>
      <c r="O9473" s="29"/>
      <c r="P9473" s="29" t="s">
        <v>1623</v>
      </c>
      <c r="Q9473" t="s">
        <v>2040</v>
      </c>
      <c r="R9473" t="s">
        <v>2634</v>
      </c>
      <c r="S9473">
        <v>37</v>
      </c>
      <c r="T9473" s="43" t="str">
        <f t="shared" si="406"/>
        <v>2021.006S.R.Picornaviridae_5nsfam.zip</v>
      </c>
      <c r="U9473" s="43" t="str">
        <f>HYPERLINK("https://ictv.global/taxonomy/taxondetails?taxnode_id=202201992","ictv.global=202201992")</f>
        <v>ictv.global=202201992</v>
      </c>
    </row>
    <row r="9474" spans="1:21">
      <c r="A9474">
        <v>9473</v>
      </c>
      <c r="B9474" s="29" t="s">
        <v>3223</v>
      </c>
      <c r="C9474" s="29"/>
      <c r="D9474" s="29" t="s">
        <v>4156</v>
      </c>
      <c r="E9474" s="29"/>
      <c r="F9474" s="29" t="s">
        <v>4230</v>
      </c>
      <c r="G9474" s="29"/>
      <c r="H9474" s="29" t="s">
        <v>4233</v>
      </c>
      <c r="I9474" s="29"/>
      <c r="J9474" s="29" t="s">
        <v>806</v>
      </c>
      <c r="K9474" s="29"/>
      <c r="L9474" s="29" t="s">
        <v>841</v>
      </c>
      <c r="M9474" s="29" t="s">
        <v>14147</v>
      </c>
      <c r="N9474" s="29" t="s">
        <v>500</v>
      </c>
      <c r="O9474" s="29"/>
      <c r="P9474" s="29" t="s">
        <v>2699</v>
      </c>
      <c r="Q9474" t="s">
        <v>2040</v>
      </c>
      <c r="R9474" t="s">
        <v>2634</v>
      </c>
      <c r="S9474">
        <v>37</v>
      </c>
      <c r="T9474" s="43" t="str">
        <f t="shared" si="406"/>
        <v>2021.006S.R.Picornaviridae_5nsfam.zip</v>
      </c>
      <c r="U9474" s="43" t="str">
        <f>HYPERLINK("https://ictv.global/taxonomy/taxondetails?taxnode_id=202205596","ictv.global=202205596")</f>
        <v>ictv.global=202205596</v>
      </c>
    </row>
    <row r="9475" spans="1:21">
      <c r="A9475">
        <v>9474</v>
      </c>
      <c r="B9475" s="29" t="s">
        <v>3223</v>
      </c>
      <c r="C9475" s="29"/>
      <c r="D9475" s="29" t="s">
        <v>4156</v>
      </c>
      <c r="E9475" s="29"/>
      <c r="F9475" s="29" t="s">
        <v>4230</v>
      </c>
      <c r="G9475" s="29"/>
      <c r="H9475" s="29" t="s">
        <v>4233</v>
      </c>
      <c r="I9475" s="29"/>
      <c r="J9475" s="29" t="s">
        <v>806</v>
      </c>
      <c r="K9475" s="29"/>
      <c r="L9475" s="29" t="s">
        <v>841</v>
      </c>
      <c r="M9475" s="29" t="s">
        <v>14147</v>
      </c>
      <c r="N9475" s="29" t="s">
        <v>500</v>
      </c>
      <c r="O9475" s="29"/>
      <c r="P9475" s="29" t="s">
        <v>2700</v>
      </c>
      <c r="Q9475" t="s">
        <v>2040</v>
      </c>
      <c r="R9475" t="s">
        <v>2634</v>
      </c>
      <c r="S9475">
        <v>37</v>
      </c>
      <c r="T9475" s="43" t="str">
        <f t="shared" si="406"/>
        <v>2021.006S.R.Picornaviridae_5nsfam.zip</v>
      </c>
      <c r="U9475" s="43" t="str">
        <f>HYPERLINK("https://ictv.global/taxonomy/taxondetails?taxnode_id=202205597","ictv.global=202205597")</f>
        <v>ictv.global=202205597</v>
      </c>
    </row>
    <row r="9476" spans="1:21">
      <c r="A9476">
        <v>9475</v>
      </c>
      <c r="B9476" s="29" t="s">
        <v>3223</v>
      </c>
      <c r="C9476" s="29"/>
      <c r="D9476" s="29" t="s">
        <v>4156</v>
      </c>
      <c r="E9476" s="29"/>
      <c r="F9476" s="29" t="s">
        <v>4230</v>
      </c>
      <c r="G9476" s="29"/>
      <c r="H9476" s="29" t="s">
        <v>4233</v>
      </c>
      <c r="I9476" s="29"/>
      <c r="J9476" s="29" t="s">
        <v>806</v>
      </c>
      <c r="K9476" s="29"/>
      <c r="L9476" s="29" t="s">
        <v>841</v>
      </c>
      <c r="M9476" s="29" t="s">
        <v>14147</v>
      </c>
      <c r="N9476" s="29" t="s">
        <v>500</v>
      </c>
      <c r="O9476" s="29"/>
      <c r="P9476" s="29" t="s">
        <v>1624</v>
      </c>
      <c r="Q9476" t="s">
        <v>2040</v>
      </c>
      <c r="R9476" t="s">
        <v>2634</v>
      </c>
      <c r="S9476">
        <v>37</v>
      </c>
      <c r="T9476" s="43" t="str">
        <f t="shared" si="406"/>
        <v>2021.006S.R.Picornaviridae_5nsfam.zip</v>
      </c>
      <c r="U9476" s="43" t="str">
        <f>HYPERLINK("https://ictv.global/taxonomy/taxondetails?taxnode_id=202201993","ictv.global=202201993")</f>
        <v>ictv.global=202201993</v>
      </c>
    </row>
    <row r="9477" spans="1:21">
      <c r="A9477">
        <v>9476</v>
      </c>
      <c r="B9477" s="29" t="s">
        <v>3223</v>
      </c>
      <c r="C9477" s="29"/>
      <c r="D9477" s="29" t="s">
        <v>4156</v>
      </c>
      <c r="E9477" s="29"/>
      <c r="F9477" s="29" t="s">
        <v>4230</v>
      </c>
      <c r="G9477" s="29"/>
      <c r="H9477" s="29" t="s">
        <v>4233</v>
      </c>
      <c r="I9477" s="29"/>
      <c r="J9477" s="29" t="s">
        <v>806</v>
      </c>
      <c r="K9477" s="29"/>
      <c r="L9477" s="29" t="s">
        <v>841</v>
      </c>
      <c r="M9477" s="29" t="s">
        <v>14147</v>
      </c>
      <c r="N9477" s="29" t="s">
        <v>500</v>
      </c>
      <c r="O9477" s="29"/>
      <c r="P9477" s="29" t="s">
        <v>1625</v>
      </c>
      <c r="Q9477" t="s">
        <v>2040</v>
      </c>
      <c r="R9477" t="s">
        <v>2634</v>
      </c>
      <c r="S9477">
        <v>37</v>
      </c>
      <c r="T9477" s="43" t="str">
        <f t="shared" si="406"/>
        <v>2021.006S.R.Picornaviridae_5nsfam.zip</v>
      </c>
      <c r="U9477" s="43" t="str">
        <f>HYPERLINK("https://ictv.global/taxonomy/taxondetails?taxnode_id=202201994","ictv.global=202201994")</f>
        <v>ictv.global=202201994</v>
      </c>
    </row>
    <row r="9478" spans="1:21">
      <c r="A9478">
        <v>9477</v>
      </c>
      <c r="B9478" s="29" t="s">
        <v>3223</v>
      </c>
      <c r="C9478" s="29"/>
      <c r="D9478" s="29" t="s">
        <v>4156</v>
      </c>
      <c r="E9478" s="29"/>
      <c r="F9478" s="29" t="s">
        <v>4230</v>
      </c>
      <c r="G9478" s="29"/>
      <c r="H9478" s="29" t="s">
        <v>4233</v>
      </c>
      <c r="I9478" s="29"/>
      <c r="J9478" s="29" t="s">
        <v>806</v>
      </c>
      <c r="K9478" s="29"/>
      <c r="L9478" s="29" t="s">
        <v>841</v>
      </c>
      <c r="M9478" s="29" t="s">
        <v>14147</v>
      </c>
      <c r="N9478" s="29" t="s">
        <v>500</v>
      </c>
      <c r="O9478" s="29"/>
      <c r="P9478" s="29" t="s">
        <v>1626</v>
      </c>
      <c r="Q9478" t="s">
        <v>2040</v>
      </c>
      <c r="R9478" t="s">
        <v>2634</v>
      </c>
      <c r="S9478">
        <v>37</v>
      </c>
      <c r="T9478" s="43" t="str">
        <f t="shared" si="406"/>
        <v>2021.006S.R.Picornaviridae_5nsfam.zip</v>
      </c>
      <c r="U9478" s="43" t="str">
        <f>HYPERLINK("https://ictv.global/taxonomy/taxondetails?taxnode_id=202201995","ictv.global=202201995")</f>
        <v>ictv.global=202201995</v>
      </c>
    </row>
    <row r="9479" spans="1:21">
      <c r="A9479">
        <v>9478</v>
      </c>
      <c r="B9479" s="29" t="s">
        <v>3223</v>
      </c>
      <c r="C9479" s="29"/>
      <c r="D9479" s="29" t="s">
        <v>4156</v>
      </c>
      <c r="E9479" s="29"/>
      <c r="F9479" s="29" t="s">
        <v>4230</v>
      </c>
      <c r="G9479" s="29"/>
      <c r="H9479" s="29" t="s">
        <v>4233</v>
      </c>
      <c r="I9479" s="29"/>
      <c r="J9479" s="29" t="s">
        <v>806</v>
      </c>
      <c r="K9479" s="29"/>
      <c r="L9479" s="29" t="s">
        <v>841</v>
      </c>
      <c r="M9479" s="29" t="s">
        <v>14147</v>
      </c>
      <c r="N9479" s="29" t="s">
        <v>4293</v>
      </c>
      <c r="O9479" s="29"/>
      <c r="P9479" s="29" t="s">
        <v>4294</v>
      </c>
      <c r="Q9479" t="s">
        <v>2040</v>
      </c>
      <c r="R9479" t="s">
        <v>2634</v>
      </c>
      <c r="S9479">
        <v>37</v>
      </c>
      <c r="T9479" s="43" t="str">
        <f t="shared" si="406"/>
        <v>2021.006S.R.Picornaviridae_5nsfam.zip</v>
      </c>
      <c r="U9479" s="43" t="str">
        <f>HYPERLINK("https://ictv.global/taxonomy/taxondetails?taxnode_id=202207254","ictv.global=202207254")</f>
        <v>ictv.global=202207254</v>
      </c>
    </row>
    <row r="9480" spans="1:21">
      <c r="A9480">
        <v>9479</v>
      </c>
      <c r="B9480" s="29" t="s">
        <v>3223</v>
      </c>
      <c r="C9480" s="29"/>
      <c r="D9480" s="29" t="s">
        <v>4156</v>
      </c>
      <c r="E9480" s="29"/>
      <c r="F9480" s="29" t="s">
        <v>4230</v>
      </c>
      <c r="G9480" s="29"/>
      <c r="H9480" s="29" t="s">
        <v>4233</v>
      </c>
      <c r="I9480" s="29"/>
      <c r="J9480" s="29" t="s">
        <v>806</v>
      </c>
      <c r="K9480" s="29"/>
      <c r="L9480" s="29" t="s">
        <v>841</v>
      </c>
      <c r="M9480" s="29" t="s">
        <v>14147</v>
      </c>
      <c r="N9480" s="29" t="s">
        <v>4315</v>
      </c>
      <c r="O9480" s="29"/>
      <c r="P9480" s="29" t="s">
        <v>4316</v>
      </c>
      <c r="Q9480" t="s">
        <v>2040</v>
      </c>
      <c r="R9480" t="s">
        <v>2634</v>
      </c>
      <c r="S9480">
        <v>37</v>
      </c>
      <c r="T9480" s="43" t="str">
        <f t="shared" si="406"/>
        <v>2021.006S.R.Picornaviridae_5nsfam.zip</v>
      </c>
      <c r="U9480" s="43" t="str">
        <f>HYPERLINK("https://ictv.global/taxonomy/taxondetails?taxnode_id=202207410","ictv.global=202207410")</f>
        <v>ictv.global=202207410</v>
      </c>
    </row>
    <row r="9481" spans="1:21">
      <c r="A9481">
        <v>9480</v>
      </c>
      <c r="B9481" s="29" t="s">
        <v>3223</v>
      </c>
      <c r="C9481" s="29"/>
      <c r="D9481" s="29" t="s">
        <v>4156</v>
      </c>
      <c r="E9481" s="29"/>
      <c r="F9481" s="29" t="s">
        <v>4230</v>
      </c>
      <c r="G9481" s="29"/>
      <c r="H9481" s="29" t="s">
        <v>4233</v>
      </c>
      <c r="I9481" s="29"/>
      <c r="J9481" s="29" t="s">
        <v>806</v>
      </c>
      <c r="K9481" s="29"/>
      <c r="L9481" s="29" t="s">
        <v>841</v>
      </c>
      <c r="M9481" s="29" t="s">
        <v>14147</v>
      </c>
      <c r="N9481" s="29" t="s">
        <v>4315</v>
      </c>
      <c r="O9481" s="29"/>
      <c r="P9481" s="29" t="s">
        <v>4317</v>
      </c>
      <c r="Q9481" t="s">
        <v>2040</v>
      </c>
      <c r="R9481" t="s">
        <v>2634</v>
      </c>
      <c r="S9481">
        <v>37</v>
      </c>
      <c r="T9481" s="43" t="str">
        <f t="shared" si="406"/>
        <v>2021.006S.R.Picornaviridae_5nsfam.zip</v>
      </c>
      <c r="U9481" s="43" t="str">
        <f>HYPERLINK("https://ictv.global/taxonomy/taxondetails?taxnode_id=202207411","ictv.global=202207411")</f>
        <v>ictv.global=202207411</v>
      </c>
    </row>
    <row r="9482" spans="1:21">
      <c r="A9482">
        <v>9481</v>
      </c>
      <c r="B9482" s="29" t="s">
        <v>3223</v>
      </c>
      <c r="C9482" s="29"/>
      <c r="D9482" s="29" t="s">
        <v>4156</v>
      </c>
      <c r="E9482" s="29"/>
      <c r="F9482" s="29" t="s">
        <v>4230</v>
      </c>
      <c r="G9482" s="29"/>
      <c r="H9482" s="29" t="s">
        <v>4233</v>
      </c>
      <c r="I9482" s="29"/>
      <c r="J9482" s="29" t="s">
        <v>806</v>
      </c>
      <c r="K9482" s="29"/>
      <c r="L9482" s="29" t="s">
        <v>841</v>
      </c>
      <c r="M9482" s="29" t="s">
        <v>14147</v>
      </c>
      <c r="N9482" s="29" t="s">
        <v>4315</v>
      </c>
      <c r="O9482" s="29"/>
      <c r="P9482" s="29" t="s">
        <v>4318</v>
      </c>
      <c r="Q9482" t="s">
        <v>2040</v>
      </c>
      <c r="R9482" t="s">
        <v>2634</v>
      </c>
      <c r="S9482">
        <v>37</v>
      </c>
      <c r="T9482" s="43" t="str">
        <f t="shared" si="406"/>
        <v>2021.006S.R.Picornaviridae_5nsfam.zip</v>
      </c>
      <c r="U9482" s="43" t="str">
        <f>HYPERLINK("https://ictv.global/taxonomy/taxondetails?taxnode_id=202207412","ictv.global=202207412")</f>
        <v>ictv.global=202207412</v>
      </c>
    </row>
    <row r="9483" spans="1:21">
      <c r="A9483">
        <v>9482</v>
      </c>
      <c r="B9483" s="29" t="s">
        <v>3223</v>
      </c>
      <c r="C9483" s="29"/>
      <c r="D9483" s="29" t="s">
        <v>4156</v>
      </c>
      <c r="E9483" s="29"/>
      <c r="F9483" s="29" t="s">
        <v>4230</v>
      </c>
      <c r="G9483" s="29"/>
      <c r="H9483" s="29" t="s">
        <v>4233</v>
      </c>
      <c r="I9483" s="29"/>
      <c r="J9483" s="29" t="s">
        <v>806</v>
      </c>
      <c r="K9483" s="29"/>
      <c r="L9483" s="29" t="s">
        <v>841</v>
      </c>
      <c r="M9483" s="29" t="s">
        <v>14147</v>
      </c>
      <c r="N9483" s="29" t="s">
        <v>2487</v>
      </c>
      <c r="O9483" s="29"/>
      <c r="P9483" s="29" t="s">
        <v>2488</v>
      </c>
      <c r="Q9483" t="s">
        <v>2040</v>
      </c>
      <c r="R9483" t="s">
        <v>2634</v>
      </c>
      <c r="S9483">
        <v>37</v>
      </c>
      <c r="T9483" s="43" t="str">
        <f t="shared" si="406"/>
        <v>2021.006S.R.Picornaviridae_5nsfam.zip</v>
      </c>
      <c r="U9483" s="43" t="str">
        <f>HYPERLINK("https://ictv.global/taxonomy/taxondetails?taxnode_id=202202049","ictv.global=202202049")</f>
        <v>ictv.global=202202049</v>
      </c>
    </row>
    <row r="9484" spans="1:21">
      <c r="A9484">
        <v>9483</v>
      </c>
      <c r="B9484" s="29" t="s">
        <v>3223</v>
      </c>
      <c r="C9484" s="29"/>
      <c r="D9484" s="29" t="s">
        <v>4156</v>
      </c>
      <c r="E9484" s="29"/>
      <c r="F9484" s="29" t="s">
        <v>4230</v>
      </c>
      <c r="G9484" s="29"/>
      <c r="H9484" s="29" t="s">
        <v>4233</v>
      </c>
      <c r="I9484" s="29"/>
      <c r="J9484" s="29" t="s">
        <v>806</v>
      </c>
      <c r="K9484" s="29"/>
      <c r="L9484" s="29" t="s">
        <v>841</v>
      </c>
      <c r="M9484" s="29" t="s">
        <v>14147</v>
      </c>
      <c r="N9484" s="29" t="s">
        <v>2487</v>
      </c>
      <c r="O9484" s="29"/>
      <c r="P9484" s="29" t="s">
        <v>3292</v>
      </c>
      <c r="Q9484" t="s">
        <v>2040</v>
      </c>
      <c r="R9484" t="s">
        <v>2634</v>
      </c>
      <c r="S9484">
        <v>37</v>
      </c>
      <c r="T9484" s="43" t="str">
        <f t="shared" si="406"/>
        <v>2021.006S.R.Picornaviridae_5nsfam.zip</v>
      </c>
      <c r="U9484" s="43" t="str">
        <f>HYPERLINK("https://ictv.global/taxonomy/taxondetails?taxnode_id=202206420","ictv.global=202206420")</f>
        <v>ictv.global=202206420</v>
      </c>
    </row>
    <row r="9485" spans="1:21">
      <c r="A9485">
        <v>9484</v>
      </c>
      <c r="B9485" s="29" t="s">
        <v>3223</v>
      </c>
      <c r="C9485" s="29"/>
      <c r="D9485" s="29" t="s">
        <v>4156</v>
      </c>
      <c r="E9485" s="29"/>
      <c r="F9485" s="29" t="s">
        <v>4230</v>
      </c>
      <c r="G9485" s="29"/>
      <c r="H9485" s="29" t="s">
        <v>4233</v>
      </c>
      <c r="I9485" s="29"/>
      <c r="J9485" s="29" t="s">
        <v>806</v>
      </c>
      <c r="K9485" s="29"/>
      <c r="L9485" s="29" t="s">
        <v>841</v>
      </c>
      <c r="M9485" s="29" t="s">
        <v>14147</v>
      </c>
      <c r="N9485" s="29" t="s">
        <v>2487</v>
      </c>
      <c r="O9485" s="29"/>
      <c r="P9485" s="29" t="s">
        <v>3293</v>
      </c>
      <c r="Q9485" t="s">
        <v>2040</v>
      </c>
      <c r="R9485" t="s">
        <v>2634</v>
      </c>
      <c r="S9485">
        <v>37</v>
      </c>
      <c r="T9485" s="43" t="str">
        <f t="shared" si="406"/>
        <v>2021.006S.R.Picornaviridae_5nsfam.zip</v>
      </c>
      <c r="U9485" s="43" t="str">
        <f>HYPERLINK("https://ictv.global/taxonomy/taxondetails?taxnode_id=202206421","ictv.global=202206421")</f>
        <v>ictv.global=202206421</v>
      </c>
    </row>
    <row r="9486" spans="1:21">
      <c r="A9486">
        <v>9485</v>
      </c>
      <c r="B9486" s="29" t="s">
        <v>3223</v>
      </c>
      <c r="C9486" s="29"/>
      <c r="D9486" s="29" t="s">
        <v>4156</v>
      </c>
      <c r="E9486" s="29"/>
      <c r="F9486" s="29" t="s">
        <v>4230</v>
      </c>
      <c r="G9486" s="29"/>
      <c r="H9486" s="29" t="s">
        <v>4233</v>
      </c>
      <c r="I9486" s="29"/>
      <c r="J9486" s="29" t="s">
        <v>806</v>
      </c>
      <c r="K9486" s="29"/>
      <c r="L9486" s="29" t="s">
        <v>841</v>
      </c>
      <c r="M9486" s="29" t="s">
        <v>14147</v>
      </c>
      <c r="N9486" s="29" t="s">
        <v>2487</v>
      </c>
      <c r="O9486" s="29"/>
      <c r="P9486" s="29" t="s">
        <v>3294</v>
      </c>
      <c r="Q9486" t="s">
        <v>2040</v>
      </c>
      <c r="R9486" t="s">
        <v>2634</v>
      </c>
      <c r="S9486">
        <v>37</v>
      </c>
      <c r="T9486" s="43" t="str">
        <f t="shared" ref="T9486:T9517" si="407">HYPERLINK("https://ictv.global/ictv/proposals/2021.006S.R.Picornaviridae_5nsfam.zip","2021.006S.R.Picornaviridae_5nsfam.zip")</f>
        <v>2021.006S.R.Picornaviridae_5nsfam.zip</v>
      </c>
      <c r="U9486" s="43" t="str">
        <f>HYPERLINK("https://ictv.global/taxonomy/taxondetails?taxnode_id=202206422","ictv.global=202206422")</f>
        <v>ictv.global=202206422</v>
      </c>
    </row>
    <row r="9487" spans="1:21">
      <c r="A9487">
        <v>9486</v>
      </c>
      <c r="B9487" s="29" t="s">
        <v>3223</v>
      </c>
      <c r="C9487" s="29"/>
      <c r="D9487" s="29" t="s">
        <v>4156</v>
      </c>
      <c r="E9487" s="29"/>
      <c r="F9487" s="29" t="s">
        <v>4230</v>
      </c>
      <c r="G9487" s="29"/>
      <c r="H9487" s="29" t="s">
        <v>4233</v>
      </c>
      <c r="I9487" s="29"/>
      <c r="J9487" s="29" t="s">
        <v>806</v>
      </c>
      <c r="K9487" s="29"/>
      <c r="L9487" s="29" t="s">
        <v>841</v>
      </c>
      <c r="M9487" s="29" t="s">
        <v>14147</v>
      </c>
      <c r="N9487" s="29" t="s">
        <v>807</v>
      </c>
      <c r="O9487" s="29"/>
      <c r="P9487" s="29" t="s">
        <v>1981</v>
      </c>
      <c r="Q9487" t="s">
        <v>2040</v>
      </c>
      <c r="R9487" t="s">
        <v>2634</v>
      </c>
      <c r="S9487">
        <v>37</v>
      </c>
      <c r="T9487" s="43" t="str">
        <f t="shared" si="407"/>
        <v>2021.006S.R.Picornaviridae_5nsfam.zip</v>
      </c>
      <c r="U9487" s="43" t="str">
        <f>HYPERLINK("https://ictv.global/taxonomy/taxondetails?taxnode_id=202202058","ictv.global=202202058")</f>
        <v>ictv.global=202202058</v>
      </c>
    </row>
    <row r="9488" spans="1:21">
      <c r="A9488">
        <v>9487</v>
      </c>
      <c r="B9488" s="29" t="s">
        <v>3223</v>
      </c>
      <c r="C9488" s="29"/>
      <c r="D9488" s="29" t="s">
        <v>4156</v>
      </c>
      <c r="E9488" s="29"/>
      <c r="F9488" s="29" t="s">
        <v>4230</v>
      </c>
      <c r="G9488" s="29"/>
      <c r="H9488" s="29" t="s">
        <v>4233</v>
      </c>
      <c r="I9488" s="29"/>
      <c r="J9488" s="29" t="s">
        <v>806</v>
      </c>
      <c r="K9488" s="29"/>
      <c r="L9488" s="29" t="s">
        <v>841</v>
      </c>
      <c r="M9488" s="29" t="s">
        <v>14147</v>
      </c>
      <c r="N9488" s="29" t="s">
        <v>807</v>
      </c>
      <c r="O9488" s="29"/>
      <c r="P9488" s="29" t="s">
        <v>1982</v>
      </c>
      <c r="Q9488" t="s">
        <v>2040</v>
      </c>
      <c r="R9488" t="s">
        <v>2634</v>
      </c>
      <c r="S9488">
        <v>37</v>
      </c>
      <c r="T9488" s="43" t="str">
        <f t="shared" si="407"/>
        <v>2021.006S.R.Picornaviridae_5nsfam.zip</v>
      </c>
      <c r="U9488" s="43" t="str">
        <f>HYPERLINK("https://ictv.global/taxonomy/taxondetails?taxnode_id=202202059","ictv.global=202202059")</f>
        <v>ictv.global=202202059</v>
      </c>
    </row>
    <row r="9489" spans="1:21">
      <c r="A9489">
        <v>9488</v>
      </c>
      <c r="B9489" s="29" t="s">
        <v>3223</v>
      </c>
      <c r="C9489" s="29"/>
      <c r="D9489" s="29" t="s">
        <v>4156</v>
      </c>
      <c r="E9489" s="29"/>
      <c r="F9489" s="29" t="s">
        <v>4230</v>
      </c>
      <c r="G9489" s="29"/>
      <c r="H9489" s="29" t="s">
        <v>4233</v>
      </c>
      <c r="I9489" s="29"/>
      <c r="J9489" s="29" t="s">
        <v>806</v>
      </c>
      <c r="K9489" s="29"/>
      <c r="L9489" s="29" t="s">
        <v>841</v>
      </c>
      <c r="M9489" s="29" t="s">
        <v>14148</v>
      </c>
      <c r="N9489" s="29" t="s">
        <v>6690</v>
      </c>
      <c r="O9489" s="29"/>
      <c r="P9489" s="29" t="s">
        <v>6691</v>
      </c>
      <c r="Q9489" t="s">
        <v>2040</v>
      </c>
      <c r="R9489" t="s">
        <v>2634</v>
      </c>
      <c r="S9489">
        <v>37</v>
      </c>
      <c r="T9489" s="43" t="str">
        <f t="shared" si="407"/>
        <v>2021.006S.R.Picornaviridae_5nsfam.zip</v>
      </c>
      <c r="U9489" s="43" t="str">
        <f>HYPERLINK("https://ictv.global/taxonomy/taxondetails?taxnode_id=202208772","ictv.global=202208772")</f>
        <v>ictv.global=202208772</v>
      </c>
    </row>
    <row r="9490" spans="1:21">
      <c r="A9490">
        <v>9489</v>
      </c>
      <c r="B9490" s="29" t="s">
        <v>3223</v>
      </c>
      <c r="C9490" s="29"/>
      <c r="D9490" s="29" t="s">
        <v>4156</v>
      </c>
      <c r="E9490" s="29"/>
      <c r="F9490" s="29" t="s">
        <v>4230</v>
      </c>
      <c r="G9490" s="29"/>
      <c r="H9490" s="29" t="s">
        <v>4233</v>
      </c>
      <c r="I9490" s="29"/>
      <c r="J9490" s="29" t="s">
        <v>806</v>
      </c>
      <c r="K9490" s="29"/>
      <c r="L9490" s="29" t="s">
        <v>841</v>
      </c>
      <c r="M9490" s="29" t="s">
        <v>14148</v>
      </c>
      <c r="N9490" s="29" t="s">
        <v>4288</v>
      </c>
      <c r="O9490" s="29"/>
      <c r="P9490" s="29" t="s">
        <v>4289</v>
      </c>
      <c r="Q9490" t="s">
        <v>2040</v>
      </c>
      <c r="R9490" t="s">
        <v>2634</v>
      </c>
      <c r="S9490">
        <v>37</v>
      </c>
      <c r="T9490" s="43" t="str">
        <f t="shared" si="407"/>
        <v>2021.006S.R.Picornaviridae_5nsfam.zip</v>
      </c>
      <c r="U9490" s="43" t="str">
        <f>HYPERLINK("https://ictv.global/taxonomy/taxondetails?taxnode_id=202207132","ictv.global=202207132")</f>
        <v>ictv.global=202207132</v>
      </c>
    </row>
    <row r="9491" spans="1:21">
      <c r="A9491">
        <v>9490</v>
      </c>
      <c r="B9491" s="29" t="s">
        <v>3223</v>
      </c>
      <c r="C9491" s="29"/>
      <c r="D9491" s="29" t="s">
        <v>4156</v>
      </c>
      <c r="E9491" s="29"/>
      <c r="F9491" s="29" t="s">
        <v>4230</v>
      </c>
      <c r="G9491" s="29"/>
      <c r="H9491" s="29" t="s">
        <v>4233</v>
      </c>
      <c r="I9491" s="29"/>
      <c r="J9491" s="29" t="s">
        <v>806</v>
      </c>
      <c r="K9491" s="29"/>
      <c r="L9491" s="29" t="s">
        <v>841</v>
      </c>
      <c r="M9491" s="29" t="s">
        <v>14148</v>
      </c>
      <c r="N9491" s="29" t="s">
        <v>4295</v>
      </c>
      <c r="O9491" s="29"/>
      <c r="P9491" s="29" t="s">
        <v>4296</v>
      </c>
      <c r="Q9491" t="s">
        <v>2040</v>
      </c>
      <c r="R9491" t="s">
        <v>2634</v>
      </c>
      <c r="S9491">
        <v>37</v>
      </c>
      <c r="T9491" s="43" t="str">
        <f t="shared" si="407"/>
        <v>2021.006S.R.Picornaviridae_5nsfam.zip</v>
      </c>
      <c r="U9491" s="43" t="str">
        <f>HYPERLINK("https://ictv.global/taxonomy/taxondetails?taxnode_id=202207267","ictv.global=202207267")</f>
        <v>ictv.global=202207267</v>
      </c>
    </row>
    <row r="9492" spans="1:21">
      <c r="A9492">
        <v>9491</v>
      </c>
      <c r="B9492" s="29" t="s">
        <v>3223</v>
      </c>
      <c r="C9492" s="29"/>
      <c r="D9492" s="29" t="s">
        <v>4156</v>
      </c>
      <c r="E9492" s="29"/>
      <c r="F9492" s="29" t="s">
        <v>4230</v>
      </c>
      <c r="G9492" s="29"/>
      <c r="H9492" s="29" t="s">
        <v>4233</v>
      </c>
      <c r="I9492" s="29"/>
      <c r="J9492" s="29" t="s">
        <v>806</v>
      </c>
      <c r="K9492" s="29"/>
      <c r="L9492" s="29" t="s">
        <v>841</v>
      </c>
      <c r="M9492" s="29" t="s">
        <v>14148</v>
      </c>
      <c r="N9492" s="29" t="s">
        <v>4295</v>
      </c>
      <c r="O9492" s="29"/>
      <c r="P9492" s="29" t="s">
        <v>4297</v>
      </c>
      <c r="Q9492" t="s">
        <v>2040</v>
      </c>
      <c r="R9492" t="s">
        <v>2634</v>
      </c>
      <c r="S9492">
        <v>37</v>
      </c>
      <c r="T9492" s="43" t="str">
        <f t="shared" si="407"/>
        <v>2021.006S.R.Picornaviridae_5nsfam.zip</v>
      </c>
      <c r="U9492" s="43" t="str">
        <f>HYPERLINK("https://ictv.global/taxonomy/taxondetails?taxnode_id=202207268","ictv.global=202207268")</f>
        <v>ictv.global=202207268</v>
      </c>
    </row>
    <row r="9493" spans="1:21">
      <c r="A9493">
        <v>9492</v>
      </c>
      <c r="B9493" s="29" t="s">
        <v>3223</v>
      </c>
      <c r="C9493" s="29"/>
      <c r="D9493" s="29" t="s">
        <v>4156</v>
      </c>
      <c r="E9493" s="29"/>
      <c r="F9493" s="29" t="s">
        <v>4230</v>
      </c>
      <c r="G9493" s="29"/>
      <c r="H9493" s="29" t="s">
        <v>4233</v>
      </c>
      <c r="I9493" s="29"/>
      <c r="J9493" s="29" t="s">
        <v>806</v>
      </c>
      <c r="K9493" s="29"/>
      <c r="L9493" s="29" t="s">
        <v>841</v>
      </c>
      <c r="M9493" s="29" t="s">
        <v>14148</v>
      </c>
      <c r="N9493" s="29" t="s">
        <v>4295</v>
      </c>
      <c r="O9493" s="29"/>
      <c r="P9493" s="29" t="s">
        <v>4298</v>
      </c>
      <c r="Q9493" t="s">
        <v>2040</v>
      </c>
      <c r="R9493" t="s">
        <v>2634</v>
      </c>
      <c r="S9493">
        <v>37</v>
      </c>
      <c r="T9493" s="43" t="str">
        <f t="shared" si="407"/>
        <v>2021.006S.R.Picornaviridae_5nsfam.zip</v>
      </c>
      <c r="U9493" s="43" t="str">
        <f>HYPERLINK("https://ictv.global/taxonomy/taxondetails?taxnode_id=202207269","ictv.global=202207269")</f>
        <v>ictv.global=202207269</v>
      </c>
    </row>
    <row r="9494" spans="1:21">
      <c r="A9494">
        <v>9493</v>
      </c>
      <c r="B9494" s="29" t="s">
        <v>3223</v>
      </c>
      <c r="C9494" s="29"/>
      <c r="D9494" s="29" t="s">
        <v>4156</v>
      </c>
      <c r="E9494" s="29"/>
      <c r="F9494" s="29" t="s">
        <v>4230</v>
      </c>
      <c r="G9494" s="29"/>
      <c r="H9494" s="29" t="s">
        <v>4233</v>
      </c>
      <c r="I9494" s="29"/>
      <c r="J9494" s="29" t="s">
        <v>806</v>
      </c>
      <c r="K9494" s="29"/>
      <c r="L9494" s="29" t="s">
        <v>841</v>
      </c>
      <c r="M9494" s="29" t="s">
        <v>14148</v>
      </c>
      <c r="N9494" s="29" t="s">
        <v>4295</v>
      </c>
      <c r="O9494" s="29"/>
      <c r="P9494" s="29" t="s">
        <v>4299</v>
      </c>
      <c r="Q9494" t="s">
        <v>2040</v>
      </c>
      <c r="R9494" t="s">
        <v>2634</v>
      </c>
      <c r="S9494">
        <v>37</v>
      </c>
      <c r="T9494" s="43" t="str">
        <f t="shared" si="407"/>
        <v>2021.006S.R.Picornaviridae_5nsfam.zip</v>
      </c>
      <c r="U9494" s="43" t="str">
        <f>HYPERLINK("https://ictv.global/taxonomy/taxondetails?taxnode_id=202207270","ictv.global=202207270")</f>
        <v>ictv.global=202207270</v>
      </c>
    </row>
    <row r="9495" spans="1:21">
      <c r="A9495">
        <v>9494</v>
      </c>
      <c r="B9495" s="29" t="s">
        <v>3223</v>
      </c>
      <c r="C9495" s="29"/>
      <c r="D9495" s="29" t="s">
        <v>4156</v>
      </c>
      <c r="E9495" s="29"/>
      <c r="F9495" s="29" t="s">
        <v>4230</v>
      </c>
      <c r="G9495" s="29"/>
      <c r="H9495" s="29" t="s">
        <v>4233</v>
      </c>
      <c r="I9495" s="29"/>
      <c r="J9495" s="29" t="s">
        <v>806</v>
      </c>
      <c r="K9495" s="29"/>
      <c r="L9495" s="29" t="s">
        <v>841</v>
      </c>
      <c r="M9495" s="29" t="s">
        <v>14148</v>
      </c>
      <c r="N9495" s="29" t="s">
        <v>4295</v>
      </c>
      <c r="O9495" s="29"/>
      <c r="P9495" s="29" t="s">
        <v>4300</v>
      </c>
      <c r="Q9495" t="s">
        <v>2040</v>
      </c>
      <c r="R9495" t="s">
        <v>2634</v>
      </c>
      <c r="S9495">
        <v>37</v>
      </c>
      <c r="T9495" s="43" t="str">
        <f t="shared" si="407"/>
        <v>2021.006S.R.Picornaviridae_5nsfam.zip</v>
      </c>
      <c r="U9495" s="43" t="str">
        <f>HYPERLINK("https://ictv.global/taxonomy/taxondetails?taxnode_id=202207271","ictv.global=202207271")</f>
        <v>ictv.global=202207271</v>
      </c>
    </row>
    <row r="9496" spans="1:21">
      <c r="A9496">
        <v>9495</v>
      </c>
      <c r="B9496" s="29" t="s">
        <v>3223</v>
      </c>
      <c r="C9496" s="29"/>
      <c r="D9496" s="29" t="s">
        <v>4156</v>
      </c>
      <c r="E9496" s="29"/>
      <c r="F9496" s="29" t="s">
        <v>4230</v>
      </c>
      <c r="G9496" s="29"/>
      <c r="H9496" s="29" t="s">
        <v>4233</v>
      </c>
      <c r="I9496" s="29"/>
      <c r="J9496" s="29" t="s">
        <v>806</v>
      </c>
      <c r="K9496" s="29"/>
      <c r="L9496" s="29" t="s">
        <v>841</v>
      </c>
      <c r="M9496" s="29" t="s">
        <v>14148</v>
      </c>
      <c r="N9496" s="29" t="s">
        <v>4295</v>
      </c>
      <c r="O9496" s="29"/>
      <c r="P9496" s="29" t="s">
        <v>6694</v>
      </c>
      <c r="Q9496" t="s">
        <v>2040</v>
      </c>
      <c r="R9496" t="s">
        <v>2634</v>
      </c>
      <c r="S9496">
        <v>37</v>
      </c>
      <c r="T9496" s="43" t="str">
        <f t="shared" si="407"/>
        <v>2021.006S.R.Picornaviridae_5nsfam.zip</v>
      </c>
      <c r="U9496" s="43" t="str">
        <f>HYPERLINK("https://ictv.global/taxonomy/taxondetails?taxnode_id=202208844","ictv.global=202208844")</f>
        <v>ictv.global=202208844</v>
      </c>
    </row>
    <row r="9497" spans="1:21">
      <c r="A9497">
        <v>9496</v>
      </c>
      <c r="B9497" s="29" t="s">
        <v>3223</v>
      </c>
      <c r="C9497" s="29"/>
      <c r="D9497" s="29" t="s">
        <v>4156</v>
      </c>
      <c r="E9497" s="29"/>
      <c r="F9497" s="29" t="s">
        <v>4230</v>
      </c>
      <c r="G9497" s="29"/>
      <c r="H9497" s="29" t="s">
        <v>4233</v>
      </c>
      <c r="I9497" s="29"/>
      <c r="J9497" s="29" t="s">
        <v>806</v>
      </c>
      <c r="K9497" s="29"/>
      <c r="L9497" s="29" t="s">
        <v>841</v>
      </c>
      <c r="M9497" s="29" t="s">
        <v>14148</v>
      </c>
      <c r="N9497" s="29" t="s">
        <v>4301</v>
      </c>
      <c r="O9497" s="29"/>
      <c r="P9497" s="29" t="s">
        <v>4302</v>
      </c>
      <c r="Q9497" t="s">
        <v>2040</v>
      </c>
      <c r="R9497" t="s">
        <v>2634</v>
      </c>
      <c r="S9497">
        <v>37</v>
      </c>
      <c r="T9497" s="43" t="str">
        <f t="shared" si="407"/>
        <v>2021.006S.R.Picornaviridae_5nsfam.zip</v>
      </c>
      <c r="U9497" s="43" t="str">
        <f>HYPERLINK("https://ictv.global/taxonomy/taxondetails?taxnode_id=202207134","ictv.global=202207134")</f>
        <v>ictv.global=202207134</v>
      </c>
    </row>
    <row r="9498" spans="1:21">
      <c r="A9498">
        <v>9497</v>
      </c>
      <c r="B9498" s="29" t="s">
        <v>3223</v>
      </c>
      <c r="C9498" s="29"/>
      <c r="D9498" s="29" t="s">
        <v>4156</v>
      </c>
      <c r="E9498" s="29"/>
      <c r="F9498" s="29" t="s">
        <v>4230</v>
      </c>
      <c r="G9498" s="29"/>
      <c r="H9498" s="29" t="s">
        <v>4233</v>
      </c>
      <c r="I9498" s="29"/>
      <c r="J9498" s="29" t="s">
        <v>806</v>
      </c>
      <c r="K9498" s="29"/>
      <c r="L9498" s="29" t="s">
        <v>841</v>
      </c>
      <c r="M9498" s="29" t="s">
        <v>14148</v>
      </c>
      <c r="N9498" s="29" t="s">
        <v>502</v>
      </c>
      <c r="O9498" s="29"/>
      <c r="P9498" s="29" t="s">
        <v>1974</v>
      </c>
      <c r="Q9498" t="s">
        <v>2040</v>
      </c>
      <c r="R9498" t="s">
        <v>2634</v>
      </c>
      <c r="S9498">
        <v>37</v>
      </c>
      <c r="T9498" s="43" t="str">
        <f t="shared" si="407"/>
        <v>2021.006S.R.Picornaviridae_5nsfam.zip</v>
      </c>
      <c r="U9498" s="43" t="str">
        <f>HYPERLINK("https://ictv.global/taxonomy/taxondetails?taxnode_id=202202003","ictv.global=202202003")</f>
        <v>ictv.global=202202003</v>
      </c>
    </row>
    <row r="9499" spans="1:21">
      <c r="A9499">
        <v>9498</v>
      </c>
      <c r="B9499" s="29" t="s">
        <v>3223</v>
      </c>
      <c r="C9499" s="29"/>
      <c r="D9499" s="29" t="s">
        <v>4156</v>
      </c>
      <c r="E9499" s="29"/>
      <c r="F9499" s="29" t="s">
        <v>4230</v>
      </c>
      <c r="G9499" s="29"/>
      <c r="H9499" s="29" t="s">
        <v>4233</v>
      </c>
      <c r="I9499" s="29"/>
      <c r="J9499" s="29" t="s">
        <v>806</v>
      </c>
      <c r="K9499" s="29"/>
      <c r="L9499" s="29" t="s">
        <v>841</v>
      </c>
      <c r="M9499" s="29" t="s">
        <v>14148</v>
      </c>
      <c r="N9499" s="29" t="s">
        <v>502</v>
      </c>
      <c r="O9499" s="29"/>
      <c r="P9499" s="29" t="s">
        <v>2472</v>
      </c>
      <c r="Q9499" t="s">
        <v>2040</v>
      </c>
      <c r="R9499" t="s">
        <v>2634</v>
      </c>
      <c r="S9499">
        <v>37</v>
      </c>
      <c r="T9499" s="43" t="str">
        <f t="shared" si="407"/>
        <v>2021.006S.R.Picornaviridae_5nsfam.zip</v>
      </c>
      <c r="U9499" s="43" t="str">
        <f>HYPERLINK("https://ictv.global/taxonomy/taxondetails?taxnode_id=202202004","ictv.global=202202004")</f>
        <v>ictv.global=202202004</v>
      </c>
    </row>
    <row r="9500" spans="1:21">
      <c r="A9500">
        <v>9499</v>
      </c>
      <c r="B9500" s="29" t="s">
        <v>3223</v>
      </c>
      <c r="C9500" s="29"/>
      <c r="D9500" s="29" t="s">
        <v>4156</v>
      </c>
      <c r="E9500" s="29"/>
      <c r="F9500" s="29" t="s">
        <v>4230</v>
      </c>
      <c r="G9500" s="29"/>
      <c r="H9500" s="29" t="s">
        <v>4233</v>
      </c>
      <c r="I9500" s="29"/>
      <c r="J9500" s="29" t="s">
        <v>806</v>
      </c>
      <c r="K9500" s="29"/>
      <c r="L9500" s="29" t="s">
        <v>841</v>
      </c>
      <c r="M9500" s="29" t="s">
        <v>14148</v>
      </c>
      <c r="N9500" s="29" t="s">
        <v>502</v>
      </c>
      <c r="O9500" s="29"/>
      <c r="P9500" s="29" t="s">
        <v>2473</v>
      </c>
      <c r="Q9500" t="s">
        <v>2040</v>
      </c>
      <c r="R9500" t="s">
        <v>2634</v>
      </c>
      <c r="S9500">
        <v>37</v>
      </c>
      <c r="T9500" s="43" t="str">
        <f t="shared" si="407"/>
        <v>2021.006S.R.Picornaviridae_5nsfam.zip</v>
      </c>
      <c r="U9500" s="43" t="str">
        <f>HYPERLINK("https://ictv.global/taxonomy/taxondetails?taxnode_id=202202005","ictv.global=202202005")</f>
        <v>ictv.global=202202005</v>
      </c>
    </row>
    <row r="9501" spans="1:21">
      <c r="A9501">
        <v>9500</v>
      </c>
      <c r="B9501" s="29" t="s">
        <v>3223</v>
      </c>
      <c r="C9501" s="29"/>
      <c r="D9501" s="29" t="s">
        <v>4156</v>
      </c>
      <c r="E9501" s="29"/>
      <c r="F9501" s="29" t="s">
        <v>4230</v>
      </c>
      <c r="G9501" s="29"/>
      <c r="H9501" s="29" t="s">
        <v>4233</v>
      </c>
      <c r="I9501" s="29"/>
      <c r="J9501" s="29" t="s">
        <v>806</v>
      </c>
      <c r="K9501" s="29"/>
      <c r="L9501" s="29" t="s">
        <v>841</v>
      </c>
      <c r="M9501" s="29" t="s">
        <v>14148</v>
      </c>
      <c r="N9501" s="29" t="s">
        <v>502</v>
      </c>
      <c r="O9501" s="29"/>
      <c r="P9501" s="29" t="s">
        <v>2474</v>
      </c>
      <c r="Q9501" t="s">
        <v>2040</v>
      </c>
      <c r="R9501" t="s">
        <v>2634</v>
      </c>
      <c r="S9501">
        <v>37</v>
      </c>
      <c r="T9501" s="43" t="str">
        <f t="shared" si="407"/>
        <v>2021.006S.R.Picornaviridae_5nsfam.zip</v>
      </c>
      <c r="U9501" s="43" t="str">
        <f>HYPERLINK("https://ictv.global/taxonomy/taxondetails?taxnode_id=202202006","ictv.global=202202006")</f>
        <v>ictv.global=202202006</v>
      </c>
    </row>
    <row r="9502" spans="1:21">
      <c r="A9502">
        <v>9501</v>
      </c>
      <c r="B9502" s="29" t="s">
        <v>3223</v>
      </c>
      <c r="C9502" s="29"/>
      <c r="D9502" s="29" t="s">
        <v>4156</v>
      </c>
      <c r="E9502" s="29"/>
      <c r="F9502" s="29" t="s">
        <v>4230</v>
      </c>
      <c r="G9502" s="29"/>
      <c r="H9502" s="29" t="s">
        <v>4233</v>
      </c>
      <c r="I9502" s="29"/>
      <c r="J9502" s="29" t="s">
        <v>806</v>
      </c>
      <c r="K9502" s="29"/>
      <c r="L9502" s="29" t="s">
        <v>841</v>
      </c>
      <c r="M9502" s="29" t="s">
        <v>14148</v>
      </c>
      <c r="N9502" s="29" t="s">
        <v>502</v>
      </c>
      <c r="O9502" s="29"/>
      <c r="P9502" s="29" t="s">
        <v>2475</v>
      </c>
      <c r="Q9502" t="s">
        <v>2040</v>
      </c>
      <c r="R9502" t="s">
        <v>2634</v>
      </c>
      <c r="S9502">
        <v>37</v>
      </c>
      <c r="T9502" s="43" t="str">
        <f t="shared" si="407"/>
        <v>2021.006S.R.Picornaviridae_5nsfam.zip</v>
      </c>
      <c r="U9502" s="43" t="str">
        <f>HYPERLINK("https://ictv.global/taxonomy/taxondetails?taxnode_id=202202007","ictv.global=202202007")</f>
        <v>ictv.global=202202007</v>
      </c>
    </row>
    <row r="9503" spans="1:21">
      <c r="A9503">
        <v>9502</v>
      </c>
      <c r="B9503" s="29" t="s">
        <v>3223</v>
      </c>
      <c r="C9503" s="29"/>
      <c r="D9503" s="29" t="s">
        <v>4156</v>
      </c>
      <c r="E9503" s="29"/>
      <c r="F9503" s="29" t="s">
        <v>4230</v>
      </c>
      <c r="G9503" s="29"/>
      <c r="H9503" s="29" t="s">
        <v>4233</v>
      </c>
      <c r="I9503" s="29"/>
      <c r="J9503" s="29" t="s">
        <v>806</v>
      </c>
      <c r="K9503" s="29"/>
      <c r="L9503" s="29" t="s">
        <v>841</v>
      </c>
      <c r="M9503" s="29" t="s">
        <v>14148</v>
      </c>
      <c r="N9503" s="29" t="s">
        <v>502</v>
      </c>
      <c r="O9503" s="29"/>
      <c r="P9503" s="29" t="s">
        <v>2476</v>
      </c>
      <c r="Q9503" t="s">
        <v>2040</v>
      </c>
      <c r="R9503" t="s">
        <v>2634</v>
      </c>
      <c r="S9503">
        <v>37</v>
      </c>
      <c r="T9503" s="43" t="str">
        <f t="shared" si="407"/>
        <v>2021.006S.R.Picornaviridae_5nsfam.zip</v>
      </c>
      <c r="U9503" s="43" t="str">
        <f>HYPERLINK("https://ictv.global/taxonomy/taxondetails?taxnode_id=202202008","ictv.global=202202008")</f>
        <v>ictv.global=202202008</v>
      </c>
    </row>
    <row r="9504" spans="1:21">
      <c r="A9504">
        <v>9503</v>
      </c>
      <c r="B9504" s="29" t="s">
        <v>3223</v>
      </c>
      <c r="C9504" s="29"/>
      <c r="D9504" s="29" t="s">
        <v>4156</v>
      </c>
      <c r="E9504" s="29"/>
      <c r="F9504" s="29" t="s">
        <v>4230</v>
      </c>
      <c r="G9504" s="29"/>
      <c r="H9504" s="29" t="s">
        <v>4233</v>
      </c>
      <c r="I9504" s="29"/>
      <c r="J9504" s="29" t="s">
        <v>806</v>
      </c>
      <c r="K9504" s="29"/>
      <c r="L9504" s="29" t="s">
        <v>841</v>
      </c>
      <c r="M9504" s="29" t="s">
        <v>14148</v>
      </c>
      <c r="N9504" s="29" t="s">
        <v>502</v>
      </c>
      <c r="O9504" s="29"/>
      <c r="P9504" s="29" t="s">
        <v>2477</v>
      </c>
      <c r="Q9504" t="s">
        <v>2040</v>
      </c>
      <c r="R9504" t="s">
        <v>2634</v>
      </c>
      <c r="S9504">
        <v>37</v>
      </c>
      <c r="T9504" s="43" t="str">
        <f t="shared" si="407"/>
        <v>2021.006S.R.Picornaviridae_5nsfam.zip</v>
      </c>
      <c r="U9504" s="43" t="str">
        <f>HYPERLINK("https://ictv.global/taxonomy/taxondetails?taxnode_id=202202009","ictv.global=202202009")</f>
        <v>ictv.global=202202009</v>
      </c>
    </row>
    <row r="9505" spans="1:21">
      <c r="A9505">
        <v>9504</v>
      </c>
      <c r="B9505" s="29" t="s">
        <v>3223</v>
      </c>
      <c r="C9505" s="29"/>
      <c r="D9505" s="29" t="s">
        <v>4156</v>
      </c>
      <c r="E9505" s="29"/>
      <c r="F9505" s="29" t="s">
        <v>4230</v>
      </c>
      <c r="G9505" s="29"/>
      <c r="H9505" s="29" t="s">
        <v>4233</v>
      </c>
      <c r="I9505" s="29"/>
      <c r="J9505" s="29" t="s">
        <v>806</v>
      </c>
      <c r="K9505" s="29"/>
      <c r="L9505" s="29" t="s">
        <v>841</v>
      </c>
      <c r="M9505" s="29" t="s">
        <v>14148</v>
      </c>
      <c r="N9505" s="29" t="s">
        <v>502</v>
      </c>
      <c r="O9505" s="29"/>
      <c r="P9505" s="29" t="s">
        <v>2478</v>
      </c>
      <c r="Q9505" t="s">
        <v>2040</v>
      </c>
      <c r="R9505" t="s">
        <v>2634</v>
      </c>
      <c r="S9505">
        <v>37</v>
      </c>
      <c r="T9505" s="43" t="str">
        <f t="shared" si="407"/>
        <v>2021.006S.R.Picornaviridae_5nsfam.zip</v>
      </c>
      <c r="U9505" s="43" t="str">
        <f>HYPERLINK("https://ictv.global/taxonomy/taxondetails?taxnode_id=202202010","ictv.global=202202010")</f>
        <v>ictv.global=202202010</v>
      </c>
    </row>
    <row r="9506" spans="1:21">
      <c r="A9506">
        <v>9505</v>
      </c>
      <c r="B9506" s="29" t="s">
        <v>3223</v>
      </c>
      <c r="C9506" s="29"/>
      <c r="D9506" s="29" t="s">
        <v>4156</v>
      </c>
      <c r="E9506" s="29"/>
      <c r="F9506" s="29" t="s">
        <v>4230</v>
      </c>
      <c r="G9506" s="29"/>
      <c r="H9506" s="29" t="s">
        <v>4233</v>
      </c>
      <c r="I9506" s="29"/>
      <c r="J9506" s="29" t="s">
        <v>806</v>
      </c>
      <c r="K9506" s="29"/>
      <c r="L9506" s="29" t="s">
        <v>841</v>
      </c>
      <c r="M9506" s="29" t="s">
        <v>14148</v>
      </c>
      <c r="N9506" s="29" t="s">
        <v>502</v>
      </c>
      <c r="O9506" s="29"/>
      <c r="P9506" s="29" t="s">
        <v>2479</v>
      </c>
      <c r="Q9506" t="s">
        <v>2040</v>
      </c>
      <c r="R9506" t="s">
        <v>2634</v>
      </c>
      <c r="S9506">
        <v>37</v>
      </c>
      <c r="T9506" s="43" t="str">
        <f t="shared" si="407"/>
        <v>2021.006S.R.Picornaviridae_5nsfam.zip</v>
      </c>
      <c r="U9506" s="43" t="str">
        <f>HYPERLINK("https://ictv.global/taxonomy/taxondetails?taxnode_id=202202011","ictv.global=202202011")</f>
        <v>ictv.global=202202011</v>
      </c>
    </row>
    <row r="9507" spans="1:21">
      <c r="A9507">
        <v>9506</v>
      </c>
      <c r="B9507" s="29" t="s">
        <v>3223</v>
      </c>
      <c r="C9507" s="29"/>
      <c r="D9507" s="29" t="s">
        <v>4156</v>
      </c>
      <c r="E9507" s="29"/>
      <c r="F9507" s="29" t="s">
        <v>4230</v>
      </c>
      <c r="G9507" s="29"/>
      <c r="H9507" s="29" t="s">
        <v>4233</v>
      </c>
      <c r="I9507" s="29"/>
      <c r="J9507" s="29" t="s">
        <v>806</v>
      </c>
      <c r="K9507" s="29"/>
      <c r="L9507" s="29" t="s">
        <v>841</v>
      </c>
      <c r="M9507" s="29" t="s">
        <v>14148</v>
      </c>
      <c r="N9507" s="29" t="s">
        <v>4325</v>
      </c>
      <c r="O9507" s="29"/>
      <c r="P9507" s="29" t="s">
        <v>4326</v>
      </c>
      <c r="Q9507" t="s">
        <v>2040</v>
      </c>
      <c r="R9507" t="s">
        <v>2634</v>
      </c>
      <c r="S9507">
        <v>37</v>
      </c>
      <c r="T9507" s="43" t="str">
        <f t="shared" si="407"/>
        <v>2021.006S.R.Picornaviridae_5nsfam.zip</v>
      </c>
      <c r="U9507" s="43" t="str">
        <f>HYPERLINK("https://ictv.global/taxonomy/taxondetails?taxnode_id=202207446","ictv.global=202207446")</f>
        <v>ictv.global=202207446</v>
      </c>
    </row>
    <row r="9508" spans="1:21">
      <c r="A9508">
        <v>9507</v>
      </c>
      <c r="B9508" s="29" t="s">
        <v>3223</v>
      </c>
      <c r="C9508" s="29"/>
      <c r="D9508" s="29" t="s">
        <v>4156</v>
      </c>
      <c r="E9508" s="29"/>
      <c r="F9508" s="29" t="s">
        <v>4230</v>
      </c>
      <c r="G9508" s="29"/>
      <c r="H9508" s="29" t="s">
        <v>4233</v>
      </c>
      <c r="I9508" s="29"/>
      <c r="J9508" s="29" t="s">
        <v>806</v>
      </c>
      <c r="K9508" s="29"/>
      <c r="L9508" s="29" t="s">
        <v>841</v>
      </c>
      <c r="M9508" s="29" t="s">
        <v>14148</v>
      </c>
      <c r="N9508" s="29" t="s">
        <v>755</v>
      </c>
      <c r="O9508" s="29"/>
      <c r="P9508" s="29" t="s">
        <v>1987</v>
      </c>
      <c r="Q9508" t="s">
        <v>2040</v>
      </c>
      <c r="R9508" t="s">
        <v>2634</v>
      </c>
      <c r="S9508">
        <v>37</v>
      </c>
      <c r="T9508" s="43" t="str">
        <f t="shared" si="407"/>
        <v>2021.006S.R.Picornaviridae_5nsfam.zip</v>
      </c>
      <c r="U9508" s="43" t="str">
        <f>HYPERLINK("https://ictv.global/taxonomy/taxondetails?taxnode_id=202202069","ictv.global=202202069")</f>
        <v>ictv.global=202202069</v>
      </c>
    </row>
    <row r="9509" spans="1:21">
      <c r="A9509">
        <v>9508</v>
      </c>
      <c r="B9509" s="29" t="s">
        <v>3223</v>
      </c>
      <c r="C9509" s="29"/>
      <c r="D9509" s="29" t="s">
        <v>4156</v>
      </c>
      <c r="E9509" s="29"/>
      <c r="F9509" s="29" t="s">
        <v>4230</v>
      </c>
      <c r="G9509" s="29"/>
      <c r="H9509" s="29" t="s">
        <v>4233</v>
      </c>
      <c r="I9509" s="29"/>
      <c r="J9509" s="29" t="s">
        <v>806</v>
      </c>
      <c r="K9509" s="29"/>
      <c r="L9509" s="29" t="s">
        <v>841</v>
      </c>
      <c r="M9509" s="29" t="s">
        <v>14148</v>
      </c>
      <c r="N9509" s="29" t="s">
        <v>755</v>
      </c>
      <c r="O9509" s="29"/>
      <c r="P9509" s="29" t="s">
        <v>4330</v>
      </c>
      <c r="Q9509" t="s">
        <v>2040</v>
      </c>
      <c r="R9509" t="s">
        <v>2634</v>
      </c>
      <c r="S9509">
        <v>37</v>
      </c>
      <c r="T9509" s="43" t="str">
        <f t="shared" si="407"/>
        <v>2021.006S.R.Picornaviridae_5nsfam.zip</v>
      </c>
      <c r="U9509" s="43" t="str">
        <f>HYPERLINK("https://ictv.global/taxonomy/taxondetails?taxnode_id=202207458","ictv.global=202207458")</f>
        <v>ictv.global=202207458</v>
      </c>
    </row>
    <row r="9510" spans="1:21">
      <c r="A9510">
        <v>9509</v>
      </c>
      <c r="B9510" s="29" t="s">
        <v>3223</v>
      </c>
      <c r="C9510" s="29"/>
      <c r="D9510" s="29" t="s">
        <v>4156</v>
      </c>
      <c r="E9510" s="29"/>
      <c r="F9510" s="29" t="s">
        <v>4230</v>
      </c>
      <c r="G9510" s="29"/>
      <c r="H9510" s="29" t="s">
        <v>4233</v>
      </c>
      <c r="I9510" s="29"/>
      <c r="J9510" s="29" t="s">
        <v>806</v>
      </c>
      <c r="K9510" s="29"/>
      <c r="L9510" s="29" t="s">
        <v>841</v>
      </c>
      <c r="M9510" s="29" t="s">
        <v>14149</v>
      </c>
      <c r="N9510" s="29" t="s">
        <v>6692</v>
      </c>
      <c r="O9510" s="29"/>
      <c r="P9510" s="29" t="s">
        <v>6693</v>
      </c>
      <c r="Q9510" t="s">
        <v>2040</v>
      </c>
      <c r="R9510" t="s">
        <v>2634</v>
      </c>
      <c r="S9510">
        <v>37</v>
      </c>
      <c r="T9510" s="43" t="str">
        <f t="shared" si="407"/>
        <v>2021.006S.R.Picornaviridae_5nsfam.zip</v>
      </c>
      <c r="U9510" s="43" t="str">
        <f>HYPERLINK("https://ictv.global/taxonomy/taxondetails?taxnode_id=202208806","ictv.global=202208806")</f>
        <v>ictv.global=202208806</v>
      </c>
    </row>
    <row r="9511" spans="1:21">
      <c r="A9511">
        <v>9510</v>
      </c>
      <c r="B9511" s="29" t="s">
        <v>3223</v>
      </c>
      <c r="C9511" s="29"/>
      <c r="D9511" s="29" t="s">
        <v>4156</v>
      </c>
      <c r="E9511" s="29"/>
      <c r="F9511" s="29" t="s">
        <v>4230</v>
      </c>
      <c r="G9511" s="29"/>
      <c r="H9511" s="29" t="s">
        <v>4233</v>
      </c>
      <c r="I9511" s="29"/>
      <c r="J9511" s="29" t="s">
        <v>806</v>
      </c>
      <c r="K9511" s="29"/>
      <c r="L9511" s="29" t="s">
        <v>841</v>
      </c>
      <c r="M9511" s="29" t="s">
        <v>14149</v>
      </c>
      <c r="N9511" s="29" t="s">
        <v>1613</v>
      </c>
      <c r="O9511" s="29"/>
      <c r="P9511" s="29" t="s">
        <v>1614</v>
      </c>
      <c r="Q9511" t="s">
        <v>2040</v>
      </c>
      <c r="R9511" t="s">
        <v>2634</v>
      </c>
      <c r="S9511">
        <v>37</v>
      </c>
      <c r="T9511" s="43" t="str">
        <f t="shared" si="407"/>
        <v>2021.006S.R.Picornaviridae_5nsfam.zip</v>
      </c>
      <c r="U9511" s="43" t="str">
        <f>HYPERLINK("https://ictv.global/taxonomy/taxondetails?taxnode_id=202201981","ictv.global=202201981")</f>
        <v>ictv.global=202201981</v>
      </c>
    </row>
    <row r="9512" spans="1:21">
      <c r="A9512">
        <v>9511</v>
      </c>
      <c r="B9512" s="29" t="s">
        <v>3223</v>
      </c>
      <c r="C9512" s="29"/>
      <c r="D9512" s="29" t="s">
        <v>4156</v>
      </c>
      <c r="E9512" s="29"/>
      <c r="F9512" s="29" t="s">
        <v>4230</v>
      </c>
      <c r="G9512" s="29"/>
      <c r="H9512" s="29" t="s">
        <v>4233</v>
      </c>
      <c r="I9512" s="29"/>
      <c r="J9512" s="29" t="s">
        <v>806</v>
      </c>
      <c r="K9512" s="29"/>
      <c r="L9512" s="29" t="s">
        <v>841</v>
      </c>
      <c r="M9512" s="29" t="s">
        <v>14149</v>
      </c>
      <c r="N9512" s="29" t="s">
        <v>1613</v>
      </c>
      <c r="O9512" s="29"/>
      <c r="P9512" s="29" t="s">
        <v>3282</v>
      </c>
      <c r="Q9512" t="s">
        <v>2040</v>
      </c>
      <c r="R9512" t="s">
        <v>2634</v>
      </c>
      <c r="S9512">
        <v>37</v>
      </c>
      <c r="T9512" s="43" t="str">
        <f t="shared" si="407"/>
        <v>2021.006S.R.Picornaviridae_5nsfam.zip</v>
      </c>
      <c r="U9512" s="43" t="str">
        <f>HYPERLINK("https://ictv.global/taxonomy/taxondetails?taxnode_id=202206291","ictv.global=202206291")</f>
        <v>ictv.global=202206291</v>
      </c>
    </row>
    <row r="9513" spans="1:21">
      <c r="A9513">
        <v>9512</v>
      </c>
      <c r="B9513" s="29" t="s">
        <v>3223</v>
      </c>
      <c r="C9513" s="29"/>
      <c r="D9513" s="29" t="s">
        <v>4156</v>
      </c>
      <c r="E9513" s="29"/>
      <c r="F9513" s="29" t="s">
        <v>4230</v>
      </c>
      <c r="G9513" s="29"/>
      <c r="H9513" s="29" t="s">
        <v>4233</v>
      </c>
      <c r="I9513" s="29"/>
      <c r="J9513" s="29" t="s">
        <v>806</v>
      </c>
      <c r="K9513" s="29"/>
      <c r="L9513" s="29" t="s">
        <v>841</v>
      </c>
      <c r="M9513" s="29" t="s">
        <v>14149</v>
      </c>
      <c r="N9513" s="29" t="s">
        <v>1717</v>
      </c>
      <c r="O9513" s="29"/>
      <c r="P9513" s="29" t="s">
        <v>1718</v>
      </c>
      <c r="Q9513" t="s">
        <v>2040</v>
      </c>
      <c r="R9513" t="s">
        <v>2634</v>
      </c>
      <c r="S9513">
        <v>37</v>
      </c>
      <c r="T9513" s="43" t="str">
        <f t="shared" si="407"/>
        <v>2021.006S.R.Picornaviridae_5nsfam.zip</v>
      </c>
      <c r="U9513" s="43" t="str">
        <f>HYPERLINK("https://ictv.global/taxonomy/taxondetails?taxnode_id=202201999","ictv.global=202201999")</f>
        <v>ictv.global=202201999</v>
      </c>
    </row>
    <row r="9514" spans="1:21">
      <c r="A9514">
        <v>9513</v>
      </c>
      <c r="B9514" s="29" t="s">
        <v>3223</v>
      </c>
      <c r="C9514" s="29"/>
      <c r="D9514" s="29" t="s">
        <v>4156</v>
      </c>
      <c r="E9514" s="29"/>
      <c r="F9514" s="29" t="s">
        <v>4230</v>
      </c>
      <c r="G9514" s="29"/>
      <c r="H9514" s="29" t="s">
        <v>4233</v>
      </c>
      <c r="I9514" s="29"/>
      <c r="J9514" s="29" t="s">
        <v>806</v>
      </c>
      <c r="K9514" s="29"/>
      <c r="L9514" s="29" t="s">
        <v>841</v>
      </c>
      <c r="M9514" s="29" t="s">
        <v>14149</v>
      </c>
      <c r="N9514" s="29" t="s">
        <v>4306</v>
      </c>
      <c r="O9514" s="29"/>
      <c r="P9514" s="29" t="s">
        <v>4307</v>
      </c>
      <c r="Q9514" t="s">
        <v>2040</v>
      </c>
      <c r="R9514" t="s">
        <v>2634</v>
      </c>
      <c r="S9514">
        <v>37</v>
      </c>
      <c r="T9514" s="43" t="str">
        <f t="shared" si="407"/>
        <v>2021.006S.R.Picornaviridae_5nsfam.zip</v>
      </c>
      <c r="U9514" s="43" t="str">
        <f>HYPERLINK("https://ictv.global/taxonomy/taxondetails?taxnode_id=202207298","ictv.global=202207298")</f>
        <v>ictv.global=202207298</v>
      </c>
    </row>
    <row r="9515" spans="1:21">
      <c r="A9515">
        <v>9514</v>
      </c>
      <c r="B9515" s="29" t="s">
        <v>3223</v>
      </c>
      <c r="C9515" s="29"/>
      <c r="D9515" s="29" t="s">
        <v>4156</v>
      </c>
      <c r="E9515" s="29"/>
      <c r="F9515" s="29" t="s">
        <v>4230</v>
      </c>
      <c r="G9515" s="29"/>
      <c r="H9515" s="29" t="s">
        <v>4233</v>
      </c>
      <c r="I9515" s="29"/>
      <c r="J9515" s="29" t="s">
        <v>806</v>
      </c>
      <c r="K9515" s="29"/>
      <c r="L9515" s="29" t="s">
        <v>841</v>
      </c>
      <c r="M9515" s="29" t="s">
        <v>14149</v>
      </c>
      <c r="N9515" s="29" t="s">
        <v>503</v>
      </c>
      <c r="O9515" s="29"/>
      <c r="P9515" s="29" t="s">
        <v>1627</v>
      </c>
      <c r="Q9515" t="s">
        <v>2040</v>
      </c>
      <c r="R9515" t="s">
        <v>2634</v>
      </c>
      <c r="S9515">
        <v>37</v>
      </c>
      <c r="T9515" s="43" t="str">
        <f t="shared" si="407"/>
        <v>2021.006S.R.Picornaviridae_5nsfam.zip</v>
      </c>
      <c r="U9515" s="43" t="str">
        <f>HYPERLINK("https://ictv.global/taxonomy/taxondetails?taxnode_id=202202015","ictv.global=202202015")</f>
        <v>ictv.global=202202015</v>
      </c>
    </row>
    <row r="9516" spans="1:21">
      <c r="A9516">
        <v>9515</v>
      </c>
      <c r="B9516" s="29" t="s">
        <v>3223</v>
      </c>
      <c r="C9516" s="29"/>
      <c r="D9516" s="29" t="s">
        <v>4156</v>
      </c>
      <c r="E9516" s="29"/>
      <c r="F9516" s="29" t="s">
        <v>4230</v>
      </c>
      <c r="G9516" s="29"/>
      <c r="H9516" s="29" t="s">
        <v>4233</v>
      </c>
      <c r="I9516" s="29"/>
      <c r="J9516" s="29" t="s">
        <v>806</v>
      </c>
      <c r="K9516" s="29"/>
      <c r="L9516" s="29" t="s">
        <v>841</v>
      </c>
      <c r="M9516" s="29" t="s">
        <v>14149</v>
      </c>
      <c r="N9516" s="29" t="s">
        <v>503</v>
      </c>
      <c r="O9516" s="29"/>
      <c r="P9516" s="29" t="s">
        <v>1628</v>
      </c>
      <c r="Q9516" t="s">
        <v>2040</v>
      </c>
      <c r="R9516" t="s">
        <v>2634</v>
      </c>
      <c r="S9516">
        <v>37</v>
      </c>
      <c r="T9516" s="43" t="str">
        <f t="shared" si="407"/>
        <v>2021.006S.R.Picornaviridae_5nsfam.zip</v>
      </c>
      <c r="U9516" s="43" t="str">
        <f>HYPERLINK("https://ictv.global/taxonomy/taxondetails?taxnode_id=202202016","ictv.global=202202016")</f>
        <v>ictv.global=202202016</v>
      </c>
    </row>
    <row r="9517" spans="1:21">
      <c r="A9517">
        <v>9516</v>
      </c>
      <c r="B9517" s="29" t="s">
        <v>3223</v>
      </c>
      <c r="C9517" s="29"/>
      <c r="D9517" s="29" t="s">
        <v>4156</v>
      </c>
      <c r="E9517" s="29"/>
      <c r="F9517" s="29" t="s">
        <v>4230</v>
      </c>
      <c r="G9517" s="29"/>
      <c r="H9517" s="29" t="s">
        <v>4233</v>
      </c>
      <c r="I9517" s="29"/>
      <c r="J9517" s="29" t="s">
        <v>806</v>
      </c>
      <c r="K9517" s="29"/>
      <c r="L9517" s="29" t="s">
        <v>841</v>
      </c>
      <c r="M9517" s="29" t="s">
        <v>14149</v>
      </c>
      <c r="N9517" s="29" t="s">
        <v>503</v>
      </c>
      <c r="O9517" s="29"/>
      <c r="P9517" s="29" t="s">
        <v>1629</v>
      </c>
      <c r="Q9517" t="s">
        <v>2040</v>
      </c>
      <c r="R9517" t="s">
        <v>2634</v>
      </c>
      <c r="S9517">
        <v>37</v>
      </c>
      <c r="T9517" s="43" t="str">
        <f t="shared" si="407"/>
        <v>2021.006S.R.Picornaviridae_5nsfam.zip</v>
      </c>
      <c r="U9517" s="43" t="str">
        <f>HYPERLINK("https://ictv.global/taxonomy/taxondetails?taxnode_id=202202017","ictv.global=202202017")</f>
        <v>ictv.global=202202017</v>
      </c>
    </row>
    <row r="9518" spans="1:21">
      <c r="A9518">
        <v>9517</v>
      </c>
      <c r="B9518" s="29" t="s">
        <v>3223</v>
      </c>
      <c r="C9518" s="29"/>
      <c r="D9518" s="29" t="s">
        <v>4156</v>
      </c>
      <c r="E9518" s="29"/>
      <c r="F9518" s="29" t="s">
        <v>4230</v>
      </c>
      <c r="G9518" s="29"/>
      <c r="H9518" s="29" t="s">
        <v>4233</v>
      </c>
      <c r="I9518" s="29"/>
      <c r="J9518" s="29" t="s">
        <v>806</v>
      </c>
      <c r="K9518" s="29"/>
      <c r="L9518" s="29" t="s">
        <v>841</v>
      </c>
      <c r="M9518" s="29" t="s">
        <v>14149</v>
      </c>
      <c r="N9518" s="29" t="s">
        <v>503</v>
      </c>
      <c r="O9518" s="29"/>
      <c r="P9518" s="29" t="s">
        <v>2480</v>
      </c>
      <c r="Q9518" t="s">
        <v>2040</v>
      </c>
      <c r="R9518" t="s">
        <v>2634</v>
      </c>
      <c r="S9518">
        <v>37</v>
      </c>
      <c r="T9518" s="43" t="str">
        <f t="shared" ref="T9518:T9549" si="408">HYPERLINK("https://ictv.global/ictv/proposals/2021.006S.R.Picornaviridae_5nsfam.zip","2021.006S.R.Picornaviridae_5nsfam.zip")</f>
        <v>2021.006S.R.Picornaviridae_5nsfam.zip</v>
      </c>
      <c r="U9518" s="43" t="str">
        <f>HYPERLINK("https://ictv.global/taxonomy/taxondetails?taxnode_id=202202018","ictv.global=202202018")</f>
        <v>ictv.global=202202018</v>
      </c>
    </row>
    <row r="9519" spans="1:21">
      <c r="A9519">
        <v>9518</v>
      </c>
      <c r="B9519" s="29" t="s">
        <v>3223</v>
      </c>
      <c r="C9519" s="29"/>
      <c r="D9519" s="29" t="s">
        <v>4156</v>
      </c>
      <c r="E9519" s="29"/>
      <c r="F9519" s="29" t="s">
        <v>4230</v>
      </c>
      <c r="G9519" s="29"/>
      <c r="H9519" s="29" t="s">
        <v>4233</v>
      </c>
      <c r="I9519" s="29"/>
      <c r="J9519" s="29" t="s">
        <v>806</v>
      </c>
      <c r="K9519" s="29"/>
      <c r="L9519" s="29" t="s">
        <v>841</v>
      </c>
      <c r="M9519" s="29" t="s">
        <v>14149</v>
      </c>
      <c r="N9519" s="29" t="s">
        <v>503</v>
      </c>
      <c r="O9519" s="29"/>
      <c r="P9519" s="29" t="s">
        <v>2481</v>
      </c>
      <c r="Q9519" t="s">
        <v>2040</v>
      </c>
      <c r="R9519" t="s">
        <v>2634</v>
      </c>
      <c r="S9519">
        <v>37</v>
      </c>
      <c r="T9519" s="43" t="str">
        <f t="shared" si="408"/>
        <v>2021.006S.R.Picornaviridae_5nsfam.zip</v>
      </c>
      <c r="U9519" s="43" t="str">
        <f>HYPERLINK("https://ictv.global/taxonomy/taxondetails?taxnode_id=202202019","ictv.global=202202019")</f>
        <v>ictv.global=202202019</v>
      </c>
    </row>
    <row r="9520" spans="1:21">
      <c r="A9520">
        <v>9519</v>
      </c>
      <c r="B9520" s="29" t="s">
        <v>3223</v>
      </c>
      <c r="C9520" s="29"/>
      <c r="D9520" s="29" t="s">
        <v>4156</v>
      </c>
      <c r="E9520" s="29"/>
      <c r="F9520" s="29" t="s">
        <v>4230</v>
      </c>
      <c r="G9520" s="29"/>
      <c r="H9520" s="29" t="s">
        <v>4233</v>
      </c>
      <c r="I9520" s="29"/>
      <c r="J9520" s="29" t="s">
        <v>806</v>
      </c>
      <c r="K9520" s="29"/>
      <c r="L9520" s="29" t="s">
        <v>841</v>
      </c>
      <c r="M9520" s="29" t="s">
        <v>14149</v>
      </c>
      <c r="N9520" s="29" t="s">
        <v>503</v>
      </c>
      <c r="O9520" s="29"/>
      <c r="P9520" s="29" t="s">
        <v>2482</v>
      </c>
      <c r="Q9520" t="s">
        <v>2040</v>
      </c>
      <c r="R9520" t="s">
        <v>2634</v>
      </c>
      <c r="S9520">
        <v>37</v>
      </c>
      <c r="T9520" s="43" t="str">
        <f t="shared" si="408"/>
        <v>2021.006S.R.Picornaviridae_5nsfam.zip</v>
      </c>
      <c r="U9520" s="43" t="str">
        <f>HYPERLINK("https://ictv.global/taxonomy/taxondetails?taxnode_id=202202020","ictv.global=202202020")</f>
        <v>ictv.global=202202020</v>
      </c>
    </row>
    <row r="9521" spans="1:21">
      <c r="A9521">
        <v>9520</v>
      </c>
      <c r="B9521" s="29" t="s">
        <v>3223</v>
      </c>
      <c r="C9521" s="29"/>
      <c r="D9521" s="29" t="s">
        <v>4156</v>
      </c>
      <c r="E9521" s="29"/>
      <c r="F9521" s="29" t="s">
        <v>4230</v>
      </c>
      <c r="G9521" s="29"/>
      <c r="H9521" s="29" t="s">
        <v>4233</v>
      </c>
      <c r="I9521" s="29"/>
      <c r="J9521" s="29" t="s">
        <v>806</v>
      </c>
      <c r="K9521" s="29"/>
      <c r="L9521" s="29" t="s">
        <v>841</v>
      </c>
      <c r="M9521" s="29" t="s">
        <v>14149</v>
      </c>
      <c r="N9521" s="29" t="s">
        <v>3283</v>
      </c>
      <c r="O9521" s="29"/>
      <c r="P9521" s="29" t="s">
        <v>3284</v>
      </c>
      <c r="Q9521" t="s">
        <v>2040</v>
      </c>
      <c r="R9521" t="s">
        <v>2634</v>
      </c>
      <c r="S9521">
        <v>37</v>
      </c>
      <c r="T9521" s="43" t="str">
        <f t="shared" si="408"/>
        <v>2021.006S.R.Picornaviridae_5nsfam.zip</v>
      </c>
      <c r="U9521" s="43" t="str">
        <f>HYPERLINK("https://ictv.global/taxonomy/taxondetails?taxnode_id=202206315","ictv.global=202206315")</f>
        <v>ictv.global=202206315</v>
      </c>
    </row>
    <row r="9522" spans="1:21">
      <c r="A9522">
        <v>9521</v>
      </c>
      <c r="B9522" s="29" t="s">
        <v>3223</v>
      </c>
      <c r="C9522" s="29"/>
      <c r="D9522" s="29" t="s">
        <v>4156</v>
      </c>
      <c r="E9522" s="29"/>
      <c r="F9522" s="29" t="s">
        <v>4230</v>
      </c>
      <c r="G9522" s="29"/>
      <c r="H9522" s="29" t="s">
        <v>4233</v>
      </c>
      <c r="I9522" s="29"/>
      <c r="J9522" s="29" t="s">
        <v>806</v>
      </c>
      <c r="K9522" s="29"/>
      <c r="L9522" s="29" t="s">
        <v>841</v>
      </c>
      <c r="M9522" s="29" t="s">
        <v>14149</v>
      </c>
      <c r="N9522" s="29" t="s">
        <v>4308</v>
      </c>
      <c r="O9522" s="29"/>
      <c r="P9522" s="29" t="s">
        <v>4309</v>
      </c>
      <c r="Q9522" t="s">
        <v>2040</v>
      </c>
      <c r="R9522" t="s">
        <v>2634</v>
      </c>
      <c r="S9522">
        <v>37</v>
      </c>
      <c r="T9522" s="43" t="str">
        <f t="shared" si="408"/>
        <v>2021.006S.R.Picornaviridae_5nsfam.zip</v>
      </c>
      <c r="U9522" s="43" t="str">
        <f>HYPERLINK("https://ictv.global/taxonomy/taxondetails?taxnode_id=202207359","ictv.global=202207359")</f>
        <v>ictv.global=202207359</v>
      </c>
    </row>
    <row r="9523" spans="1:21">
      <c r="A9523">
        <v>9522</v>
      </c>
      <c r="B9523" s="29" t="s">
        <v>3223</v>
      </c>
      <c r="C9523" s="29"/>
      <c r="D9523" s="29" t="s">
        <v>4156</v>
      </c>
      <c r="E9523" s="29"/>
      <c r="F9523" s="29" t="s">
        <v>4230</v>
      </c>
      <c r="G9523" s="29"/>
      <c r="H9523" s="29" t="s">
        <v>4233</v>
      </c>
      <c r="I9523" s="29"/>
      <c r="J9523" s="29" t="s">
        <v>806</v>
      </c>
      <c r="K9523" s="29"/>
      <c r="L9523" s="29" t="s">
        <v>841</v>
      </c>
      <c r="M9523" s="29" t="s">
        <v>14149</v>
      </c>
      <c r="N9523" s="29" t="s">
        <v>1630</v>
      </c>
      <c r="O9523" s="29"/>
      <c r="P9523" s="29" t="s">
        <v>2703</v>
      </c>
      <c r="Q9523" t="s">
        <v>2040</v>
      </c>
      <c r="R9523" t="s">
        <v>2634</v>
      </c>
      <c r="S9523">
        <v>37</v>
      </c>
      <c r="T9523" s="43" t="str">
        <f t="shared" si="408"/>
        <v>2021.006S.R.Picornaviridae_5nsfam.zip</v>
      </c>
      <c r="U9523" s="43" t="str">
        <f>HYPERLINK("https://ictv.global/taxonomy/taxondetails?taxnode_id=202202028","ictv.global=202202028")</f>
        <v>ictv.global=202202028</v>
      </c>
    </row>
    <row r="9524" spans="1:21">
      <c r="A9524">
        <v>9523</v>
      </c>
      <c r="B9524" s="29" t="s">
        <v>3223</v>
      </c>
      <c r="C9524" s="29"/>
      <c r="D9524" s="29" t="s">
        <v>4156</v>
      </c>
      <c r="E9524" s="29"/>
      <c r="F9524" s="29" t="s">
        <v>4230</v>
      </c>
      <c r="G9524" s="29"/>
      <c r="H9524" s="29" t="s">
        <v>4233</v>
      </c>
      <c r="I9524" s="29"/>
      <c r="J9524" s="29" t="s">
        <v>806</v>
      </c>
      <c r="K9524" s="29"/>
      <c r="L9524" s="29" t="s">
        <v>841</v>
      </c>
      <c r="M9524" s="29" t="s">
        <v>14149</v>
      </c>
      <c r="N9524" s="29" t="s">
        <v>1630</v>
      </c>
      <c r="O9524" s="29"/>
      <c r="P9524" s="29" t="s">
        <v>2704</v>
      </c>
      <c r="Q9524" t="s">
        <v>2040</v>
      </c>
      <c r="R9524" t="s">
        <v>2634</v>
      </c>
      <c r="S9524">
        <v>37</v>
      </c>
      <c r="T9524" s="43" t="str">
        <f t="shared" si="408"/>
        <v>2021.006S.R.Picornaviridae_5nsfam.zip</v>
      </c>
      <c r="U9524" s="43" t="str">
        <f>HYPERLINK("https://ictv.global/taxonomy/taxondetails?taxnode_id=202205600","ictv.global=202205600")</f>
        <v>ictv.global=202205600</v>
      </c>
    </row>
    <row r="9525" spans="1:21">
      <c r="A9525">
        <v>9524</v>
      </c>
      <c r="B9525" s="29" t="s">
        <v>3223</v>
      </c>
      <c r="C9525" s="29"/>
      <c r="D9525" s="29" t="s">
        <v>4156</v>
      </c>
      <c r="E9525" s="29"/>
      <c r="F9525" s="29" t="s">
        <v>4230</v>
      </c>
      <c r="G9525" s="29"/>
      <c r="H9525" s="29" t="s">
        <v>4233</v>
      </c>
      <c r="I9525" s="29"/>
      <c r="J9525" s="29" t="s">
        <v>806</v>
      </c>
      <c r="K9525" s="29"/>
      <c r="L9525" s="29" t="s">
        <v>841</v>
      </c>
      <c r="M9525" s="29" t="s">
        <v>14149</v>
      </c>
      <c r="N9525" s="29" t="s">
        <v>1630</v>
      </c>
      <c r="O9525" s="29"/>
      <c r="P9525" s="29" t="s">
        <v>2705</v>
      </c>
      <c r="Q9525" t="s">
        <v>2040</v>
      </c>
      <c r="R9525" t="s">
        <v>2634</v>
      </c>
      <c r="S9525">
        <v>37</v>
      </c>
      <c r="T9525" s="43" t="str">
        <f t="shared" si="408"/>
        <v>2021.006S.R.Picornaviridae_5nsfam.zip</v>
      </c>
      <c r="U9525" s="43" t="str">
        <f>HYPERLINK("https://ictv.global/taxonomy/taxondetails?taxnode_id=202205601","ictv.global=202205601")</f>
        <v>ictv.global=202205601</v>
      </c>
    </row>
    <row r="9526" spans="1:21">
      <c r="A9526">
        <v>9525</v>
      </c>
      <c r="B9526" s="29" t="s">
        <v>3223</v>
      </c>
      <c r="C9526" s="29"/>
      <c r="D9526" s="29" t="s">
        <v>4156</v>
      </c>
      <c r="E9526" s="29"/>
      <c r="F9526" s="29" t="s">
        <v>4230</v>
      </c>
      <c r="G9526" s="29"/>
      <c r="H9526" s="29" t="s">
        <v>4233</v>
      </c>
      <c r="I9526" s="29"/>
      <c r="J9526" s="29" t="s">
        <v>806</v>
      </c>
      <c r="K9526" s="29"/>
      <c r="L9526" s="29" t="s">
        <v>841</v>
      </c>
      <c r="M9526" s="29" t="s">
        <v>14149</v>
      </c>
      <c r="N9526" s="29" t="s">
        <v>1630</v>
      </c>
      <c r="O9526" s="29"/>
      <c r="P9526" s="29" t="s">
        <v>2706</v>
      </c>
      <c r="Q9526" t="s">
        <v>2040</v>
      </c>
      <c r="R9526" t="s">
        <v>2634</v>
      </c>
      <c r="S9526">
        <v>37</v>
      </c>
      <c r="T9526" s="43" t="str">
        <f t="shared" si="408"/>
        <v>2021.006S.R.Picornaviridae_5nsfam.zip</v>
      </c>
      <c r="U9526" s="43" t="str">
        <f>HYPERLINK("https://ictv.global/taxonomy/taxondetails?taxnode_id=202205602","ictv.global=202205602")</f>
        <v>ictv.global=202205602</v>
      </c>
    </row>
    <row r="9527" spans="1:21">
      <c r="A9527">
        <v>9526</v>
      </c>
      <c r="B9527" s="29" t="s">
        <v>3223</v>
      </c>
      <c r="C9527" s="29"/>
      <c r="D9527" s="29" t="s">
        <v>4156</v>
      </c>
      <c r="E9527" s="29"/>
      <c r="F9527" s="29" t="s">
        <v>4230</v>
      </c>
      <c r="G9527" s="29"/>
      <c r="H9527" s="29" t="s">
        <v>4233</v>
      </c>
      <c r="I9527" s="29"/>
      <c r="J9527" s="29" t="s">
        <v>806</v>
      </c>
      <c r="K9527" s="29"/>
      <c r="L9527" s="29" t="s">
        <v>841</v>
      </c>
      <c r="M9527" s="29" t="s">
        <v>14149</v>
      </c>
      <c r="N9527" s="29" t="s">
        <v>1630</v>
      </c>
      <c r="O9527" s="29"/>
      <c r="P9527" s="29" t="s">
        <v>2707</v>
      </c>
      <c r="Q9527" t="s">
        <v>2040</v>
      </c>
      <c r="R9527" t="s">
        <v>2634</v>
      </c>
      <c r="S9527">
        <v>37</v>
      </c>
      <c r="T9527" s="43" t="str">
        <f t="shared" si="408"/>
        <v>2021.006S.R.Picornaviridae_5nsfam.zip</v>
      </c>
      <c r="U9527" s="43" t="str">
        <f>HYPERLINK("https://ictv.global/taxonomy/taxondetails?taxnode_id=202205603","ictv.global=202205603")</f>
        <v>ictv.global=202205603</v>
      </c>
    </row>
    <row r="9528" spans="1:21">
      <c r="A9528">
        <v>9527</v>
      </c>
      <c r="B9528" s="29" t="s">
        <v>3223</v>
      </c>
      <c r="C9528" s="29"/>
      <c r="D9528" s="29" t="s">
        <v>4156</v>
      </c>
      <c r="E9528" s="29"/>
      <c r="F9528" s="29" t="s">
        <v>4230</v>
      </c>
      <c r="G9528" s="29"/>
      <c r="H9528" s="29" t="s">
        <v>4233</v>
      </c>
      <c r="I9528" s="29"/>
      <c r="J9528" s="29" t="s">
        <v>806</v>
      </c>
      <c r="K9528" s="29"/>
      <c r="L9528" s="29" t="s">
        <v>841</v>
      </c>
      <c r="M9528" s="29" t="s">
        <v>14149</v>
      </c>
      <c r="N9528" s="29" t="s">
        <v>4313</v>
      </c>
      <c r="O9528" s="29"/>
      <c r="P9528" s="29" t="s">
        <v>4314</v>
      </c>
      <c r="Q9528" t="s">
        <v>2040</v>
      </c>
      <c r="R9528" t="s">
        <v>2634</v>
      </c>
      <c r="S9528">
        <v>37</v>
      </c>
      <c r="T9528" s="43" t="str">
        <f t="shared" si="408"/>
        <v>2021.006S.R.Picornaviridae_5nsfam.zip</v>
      </c>
      <c r="U9528" s="43" t="str">
        <f>HYPERLINK("https://ictv.global/taxonomy/taxondetails?taxnode_id=202207300","ictv.global=202207300")</f>
        <v>ictv.global=202207300</v>
      </c>
    </row>
    <row r="9529" spans="1:21">
      <c r="A9529">
        <v>9528</v>
      </c>
      <c r="B9529" s="29" t="s">
        <v>3223</v>
      </c>
      <c r="C9529" s="29"/>
      <c r="D9529" s="29" t="s">
        <v>4156</v>
      </c>
      <c r="E9529" s="29"/>
      <c r="F9529" s="29" t="s">
        <v>4230</v>
      </c>
      <c r="G9529" s="29"/>
      <c r="H9529" s="29" t="s">
        <v>4233</v>
      </c>
      <c r="I9529" s="29"/>
      <c r="J9529" s="29" t="s">
        <v>806</v>
      </c>
      <c r="K9529" s="29"/>
      <c r="L9529" s="29" t="s">
        <v>841</v>
      </c>
      <c r="M9529" s="29" t="s">
        <v>14149</v>
      </c>
      <c r="N9529" s="29" t="s">
        <v>1725</v>
      </c>
      <c r="O9529" s="29"/>
      <c r="P9529" s="29" t="s">
        <v>1726</v>
      </c>
      <c r="Q9529" t="s">
        <v>2040</v>
      </c>
      <c r="R9529" t="s">
        <v>2634</v>
      </c>
      <c r="S9529">
        <v>37</v>
      </c>
      <c r="T9529" s="43" t="str">
        <f t="shared" si="408"/>
        <v>2021.006S.R.Picornaviridae_5nsfam.zip</v>
      </c>
      <c r="U9529" s="43" t="str">
        <f>HYPERLINK("https://ictv.global/taxonomy/taxondetails?taxnode_id=202202036","ictv.global=202202036")</f>
        <v>ictv.global=202202036</v>
      </c>
    </row>
    <row r="9530" spans="1:21">
      <c r="A9530">
        <v>9529</v>
      </c>
      <c r="B9530" s="29" t="s">
        <v>3223</v>
      </c>
      <c r="C9530" s="29"/>
      <c r="D9530" s="29" t="s">
        <v>4156</v>
      </c>
      <c r="E9530" s="29"/>
      <c r="F9530" s="29" t="s">
        <v>4230</v>
      </c>
      <c r="G9530" s="29"/>
      <c r="H9530" s="29" t="s">
        <v>4233</v>
      </c>
      <c r="I9530" s="29"/>
      <c r="J9530" s="29" t="s">
        <v>806</v>
      </c>
      <c r="K9530" s="29"/>
      <c r="L9530" s="29" t="s">
        <v>841</v>
      </c>
      <c r="M9530" s="29" t="s">
        <v>14149</v>
      </c>
      <c r="N9530" s="29" t="s">
        <v>1729</v>
      </c>
      <c r="O9530" s="29"/>
      <c r="P9530" s="29" t="s">
        <v>1730</v>
      </c>
      <c r="Q9530" t="s">
        <v>2040</v>
      </c>
      <c r="R9530" t="s">
        <v>2634</v>
      </c>
      <c r="S9530">
        <v>37</v>
      </c>
      <c r="T9530" s="43" t="str">
        <f t="shared" si="408"/>
        <v>2021.006S.R.Picornaviridae_5nsfam.zip</v>
      </c>
      <c r="U9530" s="43" t="str">
        <f>HYPERLINK("https://ictv.global/taxonomy/taxondetails?taxnode_id=202202045","ictv.global=202202045")</f>
        <v>ictv.global=202202045</v>
      </c>
    </row>
    <row r="9531" spans="1:21">
      <c r="A9531">
        <v>9530</v>
      </c>
      <c r="B9531" s="29" t="s">
        <v>3223</v>
      </c>
      <c r="C9531" s="29"/>
      <c r="D9531" s="29" t="s">
        <v>4156</v>
      </c>
      <c r="E9531" s="29"/>
      <c r="F9531" s="29" t="s">
        <v>4230</v>
      </c>
      <c r="G9531" s="29"/>
      <c r="H9531" s="29" t="s">
        <v>4233</v>
      </c>
      <c r="I9531" s="29"/>
      <c r="J9531" s="29" t="s">
        <v>806</v>
      </c>
      <c r="K9531" s="29"/>
      <c r="L9531" s="29" t="s">
        <v>841</v>
      </c>
      <c r="M9531" s="29" t="s">
        <v>14149</v>
      </c>
      <c r="N9531" s="29" t="s">
        <v>1729</v>
      </c>
      <c r="O9531" s="29"/>
      <c r="P9531" s="29" t="s">
        <v>3289</v>
      </c>
      <c r="Q9531" t="s">
        <v>2040</v>
      </c>
      <c r="R9531" t="s">
        <v>2634</v>
      </c>
      <c r="S9531">
        <v>37</v>
      </c>
      <c r="T9531" s="43" t="str">
        <f t="shared" si="408"/>
        <v>2021.006S.R.Picornaviridae_5nsfam.zip</v>
      </c>
      <c r="U9531" s="43" t="str">
        <f>HYPERLINK("https://ictv.global/taxonomy/taxondetails?taxnode_id=202206340","ictv.global=202206340")</f>
        <v>ictv.global=202206340</v>
      </c>
    </row>
    <row r="9532" spans="1:21">
      <c r="A9532">
        <v>9531</v>
      </c>
      <c r="B9532" s="29" t="s">
        <v>3223</v>
      </c>
      <c r="C9532" s="29"/>
      <c r="D9532" s="29" t="s">
        <v>4156</v>
      </c>
      <c r="E9532" s="29"/>
      <c r="F9532" s="29" t="s">
        <v>4230</v>
      </c>
      <c r="G9532" s="29"/>
      <c r="H9532" s="29" t="s">
        <v>4233</v>
      </c>
      <c r="I9532" s="29"/>
      <c r="J9532" s="29" t="s">
        <v>806</v>
      </c>
      <c r="K9532" s="29"/>
      <c r="L9532" s="29" t="s">
        <v>841</v>
      </c>
      <c r="M9532" s="29" t="s">
        <v>14149</v>
      </c>
      <c r="N9532" s="29" t="s">
        <v>4321</v>
      </c>
      <c r="O9532" s="29"/>
      <c r="P9532" s="29" t="s">
        <v>4322</v>
      </c>
      <c r="Q9532" t="s">
        <v>2040</v>
      </c>
      <c r="R9532" t="s">
        <v>2634</v>
      </c>
      <c r="S9532">
        <v>37</v>
      </c>
      <c r="T9532" s="43" t="str">
        <f t="shared" si="408"/>
        <v>2021.006S.R.Picornaviridae_5nsfam.zip</v>
      </c>
      <c r="U9532" s="43" t="str">
        <f>HYPERLINK("https://ictv.global/taxonomy/taxondetails?taxnode_id=202207302","ictv.global=202207302")</f>
        <v>ictv.global=202207302</v>
      </c>
    </row>
    <row r="9533" spans="1:21">
      <c r="A9533">
        <v>9532</v>
      </c>
      <c r="B9533" s="29" t="s">
        <v>3223</v>
      </c>
      <c r="C9533" s="29"/>
      <c r="D9533" s="29" t="s">
        <v>4156</v>
      </c>
      <c r="E9533" s="29"/>
      <c r="F9533" s="29" t="s">
        <v>4230</v>
      </c>
      <c r="G9533" s="29"/>
      <c r="H9533" s="29" t="s">
        <v>4233</v>
      </c>
      <c r="I9533" s="29"/>
      <c r="J9533" s="29" t="s">
        <v>806</v>
      </c>
      <c r="K9533" s="29"/>
      <c r="L9533" s="29" t="s">
        <v>841</v>
      </c>
      <c r="M9533" s="29" t="s">
        <v>14149</v>
      </c>
      <c r="N9533" s="29" t="s">
        <v>4321</v>
      </c>
      <c r="O9533" s="29"/>
      <c r="P9533" s="29" t="s">
        <v>6700</v>
      </c>
      <c r="Q9533" t="s">
        <v>2040</v>
      </c>
      <c r="R9533" t="s">
        <v>2634</v>
      </c>
      <c r="S9533">
        <v>37</v>
      </c>
      <c r="T9533" s="43" t="str">
        <f t="shared" si="408"/>
        <v>2021.006S.R.Picornaviridae_5nsfam.zip</v>
      </c>
      <c r="U9533" s="43" t="str">
        <f>HYPERLINK("https://ictv.global/taxonomy/taxondetails?taxnode_id=202209182","ictv.global=202209182")</f>
        <v>ictv.global=202209182</v>
      </c>
    </row>
    <row r="9534" spans="1:21">
      <c r="A9534">
        <v>9533</v>
      </c>
      <c r="B9534" s="29" t="s">
        <v>3223</v>
      </c>
      <c r="C9534" s="29"/>
      <c r="D9534" s="29" t="s">
        <v>4156</v>
      </c>
      <c r="E9534" s="29"/>
      <c r="F9534" s="29" t="s">
        <v>4230</v>
      </c>
      <c r="G9534" s="29"/>
      <c r="H9534" s="29" t="s">
        <v>4233</v>
      </c>
      <c r="I9534" s="29"/>
      <c r="J9534" s="29" t="s">
        <v>806</v>
      </c>
      <c r="K9534" s="29"/>
      <c r="L9534" s="29" t="s">
        <v>841</v>
      </c>
      <c r="M9534" s="29" t="s">
        <v>14149</v>
      </c>
      <c r="N9534" s="29" t="s">
        <v>3290</v>
      </c>
      <c r="O9534" s="29"/>
      <c r="P9534" s="29" t="s">
        <v>3291</v>
      </c>
      <c r="Q9534" t="s">
        <v>2040</v>
      </c>
      <c r="R9534" t="s">
        <v>2634</v>
      </c>
      <c r="S9534">
        <v>37</v>
      </c>
      <c r="T9534" s="43" t="str">
        <f t="shared" si="408"/>
        <v>2021.006S.R.Picornaviridae_5nsfam.zip</v>
      </c>
      <c r="U9534" s="43" t="str">
        <f>HYPERLINK("https://ictv.global/taxonomy/taxondetails?taxnode_id=202206392","ictv.global=202206392")</f>
        <v>ictv.global=202206392</v>
      </c>
    </row>
    <row r="9535" spans="1:21">
      <c r="A9535">
        <v>9534</v>
      </c>
      <c r="B9535" s="29" t="s">
        <v>3223</v>
      </c>
      <c r="C9535" s="29"/>
      <c r="D9535" s="29" t="s">
        <v>4156</v>
      </c>
      <c r="E9535" s="29"/>
      <c r="F9535" s="29" t="s">
        <v>4230</v>
      </c>
      <c r="G9535" s="29"/>
      <c r="H9535" s="29" t="s">
        <v>4233</v>
      </c>
      <c r="I9535" s="29"/>
      <c r="J9535" s="29" t="s">
        <v>806</v>
      </c>
      <c r="K9535" s="29"/>
      <c r="L9535" s="29" t="s">
        <v>841</v>
      </c>
      <c r="M9535" s="29" t="s">
        <v>14149</v>
      </c>
      <c r="N9535" s="29" t="s">
        <v>6701</v>
      </c>
      <c r="O9535" s="29"/>
      <c r="P9535" s="29" t="s">
        <v>6702</v>
      </c>
      <c r="Q9535" t="s">
        <v>2040</v>
      </c>
      <c r="R9535" t="s">
        <v>2634</v>
      </c>
      <c r="S9535">
        <v>37</v>
      </c>
      <c r="T9535" s="43" t="str">
        <f t="shared" si="408"/>
        <v>2021.006S.R.Picornaviridae_5nsfam.zip</v>
      </c>
      <c r="U9535" s="43" t="str">
        <f>HYPERLINK("https://ictv.global/taxonomy/taxondetails?taxnode_id=202208808","ictv.global=202208808")</f>
        <v>ictv.global=202208808</v>
      </c>
    </row>
    <row r="9536" spans="1:21">
      <c r="A9536">
        <v>9535</v>
      </c>
      <c r="B9536" s="29" t="s">
        <v>3223</v>
      </c>
      <c r="C9536" s="29"/>
      <c r="D9536" s="29" t="s">
        <v>4156</v>
      </c>
      <c r="E9536" s="29"/>
      <c r="F9536" s="29" t="s">
        <v>4230</v>
      </c>
      <c r="G9536" s="29"/>
      <c r="H9536" s="29" t="s">
        <v>4233</v>
      </c>
      <c r="I9536" s="29"/>
      <c r="J9536" s="29" t="s">
        <v>806</v>
      </c>
      <c r="K9536" s="29"/>
      <c r="L9536" s="29" t="s">
        <v>841</v>
      </c>
      <c r="M9536" s="29" t="s">
        <v>14149</v>
      </c>
      <c r="N9536" s="29" t="s">
        <v>3295</v>
      </c>
      <c r="O9536" s="29"/>
      <c r="P9536" s="29" t="s">
        <v>3296</v>
      </c>
      <c r="Q9536" t="s">
        <v>2040</v>
      </c>
      <c r="R9536" t="s">
        <v>2634</v>
      </c>
      <c r="S9536">
        <v>37</v>
      </c>
      <c r="T9536" s="43" t="str">
        <f t="shared" si="408"/>
        <v>2021.006S.R.Picornaviridae_5nsfam.zip</v>
      </c>
      <c r="U9536" s="43" t="str">
        <f>HYPERLINK("https://ictv.global/taxonomy/taxondetails?taxnode_id=202206441","ictv.global=202206441")</f>
        <v>ictv.global=202206441</v>
      </c>
    </row>
    <row r="9537" spans="1:21">
      <c r="A9537">
        <v>9536</v>
      </c>
      <c r="B9537" s="29" t="s">
        <v>3223</v>
      </c>
      <c r="C9537" s="29"/>
      <c r="D9537" s="29" t="s">
        <v>4156</v>
      </c>
      <c r="E9537" s="29"/>
      <c r="F9537" s="29" t="s">
        <v>4230</v>
      </c>
      <c r="G9537" s="29"/>
      <c r="H9537" s="29" t="s">
        <v>4233</v>
      </c>
      <c r="I9537" s="29"/>
      <c r="J9537" s="29" t="s">
        <v>806</v>
      </c>
      <c r="K9537" s="29"/>
      <c r="L9537" s="29" t="s">
        <v>841</v>
      </c>
      <c r="M9537" s="29" t="s">
        <v>14149</v>
      </c>
      <c r="N9537" s="29" t="s">
        <v>3295</v>
      </c>
      <c r="O9537" s="29"/>
      <c r="P9537" s="29" t="s">
        <v>3297</v>
      </c>
      <c r="Q9537" t="s">
        <v>2040</v>
      </c>
      <c r="R9537" t="s">
        <v>2634</v>
      </c>
      <c r="S9537">
        <v>37</v>
      </c>
      <c r="T9537" s="43" t="str">
        <f t="shared" si="408"/>
        <v>2021.006S.R.Picornaviridae_5nsfam.zip</v>
      </c>
      <c r="U9537" s="43" t="str">
        <f>HYPERLINK("https://ictv.global/taxonomy/taxondetails?taxnode_id=202206442","ictv.global=202206442")</f>
        <v>ictv.global=202206442</v>
      </c>
    </row>
    <row r="9538" spans="1:21">
      <c r="A9538">
        <v>9537</v>
      </c>
      <c r="B9538" s="29" t="s">
        <v>3223</v>
      </c>
      <c r="C9538" s="29"/>
      <c r="D9538" s="29" t="s">
        <v>4156</v>
      </c>
      <c r="E9538" s="29"/>
      <c r="F9538" s="29" t="s">
        <v>4230</v>
      </c>
      <c r="G9538" s="29"/>
      <c r="H9538" s="29" t="s">
        <v>4233</v>
      </c>
      <c r="I9538" s="29"/>
      <c r="J9538" s="29" t="s">
        <v>806</v>
      </c>
      <c r="K9538" s="29"/>
      <c r="L9538" s="29" t="s">
        <v>841</v>
      </c>
      <c r="M9538" s="29" t="s">
        <v>14149</v>
      </c>
      <c r="N9538" s="29" t="s">
        <v>3295</v>
      </c>
      <c r="O9538" s="29"/>
      <c r="P9538" s="29" t="s">
        <v>4324</v>
      </c>
      <c r="Q9538" t="s">
        <v>2040</v>
      </c>
      <c r="R9538" t="s">
        <v>2634</v>
      </c>
      <c r="S9538">
        <v>37</v>
      </c>
      <c r="T9538" s="43" t="str">
        <f t="shared" si="408"/>
        <v>2021.006S.R.Picornaviridae_5nsfam.zip</v>
      </c>
      <c r="U9538" s="43" t="str">
        <f>HYPERLINK("https://ictv.global/taxonomy/taxondetails?taxnode_id=202207439","ictv.global=202207439")</f>
        <v>ictv.global=202207439</v>
      </c>
    </row>
    <row r="9539" spans="1:21">
      <c r="A9539">
        <v>9538</v>
      </c>
      <c r="B9539" s="29" t="s">
        <v>3223</v>
      </c>
      <c r="C9539" s="29"/>
      <c r="D9539" s="29" t="s">
        <v>4156</v>
      </c>
      <c r="E9539" s="29"/>
      <c r="F9539" s="29" t="s">
        <v>4230</v>
      </c>
      <c r="G9539" s="29"/>
      <c r="H9539" s="29" t="s">
        <v>4233</v>
      </c>
      <c r="I9539" s="29"/>
      <c r="J9539" s="29" t="s">
        <v>806</v>
      </c>
      <c r="K9539" s="29"/>
      <c r="L9539" s="29" t="s">
        <v>841</v>
      </c>
      <c r="M9539" s="29" t="s">
        <v>14149</v>
      </c>
      <c r="N9539" s="29" t="s">
        <v>6703</v>
      </c>
      <c r="O9539" s="29"/>
      <c r="P9539" s="29" t="s">
        <v>6704</v>
      </c>
      <c r="Q9539" t="s">
        <v>2040</v>
      </c>
      <c r="R9539" t="s">
        <v>2634</v>
      </c>
      <c r="S9539">
        <v>37</v>
      </c>
      <c r="T9539" s="43" t="str">
        <f t="shared" si="408"/>
        <v>2021.006S.R.Picornaviridae_5nsfam.zip</v>
      </c>
      <c r="U9539" s="43" t="str">
        <f>HYPERLINK("https://ictv.global/taxonomy/taxondetails?taxnode_id=202208810","ictv.global=202208810")</f>
        <v>ictv.global=202208810</v>
      </c>
    </row>
    <row r="9540" spans="1:21">
      <c r="A9540">
        <v>9539</v>
      </c>
      <c r="B9540" s="29" t="s">
        <v>3223</v>
      </c>
      <c r="C9540" s="29"/>
      <c r="D9540" s="29" t="s">
        <v>4156</v>
      </c>
      <c r="E9540" s="29"/>
      <c r="F9540" s="29" t="s">
        <v>4230</v>
      </c>
      <c r="G9540" s="29"/>
      <c r="H9540" s="29" t="s">
        <v>4233</v>
      </c>
      <c r="I9540" s="29"/>
      <c r="J9540" s="29" t="s">
        <v>806</v>
      </c>
      <c r="K9540" s="29"/>
      <c r="L9540" s="29" t="s">
        <v>841</v>
      </c>
      <c r="M9540" s="29" t="s">
        <v>14149</v>
      </c>
      <c r="N9540" s="29" t="s">
        <v>1731</v>
      </c>
      <c r="O9540" s="29"/>
      <c r="P9540" s="29" t="s">
        <v>1732</v>
      </c>
      <c r="Q9540" t="s">
        <v>2040</v>
      </c>
      <c r="R9540" t="s">
        <v>2634</v>
      </c>
      <c r="S9540">
        <v>37</v>
      </c>
      <c r="T9540" s="43" t="str">
        <f t="shared" si="408"/>
        <v>2021.006S.R.Picornaviridae_5nsfam.zip</v>
      </c>
      <c r="U9540" s="43" t="str">
        <f>HYPERLINK("https://ictv.global/taxonomy/taxondetails?taxnode_id=202202051","ictv.global=202202051")</f>
        <v>ictv.global=202202051</v>
      </c>
    </row>
    <row r="9541" spans="1:21">
      <c r="A9541">
        <v>9540</v>
      </c>
      <c r="B9541" s="29" t="s">
        <v>3223</v>
      </c>
      <c r="C9541" s="29"/>
      <c r="D9541" s="29" t="s">
        <v>4156</v>
      </c>
      <c r="E9541" s="29"/>
      <c r="F9541" s="29" t="s">
        <v>4230</v>
      </c>
      <c r="G9541" s="29"/>
      <c r="H9541" s="29" t="s">
        <v>4233</v>
      </c>
      <c r="I9541" s="29"/>
      <c r="J9541" s="29" t="s">
        <v>806</v>
      </c>
      <c r="K9541" s="29"/>
      <c r="L9541" s="29" t="s">
        <v>841</v>
      </c>
      <c r="M9541" s="29" t="s">
        <v>14149</v>
      </c>
      <c r="N9541" s="29" t="s">
        <v>1731</v>
      </c>
      <c r="O9541" s="29"/>
      <c r="P9541" s="29" t="s">
        <v>3298</v>
      </c>
      <c r="Q9541" t="s">
        <v>2040</v>
      </c>
      <c r="R9541" t="s">
        <v>2634</v>
      </c>
      <c r="S9541">
        <v>37</v>
      </c>
      <c r="T9541" s="43" t="str">
        <f t="shared" si="408"/>
        <v>2021.006S.R.Picornaviridae_5nsfam.zip</v>
      </c>
      <c r="U9541" s="43" t="str">
        <f>HYPERLINK("https://ictv.global/taxonomy/taxondetails?taxnode_id=202206477","ictv.global=202206477")</f>
        <v>ictv.global=202206477</v>
      </c>
    </row>
    <row r="9542" spans="1:21">
      <c r="A9542">
        <v>9541</v>
      </c>
      <c r="B9542" s="29" t="s">
        <v>3223</v>
      </c>
      <c r="C9542" s="29"/>
      <c r="D9542" s="29" t="s">
        <v>4156</v>
      </c>
      <c r="E9542" s="29"/>
      <c r="F9542" s="29" t="s">
        <v>4230</v>
      </c>
      <c r="G9542" s="29"/>
      <c r="H9542" s="29" t="s">
        <v>4233</v>
      </c>
      <c r="I9542" s="29"/>
      <c r="J9542" s="29" t="s">
        <v>806</v>
      </c>
      <c r="K9542" s="29"/>
      <c r="L9542" s="29" t="s">
        <v>841</v>
      </c>
      <c r="M9542" s="29" t="s">
        <v>14149</v>
      </c>
      <c r="N9542" s="29" t="s">
        <v>1731</v>
      </c>
      <c r="O9542" s="29"/>
      <c r="P9542" s="29" t="s">
        <v>3299</v>
      </c>
      <c r="Q9542" t="s">
        <v>2040</v>
      </c>
      <c r="R9542" t="s">
        <v>2634</v>
      </c>
      <c r="S9542">
        <v>37</v>
      </c>
      <c r="T9542" s="43" t="str">
        <f t="shared" si="408"/>
        <v>2021.006S.R.Picornaviridae_5nsfam.zip</v>
      </c>
      <c r="U9542" s="43" t="str">
        <f>HYPERLINK("https://ictv.global/taxonomy/taxondetails?taxnode_id=202206478","ictv.global=202206478")</f>
        <v>ictv.global=202206478</v>
      </c>
    </row>
    <row r="9543" spans="1:21">
      <c r="A9543">
        <v>9542</v>
      </c>
      <c r="B9543" s="29" t="s">
        <v>3223</v>
      </c>
      <c r="C9543" s="29"/>
      <c r="D9543" s="29" t="s">
        <v>4156</v>
      </c>
      <c r="E9543" s="29"/>
      <c r="F9543" s="29" t="s">
        <v>4230</v>
      </c>
      <c r="G9543" s="29"/>
      <c r="H9543" s="29" t="s">
        <v>4233</v>
      </c>
      <c r="I9543" s="29"/>
      <c r="J9543" s="29" t="s">
        <v>806</v>
      </c>
      <c r="K9543" s="29"/>
      <c r="L9543" s="29" t="s">
        <v>841</v>
      </c>
      <c r="M9543" s="29" t="s">
        <v>14149</v>
      </c>
      <c r="N9543" s="29" t="s">
        <v>1979</v>
      </c>
      <c r="O9543" s="29"/>
      <c r="P9543" s="29" t="s">
        <v>1980</v>
      </c>
      <c r="Q9543" t="s">
        <v>2040</v>
      </c>
      <c r="R9543" t="s">
        <v>2634</v>
      </c>
      <c r="S9543">
        <v>37</v>
      </c>
      <c r="T9543" s="43" t="str">
        <f t="shared" si="408"/>
        <v>2021.006S.R.Picornaviridae_5nsfam.zip</v>
      </c>
      <c r="U9543" s="43" t="str">
        <f>HYPERLINK("https://ictv.global/taxonomy/taxondetails?taxnode_id=202202053","ictv.global=202202053")</f>
        <v>ictv.global=202202053</v>
      </c>
    </row>
    <row r="9544" spans="1:21">
      <c r="A9544">
        <v>9543</v>
      </c>
      <c r="B9544" s="29" t="s">
        <v>3223</v>
      </c>
      <c r="C9544" s="29"/>
      <c r="D9544" s="29" t="s">
        <v>4156</v>
      </c>
      <c r="E9544" s="29"/>
      <c r="F9544" s="29" t="s">
        <v>4230</v>
      </c>
      <c r="G9544" s="29"/>
      <c r="H9544" s="29" t="s">
        <v>4233</v>
      </c>
      <c r="I9544" s="29"/>
      <c r="J9544" s="29" t="s">
        <v>806</v>
      </c>
      <c r="K9544" s="29"/>
      <c r="L9544" s="29" t="s">
        <v>841</v>
      </c>
      <c r="M9544" s="29" t="s">
        <v>14149</v>
      </c>
      <c r="N9544" s="29" t="s">
        <v>1631</v>
      </c>
      <c r="O9544" s="29"/>
      <c r="P9544" s="29" t="s">
        <v>1632</v>
      </c>
      <c r="Q9544" t="s">
        <v>2040</v>
      </c>
      <c r="R9544" t="s">
        <v>2634</v>
      </c>
      <c r="S9544">
        <v>37</v>
      </c>
      <c r="T9544" s="43" t="str">
        <f t="shared" si="408"/>
        <v>2021.006S.R.Picornaviridae_5nsfam.zip</v>
      </c>
      <c r="U9544" s="43" t="str">
        <f>HYPERLINK("https://ictv.global/taxonomy/taxondetails?taxnode_id=202202055","ictv.global=202202055")</f>
        <v>ictv.global=202202055</v>
      </c>
    </row>
    <row r="9545" spans="1:21">
      <c r="A9545">
        <v>9544</v>
      </c>
      <c r="B9545" s="29" t="s">
        <v>3223</v>
      </c>
      <c r="C9545" s="29"/>
      <c r="D9545" s="29" t="s">
        <v>4156</v>
      </c>
      <c r="E9545" s="29"/>
      <c r="F9545" s="29" t="s">
        <v>4230</v>
      </c>
      <c r="G9545" s="29"/>
      <c r="H9545" s="29" t="s">
        <v>4233</v>
      </c>
      <c r="I9545" s="29"/>
      <c r="J9545" s="29" t="s">
        <v>806</v>
      </c>
      <c r="K9545" s="29"/>
      <c r="L9545" s="29" t="s">
        <v>841</v>
      </c>
      <c r="M9545" s="29" t="s">
        <v>14149</v>
      </c>
      <c r="N9545" s="29" t="s">
        <v>1984</v>
      </c>
      <c r="O9545" s="29"/>
      <c r="P9545" s="29" t="s">
        <v>1985</v>
      </c>
      <c r="Q9545" t="s">
        <v>2040</v>
      </c>
      <c r="R9545" t="s">
        <v>2634</v>
      </c>
      <c r="S9545">
        <v>37</v>
      </c>
      <c r="T9545" s="43" t="str">
        <f t="shared" si="408"/>
        <v>2021.006S.R.Picornaviridae_5nsfam.zip</v>
      </c>
      <c r="U9545" s="43" t="str">
        <f>HYPERLINK("https://ictv.global/taxonomy/taxondetails?taxnode_id=202202063","ictv.global=202202063")</f>
        <v>ictv.global=202202063</v>
      </c>
    </row>
    <row r="9546" spans="1:21">
      <c r="A9546">
        <v>9545</v>
      </c>
      <c r="B9546" s="29" t="s">
        <v>3223</v>
      </c>
      <c r="C9546" s="29"/>
      <c r="D9546" s="29" t="s">
        <v>4156</v>
      </c>
      <c r="E9546" s="29"/>
      <c r="F9546" s="29" t="s">
        <v>4230</v>
      </c>
      <c r="G9546" s="29"/>
      <c r="H9546" s="29" t="s">
        <v>4233</v>
      </c>
      <c r="I9546" s="29"/>
      <c r="J9546" s="29" t="s">
        <v>806</v>
      </c>
      <c r="K9546" s="29"/>
      <c r="L9546" s="29" t="s">
        <v>841</v>
      </c>
      <c r="M9546" s="29" t="s">
        <v>14149</v>
      </c>
      <c r="N9546" s="29" t="s">
        <v>4327</v>
      </c>
      <c r="O9546" s="29"/>
      <c r="P9546" s="29" t="s">
        <v>4328</v>
      </c>
      <c r="Q9546" t="s">
        <v>2040</v>
      </c>
      <c r="R9546" t="s">
        <v>2634</v>
      </c>
      <c r="S9546">
        <v>37</v>
      </c>
      <c r="T9546" s="43" t="str">
        <f t="shared" si="408"/>
        <v>2021.006S.R.Picornaviridae_5nsfam.zip</v>
      </c>
      <c r="U9546" s="43" t="str">
        <f>HYPERLINK("https://ictv.global/taxonomy/taxondetails?taxnode_id=202207304","ictv.global=202207304")</f>
        <v>ictv.global=202207304</v>
      </c>
    </row>
    <row r="9547" spans="1:21">
      <c r="A9547">
        <v>9546</v>
      </c>
      <c r="B9547" s="29" t="s">
        <v>3223</v>
      </c>
      <c r="C9547" s="29"/>
      <c r="D9547" s="29" t="s">
        <v>4156</v>
      </c>
      <c r="E9547" s="29"/>
      <c r="F9547" s="29" t="s">
        <v>4230</v>
      </c>
      <c r="G9547" s="29"/>
      <c r="H9547" s="29" t="s">
        <v>4233</v>
      </c>
      <c r="I9547" s="29"/>
      <c r="J9547" s="29" t="s">
        <v>806</v>
      </c>
      <c r="K9547" s="29"/>
      <c r="L9547" s="29" t="s">
        <v>841</v>
      </c>
      <c r="M9547" s="29" t="s">
        <v>14149</v>
      </c>
      <c r="N9547" s="29" t="s">
        <v>4331</v>
      </c>
      <c r="O9547" s="29"/>
      <c r="P9547" s="29" t="s">
        <v>4332</v>
      </c>
      <c r="Q9547" t="s">
        <v>2040</v>
      </c>
      <c r="R9547" t="s">
        <v>2634</v>
      </c>
      <c r="S9547">
        <v>37</v>
      </c>
      <c r="T9547" s="43" t="str">
        <f t="shared" si="408"/>
        <v>2021.006S.R.Picornaviridae_5nsfam.zip</v>
      </c>
      <c r="U9547" s="43" t="str">
        <f>HYPERLINK("https://ictv.global/taxonomy/taxondetails?taxnode_id=202207306","ictv.global=202207306")</f>
        <v>ictv.global=202207306</v>
      </c>
    </row>
    <row r="9548" spans="1:21">
      <c r="A9548">
        <v>9547</v>
      </c>
      <c r="B9548" s="29" t="s">
        <v>3223</v>
      </c>
      <c r="C9548" s="29"/>
      <c r="D9548" s="29" t="s">
        <v>4156</v>
      </c>
      <c r="E9548" s="29"/>
      <c r="F9548" s="29" t="s">
        <v>4230</v>
      </c>
      <c r="G9548" s="29"/>
      <c r="H9548" s="29" t="s">
        <v>4233</v>
      </c>
      <c r="I9548" s="29"/>
      <c r="J9548" s="29" t="s">
        <v>806</v>
      </c>
      <c r="K9548" s="29"/>
      <c r="L9548" s="29" t="s">
        <v>841</v>
      </c>
      <c r="M9548" s="29" t="s">
        <v>14149</v>
      </c>
      <c r="N9548" s="29" t="s">
        <v>4331</v>
      </c>
      <c r="O9548" s="29"/>
      <c r="P9548" s="29" t="s">
        <v>6705</v>
      </c>
      <c r="Q9548" t="s">
        <v>2040</v>
      </c>
      <c r="R9548" t="s">
        <v>2634</v>
      </c>
      <c r="S9548">
        <v>37</v>
      </c>
      <c r="T9548" s="43" t="str">
        <f t="shared" si="408"/>
        <v>2021.006S.R.Picornaviridae_5nsfam.zip</v>
      </c>
      <c r="U9548" s="43" t="str">
        <f>HYPERLINK("https://ictv.global/taxonomy/taxondetails?taxnode_id=202209248","ictv.global=202209248")</f>
        <v>ictv.global=202209248</v>
      </c>
    </row>
    <row r="9549" spans="1:21">
      <c r="A9549">
        <v>9548</v>
      </c>
      <c r="B9549" s="29" t="s">
        <v>3223</v>
      </c>
      <c r="C9549" s="29"/>
      <c r="D9549" s="29" t="s">
        <v>4156</v>
      </c>
      <c r="E9549" s="29"/>
      <c r="F9549" s="29" t="s">
        <v>4230</v>
      </c>
      <c r="G9549" s="29"/>
      <c r="H9549" s="29" t="s">
        <v>4233</v>
      </c>
      <c r="I9549" s="29"/>
      <c r="J9549" s="29" t="s">
        <v>806</v>
      </c>
      <c r="K9549" s="29"/>
      <c r="L9549" s="29" t="s">
        <v>841</v>
      </c>
      <c r="M9549" s="29" t="s">
        <v>14150</v>
      </c>
      <c r="N9549" s="29" t="s">
        <v>2692</v>
      </c>
      <c r="O9549" s="29"/>
      <c r="P9549" s="29" t="s">
        <v>2693</v>
      </c>
      <c r="Q9549" t="s">
        <v>2040</v>
      </c>
      <c r="R9549" t="s">
        <v>2634</v>
      </c>
      <c r="S9549">
        <v>37</v>
      </c>
      <c r="T9549" s="43" t="str">
        <f t="shared" si="408"/>
        <v>2021.006S.R.Picornaviridae_5nsfam.zip</v>
      </c>
      <c r="U9549" s="43" t="str">
        <f>HYPERLINK("https://ictv.global/taxonomy/taxondetails?taxnode_id=202205589","ictv.global=202205589")</f>
        <v>ictv.global=202205589</v>
      </c>
    </row>
    <row r="9550" spans="1:21">
      <c r="A9550">
        <v>9549</v>
      </c>
      <c r="B9550" s="29" t="s">
        <v>3223</v>
      </c>
      <c r="C9550" s="29"/>
      <c r="D9550" s="29" t="s">
        <v>4156</v>
      </c>
      <c r="E9550" s="29"/>
      <c r="F9550" s="29" t="s">
        <v>4230</v>
      </c>
      <c r="G9550" s="29"/>
      <c r="H9550" s="29" t="s">
        <v>4233</v>
      </c>
      <c r="I9550" s="29"/>
      <c r="J9550" s="29" t="s">
        <v>806</v>
      </c>
      <c r="K9550" s="29"/>
      <c r="L9550" s="29" t="s">
        <v>841</v>
      </c>
      <c r="M9550" s="29" t="s">
        <v>14150</v>
      </c>
      <c r="N9550" s="29" t="s">
        <v>1609</v>
      </c>
      <c r="O9550" s="29"/>
      <c r="P9550" s="29" t="s">
        <v>1610</v>
      </c>
      <c r="Q9550" t="s">
        <v>2040</v>
      </c>
      <c r="R9550" t="s">
        <v>2634</v>
      </c>
      <c r="S9550">
        <v>37</v>
      </c>
      <c r="T9550" s="43" t="str">
        <f t="shared" ref="T9550:T9577" si="409">HYPERLINK("https://ictv.global/ictv/proposals/2021.006S.R.Picornaviridae_5nsfam.zip","2021.006S.R.Picornaviridae_5nsfam.zip")</f>
        <v>2021.006S.R.Picornaviridae_5nsfam.zip</v>
      </c>
      <c r="U9550" s="43" t="str">
        <f>HYPERLINK("https://ictv.global/taxonomy/taxondetails?taxnode_id=202201963","ictv.global=202201963")</f>
        <v>ictv.global=202201963</v>
      </c>
    </row>
    <row r="9551" spans="1:21">
      <c r="A9551">
        <v>9550</v>
      </c>
      <c r="B9551" s="29" t="s">
        <v>3223</v>
      </c>
      <c r="C9551" s="29"/>
      <c r="D9551" s="29" t="s">
        <v>4156</v>
      </c>
      <c r="E9551" s="29"/>
      <c r="F9551" s="29" t="s">
        <v>4230</v>
      </c>
      <c r="G9551" s="29"/>
      <c r="H9551" s="29" t="s">
        <v>4233</v>
      </c>
      <c r="I9551" s="29"/>
      <c r="J9551" s="29" t="s">
        <v>806</v>
      </c>
      <c r="K9551" s="29"/>
      <c r="L9551" s="29" t="s">
        <v>841</v>
      </c>
      <c r="M9551" s="29" t="s">
        <v>14150</v>
      </c>
      <c r="N9551" s="29" t="s">
        <v>809</v>
      </c>
      <c r="O9551" s="29"/>
      <c r="P9551" s="29" t="s">
        <v>1969</v>
      </c>
      <c r="Q9551" t="s">
        <v>2040</v>
      </c>
      <c r="R9551" t="s">
        <v>2634</v>
      </c>
      <c r="S9551">
        <v>37</v>
      </c>
      <c r="T9551" s="43" t="str">
        <f t="shared" si="409"/>
        <v>2021.006S.R.Picornaviridae_5nsfam.zip</v>
      </c>
      <c r="U9551" s="43" t="str">
        <f>HYPERLINK("https://ictv.global/taxonomy/taxondetails?taxnode_id=202201965","ictv.global=202201965")</f>
        <v>ictv.global=202201965</v>
      </c>
    </row>
    <row r="9552" spans="1:21">
      <c r="A9552">
        <v>9551</v>
      </c>
      <c r="B9552" s="29" t="s">
        <v>3223</v>
      </c>
      <c r="C9552" s="29"/>
      <c r="D9552" s="29" t="s">
        <v>4156</v>
      </c>
      <c r="E9552" s="29"/>
      <c r="F9552" s="29" t="s">
        <v>4230</v>
      </c>
      <c r="G9552" s="29"/>
      <c r="H9552" s="29" t="s">
        <v>4233</v>
      </c>
      <c r="I9552" s="29"/>
      <c r="J9552" s="29" t="s">
        <v>806</v>
      </c>
      <c r="K9552" s="29"/>
      <c r="L9552" s="29" t="s">
        <v>841</v>
      </c>
      <c r="M9552" s="29" t="s">
        <v>14150</v>
      </c>
      <c r="N9552" s="29" t="s">
        <v>1715</v>
      </c>
      <c r="O9552" s="29"/>
      <c r="P9552" s="29" t="s">
        <v>1716</v>
      </c>
      <c r="Q9552" t="s">
        <v>2040</v>
      </c>
      <c r="R9552" t="s">
        <v>2634</v>
      </c>
      <c r="S9552">
        <v>37</v>
      </c>
      <c r="T9552" s="43" t="str">
        <f t="shared" si="409"/>
        <v>2021.006S.R.Picornaviridae_5nsfam.zip</v>
      </c>
      <c r="U9552" s="43" t="str">
        <f>HYPERLINK("https://ictv.global/taxonomy/taxondetails?taxnode_id=202201967","ictv.global=202201967")</f>
        <v>ictv.global=202201967</v>
      </c>
    </row>
    <row r="9553" spans="1:21">
      <c r="A9553">
        <v>9552</v>
      </c>
      <c r="B9553" s="29" t="s">
        <v>3223</v>
      </c>
      <c r="C9553" s="29"/>
      <c r="D9553" s="29" t="s">
        <v>4156</v>
      </c>
      <c r="E9553" s="29"/>
      <c r="F9553" s="29" t="s">
        <v>4230</v>
      </c>
      <c r="G9553" s="29"/>
      <c r="H9553" s="29" t="s">
        <v>4233</v>
      </c>
      <c r="I9553" s="29"/>
      <c r="J9553" s="29" t="s">
        <v>806</v>
      </c>
      <c r="K9553" s="29"/>
      <c r="L9553" s="29" t="s">
        <v>841</v>
      </c>
      <c r="M9553" s="29" t="s">
        <v>14150</v>
      </c>
      <c r="N9553" s="29" t="s">
        <v>1715</v>
      </c>
      <c r="O9553" s="29"/>
      <c r="P9553" s="29" t="s">
        <v>2463</v>
      </c>
      <c r="Q9553" t="s">
        <v>2040</v>
      </c>
      <c r="R9553" t="s">
        <v>2634</v>
      </c>
      <c r="S9553">
        <v>37</v>
      </c>
      <c r="T9553" s="43" t="str">
        <f t="shared" si="409"/>
        <v>2021.006S.R.Picornaviridae_5nsfam.zip</v>
      </c>
      <c r="U9553" s="43" t="str">
        <f>HYPERLINK("https://ictv.global/taxonomy/taxondetails?taxnode_id=202201968","ictv.global=202201968")</f>
        <v>ictv.global=202201968</v>
      </c>
    </row>
    <row r="9554" spans="1:21">
      <c r="A9554">
        <v>9553</v>
      </c>
      <c r="B9554" s="29" t="s">
        <v>3223</v>
      </c>
      <c r="C9554" s="29"/>
      <c r="D9554" s="29" t="s">
        <v>4156</v>
      </c>
      <c r="E9554" s="29"/>
      <c r="F9554" s="29" t="s">
        <v>4230</v>
      </c>
      <c r="G9554" s="29"/>
      <c r="H9554" s="29" t="s">
        <v>4233</v>
      </c>
      <c r="I9554" s="29"/>
      <c r="J9554" s="29" t="s">
        <v>806</v>
      </c>
      <c r="K9554" s="29"/>
      <c r="L9554" s="29" t="s">
        <v>841</v>
      </c>
      <c r="M9554" s="29" t="s">
        <v>14150</v>
      </c>
      <c r="N9554" s="29" t="s">
        <v>1715</v>
      </c>
      <c r="O9554" s="29"/>
      <c r="P9554" s="29" t="s">
        <v>2464</v>
      </c>
      <c r="Q9554" t="s">
        <v>2040</v>
      </c>
      <c r="R9554" t="s">
        <v>2634</v>
      </c>
      <c r="S9554">
        <v>37</v>
      </c>
      <c r="T9554" s="43" t="str">
        <f t="shared" si="409"/>
        <v>2021.006S.R.Picornaviridae_5nsfam.zip</v>
      </c>
      <c r="U9554" s="43" t="str">
        <f>HYPERLINK("https://ictv.global/taxonomy/taxondetails?taxnode_id=202201969","ictv.global=202201969")</f>
        <v>ictv.global=202201969</v>
      </c>
    </row>
    <row r="9555" spans="1:21">
      <c r="A9555">
        <v>9554</v>
      </c>
      <c r="B9555" s="29" t="s">
        <v>3223</v>
      </c>
      <c r="C9555" s="29"/>
      <c r="D9555" s="29" t="s">
        <v>4156</v>
      </c>
      <c r="E9555" s="29"/>
      <c r="F9555" s="29" t="s">
        <v>4230</v>
      </c>
      <c r="G9555" s="29"/>
      <c r="H9555" s="29" t="s">
        <v>4233</v>
      </c>
      <c r="I9555" s="29"/>
      <c r="J9555" s="29" t="s">
        <v>806</v>
      </c>
      <c r="K9555" s="29"/>
      <c r="L9555" s="29" t="s">
        <v>841</v>
      </c>
      <c r="M9555" s="29" t="s">
        <v>14150</v>
      </c>
      <c r="N9555" s="29" t="s">
        <v>2696</v>
      </c>
      <c r="O9555" s="29"/>
      <c r="P9555" s="29" t="s">
        <v>2697</v>
      </c>
      <c r="Q9555" t="s">
        <v>2040</v>
      </c>
      <c r="R9555" t="s">
        <v>2634</v>
      </c>
      <c r="S9555">
        <v>37</v>
      </c>
      <c r="T9555" s="43" t="str">
        <f t="shared" si="409"/>
        <v>2021.006S.R.Picornaviridae_5nsfam.zip</v>
      </c>
      <c r="U9555" s="43" t="str">
        <f>HYPERLINK("https://ictv.global/taxonomy/taxondetails?taxnode_id=202205593","ictv.global=202205593")</f>
        <v>ictv.global=202205593</v>
      </c>
    </row>
    <row r="9556" spans="1:21">
      <c r="A9556">
        <v>9555</v>
      </c>
      <c r="B9556" s="29" t="s">
        <v>3223</v>
      </c>
      <c r="C9556" s="29"/>
      <c r="D9556" s="29" t="s">
        <v>4156</v>
      </c>
      <c r="E9556" s="29"/>
      <c r="F9556" s="29" t="s">
        <v>4230</v>
      </c>
      <c r="G9556" s="29"/>
      <c r="H9556" s="29" t="s">
        <v>4233</v>
      </c>
      <c r="I9556" s="29"/>
      <c r="J9556" s="29" t="s">
        <v>806</v>
      </c>
      <c r="K9556" s="29"/>
      <c r="L9556" s="29" t="s">
        <v>841</v>
      </c>
      <c r="M9556" s="29" t="s">
        <v>14150</v>
      </c>
      <c r="N9556" s="29" t="s">
        <v>2696</v>
      </c>
      <c r="O9556" s="29"/>
      <c r="P9556" s="29" t="s">
        <v>2698</v>
      </c>
      <c r="Q9556" t="s">
        <v>2040</v>
      </c>
      <c r="R9556" t="s">
        <v>2634</v>
      </c>
      <c r="S9556">
        <v>37</v>
      </c>
      <c r="T9556" s="43" t="str">
        <f t="shared" si="409"/>
        <v>2021.006S.R.Picornaviridae_5nsfam.zip</v>
      </c>
      <c r="U9556" s="43" t="str">
        <f>HYPERLINK("https://ictv.global/taxonomy/taxondetails?taxnode_id=202205594","ictv.global=202205594")</f>
        <v>ictv.global=202205594</v>
      </c>
    </row>
    <row r="9557" spans="1:21">
      <c r="A9557">
        <v>9556</v>
      </c>
      <c r="B9557" s="29" t="s">
        <v>3223</v>
      </c>
      <c r="C9557" s="29"/>
      <c r="D9557" s="29" t="s">
        <v>4156</v>
      </c>
      <c r="E9557" s="29"/>
      <c r="F9557" s="29" t="s">
        <v>4230</v>
      </c>
      <c r="G9557" s="29"/>
      <c r="H9557" s="29" t="s">
        <v>4233</v>
      </c>
      <c r="I9557" s="29"/>
      <c r="J9557" s="29" t="s">
        <v>806</v>
      </c>
      <c r="K9557" s="29"/>
      <c r="L9557" s="29" t="s">
        <v>841</v>
      </c>
      <c r="M9557" s="29" t="s">
        <v>14150</v>
      </c>
      <c r="N9557" s="29" t="s">
        <v>4303</v>
      </c>
      <c r="O9557" s="29"/>
      <c r="P9557" s="29" t="s">
        <v>4304</v>
      </c>
      <c r="Q9557" t="s">
        <v>2040</v>
      </c>
      <c r="R9557" t="s">
        <v>2634</v>
      </c>
      <c r="S9557">
        <v>37</v>
      </c>
      <c r="T9557" s="43" t="str">
        <f t="shared" si="409"/>
        <v>2021.006S.R.Picornaviridae_5nsfam.zip</v>
      </c>
      <c r="U9557" s="43" t="str">
        <f>HYPERLINK("https://ictv.global/taxonomy/taxondetails?taxnode_id=202207284","ictv.global=202207284")</f>
        <v>ictv.global=202207284</v>
      </c>
    </row>
    <row r="9558" spans="1:21">
      <c r="A9558">
        <v>9557</v>
      </c>
      <c r="B9558" s="29" t="s">
        <v>3223</v>
      </c>
      <c r="C9558" s="29"/>
      <c r="D9558" s="29" t="s">
        <v>4156</v>
      </c>
      <c r="E9558" s="29"/>
      <c r="F9558" s="29" t="s">
        <v>4230</v>
      </c>
      <c r="G9558" s="29"/>
      <c r="H9558" s="29" t="s">
        <v>4233</v>
      </c>
      <c r="I9558" s="29"/>
      <c r="J9558" s="29" t="s">
        <v>806</v>
      </c>
      <c r="K9558" s="29"/>
      <c r="L9558" s="29" t="s">
        <v>841</v>
      </c>
      <c r="M9558" s="29" t="s">
        <v>14150</v>
      </c>
      <c r="N9558" s="29" t="s">
        <v>4303</v>
      </c>
      <c r="O9558" s="29"/>
      <c r="P9558" s="29" t="s">
        <v>4305</v>
      </c>
      <c r="Q9558" t="s">
        <v>2040</v>
      </c>
      <c r="R9558" t="s">
        <v>2634</v>
      </c>
      <c r="S9558">
        <v>37</v>
      </c>
      <c r="T9558" s="43" t="str">
        <f t="shared" si="409"/>
        <v>2021.006S.R.Picornaviridae_5nsfam.zip</v>
      </c>
      <c r="U9558" s="43" t="str">
        <f>HYPERLINK("https://ictv.global/taxonomy/taxondetails?taxnode_id=202207285","ictv.global=202207285")</f>
        <v>ictv.global=202207285</v>
      </c>
    </row>
    <row r="9559" spans="1:21">
      <c r="A9559">
        <v>9558</v>
      </c>
      <c r="B9559" s="29" t="s">
        <v>3223</v>
      </c>
      <c r="C9559" s="29"/>
      <c r="D9559" s="29" t="s">
        <v>4156</v>
      </c>
      <c r="E9559" s="29"/>
      <c r="F9559" s="29" t="s">
        <v>4230</v>
      </c>
      <c r="G9559" s="29"/>
      <c r="H9559" s="29" t="s">
        <v>4233</v>
      </c>
      <c r="I9559" s="29"/>
      <c r="J9559" s="29" t="s">
        <v>806</v>
      </c>
      <c r="K9559" s="29"/>
      <c r="L9559" s="29" t="s">
        <v>841</v>
      </c>
      <c r="M9559" s="29" t="s">
        <v>14150</v>
      </c>
      <c r="N9559" s="29" t="s">
        <v>4303</v>
      </c>
      <c r="O9559" s="29"/>
      <c r="P9559" s="29" t="s">
        <v>6695</v>
      </c>
      <c r="Q9559" t="s">
        <v>2040</v>
      </c>
      <c r="R9559" t="s">
        <v>2634</v>
      </c>
      <c r="S9559">
        <v>37</v>
      </c>
      <c r="T9559" s="43" t="str">
        <f t="shared" si="409"/>
        <v>2021.006S.R.Picornaviridae_5nsfam.zip</v>
      </c>
      <c r="U9559" s="43" t="str">
        <f>HYPERLINK("https://ictv.global/taxonomy/taxondetails?taxnode_id=202208913","ictv.global=202208913")</f>
        <v>ictv.global=202208913</v>
      </c>
    </row>
    <row r="9560" spans="1:21">
      <c r="A9560">
        <v>9559</v>
      </c>
      <c r="B9560" s="29" t="s">
        <v>3223</v>
      </c>
      <c r="C9560" s="29"/>
      <c r="D9560" s="29" t="s">
        <v>4156</v>
      </c>
      <c r="E9560" s="29"/>
      <c r="F9560" s="29" t="s">
        <v>4230</v>
      </c>
      <c r="G9560" s="29"/>
      <c r="H9560" s="29" t="s">
        <v>4233</v>
      </c>
      <c r="I9560" s="29"/>
      <c r="J9560" s="29" t="s">
        <v>806</v>
      </c>
      <c r="K9560" s="29"/>
      <c r="L9560" s="29" t="s">
        <v>841</v>
      </c>
      <c r="M9560" s="29" t="s">
        <v>14150</v>
      </c>
      <c r="N9560" s="29" t="s">
        <v>1975</v>
      </c>
      <c r="O9560" s="29"/>
      <c r="P9560" s="29" t="s">
        <v>1976</v>
      </c>
      <c r="Q9560" t="s">
        <v>2040</v>
      </c>
      <c r="R9560" t="s">
        <v>2634</v>
      </c>
      <c r="S9560">
        <v>37</v>
      </c>
      <c r="T9560" s="43" t="str">
        <f t="shared" si="409"/>
        <v>2021.006S.R.Picornaviridae_5nsfam.zip</v>
      </c>
      <c r="U9560" s="43" t="str">
        <f>HYPERLINK("https://ictv.global/taxonomy/taxondetails?taxnode_id=202202022","ictv.global=202202022")</f>
        <v>ictv.global=202202022</v>
      </c>
    </row>
    <row r="9561" spans="1:21">
      <c r="A9561">
        <v>9560</v>
      </c>
      <c r="B9561" s="29" t="s">
        <v>3223</v>
      </c>
      <c r="C9561" s="29"/>
      <c r="D9561" s="29" t="s">
        <v>4156</v>
      </c>
      <c r="E9561" s="29"/>
      <c r="F9561" s="29" t="s">
        <v>4230</v>
      </c>
      <c r="G9561" s="29"/>
      <c r="H9561" s="29" t="s">
        <v>4233</v>
      </c>
      <c r="I9561" s="29"/>
      <c r="J9561" s="29" t="s">
        <v>806</v>
      </c>
      <c r="K9561" s="29"/>
      <c r="L9561" s="29" t="s">
        <v>841</v>
      </c>
      <c r="M9561" s="29" t="s">
        <v>14150</v>
      </c>
      <c r="N9561" s="29" t="s">
        <v>1975</v>
      </c>
      <c r="O9561" s="29"/>
      <c r="P9561" s="29" t="s">
        <v>2701</v>
      </c>
      <c r="Q9561" t="s">
        <v>2040</v>
      </c>
      <c r="R9561" t="s">
        <v>2634</v>
      </c>
      <c r="S9561">
        <v>37</v>
      </c>
      <c r="T9561" s="43" t="str">
        <f t="shared" si="409"/>
        <v>2021.006S.R.Picornaviridae_5nsfam.zip</v>
      </c>
      <c r="U9561" s="43" t="str">
        <f>HYPERLINK("https://ictv.global/taxonomy/taxondetails?taxnode_id=202205598","ictv.global=202205598")</f>
        <v>ictv.global=202205598</v>
      </c>
    </row>
    <row r="9562" spans="1:21">
      <c r="A9562">
        <v>9561</v>
      </c>
      <c r="B9562" s="29" t="s">
        <v>3223</v>
      </c>
      <c r="C9562" s="29"/>
      <c r="D9562" s="29" t="s">
        <v>4156</v>
      </c>
      <c r="E9562" s="29"/>
      <c r="F9562" s="29" t="s">
        <v>4230</v>
      </c>
      <c r="G9562" s="29"/>
      <c r="H9562" s="29" t="s">
        <v>4233</v>
      </c>
      <c r="I9562" s="29"/>
      <c r="J9562" s="29" t="s">
        <v>806</v>
      </c>
      <c r="K9562" s="29"/>
      <c r="L9562" s="29" t="s">
        <v>841</v>
      </c>
      <c r="M9562" s="29" t="s">
        <v>14150</v>
      </c>
      <c r="N9562" s="29" t="s">
        <v>1975</v>
      </c>
      <c r="O9562" s="29"/>
      <c r="P9562" s="29" t="s">
        <v>2702</v>
      </c>
      <c r="Q9562" t="s">
        <v>2040</v>
      </c>
      <c r="R9562" t="s">
        <v>2634</v>
      </c>
      <c r="S9562">
        <v>37</v>
      </c>
      <c r="T9562" s="43" t="str">
        <f t="shared" si="409"/>
        <v>2021.006S.R.Picornaviridae_5nsfam.zip</v>
      </c>
      <c r="U9562" s="43" t="str">
        <f>HYPERLINK("https://ictv.global/taxonomy/taxondetails?taxnode_id=202205599","ictv.global=202205599")</f>
        <v>ictv.global=202205599</v>
      </c>
    </row>
    <row r="9563" spans="1:21">
      <c r="A9563">
        <v>9562</v>
      </c>
      <c r="B9563" s="29" t="s">
        <v>3223</v>
      </c>
      <c r="C9563" s="29"/>
      <c r="D9563" s="29" t="s">
        <v>4156</v>
      </c>
      <c r="E9563" s="29"/>
      <c r="F9563" s="29" t="s">
        <v>4230</v>
      </c>
      <c r="G9563" s="29"/>
      <c r="H9563" s="29" t="s">
        <v>4233</v>
      </c>
      <c r="I9563" s="29"/>
      <c r="J9563" s="29" t="s">
        <v>806</v>
      </c>
      <c r="K9563" s="29"/>
      <c r="L9563" s="29" t="s">
        <v>841</v>
      </c>
      <c r="M9563" s="29" t="s">
        <v>14150</v>
      </c>
      <c r="N9563" s="29" t="s">
        <v>2159</v>
      </c>
      <c r="O9563" s="29"/>
      <c r="P9563" s="29" t="s">
        <v>2160</v>
      </c>
      <c r="Q9563" t="s">
        <v>2040</v>
      </c>
      <c r="R9563" t="s">
        <v>2634</v>
      </c>
      <c r="S9563">
        <v>37</v>
      </c>
      <c r="T9563" s="43" t="str">
        <f t="shared" si="409"/>
        <v>2021.006S.R.Picornaviridae_5nsfam.zip</v>
      </c>
      <c r="U9563" s="43" t="str">
        <f>HYPERLINK("https://ictv.global/taxonomy/taxondetails?taxnode_id=202202024","ictv.global=202202024")</f>
        <v>ictv.global=202202024</v>
      </c>
    </row>
    <row r="9564" spans="1:21">
      <c r="A9564">
        <v>9563</v>
      </c>
      <c r="B9564" s="29" t="s">
        <v>3223</v>
      </c>
      <c r="C9564" s="29"/>
      <c r="D9564" s="29" t="s">
        <v>4156</v>
      </c>
      <c r="E9564" s="29"/>
      <c r="F9564" s="29" t="s">
        <v>4230</v>
      </c>
      <c r="G9564" s="29"/>
      <c r="H9564" s="29" t="s">
        <v>4233</v>
      </c>
      <c r="I9564" s="29"/>
      <c r="J9564" s="29" t="s">
        <v>806</v>
      </c>
      <c r="K9564" s="29"/>
      <c r="L9564" s="29" t="s">
        <v>841</v>
      </c>
      <c r="M9564" s="29" t="s">
        <v>14150</v>
      </c>
      <c r="N9564" s="29" t="s">
        <v>2159</v>
      </c>
      <c r="O9564" s="29"/>
      <c r="P9564" s="29" t="s">
        <v>2161</v>
      </c>
      <c r="Q9564" t="s">
        <v>2040</v>
      </c>
      <c r="R9564" t="s">
        <v>2634</v>
      </c>
      <c r="S9564">
        <v>37</v>
      </c>
      <c r="T9564" s="43" t="str">
        <f t="shared" si="409"/>
        <v>2021.006S.R.Picornaviridae_5nsfam.zip</v>
      </c>
      <c r="U9564" s="43" t="str">
        <f>HYPERLINK("https://ictv.global/taxonomy/taxondetails?taxnode_id=202202025","ictv.global=202202025")</f>
        <v>ictv.global=202202025</v>
      </c>
    </row>
    <row r="9565" spans="1:21">
      <c r="A9565">
        <v>9564</v>
      </c>
      <c r="B9565" s="29" t="s">
        <v>3223</v>
      </c>
      <c r="C9565" s="29"/>
      <c r="D9565" s="29" t="s">
        <v>4156</v>
      </c>
      <c r="E9565" s="29"/>
      <c r="F9565" s="29" t="s">
        <v>4230</v>
      </c>
      <c r="G9565" s="29"/>
      <c r="H9565" s="29" t="s">
        <v>4233</v>
      </c>
      <c r="I9565" s="29"/>
      <c r="J9565" s="29" t="s">
        <v>806</v>
      </c>
      <c r="K9565" s="29"/>
      <c r="L9565" s="29" t="s">
        <v>841</v>
      </c>
      <c r="M9565" s="29" t="s">
        <v>14150</v>
      </c>
      <c r="N9565" s="29" t="s">
        <v>2159</v>
      </c>
      <c r="O9565" s="29"/>
      <c r="P9565" s="29" t="s">
        <v>2162</v>
      </c>
      <c r="Q9565" t="s">
        <v>2040</v>
      </c>
      <c r="R9565" t="s">
        <v>2634</v>
      </c>
      <c r="S9565">
        <v>37</v>
      </c>
      <c r="T9565" s="43" t="str">
        <f t="shared" si="409"/>
        <v>2021.006S.R.Picornaviridae_5nsfam.zip</v>
      </c>
      <c r="U9565" s="43" t="str">
        <f>HYPERLINK("https://ictv.global/taxonomy/taxondetails?taxnode_id=202202026","ictv.global=202202026")</f>
        <v>ictv.global=202202026</v>
      </c>
    </row>
    <row r="9566" spans="1:21">
      <c r="A9566">
        <v>9565</v>
      </c>
      <c r="B9566" s="29" t="s">
        <v>3223</v>
      </c>
      <c r="C9566" s="29"/>
      <c r="D9566" s="29" t="s">
        <v>4156</v>
      </c>
      <c r="E9566" s="29"/>
      <c r="F9566" s="29" t="s">
        <v>4230</v>
      </c>
      <c r="G9566" s="29"/>
      <c r="H9566" s="29" t="s">
        <v>4233</v>
      </c>
      <c r="I9566" s="29"/>
      <c r="J9566" s="29" t="s">
        <v>806</v>
      </c>
      <c r="K9566" s="29"/>
      <c r="L9566" s="29" t="s">
        <v>841</v>
      </c>
      <c r="M9566" s="29" t="s">
        <v>14150</v>
      </c>
      <c r="N9566" s="29" t="s">
        <v>2159</v>
      </c>
      <c r="O9566" s="29"/>
      <c r="P9566" s="29" t="s">
        <v>6696</v>
      </c>
      <c r="Q9566" t="s">
        <v>2040</v>
      </c>
      <c r="R9566" t="s">
        <v>2634</v>
      </c>
      <c r="S9566">
        <v>37</v>
      </c>
      <c r="T9566" s="43" t="str">
        <f t="shared" si="409"/>
        <v>2021.006S.R.Picornaviridae_5nsfam.zip</v>
      </c>
      <c r="U9566" s="43" t="str">
        <f>HYPERLINK("https://ictv.global/taxonomy/taxondetails?taxnode_id=202209108","ictv.global=202209108")</f>
        <v>ictv.global=202209108</v>
      </c>
    </row>
    <row r="9567" spans="1:21">
      <c r="A9567">
        <v>9566</v>
      </c>
      <c r="B9567" s="29" t="s">
        <v>3223</v>
      </c>
      <c r="C9567" s="29"/>
      <c r="D9567" s="29" t="s">
        <v>4156</v>
      </c>
      <c r="E9567" s="29"/>
      <c r="F9567" s="29" t="s">
        <v>4230</v>
      </c>
      <c r="G9567" s="29"/>
      <c r="H9567" s="29" t="s">
        <v>4233</v>
      </c>
      <c r="I9567" s="29"/>
      <c r="J9567" s="29" t="s">
        <v>806</v>
      </c>
      <c r="K9567" s="29"/>
      <c r="L9567" s="29" t="s">
        <v>841</v>
      </c>
      <c r="M9567" s="29" t="s">
        <v>14150</v>
      </c>
      <c r="N9567" s="29" t="s">
        <v>2708</v>
      </c>
      <c r="O9567" s="29"/>
      <c r="P9567" s="29" t="s">
        <v>2709</v>
      </c>
      <c r="Q9567" t="s">
        <v>2040</v>
      </c>
      <c r="R9567" t="s">
        <v>2634</v>
      </c>
      <c r="S9567">
        <v>37</v>
      </c>
      <c r="T9567" s="43" t="str">
        <f t="shared" si="409"/>
        <v>2021.006S.R.Picornaviridae_5nsfam.zip</v>
      </c>
      <c r="U9567" s="43" t="str">
        <f>HYPERLINK("https://ictv.global/taxonomy/taxondetails?taxnode_id=202205604","ictv.global=202205604")</f>
        <v>ictv.global=202205604</v>
      </c>
    </row>
    <row r="9568" spans="1:21">
      <c r="A9568">
        <v>9567</v>
      </c>
      <c r="B9568" s="29" t="s">
        <v>3223</v>
      </c>
      <c r="C9568" s="29"/>
      <c r="D9568" s="29" t="s">
        <v>4156</v>
      </c>
      <c r="E9568" s="29"/>
      <c r="F9568" s="29" t="s">
        <v>4230</v>
      </c>
      <c r="G9568" s="29"/>
      <c r="H9568" s="29" t="s">
        <v>4233</v>
      </c>
      <c r="I9568" s="29"/>
      <c r="J9568" s="29" t="s">
        <v>806</v>
      </c>
      <c r="K9568" s="29"/>
      <c r="L9568" s="29" t="s">
        <v>841</v>
      </c>
      <c r="M9568" s="29" t="s">
        <v>14150</v>
      </c>
      <c r="N9568" s="29" t="s">
        <v>740</v>
      </c>
      <c r="O9568" s="29"/>
      <c r="P9568" s="29" t="s">
        <v>1977</v>
      </c>
      <c r="Q9568" t="s">
        <v>2040</v>
      </c>
      <c r="R9568" t="s">
        <v>2634</v>
      </c>
      <c r="S9568">
        <v>37</v>
      </c>
      <c r="T9568" s="43" t="str">
        <f t="shared" si="409"/>
        <v>2021.006S.R.Picornaviridae_5nsfam.zip</v>
      </c>
      <c r="U9568" s="43" t="str">
        <f>HYPERLINK("https://ictv.global/taxonomy/taxondetails?taxnode_id=202202038","ictv.global=202202038")</f>
        <v>ictv.global=202202038</v>
      </c>
    </row>
    <row r="9569" spans="1:21">
      <c r="A9569">
        <v>9568</v>
      </c>
      <c r="B9569" s="29" t="s">
        <v>3223</v>
      </c>
      <c r="C9569" s="29"/>
      <c r="D9569" s="29" t="s">
        <v>4156</v>
      </c>
      <c r="E9569" s="29"/>
      <c r="F9569" s="29" t="s">
        <v>4230</v>
      </c>
      <c r="G9569" s="29"/>
      <c r="H9569" s="29" t="s">
        <v>4233</v>
      </c>
      <c r="I9569" s="29"/>
      <c r="J9569" s="29" t="s">
        <v>806</v>
      </c>
      <c r="K9569" s="29"/>
      <c r="L9569" s="29" t="s">
        <v>841</v>
      </c>
      <c r="M9569" s="29" t="s">
        <v>14150</v>
      </c>
      <c r="N9569" s="29" t="s">
        <v>740</v>
      </c>
      <c r="O9569" s="29"/>
      <c r="P9569" s="29" t="s">
        <v>1978</v>
      </c>
      <c r="Q9569" t="s">
        <v>2040</v>
      </c>
      <c r="R9569" t="s">
        <v>2634</v>
      </c>
      <c r="S9569">
        <v>37</v>
      </c>
      <c r="T9569" s="43" t="str">
        <f t="shared" si="409"/>
        <v>2021.006S.R.Picornaviridae_5nsfam.zip</v>
      </c>
      <c r="U9569" s="43" t="str">
        <f>HYPERLINK("https://ictv.global/taxonomy/taxondetails?taxnode_id=202202039","ictv.global=202202039")</f>
        <v>ictv.global=202202039</v>
      </c>
    </row>
    <row r="9570" spans="1:21">
      <c r="A9570">
        <v>9569</v>
      </c>
      <c r="B9570" s="29" t="s">
        <v>3223</v>
      </c>
      <c r="C9570" s="29"/>
      <c r="D9570" s="29" t="s">
        <v>4156</v>
      </c>
      <c r="E9570" s="29"/>
      <c r="F9570" s="29" t="s">
        <v>4230</v>
      </c>
      <c r="G9570" s="29"/>
      <c r="H9570" s="29" t="s">
        <v>4233</v>
      </c>
      <c r="I9570" s="29"/>
      <c r="J9570" s="29" t="s">
        <v>806</v>
      </c>
      <c r="K9570" s="29"/>
      <c r="L9570" s="29" t="s">
        <v>841</v>
      </c>
      <c r="M9570" s="29" t="s">
        <v>14150</v>
      </c>
      <c r="N9570" s="29" t="s">
        <v>740</v>
      </c>
      <c r="O9570" s="29"/>
      <c r="P9570" s="29" t="s">
        <v>2485</v>
      </c>
      <c r="Q9570" t="s">
        <v>2040</v>
      </c>
      <c r="R9570" t="s">
        <v>2634</v>
      </c>
      <c r="S9570">
        <v>37</v>
      </c>
      <c r="T9570" s="43" t="str">
        <f t="shared" si="409"/>
        <v>2021.006S.R.Picornaviridae_5nsfam.zip</v>
      </c>
      <c r="U9570" s="43" t="str">
        <f>HYPERLINK("https://ictv.global/taxonomy/taxondetails?taxnode_id=202202040","ictv.global=202202040")</f>
        <v>ictv.global=202202040</v>
      </c>
    </row>
    <row r="9571" spans="1:21">
      <c r="A9571">
        <v>9570</v>
      </c>
      <c r="B9571" s="29" t="s">
        <v>3223</v>
      </c>
      <c r="C9571" s="29"/>
      <c r="D9571" s="29" t="s">
        <v>4156</v>
      </c>
      <c r="E9571" s="29"/>
      <c r="F9571" s="29" t="s">
        <v>4230</v>
      </c>
      <c r="G9571" s="29"/>
      <c r="H9571" s="29" t="s">
        <v>4233</v>
      </c>
      <c r="I9571" s="29"/>
      <c r="J9571" s="29" t="s">
        <v>806</v>
      </c>
      <c r="K9571" s="29"/>
      <c r="L9571" s="29" t="s">
        <v>841</v>
      </c>
      <c r="M9571" s="29" t="s">
        <v>14150</v>
      </c>
      <c r="N9571" s="29" t="s">
        <v>740</v>
      </c>
      <c r="O9571" s="29"/>
      <c r="P9571" s="29" t="s">
        <v>2486</v>
      </c>
      <c r="Q9571" t="s">
        <v>2040</v>
      </c>
      <c r="R9571" t="s">
        <v>2634</v>
      </c>
      <c r="S9571">
        <v>37</v>
      </c>
      <c r="T9571" s="43" t="str">
        <f t="shared" si="409"/>
        <v>2021.006S.R.Picornaviridae_5nsfam.zip</v>
      </c>
      <c r="U9571" s="43" t="str">
        <f>HYPERLINK("https://ictv.global/taxonomy/taxondetails?taxnode_id=202202041","ictv.global=202202041")</f>
        <v>ictv.global=202202041</v>
      </c>
    </row>
    <row r="9572" spans="1:21">
      <c r="A9572">
        <v>9571</v>
      </c>
      <c r="B9572" s="29" t="s">
        <v>3223</v>
      </c>
      <c r="C9572" s="29"/>
      <c r="D9572" s="29" t="s">
        <v>4156</v>
      </c>
      <c r="E9572" s="29"/>
      <c r="F9572" s="29" t="s">
        <v>4230</v>
      </c>
      <c r="G9572" s="29"/>
      <c r="H9572" s="29" t="s">
        <v>4233</v>
      </c>
      <c r="I9572" s="29"/>
      <c r="J9572" s="29" t="s">
        <v>806</v>
      </c>
      <c r="K9572" s="29"/>
      <c r="L9572" s="29" t="s">
        <v>841</v>
      </c>
      <c r="M9572" s="29" t="s">
        <v>14150</v>
      </c>
      <c r="N9572" s="29" t="s">
        <v>740</v>
      </c>
      <c r="O9572" s="29"/>
      <c r="P9572" s="29" t="s">
        <v>4319</v>
      </c>
      <c r="Q9572" t="s">
        <v>2040</v>
      </c>
      <c r="R9572" t="s">
        <v>2634</v>
      </c>
      <c r="S9572">
        <v>37</v>
      </c>
      <c r="T9572" s="43" t="str">
        <f t="shared" si="409"/>
        <v>2021.006S.R.Picornaviridae_5nsfam.zip</v>
      </c>
      <c r="U9572" s="43" t="str">
        <f>HYPERLINK("https://ictv.global/taxonomy/taxondetails?taxnode_id=202207418","ictv.global=202207418")</f>
        <v>ictv.global=202207418</v>
      </c>
    </row>
    <row r="9573" spans="1:21">
      <c r="A9573">
        <v>9572</v>
      </c>
      <c r="B9573" s="29" t="s">
        <v>3223</v>
      </c>
      <c r="C9573" s="29"/>
      <c r="D9573" s="29" t="s">
        <v>4156</v>
      </c>
      <c r="E9573" s="29"/>
      <c r="F9573" s="29" t="s">
        <v>4230</v>
      </c>
      <c r="G9573" s="29"/>
      <c r="H9573" s="29" t="s">
        <v>4233</v>
      </c>
      <c r="I9573" s="29"/>
      <c r="J9573" s="29" t="s">
        <v>806</v>
      </c>
      <c r="K9573" s="29"/>
      <c r="L9573" s="29" t="s">
        <v>841</v>
      </c>
      <c r="M9573" s="29" t="s">
        <v>14150</v>
      </c>
      <c r="N9573" s="29" t="s">
        <v>740</v>
      </c>
      <c r="O9573" s="29"/>
      <c r="P9573" s="29" t="s">
        <v>4320</v>
      </c>
      <c r="Q9573" t="s">
        <v>2040</v>
      </c>
      <c r="R9573" t="s">
        <v>2634</v>
      </c>
      <c r="S9573">
        <v>37</v>
      </c>
      <c r="T9573" s="43" t="str">
        <f t="shared" si="409"/>
        <v>2021.006S.R.Picornaviridae_5nsfam.zip</v>
      </c>
      <c r="U9573" s="43" t="str">
        <f>HYPERLINK("https://ictv.global/taxonomy/taxondetails?taxnode_id=202207419","ictv.global=202207419")</f>
        <v>ictv.global=202207419</v>
      </c>
    </row>
    <row r="9574" spans="1:21">
      <c r="A9574">
        <v>9573</v>
      </c>
      <c r="B9574" s="29" t="s">
        <v>3223</v>
      </c>
      <c r="C9574" s="29"/>
      <c r="D9574" s="29" t="s">
        <v>4156</v>
      </c>
      <c r="E9574" s="29"/>
      <c r="F9574" s="29" t="s">
        <v>4230</v>
      </c>
      <c r="G9574" s="29"/>
      <c r="H9574" s="29" t="s">
        <v>4233</v>
      </c>
      <c r="I9574" s="29"/>
      <c r="J9574" s="29" t="s">
        <v>806</v>
      </c>
      <c r="K9574" s="29"/>
      <c r="L9574" s="29" t="s">
        <v>841</v>
      </c>
      <c r="M9574" s="29" t="s">
        <v>14150</v>
      </c>
      <c r="N9574" s="29" t="s">
        <v>1727</v>
      </c>
      <c r="O9574" s="29"/>
      <c r="P9574" s="29" t="s">
        <v>1728</v>
      </c>
      <c r="Q9574" t="s">
        <v>2040</v>
      </c>
      <c r="R9574" t="s">
        <v>2634</v>
      </c>
      <c r="S9574">
        <v>37</v>
      </c>
      <c r="T9574" s="43" t="str">
        <f t="shared" si="409"/>
        <v>2021.006S.R.Picornaviridae_5nsfam.zip</v>
      </c>
      <c r="U9574" s="43" t="str">
        <f>HYPERLINK("https://ictv.global/taxonomy/taxondetails?taxnode_id=202202043","ictv.global=202202043")</f>
        <v>ictv.global=202202043</v>
      </c>
    </row>
    <row r="9575" spans="1:21">
      <c r="A9575">
        <v>9574</v>
      </c>
      <c r="B9575" s="29" t="s">
        <v>3223</v>
      </c>
      <c r="C9575" s="29"/>
      <c r="D9575" s="29" t="s">
        <v>4156</v>
      </c>
      <c r="E9575" s="29"/>
      <c r="F9575" s="29" t="s">
        <v>4230</v>
      </c>
      <c r="G9575" s="29"/>
      <c r="H9575" s="29" t="s">
        <v>4233</v>
      </c>
      <c r="I9575" s="29"/>
      <c r="J9575" s="29" t="s">
        <v>806</v>
      </c>
      <c r="K9575" s="29"/>
      <c r="L9575" s="29" t="s">
        <v>841</v>
      </c>
      <c r="M9575" s="29" t="s">
        <v>14150</v>
      </c>
      <c r="N9575" s="29" t="s">
        <v>2163</v>
      </c>
      <c r="O9575" s="29"/>
      <c r="P9575" s="29" t="s">
        <v>2164</v>
      </c>
      <c r="Q9575" t="s">
        <v>2040</v>
      </c>
      <c r="R9575" t="s">
        <v>2634</v>
      </c>
      <c r="S9575">
        <v>37</v>
      </c>
      <c r="T9575" s="43" t="str">
        <f t="shared" si="409"/>
        <v>2021.006S.R.Picornaviridae_5nsfam.zip</v>
      </c>
      <c r="U9575" s="43" t="str">
        <f>HYPERLINK("https://ictv.global/taxonomy/taxondetails?taxnode_id=202202047","ictv.global=202202047")</f>
        <v>ictv.global=202202047</v>
      </c>
    </row>
    <row r="9576" spans="1:21">
      <c r="A9576">
        <v>9575</v>
      </c>
      <c r="B9576" s="29" t="s">
        <v>3223</v>
      </c>
      <c r="C9576" s="29"/>
      <c r="D9576" s="29" t="s">
        <v>4156</v>
      </c>
      <c r="E9576" s="29"/>
      <c r="F9576" s="29" t="s">
        <v>4230</v>
      </c>
      <c r="G9576" s="29"/>
      <c r="H9576" s="29" t="s">
        <v>4233</v>
      </c>
      <c r="I9576" s="29"/>
      <c r="J9576" s="29" t="s">
        <v>806</v>
      </c>
      <c r="K9576" s="29"/>
      <c r="L9576" s="29" t="s">
        <v>841</v>
      </c>
      <c r="M9576" s="29" t="s">
        <v>14150</v>
      </c>
      <c r="N9576" s="29" t="s">
        <v>2163</v>
      </c>
      <c r="O9576" s="29"/>
      <c r="P9576" s="29" t="s">
        <v>4323</v>
      </c>
      <c r="Q9576" t="s">
        <v>2040</v>
      </c>
      <c r="R9576" t="s">
        <v>2634</v>
      </c>
      <c r="S9576">
        <v>37</v>
      </c>
      <c r="T9576" s="43" t="str">
        <f t="shared" si="409"/>
        <v>2021.006S.R.Picornaviridae_5nsfam.zip</v>
      </c>
      <c r="U9576" s="43" t="str">
        <f>HYPERLINK("https://ictv.global/taxonomy/taxondetails?taxnode_id=202207428","ictv.global=202207428")</f>
        <v>ictv.global=202207428</v>
      </c>
    </row>
    <row r="9577" spans="1:21">
      <c r="A9577">
        <v>9576</v>
      </c>
      <c r="B9577" s="29" t="s">
        <v>3223</v>
      </c>
      <c r="C9577" s="29"/>
      <c r="D9577" s="29" t="s">
        <v>4156</v>
      </c>
      <c r="E9577" s="29"/>
      <c r="F9577" s="29" t="s">
        <v>4230</v>
      </c>
      <c r="G9577" s="29"/>
      <c r="H9577" s="29" t="s">
        <v>4233</v>
      </c>
      <c r="I9577" s="29"/>
      <c r="J9577" s="29" t="s">
        <v>806</v>
      </c>
      <c r="K9577" s="29"/>
      <c r="L9577" s="29" t="s">
        <v>841</v>
      </c>
      <c r="M9577" s="29" t="s">
        <v>14150</v>
      </c>
      <c r="N9577" s="29" t="s">
        <v>2710</v>
      </c>
      <c r="O9577" s="29"/>
      <c r="P9577" s="29" t="s">
        <v>2711</v>
      </c>
      <c r="Q9577" t="s">
        <v>2040</v>
      </c>
      <c r="R9577" t="s">
        <v>2634</v>
      </c>
      <c r="S9577">
        <v>37</v>
      </c>
      <c r="T9577" s="43" t="str">
        <f t="shared" si="409"/>
        <v>2021.006S.R.Picornaviridae_5nsfam.zip</v>
      </c>
      <c r="U9577" s="43" t="str">
        <f>HYPERLINK("https://ictv.global/taxonomy/taxondetails?taxnode_id=202205606","ictv.global=202205606")</f>
        <v>ictv.global=202205606</v>
      </c>
    </row>
    <row r="9578" spans="1:21">
      <c r="A9578">
        <v>9577</v>
      </c>
      <c r="B9578" s="29" t="s">
        <v>3223</v>
      </c>
      <c r="C9578" s="29"/>
      <c r="D9578" s="29" t="s">
        <v>4156</v>
      </c>
      <c r="E9578" s="29"/>
      <c r="F9578" s="29" t="s">
        <v>4230</v>
      </c>
      <c r="G9578" s="29"/>
      <c r="H9578" s="29" t="s">
        <v>4233</v>
      </c>
      <c r="I9578" s="29"/>
      <c r="J9578" s="29" t="s">
        <v>806</v>
      </c>
      <c r="K9578" s="29"/>
      <c r="L9578" s="29" t="s">
        <v>841</v>
      </c>
      <c r="M9578" s="29"/>
      <c r="N9578" s="29" t="s">
        <v>2461</v>
      </c>
      <c r="O9578" s="29"/>
      <c r="P9578" s="29" t="s">
        <v>2462</v>
      </c>
      <c r="Q9578" t="s">
        <v>2040</v>
      </c>
      <c r="R9578" t="s">
        <v>6901</v>
      </c>
      <c r="S9578">
        <v>36</v>
      </c>
      <c r="T9578" s="43" t="str">
        <f>HYPERLINK("https://ictv.global/ictv/proposals/2020.001G.R.Abolish_type_species.pdf","2020.001G.R.Abolish_type_species.pdf")</f>
        <v>2020.001G.R.Abolish_type_species.pdf</v>
      </c>
      <c r="U9578" s="43" t="str">
        <f>HYPERLINK("https://ictv.global/taxonomy/taxondetails?taxnode_id=202201956","ictv.global=202201956")</f>
        <v>ictv.global=202201956</v>
      </c>
    </row>
    <row r="9579" spans="1:21">
      <c r="A9579">
        <v>9578</v>
      </c>
      <c r="B9579" s="29" t="s">
        <v>3223</v>
      </c>
      <c r="C9579" s="29"/>
      <c r="D9579" s="29" t="s">
        <v>4156</v>
      </c>
      <c r="E9579" s="29"/>
      <c r="F9579" s="29" t="s">
        <v>4230</v>
      </c>
      <c r="G9579" s="29"/>
      <c r="H9579" s="29" t="s">
        <v>4233</v>
      </c>
      <c r="I9579" s="29"/>
      <c r="J9579" s="29" t="s">
        <v>806</v>
      </c>
      <c r="K9579" s="29"/>
      <c r="L9579" s="29" t="s">
        <v>841</v>
      </c>
      <c r="M9579" s="29"/>
      <c r="N9579" s="29" t="s">
        <v>2470</v>
      </c>
      <c r="O9579" s="29"/>
      <c r="P9579" s="29" t="s">
        <v>2471</v>
      </c>
      <c r="Q9579" t="s">
        <v>2040</v>
      </c>
      <c r="R9579" t="s">
        <v>6901</v>
      </c>
      <c r="S9579">
        <v>36</v>
      </c>
      <c r="T9579" s="43" t="str">
        <f>HYPERLINK("https://ictv.global/ictv/proposals/2020.001G.R.Abolish_type_species.pdf","2020.001G.R.Abolish_type_species.pdf")</f>
        <v>2020.001G.R.Abolish_type_species.pdf</v>
      </c>
      <c r="U9579" s="43" t="str">
        <f>HYPERLINK("https://ictv.global/taxonomy/taxondetails?taxnode_id=202202001","ictv.global=202202001")</f>
        <v>ictv.global=202202001</v>
      </c>
    </row>
    <row r="9580" spans="1:21">
      <c r="A9580">
        <v>9579</v>
      </c>
      <c r="B9580" s="29" t="s">
        <v>3223</v>
      </c>
      <c r="C9580" s="29"/>
      <c r="D9580" s="29" t="s">
        <v>4156</v>
      </c>
      <c r="E9580" s="29"/>
      <c r="F9580" s="29" t="s">
        <v>4230</v>
      </c>
      <c r="G9580" s="29"/>
      <c r="H9580" s="29" t="s">
        <v>4233</v>
      </c>
      <c r="I9580" s="29"/>
      <c r="J9580" s="29" t="s">
        <v>806</v>
      </c>
      <c r="K9580" s="29"/>
      <c r="L9580" s="29" t="s">
        <v>2712</v>
      </c>
      <c r="M9580" s="29"/>
      <c r="N9580" s="29" t="s">
        <v>2713</v>
      </c>
      <c r="O9580" s="29"/>
      <c r="P9580" s="29" t="s">
        <v>2714</v>
      </c>
      <c r="Q9580" t="s">
        <v>2040</v>
      </c>
      <c r="R9580" t="s">
        <v>6901</v>
      </c>
      <c r="S9580">
        <v>36</v>
      </c>
      <c r="T9580" s="43" t="str">
        <f>HYPERLINK("https://ictv.global/ictv/proposals/2020.001G.R.Abolish_type_species.pdf","2020.001G.R.Abolish_type_species.pdf")</f>
        <v>2020.001G.R.Abolish_type_species.pdf</v>
      </c>
      <c r="U9580" s="43" t="str">
        <f>HYPERLINK("https://ictv.global/taxonomy/taxondetails?taxnode_id=202205608","ictv.global=202205608")</f>
        <v>ictv.global=202205608</v>
      </c>
    </row>
    <row r="9581" spans="1:21">
      <c r="A9581">
        <v>9580</v>
      </c>
      <c r="B9581" s="29" t="s">
        <v>3223</v>
      </c>
      <c r="C9581" s="29"/>
      <c r="D9581" s="29" t="s">
        <v>4156</v>
      </c>
      <c r="E9581" s="29"/>
      <c r="F9581" s="29" t="s">
        <v>4230</v>
      </c>
      <c r="G9581" s="29"/>
      <c r="H9581" s="29" t="s">
        <v>4233</v>
      </c>
      <c r="I9581" s="29"/>
      <c r="J9581" s="29" t="s">
        <v>806</v>
      </c>
      <c r="K9581" s="29"/>
      <c r="L9581" s="29" t="s">
        <v>2712</v>
      </c>
      <c r="M9581" s="29"/>
      <c r="N9581" s="29" t="s">
        <v>2713</v>
      </c>
      <c r="O9581" s="29"/>
      <c r="P9581" s="29" t="s">
        <v>2715</v>
      </c>
      <c r="Q9581" t="s">
        <v>2040</v>
      </c>
      <c r="R9581" t="s">
        <v>2634</v>
      </c>
      <c r="S9581">
        <v>35</v>
      </c>
      <c r="T9581" s="43" t="str">
        <f>HYPERLINK("https://ictv.global/ictv/proposals/2019.006G.zip","2019.006G.zip")</f>
        <v>2019.006G.zip</v>
      </c>
      <c r="U9581" s="43" t="str">
        <f>HYPERLINK("https://ictv.global/taxonomy/taxondetails?taxnode_id=202205609","ictv.global=202205609")</f>
        <v>ictv.global=202205609</v>
      </c>
    </row>
    <row r="9582" spans="1:21">
      <c r="A9582">
        <v>9581</v>
      </c>
      <c r="B9582" s="29" t="s">
        <v>3223</v>
      </c>
      <c r="C9582" s="29"/>
      <c r="D9582" s="29" t="s">
        <v>4156</v>
      </c>
      <c r="E9582" s="29"/>
      <c r="F9582" s="29" t="s">
        <v>4230</v>
      </c>
      <c r="G9582" s="29"/>
      <c r="H9582" s="29" t="s">
        <v>4233</v>
      </c>
      <c r="I9582" s="29"/>
      <c r="J9582" s="29" t="s">
        <v>806</v>
      </c>
      <c r="K9582" s="29"/>
      <c r="L9582" s="29" t="s">
        <v>2712</v>
      </c>
      <c r="M9582" s="29"/>
      <c r="N9582" s="29" t="s">
        <v>2716</v>
      </c>
      <c r="O9582" s="29"/>
      <c r="P9582" s="29" t="s">
        <v>2717</v>
      </c>
      <c r="Q9582" t="s">
        <v>2040</v>
      </c>
      <c r="R9582" t="s">
        <v>6901</v>
      </c>
      <c r="S9582">
        <v>36</v>
      </c>
      <c r="T9582" s="43" t="str">
        <f>HYPERLINK("https://ictv.global/ictv/proposals/2020.001G.R.Abolish_type_species.pdf","2020.001G.R.Abolish_type_species.pdf")</f>
        <v>2020.001G.R.Abolish_type_species.pdf</v>
      </c>
      <c r="U9582" s="43" t="str">
        <f>HYPERLINK("https://ictv.global/taxonomy/taxondetails?taxnode_id=202205611","ictv.global=202205611")</f>
        <v>ictv.global=202205611</v>
      </c>
    </row>
    <row r="9583" spans="1:21">
      <c r="A9583">
        <v>9582</v>
      </c>
      <c r="B9583" s="29" t="s">
        <v>3223</v>
      </c>
      <c r="C9583" s="29"/>
      <c r="D9583" s="29" t="s">
        <v>4156</v>
      </c>
      <c r="E9583" s="29"/>
      <c r="F9583" s="29" t="s">
        <v>4230</v>
      </c>
      <c r="G9583" s="29"/>
      <c r="H9583" s="29" t="s">
        <v>4233</v>
      </c>
      <c r="I9583" s="29"/>
      <c r="J9583" s="29" t="s">
        <v>806</v>
      </c>
      <c r="K9583" s="29"/>
      <c r="L9583" s="29" t="s">
        <v>2712</v>
      </c>
      <c r="M9583" s="29"/>
      <c r="N9583" s="29" t="s">
        <v>2718</v>
      </c>
      <c r="O9583" s="29"/>
      <c r="P9583" s="29" t="s">
        <v>2719</v>
      </c>
      <c r="Q9583" t="s">
        <v>2040</v>
      </c>
      <c r="R9583" t="s">
        <v>2634</v>
      </c>
      <c r="S9583">
        <v>35</v>
      </c>
      <c r="T9583" s="43" t="str">
        <f t="shared" ref="T9583:T9591" si="410">HYPERLINK("https://ictv.global/ictv/proposals/2019.006G.zip","2019.006G.zip")</f>
        <v>2019.006G.zip</v>
      </c>
      <c r="U9583" s="43" t="str">
        <f>HYPERLINK("https://ictv.global/taxonomy/taxondetails?taxnode_id=202205613","ictv.global=202205613")</f>
        <v>ictv.global=202205613</v>
      </c>
    </row>
    <row r="9584" spans="1:21">
      <c r="A9584">
        <v>9583</v>
      </c>
      <c r="B9584" s="29" t="s">
        <v>3223</v>
      </c>
      <c r="C9584" s="29"/>
      <c r="D9584" s="29" t="s">
        <v>4156</v>
      </c>
      <c r="E9584" s="29"/>
      <c r="F9584" s="29" t="s">
        <v>4230</v>
      </c>
      <c r="G9584" s="29"/>
      <c r="H9584" s="29" t="s">
        <v>4233</v>
      </c>
      <c r="I9584" s="29"/>
      <c r="J9584" s="29" t="s">
        <v>806</v>
      </c>
      <c r="K9584" s="29"/>
      <c r="L9584" s="29" t="s">
        <v>2712</v>
      </c>
      <c r="M9584" s="29"/>
      <c r="N9584" s="29" t="s">
        <v>2718</v>
      </c>
      <c r="O9584" s="29"/>
      <c r="P9584" s="29" t="s">
        <v>2720</v>
      </c>
      <c r="Q9584" t="s">
        <v>2040</v>
      </c>
      <c r="R9584" t="s">
        <v>2634</v>
      </c>
      <c r="S9584">
        <v>35</v>
      </c>
      <c r="T9584" s="43" t="str">
        <f t="shared" si="410"/>
        <v>2019.006G.zip</v>
      </c>
      <c r="U9584" s="43" t="str">
        <f>HYPERLINK("https://ictv.global/taxonomy/taxondetails?taxnode_id=202205614","ictv.global=202205614")</f>
        <v>ictv.global=202205614</v>
      </c>
    </row>
    <row r="9585" spans="1:21">
      <c r="A9585">
        <v>9584</v>
      </c>
      <c r="B9585" s="29" t="s">
        <v>3223</v>
      </c>
      <c r="C9585" s="29"/>
      <c r="D9585" s="29" t="s">
        <v>4156</v>
      </c>
      <c r="E9585" s="29"/>
      <c r="F9585" s="29" t="s">
        <v>4230</v>
      </c>
      <c r="G9585" s="29"/>
      <c r="H9585" s="29" t="s">
        <v>4233</v>
      </c>
      <c r="I9585" s="29"/>
      <c r="J9585" s="29" t="s">
        <v>806</v>
      </c>
      <c r="K9585" s="29"/>
      <c r="L9585" s="29" t="s">
        <v>2712</v>
      </c>
      <c r="M9585" s="29"/>
      <c r="N9585" s="29" t="s">
        <v>2718</v>
      </c>
      <c r="O9585" s="29"/>
      <c r="P9585" s="29" t="s">
        <v>2721</v>
      </c>
      <c r="Q9585" t="s">
        <v>2040</v>
      </c>
      <c r="R9585" t="s">
        <v>2634</v>
      </c>
      <c r="S9585">
        <v>35</v>
      </c>
      <c r="T9585" s="43" t="str">
        <f t="shared" si="410"/>
        <v>2019.006G.zip</v>
      </c>
      <c r="U9585" s="43" t="str">
        <f>HYPERLINK("https://ictv.global/taxonomy/taxondetails?taxnode_id=202205615","ictv.global=202205615")</f>
        <v>ictv.global=202205615</v>
      </c>
    </row>
    <row r="9586" spans="1:21">
      <c r="A9586">
        <v>9585</v>
      </c>
      <c r="B9586" s="29" t="s">
        <v>3223</v>
      </c>
      <c r="C9586" s="29"/>
      <c r="D9586" s="29" t="s">
        <v>4156</v>
      </c>
      <c r="E9586" s="29"/>
      <c r="F9586" s="29" t="s">
        <v>4230</v>
      </c>
      <c r="G9586" s="29"/>
      <c r="H9586" s="29" t="s">
        <v>4233</v>
      </c>
      <c r="I9586" s="29"/>
      <c r="J9586" s="29" t="s">
        <v>806</v>
      </c>
      <c r="K9586" s="29"/>
      <c r="L9586" s="29" t="s">
        <v>2712</v>
      </c>
      <c r="M9586" s="29"/>
      <c r="N9586" s="29" t="s">
        <v>2718</v>
      </c>
      <c r="O9586" s="29"/>
      <c r="P9586" s="29" t="s">
        <v>2722</v>
      </c>
      <c r="Q9586" t="s">
        <v>2040</v>
      </c>
      <c r="R9586" t="s">
        <v>2634</v>
      </c>
      <c r="S9586">
        <v>35</v>
      </c>
      <c r="T9586" s="43" t="str">
        <f t="shared" si="410"/>
        <v>2019.006G.zip</v>
      </c>
      <c r="U9586" s="43" t="str">
        <f>HYPERLINK("https://ictv.global/taxonomy/taxondetails?taxnode_id=202205616","ictv.global=202205616")</f>
        <v>ictv.global=202205616</v>
      </c>
    </row>
    <row r="9587" spans="1:21">
      <c r="A9587">
        <v>9586</v>
      </c>
      <c r="B9587" s="29" t="s">
        <v>3223</v>
      </c>
      <c r="C9587" s="29"/>
      <c r="D9587" s="29" t="s">
        <v>4156</v>
      </c>
      <c r="E9587" s="29"/>
      <c r="F9587" s="29" t="s">
        <v>4230</v>
      </c>
      <c r="G9587" s="29"/>
      <c r="H9587" s="29" t="s">
        <v>4233</v>
      </c>
      <c r="I9587" s="29"/>
      <c r="J9587" s="29" t="s">
        <v>806</v>
      </c>
      <c r="K9587" s="29"/>
      <c r="L9587" s="29" t="s">
        <v>2712</v>
      </c>
      <c r="M9587" s="29"/>
      <c r="N9587" s="29" t="s">
        <v>2718</v>
      </c>
      <c r="O9587" s="29"/>
      <c r="P9587" s="29" t="s">
        <v>2723</v>
      </c>
      <c r="Q9587" t="s">
        <v>2040</v>
      </c>
      <c r="R9587" t="s">
        <v>2634</v>
      </c>
      <c r="S9587">
        <v>35</v>
      </c>
      <c r="T9587" s="43" t="str">
        <f t="shared" si="410"/>
        <v>2019.006G.zip</v>
      </c>
      <c r="U9587" s="43" t="str">
        <f>HYPERLINK("https://ictv.global/taxonomy/taxondetails?taxnode_id=202205617","ictv.global=202205617")</f>
        <v>ictv.global=202205617</v>
      </c>
    </row>
    <row r="9588" spans="1:21">
      <c r="A9588">
        <v>9587</v>
      </c>
      <c r="B9588" s="29" t="s">
        <v>3223</v>
      </c>
      <c r="C9588" s="29"/>
      <c r="D9588" s="29" t="s">
        <v>4156</v>
      </c>
      <c r="E9588" s="29"/>
      <c r="F9588" s="29" t="s">
        <v>4230</v>
      </c>
      <c r="G9588" s="29"/>
      <c r="H9588" s="29" t="s">
        <v>4233</v>
      </c>
      <c r="I9588" s="29"/>
      <c r="J9588" s="29" t="s">
        <v>806</v>
      </c>
      <c r="K9588" s="29"/>
      <c r="L9588" s="29" t="s">
        <v>2712</v>
      </c>
      <c r="M9588" s="29"/>
      <c r="N9588" s="29" t="s">
        <v>2718</v>
      </c>
      <c r="O9588" s="29"/>
      <c r="P9588" s="29" t="s">
        <v>2724</v>
      </c>
      <c r="Q9588" t="s">
        <v>2040</v>
      </c>
      <c r="R9588" t="s">
        <v>2634</v>
      </c>
      <c r="S9588">
        <v>35</v>
      </c>
      <c r="T9588" s="43" t="str">
        <f t="shared" si="410"/>
        <v>2019.006G.zip</v>
      </c>
      <c r="U9588" s="43" t="str">
        <f>HYPERLINK("https://ictv.global/taxonomy/taxondetails?taxnode_id=202205618","ictv.global=202205618")</f>
        <v>ictv.global=202205618</v>
      </c>
    </row>
    <row r="9589" spans="1:21">
      <c r="A9589">
        <v>9588</v>
      </c>
      <c r="B9589" s="29" t="s">
        <v>3223</v>
      </c>
      <c r="C9589" s="29"/>
      <c r="D9589" s="29" t="s">
        <v>4156</v>
      </c>
      <c r="E9589" s="29"/>
      <c r="F9589" s="29" t="s">
        <v>4230</v>
      </c>
      <c r="G9589" s="29"/>
      <c r="H9589" s="29" t="s">
        <v>4233</v>
      </c>
      <c r="I9589" s="29"/>
      <c r="J9589" s="29" t="s">
        <v>806</v>
      </c>
      <c r="K9589" s="29"/>
      <c r="L9589" s="29" t="s">
        <v>2712</v>
      </c>
      <c r="M9589" s="29"/>
      <c r="N9589" s="29" t="s">
        <v>2718</v>
      </c>
      <c r="O9589" s="29"/>
      <c r="P9589" s="29" t="s">
        <v>2725</v>
      </c>
      <c r="Q9589" t="s">
        <v>2040</v>
      </c>
      <c r="R9589" t="s">
        <v>2634</v>
      </c>
      <c r="S9589">
        <v>35</v>
      </c>
      <c r="T9589" s="43" t="str">
        <f t="shared" si="410"/>
        <v>2019.006G.zip</v>
      </c>
      <c r="U9589" s="43" t="str">
        <f>HYPERLINK("https://ictv.global/taxonomy/taxondetails?taxnode_id=202205619","ictv.global=202205619")</f>
        <v>ictv.global=202205619</v>
      </c>
    </row>
    <row r="9590" spans="1:21">
      <c r="A9590">
        <v>9589</v>
      </c>
      <c r="B9590" s="29" t="s">
        <v>3223</v>
      </c>
      <c r="C9590" s="29"/>
      <c r="D9590" s="29" t="s">
        <v>4156</v>
      </c>
      <c r="E9590" s="29"/>
      <c r="F9590" s="29" t="s">
        <v>4230</v>
      </c>
      <c r="G9590" s="29"/>
      <c r="H9590" s="29" t="s">
        <v>4233</v>
      </c>
      <c r="I9590" s="29"/>
      <c r="J9590" s="29" t="s">
        <v>806</v>
      </c>
      <c r="K9590" s="29"/>
      <c r="L9590" s="29" t="s">
        <v>2712</v>
      </c>
      <c r="M9590" s="29"/>
      <c r="N9590" s="29" t="s">
        <v>2718</v>
      </c>
      <c r="O9590" s="29"/>
      <c r="P9590" s="29" t="s">
        <v>2726</v>
      </c>
      <c r="Q9590" t="s">
        <v>2040</v>
      </c>
      <c r="R9590" t="s">
        <v>2634</v>
      </c>
      <c r="S9590">
        <v>35</v>
      </c>
      <c r="T9590" s="43" t="str">
        <f t="shared" si="410"/>
        <v>2019.006G.zip</v>
      </c>
      <c r="U9590" s="43" t="str">
        <f>HYPERLINK("https://ictv.global/taxonomy/taxondetails?taxnode_id=202205620","ictv.global=202205620")</f>
        <v>ictv.global=202205620</v>
      </c>
    </row>
    <row r="9591" spans="1:21">
      <c r="A9591">
        <v>9590</v>
      </c>
      <c r="B9591" s="29" t="s">
        <v>3223</v>
      </c>
      <c r="C9591" s="29"/>
      <c r="D9591" s="29" t="s">
        <v>4156</v>
      </c>
      <c r="E9591" s="29"/>
      <c r="F9591" s="29" t="s">
        <v>4230</v>
      </c>
      <c r="G9591" s="29"/>
      <c r="H9591" s="29" t="s">
        <v>4233</v>
      </c>
      <c r="I9591" s="29"/>
      <c r="J9591" s="29" t="s">
        <v>806</v>
      </c>
      <c r="K9591" s="29"/>
      <c r="L9591" s="29" t="s">
        <v>2712</v>
      </c>
      <c r="M9591" s="29"/>
      <c r="N9591" s="29" t="s">
        <v>2718</v>
      </c>
      <c r="O9591" s="29"/>
      <c r="P9591" s="29" t="s">
        <v>2727</v>
      </c>
      <c r="Q9591" t="s">
        <v>2040</v>
      </c>
      <c r="R9591" t="s">
        <v>2634</v>
      </c>
      <c r="S9591">
        <v>35</v>
      </c>
      <c r="T9591" s="43" t="str">
        <f t="shared" si="410"/>
        <v>2019.006G.zip</v>
      </c>
      <c r="U9591" s="43" t="str">
        <f>HYPERLINK("https://ictv.global/taxonomy/taxondetails?taxnode_id=202205621","ictv.global=202205621")</f>
        <v>ictv.global=202205621</v>
      </c>
    </row>
    <row r="9592" spans="1:21">
      <c r="A9592">
        <v>9591</v>
      </c>
      <c r="B9592" s="29" t="s">
        <v>3223</v>
      </c>
      <c r="C9592" s="29"/>
      <c r="D9592" s="29" t="s">
        <v>4156</v>
      </c>
      <c r="E9592" s="29"/>
      <c r="F9592" s="29" t="s">
        <v>4230</v>
      </c>
      <c r="G9592" s="29"/>
      <c r="H9592" s="29" t="s">
        <v>4233</v>
      </c>
      <c r="I9592" s="29"/>
      <c r="J9592" s="29" t="s">
        <v>806</v>
      </c>
      <c r="K9592" s="29"/>
      <c r="L9592" s="29" t="s">
        <v>2712</v>
      </c>
      <c r="M9592" s="29"/>
      <c r="N9592" s="29" t="s">
        <v>2718</v>
      </c>
      <c r="O9592" s="29"/>
      <c r="P9592" s="29" t="s">
        <v>2728</v>
      </c>
      <c r="Q9592" t="s">
        <v>2040</v>
      </c>
      <c r="R9592" t="s">
        <v>6901</v>
      </c>
      <c r="S9592">
        <v>36</v>
      </c>
      <c r="T9592" s="43" t="str">
        <f>HYPERLINK("https://ictv.global/ictv/proposals/2020.001G.R.Abolish_type_species.pdf","2020.001G.R.Abolish_type_species.pdf")</f>
        <v>2020.001G.R.Abolish_type_species.pdf</v>
      </c>
      <c r="U9592" s="43" t="str">
        <f>HYPERLINK("https://ictv.global/taxonomy/taxondetails?taxnode_id=202205622","ictv.global=202205622")</f>
        <v>ictv.global=202205622</v>
      </c>
    </row>
    <row r="9593" spans="1:21">
      <c r="A9593">
        <v>9592</v>
      </c>
      <c r="B9593" s="29" t="s">
        <v>3223</v>
      </c>
      <c r="C9593" s="29"/>
      <c r="D9593" s="29" t="s">
        <v>4156</v>
      </c>
      <c r="E9593" s="29"/>
      <c r="F9593" s="29" t="s">
        <v>4230</v>
      </c>
      <c r="G9593" s="29"/>
      <c r="H9593" s="29" t="s">
        <v>4233</v>
      </c>
      <c r="I9593" s="29"/>
      <c r="J9593" s="29" t="s">
        <v>806</v>
      </c>
      <c r="K9593" s="29"/>
      <c r="L9593" s="29" t="s">
        <v>2712</v>
      </c>
      <c r="M9593" s="29"/>
      <c r="N9593" s="29" t="s">
        <v>2718</v>
      </c>
      <c r="O9593" s="29"/>
      <c r="P9593" s="29" t="s">
        <v>2729</v>
      </c>
      <c r="Q9593" t="s">
        <v>2040</v>
      </c>
      <c r="R9593" t="s">
        <v>2634</v>
      </c>
      <c r="S9593">
        <v>35</v>
      </c>
      <c r="T9593" s="43" t="str">
        <f>HYPERLINK("https://ictv.global/ictv/proposals/2019.006G.zip","2019.006G.zip")</f>
        <v>2019.006G.zip</v>
      </c>
      <c r="U9593" s="43" t="str">
        <f>HYPERLINK("https://ictv.global/taxonomy/taxondetails?taxnode_id=202205623","ictv.global=202205623")</f>
        <v>ictv.global=202205623</v>
      </c>
    </row>
    <row r="9594" spans="1:21">
      <c r="A9594">
        <v>9593</v>
      </c>
      <c r="B9594" s="29" t="s">
        <v>3223</v>
      </c>
      <c r="C9594" s="29"/>
      <c r="D9594" s="29" t="s">
        <v>4156</v>
      </c>
      <c r="E9594" s="29"/>
      <c r="F9594" s="29" t="s">
        <v>4230</v>
      </c>
      <c r="G9594" s="29"/>
      <c r="H9594" s="29" t="s">
        <v>4233</v>
      </c>
      <c r="I9594" s="29"/>
      <c r="J9594" s="29" t="s">
        <v>806</v>
      </c>
      <c r="K9594" s="29"/>
      <c r="L9594" s="29" t="s">
        <v>1466</v>
      </c>
      <c r="M9594" s="29" t="s">
        <v>1390</v>
      </c>
      <c r="N9594" s="29" t="s">
        <v>1387</v>
      </c>
      <c r="O9594" s="29"/>
      <c r="P9594" s="29" t="s">
        <v>14151</v>
      </c>
      <c r="Q9594" t="s">
        <v>2040</v>
      </c>
      <c r="R9594" t="s">
        <v>2635</v>
      </c>
      <c r="S9594">
        <v>38</v>
      </c>
      <c r="T9594" s="43" t="str">
        <f t="shared" ref="T9594:T9602" si="411">HYPERLINK("https://ictv.global/ictv/proposals/2022.005P.Secoviridae_rename.zip","2022.005P.Secoviridae_rename.zip")</f>
        <v>2022.005P.Secoviridae_rename.zip</v>
      </c>
      <c r="U9594" s="43" t="str">
        <f>HYPERLINK("https://ictv.global/taxonomy/taxondetails?taxnode_id=202202073","ictv.global=202202073")</f>
        <v>ictv.global=202202073</v>
      </c>
    </row>
    <row r="9595" spans="1:21">
      <c r="A9595">
        <v>9594</v>
      </c>
      <c r="B9595" s="29" t="s">
        <v>3223</v>
      </c>
      <c r="C9595" s="29"/>
      <c r="D9595" s="29" t="s">
        <v>4156</v>
      </c>
      <c r="E9595" s="29"/>
      <c r="F9595" s="29" t="s">
        <v>4230</v>
      </c>
      <c r="G9595" s="29"/>
      <c r="H9595" s="29" t="s">
        <v>4233</v>
      </c>
      <c r="I9595" s="29"/>
      <c r="J9595" s="29" t="s">
        <v>806</v>
      </c>
      <c r="K9595" s="29"/>
      <c r="L9595" s="29" t="s">
        <v>1466</v>
      </c>
      <c r="M9595" s="29" t="s">
        <v>1390</v>
      </c>
      <c r="N9595" s="29" t="s">
        <v>1387</v>
      </c>
      <c r="O9595" s="29"/>
      <c r="P9595" s="29" t="s">
        <v>14152</v>
      </c>
      <c r="Q9595" t="s">
        <v>2040</v>
      </c>
      <c r="R9595" t="s">
        <v>2635</v>
      </c>
      <c r="S9595">
        <v>38</v>
      </c>
      <c r="T9595" s="43" t="str">
        <f t="shared" si="411"/>
        <v>2022.005P.Secoviridae_rename.zip</v>
      </c>
      <c r="U9595" s="43" t="str">
        <f>HYPERLINK("https://ictv.global/taxonomy/taxondetails?taxnode_id=202213819","ictv.global=202213819")</f>
        <v>ictv.global=202213819</v>
      </c>
    </row>
    <row r="9596" spans="1:21">
      <c r="A9596">
        <v>9595</v>
      </c>
      <c r="B9596" s="29" t="s">
        <v>3223</v>
      </c>
      <c r="C9596" s="29"/>
      <c r="D9596" s="29" t="s">
        <v>4156</v>
      </c>
      <c r="E9596" s="29"/>
      <c r="F9596" s="29" t="s">
        <v>4230</v>
      </c>
      <c r="G9596" s="29"/>
      <c r="H9596" s="29" t="s">
        <v>4233</v>
      </c>
      <c r="I9596" s="29"/>
      <c r="J9596" s="29" t="s">
        <v>806</v>
      </c>
      <c r="K9596" s="29"/>
      <c r="L9596" s="29" t="s">
        <v>1466</v>
      </c>
      <c r="M9596" s="29" t="s">
        <v>1390</v>
      </c>
      <c r="N9596" s="29" t="s">
        <v>1387</v>
      </c>
      <c r="O9596" s="29"/>
      <c r="P9596" s="29" t="s">
        <v>14153</v>
      </c>
      <c r="Q9596" t="s">
        <v>2040</v>
      </c>
      <c r="R9596" t="s">
        <v>2635</v>
      </c>
      <c r="S9596">
        <v>38</v>
      </c>
      <c r="T9596" s="43" t="str">
        <f t="shared" si="411"/>
        <v>2022.005P.Secoviridae_rename.zip</v>
      </c>
      <c r="U9596" s="43" t="str">
        <f>HYPERLINK("https://ictv.global/taxonomy/taxondetails?taxnode_id=202213821","ictv.global=202213821")</f>
        <v>ictv.global=202213821</v>
      </c>
    </row>
    <row r="9597" spans="1:21">
      <c r="A9597">
        <v>9596</v>
      </c>
      <c r="B9597" s="29" t="s">
        <v>3223</v>
      </c>
      <c r="C9597" s="29"/>
      <c r="D9597" s="29" t="s">
        <v>4156</v>
      </c>
      <c r="E9597" s="29"/>
      <c r="F9597" s="29" t="s">
        <v>4230</v>
      </c>
      <c r="G9597" s="29"/>
      <c r="H9597" s="29" t="s">
        <v>4233</v>
      </c>
      <c r="I9597" s="29"/>
      <c r="J9597" s="29" t="s">
        <v>806</v>
      </c>
      <c r="K9597" s="29"/>
      <c r="L9597" s="29" t="s">
        <v>1466</v>
      </c>
      <c r="M9597" s="29" t="s">
        <v>1390</v>
      </c>
      <c r="N9597" s="29" t="s">
        <v>1387</v>
      </c>
      <c r="O9597" s="29"/>
      <c r="P9597" s="29" t="s">
        <v>14154</v>
      </c>
      <c r="Q9597" t="s">
        <v>2040</v>
      </c>
      <c r="R9597" t="s">
        <v>2635</v>
      </c>
      <c r="S9597">
        <v>38</v>
      </c>
      <c r="T9597" s="43" t="str">
        <f t="shared" si="411"/>
        <v>2022.005P.Secoviridae_rename.zip</v>
      </c>
      <c r="U9597" s="43" t="str">
        <f>HYPERLINK("https://ictv.global/taxonomy/taxondetails?taxnode_id=202202086","ictv.global=202202086")</f>
        <v>ictv.global=202202086</v>
      </c>
    </row>
    <row r="9598" spans="1:21">
      <c r="A9598">
        <v>9597</v>
      </c>
      <c r="B9598" s="29" t="s">
        <v>3223</v>
      </c>
      <c r="C9598" s="29"/>
      <c r="D9598" s="29" t="s">
        <v>4156</v>
      </c>
      <c r="E9598" s="29"/>
      <c r="F9598" s="29" t="s">
        <v>4230</v>
      </c>
      <c r="G9598" s="29"/>
      <c r="H9598" s="29" t="s">
        <v>4233</v>
      </c>
      <c r="I9598" s="29"/>
      <c r="J9598" s="29" t="s">
        <v>806</v>
      </c>
      <c r="K9598" s="29"/>
      <c r="L9598" s="29" t="s">
        <v>1466</v>
      </c>
      <c r="M9598" s="29" t="s">
        <v>1390</v>
      </c>
      <c r="N9598" s="29" t="s">
        <v>1387</v>
      </c>
      <c r="O9598" s="29"/>
      <c r="P9598" s="29" t="s">
        <v>14155</v>
      </c>
      <c r="Q9598" t="s">
        <v>2040</v>
      </c>
      <c r="R9598" t="s">
        <v>2635</v>
      </c>
      <c r="S9598">
        <v>38</v>
      </c>
      <c r="T9598" s="43" t="str">
        <f t="shared" si="411"/>
        <v>2022.005P.Secoviridae_rename.zip</v>
      </c>
      <c r="U9598" s="43" t="str">
        <f>HYPERLINK("https://ictv.global/taxonomy/taxondetails?taxnode_id=202202077","ictv.global=202202077")</f>
        <v>ictv.global=202202077</v>
      </c>
    </row>
    <row r="9599" spans="1:21">
      <c r="A9599">
        <v>9598</v>
      </c>
      <c r="B9599" s="29" t="s">
        <v>3223</v>
      </c>
      <c r="C9599" s="29"/>
      <c r="D9599" s="29" t="s">
        <v>4156</v>
      </c>
      <c r="E9599" s="29"/>
      <c r="F9599" s="29" t="s">
        <v>4230</v>
      </c>
      <c r="G9599" s="29"/>
      <c r="H9599" s="29" t="s">
        <v>4233</v>
      </c>
      <c r="I9599" s="29"/>
      <c r="J9599" s="29" t="s">
        <v>806</v>
      </c>
      <c r="K9599" s="29"/>
      <c r="L9599" s="29" t="s">
        <v>1466</v>
      </c>
      <c r="M9599" s="29" t="s">
        <v>1390</v>
      </c>
      <c r="N9599" s="29" t="s">
        <v>1387</v>
      </c>
      <c r="O9599" s="29"/>
      <c r="P9599" s="29" t="s">
        <v>14156</v>
      </c>
      <c r="Q9599" t="s">
        <v>2040</v>
      </c>
      <c r="R9599" t="s">
        <v>2635</v>
      </c>
      <c r="S9599">
        <v>38</v>
      </c>
      <c r="T9599" s="43" t="str">
        <f t="shared" si="411"/>
        <v>2022.005P.Secoviridae_rename.zip</v>
      </c>
      <c r="U9599" s="43" t="str">
        <f>HYPERLINK("https://ictv.global/taxonomy/taxondetails?taxnode_id=202202080","ictv.global=202202080")</f>
        <v>ictv.global=202202080</v>
      </c>
    </row>
    <row r="9600" spans="1:21">
      <c r="A9600">
        <v>9599</v>
      </c>
      <c r="B9600" s="29" t="s">
        <v>3223</v>
      </c>
      <c r="C9600" s="29"/>
      <c r="D9600" s="29" t="s">
        <v>4156</v>
      </c>
      <c r="E9600" s="29"/>
      <c r="F9600" s="29" t="s">
        <v>4230</v>
      </c>
      <c r="G9600" s="29"/>
      <c r="H9600" s="29" t="s">
        <v>4233</v>
      </c>
      <c r="I9600" s="29"/>
      <c r="J9600" s="29" t="s">
        <v>806</v>
      </c>
      <c r="K9600" s="29"/>
      <c r="L9600" s="29" t="s">
        <v>1466</v>
      </c>
      <c r="M9600" s="29" t="s">
        <v>1390</v>
      </c>
      <c r="N9600" s="29" t="s">
        <v>1387</v>
      </c>
      <c r="O9600" s="29"/>
      <c r="P9600" s="29" t="s">
        <v>14157</v>
      </c>
      <c r="Q9600" t="s">
        <v>2040</v>
      </c>
      <c r="R9600" t="s">
        <v>2635</v>
      </c>
      <c r="S9600">
        <v>38</v>
      </c>
      <c r="T9600" s="43" t="str">
        <f t="shared" si="411"/>
        <v>2022.005P.Secoviridae_rename.zip</v>
      </c>
      <c r="U9600" s="43" t="str">
        <f>HYPERLINK("https://ictv.global/taxonomy/taxondetails?taxnode_id=202202082","ictv.global=202202082")</f>
        <v>ictv.global=202202082</v>
      </c>
    </row>
    <row r="9601" spans="1:21">
      <c r="A9601">
        <v>9600</v>
      </c>
      <c r="B9601" s="29" t="s">
        <v>3223</v>
      </c>
      <c r="C9601" s="29"/>
      <c r="D9601" s="29" t="s">
        <v>4156</v>
      </c>
      <c r="E9601" s="29"/>
      <c r="F9601" s="29" t="s">
        <v>4230</v>
      </c>
      <c r="G9601" s="29"/>
      <c r="H9601" s="29" t="s">
        <v>4233</v>
      </c>
      <c r="I9601" s="29"/>
      <c r="J9601" s="29" t="s">
        <v>806</v>
      </c>
      <c r="K9601" s="29"/>
      <c r="L9601" s="29" t="s">
        <v>1466</v>
      </c>
      <c r="M9601" s="29" t="s">
        <v>1390</v>
      </c>
      <c r="N9601" s="29" t="s">
        <v>1387</v>
      </c>
      <c r="O9601" s="29"/>
      <c r="P9601" s="29" t="s">
        <v>14158</v>
      </c>
      <c r="Q9601" t="s">
        <v>2040</v>
      </c>
      <c r="R9601" t="s">
        <v>2635</v>
      </c>
      <c r="S9601">
        <v>38</v>
      </c>
      <c r="T9601" s="43" t="str">
        <f t="shared" si="411"/>
        <v>2022.005P.Secoviridae_rename.zip</v>
      </c>
      <c r="U9601" s="43" t="str">
        <f>HYPERLINK("https://ictv.global/taxonomy/taxondetails?taxnode_id=202213820","ictv.global=202213820")</f>
        <v>ictv.global=202213820</v>
      </c>
    </row>
    <row r="9602" spans="1:21">
      <c r="A9602">
        <v>9601</v>
      </c>
      <c r="B9602" s="29" t="s">
        <v>3223</v>
      </c>
      <c r="C9602" s="29"/>
      <c r="D9602" s="29" t="s">
        <v>4156</v>
      </c>
      <c r="E9602" s="29"/>
      <c r="F9602" s="29" t="s">
        <v>4230</v>
      </c>
      <c r="G9602" s="29"/>
      <c r="H9602" s="29" t="s">
        <v>4233</v>
      </c>
      <c r="I9602" s="29"/>
      <c r="J9602" s="29" t="s">
        <v>806</v>
      </c>
      <c r="K9602" s="29"/>
      <c r="L9602" s="29" t="s">
        <v>1466</v>
      </c>
      <c r="M9602" s="29" t="s">
        <v>1390</v>
      </c>
      <c r="N9602" s="29" t="s">
        <v>1387</v>
      </c>
      <c r="O9602" s="29"/>
      <c r="P9602" s="29" t="s">
        <v>14159</v>
      </c>
      <c r="Q9602" t="s">
        <v>2040</v>
      </c>
      <c r="R9602" t="s">
        <v>2635</v>
      </c>
      <c r="S9602">
        <v>38</v>
      </c>
      <c r="T9602" s="43" t="str">
        <f t="shared" si="411"/>
        <v>2022.005P.Secoviridae_rename.zip</v>
      </c>
      <c r="U9602" s="43" t="str">
        <f>HYPERLINK("https://ictv.global/taxonomy/taxondetails?taxnode_id=202202081","ictv.global=202202081")</f>
        <v>ictv.global=202202081</v>
      </c>
    </row>
    <row r="9603" spans="1:21">
      <c r="A9603">
        <v>9602</v>
      </c>
      <c r="B9603" s="29" t="s">
        <v>3223</v>
      </c>
      <c r="C9603" s="29"/>
      <c r="D9603" s="29" t="s">
        <v>4156</v>
      </c>
      <c r="E9603" s="29"/>
      <c r="F9603" s="29" t="s">
        <v>4230</v>
      </c>
      <c r="G9603" s="29"/>
      <c r="H9603" s="29" t="s">
        <v>4233</v>
      </c>
      <c r="I9603" s="29"/>
      <c r="J9603" s="29" t="s">
        <v>806</v>
      </c>
      <c r="K9603" s="29"/>
      <c r="L9603" s="29" t="s">
        <v>1466</v>
      </c>
      <c r="M9603" s="29" t="s">
        <v>1390</v>
      </c>
      <c r="N9603" s="29" t="s">
        <v>1387</v>
      </c>
      <c r="O9603" s="29"/>
      <c r="P9603" s="29" t="s">
        <v>14160</v>
      </c>
      <c r="Q9603" t="s">
        <v>2040</v>
      </c>
      <c r="R9603" t="s">
        <v>2632</v>
      </c>
      <c r="S9603">
        <v>38</v>
      </c>
      <c r="T9603" s="43" t="str">
        <f>HYPERLINK("https://ictv.global/ictv/proposals/2022.004P.Secoviridae_8ns.zip","2022.004P.Secoviridae_8ns.zip")</f>
        <v>2022.004P.Secoviridae_8ns.zip</v>
      </c>
      <c r="U9603" s="43" t="str">
        <f>HYPERLINK("https://ictv.global/taxonomy/taxondetails?taxnode_id=202215091","ictv.global=202215091")</f>
        <v>ictv.global=202215091</v>
      </c>
    </row>
    <row r="9604" spans="1:21">
      <c r="A9604">
        <v>9603</v>
      </c>
      <c r="B9604" s="29" t="s">
        <v>3223</v>
      </c>
      <c r="C9604" s="29"/>
      <c r="D9604" s="29" t="s">
        <v>4156</v>
      </c>
      <c r="E9604" s="29"/>
      <c r="F9604" s="29" t="s">
        <v>4230</v>
      </c>
      <c r="G9604" s="29"/>
      <c r="H9604" s="29" t="s">
        <v>4233</v>
      </c>
      <c r="I9604" s="29"/>
      <c r="J9604" s="29" t="s">
        <v>806</v>
      </c>
      <c r="K9604" s="29"/>
      <c r="L9604" s="29" t="s">
        <v>1466</v>
      </c>
      <c r="M9604" s="29" t="s">
        <v>1390</v>
      </c>
      <c r="N9604" s="29" t="s">
        <v>1387</v>
      </c>
      <c r="O9604" s="29"/>
      <c r="P9604" s="29" t="s">
        <v>14161</v>
      </c>
      <c r="Q9604" t="s">
        <v>2040</v>
      </c>
      <c r="R9604" t="s">
        <v>2635</v>
      </c>
      <c r="S9604">
        <v>38</v>
      </c>
      <c r="T9604" s="43" t="str">
        <f t="shared" ref="T9604:T9625" si="412">HYPERLINK("https://ictv.global/ictv/proposals/2022.005P.Secoviridae_rename.zip","2022.005P.Secoviridae_rename.zip")</f>
        <v>2022.005P.Secoviridae_rename.zip</v>
      </c>
      <c r="U9604" s="43" t="str">
        <f>HYPERLINK("https://ictv.global/taxonomy/taxondetails?taxnode_id=202202084","ictv.global=202202084")</f>
        <v>ictv.global=202202084</v>
      </c>
    </row>
    <row r="9605" spans="1:21">
      <c r="A9605">
        <v>9604</v>
      </c>
      <c r="B9605" s="29" t="s">
        <v>3223</v>
      </c>
      <c r="C9605" s="29"/>
      <c r="D9605" s="29" t="s">
        <v>4156</v>
      </c>
      <c r="E9605" s="29"/>
      <c r="F9605" s="29" t="s">
        <v>4230</v>
      </c>
      <c r="G9605" s="29"/>
      <c r="H9605" s="29" t="s">
        <v>4233</v>
      </c>
      <c r="I9605" s="29"/>
      <c r="J9605" s="29" t="s">
        <v>806</v>
      </c>
      <c r="K9605" s="29"/>
      <c r="L9605" s="29" t="s">
        <v>1466</v>
      </c>
      <c r="M9605" s="29" t="s">
        <v>1390</v>
      </c>
      <c r="N9605" s="29" t="s">
        <v>1387</v>
      </c>
      <c r="O9605" s="29"/>
      <c r="P9605" s="29" t="s">
        <v>14162</v>
      </c>
      <c r="Q9605" t="s">
        <v>2040</v>
      </c>
      <c r="R9605" t="s">
        <v>2635</v>
      </c>
      <c r="S9605">
        <v>38</v>
      </c>
      <c r="T9605" s="43" t="str">
        <f t="shared" si="412"/>
        <v>2022.005P.Secoviridae_rename.zip</v>
      </c>
      <c r="U9605" s="43" t="str">
        <f>HYPERLINK("https://ictv.global/taxonomy/taxondetails?taxnode_id=202202075","ictv.global=202202075")</f>
        <v>ictv.global=202202075</v>
      </c>
    </row>
    <row r="9606" spans="1:21">
      <c r="A9606">
        <v>9605</v>
      </c>
      <c r="B9606" s="29" t="s">
        <v>3223</v>
      </c>
      <c r="C9606" s="29"/>
      <c r="D9606" s="29" t="s">
        <v>4156</v>
      </c>
      <c r="E9606" s="29"/>
      <c r="F9606" s="29" t="s">
        <v>4230</v>
      </c>
      <c r="G9606" s="29"/>
      <c r="H9606" s="29" t="s">
        <v>4233</v>
      </c>
      <c r="I9606" s="29"/>
      <c r="J9606" s="29" t="s">
        <v>806</v>
      </c>
      <c r="K9606" s="29"/>
      <c r="L9606" s="29" t="s">
        <v>1466</v>
      </c>
      <c r="M9606" s="29" t="s">
        <v>1390</v>
      </c>
      <c r="N9606" s="29" t="s">
        <v>1387</v>
      </c>
      <c r="O9606" s="29"/>
      <c r="P9606" s="29" t="s">
        <v>14163</v>
      </c>
      <c r="Q9606" t="s">
        <v>2040</v>
      </c>
      <c r="R9606" t="s">
        <v>2635</v>
      </c>
      <c r="S9606">
        <v>38</v>
      </c>
      <c r="T9606" s="43" t="str">
        <f t="shared" si="412"/>
        <v>2022.005P.Secoviridae_rename.zip</v>
      </c>
      <c r="U9606" s="43" t="str">
        <f>HYPERLINK("https://ictv.global/taxonomy/taxondetails?taxnode_id=202202079","ictv.global=202202079")</f>
        <v>ictv.global=202202079</v>
      </c>
    </row>
    <row r="9607" spans="1:21">
      <c r="A9607">
        <v>9606</v>
      </c>
      <c r="B9607" s="29" t="s">
        <v>3223</v>
      </c>
      <c r="C9607" s="29"/>
      <c r="D9607" s="29" t="s">
        <v>4156</v>
      </c>
      <c r="E9607" s="29"/>
      <c r="F9607" s="29" t="s">
        <v>4230</v>
      </c>
      <c r="G9607" s="29"/>
      <c r="H9607" s="29" t="s">
        <v>4233</v>
      </c>
      <c r="I9607" s="29"/>
      <c r="J9607" s="29" t="s">
        <v>806</v>
      </c>
      <c r="K9607" s="29"/>
      <c r="L9607" s="29" t="s">
        <v>1466</v>
      </c>
      <c r="M9607" s="29" t="s">
        <v>1390</v>
      </c>
      <c r="N9607" s="29" t="s">
        <v>1387</v>
      </c>
      <c r="O9607" s="29"/>
      <c r="P9607" s="29" t="s">
        <v>14164</v>
      </c>
      <c r="Q9607" t="s">
        <v>2040</v>
      </c>
      <c r="R9607" t="s">
        <v>2635</v>
      </c>
      <c r="S9607">
        <v>38</v>
      </c>
      <c r="T9607" s="43" t="str">
        <f t="shared" si="412"/>
        <v>2022.005P.Secoviridae_rename.zip</v>
      </c>
      <c r="U9607" s="43" t="str">
        <f>HYPERLINK("https://ictv.global/taxonomy/taxondetails?taxnode_id=202202074","ictv.global=202202074")</f>
        <v>ictv.global=202202074</v>
      </c>
    </row>
    <row r="9608" spans="1:21">
      <c r="A9608">
        <v>9607</v>
      </c>
      <c r="B9608" s="29" t="s">
        <v>3223</v>
      </c>
      <c r="C9608" s="29"/>
      <c r="D9608" s="29" t="s">
        <v>4156</v>
      </c>
      <c r="E9608" s="29"/>
      <c r="F9608" s="29" t="s">
        <v>4230</v>
      </c>
      <c r="G9608" s="29"/>
      <c r="H9608" s="29" t="s">
        <v>4233</v>
      </c>
      <c r="I9608" s="29"/>
      <c r="J9608" s="29" t="s">
        <v>806</v>
      </c>
      <c r="K9608" s="29"/>
      <c r="L9608" s="29" t="s">
        <v>1466</v>
      </c>
      <c r="M9608" s="29" t="s">
        <v>1390</v>
      </c>
      <c r="N9608" s="29" t="s">
        <v>1387</v>
      </c>
      <c r="O9608" s="29"/>
      <c r="P9608" s="29" t="s">
        <v>14165</v>
      </c>
      <c r="Q9608" t="s">
        <v>2040</v>
      </c>
      <c r="R9608" t="s">
        <v>2635</v>
      </c>
      <c r="S9608">
        <v>38</v>
      </c>
      <c r="T9608" s="43" t="str">
        <f t="shared" si="412"/>
        <v>2022.005P.Secoviridae_rename.zip</v>
      </c>
      <c r="U9608" s="43" t="str">
        <f>HYPERLINK("https://ictv.global/taxonomy/taxondetails?taxnode_id=202202083","ictv.global=202202083")</f>
        <v>ictv.global=202202083</v>
      </c>
    </row>
    <row r="9609" spans="1:21">
      <c r="A9609">
        <v>9608</v>
      </c>
      <c r="B9609" s="29" t="s">
        <v>3223</v>
      </c>
      <c r="C9609" s="29"/>
      <c r="D9609" s="29" t="s">
        <v>4156</v>
      </c>
      <c r="E9609" s="29"/>
      <c r="F9609" s="29" t="s">
        <v>4230</v>
      </c>
      <c r="G9609" s="29"/>
      <c r="H9609" s="29" t="s">
        <v>4233</v>
      </c>
      <c r="I9609" s="29"/>
      <c r="J9609" s="29" t="s">
        <v>806</v>
      </c>
      <c r="K9609" s="29"/>
      <c r="L9609" s="29" t="s">
        <v>1466</v>
      </c>
      <c r="M9609" s="29" t="s">
        <v>1390</v>
      </c>
      <c r="N9609" s="29" t="s">
        <v>1387</v>
      </c>
      <c r="O9609" s="29"/>
      <c r="P9609" s="29" t="s">
        <v>14166</v>
      </c>
      <c r="Q9609" t="s">
        <v>2040</v>
      </c>
      <c r="R9609" t="s">
        <v>2635</v>
      </c>
      <c r="S9609">
        <v>38</v>
      </c>
      <c r="T9609" s="43" t="str">
        <f t="shared" si="412"/>
        <v>2022.005P.Secoviridae_rename.zip</v>
      </c>
      <c r="U9609" s="43" t="str">
        <f>HYPERLINK("https://ictv.global/taxonomy/taxondetails?taxnode_id=202202085","ictv.global=202202085")</f>
        <v>ictv.global=202202085</v>
      </c>
    </row>
    <row r="9610" spans="1:21">
      <c r="A9610">
        <v>9609</v>
      </c>
      <c r="B9610" s="29" t="s">
        <v>3223</v>
      </c>
      <c r="C9610" s="29"/>
      <c r="D9610" s="29" t="s">
        <v>4156</v>
      </c>
      <c r="E9610" s="29"/>
      <c r="F9610" s="29" t="s">
        <v>4230</v>
      </c>
      <c r="G9610" s="29"/>
      <c r="H9610" s="29" t="s">
        <v>4233</v>
      </c>
      <c r="I9610" s="29"/>
      <c r="J9610" s="29" t="s">
        <v>806</v>
      </c>
      <c r="K9610" s="29"/>
      <c r="L9610" s="29" t="s">
        <v>1466</v>
      </c>
      <c r="M9610" s="29" t="s">
        <v>1390</v>
      </c>
      <c r="N9610" s="29" t="s">
        <v>1387</v>
      </c>
      <c r="O9610" s="29"/>
      <c r="P9610" s="29" t="s">
        <v>14167</v>
      </c>
      <c r="Q9610" t="s">
        <v>2040</v>
      </c>
      <c r="R9610" t="s">
        <v>2635</v>
      </c>
      <c r="S9610">
        <v>38</v>
      </c>
      <c r="T9610" s="43" t="str">
        <f t="shared" si="412"/>
        <v>2022.005P.Secoviridae_rename.zip</v>
      </c>
      <c r="U9610" s="43" t="str">
        <f>HYPERLINK("https://ictv.global/taxonomy/taxondetails?taxnode_id=202202087","ictv.global=202202087")</f>
        <v>ictv.global=202202087</v>
      </c>
    </row>
    <row r="9611" spans="1:21">
      <c r="A9611">
        <v>9610</v>
      </c>
      <c r="B9611" s="29" t="s">
        <v>3223</v>
      </c>
      <c r="C9611" s="29"/>
      <c r="D9611" s="29" t="s">
        <v>4156</v>
      </c>
      <c r="E9611" s="29"/>
      <c r="F9611" s="29" t="s">
        <v>4230</v>
      </c>
      <c r="G9611" s="29"/>
      <c r="H9611" s="29" t="s">
        <v>4233</v>
      </c>
      <c r="I9611" s="29"/>
      <c r="J9611" s="29" t="s">
        <v>806</v>
      </c>
      <c r="K9611" s="29"/>
      <c r="L9611" s="29" t="s">
        <v>1466</v>
      </c>
      <c r="M9611" s="29" t="s">
        <v>1390</v>
      </c>
      <c r="N9611" s="29" t="s">
        <v>1387</v>
      </c>
      <c r="O9611" s="29"/>
      <c r="P9611" s="29" t="s">
        <v>14168</v>
      </c>
      <c r="Q9611" t="s">
        <v>2040</v>
      </c>
      <c r="R9611" t="s">
        <v>2635</v>
      </c>
      <c r="S9611">
        <v>38</v>
      </c>
      <c r="T9611" s="43" t="str">
        <f t="shared" si="412"/>
        <v>2022.005P.Secoviridae_rename.zip</v>
      </c>
      <c r="U9611" s="43" t="str">
        <f>HYPERLINK("https://ictv.global/taxonomy/taxondetails?taxnode_id=202202076","ictv.global=202202076")</f>
        <v>ictv.global=202202076</v>
      </c>
    </row>
    <row r="9612" spans="1:21">
      <c r="A9612">
        <v>9611</v>
      </c>
      <c r="B9612" s="29" t="s">
        <v>3223</v>
      </c>
      <c r="C9612" s="29"/>
      <c r="D9612" s="29" t="s">
        <v>4156</v>
      </c>
      <c r="E9612" s="29"/>
      <c r="F9612" s="29" t="s">
        <v>4230</v>
      </c>
      <c r="G9612" s="29"/>
      <c r="H9612" s="29" t="s">
        <v>4233</v>
      </c>
      <c r="I9612" s="29"/>
      <c r="J9612" s="29" t="s">
        <v>806</v>
      </c>
      <c r="K9612" s="29"/>
      <c r="L9612" s="29" t="s">
        <v>1466</v>
      </c>
      <c r="M9612" s="29" t="s">
        <v>1390</v>
      </c>
      <c r="N9612" s="29" t="s">
        <v>1387</v>
      </c>
      <c r="O9612" s="29"/>
      <c r="P9612" s="29" t="s">
        <v>14169</v>
      </c>
      <c r="Q9612" t="s">
        <v>2040</v>
      </c>
      <c r="R9612" t="s">
        <v>2635</v>
      </c>
      <c r="S9612">
        <v>38</v>
      </c>
      <c r="T9612" s="43" t="str">
        <f t="shared" si="412"/>
        <v>2022.005P.Secoviridae_rename.zip</v>
      </c>
      <c r="U9612" s="43" t="str">
        <f>HYPERLINK("https://ictv.global/taxonomy/taxondetails?taxnode_id=202202078","ictv.global=202202078")</f>
        <v>ictv.global=202202078</v>
      </c>
    </row>
    <row r="9613" spans="1:21">
      <c r="A9613">
        <v>9612</v>
      </c>
      <c r="B9613" s="29" t="s">
        <v>3223</v>
      </c>
      <c r="C9613" s="29"/>
      <c r="D9613" s="29" t="s">
        <v>4156</v>
      </c>
      <c r="E9613" s="29"/>
      <c r="F9613" s="29" t="s">
        <v>4230</v>
      </c>
      <c r="G9613" s="29"/>
      <c r="H9613" s="29" t="s">
        <v>4233</v>
      </c>
      <c r="I9613" s="29"/>
      <c r="J9613" s="29" t="s">
        <v>806</v>
      </c>
      <c r="K9613" s="29"/>
      <c r="L9613" s="29" t="s">
        <v>1466</v>
      </c>
      <c r="M9613" s="29" t="s">
        <v>1390</v>
      </c>
      <c r="N9613" s="29" t="s">
        <v>1388</v>
      </c>
      <c r="O9613" s="29"/>
      <c r="P9613" s="29" t="s">
        <v>14170</v>
      </c>
      <c r="Q9613" t="s">
        <v>2040</v>
      </c>
      <c r="R9613" t="s">
        <v>2635</v>
      </c>
      <c r="S9613">
        <v>38</v>
      </c>
      <c r="T9613" s="43" t="str">
        <f t="shared" si="412"/>
        <v>2022.005P.Secoviridae_rename.zip</v>
      </c>
      <c r="U9613" s="43" t="str">
        <f>HYPERLINK("https://ictv.global/taxonomy/taxondetails?taxnode_id=202202089","ictv.global=202202089")</f>
        <v>ictv.global=202202089</v>
      </c>
    </row>
    <row r="9614" spans="1:21">
      <c r="A9614">
        <v>9613</v>
      </c>
      <c r="B9614" s="29" t="s">
        <v>3223</v>
      </c>
      <c r="C9614" s="29"/>
      <c r="D9614" s="29" t="s">
        <v>4156</v>
      </c>
      <c r="E9614" s="29"/>
      <c r="F9614" s="29" t="s">
        <v>4230</v>
      </c>
      <c r="G9614" s="29"/>
      <c r="H9614" s="29" t="s">
        <v>4233</v>
      </c>
      <c r="I9614" s="29"/>
      <c r="J9614" s="29" t="s">
        <v>806</v>
      </c>
      <c r="K9614" s="29"/>
      <c r="L9614" s="29" t="s">
        <v>1466</v>
      </c>
      <c r="M9614" s="29" t="s">
        <v>1390</v>
      </c>
      <c r="N9614" s="29" t="s">
        <v>1388</v>
      </c>
      <c r="O9614" s="29"/>
      <c r="P9614" s="29" t="s">
        <v>14171</v>
      </c>
      <c r="Q9614" t="s">
        <v>2040</v>
      </c>
      <c r="R9614" t="s">
        <v>2635</v>
      </c>
      <c r="S9614">
        <v>38</v>
      </c>
      <c r="T9614" s="43" t="str">
        <f t="shared" si="412"/>
        <v>2022.005P.Secoviridae_rename.zip</v>
      </c>
      <c r="U9614" s="43" t="str">
        <f>HYPERLINK("https://ictv.global/taxonomy/taxondetails?taxnode_id=202202090","ictv.global=202202090")</f>
        <v>ictv.global=202202090</v>
      </c>
    </row>
    <row r="9615" spans="1:21">
      <c r="A9615">
        <v>9614</v>
      </c>
      <c r="B9615" s="29" t="s">
        <v>3223</v>
      </c>
      <c r="C9615" s="29"/>
      <c r="D9615" s="29" t="s">
        <v>4156</v>
      </c>
      <c r="E9615" s="29"/>
      <c r="F9615" s="29" t="s">
        <v>4230</v>
      </c>
      <c r="G9615" s="29"/>
      <c r="H9615" s="29" t="s">
        <v>4233</v>
      </c>
      <c r="I9615" s="29"/>
      <c r="J9615" s="29" t="s">
        <v>806</v>
      </c>
      <c r="K9615" s="29"/>
      <c r="L9615" s="29" t="s">
        <v>1466</v>
      </c>
      <c r="M9615" s="29" t="s">
        <v>1390</v>
      </c>
      <c r="N9615" s="29" t="s">
        <v>1388</v>
      </c>
      <c r="O9615" s="29"/>
      <c r="P9615" s="29" t="s">
        <v>14172</v>
      </c>
      <c r="Q9615" t="s">
        <v>2040</v>
      </c>
      <c r="R9615" t="s">
        <v>2635</v>
      </c>
      <c r="S9615">
        <v>38</v>
      </c>
      <c r="T9615" s="43" t="str">
        <f t="shared" si="412"/>
        <v>2022.005P.Secoviridae_rename.zip</v>
      </c>
      <c r="U9615" s="43" t="str">
        <f>HYPERLINK("https://ictv.global/taxonomy/taxondetails?taxnode_id=202202091","ictv.global=202202091")</f>
        <v>ictv.global=202202091</v>
      </c>
    </row>
    <row r="9616" spans="1:21">
      <c r="A9616">
        <v>9615</v>
      </c>
      <c r="B9616" s="29" t="s">
        <v>3223</v>
      </c>
      <c r="C9616" s="29"/>
      <c r="D9616" s="29" t="s">
        <v>4156</v>
      </c>
      <c r="E9616" s="29"/>
      <c r="F9616" s="29" t="s">
        <v>4230</v>
      </c>
      <c r="G9616" s="29"/>
      <c r="H9616" s="29" t="s">
        <v>4233</v>
      </c>
      <c r="I9616" s="29"/>
      <c r="J9616" s="29" t="s">
        <v>806</v>
      </c>
      <c r="K9616" s="29"/>
      <c r="L9616" s="29" t="s">
        <v>1466</v>
      </c>
      <c r="M9616" s="29" t="s">
        <v>1390</v>
      </c>
      <c r="N9616" s="29" t="s">
        <v>1388</v>
      </c>
      <c r="O9616" s="29"/>
      <c r="P9616" s="29" t="s">
        <v>14173</v>
      </c>
      <c r="Q9616" t="s">
        <v>2040</v>
      </c>
      <c r="R9616" t="s">
        <v>2635</v>
      </c>
      <c r="S9616">
        <v>38</v>
      </c>
      <c r="T9616" s="43" t="str">
        <f t="shared" si="412"/>
        <v>2022.005P.Secoviridae_rename.zip</v>
      </c>
      <c r="U9616" s="43" t="str">
        <f>HYPERLINK("https://ictv.global/taxonomy/taxondetails?taxnode_id=202202092","ictv.global=202202092")</f>
        <v>ictv.global=202202092</v>
      </c>
    </row>
    <row r="9617" spans="1:21">
      <c r="A9617">
        <v>9616</v>
      </c>
      <c r="B9617" s="29" t="s">
        <v>3223</v>
      </c>
      <c r="C9617" s="29"/>
      <c r="D9617" s="29" t="s">
        <v>4156</v>
      </c>
      <c r="E9617" s="29"/>
      <c r="F9617" s="29" t="s">
        <v>4230</v>
      </c>
      <c r="G9617" s="29"/>
      <c r="H9617" s="29" t="s">
        <v>4233</v>
      </c>
      <c r="I9617" s="29"/>
      <c r="J9617" s="29" t="s">
        <v>806</v>
      </c>
      <c r="K9617" s="29"/>
      <c r="L9617" s="29" t="s">
        <v>1466</v>
      </c>
      <c r="M9617" s="29" t="s">
        <v>1390</v>
      </c>
      <c r="N9617" s="29" t="s">
        <v>1388</v>
      </c>
      <c r="O9617" s="29"/>
      <c r="P9617" s="29" t="s">
        <v>14174</v>
      </c>
      <c r="Q9617" t="s">
        <v>2040</v>
      </c>
      <c r="R9617" t="s">
        <v>2635</v>
      </c>
      <c r="S9617">
        <v>38</v>
      </c>
      <c r="T9617" s="43" t="str">
        <f t="shared" si="412"/>
        <v>2022.005P.Secoviridae_rename.zip</v>
      </c>
      <c r="U9617" s="43" t="str">
        <f>HYPERLINK("https://ictv.global/taxonomy/taxondetails?taxnode_id=202202093","ictv.global=202202093")</f>
        <v>ictv.global=202202093</v>
      </c>
    </row>
    <row r="9618" spans="1:21">
      <c r="A9618">
        <v>9617</v>
      </c>
      <c r="B9618" s="29" t="s">
        <v>3223</v>
      </c>
      <c r="C9618" s="29"/>
      <c r="D9618" s="29" t="s">
        <v>4156</v>
      </c>
      <c r="E9618" s="29"/>
      <c r="F9618" s="29" t="s">
        <v>4230</v>
      </c>
      <c r="G9618" s="29"/>
      <c r="H9618" s="29" t="s">
        <v>4233</v>
      </c>
      <c r="I9618" s="29"/>
      <c r="J9618" s="29" t="s">
        <v>806</v>
      </c>
      <c r="K9618" s="29"/>
      <c r="L9618" s="29" t="s">
        <v>1466</v>
      </c>
      <c r="M9618" s="29" t="s">
        <v>1390</v>
      </c>
      <c r="N9618" s="29" t="s">
        <v>1388</v>
      </c>
      <c r="O9618" s="29"/>
      <c r="P9618" s="29" t="s">
        <v>14175</v>
      </c>
      <c r="Q9618" t="s">
        <v>2040</v>
      </c>
      <c r="R9618" t="s">
        <v>2635</v>
      </c>
      <c r="S9618">
        <v>38</v>
      </c>
      <c r="T9618" s="43" t="str">
        <f t="shared" si="412"/>
        <v>2022.005P.Secoviridae_rename.zip</v>
      </c>
      <c r="U9618" s="43" t="str">
        <f>HYPERLINK("https://ictv.global/taxonomy/taxondetails?taxnode_id=202213818","ictv.global=202213818")</f>
        <v>ictv.global=202213818</v>
      </c>
    </row>
    <row r="9619" spans="1:21">
      <c r="A9619">
        <v>9618</v>
      </c>
      <c r="B9619" s="29" t="s">
        <v>3223</v>
      </c>
      <c r="C9619" s="29"/>
      <c r="D9619" s="29" t="s">
        <v>4156</v>
      </c>
      <c r="E9619" s="29"/>
      <c r="F9619" s="29" t="s">
        <v>4230</v>
      </c>
      <c r="G9619" s="29"/>
      <c r="H9619" s="29" t="s">
        <v>4233</v>
      </c>
      <c r="I9619" s="29"/>
      <c r="J9619" s="29" t="s">
        <v>806</v>
      </c>
      <c r="K9619" s="29"/>
      <c r="L9619" s="29" t="s">
        <v>1466</v>
      </c>
      <c r="M9619" s="29" t="s">
        <v>1390</v>
      </c>
      <c r="N9619" s="29" t="s">
        <v>1388</v>
      </c>
      <c r="O9619" s="29"/>
      <c r="P9619" s="29" t="s">
        <v>14176</v>
      </c>
      <c r="Q9619" t="s">
        <v>2040</v>
      </c>
      <c r="R9619" t="s">
        <v>2635</v>
      </c>
      <c r="S9619">
        <v>38</v>
      </c>
      <c r="T9619" s="43" t="str">
        <f t="shared" si="412"/>
        <v>2022.005P.Secoviridae_rename.zip</v>
      </c>
      <c r="U9619" s="43" t="str">
        <f>HYPERLINK("https://ictv.global/taxonomy/taxondetails?taxnode_id=202205627","ictv.global=202205627")</f>
        <v>ictv.global=202205627</v>
      </c>
    </row>
    <row r="9620" spans="1:21">
      <c r="A9620">
        <v>9619</v>
      </c>
      <c r="B9620" s="29" t="s">
        <v>3223</v>
      </c>
      <c r="C9620" s="29"/>
      <c r="D9620" s="29" t="s">
        <v>4156</v>
      </c>
      <c r="E9620" s="29"/>
      <c r="F9620" s="29" t="s">
        <v>4230</v>
      </c>
      <c r="G9620" s="29"/>
      <c r="H9620" s="29" t="s">
        <v>4233</v>
      </c>
      <c r="I9620" s="29"/>
      <c r="J9620" s="29" t="s">
        <v>806</v>
      </c>
      <c r="K9620" s="29"/>
      <c r="L9620" s="29" t="s">
        <v>1466</v>
      </c>
      <c r="M9620" s="29" t="s">
        <v>1390</v>
      </c>
      <c r="N9620" s="29" t="s">
        <v>1388</v>
      </c>
      <c r="O9620" s="29"/>
      <c r="P9620" s="29" t="s">
        <v>14177</v>
      </c>
      <c r="Q9620" t="s">
        <v>2040</v>
      </c>
      <c r="R9620" t="s">
        <v>2635</v>
      </c>
      <c r="S9620">
        <v>38</v>
      </c>
      <c r="T9620" s="43" t="str">
        <f t="shared" si="412"/>
        <v>2022.005P.Secoviridae_rename.zip</v>
      </c>
      <c r="U9620" s="43" t="str">
        <f>HYPERLINK("https://ictv.global/taxonomy/taxondetails?taxnode_id=202205626","ictv.global=202205626")</f>
        <v>ictv.global=202205626</v>
      </c>
    </row>
    <row r="9621" spans="1:21">
      <c r="A9621">
        <v>9620</v>
      </c>
      <c r="B9621" s="29" t="s">
        <v>3223</v>
      </c>
      <c r="C9621" s="29"/>
      <c r="D9621" s="29" t="s">
        <v>4156</v>
      </c>
      <c r="E9621" s="29"/>
      <c r="F9621" s="29" t="s">
        <v>4230</v>
      </c>
      <c r="G9621" s="29"/>
      <c r="H9621" s="29" t="s">
        <v>4233</v>
      </c>
      <c r="I9621" s="29"/>
      <c r="J9621" s="29" t="s">
        <v>806</v>
      </c>
      <c r="K9621" s="29"/>
      <c r="L9621" s="29" t="s">
        <v>1466</v>
      </c>
      <c r="M9621" s="29" t="s">
        <v>1390</v>
      </c>
      <c r="N9621" s="29" t="s">
        <v>1389</v>
      </c>
      <c r="O9621" s="29"/>
      <c r="P9621" s="29" t="s">
        <v>14178</v>
      </c>
      <c r="Q9621" t="s">
        <v>2040</v>
      </c>
      <c r="R9621" t="s">
        <v>2635</v>
      </c>
      <c r="S9621">
        <v>38</v>
      </c>
      <c r="T9621" s="43" t="str">
        <f t="shared" si="412"/>
        <v>2022.005P.Secoviridae_rename.zip</v>
      </c>
      <c r="U9621" s="43" t="str">
        <f>HYPERLINK("https://ictv.global/taxonomy/taxondetails?taxnode_id=202202099","ictv.global=202202099")</f>
        <v>ictv.global=202202099</v>
      </c>
    </row>
    <row r="9622" spans="1:21">
      <c r="A9622">
        <v>9621</v>
      </c>
      <c r="B9622" s="29" t="s">
        <v>3223</v>
      </c>
      <c r="C9622" s="29"/>
      <c r="D9622" s="29" t="s">
        <v>4156</v>
      </c>
      <c r="E9622" s="29"/>
      <c r="F9622" s="29" t="s">
        <v>4230</v>
      </c>
      <c r="G9622" s="29"/>
      <c r="H9622" s="29" t="s">
        <v>4233</v>
      </c>
      <c r="I9622" s="29"/>
      <c r="J9622" s="29" t="s">
        <v>806</v>
      </c>
      <c r="K9622" s="29"/>
      <c r="L9622" s="29" t="s">
        <v>1466</v>
      </c>
      <c r="M9622" s="29" t="s">
        <v>1390</v>
      </c>
      <c r="N9622" s="29" t="s">
        <v>1389</v>
      </c>
      <c r="O9622" s="29"/>
      <c r="P9622" s="29" t="s">
        <v>14179</v>
      </c>
      <c r="Q9622" t="s">
        <v>2040</v>
      </c>
      <c r="R9622" t="s">
        <v>2635</v>
      </c>
      <c r="S9622">
        <v>38</v>
      </c>
      <c r="T9622" s="43" t="str">
        <f t="shared" si="412"/>
        <v>2022.005P.Secoviridae_rename.zip</v>
      </c>
      <c r="U9622" s="43" t="str">
        <f>HYPERLINK("https://ictv.global/taxonomy/taxondetails?taxnode_id=202202095","ictv.global=202202095")</f>
        <v>ictv.global=202202095</v>
      </c>
    </row>
    <row r="9623" spans="1:21">
      <c r="A9623">
        <v>9622</v>
      </c>
      <c r="B9623" s="29" t="s">
        <v>3223</v>
      </c>
      <c r="C9623" s="29"/>
      <c r="D9623" s="29" t="s">
        <v>4156</v>
      </c>
      <c r="E9623" s="29"/>
      <c r="F9623" s="29" t="s">
        <v>4230</v>
      </c>
      <c r="G9623" s="29"/>
      <c r="H9623" s="29" t="s">
        <v>4233</v>
      </c>
      <c r="I9623" s="29"/>
      <c r="J9623" s="29" t="s">
        <v>806</v>
      </c>
      <c r="K9623" s="29"/>
      <c r="L9623" s="29" t="s">
        <v>1466</v>
      </c>
      <c r="M9623" s="29" t="s">
        <v>1390</v>
      </c>
      <c r="N9623" s="29" t="s">
        <v>1389</v>
      </c>
      <c r="O9623" s="29"/>
      <c r="P9623" s="29" t="s">
        <v>14180</v>
      </c>
      <c r="Q9623" t="s">
        <v>2040</v>
      </c>
      <c r="R9623" t="s">
        <v>2635</v>
      </c>
      <c r="S9623">
        <v>38</v>
      </c>
      <c r="T9623" s="43" t="str">
        <f t="shared" si="412"/>
        <v>2022.005P.Secoviridae_rename.zip</v>
      </c>
      <c r="U9623" s="43" t="str">
        <f>HYPERLINK("https://ictv.global/taxonomy/taxondetails?taxnode_id=202213817","ictv.global=202213817")</f>
        <v>ictv.global=202213817</v>
      </c>
    </row>
    <row r="9624" spans="1:21">
      <c r="A9624">
        <v>9623</v>
      </c>
      <c r="B9624" s="29" t="s">
        <v>3223</v>
      </c>
      <c r="C9624" s="29"/>
      <c r="D9624" s="29" t="s">
        <v>4156</v>
      </c>
      <c r="E9624" s="29"/>
      <c r="F9624" s="29" t="s">
        <v>4230</v>
      </c>
      <c r="G9624" s="29"/>
      <c r="H9624" s="29" t="s">
        <v>4233</v>
      </c>
      <c r="I9624" s="29"/>
      <c r="J9624" s="29" t="s">
        <v>806</v>
      </c>
      <c r="K9624" s="29"/>
      <c r="L9624" s="29" t="s">
        <v>1466</v>
      </c>
      <c r="M9624" s="29" t="s">
        <v>1390</v>
      </c>
      <c r="N9624" s="29" t="s">
        <v>1389</v>
      </c>
      <c r="O9624" s="29"/>
      <c r="P9624" s="29" t="s">
        <v>14181</v>
      </c>
      <c r="Q9624" t="s">
        <v>2040</v>
      </c>
      <c r="R9624" t="s">
        <v>2635</v>
      </c>
      <c r="S9624">
        <v>38</v>
      </c>
      <c r="T9624" s="43" t="str">
        <f t="shared" si="412"/>
        <v>2022.005P.Secoviridae_rename.zip</v>
      </c>
      <c r="U9624" s="43" t="str">
        <f>HYPERLINK("https://ictv.global/taxonomy/taxondetails?taxnode_id=202202106","ictv.global=202202106")</f>
        <v>ictv.global=202202106</v>
      </c>
    </row>
    <row r="9625" spans="1:21">
      <c r="A9625">
        <v>9624</v>
      </c>
      <c r="B9625" s="29" t="s">
        <v>3223</v>
      </c>
      <c r="C9625" s="29"/>
      <c r="D9625" s="29" t="s">
        <v>4156</v>
      </c>
      <c r="E9625" s="29"/>
      <c r="F9625" s="29" t="s">
        <v>4230</v>
      </c>
      <c r="G9625" s="29"/>
      <c r="H9625" s="29" t="s">
        <v>4233</v>
      </c>
      <c r="I9625" s="29"/>
      <c r="J9625" s="29" t="s">
        <v>806</v>
      </c>
      <c r="K9625" s="29"/>
      <c r="L9625" s="29" t="s">
        <v>1466</v>
      </c>
      <c r="M9625" s="29" t="s">
        <v>1390</v>
      </c>
      <c r="N9625" s="29" t="s">
        <v>1389</v>
      </c>
      <c r="O9625" s="29"/>
      <c r="P9625" s="29" t="s">
        <v>14182</v>
      </c>
      <c r="Q9625" t="s">
        <v>2040</v>
      </c>
      <c r="R9625" t="s">
        <v>2635</v>
      </c>
      <c r="S9625">
        <v>38</v>
      </c>
      <c r="T9625" s="43" t="str">
        <f t="shared" si="412"/>
        <v>2022.005P.Secoviridae_rename.zip</v>
      </c>
      <c r="U9625" s="43" t="str">
        <f>HYPERLINK("https://ictv.global/taxonomy/taxondetails?taxnode_id=202202113","ictv.global=202202113")</f>
        <v>ictv.global=202202113</v>
      </c>
    </row>
    <row r="9626" spans="1:21">
      <c r="A9626">
        <v>9625</v>
      </c>
      <c r="B9626" s="29" t="s">
        <v>3223</v>
      </c>
      <c r="C9626" s="29"/>
      <c r="D9626" s="29" t="s">
        <v>4156</v>
      </c>
      <c r="E9626" s="29"/>
      <c r="F9626" s="29" t="s">
        <v>4230</v>
      </c>
      <c r="G9626" s="29"/>
      <c r="H9626" s="29" t="s">
        <v>4233</v>
      </c>
      <c r="I9626" s="29"/>
      <c r="J9626" s="29" t="s">
        <v>806</v>
      </c>
      <c r="K9626" s="29"/>
      <c r="L9626" s="29" t="s">
        <v>1466</v>
      </c>
      <c r="M9626" s="29" t="s">
        <v>1390</v>
      </c>
      <c r="N9626" s="29" t="s">
        <v>1389</v>
      </c>
      <c r="O9626" s="29"/>
      <c r="P9626" s="29" t="s">
        <v>14183</v>
      </c>
      <c r="Q9626" t="s">
        <v>2040</v>
      </c>
      <c r="R9626" t="s">
        <v>2632</v>
      </c>
      <c r="S9626">
        <v>38</v>
      </c>
      <c r="T9626" s="43" t="str">
        <f>HYPERLINK("https://ictv.global/ictv/proposals/2022.004P.Secoviridae_8ns.zip","2022.004P.Secoviridae_8ns.zip")</f>
        <v>2022.004P.Secoviridae_8ns.zip</v>
      </c>
      <c r="U9626" s="43" t="str">
        <f>HYPERLINK("https://ictv.global/taxonomy/taxondetails?taxnode_id=202215093","ictv.global=202215093")</f>
        <v>ictv.global=202215093</v>
      </c>
    </row>
    <row r="9627" spans="1:21">
      <c r="A9627">
        <v>9626</v>
      </c>
      <c r="B9627" s="29" t="s">
        <v>3223</v>
      </c>
      <c r="C9627" s="29"/>
      <c r="D9627" s="29" t="s">
        <v>4156</v>
      </c>
      <c r="E9627" s="29"/>
      <c r="F9627" s="29" t="s">
        <v>4230</v>
      </c>
      <c r="G9627" s="29"/>
      <c r="H9627" s="29" t="s">
        <v>4233</v>
      </c>
      <c r="I9627" s="29"/>
      <c r="J9627" s="29" t="s">
        <v>806</v>
      </c>
      <c r="K9627" s="29"/>
      <c r="L9627" s="29" t="s">
        <v>1466</v>
      </c>
      <c r="M9627" s="29" t="s">
        <v>1390</v>
      </c>
      <c r="N9627" s="29" t="s">
        <v>1389</v>
      </c>
      <c r="O9627" s="29"/>
      <c r="P9627" s="29" t="s">
        <v>14184</v>
      </c>
      <c r="Q9627" t="s">
        <v>2040</v>
      </c>
      <c r="R9627" t="s">
        <v>2635</v>
      </c>
      <c r="S9627">
        <v>38</v>
      </c>
      <c r="T9627" s="43" t="str">
        <f t="shared" ref="T9627:T9662" si="413">HYPERLINK("https://ictv.global/ictv/proposals/2022.005P.Secoviridae_rename.zip","2022.005P.Secoviridae_rename.zip")</f>
        <v>2022.005P.Secoviridae_rename.zip</v>
      </c>
      <c r="U9627" s="43" t="str">
        <f>HYPERLINK("https://ictv.global/taxonomy/taxondetails?taxnode_id=202202097","ictv.global=202202097")</f>
        <v>ictv.global=202202097</v>
      </c>
    </row>
    <row r="9628" spans="1:21">
      <c r="A9628">
        <v>9627</v>
      </c>
      <c r="B9628" s="29" t="s">
        <v>3223</v>
      </c>
      <c r="C9628" s="29"/>
      <c r="D9628" s="29" t="s">
        <v>4156</v>
      </c>
      <c r="E9628" s="29"/>
      <c r="F9628" s="29" t="s">
        <v>4230</v>
      </c>
      <c r="G9628" s="29"/>
      <c r="H9628" s="29" t="s">
        <v>4233</v>
      </c>
      <c r="I9628" s="29"/>
      <c r="J9628" s="29" t="s">
        <v>806</v>
      </c>
      <c r="K9628" s="29"/>
      <c r="L9628" s="29" t="s">
        <v>1466</v>
      </c>
      <c r="M9628" s="29" t="s">
        <v>1390</v>
      </c>
      <c r="N9628" s="29" t="s">
        <v>1389</v>
      </c>
      <c r="O9628" s="29"/>
      <c r="P9628" s="29" t="s">
        <v>14185</v>
      </c>
      <c r="Q9628" t="s">
        <v>2040</v>
      </c>
      <c r="R9628" t="s">
        <v>2635</v>
      </c>
      <c r="S9628">
        <v>38</v>
      </c>
      <c r="T9628" s="43" t="str">
        <f t="shared" si="413"/>
        <v>2022.005P.Secoviridae_rename.zip</v>
      </c>
      <c r="U9628" s="43" t="str">
        <f>HYPERLINK("https://ictv.global/taxonomy/taxondetails?taxnode_id=202202096","ictv.global=202202096")</f>
        <v>ictv.global=202202096</v>
      </c>
    </row>
    <row r="9629" spans="1:21">
      <c r="A9629">
        <v>9628</v>
      </c>
      <c r="B9629" s="29" t="s">
        <v>3223</v>
      </c>
      <c r="C9629" s="29"/>
      <c r="D9629" s="29" t="s">
        <v>4156</v>
      </c>
      <c r="E9629" s="29"/>
      <c r="F9629" s="29" t="s">
        <v>4230</v>
      </c>
      <c r="G9629" s="29"/>
      <c r="H9629" s="29" t="s">
        <v>4233</v>
      </c>
      <c r="I9629" s="29"/>
      <c r="J9629" s="29" t="s">
        <v>806</v>
      </c>
      <c r="K9629" s="29"/>
      <c r="L9629" s="29" t="s">
        <v>1466</v>
      </c>
      <c r="M9629" s="29" t="s">
        <v>1390</v>
      </c>
      <c r="N9629" s="29" t="s">
        <v>1389</v>
      </c>
      <c r="O9629" s="29"/>
      <c r="P9629" s="29" t="s">
        <v>14186</v>
      </c>
      <c r="Q9629" t="s">
        <v>2040</v>
      </c>
      <c r="R9629" t="s">
        <v>2635</v>
      </c>
      <c r="S9629">
        <v>38</v>
      </c>
      <c r="T9629" s="43" t="str">
        <f t="shared" si="413"/>
        <v>2022.005P.Secoviridae_rename.zip</v>
      </c>
      <c r="U9629" s="43" t="str">
        <f>HYPERLINK("https://ictv.global/taxonomy/taxondetails?taxnode_id=202202098","ictv.global=202202098")</f>
        <v>ictv.global=202202098</v>
      </c>
    </row>
    <row r="9630" spans="1:21">
      <c r="A9630">
        <v>9629</v>
      </c>
      <c r="B9630" s="29" t="s">
        <v>3223</v>
      </c>
      <c r="C9630" s="29"/>
      <c r="D9630" s="29" t="s">
        <v>4156</v>
      </c>
      <c r="E9630" s="29"/>
      <c r="F9630" s="29" t="s">
        <v>4230</v>
      </c>
      <c r="G9630" s="29"/>
      <c r="H9630" s="29" t="s">
        <v>4233</v>
      </c>
      <c r="I9630" s="29"/>
      <c r="J9630" s="29" t="s">
        <v>806</v>
      </c>
      <c r="K9630" s="29"/>
      <c r="L9630" s="29" t="s">
        <v>1466</v>
      </c>
      <c r="M9630" s="29" t="s">
        <v>1390</v>
      </c>
      <c r="N9630" s="29" t="s">
        <v>1389</v>
      </c>
      <c r="O9630" s="29"/>
      <c r="P9630" s="29" t="s">
        <v>14187</v>
      </c>
      <c r="Q9630" t="s">
        <v>2040</v>
      </c>
      <c r="R9630" t="s">
        <v>2635</v>
      </c>
      <c r="S9630">
        <v>38</v>
      </c>
      <c r="T9630" s="43" t="str">
        <f t="shared" si="413"/>
        <v>2022.005P.Secoviridae_rename.zip</v>
      </c>
      <c r="U9630" s="43" t="str">
        <f>HYPERLINK("https://ictv.global/taxonomy/taxondetails?taxnode_id=202202120","ictv.global=202202120")</f>
        <v>ictv.global=202202120</v>
      </c>
    </row>
    <row r="9631" spans="1:21">
      <c r="A9631">
        <v>9630</v>
      </c>
      <c r="B9631" s="29" t="s">
        <v>3223</v>
      </c>
      <c r="C9631" s="29"/>
      <c r="D9631" s="29" t="s">
        <v>4156</v>
      </c>
      <c r="E9631" s="29"/>
      <c r="F9631" s="29" t="s">
        <v>4230</v>
      </c>
      <c r="G9631" s="29"/>
      <c r="H9631" s="29" t="s">
        <v>4233</v>
      </c>
      <c r="I9631" s="29"/>
      <c r="J9631" s="29" t="s">
        <v>806</v>
      </c>
      <c r="K9631" s="29"/>
      <c r="L9631" s="29" t="s">
        <v>1466</v>
      </c>
      <c r="M9631" s="29" t="s">
        <v>1390</v>
      </c>
      <c r="N9631" s="29" t="s">
        <v>1389</v>
      </c>
      <c r="O9631" s="29"/>
      <c r="P9631" s="29" t="s">
        <v>14188</v>
      </c>
      <c r="Q9631" t="s">
        <v>2040</v>
      </c>
      <c r="R9631" t="s">
        <v>2635</v>
      </c>
      <c r="S9631">
        <v>38</v>
      </c>
      <c r="T9631" s="43" t="str">
        <f t="shared" si="413"/>
        <v>2022.005P.Secoviridae_rename.zip</v>
      </c>
      <c r="U9631" s="43" t="str">
        <f>HYPERLINK("https://ictv.global/taxonomy/taxondetails?taxnode_id=202202108","ictv.global=202202108")</f>
        <v>ictv.global=202202108</v>
      </c>
    </row>
    <row r="9632" spans="1:21">
      <c r="A9632">
        <v>9631</v>
      </c>
      <c r="B9632" s="29" t="s">
        <v>3223</v>
      </c>
      <c r="C9632" s="29"/>
      <c r="D9632" s="29" t="s">
        <v>4156</v>
      </c>
      <c r="E9632" s="29"/>
      <c r="F9632" s="29" t="s">
        <v>4230</v>
      </c>
      <c r="G9632" s="29"/>
      <c r="H9632" s="29" t="s">
        <v>4233</v>
      </c>
      <c r="I9632" s="29"/>
      <c r="J9632" s="29" t="s">
        <v>806</v>
      </c>
      <c r="K9632" s="29"/>
      <c r="L9632" s="29" t="s">
        <v>1466</v>
      </c>
      <c r="M9632" s="29" t="s">
        <v>1390</v>
      </c>
      <c r="N9632" s="29" t="s">
        <v>1389</v>
      </c>
      <c r="O9632" s="29"/>
      <c r="P9632" s="29" t="s">
        <v>14189</v>
      </c>
      <c r="Q9632" t="s">
        <v>2040</v>
      </c>
      <c r="R9632" t="s">
        <v>2635</v>
      </c>
      <c r="S9632">
        <v>38</v>
      </c>
      <c r="T9632" s="43" t="str">
        <f t="shared" si="413"/>
        <v>2022.005P.Secoviridae_rename.zip</v>
      </c>
      <c r="U9632" s="43" t="str">
        <f>HYPERLINK("https://ictv.global/taxonomy/taxondetails?taxnode_id=202202102","ictv.global=202202102")</f>
        <v>ictv.global=202202102</v>
      </c>
    </row>
    <row r="9633" spans="1:21">
      <c r="A9633">
        <v>9632</v>
      </c>
      <c r="B9633" s="29" t="s">
        <v>3223</v>
      </c>
      <c r="C9633" s="29"/>
      <c r="D9633" s="29" t="s">
        <v>4156</v>
      </c>
      <c r="E9633" s="29"/>
      <c r="F9633" s="29" t="s">
        <v>4230</v>
      </c>
      <c r="G9633" s="29"/>
      <c r="H9633" s="29" t="s">
        <v>4233</v>
      </c>
      <c r="I9633" s="29"/>
      <c r="J9633" s="29" t="s">
        <v>806</v>
      </c>
      <c r="K9633" s="29"/>
      <c r="L9633" s="29" t="s">
        <v>1466</v>
      </c>
      <c r="M9633" s="29" t="s">
        <v>1390</v>
      </c>
      <c r="N9633" s="29" t="s">
        <v>1389</v>
      </c>
      <c r="O9633" s="29"/>
      <c r="P9633" s="29" t="s">
        <v>14190</v>
      </c>
      <c r="Q9633" t="s">
        <v>2040</v>
      </c>
      <c r="R9633" t="s">
        <v>2635</v>
      </c>
      <c r="S9633">
        <v>38</v>
      </c>
      <c r="T9633" s="43" t="str">
        <f t="shared" si="413"/>
        <v>2022.005P.Secoviridae_rename.zip</v>
      </c>
      <c r="U9633" s="43" t="str">
        <f>HYPERLINK("https://ictv.global/taxonomy/taxondetails?taxnode_id=202205628","ictv.global=202205628")</f>
        <v>ictv.global=202205628</v>
      </c>
    </row>
    <row r="9634" spans="1:21">
      <c r="A9634">
        <v>9633</v>
      </c>
      <c r="B9634" s="29" t="s">
        <v>3223</v>
      </c>
      <c r="C9634" s="29"/>
      <c r="D9634" s="29" t="s">
        <v>4156</v>
      </c>
      <c r="E9634" s="29"/>
      <c r="F9634" s="29" t="s">
        <v>4230</v>
      </c>
      <c r="G9634" s="29"/>
      <c r="H9634" s="29" t="s">
        <v>4233</v>
      </c>
      <c r="I9634" s="29"/>
      <c r="J9634" s="29" t="s">
        <v>806</v>
      </c>
      <c r="K9634" s="29"/>
      <c r="L9634" s="29" t="s">
        <v>1466</v>
      </c>
      <c r="M9634" s="29" t="s">
        <v>1390</v>
      </c>
      <c r="N9634" s="29" t="s">
        <v>1389</v>
      </c>
      <c r="O9634" s="29"/>
      <c r="P9634" s="29" t="s">
        <v>14191</v>
      </c>
      <c r="Q9634" t="s">
        <v>2040</v>
      </c>
      <c r="R9634" t="s">
        <v>2635</v>
      </c>
      <c r="S9634">
        <v>38</v>
      </c>
      <c r="T9634" s="43" t="str">
        <f t="shared" si="413"/>
        <v>2022.005P.Secoviridae_rename.zip</v>
      </c>
      <c r="U9634" s="43" t="str">
        <f>HYPERLINK("https://ictv.global/taxonomy/taxondetails?taxnode_id=202202114","ictv.global=202202114")</f>
        <v>ictv.global=202202114</v>
      </c>
    </row>
    <row r="9635" spans="1:21">
      <c r="A9635">
        <v>9634</v>
      </c>
      <c r="B9635" s="29" t="s">
        <v>3223</v>
      </c>
      <c r="C9635" s="29"/>
      <c r="D9635" s="29" t="s">
        <v>4156</v>
      </c>
      <c r="E9635" s="29"/>
      <c r="F9635" s="29" t="s">
        <v>4230</v>
      </c>
      <c r="G9635" s="29"/>
      <c r="H9635" s="29" t="s">
        <v>4233</v>
      </c>
      <c r="I9635" s="29"/>
      <c r="J9635" s="29" t="s">
        <v>806</v>
      </c>
      <c r="K9635" s="29"/>
      <c r="L9635" s="29" t="s">
        <v>1466</v>
      </c>
      <c r="M9635" s="29" t="s">
        <v>1390</v>
      </c>
      <c r="N9635" s="29" t="s">
        <v>1389</v>
      </c>
      <c r="O9635" s="29"/>
      <c r="P9635" s="29" t="s">
        <v>14192</v>
      </c>
      <c r="Q9635" t="s">
        <v>2040</v>
      </c>
      <c r="R9635" t="s">
        <v>2635</v>
      </c>
      <c r="S9635">
        <v>38</v>
      </c>
      <c r="T9635" s="43" t="str">
        <f t="shared" si="413"/>
        <v>2022.005P.Secoviridae_rename.zip</v>
      </c>
      <c r="U9635" s="43" t="str">
        <f>HYPERLINK("https://ictv.global/taxonomy/taxondetails?taxnode_id=202212972","ictv.global=202212972")</f>
        <v>ictv.global=202212972</v>
      </c>
    </row>
    <row r="9636" spans="1:21">
      <c r="A9636">
        <v>9635</v>
      </c>
      <c r="B9636" s="29" t="s">
        <v>3223</v>
      </c>
      <c r="C9636" s="29"/>
      <c r="D9636" s="29" t="s">
        <v>4156</v>
      </c>
      <c r="E9636" s="29"/>
      <c r="F9636" s="29" t="s">
        <v>4230</v>
      </c>
      <c r="G9636" s="29"/>
      <c r="H9636" s="29" t="s">
        <v>4233</v>
      </c>
      <c r="I9636" s="29"/>
      <c r="J9636" s="29" t="s">
        <v>806</v>
      </c>
      <c r="K9636" s="29"/>
      <c r="L9636" s="29" t="s">
        <v>1466</v>
      </c>
      <c r="M9636" s="29" t="s">
        <v>1390</v>
      </c>
      <c r="N9636" s="29" t="s">
        <v>1389</v>
      </c>
      <c r="O9636" s="29"/>
      <c r="P9636" s="29" t="s">
        <v>14193</v>
      </c>
      <c r="Q9636" t="s">
        <v>2040</v>
      </c>
      <c r="R9636" t="s">
        <v>2635</v>
      </c>
      <c r="S9636">
        <v>38</v>
      </c>
      <c r="T9636" s="43" t="str">
        <f t="shared" si="413"/>
        <v>2022.005P.Secoviridae_rename.zip</v>
      </c>
      <c r="U9636" s="43" t="str">
        <f>HYPERLINK("https://ictv.global/taxonomy/taxondetails?taxnode_id=202202124","ictv.global=202202124")</f>
        <v>ictv.global=202202124</v>
      </c>
    </row>
    <row r="9637" spans="1:21">
      <c r="A9637">
        <v>9636</v>
      </c>
      <c r="B9637" s="29" t="s">
        <v>3223</v>
      </c>
      <c r="C9637" s="29"/>
      <c r="D9637" s="29" t="s">
        <v>4156</v>
      </c>
      <c r="E9637" s="29"/>
      <c r="F9637" s="29" t="s">
        <v>4230</v>
      </c>
      <c r="G9637" s="29"/>
      <c r="H9637" s="29" t="s">
        <v>4233</v>
      </c>
      <c r="I9637" s="29"/>
      <c r="J9637" s="29" t="s">
        <v>806</v>
      </c>
      <c r="K9637" s="29"/>
      <c r="L9637" s="29" t="s">
        <v>1466</v>
      </c>
      <c r="M9637" s="29" t="s">
        <v>1390</v>
      </c>
      <c r="N9637" s="29" t="s">
        <v>1389</v>
      </c>
      <c r="O9637" s="29"/>
      <c r="P9637" s="29" t="s">
        <v>14194</v>
      </c>
      <c r="Q9637" t="s">
        <v>2040</v>
      </c>
      <c r="R9637" t="s">
        <v>2635</v>
      </c>
      <c r="S9637">
        <v>38</v>
      </c>
      <c r="T9637" s="43" t="str">
        <f t="shared" si="413"/>
        <v>2022.005P.Secoviridae_rename.zip</v>
      </c>
      <c r="U9637" s="43" t="str">
        <f>HYPERLINK("https://ictv.global/taxonomy/taxondetails?taxnode_id=202202115","ictv.global=202202115")</f>
        <v>ictv.global=202202115</v>
      </c>
    </row>
    <row r="9638" spans="1:21">
      <c r="A9638">
        <v>9637</v>
      </c>
      <c r="B9638" s="29" t="s">
        <v>3223</v>
      </c>
      <c r="C9638" s="29"/>
      <c r="D9638" s="29" t="s">
        <v>4156</v>
      </c>
      <c r="E9638" s="29"/>
      <c r="F9638" s="29" t="s">
        <v>4230</v>
      </c>
      <c r="G9638" s="29"/>
      <c r="H9638" s="29" t="s">
        <v>4233</v>
      </c>
      <c r="I9638" s="29"/>
      <c r="J9638" s="29" t="s">
        <v>806</v>
      </c>
      <c r="K9638" s="29"/>
      <c r="L9638" s="29" t="s">
        <v>1466</v>
      </c>
      <c r="M9638" s="29" t="s">
        <v>1390</v>
      </c>
      <c r="N9638" s="29" t="s">
        <v>1389</v>
      </c>
      <c r="O9638" s="29"/>
      <c r="P9638" s="29" t="s">
        <v>14195</v>
      </c>
      <c r="Q9638" t="s">
        <v>2040</v>
      </c>
      <c r="R9638" t="s">
        <v>2635</v>
      </c>
      <c r="S9638">
        <v>38</v>
      </c>
      <c r="T9638" s="43" t="str">
        <f t="shared" si="413"/>
        <v>2022.005P.Secoviridae_rename.zip</v>
      </c>
      <c r="U9638" s="43" t="str">
        <f>HYPERLINK("https://ictv.global/taxonomy/taxondetails?taxnode_id=202202109","ictv.global=202202109")</f>
        <v>ictv.global=202202109</v>
      </c>
    </row>
    <row r="9639" spans="1:21">
      <c r="A9639">
        <v>9638</v>
      </c>
      <c r="B9639" s="29" t="s">
        <v>3223</v>
      </c>
      <c r="C9639" s="29"/>
      <c r="D9639" s="29" t="s">
        <v>4156</v>
      </c>
      <c r="E9639" s="29"/>
      <c r="F9639" s="29" t="s">
        <v>4230</v>
      </c>
      <c r="G9639" s="29"/>
      <c r="H9639" s="29" t="s">
        <v>4233</v>
      </c>
      <c r="I9639" s="29"/>
      <c r="J9639" s="29" t="s">
        <v>806</v>
      </c>
      <c r="K9639" s="29"/>
      <c r="L9639" s="29" t="s">
        <v>1466</v>
      </c>
      <c r="M9639" s="29" t="s">
        <v>1390</v>
      </c>
      <c r="N9639" s="29" t="s">
        <v>1389</v>
      </c>
      <c r="O9639" s="29"/>
      <c r="P9639" s="29" t="s">
        <v>14196</v>
      </c>
      <c r="Q9639" t="s">
        <v>2040</v>
      </c>
      <c r="R9639" t="s">
        <v>2635</v>
      </c>
      <c r="S9639">
        <v>38</v>
      </c>
      <c r="T9639" s="43" t="str">
        <f t="shared" si="413"/>
        <v>2022.005P.Secoviridae_rename.zip</v>
      </c>
      <c r="U9639" s="43" t="str">
        <f>HYPERLINK("https://ictv.global/taxonomy/taxondetails?taxnode_id=202202121","ictv.global=202202121")</f>
        <v>ictv.global=202202121</v>
      </c>
    </row>
    <row r="9640" spans="1:21">
      <c r="A9640">
        <v>9639</v>
      </c>
      <c r="B9640" s="29" t="s">
        <v>3223</v>
      </c>
      <c r="C9640" s="29"/>
      <c r="D9640" s="29" t="s">
        <v>4156</v>
      </c>
      <c r="E9640" s="29"/>
      <c r="F9640" s="29" t="s">
        <v>4230</v>
      </c>
      <c r="G9640" s="29"/>
      <c r="H9640" s="29" t="s">
        <v>4233</v>
      </c>
      <c r="I9640" s="29"/>
      <c r="J9640" s="29" t="s">
        <v>806</v>
      </c>
      <c r="K9640" s="29"/>
      <c r="L9640" s="29" t="s">
        <v>1466</v>
      </c>
      <c r="M9640" s="29" t="s">
        <v>1390</v>
      </c>
      <c r="N9640" s="29" t="s">
        <v>1389</v>
      </c>
      <c r="O9640" s="29"/>
      <c r="P9640" s="29" t="s">
        <v>14197</v>
      </c>
      <c r="Q9640" t="s">
        <v>2040</v>
      </c>
      <c r="R9640" t="s">
        <v>2635</v>
      </c>
      <c r="S9640">
        <v>38</v>
      </c>
      <c r="T9640" s="43" t="str">
        <f t="shared" si="413"/>
        <v>2022.005P.Secoviridae_rename.zip</v>
      </c>
      <c r="U9640" s="43" t="str">
        <f>HYPERLINK("https://ictv.global/taxonomy/taxondetails?taxnode_id=202202112","ictv.global=202202112")</f>
        <v>ictv.global=202202112</v>
      </c>
    </row>
    <row r="9641" spans="1:21">
      <c r="A9641">
        <v>9640</v>
      </c>
      <c r="B9641" s="29" t="s">
        <v>3223</v>
      </c>
      <c r="C9641" s="29"/>
      <c r="D9641" s="29" t="s">
        <v>4156</v>
      </c>
      <c r="E9641" s="29"/>
      <c r="F9641" s="29" t="s">
        <v>4230</v>
      </c>
      <c r="G9641" s="29"/>
      <c r="H9641" s="29" t="s">
        <v>4233</v>
      </c>
      <c r="I9641" s="29"/>
      <c r="J9641" s="29" t="s">
        <v>806</v>
      </c>
      <c r="K9641" s="29"/>
      <c r="L9641" s="29" t="s">
        <v>1466</v>
      </c>
      <c r="M9641" s="29" t="s">
        <v>1390</v>
      </c>
      <c r="N9641" s="29" t="s">
        <v>1389</v>
      </c>
      <c r="O9641" s="29"/>
      <c r="P9641" s="29" t="s">
        <v>14198</v>
      </c>
      <c r="Q9641" t="s">
        <v>2040</v>
      </c>
      <c r="R9641" t="s">
        <v>2635</v>
      </c>
      <c r="S9641">
        <v>38</v>
      </c>
      <c r="T9641" s="43" t="str">
        <f t="shared" si="413"/>
        <v>2022.005P.Secoviridae_rename.zip</v>
      </c>
      <c r="U9641" s="43" t="str">
        <f>HYPERLINK("https://ictv.global/taxonomy/taxondetails?taxnode_id=202202101","ictv.global=202202101")</f>
        <v>ictv.global=202202101</v>
      </c>
    </row>
    <row r="9642" spans="1:21">
      <c r="A9642">
        <v>9641</v>
      </c>
      <c r="B9642" s="29" t="s">
        <v>3223</v>
      </c>
      <c r="C9642" s="29"/>
      <c r="D9642" s="29" t="s">
        <v>4156</v>
      </c>
      <c r="E9642" s="29"/>
      <c r="F9642" s="29" t="s">
        <v>4230</v>
      </c>
      <c r="G9642" s="29"/>
      <c r="H9642" s="29" t="s">
        <v>4233</v>
      </c>
      <c r="I9642" s="29"/>
      <c r="J9642" s="29" t="s">
        <v>806</v>
      </c>
      <c r="K9642" s="29"/>
      <c r="L9642" s="29" t="s">
        <v>1466</v>
      </c>
      <c r="M9642" s="29" t="s">
        <v>1390</v>
      </c>
      <c r="N9642" s="29" t="s">
        <v>1389</v>
      </c>
      <c r="O9642" s="29"/>
      <c r="P9642" s="29" t="s">
        <v>14199</v>
      </c>
      <c r="Q9642" t="s">
        <v>2040</v>
      </c>
      <c r="R9642" t="s">
        <v>2635</v>
      </c>
      <c r="S9642">
        <v>38</v>
      </c>
      <c r="T9642" s="43" t="str">
        <f t="shared" si="413"/>
        <v>2022.005P.Secoviridae_rename.zip</v>
      </c>
      <c r="U9642" s="43" t="str">
        <f>HYPERLINK("https://ictv.global/taxonomy/taxondetails?taxnode_id=202202116","ictv.global=202202116")</f>
        <v>ictv.global=202202116</v>
      </c>
    </row>
    <row r="9643" spans="1:21">
      <c r="A9643">
        <v>9642</v>
      </c>
      <c r="B9643" s="29" t="s">
        <v>3223</v>
      </c>
      <c r="C9643" s="29"/>
      <c r="D9643" s="29" t="s">
        <v>4156</v>
      </c>
      <c r="E9643" s="29"/>
      <c r="F9643" s="29" t="s">
        <v>4230</v>
      </c>
      <c r="G9643" s="29"/>
      <c r="H9643" s="29" t="s">
        <v>4233</v>
      </c>
      <c r="I9643" s="29"/>
      <c r="J9643" s="29" t="s">
        <v>806</v>
      </c>
      <c r="K9643" s="29"/>
      <c r="L9643" s="29" t="s">
        <v>1466</v>
      </c>
      <c r="M9643" s="29" t="s">
        <v>1390</v>
      </c>
      <c r="N9643" s="29" t="s">
        <v>1389</v>
      </c>
      <c r="O9643" s="29"/>
      <c r="P9643" s="29" t="s">
        <v>14200</v>
      </c>
      <c r="Q9643" t="s">
        <v>2040</v>
      </c>
      <c r="R9643" t="s">
        <v>2635</v>
      </c>
      <c r="S9643">
        <v>38</v>
      </c>
      <c r="T9643" s="43" t="str">
        <f t="shared" si="413"/>
        <v>2022.005P.Secoviridae_rename.zip</v>
      </c>
      <c r="U9643" s="43" t="str">
        <f>HYPERLINK("https://ictv.global/taxonomy/taxondetails?taxnode_id=202202117","ictv.global=202202117")</f>
        <v>ictv.global=202202117</v>
      </c>
    </row>
    <row r="9644" spans="1:21">
      <c r="A9644">
        <v>9643</v>
      </c>
      <c r="B9644" s="29" t="s">
        <v>3223</v>
      </c>
      <c r="C9644" s="29"/>
      <c r="D9644" s="29" t="s">
        <v>4156</v>
      </c>
      <c r="E9644" s="29"/>
      <c r="F9644" s="29" t="s">
        <v>4230</v>
      </c>
      <c r="G9644" s="29"/>
      <c r="H9644" s="29" t="s">
        <v>4233</v>
      </c>
      <c r="I9644" s="29"/>
      <c r="J9644" s="29" t="s">
        <v>806</v>
      </c>
      <c r="K9644" s="29"/>
      <c r="L9644" s="29" t="s">
        <v>1466</v>
      </c>
      <c r="M9644" s="29" t="s">
        <v>1390</v>
      </c>
      <c r="N9644" s="29" t="s">
        <v>1389</v>
      </c>
      <c r="O9644" s="29"/>
      <c r="P9644" s="29" t="s">
        <v>14201</v>
      </c>
      <c r="Q9644" t="s">
        <v>2040</v>
      </c>
      <c r="R9644" t="s">
        <v>2635</v>
      </c>
      <c r="S9644">
        <v>38</v>
      </c>
      <c r="T9644" s="43" t="str">
        <f t="shared" si="413"/>
        <v>2022.005P.Secoviridae_rename.zip</v>
      </c>
      <c r="U9644" s="43" t="str">
        <f>HYPERLINK("https://ictv.global/taxonomy/taxondetails?taxnode_id=202205629","ictv.global=202205629")</f>
        <v>ictv.global=202205629</v>
      </c>
    </row>
    <row r="9645" spans="1:21">
      <c r="A9645">
        <v>9644</v>
      </c>
      <c r="B9645" s="29" t="s">
        <v>3223</v>
      </c>
      <c r="C9645" s="29"/>
      <c r="D9645" s="29" t="s">
        <v>4156</v>
      </c>
      <c r="E9645" s="29"/>
      <c r="F9645" s="29" t="s">
        <v>4230</v>
      </c>
      <c r="G9645" s="29"/>
      <c r="H9645" s="29" t="s">
        <v>4233</v>
      </c>
      <c r="I9645" s="29"/>
      <c r="J9645" s="29" t="s">
        <v>806</v>
      </c>
      <c r="K9645" s="29"/>
      <c r="L9645" s="29" t="s">
        <v>1466</v>
      </c>
      <c r="M9645" s="29" t="s">
        <v>1390</v>
      </c>
      <c r="N9645" s="29" t="s">
        <v>1389</v>
      </c>
      <c r="O9645" s="29"/>
      <c r="P9645" s="29" t="s">
        <v>14202</v>
      </c>
      <c r="Q9645" t="s">
        <v>2040</v>
      </c>
      <c r="R9645" t="s">
        <v>2635</v>
      </c>
      <c r="S9645">
        <v>38</v>
      </c>
      <c r="T9645" s="43" t="str">
        <f t="shared" si="413"/>
        <v>2022.005P.Secoviridae_rename.zip</v>
      </c>
      <c r="U9645" s="43" t="str">
        <f>HYPERLINK("https://ictv.global/taxonomy/taxondetails?taxnode_id=202202119","ictv.global=202202119")</f>
        <v>ictv.global=202202119</v>
      </c>
    </row>
    <row r="9646" spans="1:21">
      <c r="A9646">
        <v>9645</v>
      </c>
      <c r="B9646" s="29" t="s">
        <v>3223</v>
      </c>
      <c r="C9646" s="29"/>
      <c r="D9646" s="29" t="s">
        <v>4156</v>
      </c>
      <c r="E9646" s="29"/>
      <c r="F9646" s="29" t="s">
        <v>4230</v>
      </c>
      <c r="G9646" s="29"/>
      <c r="H9646" s="29" t="s">
        <v>4233</v>
      </c>
      <c r="I9646" s="29"/>
      <c r="J9646" s="29" t="s">
        <v>806</v>
      </c>
      <c r="K9646" s="29"/>
      <c r="L9646" s="29" t="s">
        <v>1466</v>
      </c>
      <c r="M9646" s="29" t="s">
        <v>1390</v>
      </c>
      <c r="N9646" s="29" t="s">
        <v>1389</v>
      </c>
      <c r="O9646" s="29"/>
      <c r="P9646" s="29" t="s">
        <v>14203</v>
      </c>
      <c r="Q9646" t="s">
        <v>2040</v>
      </c>
      <c r="R9646" t="s">
        <v>2635</v>
      </c>
      <c r="S9646">
        <v>38</v>
      </c>
      <c r="T9646" s="43" t="str">
        <f t="shared" si="413"/>
        <v>2022.005P.Secoviridae_rename.zip</v>
      </c>
      <c r="U9646" s="43" t="str">
        <f>HYPERLINK("https://ictv.global/taxonomy/taxondetails?taxnode_id=202202100","ictv.global=202202100")</f>
        <v>ictv.global=202202100</v>
      </c>
    </row>
    <row r="9647" spans="1:21">
      <c r="A9647">
        <v>9646</v>
      </c>
      <c r="B9647" s="29" t="s">
        <v>3223</v>
      </c>
      <c r="C9647" s="29"/>
      <c r="D9647" s="29" t="s">
        <v>4156</v>
      </c>
      <c r="E9647" s="29"/>
      <c r="F9647" s="29" t="s">
        <v>4230</v>
      </c>
      <c r="G9647" s="29"/>
      <c r="H9647" s="29" t="s">
        <v>4233</v>
      </c>
      <c r="I9647" s="29"/>
      <c r="J9647" s="29" t="s">
        <v>806</v>
      </c>
      <c r="K9647" s="29"/>
      <c r="L9647" s="29" t="s">
        <v>1466</v>
      </c>
      <c r="M9647" s="29" t="s">
        <v>1390</v>
      </c>
      <c r="N9647" s="29" t="s">
        <v>1389</v>
      </c>
      <c r="O9647" s="29"/>
      <c r="P9647" s="29" t="s">
        <v>14204</v>
      </c>
      <c r="Q9647" t="s">
        <v>2040</v>
      </c>
      <c r="R9647" t="s">
        <v>2635</v>
      </c>
      <c r="S9647">
        <v>38</v>
      </c>
      <c r="T9647" s="43" t="str">
        <f t="shared" si="413"/>
        <v>2022.005P.Secoviridae_rename.zip</v>
      </c>
      <c r="U9647" s="43" t="str">
        <f>HYPERLINK("https://ictv.global/taxonomy/taxondetails?taxnode_id=202202132","ictv.global=202202132")</f>
        <v>ictv.global=202202132</v>
      </c>
    </row>
    <row r="9648" spans="1:21">
      <c r="A9648">
        <v>9647</v>
      </c>
      <c r="B9648" s="29" t="s">
        <v>3223</v>
      </c>
      <c r="C9648" s="29"/>
      <c r="D9648" s="29" t="s">
        <v>4156</v>
      </c>
      <c r="E9648" s="29"/>
      <c r="F9648" s="29" t="s">
        <v>4230</v>
      </c>
      <c r="G9648" s="29"/>
      <c r="H9648" s="29" t="s">
        <v>4233</v>
      </c>
      <c r="I9648" s="29"/>
      <c r="J9648" s="29" t="s">
        <v>806</v>
      </c>
      <c r="K9648" s="29"/>
      <c r="L9648" s="29" t="s">
        <v>1466</v>
      </c>
      <c r="M9648" s="29" t="s">
        <v>1390</v>
      </c>
      <c r="N9648" s="29" t="s">
        <v>1389</v>
      </c>
      <c r="O9648" s="29"/>
      <c r="P9648" s="29" t="s">
        <v>14205</v>
      </c>
      <c r="Q9648" t="s">
        <v>2040</v>
      </c>
      <c r="R9648" t="s">
        <v>2635</v>
      </c>
      <c r="S9648">
        <v>38</v>
      </c>
      <c r="T9648" s="43" t="str">
        <f t="shared" si="413"/>
        <v>2022.005P.Secoviridae_rename.zip</v>
      </c>
      <c r="U9648" s="43" t="str">
        <f>HYPERLINK("https://ictv.global/taxonomy/taxondetails?taxnode_id=202202123","ictv.global=202202123")</f>
        <v>ictv.global=202202123</v>
      </c>
    </row>
    <row r="9649" spans="1:21">
      <c r="A9649">
        <v>9648</v>
      </c>
      <c r="B9649" s="29" t="s">
        <v>3223</v>
      </c>
      <c r="C9649" s="29"/>
      <c r="D9649" s="29" t="s">
        <v>4156</v>
      </c>
      <c r="E9649" s="29"/>
      <c r="F9649" s="29" t="s">
        <v>4230</v>
      </c>
      <c r="G9649" s="29"/>
      <c r="H9649" s="29" t="s">
        <v>4233</v>
      </c>
      <c r="I9649" s="29"/>
      <c r="J9649" s="29" t="s">
        <v>806</v>
      </c>
      <c r="K9649" s="29"/>
      <c r="L9649" s="29" t="s">
        <v>1466</v>
      </c>
      <c r="M9649" s="29" t="s">
        <v>1390</v>
      </c>
      <c r="N9649" s="29" t="s">
        <v>1389</v>
      </c>
      <c r="O9649" s="29"/>
      <c r="P9649" s="29" t="s">
        <v>14206</v>
      </c>
      <c r="Q9649" t="s">
        <v>2040</v>
      </c>
      <c r="R9649" t="s">
        <v>2635</v>
      </c>
      <c r="S9649">
        <v>38</v>
      </c>
      <c r="T9649" s="43" t="str">
        <f t="shared" si="413"/>
        <v>2022.005P.Secoviridae_rename.zip</v>
      </c>
      <c r="U9649" s="43" t="str">
        <f>HYPERLINK("https://ictv.global/taxonomy/taxondetails?taxnode_id=202202107","ictv.global=202202107")</f>
        <v>ictv.global=202202107</v>
      </c>
    </row>
    <row r="9650" spans="1:21">
      <c r="A9650">
        <v>9649</v>
      </c>
      <c r="B9650" s="29" t="s">
        <v>3223</v>
      </c>
      <c r="C9650" s="29"/>
      <c r="D9650" s="29" t="s">
        <v>4156</v>
      </c>
      <c r="E9650" s="29"/>
      <c r="F9650" s="29" t="s">
        <v>4230</v>
      </c>
      <c r="G9650" s="29"/>
      <c r="H9650" s="29" t="s">
        <v>4233</v>
      </c>
      <c r="I9650" s="29"/>
      <c r="J9650" s="29" t="s">
        <v>806</v>
      </c>
      <c r="K9650" s="29"/>
      <c r="L9650" s="29" t="s">
        <v>1466</v>
      </c>
      <c r="M9650" s="29" t="s">
        <v>1390</v>
      </c>
      <c r="N9650" s="29" t="s">
        <v>1389</v>
      </c>
      <c r="O9650" s="29"/>
      <c r="P9650" s="29" t="s">
        <v>14207</v>
      </c>
      <c r="Q9650" t="s">
        <v>2040</v>
      </c>
      <c r="R9650" t="s">
        <v>2635</v>
      </c>
      <c r="S9650">
        <v>38</v>
      </c>
      <c r="T9650" s="43" t="str">
        <f t="shared" si="413"/>
        <v>2022.005P.Secoviridae_rename.zip</v>
      </c>
      <c r="U9650" s="43" t="str">
        <f>HYPERLINK("https://ictv.global/taxonomy/taxondetails?taxnode_id=202202122","ictv.global=202202122")</f>
        <v>ictv.global=202202122</v>
      </c>
    </row>
    <row r="9651" spans="1:21">
      <c r="A9651">
        <v>9650</v>
      </c>
      <c r="B9651" s="29" t="s">
        <v>3223</v>
      </c>
      <c r="C9651" s="29"/>
      <c r="D9651" s="29" t="s">
        <v>4156</v>
      </c>
      <c r="E9651" s="29"/>
      <c r="F9651" s="29" t="s">
        <v>4230</v>
      </c>
      <c r="G9651" s="29"/>
      <c r="H9651" s="29" t="s">
        <v>4233</v>
      </c>
      <c r="I9651" s="29"/>
      <c r="J9651" s="29" t="s">
        <v>806</v>
      </c>
      <c r="K9651" s="29"/>
      <c r="L9651" s="29" t="s">
        <v>1466</v>
      </c>
      <c r="M9651" s="29" t="s">
        <v>1390</v>
      </c>
      <c r="N9651" s="29" t="s">
        <v>1389</v>
      </c>
      <c r="O9651" s="29"/>
      <c r="P9651" s="29" t="s">
        <v>14208</v>
      </c>
      <c r="Q9651" t="s">
        <v>2040</v>
      </c>
      <c r="R9651" t="s">
        <v>2635</v>
      </c>
      <c r="S9651">
        <v>38</v>
      </c>
      <c r="T9651" s="43" t="str">
        <f t="shared" si="413"/>
        <v>2022.005P.Secoviridae_rename.zip</v>
      </c>
      <c r="U9651" s="43" t="str">
        <f>HYPERLINK("https://ictv.global/taxonomy/taxondetails?taxnode_id=202202105","ictv.global=202202105")</f>
        <v>ictv.global=202202105</v>
      </c>
    </row>
    <row r="9652" spans="1:21">
      <c r="A9652">
        <v>9651</v>
      </c>
      <c r="B9652" s="29" t="s">
        <v>3223</v>
      </c>
      <c r="C9652" s="29"/>
      <c r="D9652" s="29" t="s">
        <v>4156</v>
      </c>
      <c r="E9652" s="29"/>
      <c r="F9652" s="29" t="s">
        <v>4230</v>
      </c>
      <c r="G9652" s="29"/>
      <c r="H9652" s="29" t="s">
        <v>4233</v>
      </c>
      <c r="I9652" s="29"/>
      <c r="J9652" s="29" t="s">
        <v>806</v>
      </c>
      <c r="K9652" s="29"/>
      <c r="L9652" s="29" t="s">
        <v>1466</v>
      </c>
      <c r="M9652" s="29" t="s">
        <v>1390</v>
      </c>
      <c r="N9652" s="29" t="s">
        <v>1389</v>
      </c>
      <c r="O9652" s="29"/>
      <c r="P9652" s="29" t="s">
        <v>14209</v>
      </c>
      <c r="Q9652" t="s">
        <v>2040</v>
      </c>
      <c r="R9652" t="s">
        <v>2635</v>
      </c>
      <c r="S9652">
        <v>38</v>
      </c>
      <c r="T9652" s="43" t="str">
        <f t="shared" si="413"/>
        <v>2022.005P.Secoviridae_rename.zip</v>
      </c>
      <c r="U9652" s="43" t="str">
        <f>HYPERLINK("https://ictv.global/taxonomy/taxondetails?taxnode_id=202202130","ictv.global=202202130")</f>
        <v>ictv.global=202202130</v>
      </c>
    </row>
    <row r="9653" spans="1:21">
      <c r="A9653">
        <v>9652</v>
      </c>
      <c r="B9653" s="29" t="s">
        <v>3223</v>
      </c>
      <c r="C9653" s="29"/>
      <c r="D9653" s="29" t="s">
        <v>4156</v>
      </c>
      <c r="E9653" s="29"/>
      <c r="F9653" s="29" t="s">
        <v>4230</v>
      </c>
      <c r="G9653" s="29"/>
      <c r="H9653" s="29" t="s">
        <v>4233</v>
      </c>
      <c r="I9653" s="29"/>
      <c r="J9653" s="29" t="s">
        <v>806</v>
      </c>
      <c r="K9653" s="29"/>
      <c r="L9653" s="29" t="s">
        <v>1466</v>
      </c>
      <c r="M9653" s="29" t="s">
        <v>1390</v>
      </c>
      <c r="N9653" s="29" t="s">
        <v>1389</v>
      </c>
      <c r="O9653" s="29"/>
      <c r="P9653" s="29" t="s">
        <v>14210</v>
      </c>
      <c r="Q9653" t="s">
        <v>2040</v>
      </c>
      <c r="R9653" t="s">
        <v>2635</v>
      </c>
      <c r="S9653">
        <v>38</v>
      </c>
      <c r="T9653" s="43" t="str">
        <f t="shared" si="413"/>
        <v>2022.005P.Secoviridae_rename.zip</v>
      </c>
      <c r="U9653" s="43" t="str">
        <f>HYPERLINK("https://ictv.global/taxonomy/taxondetails?taxnode_id=202202131","ictv.global=202202131")</f>
        <v>ictv.global=202202131</v>
      </c>
    </row>
    <row r="9654" spans="1:21">
      <c r="A9654">
        <v>9653</v>
      </c>
      <c r="B9654" s="29" t="s">
        <v>3223</v>
      </c>
      <c r="C9654" s="29"/>
      <c r="D9654" s="29" t="s">
        <v>4156</v>
      </c>
      <c r="E9654" s="29"/>
      <c r="F9654" s="29" t="s">
        <v>4230</v>
      </c>
      <c r="G9654" s="29"/>
      <c r="H9654" s="29" t="s">
        <v>4233</v>
      </c>
      <c r="I9654" s="29"/>
      <c r="J9654" s="29" t="s">
        <v>806</v>
      </c>
      <c r="K9654" s="29"/>
      <c r="L9654" s="29" t="s">
        <v>1466</v>
      </c>
      <c r="M9654" s="29" t="s">
        <v>1390</v>
      </c>
      <c r="N9654" s="29" t="s">
        <v>1389</v>
      </c>
      <c r="O9654" s="29"/>
      <c r="P9654" s="29" t="s">
        <v>14211</v>
      </c>
      <c r="Q9654" t="s">
        <v>2040</v>
      </c>
      <c r="R9654" t="s">
        <v>2635</v>
      </c>
      <c r="S9654">
        <v>38</v>
      </c>
      <c r="T9654" s="43" t="str">
        <f t="shared" si="413"/>
        <v>2022.005P.Secoviridae_rename.zip</v>
      </c>
      <c r="U9654" s="43" t="str">
        <f>HYPERLINK("https://ictv.global/taxonomy/taxondetails?taxnode_id=202202125","ictv.global=202202125")</f>
        <v>ictv.global=202202125</v>
      </c>
    </row>
    <row r="9655" spans="1:21">
      <c r="A9655">
        <v>9654</v>
      </c>
      <c r="B9655" s="29" t="s">
        <v>3223</v>
      </c>
      <c r="C9655" s="29"/>
      <c r="D9655" s="29" t="s">
        <v>4156</v>
      </c>
      <c r="E9655" s="29"/>
      <c r="F9655" s="29" t="s">
        <v>4230</v>
      </c>
      <c r="G9655" s="29"/>
      <c r="H9655" s="29" t="s">
        <v>4233</v>
      </c>
      <c r="I9655" s="29"/>
      <c r="J9655" s="29" t="s">
        <v>806</v>
      </c>
      <c r="K9655" s="29"/>
      <c r="L9655" s="29" t="s">
        <v>1466</v>
      </c>
      <c r="M9655" s="29" t="s">
        <v>1390</v>
      </c>
      <c r="N9655" s="29" t="s">
        <v>1389</v>
      </c>
      <c r="O9655" s="29"/>
      <c r="P9655" s="29" t="s">
        <v>14212</v>
      </c>
      <c r="Q9655" t="s">
        <v>2040</v>
      </c>
      <c r="R9655" t="s">
        <v>2635</v>
      </c>
      <c r="S9655">
        <v>38</v>
      </c>
      <c r="T9655" s="43" t="str">
        <f t="shared" si="413"/>
        <v>2022.005P.Secoviridae_rename.zip</v>
      </c>
      <c r="U9655" s="43" t="str">
        <f>HYPERLINK("https://ictv.global/taxonomy/taxondetails?taxnode_id=202202126","ictv.global=202202126")</f>
        <v>ictv.global=202202126</v>
      </c>
    </row>
    <row r="9656" spans="1:21">
      <c r="A9656">
        <v>9655</v>
      </c>
      <c r="B9656" s="29" t="s">
        <v>3223</v>
      </c>
      <c r="C9656" s="29"/>
      <c r="D9656" s="29" t="s">
        <v>4156</v>
      </c>
      <c r="E9656" s="29"/>
      <c r="F9656" s="29" t="s">
        <v>4230</v>
      </c>
      <c r="G9656" s="29"/>
      <c r="H9656" s="29" t="s">
        <v>4233</v>
      </c>
      <c r="I9656" s="29"/>
      <c r="J9656" s="29" t="s">
        <v>806</v>
      </c>
      <c r="K9656" s="29"/>
      <c r="L9656" s="29" t="s">
        <v>1466</v>
      </c>
      <c r="M9656" s="29" t="s">
        <v>1390</v>
      </c>
      <c r="N9656" s="29" t="s">
        <v>1389</v>
      </c>
      <c r="O9656" s="29"/>
      <c r="P9656" s="29" t="s">
        <v>14213</v>
      </c>
      <c r="Q9656" t="s">
        <v>2040</v>
      </c>
      <c r="R9656" t="s">
        <v>2635</v>
      </c>
      <c r="S9656">
        <v>38</v>
      </c>
      <c r="T9656" s="43" t="str">
        <f t="shared" si="413"/>
        <v>2022.005P.Secoviridae_rename.zip</v>
      </c>
      <c r="U9656" s="43" t="str">
        <f>HYPERLINK("https://ictv.global/taxonomy/taxondetails?taxnode_id=202212969","ictv.global=202212969")</f>
        <v>ictv.global=202212969</v>
      </c>
    </row>
    <row r="9657" spans="1:21">
      <c r="A9657">
        <v>9656</v>
      </c>
      <c r="B9657" s="29" t="s">
        <v>3223</v>
      </c>
      <c r="C9657" s="29"/>
      <c r="D9657" s="29" t="s">
        <v>4156</v>
      </c>
      <c r="E9657" s="29"/>
      <c r="F9657" s="29" t="s">
        <v>4230</v>
      </c>
      <c r="G9657" s="29"/>
      <c r="H9657" s="29" t="s">
        <v>4233</v>
      </c>
      <c r="I9657" s="29"/>
      <c r="J9657" s="29" t="s">
        <v>806</v>
      </c>
      <c r="K9657" s="29"/>
      <c r="L9657" s="29" t="s">
        <v>1466</v>
      </c>
      <c r="M9657" s="29" t="s">
        <v>1390</v>
      </c>
      <c r="N9657" s="29" t="s">
        <v>1389</v>
      </c>
      <c r="O9657" s="29"/>
      <c r="P9657" s="29" t="s">
        <v>14214</v>
      </c>
      <c r="Q9657" t="s">
        <v>2040</v>
      </c>
      <c r="R9657" t="s">
        <v>2635</v>
      </c>
      <c r="S9657">
        <v>38</v>
      </c>
      <c r="T9657" s="43" t="str">
        <f t="shared" si="413"/>
        <v>2022.005P.Secoviridae_rename.zip</v>
      </c>
      <c r="U9657" s="43" t="str">
        <f>HYPERLINK("https://ictv.global/taxonomy/taxondetails?taxnode_id=202212970","ictv.global=202212970")</f>
        <v>ictv.global=202212970</v>
      </c>
    </row>
    <row r="9658" spans="1:21">
      <c r="A9658">
        <v>9657</v>
      </c>
      <c r="B9658" s="29" t="s">
        <v>3223</v>
      </c>
      <c r="C9658" s="29"/>
      <c r="D9658" s="29" t="s">
        <v>4156</v>
      </c>
      <c r="E9658" s="29"/>
      <c r="F9658" s="29" t="s">
        <v>4230</v>
      </c>
      <c r="G9658" s="29"/>
      <c r="H9658" s="29" t="s">
        <v>4233</v>
      </c>
      <c r="I9658" s="29"/>
      <c r="J9658" s="29" t="s">
        <v>806</v>
      </c>
      <c r="K9658" s="29"/>
      <c r="L9658" s="29" t="s">
        <v>1466</v>
      </c>
      <c r="M9658" s="29" t="s">
        <v>1390</v>
      </c>
      <c r="N9658" s="29" t="s">
        <v>1389</v>
      </c>
      <c r="O9658" s="29"/>
      <c r="P9658" s="29" t="s">
        <v>14215</v>
      </c>
      <c r="Q9658" t="s">
        <v>2040</v>
      </c>
      <c r="R9658" t="s">
        <v>2635</v>
      </c>
      <c r="S9658">
        <v>38</v>
      </c>
      <c r="T9658" s="43" t="str">
        <f t="shared" si="413"/>
        <v>2022.005P.Secoviridae_rename.zip</v>
      </c>
      <c r="U9658" s="43" t="str">
        <f>HYPERLINK("https://ictv.global/taxonomy/taxondetails?taxnode_id=202212971","ictv.global=202212971")</f>
        <v>ictv.global=202212971</v>
      </c>
    </row>
    <row r="9659" spans="1:21">
      <c r="A9659">
        <v>9658</v>
      </c>
      <c r="B9659" s="29" t="s">
        <v>3223</v>
      </c>
      <c r="C9659" s="29"/>
      <c r="D9659" s="29" t="s">
        <v>4156</v>
      </c>
      <c r="E9659" s="29"/>
      <c r="F9659" s="29" t="s">
        <v>4230</v>
      </c>
      <c r="G9659" s="29"/>
      <c r="H9659" s="29" t="s">
        <v>4233</v>
      </c>
      <c r="I9659" s="29"/>
      <c r="J9659" s="29" t="s">
        <v>806</v>
      </c>
      <c r="K9659" s="29"/>
      <c r="L9659" s="29" t="s">
        <v>1466</v>
      </c>
      <c r="M9659" s="29" t="s">
        <v>1390</v>
      </c>
      <c r="N9659" s="29" t="s">
        <v>1389</v>
      </c>
      <c r="O9659" s="29"/>
      <c r="P9659" s="29" t="s">
        <v>14216</v>
      </c>
      <c r="Q9659" t="s">
        <v>2040</v>
      </c>
      <c r="R9659" t="s">
        <v>2635</v>
      </c>
      <c r="S9659">
        <v>38</v>
      </c>
      <c r="T9659" s="43" t="str">
        <f t="shared" si="413"/>
        <v>2022.005P.Secoviridae_rename.zip</v>
      </c>
      <c r="U9659" s="43" t="str">
        <f>HYPERLINK("https://ictv.global/taxonomy/taxondetails?taxnode_id=202202103","ictv.global=202202103")</f>
        <v>ictv.global=202202103</v>
      </c>
    </row>
    <row r="9660" spans="1:21">
      <c r="A9660">
        <v>9659</v>
      </c>
      <c r="B9660" s="29" t="s">
        <v>3223</v>
      </c>
      <c r="C9660" s="29"/>
      <c r="D9660" s="29" t="s">
        <v>4156</v>
      </c>
      <c r="E9660" s="29"/>
      <c r="F9660" s="29" t="s">
        <v>4230</v>
      </c>
      <c r="G9660" s="29"/>
      <c r="H9660" s="29" t="s">
        <v>4233</v>
      </c>
      <c r="I9660" s="29"/>
      <c r="J9660" s="29" t="s">
        <v>806</v>
      </c>
      <c r="K9660" s="29"/>
      <c r="L9660" s="29" t="s">
        <v>1466</v>
      </c>
      <c r="M9660" s="29" t="s">
        <v>1390</v>
      </c>
      <c r="N9660" s="29" t="s">
        <v>1389</v>
      </c>
      <c r="O9660" s="29"/>
      <c r="P9660" s="29" t="s">
        <v>14217</v>
      </c>
      <c r="Q9660" t="s">
        <v>2040</v>
      </c>
      <c r="R9660" t="s">
        <v>2635</v>
      </c>
      <c r="S9660">
        <v>38</v>
      </c>
      <c r="T9660" s="43" t="str">
        <f t="shared" si="413"/>
        <v>2022.005P.Secoviridae_rename.zip</v>
      </c>
      <c r="U9660" s="43" t="str">
        <f>HYPERLINK("https://ictv.global/taxonomy/taxondetails?taxnode_id=202202129","ictv.global=202202129")</f>
        <v>ictv.global=202202129</v>
      </c>
    </row>
    <row r="9661" spans="1:21">
      <c r="A9661">
        <v>9660</v>
      </c>
      <c r="B9661" s="29" t="s">
        <v>3223</v>
      </c>
      <c r="C9661" s="29"/>
      <c r="D9661" s="29" t="s">
        <v>4156</v>
      </c>
      <c r="E9661" s="29"/>
      <c r="F9661" s="29" t="s">
        <v>4230</v>
      </c>
      <c r="G9661" s="29"/>
      <c r="H9661" s="29" t="s">
        <v>4233</v>
      </c>
      <c r="I9661" s="29"/>
      <c r="J9661" s="29" t="s">
        <v>806</v>
      </c>
      <c r="K9661" s="29"/>
      <c r="L9661" s="29" t="s">
        <v>1466</v>
      </c>
      <c r="M9661" s="29" t="s">
        <v>1390</v>
      </c>
      <c r="N9661" s="29" t="s">
        <v>1389</v>
      </c>
      <c r="O9661" s="29"/>
      <c r="P9661" s="29" t="s">
        <v>14218</v>
      </c>
      <c r="Q9661" t="s">
        <v>2040</v>
      </c>
      <c r="R9661" t="s">
        <v>2635</v>
      </c>
      <c r="S9661">
        <v>38</v>
      </c>
      <c r="T9661" s="43" t="str">
        <f t="shared" si="413"/>
        <v>2022.005P.Secoviridae_rename.zip</v>
      </c>
      <c r="U9661" s="43" t="str">
        <f>HYPERLINK("https://ictv.global/taxonomy/taxondetails?taxnode_id=202213816","ictv.global=202213816")</f>
        <v>ictv.global=202213816</v>
      </c>
    </row>
    <row r="9662" spans="1:21">
      <c r="A9662">
        <v>9661</v>
      </c>
      <c r="B9662" s="29" t="s">
        <v>3223</v>
      </c>
      <c r="C9662" s="29"/>
      <c r="D9662" s="29" t="s">
        <v>4156</v>
      </c>
      <c r="E9662" s="29"/>
      <c r="F9662" s="29" t="s">
        <v>4230</v>
      </c>
      <c r="G9662" s="29"/>
      <c r="H9662" s="29" t="s">
        <v>4233</v>
      </c>
      <c r="I9662" s="29"/>
      <c r="J9662" s="29" t="s">
        <v>806</v>
      </c>
      <c r="K9662" s="29"/>
      <c r="L9662" s="29" t="s">
        <v>1466</v>
      </c>
      <c r="M9662" s="29" t="s">
        <v>1390</v>
      </c>
      <c r="N9662" s="29" t="s">
        <v>1389</v>
      </c>
      <c r="O9662" s="29"/>
      <c r="P9662" s="29" t="s">
        <v>14219</v>
      </c>
      <c r="Q9662" t="s">
        <v>2040</v>
      </c>
      <c r="R9662" t="s">
        <v>2635</v>
      </c>
      <c r="S9662">
        <v>38</v>
      </c>
      <c r="T9662" s="43" t="str">
        <f t="shared" si="413"/>
        <v>2022.005P.Secoviridae_rename.zip</v>
      </c>
      <c r="U9662" s="43" t="str">
        <f>HYPERLINK("https://ictv.global/taxonomy/taxondetails?taxnode_id=202202127","ictv.global=202202127")</f>
        <v>ictv.global=202202127</v>
      </c>
    </row>
    <row r="9663" spans="1:21">
      <c r="A9663">
        <v>9662</v>
      </c>
      <c r="B9663" s="29" t="s">
        <v>3223</v>
      </c>
      <c r="C9663" s="29"/>
      <c r="D9663" s="29" t="s">
        <v>4156</v>
      </c>
      <c r="E9663" s="29"/>
      <c r="F9663" s="29" t="s">
        <v>4230</v>
      </c>
      <c r="G9663" s="29"/>
      <c r="H9663" s="29" t="s">
        <v>4233</v>
      </c>
      <c r="I9663" s="29"/>
      <c r="J9663" s="29" t="s">
        <v>806</v>
      </c>
      <c r="K9663" s="29"/>
      <c r="L9663" s="29" t="s">
        <v>1466</v>
      </c>
      <c r="M9663" s="29" t="s">
        <v>1390</v>
      </c>
      <c r="N9663" s="29" t="s">
        <v>1389</v>
      </c>
      <c r="O9663" s="29"/>
      <c r="P9663" s="29" t="s">
        <v>14220</v>
      </c>
      <c r="Q9663" t="s">
        <v>2040</v>
      </c>
      <c r="R9663" t="s">
        <v>2632</v>
      </c>
      <c r="S9663">
        <v>38</v>
      </c>
      <c r="T9663" s="43" t="str">
        <f>HYPERLINK("https://ictv.global/ictv/proposals/2022.004P.Secoviridae_8ns.zip","2022.004P.Secoviridae_8ns.zip")</f>
        <v>2022.004P.Secoviridae_8ns.zip</v>
      </c>
      <c r="U9663" s="43" t="str">
        <f>HYPERLINK("https://ictv.global/taxonomy/taxondetails?taxnode_id=202215092","ictv.global=202215092")</f>
        <v>ictv.global=202215092</v>
      </c>
    </row>
    <row r="9664" spans="1:21">
      <c r="A9664">
        <v>9663</v>
      </c>
      <c r="B9664" s="29" t="s">
        <v>3223</v>
      </c>
      <c r="C9664" s="29"/>
      <c r="D9664" s="29" t="s">
        <v>4156</v>
      </c>
      <c r="E9664" s="29"/>
      <c r="F9664" s="29" t="s">
        <v>4230</v>
      </c>
      <c r="G9664" s="29"/>
      <c r="H9664" s="29" t="s">
        <v>4233</v>
      </c>
      <c r="I9664" s="29"/>
      <c r="J9664" s="29" t="s">
        <v>806</v>
      </c>
      <c r="K9664" s="29"/>
      <c r="L9664" s="29" t="s">
        <v>1466</v>
      </c>
      <c r="M9664" s="29" t="s">
        <v>1390</v>
      </c>
      <c r="N9664" s="29" t="s">
        <v>1389</v>
      </c>
      <c r="O9664" s="29"/>
      <c r="P9664" s="29" t="s">
        <v>14221</v>
      </c>
      <c r="Q9664" t="s">
        <v>2040</v>
      </c>
      <c r="R9664" t="s">
        <v>2635</v>
      </c>
      <c r="S9664">
        <v>38</v>
      </c>
      <c r="T9664" s="43" t="str">
        <f t="shared" ref="T9664:T9674" si="414">HYPERLINK("https://ictv.global/ictv/proposals/2022.005P.Secoviridae_rename.zip","2022.005P.Secoviridae_rename.zip")</f>
        <v>2022.005P.Secoviridae_rename.zip</v>
      </c>
      <c r="U9664" s="43" t="str">
        <f>HYPERLINK("https://ictv.global/taxonomy/taxondetails?taxnode_id=202202110","ictv.global=202202110")</f>
        <v>ictv.global=202202110</v>
      </c>
    </row>
    <row r="9665" spans="1:21">
      <c r="A9665">
        <v>9664</v>
      </c>
      <c r="B9665" s="29" t="s">
        <v>3223</v>
      </c>
      <c r="C9665" s="29"/>
      <c r="D9665" s="29" t="s">
        <v>4156</v>
      </c>
      <c r="E9665" s="29"/>
      <c r="F9665" s="29" t="s">
        <v>4230</v>
      </c>
      <c r="G9665" s="29"/>
      <c r="H9665" s="29" t="s">
        <v>4233</v>
      </c>
      <c r="I9665" s="29"/>
      <c r="J9665" s="29" t="s">
        <v>806</v>
      </c>
      <c r="K9665" s="29"/>
      <c r="L9665" s="29" t="s">
        <v>1466</v>
      </c>
      <c r="M9665" s="29" t="s">
        <v>1390</v>
      </c>
      <c r="N9665" s="29" t="s">
        <v>1389</v>
      </c>
      <c r="O9665" s="29"/>
      <c r="P9665" s="29" t="s">
        <v>14222</v>
      </c>
      <c r="Q9665" t="s">
        <v>2040</v>
      </c>
      <c r="R9665" t="s">
        <v>2635</v>
      </c>
      <c r="S9665">
        <v>38</v>
      </c>
      <c r="T9665" s="43" t="str">
        <f t="shared" si="414"/>
        <v>2022.005P.Secoviridae_rename.zip</v>
      </c>
      <c r="U9665" s="43" t="str">
        <f>HYPERLINK("https://ictv.global/taxonomy/taxondetails?taxnode_id=202202111","ictv.global=202202111")</f>
        <v>ictv.global=202202111</v>
      </c>
    </row>
    <row r="9666" spans="1:21">
      <c r="A9666">
        <v>9665</v>
      </c>
      <c r="B9666" s="29" t="s">
        <v>3223</v>
      </c>
      <c r="C9666" s="29"/>
      <c r="D9666" s="29" t="s">
        <v>4156</v>
      </c>
      <c r="E9666" s="29"/>
      <c r="F9666" s="29" t="s">
        <v>4230</v>
      </c>
      <c r="G9666" s="29"/>
      <c r="H9666" s="29" t="s">
        <v>4233</v>
      </c>
      <c r="I9666" s="29"/>
      <c r="J9666" s="29" t="s">
        <v>806</v>
      </c>
      <c r="K9666" s="29"/>
      <c r="L9666" s="29" t="s">
        <v>1466</v>
      </c>
      <c r="M9666" s="29" t="s">
        <v>1390</v>
      </c>
      <c r="N9666" s="29" t="s">
        <v>1389</v>
      </c>
      <c r="O9666" s="29"/>
      <c r="P9666" s="29" t="s">
        <v>14223</v>
      </c>
      <c r="Q9666" t="s">
        <v>2040</v>
      </c>
      <c r="R9666" t="s">
        <v>2635</v>
      </c>
      <c r="S9666">
        <v>38</v>
      </c>
      <c r="T9666" s="43" t="str">
        <f t="shared" si="414"/>
        <v>2022.005P.Secoviridae_rename.zip</v>
      </c>
      <c r="U9666" s="43" t="str">
        <f>HYPERLINK("https://ictv.global/taxonomy/taxondetails?taxnode_id=202202118","ictv.global=202202118")</f>
        <v>ictv.global=202202118</v>
      </c>
    </row>
    <row r="9667" spans="1:21">
      <c r="A9667">
        <v>9666</v>
      </c>
      <c r="B9667" s="29" t="s">
        <v>3223</v>
      </c>
      <c r="C9667" s="29"/>
      <c r="D9667" s="29" t="s">
        <v>4156</v>
      </c>
      <c r="E9667" s="29"/>
      <c r="F9667" s="29" t="s">
        <v>4230</v>
      </c>
      <c r="G9667" s="29"/>
      <c r="H9667" s="29" t="s">
        <v>4233</v>
      </c>
      <c r="I9667" s="29"/>
      <c r="J9667" s="29" t="s">
        <v>806</v>
      </c>
      <c r="K9667" s="29"/>
      <c r="L9667" s="29" t="s">
        <v>1466</v>
      </c>
      <c r="M9667" s="29" t="s">
        <v>1390</v>
      </c>
      <c r="N9667" s="29" t="s">
        <v>1389</v>
      </c>
      <c r="O9667" s="29"/>
      <c r="P9667" s="29" t="s">
        <v>14224</v>
      </c>
      <c r="Q9667" t="s">
        <v>2040</v>
      </c>
      <c r="R9667" t="s">
        <v>2635</v>
      </c>
      <c r="S9667">
        <v>38</v>
      </c>
      <c r="T9667" s="43" t="str">
        <f t="shared" si="414"/>
        <v>2022.005P.Secoviridae_rename.zip</v>
      </c>
      <c r="U9667" s="43" t="str">
        <f>HYPERLINK("https://ictv.global/taxonomy/taxondetails?taxnode_id=202202128","ictv.global=202202128")</f>
        <v>ictv.global=202202128</v>
      </c>
    </row>
    <row r="9668" spans="1:21">
      <c r="A9668">
        <v>9667</v>
      </c>
      <c r="B9668" s="29" t="s">
        <v>3223</v>
      </c>
      <c r="C9668" s="29"/>
      <c r="D9668" s="29" t="s">
        <v>4156</v>
      </c>
      <c r="E9668" s="29"/>
      <c r="F9668" s="29" t="s">
        <v>4230</v>
      </c>
      <c r="G9668" s="29"/>
      <c r="H9668" s="29" t="s">
        <v>4233</v>
      </c>
      <c r="I9668" s="29"/>
      <c r="J9668" s="29" t="s">
        <v>806</v>
      </c>
      <c r="K9668" s="29"/>
      <c r="L9668" s="29" t="s">
        <v>1466</v>
      </c>
      <c r="M9668" s="29" t="s">
        <v>1390</v>
      </c>
      <c r="N9668" s="29" t="s">
        <v>1389</v>
      </c>
      <c r="O9668" s="29"/>
      <c r="P9668" s="29" t="s">
        <v>14225</v>
      </c>
      <c r="Q9668" t="s">
        <v>2040</v>
      </c>
      <c r="R9668" t="s">
        <v>2635</v>
      </c>
      <c r="S9668">
        <v>38</v>
      </c>
      <c r="T9668" s="43" t="str">
        <f t="shared" si="414"/>
        <v>2022.005P.Secoviridae_rename.zip</v>
      </c>
      <c r="U9668" s="43" t="str">
        <f>HYPERLINK("https://ictv.global/taxonomy/taxondetails?taxnode_id=202202104","ictv.global=202202104")</f>
        <v>ictv.global=202202104</v>
      </c>
    </row>
    <row r="9669" spans="1:21">
      <c r="A9669">
        <v>9668</v>
      </c>
      <c r="B9669" s="29" t="s">
        <v>3223</v>
      </c>
      <c r="C9669" s="29"/>
      <c r="D9669" s="29" t="s">
        <v>4156</v>
      </c>
      <c r="E9669" s="29"/>
      <c r="F9669" s="29" t="s">
        <v>4230</v>
      </c>
      <c r="G9669" s="29"/>
      <c r="H9669" s="29" t="s">
        <v>4233</v>
      </c>
      <c r="I9669" s="29"/>
      <c r="J9669" s="29" t="s">
        <v>806</v>
      </c>
      <c r="K9669" s="29"/>
      <c r="L9669" s="29" t="s">
        <v>1466</v>
      </c>
      <c r="M9669" s="29"/>
      <c r="N9669" s="29" t="s">
        <v>506</v>
      </c>
      <c r="O9669" s="29"/>
      <c r="P9669" s="29" t="s">
        <v>14226</v>
      </c>
      <c r="Q9669" t="s">
        <v>2040</v>
      </c>
      <c r="R9669" t="s">
        <v>2635</v>
      </c>
      <c r="S9669">
        <v>38</v>
      </c>
      <c r="T9669" s="43" t="str">
        <f t="shared" si="414"/>
        <v>2022.005P.Secoviridae_rename.zip</v>
      </c>
      <c r="U9669" s="43" t="str">
        <f>HYPERLINK("https://ictv.global/taxonomy/taxondetails?taxnode_id=202202136","ictv.global=202202136")</f>
        <v>ictv.global=202202136</v>
      </c>
    </row>
    <row r="9670" spans="1:21">
      <c r="A9670">
        <v>9669</v>
      </c>
      <c r="B9670" s="29" t="s">
        <v>3223</v>
      </c>
      <c r="C9670" s="29"/>
      <c r="D9670" s="29" t="s">
        <v>4156</v>
      </c>
      <c r="E9670" s="29"/>
      <c r="F9670" s="29" t="s">
        <v>4230</v>
      </c>
      <c r="G9670" s="29"/>
      <c r="H9670" s="29" t="s">
        <v>4233</v>
      </c>
      <c r="I9670" s="29"/>
      <c r="J9670" s="29" t="s">
        <v>806</v>
      </c>
      <c r="K9670" s="29"/>
      <c r="L9670" s="29" t="s">
        <v>1466</v>
      </c>
      <c r="M9670" s="29"/>
      <c r="N9670" s="29" t="s">
        <v>506</v>
      </c>
      <c r="O9670" s="29"/>
      <c r="P9670" s="29" t="s">
        <v>14227</v>
      </c>
      <c r="Q9670" t="s">
        <v>2040</v>
      </c>
      <c r="R9670" t="s">
        <v>2635</v>
      </c>
      <c r="S9670">
        <v>38</v>
      </c>
      <c r="T9670" s="43" t="str">
        <f t="shared" si="414"/>
        <v>2022.005P.Secoviridae_rename.zip</v>
      </c>
      <c r="U9670" s="43" t="str">
        <f>HYPERLINK("https://ictv.global/taxonomy/taxondetails?taxnode_id=202202137","ictv.global=202202137")</f>
        <v>ictv.global=202202137</v>
      </c>
    </row>
    <row r="9671" spans="1:21">
      <c r="A9671">
        <v>9670</v>
      </c>
      <c r="B9671" s="29" t="s">
        <v>3223</v>
      </c>
      <c r="C9671" s="29"/>
      <c r="D9671" s="29" t="s">
        <v>4156</v>
      </c>
      <c r="E9671" s="29"/>
      <c r="F9671" s="29" t="s">
        <v>4230</v>
      </c>
      <c r="G9671" s="29"/>
      <c r="H9671" s="29" t="s">
        <v>4233</v>
      </c>
      <c r="I9671" s="29"/>
      <c r="J9671" s="29" t="s">
        <v>806</v>
      </c>
      <c r="K9671" s="29"/>
      <c r="L9671" s="29" t="s">
        <v>1466</v>
      </c>
      <c r="M9671" s="29"/>
      <c r="N9671" s="29" t="s">
        <v>506</v>
      </c>
      <c r="O9671" s="29"/>
      <c r="P9671" s="29" t="s">
        <v>14228</v>
      </c>
      <c r="Q9671" t="s">
        <v>2040</v>
      </c>
      <c r="R9671" t="s">
        <v>2635</v>
      </c>
      <c r="S9671">
        <v>38</v>
      </c>
      <c r="T9671" s="43" t="str">
        <f t="shared" si="414"/>
        <v>2022.005P.Secoviridae_rename.zip</v>
      </c>
      <c r="U9671" s="43" t="str">
        <f>HYPERLINK("https://ictv.global/taxonomy/taxondetails?taxnode_id=202202135","ictv.global=202202135")</f>
        <v>ictv.global=202202135</v>
      </c>
    </row>
    <row r="9672" spans="1:21">
      <c r="A9672">
        <v>9671</v>
      </c>
      <c r="B9672" s="29" t="s">
        <v>3223</v>
      </c>
      <c r="C9672" s="29"/>
      <c r="D9672" s="29" t="s">
        <v>4156</v>
      </c>
      <c r="E9672" s="29"/>
      <c r="F9672" s="29" t="s">
        <v>4230</v>
      </c>
      <c r="G9672" s="29"/>
      <c r="H9672" s="29" t="s">
        <v>4233</v>
      </c>
      <c r="I9672" s="29"/>
      <c r="J9672" s="29" t="s">
        <v>806</v>
      </c>
      <c r="K9672" s="29"/>
      <c r="L9672" s="29" t="s">
        <v>1466</v>
      </c>
      <c r="M9672" s="29"/>
      <c r="N9672" s="29" t="s">
        <v>506</v>
      </c>
      <c r="O9672" s="29"/>
      <c r="P9672" s="29" t="s">
        <v>14229</v>
      </c>
      <c r="Q9672" t="s">
        <v>2040</v>
      </c>
      <c r="R9672" t="s">
        <v>2635</v>
      </c>
      <c r="S9672">
        <v>38</v>
      </c>
      <c r="T9672" s="43" t="str">
        <f t="shared" si="414"/>
        <v>2022.005P.Secoviridae_rename.zip</v>
      </c>
      <c r="U9672" s="43" t="str">
        <f>HYPERLINK("https://ictv.global/taxonomy/taxondetails?taxnode_id=202202139","ictv.global=202202139")</f>
        <v>ictv.global=202202139</v>
      </c>
    </row>
    <row r="9673" spans="1:21">
      <c r="A9673">
        <v>9672</v>
      </c>
      <c r="B9673" s="29" t="s">
        <v>3223</v>
      </c>
      <c r="C9673" s="29"/>
      <c r="D9673" s="29" t="s">
        <v>4156</v>
      </c>
      <c r="E9673" s="29"/>
      <c r="F9673" s="29" t="s">
        <v>4230</v>
      </c>
      <c r="G9673" s="29"/>
      <c r="H9673" s="29" t="s">
        <v>4233</v>
      </c>
      <c r="I9673" s="29"/>
      <c r="J9673" s="29" t="s">
        <v>806</v>
      </c>
      <c r="K9673" s="29"/>
      <c r="L9673" s="29" t="s">
        <v>1466</v>
      </c>
      <c r="M9673" s="29"/>
      <c r="N9673" s="29" t="s">
        <v>506</v>
      </c>
      <c r="O9673" s="29"/>
      <c r="P9673" s="29" t="s">
        <v>14230</v>
      </c>
      <c r="Q9673" t="s">
        <v>2040</v>
      </c>
      <c r="R9673" t="s">
        <v>2635</v>
      </c>
      <c r="S9673">
        <v>38</v>
      </c>
      <c r="T9673" s="43" t="str">
        <f t="shared" si="414"/>
        <v>2022.005P.Secoviridae_rename.zip</v>
      </c>
      <c r="U9673" s="43" t="str">
        <f>HYPERLINK("https://ictv.global/taxonomy/taxondetails?taxnode_id=202202138","ictv.global=202202138")</f>
        <v>ictv.global=202202138</v>
      </c>
    </row>
    <row r="9674" spans="1:21">
      <c r="A9674">
        <v>9673</v>
      </c>
      <c r="B9674" s="29" t="s">
        <v>3223</v>
      </c>
      <c r="C9674" s="29"/>
      <c r="D9674" s="29" t="s">
        <v>4156</v>
      </c>
      <c r="E9674" s="29"/>
      <c r="F9674" s="29" t="s">
        <v>4230</v>
      </c>
      <c r="G9674" s="29"/>
      <c r="H9674" s="29" t="s">
        <v>4233</v>
      </c>
      <c r="I9674" s="29"/>
      <c r="J9674" s="29" t="s">
        <v>806</v>
      </c>
      <c r="K9674" s="29"/>
      <c r="L9674" s="29" t="s">
        <v>1466</v>
      </c>
      <c r="M9674" s="29"/>
      <c r="N9674" s="29" t="s">
        <v>1300</v>
      </c>
      <c r="O9674" s="29" t="s">
        <v>4333</v>
      </c>
      <c r="P9674" s="29" t="s">
        <v>14231</v>
      </c>
      <c r="Q9674" t="s">
        <v>2040</v>
      </c>
      <c r="R9674" t="s">
        <v>2635</v>
      </c>
      <c r="S9674">
        <v>38</v>
      </c>
      <c r="T9674" s="43" t="str">
        <f t="shared" si="414"/>
        <v>2022.005P.Secoviridae_rename.zip</v>
      </c>
      <c r="U9674" s="43" t="str">
        <f>HYPERLINK("https://ictv.global/taxonomy/taxondetails?taxnode_id=202213822","ictv.global=202213822")</f>
        <v>ictv.global=202213822</v>
      </c>
    </row>
    <row r="9675" spans="1:21">
      <c r="A9675">
        <v>9674</v>
      </c>
      <c r="B9675" s="29" t="s">
        <v>3223</v>
      </c>
      <c r="C9675" s="29"/>
      <c r="D9675" s="29" t="s">
        <v>4156</v>
      </c>
      <c r="E9675" s="29"/>
      <c r="F9675" s="29" t="s">
        <v>4230</v>
      </c>
      <c r="G9675" s="29"/>
      <c r="H9675" s="29" t="s">
        <v>4233</v>
      </c>
      <c r="I9675" s="29"/>
      <c r="J9675" s="29" t="s">
        <v>806</v>
      </c>
      <c r="K9675" s="29"/>
      <c r="L9675" s="29" t="s">
        <v>1466</v>
      </c>
      <c r="M9675" s="29"/>
      <c r="N9675" s="29" t="s">
        <v>1300</v>
      </c>
      <c r="O9675" s="29" t="s">
        <v>4333</v>
      </c>
      <c r="P9675" s="29" t="s">
        <v>14232</v>
      </c>
      <c r="Q9675" t="s">
        <v>2040</v>
      </c>
      <c r="R9675" t="s">
        <v>2632</v>
      </c>
      <c r="S9675">
        <v>38</v>
      </c>
      <c r="T9675" s="43" t="str">
        <f>HYPERLINK("https://ictv.global/ictv/proposals/2022.004P.Secoviridae_8ns.zip","2022.004P.Secoviridae_8ns.zip")</f>
        <v>2022.004P.Secoviridae_8ns.zip</v>
      </c>
      <c r="U9675" s="43" t="str">
        <f>HYPERLINK("https://ictv.global/taxonomy/taxondetails?taxnode_id=202215094","ictv.global=202215094")</f>
        <v>ictv.global=202215094</v>
      </c>
    </row>
    <row r="9676" spans="1:21">
      <c r="A9676">
        <v>9675</v>
      </c>
      <c r="B9676" s="29" t="s">
        <v>3223</v>
      </c>
      <c r="C9676" s="29"/>
      <c r="D9676" s="29" t="s">
        <v>4156</v>
      </c>
      <c r="E9676" s="29"/>
      <c r="F9676" s="29" t="s">
        <v>4230</v>
      </c>
      <c r="G9676" s="29"/>
      <c r="H9676" s="29" t="s">
        <v>4233</v>
      </c>
      <c r="I9676" s="29"/>
      <c r="J9676" s="29" t="s">
        <v>806</v>
      </c>
      <c r="K9676" s="29"/>
      <c r="L9676" s="29" t="s">
        <v>1466</v>
      </c>
      <c r="M9676" s="29"/>
      <c r="N9676" s="29" t="s">
        <v>1300</v>
      </c>
      <c r="O9676" s="29" t="s">
        <v>4333</v>
      </c>
      <c r="P9676" s="29" t="s">
        <v>14233</v>
      </c>
      <c r="Q9676" t="s">
        <v>2040</v>
      </c>
      <c r="R9676" t="s">
        <v>2635</v>
      </c>
      <c r="S9676">
        <v>38</v>
      </c>
      <c r="T9676" s="43" t="str">
        <f>HYPERLINK("https://ictv.global/ictv/proposals/2022.005P.Secoviridae_rename.zip","2022.005P.Secoviridae_rename.zip")</f>
        <v>2022.005P.Secoviridae_rename.zip</v>
      </c>
      <c r="U9676" s="43" t="str">
        <f>HYPERLINK("https://ictv.global/taxonomy/taxondetails?taxnode_id=202205630","ictv.global=202205630")</f>
        <v>ictv.global=202205630</v>
      </c>
    </row>
    <row r="9677" spans="1:21">
      <c r="A9677">
        <v>9676</v>
      </c>
      <c r="B9677" s="29" t="s">
        <v>3223</v>
      </c>
      <c r="C9677" s="29"/>
      <c r="D9677" s="29" t="s">
        <v>4156</v>
      </c>
      <c r="E9677" s="29"/>
      <c r="F9677" s="29" t="s">
        <v>4230</v>
      </c>
      <c r="G9677" s="29"/>
      <c r="H9677" s="29" t="s">
        <v>4233</v>
      </c>
      <c r="I9677" s="29"/>
      <c r="J9677" s="29" t="s">
        <v>806</v>
      </c>
      <c r="K9677" s="29"/>
      <c r="L9677" s="29" t="s">
        <v>1466</v>
      </c>
      <c r="M9677" s="29"/>
      <c r="N9677" s="29" t="s">
        <v>1300</v>
      </c>
      <c r="O9677" s="29" t="s">
        <v>4333</v>
      </c>
      <c r="P9677" s="29" t="s">
        <v>14234</v>
      </c>
      <c r="Q9677" t="s">
        <v>2040</v>
      </c>
      <c r="R9677" t="s">
        <v>2635</v>
      </c>
      <c r="S9677">
        <v>38</v>
      </c>
      <c r="T9677" s="43" t="str">
        <f>HYPERLINK("https://ictv.global/ictv/proposals/2022.005P.Secoviridae_rename.zip","2022.005P.Secoviridae_rename.zip")</f>
        <v>2022.005P.Secoviridae_rename.zip</v>
      </c>
      <c r="U9677" s="43" t="str">
        <f>HYPERLINK("https://ictv.global/taxonomy/taxondetails?taxnode_id=202202155","ictv.global=202202155")</f>
        <v>ictv.global=202202155</v>
      </c>
    </row>
    <row r="9678" spans="1:21">
      <c r="A9678">
        <v>9677</v>
      </c>
      <c r="B9678" s="29" t="s">
        <v>3223</v>
      </c>
      <c r="C9678" s="29"/>
      <c r="D9678" s="29" t="s">
        <v>4156</v>
      </c>
      <c r="E9678" s="29"/>
      <c r="F9678" s="29" t="s">
        <v>4230</v>
      </c>
      <c r="G9678" s="29"/>
      <c r="H9678" s="29" t="s">
        <v>4233</v>
      </c>
      <c r="I9678" s="29"/>
      <c r="J9678" s="29" t="s">
        <v>806</v>
      </c>
      <c r="K9678" s="29"/>
      <c r="L9678" s="29" t="s">
        <v>1466</v>
      </c>
      <c r="M9678" s="29"/>
      <c r="N9678" s="29" t="s">
        <v>1300</v>
      </c>
      <c r="O9678" s="29" t="s">
        <v>4334</v>
      </c>
      <c r="P9678" s="29" t="s">
        <v>14235</v>
      </c>
      <c r="Q9678" t="s">
        <v>2040</v>
      </c>
      <c r="R9678" t="s">
        <v>2635</v>
      </c>
      <c r="S9678">
        <v>38</v>
      </c>
      <c r="T9678" s="43" t="str">
        <f>HYPERLINK("https://ictv.global/ictv/proposals/2022.005P.Secoviridae_rename.zip","2022.005P.Secoviridae_rename.zip")</f>
        <v>2022.005P.Secoviridae_rename.zip</v>
      </c>
      <c r="U9678" s="43" t="str">
        <f>HYPERLINK("https://ictv.global/taxonomy/taxondetails?taxnode_id=202202141","ictv.global=202202141")</f>
        <v>ictv.global=202202141</v>
      </c>
    </row>
    <row r="9679" spans="1:21">
      <c r="A9679">
        <v>9678</v>
      </c>
      <c r="B9679" s="29" t="s">
        <v>3223</v>
      </c>
      <c r="C9679" s="29"/>
      <c r="D9679" s="29" t="s">
        <v>4156</v>
      </c>
      <c r="E9679" s="29"/>
      <c r="F9679" s="29" t="s">
        <v>4230</v>
      </c>
      <c r="G9679" s="29"/>
      <c r="H9679" s="29" t="s">
        <v>4233</v>
      </c>
      <c r="I9679" s="29"/>
      <c r="J9679" s="29" t="s">
        <v>806</v>
      </c>
      <c r="K9679" s="29"/>
      <c r="L9679" s="29" t="s">
        <v>1466</v>
      </c>
      <c r="M9679" s="29"/>
      <c r="N9679" s="29" t="s">
        <v>1300</v>
      </c>
      <c r="O9679" s="29" t="s">
        <v>4335</v>
      </c>
      <c r="P9679" s="29" t="s">
        <v>14236</v>
      </c>
      <c r="Q9679" t="s">
        <v>2040</v>
      </c>
      <c r="R9679" t="s">
        <v>2632</v>
      </c>
      <c r="S9679">
        <v>38</v>
      </c>
      <c r="T9679" s="43" t="str">
        <f>HYPERLINK("https://ictv.global/ictv/proposals/2022.004P.Secoviridae_8ns.zip","2022.004P.Secoviridae_8ns.zip")</f>
        <v>2022.004P.Secoviridae_8ns.zip</v>
      </c>
      <c r="U9679" s="43" t="str">
        <f>HYPERLINK("https://ictv.global/taxonomy/taxondetails?taxnode_id=202215095","ictv.global=202215095")</f>
        <v>ictv.global=202215095</v>
      </c>
    </row>
    <row r="9680" spans="1:21">
      <c r="A9680">
        <v>9679</v>
      </c>
      <c r="B9680" s="29" t="s">
        <v>3223</v>
      </c>
      <c r="C9680" s="29"/>
      <c r="D9680" s="29" t="s">
        <v>4156</v>
      </c>
      <c r="E9680" s="29"/>
      <c r="F9680" s="29" t="s">
        <v>4230</v>
      </c>
      <c r="G9680" s="29"/>
      <c r="H9680" s="29" t="s">
        <v>4233</v>
      </c>
      <c r="I9680" s="29"/>
      <c r="J9680" s="29" t="s">
        <v>806</v>
      </c>
      <c r="K9680" s="29"/>
      <c r="L9680" s="29" t="s">
        <v>1466</v>
      </c>
      <c r="M9680" s="29"/>
      <c r="N9680" s="29" t="s">
        <v>1300</v>
      </c>
      <c r="O9680" s="29" t="s">
        <v>4335</v>
      </c>
      <c r="P9680" s="29" t="s">
        <v>14237</v>
      </c>
      <c r="Q9680" t="s">
        <v>2040</v>
      </c>
      <c r="R9680" t="s">
        <v>2635</v>
      </c>
      <c r="S9680">
        <v>38</v>
      </c>
      <c r="T9680" s="43" t="str">
        <f t="shared" ref="T9680:T9690" si="415">HYPERLINK("https://ictv.global/ictv/proposals/2022.005P.Secoviridae_rename.zip","2022.005P.Secoviridae_rename.zip")</f>
        <v>2022.005P.Secoviridae_rename.zip</v>
      </c>
      <c r="U9680" s="43" t="str">
        <f>HYPERLINK("https://ictv.global/taxonomy/taxondetails?taxnode_id=202202157","ictv.global=202202157")</f>
        <v>ictv.global=202202157</v>
      </c>
    </row>
    <row r="9681" spans="1:21">
      <c r="A9681">
        <v>9680</v>
      </c>
      <c r="B9681" s="29" t="s">
        <v>3223</v>
      </c>
      <c r="C9681" s="29"/>
      <c r="D9681" s="29" t="s">
        <v>4156</v>
      </c>
      <c r="E9681" s="29"/>
      <c r="F9681" s="29" t="s">
        <v>4230</v>
      </c>
      <c r="G9681" s="29"/>
      <c r="H9681" s="29" t="s">
        <v>4233</v>
      </c>
      <c r="I9681" s="29"/>
      <c r="J9681" s="29" t="s">
        <v>806</v>
      </c>
      <c r="K9681" s="29"/>
      <c r="L9681" s="29" t="s">
        <v>1466</v>
      </c>
      <c r="M9681" s="29"/>
      <c r="N9681" s="29" t="s">
        <v>1300</v>
      </c>
      <c r="O9681" s="29" t="s">
        <v>4335</v>
      </c>
      <c r="P9681" s="29" t="s">
        <v>14238</v>
      </c>
      <c r="Q9681" t="s">
        <v>2040</v>
      </c>
      <c r="R9681" t="s">
        <v>2635</v>
      </c>
      <c r="S9681">
        <v>38</v>
      </c>
      <c r="T9681" s="43" t="str">
        <f t="shared" si="415"/>
        <v>2022.005P.Secoviridae_rename.zip</v>
      </c>
      <c r="U9681" s="43" t="str">
        <f>HYPERLINK("https://ictv.global/taxonomy/taxondetails?taxnode_id=202213823","ictv.global=202213823")</f>
        <v>ictv.global=202213823</v>
      </c>
    </row>
    <row r="9682" spans="1:21">
      <c r="A9682">
        <v>9681</v>
      </c>
      <c r="B9682" s="29" t="s">
        <v>3223</v>
      </c>
      <c r="C9682" s="29"/>
      <c r="D9682" s="29" t="s">
        <v>4156</v>
      </c>
      <c r="E9682" s="29"/>
      <c r="F9682" s="29" t="s">
        <v>4230</v>
      </c>
      <c r="G9682" s="29"/>
      <c r="H9682" s="29" t="s">
        <v>4233</v>
      </c>
      <c r="I9682" s="29"/>
      <c r="J9682" s="29" t="s">
        <v>806</v>
      </c>
      <c r="K9682" s="29"/>
      <c r="L9682" s="29" t="s">
        <v>1466</v>
      </c>
      <c r="M9682" s="29"/>
      <c r="N9682" s="29" t="s">
        <v>1300</v>
      </c>
      <c r="O9682" s="29" t="s">
        <v>4335</v>
      </c>
      <c r="P9682" s="29" t="s">
        <v>14239</v>
      </c>
      <c r="Q9682" t="s">
        <v>2040</v>
      </c>
      <c r="R9682" t="s">
        <v>2635</v>
      </c>
      <c r="S9682">
        <v>38</v>
      </c>
      <c r="T9682" s="43" t="str">
        <f t="shared" si="415"/>
        <v>2022.005P.Secoviridae_rename.zip</v>
      </c>
      <c r="U9682" s="43" t="str">
        <f>HYPERLINK("https://ictv.global/taxonomy/taxondetails?taxnode_id=202202154","ictv.global=202202154")</f>
        <v>ictv.global=202202154</v>
      </c>
    </row>
    <row r="9683" spans="1:21">
      <c r="A9683">
        <v>9682</v>
      </c>
      <c r="B9683" s="29" t="s">
        <v>3223</v>
      </c>
      <c r="C9683" s="29"/>
      <c r="D9683" s="29" t="s">
        <v>4156</v>
      </c>
      <c r="E9683" s="29"/>
      <c r="F9683" s="29" t="s">
        <v>4230</v>
      </c>
      <c r="G9683" s="29"/>
      <c r="H9683" s="29" t="s">
        <v>4233</v>
      </c>
      <c r="I9683" s="29"/>
      <c r="J9683" s="29" t="s">
        <v>806</v>
      </c>
      <c r="K9683" s="29"/>
      <c r="L9683" s="29" t="s">
        <v>1466</v>
      </c>
      <c r="M9683" s="29"/>
      <c r="N9683" s="29" t="s">
        <v>505</v>
      </c>
      <c r="O9683" s="29"/>
      <c r="P9683" s="29" t="s">
        <v>14240</v>
      </c>
      <c r="Q9683" t="s">
        <v>2040</v>
      </c>
      <c r="R9683" t="s">
        <v>2635</v>
      </c>
      <c r="S9683">
        <v>38</v>
      </c>
      <c r="T9683" s="43" t="str">
        <f t="shared" si="415"/>
        <v>2022.005P.Secoviridae_rename.zip</v>
      </c>
      <c r="U9683" s="43" t="str">
        <f>HYPERLINK("https://ictv.global/taxonomy/taxondetails?taxnode_id=202202143","ictv.global=202202143")</f>
        <v>ictv.global=202202143</v>
      </c>
    </row>
    <row r="9684" spans="1:21">
      <c r="A9684">
        <v>9683</v>
      </c>
      <c r="B9684" s="29" t="s">
        <v>3223</v>
      </c>
      <c r="C9684" s="29"/>
      <c r="D9684" s="29" t="s">
        <v>4156</v>
      </c>
      <c r="E9684" s="29"/>
      <c r="F9684" s="29" t="s">
        <v>4230</v>
      </c>
      <c r="G9684" s="29"/>
      <c r="H9684" s="29" t="s">
        <v>4233</v>
      </c>
      <c r="I9684" s="29"/>
      <c r="J9684" s="29" t="s">
        <v>806</v>
      </c>
      <c r="K9684" s="29"/>
      <c r="L9684" s="29" t="s">
        <v>1466</v>
      </c>
      <c r="M9684" s="29"/>
      <c r="N9684" s="29" t="s">
        <v>505</v>
      </c>
      <c r="O9684" s="29"/>
      <c r="P9684" s="29" t="s">
        <v>14241</v>
      </c>
      <c r="Q9684" t="s">
        <v>2040</v>
      </c>
      <c r="R9684" t="s">
        <v>2635</v>
      </c>
      <c r="S9684">
        <v>38</v>
      </c>
      <c r="T9684" s="43" t="str">
        <f t="shared" si="415"/>
        <v>2022.005P.Secoviridae_rename.zip</v>
      </c>
      <c r="U9684" s="43" t="str">
        <f>HYPERLINK("https://ictv.global/taxonomy/taxondetails?taxnode_id=202202145","ictv.global=202202145")</f>
        <v>ictv.global=202202145</v>
      </c>
    </row>
    <row r="9685" spans="1:21">
      <c r="A9685">
        <v>9684</v>
      </c>
      <c r="B9685" s="29" t="s">
        <v>3223</v>
      </c>
      <c r="C9685" s="29"/>
      <c r="D9685" s="29" t="s">
        <v>4156</v>
      </c>
      <c r="E9685" s="29"/>
      <c r="F9685" s="29" t="s">
        <v>4230</v>
      </c>
      <c r="G9685" s="29"/>
      <c r="H9685" s="29" t="s">
        <v>4233</v>
      </c>
      <c r="I9685" s="29"/>
      <c r="J9685" s="29" t="s">
        <v>806</v>
      </c>
      <c r="K9685" s="29"/>
      <c r="L9685" s="29" t="s">
        <v>1466</v>
      </c>
      <c r="M9685" s="29"/>
      <c r="N9685" s="29" t="s">
        <v>505</v>
      </c>
      <c r="O9685" s="29"/>
      <c r="P9685" s="29" t="s">
        <v>14242</v>
      </c>
      <c r="Q9685" t="s">
        <v>2040</v>
      </c>
      <c r="R9685" t="s">
        <v>2635</v>
      </c>
      <c r="S9685">
        <v>38</v>
      </c>
      <c r="T9685" s="43" t="str">
        <f t="shared" si="415"/>
        <v>2022.005P.Secoviridae_rename.zip</v>
      </c>
      <c r="U9685" s="43" t="str">
        <f>HYPERLINK("https://ictv.global/taxonomy/taxondetails?taxnode_id=202213824","ictv.global=202213824")</f>
        <v>ictv.global=202213824</v>
      </c>
    </row>
    <row r="9686" spans="1:21">
      <c r="A9686">
        <v>9685</v>
      </c>
      <c r="B9686" s="29" t="s">
        <v>3223</v>
      </c>
      <c r="C9686" s="29"/>
      <c r="D9686" s="29" t="s">
        <v>4156</v>
      </c>
      <c r="E9686" s="29"/>
      <c r="F9686" s="29" t="s">
        <v>4230</v>
      </c>
      <c r="G9686" s="29"/>
      <c r="H9686" s="29" t="s">
        <v>4233</v>
      </c>
      <c r="I9686" s="29"/>
      <c r="J9686" s="29" t="s">
        <v>806</v>
      </c>
      <c r="K9686" s="29"/>
      <c r="L9686" s="29" t="s">
        <v>1466</v>
      </c>
      <c r="M9686" s="29"/>
      <c r="N9686" s="29" t="s">
        <v>505</v>
      </c>
      <c r="O9686" s="29"/>
      <c r="P9686" s="29" t="s">
        <v>14243</v>
      </c>
      <c r="Q9686" t="s">
        <v>2040</v>
      </c>
      <c r="R9686" t="s">
        <v>2635</v>
      </c>
      <c r="S9686">
        <v>38</v>
      </c>
      <c r="T9686" s="43" t="str">
        <f t="shared" si="415"/>
        <v>2022.005P.Secoviridae_rename.zip</v>
      </c>
      <c r="U9686" s="43" t="str">
        <f>HYPERLINK("https://ictv.global/taxonomy/taxondetails?taxnode_id=202202144","ictv.global=202202144")</f>
        <v>ictv.global=202202144</v>
      </c>
    </row>
    <row r="9687" spans="1:21">
      <c r="A9687">
        <v>9686</v>
      </c>
      <c r="B9687" s="29" t="s">
        <v>3223</v>
      </c>
      <c r="C9687" s="29"/>
      <c r="D9687" s="29" t="s">
        <v>4156</v>
      </c>
      <c r="E9687" s="29"/>
      <c r="F9687" s="29" t="s">
        <v>4230</v>
      </c>
      <c r="G9687" s="29"/>
      <c r="H9687" s="29" t="s">
        <v>4233</v>
      </c>
      <c r="I9687" s="29"/>
      <c r="J9687" s="29" t="s">
        <v>806</v>
      </c>
      <c r="K9687" s="29"/>
      <c r="L9687" s="29" t="s">
        <v>1466</v>
      </c>
      <c r="M9687" s="29"/>
      <c r="N9687" s="29" t="s">
        <v>14244</v>
      </c>
      <c r="O9687" s="29"/>
      <c r="P9687" s="29" t="s">
        <v>14245</v>
      </c>
      <c r="Q9687" t="s">
        <v>2040</v>
      </c>
      <c r="R9687" t="s">
        <v>2635</v>
      </c>
      <c r="S9687">
        <v>38</v>
      </c>
      <c r="T9687" s="43" t="str">
        <f t="shared" si="415"/>
        <v>2022.005P.Secoviridae_rename.zip</v>
      </c>
      <c r="U9687" s="43" t="str">
        <f>HYPERLINK("https://ictv.global/taxonomy/taxondetails?taxnode_id=202202156","ictv.global=202202156")</f>
        <v>ictv.global=202202156</v>
      </c>
    </row>
    <row r="9688" spans="1:21">
      <c r="A9688">
        <v>9687</v>
      </c>
      <c r="B9688" s="29" t="s">
        <v>3223</v>
      </c>
      <c r="C9688" s="29"/>
      <c r="D9688" s="29" t="s">
        <v>4156</v>
      </c>
      <c r="E9688" s="29"/>
      <c r="F9688" s="29" t="s">
        <v>4230</v>
      </c>
      <c r="G9688" s="29"/>
      <c r="H9688" s="29" t="s">
        <v>4233</v>
      </c>
      <c r="I9688" s="29"/>
      <c r="J9688" s="29" t="s">
        <v>806</v>
      </c>
      <c r="K9688" s="29"/>
      <c r="L9688" s="29" t="s">
        <v>1466</v>
      </c>
      <c r="M9688" s="29"/>
      <c r="N9688" s="29" t="s">
        <v>14244</v>
      </c>
      <c r="O9688" s="29"/>
      <c r="P9688" s="29" t="s">
        <v>14246</v>
      </c>
      <c r="Q9688" t="s">
        <v>2040</v>
      </c>
      <c r="R9688" t="s">
        <v>2635</v>
      </c>
      <c r="S9688">
        <v>38</v>
      </c>
      <c r="T9688" s="43" t="str">
        <f t="shared" si="415"/>
        <v>2022.005P.Secoviridae_rename.zip</v>
      </c>
      <c r="U9688" s="43" t="str">
        <f>HYPERLINK("https://ictv.global/taxonomy/taxondetails?taxnode_id=202212968","ictv.global=202212968")</f>
        <v>ictv.global=202212968</v>
      </c>
    </row>
    <row r="9689" spans="1:21">
      <c r="A9689">
        <v>9688</v>
      </c>
      <c r="B9689" s="29" t="s">
        <v>3223</v>
      </c>
      <c r="C9689" s="29"/>
      <c r="D9689" s="29" t="s">
        <v>4156</v>
      </c>
      <c r="E9689" s="29"/>
      <c r="F9689" s="29" t="s">
        <v>4230</v>
      </c>
      <c r="G9689" s="29"/>
      <c r="H9689" s="29" t="s">
        <v>4233</v>
      </c>
      <c r="I9689" s="29"/>
      <c r="J9689" s="29" t="s">
        <v>806</v>
      </c>
      <c r="K9689" s="29"/>
      <c r="L9689" s="29" t="s">
        <v>1466</v>
      </c>
      <c r="M9689" s="29"/>
      <c r="N9689" s="29" t="s">
        <v>1465</v>
      </c>
      <c r="O9689" s="29"/>
      <c r="P9689" s="29" t="s">
        <v>14247</v>
      </c>
      <c r="Q9689" t="s">
        <v>2040</v>
      </c>
      <c r="R9689" t="s">
        <v>2635</v>
      </c>
      <c r="S9689">
        <v>38</v>
      </c>
      <c r="T9689" s="43" t="str">
        <f t="shared" si="415"/>
        <v>2022.005P.Secoviridae_rename.zip</v>
      </c>
      <c r="U9689" s="43" t="str">
        <f>HYPERLINK("https://ictv.global/taxonomy/taxondetails?taxnode_id=202202149","ictv.global=202202149")</f>
        <v>ictv.global=202202149</v>
      </c>
    </row>
    <row r="9690" spans="1:21">
      <c r="A9690">
        <v>9689</v>
      </c>
      <c r="B9690" s="29" t="s">
        <v>3223</v>
      </c>
      <c r="C9690" s="29"/>
      <c r="D9690" s="29" t="s">
        <v>4156</v>
      </c>
      <c r="E9690" s="29"/>
      <c r="F9690" s="29" t="s">
        <v>4230</v>
      </c>
      <c r="G9690" s="29"/>
      <c r="H9690" s="29" t="s">
        <v>4233</v>
      </c>
      <c r="I9690" s="29"/>
      <c r="J9690" s="29" t="s">
        <v>806</v>
      </c>
      <c r="K9690" s="29"/>
      <c r="L9690" s="29" t="s">
        <v>1466</v>
      </c>
      <c r="M9690" s="29"/>
      <c r="N9690" s="29" t="s">
        <v>1465</v>
      </c>
      <c r="O9690" s="29"/>
      <c r="P9690" s="29" t="s">
        <v>14248</v>
      </c>
      <c r="Q9690" t="s">
        <v>2040</v>
      </c>
      <c r="R9690" t="s">
        <v>2635</v>
      </c>
      <c r="S9690">
        <v>38</v>
      </c>
      <c r="T9690" s="43" t="str">
        <f t="shared" si="415"/>
        <v>2022.005P.Secoviridae_rename.zip</v>
      </c>
      <c r="U9690" s="43" t="str">
        <f>HYPERLINK("https://ictv.global/taxonomy/taxondetails?taxnode_id=202202147","ictv.global=202202147")</f>
        <v>ictv.global=202202147</v>
      </c>
    </row>
    <row r="9691" spans="1:21">
      <c r="A9691">
        <v>9690</v>
      </c>
      <c r="B9691" s="29" t="s">
        <v>3223</v>
      </c>
      <c r="C9691" s="29"/>
      <c r="D9691" s="29" t="s">
        <v>4156</v>
      </c>
      <c r="E9691" s="29"/>
      <c r="F9691" s="29" t="s">
        <v>4230</v>
      </c>
      <c r="G9691" s="29"/>
      <c r="H9691" s="29" t="s">
        <v>4233</v>
      </c>
      <c r="I9691" s="29"/>
      <c r="J9691" s="29" t="s">
        <v>806</v>
      </c>
      <c r="K9691" s="29"/>
      <c r="L9691" s="29" t="s">
        <v>1466</v>
      </c>
      <c r="M9691" s="29"/>
      <c r="N9691" s="29" t="s">
        <v>1465</v>
      </c>
      <c r="O9691" s="29"/>
      <c r="P9691" s="29" t="s">
        <v>14249</v>
      </c>
      <c r="Q9691" t="s">
        <v>2040</v>
      </c>
      <c r="R9691" t="s">
        <v>2632</v>
      </c>
      <c r="S9691">
        <v>38</v>
      </c>
      <c r="T9691" s="43" t="str">
        <f>HYPERLINK("https://ictv.global/ictv/proposals/2022.004P.Secoviridae_8ns.zip","2022.004P.Secoviridae_8ns.zip")</f>
        <v>2022.004P.Secoviridae_8ns.zip</v>
      </c>
      <c r="U9691" s="43" t="str">
        <f>HYPERLINK("https://ictv.global/taxonomy/taxondetails?taxnode_id=202215097","ictv.global=202215097")</f>
        <v>ictv.global=202215097</v>
      </c>
    </row>
    <row r="9692" spans="1:21">
      <c r="A9692">
        <v>9691</v>
      </c>
      <c r="B9692" s="29" t="s">
        <v>3223</v>
      </c>
      <c r="C9692" s="29"/>
      <c r="D9692" s="29" t="s">
        <v>4156</v>
      </c>
      <c r="E9692" s="29"/>
      <c r="F9692" s="29" t="s">
        <v>4230</v>
      </c>
      <c r="G9692" s="29"/>
      <c r="H9692" s="29" t="s">
        <v>4233</v>
      </c>
      <c r="I9692" s="29"/>
      <c r="J9692" s="29" t="s">
        <v>806</v>
      </c>
      <c r="K9692" s="29"/>
      <c r="L9692" s="29" t="s">
        <v>1466</v>
      </c>
      <c r="M9692" s="29"/>
      <c r="N9692" s="29" t="s">
        <v>1465</v>
      </c>
      <c r="O9692" s="29"/>
      <c r="P9692" s="29" t="s">
        <v>14250</v>
      </c>
      <c r="Q9692" t="s">
        <v>2040</v>
      </c>
      <c r="R9692" t="s">
        <v>2635</v>
      </c>
      <c r="S9692">
        <v>38</v>
      </c>
      <c r="T9692" s="43" t="str">
        <f>HYPERLINK("https://ictv.global/ictv/proposals/2022.005P.Secoviridae_rename.zip","2022.005P.Secoviridae_rename.zip")</f>
        <v>2022.005P.Secoviridae_rename.zip</v>
      </c>
      <c r="U9692" s="43" t="str">
        <f>HYPERLINK("https://ictv.global/taxonomy/taxondetails?taxnode_id=202202150","ictv.global=202202150")</f>
        <v>ictv.global=202202150</v>
      </c>
    </row>
    <row r="9693" spans="1:21">
      <c r="A9693">
        <v>9692</v>
      </c>
      <c r="B9693" s="29" t="s">
        <v>3223</v>
      </c>
      <c r="C9693" s="29"/>
      <c r="D9693" s="29" t="s">
        <v>4156</v>
      </c>
      <c r="E9693" s="29"/>
      <c r="F9693" s="29" t="s">
        <v>4230</v>
      </c>
      <c r="G9693" s="29"/>
      <c r="H9693" s="29" t="s">
        <v>4233</v>
      </c>
      <c r="I9693" s="29"/>
      <c r="J9693" s="29" t="s">
        <v>806</v>
      </c>
      <c r="K9693" s="29"/>
      <c r="L9693" s="29" t="s">
        <v>1466</v>
      </c>
      <c r="M9693" s="29"/>
      <c r="N9693" s="29" t="s">
        <v>1465</v>
      </c>
      <c r="O9693" s="29"/>
      <c r="P9693" s="29" t="s">
        <v>14251</v>
      </c>
      <c r="Q9693" t="s">
        <v>2040</v>
      </c>
      <c r="R9693" t="s">
        <v>2635</v>
      </c>
      <c r="S9693">
        <v>38</v>
      </c>
      <c r="T9693" s="43" t="str">
        <f>HYPERLINK("https://ictv.global/ictv/proposals/2022.005P.Secoviridae_rename.zip","2022.005P.Secoviridae_rename.zip")</f>
        <v>2022.005P.Secoviridae_rename.zip</v>
      </c>
      <c r="U9693" s="43" t="str">
        <f>HYPERLINK("https://ictv.global/taxonomy/taxondetails?taxnode_id=202202148","ictv.global=202202148")</f>
        <v>ictv.global=202202148</v>
      </c>
    </row>
    <row r="9694" spans="1:21">
      <c r="A9694">
        <v>9693</v>
      </c>
      <c r="B9694" s="29" t="s">
        <v>3223</v>
      </c>
      <c r="C9694" s="29"/>
      <c r="D9694" s="29" t="s">
        <v>4156</v>
      </c>
      <c r="E9694" s="29"/>
      <c r="F9694" s="29" t="s">
        <v>4230</v>
      </c>
      <c r="G9694" s="29"/>
      <c r="H9694" s="29" t="s">
        <v>4233</v>
      </c>
      <c r="I9694" s="29"/>
      <c r="J9694" s="29" t="s">
        <v>806</v>
      </c>
      <c r="K9694" s="29"/>
      <c r="L9694" s="29" t="s">
        <v>1466</v>
      </c>
      <c r="M9694" s="29"/>
      <c r="N9694" s="29" t="s">
        <v>1465</v>
      </c>
      <c r="O9694" s="29"/>
      <c r="P9694" s="29" t="s">
        <v>14252</v>
      </c>
      <c r="Q9694" t="s">
        <v>2040</v>
      </c>
      <c r="R9694" t="s">
        <v>2635</v>
      </c>
      <c r="S9694">
        <v>38</v>
      </c>
      <c r="T9694" s="43" t="str">
        <f>HYPERLINK("https://ictv.global/ictv/proposals/2022.005P.Secoviridae_rename.zip","2022.005P.Secoviridae_rename.zip")</f>
        <v>2022.005P.Secoviridae_rename.zip</v>
      </c>
      <c r="U9694" s="43" t="str">
        <f>HYPERLINK("https://ictv.global/taxonomy/taxondetails?taxnode_id=202202152","ictv.global=202202152")</f>
        <v>ictv.global=202202152</v>
      </c>
    </row>
    <row r="9695" spans="1:21">
      <c r="A9695">
        <v>9694</v>
      </c>
      <c r="B9695" s="29" t="s">
        <v>3223</v>
      </c>
      <c r="C9695" s="29"/>
      <c r="D9695" s="29" t="s">
        <v>4156</v>
      </c>
      <c r="E9695" s="29"/>
      <c r="F9695" s="29" t="s">
        <v>4230</v>
      </c>
      <c r="G9695" s="29"/>
      <c r="H9695" s="29" t="s">
        <v>4233</v>
      </c>
      <c r="I9695" s="29"/>
      <c r="J9695" s="29" t="s">
        <v>806</v>
      </c>
      <c r="K9695" s="29"/>
      <c r="L9695" s="29" t="s">
        <v>1466</v>
      </c>
      <c r="M9695" s="29"/>
      <c r="N9695" s="29" t="s">
        <v>1465</v>
      </c>
      <c r="O9695" s="29"/>
      <c r="P9695" s="29" t="s">
        <v>14253</v>
      </c>
      <c r="Q9695" t="s">
        <v>2040</v>
      </c>
      <c r="R9695" t="s">
        <v>2632</v>
      </c>
      <c r="S9695">
        <v>38</v>
      </c>
      <c r="T9695" s="43" t="str">
        <f>HYPERLINK("https://ictv.global/ictv/proposals/2022.004P.Secoviridae_8ns.zip","2022.004P.Secoviridae_8ns.zip")</f>
        <v>2022.004P.Secoviridae_8ns.zip</v>
      </c>
      <c r="U9695" s="43" t="str">
        <f>HYPERLINK("https://ictv.global/taxonomy/taxondetails?taxnode_id=202215096","ictv.global=202215096")</f>
        <v>ictv.global=202215096</v>
      </c>
    </row>
    <row r="9696" spans="1:21">
      <c r="A9696">
        <v>9695</v>
      </c>
      <c r="B9696" s="29" t="s">
        <v>3223</v>
      </c>
      <c r="C9696" s="29"/>
      <c r="D9696" s="29" t="s">
        <v>4156</v>
      </c>
      <c r="E9696" s="29"/>
      <c r="F9696" s="29" t="s">
        <v>4230</v>
      </c>
      <c r="G9696" s="29"/>
      <c r="H9696" s="29" t="s">
        <v>4233</v>
      </c>
      <c r="I9696" s="29"/>
      <c r="J9696" s="29" t="s">
        <v>806</v>
      </c>
      <c r="K9696" s="29"/>
      <c r="L9696" s="29" t="s">
        <v>1466</v>
      </c>
      <c r="M9696" s="29"/>
      <c r="N9696" s="29" t="s">
        <v>1465</v>
      </c>
      <c r="O9696" s="29"/>
      <c r="P9696" s="29" t="s">
        <v>14254</v>
      </c>
      <c r="Q9696" t="s">
        <v>2040</v>
      </c>
      <c r="R9696" t="s">
        <v>2635</v>
      </c>
      <c r="S9696">
        <v>38</v>
      </c>
      <c r="T9696" s="43" t="str">
        <f>HYPERLINK("https://ictv.global/ictv/proposals/2022.005P.Secoviridae_rename.zip","2022.005P.Secoviridae_rename.zip")</f>
        <v>2022.005P.Secoviridae_rename.zip</v>
      </c>
      <c r="U9696" s="43" t="str">
        <f>HYPERLINK("https://ictv.global/taxonomy/taxondetails?taxnode_id=202202151","ictv.global=202202151")</f>
        <v>ictv.global=202202151</v>
      </c>
    </row>
    <row r="9697" spans="1:21">
      <c r="A9697">
        <v>9696</v>
      </c>
      <c r="B9697" s="29" t="s">
        <v>3223</v>
      </c>
      <c r="C9697" s="29"/>
      <c r="D9697" s="29" t="s">
        <v>4156</v>
      </c>
      <c r="E9697" s="29"/>
      <c r="F9697" s="29" t="s">
        <v>4230</v>
      </c>
      <c r="G9697" s="29"/>
      <c r="H9697" s="29" t="s">
        <v>4233</v>
      </c>
      <c r="I9697" s="29"/>
      <c r="J9697" s="29" t="s">
        <v>806</v>
      </c>
      <c r="K9697" s="29"/>
      <c r="L9697" s="29" t="s">
        <v>1466</v>
      </c>
      <c r="M9697" s="29"/>
      <c r="N9697" s="29" t="s">
        <v>1386</v>
      </c>
      <c r="O9697" s="29"/>
      <c r="P9697" s="29" t="s">
        <v>14255</v>
      </c>
      <c r="Q9697" t="s">
        <v>2040</v>
      </c>
      <c r="R9697" t="s">
        <v>2635</v>
      </c>
      <c r="S9697">
        <v>38</v>
      </c>
      <c r="T9697" s="43" t="str">
        <f>HYPERLINK("https://ictv.global/ictv/proposals/2022.005P.Secoviridae_rename.zip","2022.005P.Secoviridae_rename.zip")</f>
        <v>2022.005P.Secoviridae_rename.zip</v>
      </c>
      <c r="U9697" s="43" t="str">
        <f>HYPERLINK("https://ictv.global/taxonomy/taxondetails?taxnode_id=202213829","ictv.global=202213829")</f>
        <v>ictv.global=202213829</v>
      </c>
    </row>
    <row r="9698" spans="1:21">
      <c r="A9698">
        <v>9697</v>
      </c>
      <c r="B9698" s="29" t="s">
        <v>3223</v>
      </c>
      <c r="C9698" s="29"/>
      <c r="D9698" s="29" t="s">
        <v>4156</v>
      </c>
      <c r="E9698" s="29"/>
      <c r="F9698" s="29" t="s">
        <v>4230</v>
      </c>
      <c r="G9698" s="29"/>
      <c r="H9698" s="29" t="s">
        <v>4233</v>
      </c>
      <c r="I9698" s="29"/>
      <c r="J9698" s="29" t="s">
        <v>806</v>
      </c>
      <c r="K9698" s="29"/>
      <c r="L9698" s="29" t="s">
        <v>1466</v>
      </c>
      <c r="M9698" s="29"/>
      <c r="N9698" s="29" t="s">
        <v>1386</v>
      </c>
      <c r="O9698" s="29"/>
      <c r="P9698" s="29" t="s">
        <v>14256</v>
      </c>
      <c r="Q9698" t="s">
        <v>2040</v>
      </c>
      <c r="R9698" t="s">
        <v>2635</v>
      </c>
      <c r="S9698">
        <v>38</v>
      </c>
      <c r="T9698" s="43" t="str">
        <f>HYPERLINK("https://ictv.global/ictv/proposals/2022.005P.Secoviridae_rename.zip","2022.005P.Secoviridae_rename.zip")</f>
        <v>2022.005P.Secoviridae_rename.zip</v>
      </c>
      <c r="U9698" s="43" t="str">
        <f>HYPERLINK("https://ictv.global/taxonomy/taxondetails?taxnode_id=202202159","ictv.global=202202159")</f>
        <v>ictv.global=202202159</v>
      </c>
    </row>
    <row r="9699" spans="1:21">
      <c r="A9699">
        <v>9698</v>
      </c>
      <c r="B9699" s="29" t="s">
        <v>3223</v>
      </c>
      <c r="C9699" s="29"/>
      <c r="D9699" s="29" t="s">
        <v>4156</v>
      </c>
      <c r="E9699" s="29"/>
      <c r="F9699" s="29" t="s">
        <v>4230</v>
      </c>
      <c r="G9699" s="29"/>
      <c r="H9699" s="29" t="s">
        <v>4233</v>
      </c>
      <c r="I9699" s="29"/>
      <c r="J9699" s="29" t="s">
        <v>806</v>
      </c>
      <c r="K9699" s="29"/>
      <c r="L9699" s="29" t="s">
        <v>1466</v>
      </c>
      <c r="M9699" s="29"/>
      <c r="N9699" s="29" t="s">
        <v>1386</v>
      </c>
      <c r="O9699" s="29"/>
      <c r="P9699" s="29" t="s">
        <v>14257</v>
      </c>
      <c r="Q9699" t="s">
        <v>2040</v>
      </c>
      <c r="R9699" t="s">
        <v>2635</v>
      </c>
      <c r="S9699">
        <v>38</v>
      </c>
      <c r="T9699" s="43" t="str">
        <f>HYPERLINK("https://ictv.global/ictv/proposals/2022.005P.Secoviridae_rename.zip","2022.005P.Secoviridae_rename.zip")</f>
        <v>2022.005P.Secoviridae_rename.zip</v>
      </c>
      <c r="U9699" s="43" t="str">
        <f>HYPERLINK("https://ictv.global/taxonomy/taxondetails?taxnode_id=202213827","ictv.global=202213827")</f>
        <v>ictv.global=202213827</v>
      </c>
    </row>
    <row r="9700" spans="1:21">
      <c r="A9700">
        <v>9699</v>
      </c>
      <c r="B9700" s="29" t="s">
        <v>3223</v>
      </c>
      <c r="C9700" s="29"/>
      <c r="D9700" s="29" t="s">
        <v>4156</v>
      </c>
      <c r="E9700" s="29"/>
      <c r="F9700" s="29" t="s">
        <v>4230</v>
      </c>
      <c r="G9700" s="29"/>
      <c r="H9700" s="29" t="s">
        <v>4233</v>
      </c>
      <c r="I9700" s="29"/>
      <c r="J9700" s="29" t="s">
        <v>806</v>
      </c>
      <c r="K9700" s="29"/>
      <c r="L9700" s="29" t="s">
        <v>1466</v>
      </c>
      <c r="M9700" s="29"/>
      <c r="N9700" s="29" t="s">
        <v>1386</v>
      </c>
      <c r="O9700" s="29"/>
      <c r="P9700" s="29" t="s">
        <v>14258</v>
      </c>
      <c r="Q9700" t="s">
        <v>2040</v>
      </c>
      <c r="R9700" t="s">
        <v>2632</v>
      </c>
      <c r="S9700">
        <v>38</v>
      </c>
      <c r="T9700" s="43" t="str">
        <f>HYPERLINK("https://ictv.global/ictv/proposals/2022.004P.Secoviridae_8ns.zip","2022.004P.Secoviridae_8ns.zip")</f>
        <v>2022.004P.Secoviridae_8ns.zip</v>
      </c>
      <c r="U9700" s="43" t="str">
        <f>HYPERLINK("https://ictv.global/taxonomy/taxondetails?taxnode_id=202215098","ictv.global=202215098")</f>
        <v>ictv.global=202215098</v>
      </c>
    </row>
    <row r="9701" spans="1:21">
      <c r="A9701">
        <v>9700</v>
      </c>
      <c r="B9701" s="29" t="s">
        <v>3223</v>
      </c>
      <c r="C9701" s="29"/>
      <c r="D9701" s="29" t="s">
        <v>4156</v>
      </c>
      <c r="E9701" s="29"/>
      <c r="F9701" s="29" t="s">
        <v>4230</v>
      </c>
      <c r="G9701" s="29"/>
      <c r="H9701" s="29" t="s">
        <v>4233</v>
      </c>
      <c r="I9701" s="29"/>
      <c r="J9701" s="29" t="s">
        <v>806</v>
      </c>
      <c r="K9701" s="29"/>
      <c r="L9701" s="29" t="s">
        <v>1466</v>
      </c>
      <c r="M9701" s="29"/>
      <c r="N9701" s="29" t="s">
        <v>1386</v>
      </c>
      <c r="O9701" s="29"/>
      <c r="P9701" s="29" t="s">
        <v>14259</v>
      </c>
      <c r="Q9701" t="s">
        <v>2040</v>
      </c>
      <c r="R9701" t="s">
        <v>2635</v>
      </c>
      <c r="S9701">
        <v>38</v>
      </c>
      <c r="T9701" s="43" t="str">
        <f>HYPERLINK("https://ictv.global/ictv/proposals/2022.005P.Secoviridae_rename.zip","2022.005P.Secoviridae_rename.zip")</f>
        <v>2022.005P.Secoviridae_rename.zip</v>
      </c>
      <c r="U9701" s="43" t="str">
        <f>HYPERLINK("https://ictv.global/taxonomy/taxondetails?taxnode_id=202202160","ictv.global=202202160")</f>
        <v>ictv.global=202202160</v>
      </c>
    </row>
    <row r="9702" spans="1:21">
      <c r="A9702">
        <v>9701</v>
      </c>
      <c r="B9702" s="29" t="s">
        <v>3223</v>
      </c>
      <c r="C9702" s="29"/>
      <c r="D9702" s="29" t="s">
        <v>4156</v>
      </c>
      <c r="E9702" s="29"/>
      <c r="F9702" s="29" t="s">
        <v>4230</v>
      </c>
      <c r="G9702" s="29"/>
      <c r="H9702" s="29" t="s">
        <v>4233</v>
      </c>
      <c r="I9702" s="29"/>
      <c r="J9702" s="29" t="s">
        <v>806</v>
      </c>
      <c r="K9702" s="29"/>
      <c r="L9702" s="29" t="s">
        <v>1466</v>
      </c>
      <c r="M9702" s="29"/>
      <c r="N9702" s="29" t="s">
        <v>1386</v>
      </c>
      <c r="O9702" s="29"/>
      <c r="P9702" s="29" t="s">
        <v>14260</v>
      </c>
      <c r="Q9702" t="s">
        <v>2040</v>
      </c>
      <c r="R9702" t="s">
        <v>2635</v>
      </c>
      <c r="S9702">
        <v>38</v>
      </c>
      <c r="T9702" s="43" t="str">
        <f>HYPERLINK("https://ictv.global/ictv/proposals/2022.005P.Secoviridae_rename.zip","2022.005P.Secoviridae_rename.zip")</f>
        <v>2022.005P.Secoviridae_rename.zip</v>
      </c>
      <c r="U9702" s="43" t="str">
        <f>HYPERLINK("https://ictv.global/taxonomy/taxondetails?taxnode_id=202213825","ictv.global=202213825")</f>
        <v>ictv.global=202213825</v>
      </c>
    </row>
    <row r="9703" spans="1:21">
      <c r="A9703">
        <v>9702</v>
      </c>
      <c r="B9703" s="29" t="s">
        <v>3223</v>
      </c>
      <c r="C9703" s="29"/>
      <c r="D9703" s="29" t="s">
        <v>4156</v>
      </c>
      <c r="E9703" s="29"/>
      <c r="F9703" s="29" t="s">
        <v>4230</v>
      </c>
      <c r="G9703" s="29"/>
      <c r="H9703" s="29" t="s">
        <v>4233</v>
      </c>
      <c r="I9703" s="29"/>
      <c r="J9703" s="29" t="s">
        <v>806</v>
      </c>
      <c r="K9703" s="29"/>
      <c r="L9703" s="29" t="s">
        <v>1466</v>
      </c>
      <c r="M9703" s="29"/>
      <c r="N9703" s="29" t="s">
        <v>1386</v>
      </c>
      <c r="O9703" s="29"/>
      <c r="P9703" s="29" t="s">
        <v>14261</v>
      </c>
      <c r="Q9703" t="s">
        <v>2040</v>
      </c>
      <c r="R9703" t="s">
        <v>2635</v>
      </c>
      <c r="S9703">
        <v>38</v>
      </c>
      <c r="T9703" s="43" t="str">
        <f>HYPERLINK("https://ictv.global/ictv/proposals/2022.005P.Secoviridae_rename.zip","2022.005P.Secoviridae_rename.zip")</f>
        <v>2022.005P.Secoviridae_rename.zip</v>
      </c>
      <c r="U9703" s="43" t="str">
        <f>HYPERLINK("https://ictv.global/taxonomy/taxondetails?taxnode_id=202213830","ictv.global=202213830")</f>
        <v>ictv.global=202213830</v>
      </c>
    </row>
    <row r="9704" spans="1:21">
      <c r="A9704">
        <v>9703</v>
      </c>
      <c r="B9704" s="29" t="s">
        <v>3223</v>
      </c>
      <c r="C9704" s="29"/>
      <c r="D9704" s="29" t="s">
        <v>4156</v>
      </c>
      <c r="E9704" s="29"/>
      <c r="F9704" s="29" t="s">
        <v>4230</v>
      </c>
      <c r="G9704" s="29"/>
      <c r="H9704" s="29" t="s">
        <v>4233</v>
      </c>
      <c r="I9704" s="29"/>
      <c r="J9704" s="29" t="s">
        <v>806</v>
      </c>
      <c r="K9704" s="29"/>
      <c r="L9704" s="29" t="s">
        <v>1466</v>
      </c>
      <c r="M9704" s="29"/>
      <c r="N9704" s="29" t="s">
        <v>1386</v>
      </c>
      <c r="O9704" s="29"/>
      <c r="P9704" s="29" t="s">
        <v>14262</v>
      </c>
      <c r="Q9704" t="s">
        <v>2040</v>
      </c>
      <c r="R9704" t="s">
        <v>2635</v>
      </c>
      <c r="S9704">
        <v>38</v>
      </c>
      <c r="T9704" s="43" t="str">
        <f>HYPERLINK("https://ictv.global/ictv/proposals/2022.005P.Secoviridae_rename.zip","2022.005P.Secoviridae_rename.zip")</f>
        <v>2022.005P.Secoviridae_rename.zip</v>
      </c>
      <c r="U9704" s="43" t="str">
        <f>HYPERLINK("https://ictv.global/taxonomy/taxondetails?taxnode_id=202202162","ictv.global=202202162")</f>
        <v>ictv.global=202202162</v>
      </c>
    </row>
    <row r="9705" spans="1:21">
      <c r="A9705">
        <v>9704</v>
      </c>
      <c r="B9705" s="29" t="s">
        <v>3223</v>
      </c>
      <c r="C9705" s="29"/>
      <c r="D9705" s="29" t="s">
        <v>4156</v>
      </c>
      <c r="E9705" s="29"/>
      <c r="F9705" s="29" t="s">
        <v>4230</v>
      </c>
      <c r="G9705" s="29"/>
      <c r="H9705" s="29" t="s">
        <v>4233</v>
      </c>
      <c r="I9705" s="29"/>
      <c r="J9705" s="29" t="s">
        <v>806</v>
      </c>
      <c r="K9705" s="29"/>
      <c r="L9705" s="29" t="s">
        <v>1466</v>
      </c>
      <c r="M9705" s="29"/>
      <c r="N9705" s="29" t="s">
        <v>1386</v>
      </c>
      <c r="O9705" s="29"/>
      <c r="P9705" s="29" t="s">
        <v>14263</v>
      </c>
      <c r="Q9705" t="s">
        <v>2040</v>
      </c>
      <c r="R9705" t="s">
        <v>2635</v>
      </c>
      <c r="S9705">
        <v>38</v>
      </c>
      <c r="T9705" s="43" t="str">
        <f>HYPERLINK("https://ictv.global/ictv/proposals/2022.005P.Secoviridae_rename.zip","2022.005P.Secoviridae_rename.zip")</f>
        <v>2022.005P.Secoviridae_rename.zip</v>
      </c>
      <c r="U9705" s="43" t="str">
        <f>HYPERLINK("https://ictv.global/taxonomy/taxondetails?taxnode_id=202213828","ictv.global=202213828")</f>
        <v>ictv.global=202213828</v>
      </c>
    </row>
    <row r="9706" spans="1:21">
      <c r="A9706">
        <v>9705</v>
      </c>
      <c r="B9706" s="29" t="s">
        <v>3223</v>
      </c>
      <c r="C9706" s="29"/>
      <c r="D9706" s="29" t="s">
        <v>4156</v>
      </c>
      <c r="E9706" s="29"/>
      <c r="F9706" s="29" t="s">
        <v>4230</v>
      </c>
      <c r="G9706" s="29"/>
      <c r="H9706" s="29" t="s">
        <v>4233</v>
      </c>
      <c r="I9706" s="29"/>
      <c r="J9706" s="29" t="s">
        <v>806</v>
      </c>
      <c r="K9706" s="29"/>
      <c r="L9706" s="29" t="s">
        <v>1466</v>
      </c>
      <c r="M9706" s="29"/>
      <c r="N9706" s="29" t="s">
        <v>1386</v>
      </c>
      <c r="O9706" s="29"/>
      <c r="P9706" s="29" t="s">
        <v>14264</v>
      </c>
      <c r="Q9706" t="s">
        <v>2040</v>
      </c>
      <c r="R9706" t="s">
        <v>2632</v>
      </c>
      <c r="S9706">
        <v>38</v>
      </c>
      <c r="T9706" s="43" t="str">
        <f>HYPERLINK("https://ictv.global/ictv/proposals/2022.003P.Secoviridae_1ns.zip","2022.003P.Secoviridae_1ns.zip")</f>
        <v>2022.003P.Secoviridae_1ns.zip</v>
      </c>
      <c r="U9706" s="43" t="str">
        <f>HYPERLINK("https://ictv.global/taxonomy/taxondetails?taxnode_id=202215090","ictv.global=202215090")</f>
        <v>ictv.global=202215090</v>
      </c>
    </row>
    <row r="9707" spans="1:21">
      <c r="A9707">
        <v>9706</v>
      </c>
      <c r="B9707" s="29" t="s">
        <v>3223</v>
      </c>
      <c r="C9707" s="29"/>
      <c r="D9707" s="29" t="s">
        <v>4156</v>
      </c>
      <c r="E9707" s="29"/>
      <c r="F9707" s="29" t="s">
        <v>4230</v>
      </c>
      <c r="G9707" s="29"/>
      <c r="H9707" s="29" t="s">
        <v>4233</v>
      </c>
      <c r="I9707" s="29"/>
      <c r="J9707" s="29" t="s">
        <v>806</v>
      </c>
      <c r="K9707" s="29"/>
      <c r="L9707" s="29" t="s">
        <v>1466</v>
      </c>
      <c r="M9707" s="29"/>
      <c r="N9707" s="29" t="s">
        <v>1386</v>
      </c>
      <c r="O9707" s="29"/>
      <c r="P9707" s="29" t="s">
        <v>14265</v>
      </c>
      <c r="Q9707" t="s">
        <v>2040</v>
      </c>
      <c r="R9707" t="s">
        <v>2635</v>
      </c>
      <c r="S9707">
        <v>38</v>
      </c>
      <c r="T9707" s="43" t="str">
        <f>HYPERLINK("https://ictv.global/ictv/proposals/2022.005P.Secoviridae_rename.zip","2022.005P.Secoviridae_rename.zip")</f>
        <v>2022.005P.Secoviridae_rename.zip</v>
      </c>
      <c r="U9707" s="43" t="str">
        <f>HYPERLINK("https://ictv.global/taxonomy/taxondetails?taxnode_id=202213826","ictv.global=202213826")</f>
        <v>ictv.global=202213826</v>
      </c>
    </row>
    <row r="9708" spans="1:21">
      <c r="A9708">
        <v>9707</v>
      </c>
      <c r="B9708" s="29" t="s">
        <v>3223</v>
      </c>
      <c r="C9708" s="29"/>
      <c r="D9708" s="29" t="s">
        <v>4156</v>
      </c>
      <c r="E9708" s="29"/>
      <c r="F9708" s="29" t="s">
        <v>4230</v>
      </c>
      <c r="G9708" s="29"/>
      <c r="H9708" s="29" t="s">
        <v>4233</v>
      </c>
      <c r="I9708" s="29"/>
      <c r="J9708" s="29" t="s">
        <v>806</v>
      </c>
      <c r="K9708" s="29"/>
      <c r="L9708" s="29" t="s">
        <v>1466</v>
      </c>
      <c r="M9708" s="29"/>
      <c r="N9708" s="29" t="s">
        <v>1386</v>
      </c>
      <c r="O9708" s="29"/>
      <c r="P9708" s="29" t="s">
        <v>14266</v>
      </c>
      <c r="Q9708" t="s">
        <v>2040</v>
      </c>
      <c r="R9708" t="s">
        <v>2635</v>
      </c>
      <c r="S9708">
        <v>38</v>
      </c>
      <c r="T9708" s="43" t="str">
        <f>HYPERLINK("https://ictv.global/ictv/proposals/2022.005P.Secoviridae_rename.zip","2022.005P.Secoviridae_rename.zip")</f>
        <v>2022.005P.Secoviridae_rename.zip</v>
      </c>
      <c r="U9708" s="43" t="str">
        <f>HYPERLINK("https://ictv.global/taxonomy/taxondetails?taxnode_id=202202161","ictv.global=202202161")</f>
        <v>ictv.global=202202161</v>
      </c>
    </row>
    <row r="9709" spans="1:21">
      <c r="A9709">
        <v>9708</v>
      </c>
      <c r="B9709" s="29" t="s">
        <v>3223</v>
      </c>
      <c r="C9709" s="29"/>
      <c r="D9709" s="29" t="s">
        <v>4156</v>
      </c>
      <c r="E9709" s="29"/>
      <c r="F9709" s="29" t="s">
        <v>4230</v>
      </c>
      <c r="G9709" s="29"/>
      <c r="H9709" s="29" t="s">
        <v>4233</v>
      </c>
      <c r="I9709" s="29"/>
      <c r="J9709" s="29" t="s">
        <v>806</v>
      </c>
      <c r="K9709" s="29"/>
      <c r="L9709" s="29" t="s">
        <v>2551</v>
      </c>
      <c r="M9709" s="29"/>
      <c r="N9709" s="29" t="s">
        <v>2552</v>
      </c>
      <c r="O9709" s="29"/>
      <c r="P9709" s="29" t="s">
        <v>2553</v>
      </c>
      <c r="Q9709" t="s">
        <v>2040</v>
      </c>
      <c r="R9709" t="s">
        <v>6901</v>
      </c>
      <c r="S9709">
        <v>36</v>
      </c>
      <c r="T9709" s="43" t="str">
        <f>HYPERLINK("https://ictv.global/ictv/proposals/2020.001G.R.Abolish_type_species.pdf","2020.001G.R.Abolish_type_species.pdf")</f>
        <v>2020.001G.R.Abolish_type_species.pdf</v>
      </c>
      <c r="U9709" s="43" t="str">
        <f>HYPERLINK("https://ictv.global/taxonomy/taxondetails?taxnode_id=202205051","ictv.global=202205051")</f>
        <v>ictv.global=202205051</v>
      </c>
    </row>
    <row r="9710" spans="1:21">
      <c r="A9710">
        <v>9709</v>
      </c>
      <c r="B9710" s="29" t="s">
        <v>3223</v>
      </c>
      <c r="C9710" s="29"/>
      <c r="D9710" s="29" t="s">
        <v>4156</v>
      </c>
      <c r="E9710" s="29"/>
      <c r="F9710" s="29" t="s">
        <v>4230</v>
      </c>
      <c r="G9710" s="29"/>
      <c r="H9710" s="29" t="s">
        <v>4233</v>
      </c>
      <c r="I9710" s="29"/>
      <c r="J9710" s="29" t="s">
        <v>806</v>
      </c>
      <c r="K9710" s="29"/>
      <c r="L9710" s="29" t="s">
        <v>2551</v>
      </c>
      <c r="M9710" s="29"/>
      <c r="N9710" s="29" t="s">
        <v>2554</v>
      </c>
      <c r="O9710" s="29"/>
      <c r="P9710" s="29" t="s">
        <v>2555</v>
      </c>
      <c r="Q9710" t="s">
        <v>2040</v>
      </c>
      <c r="R9710" t="s">
        <v>6901</v>
      </c>
      <c r="S9710">
        <v>36</v>
      </c>
      <c r="T9710" s="43" t="str">
        <f>HYPERLINK("https://ictv.global/ictv/proposals/2020.001G.R.Abolish_type_species.pdf","2020.001G.R.Abolish_type_species.pdf")</f>
        <v>2020.001G.R.Abolish_type_species.pdf</v>
      </c>
      <c r="U9710" s="43" t="str">
        <f>HYPERLINK("https://ictv.global/taxonomy/taxondetails?taxnode_id=202205053","ictv.global=202205053")</f>
        <v>ictv.global=202205053</v>
      </c>
    </row>
    <row r="9711" spans="1:21">
      <c r="A9711">
        <v>9710</v>
      </c>
      <c r="B9711" s="29" t="s">
        <v>3223</v>
      </c>
      <c r="C9711" s="29"/>
      <c r="D9711" s="29" t="s">
        <v>4156</v>
      </c>
      <c r="E9711" s="29"/>
      <c r="F9711" s="29" t="s">
        <v>4230</v>
      </c>
      <c r="G9711" s="29"/>
      <c r="H9711" s="29" t="s">
        <v>4233</v>
      </c>
      <c r="I9711" s="29"/>
      <c r="J9711" s="29" t="s">
        <v>4336</v>
      </c>
      <c r="K9711" s="29"/>
      <c r="L9711" s="29" t="s">
        <v>12</v>
      </c>
      <c r="M9711" s="29"/>
      <c r="N9711" s="29" t="s">
        <v>13</v>
      </c>
      <c r="O9711" s="29"/>
      <c r="P9711" s="29" t="s">
        <v>14</v>
      </c>
      <c r="Q9711" t="s">
        <v>2040</v>
      </c>
      <c r="R9711" t="s">
        <v>6901</v>
      </c>
      <c r="S9711">
        <v>36</v>
      </c>
      <c r="T9711" s="43" t="str">
        <f>HYPERLINK("https://ictv.global/ictv/proposals/2020.001G.R.Abolish_type_species.pdf","2020.001G.R.Abolish_type_species.pdf")</f>
        <v>2020.001G.R.Abolish_type_species.pdf</v>
      </c>
      <c r="U9711" s="43" t="str">
        <f>HYPERLINK("https://ictv.global/taxonomy/taxondetails?taxnode_id=202202473","ictv.global=202202473")</f>
        <v>ictv.global=202202473</v>
      </c>
    </row>
    <row r="9712" spans="1:21">
      <c r="A9712">
        <v>9711</v>
      </c>
      <c r="B9712" s="29" t="s">
        <v>3223</v>
      </c>
      <c r="C9712" s="29"/>
      <c r="D9712" s="29" t="s">
        <v>4156</v>
      </c>
      <c r="E9712" s="29"/>
      <c r="F9712" s="29" t="s">
        <v>4230</v>
      </c>
      <c r="G9712" s="29"/>
      <c r="H9712" s="29" t="s">
        <v>4233</v>
      </c>
      <c r="I9712" s="29"/>
      <c r="J9712" s="29" t="s">
        <v>4336</v>
      </c>
      <c r="K9712" s="29"/>
      <c r="L9712" s="29" t="s">
        <v>1294</v>
      </c>
      <c r="M9712" s="29"/>
      <c r="N9712" s="29" t="s">
        <v>1295</v>
      </c>
      <c r="O9712" s="29"/>
      <c r="P9712" s="29" t="s">
        <v>1296</v>
      </c>
      <c r="Q9712" t="s">
        <v>2040</v>
      </c>
      <c r="R9712" t="s">
        <v>6901</v>
      </c>
      <c r="S9712">
        <v>36</v>
      </c>
      <c r="T9712" s="43" t="str">
        <f>HYPERLINK("https://ictv.global/ictv/proposals/2020.001G.R.Abolish_type_species.pdf","2020.001G.R.Abolish_type_species.pdf")</f>
        <v>2020.001G.R.Abolish_type_species.pdf</v>
      </c>
      <c r="U9712" s="43" t="str">
        <f>HYPERLINK("https://ictv.global/taxonomy/taxondetails?taxnode_id=202202729","ictv.global=202202729")</f>
        <v>ictv.global=202202729</v>
      </c>
    </row>
    <row r="9713" spans="1:21">
      <c r="A9713">
        <v>9712</v>
      </c>
      <c r="B9713" s="29" t="s">
        <v>3223</v>
      </c>
      <c r="C9713" s="29"/>
      <c r="D9713" s="29" t="s">
        <v>4156</v>
      </c>
      <c r="E9713" s="29"/>
      <c r="F9713" s="29" t="s">
        <v>4230</v>
      </c>
      <c r="G9713" s="29"/>
      <c r="H9713" s="29" t="s">
        <v>4233</v>
      </c>
      <c r="I9713" s="29"/>
      <c r="J9713" s="29" t="s">
        <v>4336</v>
      </c>
      <c r="K9713" s="29"/>
      <c r="L9713" s="29" t="s">
        <v>2981</v>
      </c>
      <c r="M9713" s="29"/>
      <c r="N9713" s="29" t="s">
        <v>844</v>
      </c>
      <c r="O9713" s="29"/>
      <c r="P9713" s="29" t="s">
        <v>2539</v>
      </c>
      <c r="Q9713" t="s">
        <v>2040</v>
      </c>
      <c r="R9713" t="s">
        <v>2634</v>
      </c>
      <c r="S9713">
        <v>36</v>
      </c>
      <c r="T9713" s="43" t="str">
        <f>HYPERLINK("https://ictv.global/ictv/proposals/2020.026P.R.Abolish_Luteoviridae.zip","2020.026P.R.Abolish_Luteoviridae.zip")</f>
        <v>2020.026P.R.Abolish_Luteoviridae.zip</v>
      </c>
      <c r="U9713" s="43" t="str">
        <f>HYPERLINK("https://ictv.global/taxonomy/taxondetails?taxnode_id=202203762","ictv.global=202203762")</f>
        <v>ictv.global=202203762</v>
      </c>
    </row>
    <row r="9714" spans="1:21">
      <c r="A9714">
        <v>9713</v>
      </c>
      <c r="B9714" s="29" t="s">
        <v>3223</v>
      </c>
      <c r="C9714" s="29"/>
      <c r="D9714" s="29" t="s">
        <v>4156</v>
      </c>
      <c r="E9714" s="29"/>
      <c r="F9714" s="29" t="s">
        <v>4230</v>
      </c>
      <c r="G9714" s="29"/>
      <c r="H9714" s="29" t="s">
        <v>4233</v>
      </c>
      <c r="I9714" s="29"/>
      <c r="J9714" s="29" t="s">
        <v>4336</v>
      </c>
      <c r="K9714" s="29"/>
      <c r="L9714" s="29" t="s">
        <v>2981</v>
      </c>
      <c r="M9714" s="29"/>
      <c r="N9714" s="29" t="s">
        <v>844</v>
      </c>
      <c r="O9714" s="29"/>
      <c r="P9714" s="29" t="s">
        <v>4199</v>
      </c>
      <c r="Q9714" t="s">
        <v>2040</v>
      </c>
      <c r="R9714" t="s">
        <v>2634</v>
      </c>
      <c r="S9714">
        <v>36</v>
      </c>
      <c r="T9714" s="43" t="str">
        <f>HYPERLINK("https://ictv.global/ictv/proposals/2020.026P.R.Abolish_Luteoviridae.zip","2020.026P.R.Abolish_Luteoviridae.zip")</f>
        <v>2020.026P.R.Abolish_Luteoviridae.zip</v>
      </c>
      <c r="U9714" s="43" t="str">
        <f>HYPERLINK("https://ictv.global/taxonomy/taxondetails?taxnode_id=202207408","ictv.global=202207408")</f>
        <v>ictv.global=202207408</v>
      </c>
    </row>
    <row r="9715" spans="1:21">
      <c r="A9715">
        <v>9714</v>
      </c>
      <c r="B9715" s="29" t="s">
        <v>3223</v>
      </c>
      <c r="C9715" s="29"/>
      <c r="D9715" s="29" t="s">
        <v>4156</v>
      </c>
      <c r="E9715" s="29"/>
      <c r="F9715" s="29" t="s">
        <v>4230</v>
      </c>
      <c r="G9715" s="29"/>
      <c r="H9715" s="29" t="s">
        <v>4233</v>
      </c>
      <c r="I9715" s="29"/>
      <c r="J9715" s="29" t="s">
        <v>4336</v>
      </c>
      <c r="K9715" s="29"/>
      <c r="L9715" s="29" t="s">
        <v>2981</v>
      </c>
      <c r="M9715" s="29"/>
      <c r="N9715" s="29" t="s">
        <v>844</v>
      </c>
      <c r="O9715" s="29"/>
      <c r="P9715" s="29" t="s">
        <v>3342</v>
      </c>
      <c r="Q9715" t="s">
        <v>2040</v>
      </c>
      <c r="R9715" t="s">
        <v>2634</v>
      </c>
      <c r="S9715">
        <v>36</v>
      </c>
      <c r="T9715" s="43" t="str">
        <f>HYPERLINK("https://ictv.global/ictv/proposals/2020.026P.R.Abolish_Luteoviridae.zip","2020.026P.R.Abolish_Luteoviridae.zip")</f>
        <v>2020.026P.R.Abolish_Luteoviridae.zip</v>
      </c>
      <c r="U9715" s="43" t="str">
        <f>HYPERLINK("https://ictv.global/taxonomy/taxondetails?taxnode_id=202206590","ictv.global=202206590")</f>
        <v>ictv.global=202206590</v>
      </c>
    </row>
    <row r="9716" spans="1:21">
      <c r="A9716">
        <v>9715</v>
      </c>
      <c r="B9716" s="29" t="s">
        <v>3223</v>
      </c>
      <c r="C9716" s="29"/>
      <c r="D9716" s="29" t="s">
        <v>4156</v>
      </c>
      <c r="E9716" s="29"/>
      <c r="F9716" s="29" t="s">
        <v>4230</v>
      </c>
      <c r="G9716" s="29"/>
      <c r="H9716" s="29" t="s">
        <v>4233</v>
      </c>
      <c r="I9716" s="29"/>
      <c r="J9716" s="29" t="s">
        <v>4336</v>
      </c>
      <c r="K9716" s="29"/>
      <c r="L9716" s="29" t="s">
        <v>2981</v>
      </c>
      <c r="M9716" s="29"/>
      <c r="N9716" s="29" t="s">
        <v>844</v>
      </c>
      <c r="O9716" s="29"/>
      <c r="P9716" s="29" t="s">
        <v>3343</v>
      </c>
      <c r="Q9716" t="s">
        <v>2040</v>
      </c>
      <c r="R9716" t="s">
        <v>2634</v>
      </c>
      <c r="S9716">
        <v>36</v>
      </c>
      <c r="T9716" s="43" t="str">
        <f>HYPERLINK("https://ictv.global/ictv/proposals/2020.026P.R.Abolish_Luteoviridae.zip","2020.026P.R.Abolish_Luteoviridae.zip")</f>
        <v>2020.026P.R.Abolish_Luteoviridae.zip</v>
      </c>
      <c r="U9716" s="43" t="str">
        <f>HYPERLINK("https://ictv.global/taxonomy/taxondetails?taxnode_id=202206585","ictv.global=202206585")</f>
        <v>ictv.global=202206585</v>
      </c>
    </row>
    <row r="9717" spans="1:21">
      <c r="A9717">
        <v>9716</v>
      </c>
      <c r="B9717" s="29" t="s">
        <v>3223</v>
      </c>
      <c r="C9717" s="29"/>
      <c r="D9717" s="29" t="s">
        <v>4156</v>
      </c>
      <c r="E9717" s="29"/>
      <c r="F9717" s="29" t="s">
        <v>4230</v>
      </c>
      <c r="G9717" s="29"/>
      <c r="H9717" s="29" t="s">
        <v>4233</v>
      </c>
      <c r="I9717" s="29"/>
      <c r="J9717" s="29" t="s">
        <v>4336</v>
      </c>
      <c r="K9717" s="29"/>
      <c r="L9717" s="29" t="s">
        <v>2981</v>
      </c>
      <c r="M9717" s="29"/>
      <c r="N9717" s="29" t="s">
        <v>844</v>
      </c>
      <c r="O9717" s="29"/>
      <c r="P9717" s="29" t="s">
        <v>1874</v>
      </c>
      <c r="Q9717" t="s">
        <v>2040</v>
      </c>
      <c r="R9717" t="s">
        <v>2635</v>
      </c>
      <c r="S9717">
        <v>38</v>
      </c>
      <c r="T9717" s="43" t="str">
        <f>HYPERLINK("https://ictv.global/ictv/proposals/2022.015P.Tombusviridae_rename.zip","2022.015P.Tombusviridae_rename.zip")</f>
        <v>2022.015P.Tombusviridae_rename.zip</v>
      </c>
      <c r="U9717" s="43" t="str">
        <f>HYPERLINK("https://ictv.global/taxonomy/taxondetails?taxnode_id=202203763","ictv.global=202203763")</f>
        <v>ictv.global=202203763</v>
      </c>
    </row>
    <row r="9718" spans="1:21">
      <c r="A9718">
        <v>9717</v>
      </c>
      <c r="B9718" s="29" t="s">
        <v>3223</v>
      </c>
      <c r="C9718" s="29"/>
      <c r="D9718" s="29" t="s">
        <v>4156</v>
      </c>
      <c r="E9718" s="29"/>
      <c r="F9718" s="29" t="s">
        <v>4230</v>
      </c>
      <c r="G9718" s="29"/>
      <c r="H9718" s="29" t="s">
        <v>4233</v>
      </c>
      <c r="I9718" s="29"/>
      <c r="J9718" s="29" t="s">
        <v>4336</v>
      </c>
      <c r="K9718" s="29"/>
      <c r="L9718" s="29" t="s">
        <v>2981</v>
      </c>
      <c r="M9718" s="29"/>
      <c r="N9718" s="29" t="s">
        <v>313</v>
      </c>
      <c r="O9718" s="29"/>
      <c r="P9718" s="29" t="s">
        <v>314</v>
      </c>
      <c r="Q9718" t="s">
        <v>2040</v>
      </c>
      <c r="R9718" t="s">
        <v>6901</v>
      </c>
      <c r="S9718">
        <v>36</v>
      </c>
      <c r="T9718" s="43" t="str">
        <f>HYPERLINK("https://ictv.global/ictv/proposals/2020.001G.R.Abolish_type_species.pdf","2020.001G.R.Abolish_type_species.pdf")</f>
        <v>2020.001G.R.Abolish_type_species.pdf</v>
      </c>
      <c r="U9718" s="43" t="str">
        <f>HYPERLINK("https://ictv.global/taxonomy/taxondetails?taxnode_id=202205362","ictv.global=202205362")</f>
        <v>ictv.global=202205362</v>
      </c>
    </row>
    <row r="9719" spans="1:21">
      <c r="A9719">
        <v>9718</v>
      </c>
      <c r="B9719" s="29" t="s">
        <v>3223</v>
      </c>
      <c r="C9719" s="29"/>
      <c r="D9719" s="29" t="s">
        <v>4156</v>
      </c>
      <c r="E9719" s="29"/>
      <c r="F9719" s="29" t="s">
        <v>4230</v>
      </c>
      <c r="G9719" s="29"/>
      <c r="H9719" s="29" t="s">
        <v>4233</v>
      </c>
      <c r="I9719" s="29"/>
      <c r="J9719" s="29" t="s">
        <v>4336</v>
      </c>
      <c r="K9719" s="29"/>
      <c r="L9719" s="29" t="s">
        <v>2981</v>
      </c>
      <c r="M9719" s="29"/>
      <c r="N9719" s="29" t="s">
        <v>1221</v>
      </c>
      <c r="O9719" s="29"/>
      <c r="P9719" s="29" t="s">
        <v>1222</v>
      </c>
      <c r="Q9719" t="s">
        <v>2040</v>
      </c>
      <c r="R9719" t="s">
        <v>2634</v>
      </c>
      <c r="S9719">
        <v>36</v>
      </c>
      <c r="T9719" s="43" t="str">
        <f>HYPERLINK("https://ictv.global/ictv/proposals/2020.026P.R.Abolish_Luteoviridae.zip","2020.026P.R.Abolish_Luteoviridae.zip")</f>
        <v>2020.026P.R.Abolish_Luteoviridae.zip</v>
      </c>
      <c r="U9719" s="43" t="str">
        <f>HYPERLINK("https://ictv.global/taxonomy/taxondetails?taxnode_id=202203774","ictv.global=202203774")</f>
        <v>ictv.global=202203774</v>
      </c>
    </row>
    <row r="9720" spans="1:21">
      <c r="A9720">
        <v>9719</v>
      </c>
      <c r="B9720" s="29" t="s">
        <v>3223</v>
      </c>
      <c r="C9720" s="29"/>
      <c r="D9720" s="29" t="s">
        <v>4156</v>
      </c>
      <c r="E9720" s="29"/>
      <c r="F9720" s="29" t="s">
        <v>4230</v>
      </c>
      <c r="G9720" s="29"/>
      <c r="H9720" s="29" t="s">
        <v>4233</v>
      </c>
      <c r="I9720" s="29"/>
      <c r="J9720" s="29" t="s">
        <v>4336</v>
      </c>
      <c r="K9720" s="29"/>
      <c r="L9720" s="29" t="s">
        <v>2981</v>
      </c>
      <c r="M9720" s="29"/>
      <c r="N9720" s="29" t="s">
        <v>1221</v>
      </c>
      <c r="O9720" s="29"/>
      <c r="P9720" s="29" t="s">
        <v>1445</v>
      </c>
      <c r="Q9720" t="s">
        <v>2040</v>
      </c>
      <c r="R9720" t="s">
        <v>2634</v>
      </c>
      <c r="S9720">
        <v>36</v>
      </c>
      <c r="T9720" s="43" t="str">
        <f>HYPERLINK("https://ictv.global/ictv/proposals/2020.026P.R.Abolish_Luteoviridae.zip","2020.026P.R.Abolish_Luteoviridae.zip")</f>
        <v>2020.026P.R.Abolish_Luteoviridae.zip</v>
      </c>
      <c r="U9720" s="43" t="str">
        <f>HYPERLINK("https://ictv.global/taxonomy/taxondetails?taxnode_id=202203775","ictv.global=202203775")</f>
        <v>ictv.global=202203775</v>
      </c>
    </row>
    <row r="9721" spans="1:21">
      <c r="A9721">
        <v>9720</v>
      </c>
      <c r="B9721" s="29" t="s">
        <v>3223</v>
      </c>
      <c r="C9721" s="29"/>
      <c r="D9721" s="29" t="s">
        <v>4156</v>
      </c>
      <c r="E9721" s="29"/>
      <c r="F9721" s="29" t="s">
        <v>4230</v>
      </c>
      <c r="G9721" s="29"/>
      <c r="H9721" s="29" t="s">
        <v>4233</v>
      </c>
      <c r="I9721" s="29"/>
      <c r="J9721" s="29" t="s">
        <v>4336</v>
      </c>
      <c r="K9721" s="29"/>
      <c r="L9721" s="29" t="s">
        <v>2981</v>
      </c>
      <c r="M9721" s="29"/>
      <c r="N9721" s="29" t="s">
        <v>1221</v>
      </c>
      <c r="O9721" s="29"/>
      <c r="P9721" s="29" t="s">
        <v>1223</v>
      </c>
      <c r="Q9721" t="s">
        <v>2040</v>
      </c>
      <c r="R9721" t="s">
        <v>2634</v>
      </c>
      <c r="S9721">
        <v>36</v>
      </c>
      <c r="T9721" s="43" t="str">
        <f>HYPERLINK("https://ictv.global/ictv/proposals/2020.026P.R.Abolish_Luteoviridae.zip","2020.026P.R.Abolish_Luteoviridae.zip")</f>
        <v>2020.026P.R.Abolish_Luteoviridae.zip</v>
      </c>
      <c r="U9721" s="43" t="str">
        <f>HYPERLINK("https://ictv.global/taxonomy/taxondetails?taxnode_id=202203776","ictv.global=202203776")</f>
        <v>ictv.global=202203776</v>
      </c>
    </row>
    <row r="9722" spans="1:21">
      <c r="A9722">
        <v>9721</v>
      </c>
      <c r="B9722" s="29" t="s">
        <v>3223</v>
      </c>
      <c r="C9722" s="29"/>
      <c r="D9722" s="29" t="s">
        <v>4156</v>
      </c>
      <c r="E9722" s="29"/>
      <c r="F9722" s="29" t="s">
        <v>4230</v>
      </c>
      <c r="G9722" s="29"/>
      <c r="H9722" s="29" t="s">
        <v>4233</v>
      </c>
      <c r="I9722" s="29"/>
      <c r="J9722" s="29" t="s">
        <v>4336</v>
      </c>
      <c r="K9722" s="29"/>
      <c r="L9722" s="29" t="s">
        <v>2981</v>
      </c>
      <c r="M9722" s="29"/>
      <c r="N9722" s="29" t="s">
        <v>1221</v>
      </c>
      <c r="O9722" s="29"/>
      <c r="P9722" s="29" t="s">
        <v>1224</v>
      </c>
      <c r="Q9722" t="s">
        <v>2040</v>
      </c>
      <c r="R9722" t="s">
        <v>2634</v>
      </c>
      <c r="S9722">
        <v>36</v>
      </c>
      <c r="T9722" s="43" t="str">
        <f>HYPERLINK("https://ictv.global/ictv/proposals/2020.026P.R.Abolish_Luteoviridae.zip","2020.026P.R.Abolish_Luteoviridae.zip")</f>
        <v>2020.026P.R.Abolish_Luteoviridae.zip</v>
      </c>
      <c r="U9722" s="43" t="str">
        <f>HYPERLINK("https://ictv.global/taxonomy/taxondetails?taxnode_id=202203777","ictv.global=202203777")</f>
        <v>ictv.global=202203777</v>
      </c>
    </row>
    <row r="9723" spans="1:21">
      <c r="A9723">
        <v>9722</v>
      </c>
      <c r="B9723" s="29" t="s">
        <v>3223</v>
      </c>
      <c r="C9723" s="29"/>
      <c r="D9723" s="29" t="s">
        <v>4156</v>
      </c>
      <c r="E9723" s="29"/>
      <c r="F9723" s="29" t="s">
        <v>4230</v>
      </c>
      <c r="G9723" s="29"/>
      <c r="H9723" s="29" t="s">
        <v>4233</v>
      </c>
      <c r="I9723" s="29"/>
      <c r="J9723" s="29" t="s">
        <v>4336</v>
      </c>
      <c r="K9723" s="29"/>
      <c r="L9723" s="29" t="s">
        <v>2981</v>
      </c>
      <c r="M9723" s="29"/>
      <c r="N9723" s="29" t="s">
        <v>1221</v>
      </c>
      <c r="O9723" s="29"/>
      <c r="P9723" s="29" t="s">
        <v>2919</v>
      </c>
      <c r="Q9723" t="s">
        <v>2040</v>
      </c>
      <c r="R9723" t="s">
        <v>2634</v>
      </c>
      <c r="S9723">
        <v>36</v>
      </c>
      <c r="T9723" s="43" t="str">
        <f>HYPERLINK("https://ictv.global/ictv/proposals/2020.026P.R.Abolish_Luteoviridae.zip","2020.026P.R.Abolish_Luteoviridae.zip")</f>
        <v>2020.026P.R.Abolish_Luteoviridae.zip</v>
      </c>
      <c r="U9723" s="43" t="str">
        <f>HYPERLINK("https://ictv.global/taxonomy/taxondetails?taxnode_id=202203778","ictv.global=202203778")</f>
        <v>ictv.global=202203778</v>
      </c>
    </row>
    <row r="9724" spans="1:21">
      <c r="A9724">
        <v>9723</v>
      </c>
      <c r="B9724" s="29" t="s">
        <v>3223</v>
      </c>
      <c r="C9724" s="29"/>
      <c r="D9724" s="29" t="s">
        <v>4156</v>
      </c>
      <c r="E9724" s="29"/>
      <c r="F9724" s="29" t="s">
        <v>4230</v>
      </c>
      <c r="G9724" s="29"/>
      <c r="H9724" s="29" t="s">
        <v>4233</v>
      </c>
      <c r="I9724" s="29"/>
      <c r="J9724" s="29" t="s">
        <v>4336</v>
      </c>
      <c r="K9724" s="29"/>
      <c r="L9724" s="29" t="s">
        <v>2981</v>
      </c>
      <c r="M9724" s="29"/>
      <c r="N9724" s="29" t="s">
        <v>1221</v>
      </c>
      <c r="O9724" s="29"/>
      <c r="P9724" s="29" t="s">
        <v>2920</v>
      </c>
      <c r="Q9724" t="s">
        <v>2040</v>
      </c>
      <c r="R9724" t="s">
        <v>2635</v>
      </c>
      <c r="S9724">
        <v>38</v>
      </c>
      <c r="T9724" s="43" t="str">
        <f>HYPERLINK("https://ictv.global/ictv/proposals/2022.015P.Tombusviridae_rename.zip","2022.015P.Tombusviridae_rename.zip")</f>
        <v>2022.015P.Tombusviridae_rename.zip</v>
      </c>
      <c r="U9724" s="43" t="str">
        <f>HYPERLINK("https://ictv.global/taxonomy/taxondetails?taxnode_id=202203779","ictv.global=202203779")</f>
        <v>ictv.global=202203779</v>
      </c>
    </row>
    <row r="9725" spans="1:21">
      <c r="A9725">
        <v>9724</v>
      </c>
      <c r="B9725" s="29" t="s">
        <v>3223</v>
      </c>
      <c r="C9725" s="29"/>
      <c r="D9725" s="29" t="s">
        <v>4156</v>
      </c>
      <c r="E9725" s="29"/>
      <c r="F9725" s="29" t="s">
        <v>4230</v>
      </c>
      <c r="G9725" s="29"/>
      <c r="H9725" s="29" t="s">
        <v>4233</v>
      </c>
      <c r="I9725" s="29"/>
      <c r="J9725" s="29" t="s">
        <v>4336</v>
      </c>
      <c r="K9725" s="29"/>
      <c r="L9725" s="29" t="s">
        <v>2981</v>
      </c>
      <c r="M9725" s="29"/>
      <c r="N9725" s="29" t="s">
        <v>1221</v>
      </c>
      <c r="O9725" s="29"/>
      <c r="P9725" s="29" t="s">
        <v>453</v>
      </c>
      <c r="Q9725" t="s">
        <v>2040</v>
      </c>
      <c r="R9725" t="s">
        <v>2634</v>
      </c>
      <c r="S9725">
        <v>36</v>
      </c>
      <c r="T9725" s="43" t="str">
        <f>HYPERLINK("https://ictv.global/ictv/proposals/2020.026P.R.Abolish_Luteoviridae.zip","2020.026P.R.Abolish_Luteoviridae.zip")</f>
        <v>2020.026P.R.Abolish_Luteoviridae.zip</v>
      </c>
      <c r="U9725" s="43" t="str">
        <f>HYPERLINK("https://ictv.global/taxonomy/taxondetails?taxnode_id=202203780","ictv.global=202203780")</f>
        <v>ictv.global=202203780</v>
      </c>
    </row>
    <row r="9726" spans="1:21">
      <c r="A9726">
        <v>9725</v>
      </c>
      <c r="B9726" s="29" t="s">
        <v>3223</v>
      </c>
      <c r="C9726" s="29"/>
      <c r="D9726" s="29" t="s">
        <v>4156</v>
      </c>
      <c r="E9726" s="29"/>
      <c r="F9726" s="29" t="s">
        <v>4230</v>
      </c>
      <c r="G9726" s="29"/>
      <c r="H9726" s="29" t="s">
        <v>4233</v>
      </c>
      <c r="I9726" s="29"/>
      <c r="J9726" s="29" t="s">
        <v>4336</v>
      </c>
      <c r="K9726" s="29"/>
      <c r="L9726" s="29" t="s">
        <v>2981</v>
      </c>
      <c r="M9726" s="29"/>
      <c r="N9726" s="29" t="s">
        <v>1221</v>
      </c>
      <c r="O9726" s="29"/>
      <c r="P9726" s="29" t="s">
        <v>1875</v>
      </c>
      <c r="Q9726" t="s">
        <v>2040</v>
      </c>
      <c r="R9726" t="s">
        <v>2634</v>
      </c>
      <c r="S9726">
        <v>36</v>
      </c>
      <c r="T9726" s="43" t="str">
        <f>HYPERLINK("https://ictv.global/ictv/proposals/2020.026P.R.Abolish_Luteoviridae.zip","2020.026P.R.Abolish_Luteoviridae.zip")</f>
        <v>2020.026P.R.Abolish_Luteoviridae.zip</v>
      </c>
      <c r="U9726" s="43" t="str">
        <f>HYPERLINK("https://ictv.global/taxonomy/taxondetails?taxnode_id=202203781","ictv.global=202203781")</f>
        <v>ictv.global=202203781</v>
      </c>
    </row>
    <row r="9727" spans="1:21">
      <c r="A9727">
        <v>9726</v>
      </c>
      <c r="B9727" s="29" t="s">
        <v>3223</v>
      </c>
      <c r="C9727" s="29"/>
      <c r="D9727" s="29" t="s">
        <v>4156</v>
      </c>
      <c r="E9727" s="29"/>
      <c r="F9727" s="29" t="s">
        <v>4230</v>
      </c>
      <c r="G9727" s="29"/>
      <c r="H9727" s="29" t="s">
        <v>4233</v>
      </c>
      <c r="I9727" s="29"/>
      <c r="J9727" s="29" t="s">
        <v>4336</v>
      </c>
      <c r="K9727" s="29"/>
      <c r="L9727" s="29" t="s">
        <v>2981</v>
      </c>
      <c r="M9727" s="29"/>
      <c r="N9727" s="29" t="s">
        <v>1221</v>
      </c>
      <c r="O9727" s="29"/>
      <c r="P9727" s="29" t="s">
        <v>1225</v>
      </c>
      <c r="Q9727" t="s">
        <v>2040</v>
      </c>
      <c r="R9727" t="s">
        <v>2634</v>
      </c>
      <c r="S9727">
        <v>36</v>
      </c>
      <c r="T9727" s="43" t="str">
        <f>HYPERLINK("https://ictv.global/ictv/proposals/2020.026P.R.Abolish_Luteoviridae.zip","2020.026P.R.Abolish_Luteoviridae.zip")</f>
        <v>2020.026P.R.Abolish_Luteoviridae.zip</v>
      </c>
      <c r="U9727" s="43" t="str">
        <f>HYPERLINK("https://ictv.global/taxonomy/taxondetails?taxnode_id=202203782","ictv.global=202203782")</f>
        <v>ictv.global=202203782</v>
      </c>
    </row>
    <row r="9728" spans="1:21">
      <c r="A9728">
        <v>9727</v>
      </c>
      <c r="B9728" s="29" t="s">
        <v>3223</v>
      </c>
      <c r="C9728" s="29"/>
      <c r="D9728" s="29" t="s">
        <v>4156</v>
      </c>
      <c r="E9728" s="29"/>
      <c r="F9728" s="29" t="s">
        <v>4230</v>
      </c>
      <c r="G9728" s="29"/>
      <c r="H9728" s="29" t="s">
        <v>4233</v>
      </c>
      <c r="I9728" s="29"/>
      <c r="J9728" s="29" t="s">
        <v>4336</v>
      </c>
      <c r="K9728" s="29"/>
      <c r="L9728" s="29" t="s">
        <v>2981</v>
      </c>
      <c r="M9728" s="29"/>
      <c r="N9728" s="29" t="s">
        <v>1221</v>
      </c>
      <c r="O9728" s="29"/>
      <c r="P9728" s="29" t="s">
        <v>4200</v>
      </c>
      <c r="Q9728" t="s">
        <v>2040</v>
      </c>
      <c r="R9728" t="s">
        <v>2634</v>
      </c>
      <c r="S9728">
        <v>36</v>
      </c>
      <c r="T9728" s="43" t="str">
        <f>HYPERLINK("https://ictv.global/ictv/proposals/2020.026P.R.Abolish_Luteoviridae.zip","2020.026P.R.Abolish_Luteoviridae.zip")</f>
        <v>2020.026P.R.Abolish_Luteoviridae.zip</v>
      </c>
      <c r="U9728" s="43" t="str">
        <f>HYPERLINK("https://ictv.global/taxonomy/taxondetails?taxnode_id=202207417","ictv.global=202207417")</f>
        <v>ictv.global=202207417</v>
      </c>
    </row>
    <row r="9729" spans="1:21">
      <c r="A9729">
        <v>9728</v>
      </c>
      <c r="B9729" s="29" t="s">
        <v>3223</v>
      </c>
      <c r="C9729" s="29"/>
      <c r="D9729" s="29" t="s">
        <v>4156</v>
      </c>
      <c r="E9729" s="29"/>
      <c r="F9729" s="29" t="s">
        <v>4230</v>
      </c>
      <c r="G9729" s="29"/>
      <c r="H9729" s="29" t="s">
        <v>4233</v>
      </c>
      <c r="I9729" s="29"/>
      <c r="J9729" s="29" t="s">
        <v>4336</v>
      </c>
      <c r="K9729" s="29"/>
      <c r="L9729" s="29" t="s">
        <v>2981</v>
      </c>
      <c r="M9729" s="29"/>
      <c r="N9729" s="29" t="s">
        <v>1221</v>
      </c>
      <c r="O9729" s="29"/>
      <c r="P9729" s="29" t="s">
        <v>2921</v>
      </c>
      <c r="Q9729" t="s">
        <v>2040</v>
      </c>
      <c r="R9729" t="s">
        <v>2635</v>
      </c>
      <c r="S9729">
        <v>38</v>
      </c>
      <c r="T9729" s="43" t="str">
        <f>HYPERLINK("https://ictv.global/ictv/proposals/2022.015P.Tombusviridae_rename.zip","2022.015P.Tombusviridae_rename.zip")</f>
        <v>2022.015P.Tombusviridae_rename.zip</v>
      </c>
      <c r="U9729" s="43" t="str">
        <f>HYPERLINK("https://ictv.global/taxonomy/taxondetails?taxnode_id=202203783","ictv.global=202203783")</f>
        <v>ictv.global=202203783</v>
      </c>
    </row>
    <row r="9730" spans="1:21">
      <c r="A9730">
        <v>9729</v>
      </c>
      <c r="B9730" s="29" t="s">
        <v>3223</v>
      </c>
      <c r="C9730" s="29"/>
      <c r="D9730" s="29" t="s">
        <v>4156</v>
      </c>
      <c r="E9730" s="29"/>
      <c r="F9730" s="29" t="s">
        <v>4230</v>
      </c>
      <c r="G9730" s="29"/>
      <c r="H9730" s="29" t="s">
        <v>4233</v>
      </c>
      <c r="I9730" s="29"/>
      <c r="J9730" s="29" t="s">
        <v>4336</v>
      </c>
      <c r="K9730" s="29"/>
      <c r="L9730" s="29" t="s">
        <v>2981</v>
      </c>
      <c r="M9730" s="29"/>
      <c r="N9730" s="29" t="s">
        <v>1221</v>
      </c>
      <c r="O9730" s="29"/>
      <c r="P9730" s="29" t="s">
        <v>2922</v>
      </c>
      <c r="Q9730" t="s">
        <v>2040</v>
      </c>
      <c r="R9730" t="s">
        <v>2634</v>
      </c>
      <c r="S9730">
        <v>36</v>
      </c>
      <c r="T9730" s="43" t="str">
        <f t="shared" ref="T9730:T9738" si="416">HYPERLINK("https://ictv.global/ictv/proposals/2020.026P.R.Abolish_Luteoviridae.zip","2020.026P.R.Abolish_Luteoviridae.zip")</f>
        <v>2020.026P.R.Abolish_Luteoviridae.zip</v>
      </c>
      <c r="U9730" s="43" t="str">
        <f>HYPERLINK("https://ictv.global/taxonomy/taxondetails?taxnode_id=202205862","ictv.global=202205862")</f>
        <v>ictv.global=202205862</v>
      </c>
    </row>
    <row r="9731" spans="1:21">
      <c r="A9731">
        <v>9730</v>
      </c>
      <c r="B9731" s="29" t="s">
        <v>3223</v>
      </c>
      <c r="C9731" s="29"/>
      <c r="D9731" s="29" t="s">
        <v>4156</v>
      </c>
      <c r="E9731" s="29"/>
      <c r="F9731" s="29" t="s">
        <v>4230</v>
      </c>
      <c r="G9731" s="29"/>
      <c r="H9731" s="29" t="s">
        <v>4233</v>
      </c>
      <c r="I9731" s="29"/>
      <c r="J9731" s="29" t="s">
        <v>4336</v>
      </c>
      <c r="K9731" s="29"/>
      <c r="L9731" s="29" t="s">
        <v>2981</v>
      </c>
      <c r="M9731" s="29"/>
      <c r="N9731" s="29" t="s">
        <v>1221</v>
      </c>
      <c r="O9731" s="29"/>
      <c r="P9731" s="29" t="s">
        <v>454</v>
      </c>
      <c r="Q9731" t="s">
        <v>2040</v>
      </c>
      <c r="R9731" t="s">
        <v>2634</v>
      </c>
      <c r="S9731">
        <v>36</v>
      </c>
      <c r="T9731" s="43" t="str">
        <f t="shared" si="416"/>
        <v>2020.026P.R.Abolish_Luteoviridae.zip</v>
      </c>
      <c r="U9731" s="43" t="str">
        <f>HYPERLINK("https://ictv.global/taxonomy/taxondetails?taxnode_id=202203784","ictv.global=202203784")</f>
        <v>ictv.global=202203784</v>
      </c>
    </row>
    <row r="9732" spans="1:21">
      <c r="A9732">
        <v>9731</v>
      </c>
      <c r="B9732" s="29" t="s">
        <v>3223</v>
      </c>
      <c r="C9732" s="29"/>
      <c r="D9732" s="29" t="s">
        <v>4156</v>
      </c>
      <c r="E9732" s="29"/>
      <c r="F9732" s="29" t="s">
        <v>4230</v>
      </c>
      <c r="G9732" s="29"/>
      <c r="H9732" s="29" t="s">
        <v>4233</v>
      </c>
      <c r="I9732" s="29"/>
      <c r="J9732" s="29" t="s">
        <v>4336</v>
      </c>
      <c r="K9732" s="29"/>
      <c r="L9732" s="29" t="s">
        <v>2981</v>
      </c>
      <c r="M9732" s="29"/>
      <c r="N9732" s="29" t="s">
        <v>1221</v>
      </c>
      <c r="O9732" s="29"/>
      <c r="P9732" s="29" t="s">
        <v>2923</v>
      </c>
      <c r="Q9732" t="s">
        <v>2040</v>
      </c>
      <c r="R9732" t="s">
        <v>2634</v>
      </c>
      <c r="S9732">
        <v>36</v>
      </c>
      <c r="T9732" s="43" t="str">
        <f t="shared" si="416"/>
        <v>2020.026P.R.Abolish_Luteoviridae.zip</v>
      </c>
      <c r="U9732" s="43" t="str">
        <f>HYPERLINK("https://ictv.global/taxonomy/taxondetails?taxnode_id=202205863","ictv.global=202205863")</f>
        <v>ictv.global=202205863</v>
      </c>
    </row>
    <row r="9733" spans="1:21">
      <c r="A9733">
        <v>9732</v>
      </c>
      <c r="B9733" s="29" t="s">
        <v>3223</v>
      </c>
      <c r="C9733" s="29"/>
      <c r="D9733" s="29" t="s">
        <v>4156</v>
      </c>
      <c r="E9733" s="29"/>
      <c r="F9733" s="29" t="s">
        <v>4230</v>
      </c>
      <c r="G9733" s="29"/>
      <c r="H9733" s="29" t="s">
        <v>4233</v>
      </c>
      <c r="I9733" s="29"/>
      <c r="J9733" s="29" t="s">
        <v>4336</v>
      </c>
      <c r="K9733" s="29"/>
      <c r="L9733" s="29" t="s">
        <v>2981</v>
      </c>
      <c r="M9733" s="29"/>
      <c r="N9733" s="29" t="s">
        <v>1221</v>
      </c>
      <c r="O9733" s="29"/>
      <c r="P9733" s="29" t="s">
        <v>3344</v>
      </c>
      <c r="Q9733" t="s">
        <v>2040</v>
      </c>
      <c r="R9733" t="s">
        <v>2634</v>
      </c>
      <c r="S9733">
        <v>36</v>
      </c>
      <c r="T9733" s="43" t="str">
        <f t="shared" si="416"/>
        <v>2020.026P.R.Abolish_Luteoviridae.zip</v>
      </c>
      <c r="U9733" s="43" t="str">
        <f>HYPERLINK("https://ictv.global/taxonomy/taxondetails?taxnode_id=202203785","ictv.global=202203785")</f>
        <v>ictv.global=202203785</v>
      </c>
    </row>
    <row r="9734" spans="1:21">
      <c r="A9734">
        <v>9733</v>
      </c>
      <c r="B9734" s="29" t="s">
        <v>3223</v>
      </c>
      <c r="C9734" s="29"/>
      <c r="D9734" s="29" t="s">
        <v>4156</v>
      </c>
      <c r="E9734" s="29"/>
      <c r="F9734" s="29" t="s">
        <v>4230</v>
      </c>
      <c r="G9734" s="29"/>
      <c r="H9734" s="29" t="s">
        <v>4233</v>
      </c>
      <c r="I9734" s="29"/>
      <c r="J9734" s="29" t="s">
        <v>4336</v>
      </c>
      <c r="K9734" s="29"/>
      <c r="L9734" s="29" t="s">
        <v>2981</v>
      </c>
      <c r="M9734" s="29"/>
      <c r="N9734" s="29" t="s">
        <v>1221</v>
      </c>
      <c r="O9734" s="29"/>
      <c r="P9734" s="29" t="s">
        <v>3345</v>
      </c>
      <c r="Q9734" t="s">
        <v>2040</v>
      </c>
      <c r="R9734" t="s">
        <v>2634</v>
      </c>
      <c r="S9734">
        <v>36</v>
      </c>
      <c r="T9734" s="43" t="str">
        <f t="shared" si="416"/>
        <v>2020.026P.R.Abolish_Luteoviridae.zip</v>
      </c>
      <c r="U9734" s="43" t="str">
        <f>HYPERLINK("https://ictv.global/taxonomy/taxondetails?taxnode_id=202206621","ictv.global=202206621")</f>
        <v>ictv.global=202206621</v>
      </c>
    </row>
    <row r="9735" spans="1:21">
      <c r="A9735">
        <v>9734</v>
      </c>
      <c r="B9735" s="29" t="s">
        <v>3223</v>
      </c>
      <c r="C9735" s="29"/>
      <c r="D9735" s="29" t="s">
        <v>4156</v>
      </c>
      <c r="E9735" s="29"/>
      <c r="F9735" s="29" t="s">
        <v>4230</v>
      </c>
      <c r="G9735" s="29"/>
      <c r="H9735" s="29" t="s">
        <v>4233</v>
      </c>
      <c r="I9735" s="29"/>
      <c r="J9735" s="29" t="s">
        <v>4336</v>
      </c>
      <c r="K9735" s="29"/>
      <c r="L9735" s="29" t="s">
        <v>2981</v>
      </c>
      <c r="M9735" s="29"/>
      <c r="N9735" s="29" t="s">
        <v>1221</v>
      </c>
      <c r="O9735" s="29"/>
      <c r="P9735" s="29" t="s">
        <v>3346</v>
      </c>
      <c r="Q9735" t="s">
        <v>2040</v>
      </c>
      <c r="R9735" t="s">
        <v>2634</v>
      </c>
      <c r="S9735">
        <v>36</v>
      </c>
      <c r="T9735" s="43" t="str">
        <f t="shared" si="416"/>
        <v>2020.026P.R.Abolish_Luteoviridae.zip</v>
      </c>
      <c r="U9735" s="43" t="str">
        <f>HYPERLINK("https://ictv.global/taxonomy/taxondetails?taxnode_id=202206622","ictv.global=202206622")</f>
        <v>ictv.global=202206622</v>
      </c>
    </row>
    <row r="9736" spans="1:21">
      <c r="A9736">
        <v>9735</v>
      </c>
      <c r="B9736" s="29" t="s">
        <v>3223</v>
      </c>
      <c r="C9736" s="29"/>
      <c r="D9736" s="29" t="s">
        <v>4156</v>
      </c>
      <c r="E9736" s="29"/>
      <c r="F9736" s="29" t="s">
        <v>4230</v>
      </c>
      <c r="G9736" s="29"/>
      <c r="H9736" s="29" t="s">
        <v>4233</v>
      </c>
      <c r="I9736" s="29"/>
      <c r="J9736" s="29" t="s">
        <v>4336</v>
      </c>
      <c r="K9736" s="29"/>
      <c r="L9736" s="29" t="s">
        <v>2981</v>
      </c>
      <c r="M9736" s="29"/>
      <c r="N9736" s="29" t="s">
        <v>1221</v>
      </c>
      <c r="O9736" s="29"/>
      <c r="P9736" s="29" t="s">
        <v>3347</v>
      </c>
      <c r="Q9736" t="s">
        <v>2040</v>
      </c>
      <c r="R9736" t="s">
        <v>2634</v>
      </c>
      <c r="S9736">
        <v>36</v>
      </c>
      <c r="T9736" s="43" t="str">
        <f t="shared" si="416"/>
        <v>2020.026P.R.Abolish_Luteoviridae.zip</v>
      </c>
      <c r="U9736" s="43" t="str">
        <f>HYPERLINK("https://ictv.global/taxonomy/taxondetails?taxnode_id=202206623","ictv.global=202206623")</f>
        <v>ictv.global=202206623</v>
      </c>
    </row>
    <row r="9737" spans="1:21">
      <c r="A9737">
        <v>9736</v>
      </c>
      <c r="B9737" s="29" t="s">
        <v>3223</v>
      </c>
      <c r="C9737" s="29"/>
      <c r="D9737" s="29" t="s">
        <v>4156</v>
      </c>
      <c r="E9737" s="29"/>
      <c r="F9737" s="29" t="s">
        <v>4230</v>
      </c>
      <c r="G9737" s="29"/>
      <c r="H9737" s="29" t="s">
        <v>4233</v>
      </c>
      <c r="I9737" s="29"/>
      <c r="J9737" s="29" t="s">
        <v>4336</v>
      </c>
      <c r="K9737" s="29"/>
      <c r="L9737" s="29" t="s">
        <v>2981</v>
      </c>
      <c r="M9737" s="29"/>
      <c r="N9737" s="29" t="s">
        <v>1221</v>
      </c>
      <c r="O9737" s="29"/>
      <c r="P9737" s="29" t="s">
        <v>3348</v>
      </c>
      <c r="Q9737" t="s">
        <v>2040</v>
      </c>
      <c r="R9737" t="s">
        <v>2634</v>
      </c>
      <c r="S9737">
        <v>36</v>
      </c>
      <c r="T9737" s="43" t="str">
        <f t="shared" si="416"/>
        <v>2020.026P.R.Abolish_Luteoviridae.zip</v>
      </c>
      <c r="U9737" s="43" t="str">
        <f>HYPERLINK("https://ictv.global/taxonomy/taxondetails?taxnode_id=202206624","ictv.global=202206624")</f>
        <v>ictv.global=202206624</v>
      </c>
    </row>
    <row r="9738" spans="1:21">
      <c r="A9738">
        <v>9737</v>
      </c>
      <c r="B9738" s="29" t="s">
        <v>3223</v>
      </c>
      <c r="C9738" s="29"/>
      <c r="D9738" s="29" t="s">
        <v>4156</v>
      </c>
      <c r="E9738" s="29"/>
      <c r="F9738" s="29" t="s">
        <v>4230</v>
      </c>
      <c r="G9738" s="29"/>
      <c r="H9738" s="29" t="s">
        <v>4233</v>
      </c>
      <c r="I9738" s="29"/>
      <c r="J9738" s="29" t="s">
        <v>4336</v>
      </c>
      <c r="K9738" s="29"/>
      <c r="L9738" s="29" t="s">
        <v>2981</v>
      </c>
      <c r="M9738" s="29"/>
      <c r="N9738" s="29" t="s">
        <v>1221</v>
      </c>
      <c r="O9738" s="29"/>
      <c r="P9738" s="29" t="s">
        <v>3349</v>
      </c>
      <c r="Q9738" t="s">
        <v>2040</v>
      </c>
      <c r="R9738" t="s">
        <v>2634</v>
      </c>
      <c r="S9738">
        <v>36</v>
      </c>
      <c r="T9738" s="43" t="str">
        <f t="shared" si="416"/>
        <v>2020.026P.R.Abolish_Luteoviridae.zip</v>
      </c>
      <c r="U9738" s="43" t="str">
        <f>HYPERLINK("https://ictv.global/taxonomy/taxondetails?taxnode_id=202206625","ictv.global=202206625")</f>
        <v>ictv.global=202206625</v>
      </c>
    </row>
    <row r="9739" spans="1:21">
      <c r="A9739">
        <v>9738</v>
      </c>
      <c r="B9739" s="29" t="s">
        <v>3223</v>
      </c>
      <c r="C9739" s="29"/>
      <c r="D9739" s="29" t="s">
        <v>4156</v>
      </c>
      <c r="E9739" s="29"/>
      <c r="F9739" s="29" t="s">
        <v>4230</v>
      </c>
      <c r="G9739" s="29"/>
      <c r="H9739" s="29" t="s">
        <v>4233</v>
      </c>
      <c r="I9739" s="29"/>
      <c r="J9739" s="29" t="s">
        <v>4336</v>
      </c>
      <c r="K9739" s="29"/>
      <c r="L9739" s="29" t="s">
        <v>2981</v>
      </c>
      <c r="M9739" s="29"/>
      <c r="N9739" s="29" t="s">
        <v>1221</v>
      </c>
      <c r="O9739" s="29"/>
      <c r="P9739" s="29" t="s">
        <v>1226</v>
      </c>
      <c r="Q9739" t="s">
        <v>2040</v>
      </c>
      <c r="R9739" t="s">
        <v>6899</v>
      </c>
      <c r="S9739">
        <v>36</v>
      </c>
      <c r="T9739" s="43" t="str">
        <f>HYPERLINK("https://ictv.global/ictv/proposals/2020.001G.R.Abolish_type_species.pdf","2020.001G.R.Abolish_type_species.pdf")</f>
        <v>2020.001G.R.Abolish_type_species.pdf</v>
      </c>
      <c r="U9739" s="43" t="str">
        <f>HYPERLINK("https://ictv.global/taxonomy/taxondetails?taxnode_id=202203786","ictv.global=202203786")</f>
        <v>ictv.global=202203786</v>
      </c>
    </row>
    <row r="9740" spans="1:21">
      <c r="A9740">
        <v>9739</v>
      </c>
      <c r="B9740" s="29" t="s">
        <v>3223</v>
      </c>
      <c r="C9740" s="29"/>
      <c r="D9740" s="29" t="s">
        <v>4156</v>
      </c>
      <c r="E9740" s="29"/>
      <c r="F9740" s="29" t="s">
        <v>4230</v>
      </c>
      <c r="G9740" s="29"/>
      <c r="H9740" s="29" t="s">
        <v>4233</v>
      </c>
      <c r="I9740" s="29"/>
      <c r="J9740" s="29" t="s">
        <v>4336</v>
      </c>
      <c r="K9740" s="29"/>
      <c r="L9740" s="29" t="s">
        <v>2981</v>
      </c>
      <c r="M9740" s="29"/>
      <c r="N9740" s="29" t="s">
        <v>1221</v>
      </c>
      <c r="O9740" s="29"/>
      <c r="P9740" s="29" t="s">
        <v>4201</v>
      </c>
      <c r="Q9740" t="s">
        <v>2040</v>
      </c>
      <c r="R9740" t="s">
        <v>2634</v>
      </c>
      <c r="S9740">
        <v>36</v>
      </c>
      <c r="T9740" s="43" t="str">
        <f>HYPERLINK("https://ictv.global/ictv/proposals/2020.026P.R.Abolish_Luteoviridae.zip","2020.026P.R.Abolish_Luteoviridae.zip")</f>
        <v>2020.026P.R.Abolish_Luteoviridae.zip</v>
      </c>
      <c r="U9740" s="43" t="str">
        <f>HYPERLINK("https://ictv.global/taxonomy/taxondetails?taxnode_id=202207553","ictv.global=202207553")</f>
        <v>ictv.global=202207553</v>
      </c>
    </row>
    <row r="9741" spans="1:21">
      <c r="A9741">
        <v>9740</v>
      </c>
      <c r="B9741" s="29" t="s">
        <v>3223</v>
      </c>
      <c r="C9741" s="29"/>
      <c r="D9741" s="29" t="s">
        <v>4156</v>
      </c>
      <c r="E9741" s="29"/>
      <c r="F9741" s="29" t="s">
        <v>4230</v>
      </c>
      <c r="G9741" s="29"/>
      <c r="H9741" s="29" t="s">
        <v>4233</v>
      </c>
      <c r="I9741" s="29"/>
      <c r="J9741" s="29" t="s">
        <v>4336</v>
      </c>
      <c r="K9741" s="29"/>
      <c r="L9741" s="29" t="s">
        <v>2981</v>
      </c>
      <c r="M9741" s="29"/>
      <c r="N9741" s="29" t="s">
        <v>1221</v>
      </c>
      <c r="O9741" s="29"/>
      <c r="P9741" s="29" t="s">
        <v>1876</v>
      </c>
      <c r="Q9741" t="s">
        <v>2040</v>
      </c>
      <c r="R9741" t="s">
        <v>2634</v>
      </c>
      <c r="S9741">
        <v>36</v>
      </c>
      <c r="T9741" s="43" t="str">
        <f>HYPERLINK("https://ictv.global/ictv/proposals/2020.026P.R.Abolish_Luteoviridae.zip","2020.026P.R.Abolish_Luteoviridae.zip")</f>
        <v>2020.026P.R.Abolish_Luteoviridae.zip</v>
      </c>
      <c r="U9741" s="43" t="str">
        <f>HYPERLINK("https://ictv.global/taxonomy/taxondetails?taxnode_id=202203787","ictv.global=202203787")</f>
        <v>ictv.global=202203787</v>
      </c>
    </row>
    <row r="9742" spans="1:21">
      <c r="A9742">
        <v>9741</v>
      </c>
      <c r="B9742" s="29" t="s">
        <v>3223</v>
      </c>
      <c r="C9742" s="29"/>
      <c r="D9742" s="29" t="s">
        <v>4156</v>
      </c>
      <c r="E9742" s="29"/>
      <c r="F9742" s="29" t="s">
        <v>4230</v>
      </c>
      <c r="G9742" s="29"/>
      <c r="H9742" s="29" t="s">
        <v>4233</v>
      </c>
      <c r="I9742" s="29"/>
      <c r="J9742" s="29" t="s">
        <v>4336</v>
      </c>
      <c r="K9742" s="29"/>
      <c r="L9742" s="29" t="s">
        <v>2981</v>
      </c>
      <c r="M9742" s="29"/>
      <c r="N9742" s="29" t="s">
        <v>1221</v>
      </c>
      <c r="O9742" s="29"/>
      <c r="P9742" s="29" t="s">
        <v>1227</v>
      </c>
      <c r="Q9742" t="s">
        <v>2040</v>
      </c>
      <c r="R9742" t="s">
        <v>2634</v>
      </c>
      <c r="S9742">
        <v>36</v>
      </c>
      <c r="T9742" s="43" t="str">
        <f>HYPERLINK("https://ictv.global/ictv/proposals/2020.026P.R.Abolish_Luteoviridae.zip","2020.026P.R.Abolish_Luteoviridae.zip")</f>
        <v>2020.026P.R.Abolish_Luteoviridae.zip</v>
      </c>
      <c r="U9742" s="43" t="str">
        <f>HYPERLINK("https://ictv.global/taxonomy/taxondetails?taxnode_id=202203788","ictv.global=202203788")</f>
        <v>ictv.global=202203788</v>
      </c>
    </row>
    <row r="9743" spans="1:21">
      <c r="A9743">
        <v>9742</v>
      </c>
      <c r="B9743" s="29" t="s">
        <v>3223</v>
      </c>
      <c r="C9743" s="29"/>
      <c r="D9743" s="29" t="s">
        <v>4156</v>
      </c>
      <c r="E9743" s="29"/>
      <c r="F9743" s="29" t="s">
        <v>4230</v>
      </c>
      <c r="G9743" s="29"/>
      <c r="H9743" s="29" t="s">
        <v>4233</v>
      </c>
      <c r="I9743" s="29"/>
      <c r="J9743" s="29" t="s">
        <v>4336</v>
      </c>
      <c r="K9743" s="29"/>
      <c r="L9743" s="29" t="s">
        <v>2981</v>
      </c>
      <c r="M9743" s="29"/>
      <c r="N9743" s="29" t="s">
        <v>1221</v>
      </c>
      <c r="O9743" s="29"/>
      <c r="P9743" s="29" t="s">
        <v>1230</v>
      </c>
      <c r="Q9743" t="s">
        <v>2040</v>
      </c>
      <c r="R9743" t="s">
        <v>2634</v>
      </c>
      <c r="S9743">
        <v>36</v>
      </c>
      <c r="T9743" s="43" t="str">
        <f>HYPERLINK("https://ictv.global/ictv/proposals/2020.026P.R.Abolish_Luteoviridae.zip","2020.026P.R.Abolish_Luteoviridae.zip")</f>
        <v>2020.026P.R.Abolish_Luteoviridae.zip</v>
      </c>
      <c r="U9743" s="43" t="str">
        <f>HYPERLINK("https://ictv.global/taxonomy/taxondetails?taxnode_id=202203789","ictv.global=202203789")</f>
        <v>ictv.global=202203789</v>
      </c>
    </row>
    <row r="9744" spans="1:21">
      <c r="A9744">
        <v>9743</v>
      </c>
      <c r="B9744" s="29" t="s">
        <v>3223</v>
      </c>
      <c r="C9744" s="29"/>
      <c r="D9744" s="29" t="s">
        <v>4156</v>
      </c>
      <c r="E9744" s="29"/>
      <c r="F9744" s="29" t="s">
        <v>4230</v>
      </c>
      <c r="G9744" s="29"/>
      <c r="H9744" s="29" t="s">
        <v>4233</v>
      </c>
      <c r="I9744" s="29"/>
      <c r="J9744" s="29" t="s">
        <v>4336</v>
      </c>
      <c r="K9744" s="29"/>
      <c r="L9744" s="29" t="s">
        <v>2981</v>
      </c>
      <c r="M9744" s="29"/>
      <c r="N9744" s="29" t="s">
        <v>1221</v>
      </c>
      <c r="O9744" s="29"/>
      <c r="P9744" s="29" t="s">
        <v>1228</v>
      </c>
      <c r="Q9744" t="s">
        <v>2040</v>
      </c>
      <c r="R9744" t="s">
        <v>2634</v>
      </c>
      <c r="S9744">
        <v>36</v>
      </c>
      <c r="T9744" s="43" t="str">
        <f>HYPERLINK("https://ictv.global/ictv/proposals/2020.026P.R.Abolish_Luteoviridae.zip","2020.026P.R.Abolish_Luteoviridae.zip")</f>
        <v>2020.026P.R.Abolish_Luteoviridae.zip</v>
      </c>
      <c r="U9744" s="43" t="str">
        <f>HYPERLINK("https://ictv.global/taxonomy/taxondetails?taxnode_id=202203790","ictv.global=202203790")</f>
        <v>ictv.global=202203790</v>
      </c>
    </row>
    <row r="9745" spans="1:21">
      <c r="A9745">
        <v>9744</v>
      </c>
      <c r="B9745" s="29" t="s">
        <v>3223</v>
      </c>
      <c r="C9745" s="29"/>
      <c r="D9745" s="29" t="s">
        <v>4156</v>
      </c>
      <c r="E9745" s="29"/>
      <c r="F9745" s="29" t="s">
        <v>4230</v>
      </c>
      <c r="G9745" s="29"/>
      <c r="H9745" s="29" t="s">
        <v>4233</v>
      </c>
      <c r="I9745" s="29"/>
      <c r="J9745" s="29" t="s">
        <v>4336</v>
      </c>
      <c r="K9745" s="29"/>
      <c r="L9745" s="29" t="s">
        <v>2981</v>
      </c>
      <c r="M9745" s="29"/>
      <c r="N9745" s="29" t="s">
        <v>760</v>
      </c>
      <c r="O9745" s="29"/>
      <c r="P9745" s="29" t="s">
        <v>2346</v>
      </c>
      <c r="Q9745" t="s">
        <v>2040</v>
      </c>
      <c r="R9745" t="s">
        <v>2634</v>
      </c>
      <c r="S9745">
        <v>35</v>
      </c>
      <c r="T9745" s="43" t="str">
        <f t="shared" ref="T9745:T9751" si="417">HYPERLINK("https://ictv.global/ictv/proposals/2019.006G.zip","2019.006G.zip")</f>
        <v>2019.006G.zip</v>
      </c>
      <c r="U9745" s="43" t="str">
        <f>HYPERLINK("https://ictv.global/taxonomy/taxondetails?taxnode_id=202205371","ictv.global=202205371")</f>
        <v>ictv.global=202205371</v>
      </c>
    </row>
    <row r="9746" spans="1:21">
      <c r="A9746">
        <v>9745</v>
      </c>
      <c r="B9746" s="29" t="s">
        <v>3223</v>
      </c>
      <c r="C9746" s="29"/>
      <c r="D9746" s="29" t="s">
        <v>4156</v>
      </c>
      <c r="E9746" s="29"/>
      <c r="F9746" s="29" t="s">
        <v>4230</v>
      </c>
      <c r="G9746" s="29"/>
      <c r="H9746" s="29" t="s">
        <v>4233</v>
      </c>
      <c r="I9746" s="29"/>
      <c r="J9746" s="29" t="s">
        <v>4336</v>
      </c>
      <c r="K9746" s="29"/>
      <c r="L9746" s="29" t="s">
        <v>2981</v>
      </c>
      <c r="M9746" s="29"/>
      <c r="N9746" s="29" t="s">
        <v>760</v>
      </c>
      <c r="O9746" s="29"/>
      <c r="P9746" s="29" t="s">
        <v>761</v>
      </c>
      <c r="Q9746" t="s">
        <v>2040</v>
      </c>
      <c r="R9746" t="s">
        <v>2634</v>
      </c>
      <c r="S9746">
        <v>35</v>
      </c>
      <c r="T9746" s="43" t="str">
        <f t="shared" si="417"/>
        <v>2019.006G.zip</v>
      </c>
      <c r="U9746" s="43" t="str">
        <f>HYPERLINK("https://ictv.global/taxonomy/taxondetails?taxnode_id=202205372","ictv.global=202205372")</f>
        <v>ictv.global=202205372</v>
      </c>
    </row>
    <row r="9747" spans="1:21">
      <c r="A9747">
        <v>9746</v>
      </c>
      <c r="B9747" s="29" t="s">
        <v>3223</v>
      </c>
      <c r="C9747" s="29"/>
      <c r="D9747" s="29" t="s">
        <v>4156</v>
      </c>
      <c r="E9747" s="29"/>
      <c r="F9747" s="29" t="s">
        <v>4230</v>
      </c>
      <c r="G9747" s="29"/>
      <c r="H9747" s="29" t="s">
        <v>4233</v>
      </c>
      <c r="I9747" s="29"/>
      <c r="J9747" s="29" t="s">
        <v>4336</v>
      </c>
      <c r="K9747" s="29"/>
      <c r="L9747" s="29" t="s">
        <v>2981</v>
      </c>
      <c r="M9747" s="29"/>
      <c r="N9747" s="29" t="s">
        <v>760</v>
      </c>
      <c r="O9747" s="29"/>
      <c r="P9747" s="29" t="s">
        <v>762</v>
      </c>
      <c r="Q9747" t="s">
        <v>2040</v>
      </c>
      <c r="R9747" t="s">
        <v>2634</v>
      </c>
      <c r="S9747">
        <v>35</v>
      </c>
      <c r="T9747" s="43" t="str">
        <f t="shared" si="417"/>
        <v>2019.006G.zip</v>
      </c>
      <c r="U9747" s="43" t="str">
        <f>HYPERLINK("https://ictv.global/taxonomy/taxondetails?taxnode_id=202205373","ictv.global=202205373")</f>
        <v>ictv.global=202205373</v>
      </c>
    </row>
    <row r="9748" spans="1:21">
      <c r="A9748">
        <v>9747</v>
      </c>
      <c r="B9748" s="29" t="s">
        <v>3223</v>
      </c>
      <c r="C9748" s="29"/>
      <c r="D9748" s="29" t="s">
        <v>4156</v>
      </c>
      <c r="E9748" s="29"/>
      <c r="F9748" s="29" t="s">
        <v>4230</v>
      </c>
      <c r="G9748" s="29"/>
      <c r="H9748" s="29" t="s">
        <v>4233</v>
      </c>
      <c r="I9748" s="29"/>
      <c r="J9748" s="29" t="s">
        <v>4336</v>
      </c>
      <c r="K9748" s="29"/>
      <c r="L9748" s="29" t="s">
        <v>2981</v>
      </c>
      <c r="M9748" s="29"/>
      <c r="N9748" s="29" t="s">
        <v>760</v>
      </c>
      <c r="O9748" s="29"/>
      <c r="P9748" s="29" t="s">
        <v>2347</v>
      </c>
      <c r="Q9748" t="s">
        <v>2040</v>
      </c>
      <c r="R9748" t="s">
        <v>2634</v>
      </c>
      <c r="S9748">
        <v>35</v>
      </c>
      <c r="T9748" s="43" t="str">
        <f t="shared" si="417"/>
        <v>2019.006G.zip</v>
      </c>
      <c r="U9748" s="43" t="str">
        <f>HYPERLINK("https://ictv.global/taxonomy/taxondetails?taxnode_id=202205374","ictv.global=202205374")</f>
        <v>ictv.global=202205374</v>
      </c>
    </row>
    <row r="9749" spans="1:21">
      <c r="A9749">
        <v>9748</v>
      </c>
      <c r="B9749" s="29" t="s">
        <v>3223</v>
      </c>
      <c r="C9749" s="29"/>
      <c r="D9749" s="29" t="s">
        <v>4156</v>
      </c>
      <c r="E9749" s="29"/>
      <c r="F9749" s="29" t="s">
        <v>4230</v>
      </c>
      <c r="G9749" s="29"/>
      <c r="H9749" s="29" t="s">
        <v>4233</v>
      </c>
      <c r="I9749" s="29"/>
      <c r="J9749" s="29" t="s">
        <v>4336</v>
      </c>
      <c r="K9749" s="29"/>
      <c r="L9749" s="29" t="s">
        <v>2981</v>
      </c>
      <c r="M9749" s="29"/>
      <c r="N9749" s="29" t="s">
        <v>760</v>
      </c>
      <c r="O9749" s="29"/>
      <c r="P9749" s="29" t="s">
        <v>169</v>
      </c>
      <c r="Q9749" t="s">
        <v>2040</v>
      </c>
      <c r="R9749" t="s">
        <v>2634</v>
      </c>
      <c r="S9749">
        <v>35</v>
      </c>
      <c r="T9749" s="43" t="str">
        <f t="shared" si="417"/>
        <v>2019.006G.zip</v>
      </c>
      <c r="U9749" s="43" t="str">
        <f>HYPERLINK("https://ictv.global/taxonomy/taxondetails?taxnode_id=202205375","ictv.global=202205375")</f>
        <v>ictv.global=202205375</v>
      </c>
    </row>
    <row r="9750" spans="1:21">
      <c r="A9750">
        <v>9749</v>
      </c>
      <c r="B9750" s="29" t="s">
        <v>3223</v>
      </c>
      <c r="C9750" s="29"/>
      <c r="D9750" s="29" t="s">
        <v>4156</v>
      </c>
      <c r="E9750" s="29"/>
      <c r="F9750" s="29" t="s">
        <v>4230</v>
      </c>
      <c r="G9750" s="29"/>
      <c r="H9750" s="29" t="s">
        <v>4233</v>
      </c>
      <c r="I9750" s="29"/>
      <c r="J9750" s="29" t="s">
        <v>4336</v>
      </c>
      <c r="K9750" s="29"/>
      <c r="L9750" s="29" t="s">
        <v>2981</v>
      </c>
      <c r="M9750" s="29"/>
      <c r="N9750" s="29" t="s">
        <v>760</v>
      </c>
      <c r="O9750" s="29"/>
      <c r="P9750" s="29" t="s">
        <v>763</v>
      </c>
      <c r="Q9750" t="s">
        <v>2040</v>
      </c>
      <c r="R9750" t="s">
        <v>2634</v>
      </c>
      <c r="S9750">
        <v>35</v>
      </c>
      <c r="T9750" s="43" t="str">
        <f t="shared" si="417"/>
        <v>2019.006G.zip</v>
      </c>
      <c r="U9750" s="43" t="str">
        <f>HYPERLINK("https://ictv.global/taxonomy/taxondetails?taxnode_id=202205376","ictv.global=202205376")</f>
        <v>ictv.global=202205376</v>
      </c>
    </row>
    <row r="9751" spans="1:21">
      <c r="A9751">
        <v>9750</v>
      </c>
      <c r="B9751" s="29" t="s">
        <v>3223</v>
      </c>
      <c r="C9751" s="29"/>
      <c r="D9751" s="29" t="s">
        <v>4156</v>
      </c>
      <c r="E9751" s="29"/>
      <c r="F9751" s="29" t="s">
        <v>4230</v>
      </c>
      <c r="G9751" s="29"/>
      <c r="H9751" s="29" t="s">
        <v>4233</v>
      </c>
      <c r="I9751" s="29"/>
      <c r="J9751" s="29" t="s">
        <v>4336</v>
      </c>
      <c r="K9751" s="29"/>
      <c r="L9751" s="29" t="s">
        <v>2981</v>
      </c>
      <c r="M9751" s="29"/>
      <c r="N9751" s="29" t="s">
        <v>760</v>
      </c>
      <c r="O9751" s="29"/>
      <c r="P9751" s="29" t="s">
        <v>2348</v>
      </c>
      <c r="Q9751" t="s">
        <v>2040</v>
      </c>
      <c r="R9751" t="s">
        <v>2634</v>
      </c>
      <c r="S9751">
        <v>35</v>
      </c>
      <c r="T9751" s="43" t="str">
        <f t="shared" si="417"/>
        <v>2019.006G.zip</v>
      </c>
      <c r="U9751" s="43" t="str">
        <f>HYPERLINK("https://ictv.global/taxonomy/taxondetails?taxnode_id=202205377","ictv.global=202205377")</f>
        <v>ictv.global=202205377</v>
      </c>
    </row>
    <row r="9752" spans="1:21">
      <c r="A9752">
        <v>9751</v>
      </c>
      <c r="B9752" s="29" t="s">
        <v>3223</v>
      </c>
      <c r="C9752" s="29"/>
      <c r="D9752" s="29" t="s">
        <v>4156</v>
      </c>
      <c r="E9752" s="29"/>
      <c r="F9752" s="29" t="s">
        <v>4230</v>
      </c>
      <c r="G9752" s="29"/>
      <c r="H9752" s="29" t="s">
        <v>4233</v>
      </c>
      <c r="I9752" s="29"/>
      <c r="J9752" s="29" t="s">
        <v>4336</v>
      </c>
      <c r="K9752" s="29"/>
      <c r="L9752" s="29" t="s">
        <v>2981</v>
      </c>
      <c r="M9752" s="29"/>
      <c r="N9752" s="29" t="s">
        <v>760</v>
      </c>
      <c r="O9752" s="29"/>
      <c r="P9752" s="29" t="s">
        <v>6706</v>
      </c>
      <c r="Q9752" t="s">
        <v>2040</v>
      </c>
      <c r="R9752" t="s">
        <v>2632</v>
      </c>
      <c r="S9752">
        <v>36</v>
      </c>
      <c r="T9752" s="43" t="str">
        <f>HYPERLINK("https://ictv.global/ictv/proposals/2020.025P.R.Solemoviridae_1nsp.zip","2020.025P.R.Solemoviridae_1nsp.zip")</f>
        <v>2020.025P.R.Solemoviridae_1nsp.zip</v>
      </c>
      <c r="U9752" s="43" t="str">
        <f>HYPERLINK("https://ictv.global/taxonomy/taxondetails?taxnode_id=202209704","ictv.global=202209704")</f>
        <v>ictv.global=202209704</v>
      </c>
    </row>
    <row r="9753" spans="1:21">
      <c r="A9753">
        <v>9752</v>
      </c>
      <c r="B9753" s="29" t="s">
        <v>3223</v>
      </c>
      <c r="C9753" s="29"/>
      <c r="D9753" s="29" t="s">
        <v>4156</v>
      </c>
      <c r="E9753" s="29"/>
      <c r="F9753" s="29" t="s">
        <v>4230</v>
      </c>
      <c r="G9753" s="29"/>
      <c r="H9753" s="29" t="s">
        <v>4233</v>
      </c>
      <c r="I9753" s="29"/>
      <c r="J9753" s="29" t="s">
        <v>4336</v>
      </c>
      <c r="K9753" s="29"/>
      <c r="L9753" s="29" t="s">
        <v>2981</v>
      </c>
      <c r="M9753" s="29"/>
      <c r="N9753" s="29" t="s">
        <v>760</v>
      </c>
      <c r="O9753" s="29"/>
      <c r="P9753" s="29" t="s">
        <v>764</v>
      </c>
      <c r="Q9753" t="s">
        <v>2040</v>
      </c>
      <c r="R9753" t="s">
        <v>2634</v>
      </c>
      <c r="S9753">
        <v>35</v>
      </c>
      <c r="T9753" s="43" t="str">
        <f>HYPERLINK("https://ictv.global/ictv/proposals/2019.006G.zip","2019.006G.zip")</f>
        <v>2019.006G.zip</v>
      </c>
      <c r="U9753" s="43" t="str">
        <f>HYPERLINK("https://ictv.global/taxonomy/taxondetails?taxnode_id=202205378","ictv.global=202205378")</f>
        <v>ictv.global=202205378</v>
      </c>
    </row>
    <row r="9754" spans="1:21">
      <c r="A9754">
        <v>9753</v>
      </c>
      <c r="B9754" s="29" t="s">
        <v>3223</v>
      </c>
      <c r="C9754" s="29"/>
      <c r="D9754" s="29" t="s">
        <v>4156</v>
      </c>
      <c r="E9754" s="29"/>
      <c r="F9754" s="29" t="s">
        <v>4230</v>
      </c>
      <c r="G9754" s="29"/>
      <c r="H9754" s="29" t="s">
        <v>4233</v>
      </c>
      <c r="I9754" s="29"/>
      <c r="J9754" s="29" t="s">
        <v>4336</v>
      </c>
      <c r="K9754" s="29"/>
      <c r="L9754" s="29" t="s">
        <v>2981</v>
      </c>
      <c r="M9754" s="29"/>
      <c r="N9754" s="29" t="s">
        <v>760</v>
      </c>
      <c r="O9754" s="29"/>
      <c r="P9754" s="29" t="s">
        <v>2349</v>
      </c>
      <c r="Q9754" t="s">
        <v>2040</v>
      </c>
      <c r="R9754" t="s">
        <v>2634</v>
      </c>
      <c r="S9754">
        <v>35</v>
      </c>
      <c r="T9754" s="43" t="str">
        <f>HYPERLINK("https://ictv.global/ictv/proposals/2019.006G.zip","2019.006G.zip")</f>
        <v>2019.006G.zip</v>
      </c>
      <c r="U9754" s="43" t="str">
        <f>HYPERLINK("https://ictv.global/taxonomy/taxondetails?taxnode_id=202205379","ictv.global=202205379")</f>
        <v>ictv.global=202205379</v>
      </c>
    </row>
    <row r="9755" spans="1:21">
      <c r="A9755">
        <v>9754</v>
      </c>
      <c r="B9755" s="29" t="s">
        <v>3223</v>
      </c>
      <c r="C9755" s="29"/>
      <c r="D9755" s="29" t="s">
        <v>4156</v>
      </c>
      <c r="E9755" s="29"/>
      <c r="F9755" s="29" t="s">
        <v>4230</v>
      </c>
      <c r="G9755" s="29"/>
      <c r="H9755" s="29" t="s">
        <v>4233</v>
      </c>
      <c r="I9755" s="29"/>
      <c r="J9755" s="29" t="s">
        <v>4336</v>
      </c>
      <c r="K9755" s="29"/>
      <c r="L9755" s="29" t="s">
        <v>2981</v>
      </c>
      <c r="M9755" s="29"/>
      <c r="N9755" s="29" t="s">
        <v>760</v>
      </c>
      <c r="O9755" s="29"/>
      <c r="P9755" s="29" t="s">
        <v>765</v>
      </c>
      <c r="Q9755" t="s">
        <v>2040</v>
      </c>
      <c r="R9755" t="s">
        <v>2634</v>
      </c>
      <c r="S9755">
        <v>35</v>
      </c>
      <c r="T9755" s="43" t="str">
        <f>HYPERLINK("https://ictv.global/ictv/proposals/2019.006G.zip","2019.006G.zip")</f>
        <v>2019.006G.zip</v>
      </c>
      <c r="U9755" s="43" t="str">
        <f>HYPERLINK("https://ictv.global/taxonomy/taxondetails?taxnode_id=202205380","ictv.global=202205380")</f>
        <v>ictv.global=202205380</v>
      </c>
    </row>
    <row r="9756" spans="1:21">
      <c r="A9756">
        <v>9755</v>
      </c>
      <c r="B9756" s="29" t="s">
        <v>3223</v>
      </c>
      <c r="C9756" s="29"/>
      <c r="D9756" s="29" t="s">
        <v>4156</v>
      </c>
      <c r="E9756" s="29"/>
      <c r="F9756" s="29" t="s">
        <v>4230</v>
      </c>
      <c r="G9756" s="29"/>
      <c r="H9756" s="29" t="s">
        <v>4233</v>
      </c>
      <c r="I9756" s="29"/>
      <c r="J9756" s="29" t="s">
        <v>4336</v>
      </c>
      <c r="K9756" s="29"/>
      <c r="L9756" s="29" t="s">
        <v>2981</v>
      </c>
      <c r="M9756" s="29"/>
      <c r="N9756" s="29" t="s">
        <v>760</v>
      </c>
      <c r="O9756" s="29"/>
      <c r="P9756" s="29" t="s">
        <v>1050</v>
      </c>
      <c r="Q9756" t="s">
        <v>2040</v>
      </c>
      <c r="R9756" t="s">
        <v>2634</v>
      </c>
      <c r="S9756">
        <v>35</v>
      </c>
      <c r="T9756" s="43" t="str">
        <f>HYPERLINK("https://ictv.global/ictv/proposals/2019.006G.zip","2019.006G.zip")</f>
        <v>2019.006G.zip</v>
      </c>
      <c r="U9756" s="43" t="str">
        <f>HYPERLINK("https://ictv.global/taxonomy/taxondetails?taxnode_id=202205381","ictv.global=202205381")</f>
        <v>ictv.global=202205381</v>
      </c>
    </row>
    <row r="9757" spans="1:21">
      <c r="A9757">
        <v>9756</v>
      </c>
      <c r="B9757" s="29" t="s">
        <v>3223</v>
      </c>
      <c r="C9757" s="29"/>
      <c r="D9757" s="29" t="s">
        <v>4156</v>
      </c>
      <c r="E9757" s="29"/>
      <c r="F9757" s="29" t="s">
        <v>4230</v>
      </c>
      <c r="G9757" s="29"/>
      <c r="H9757" s="29" t="s">
        <v>4233</v>
      </c>
      <c r="I9757" s="29"/>
      <c r="J9757" s="29" t="s">
        <v>4336</v>
      </c>
      <c r="K9757" s="29"/>
      <c r="L9757" s="29" t="s">
        <v>2981</v>
      </c>
      <c r="M9757" s="29"/>
      <c r="N9757" s="29" t="s">
        <v>760</v>
      </c>
      <c r="O9757" s="29"/>
      <c r="P9757" s="29" t="s">
        <v>14267</v>
      </c>
      <c r="Q9757" t="s">
        <v>2040</v>
      </c>
      <c r="R9757" t="s">
        <v>2632</v>
      </c>
      <c r="S9757">
        <v>37</v>
      </c>
      <c r="T9757" s="43" t="str">
        <f>HYPERLINK("https://ictv.global/ictv/proposals/2021.009P.R.Sobemovirus_1ns.zip","2021.009P.R.Sobemovirus_1ns.zip")</f>
        <v>2021.009P.R.Sobemovirus_1ns.zip</v>
      </c>
      <c r="U9757" s="43" t="str">
        <f>HYPERLINK("https://ictv.global/taxonomy/taxondetails?taxnode_id=202213863","ictv.global=202213863")</f>
        <v>ictv.global=202213863</v>
      </c>
    </row>
    <row r="9758" spans="1:21">
      <c r="A9758">
        <v>9757</v>
      </c>
      <c r="B9758" s="29" t="s">
        <v>3223</v>
      </c>
      <c r="C9758" s="29"/>
      <c r="D9758" s="29" t="s">
        <v>4156</v>
      </c>
      <c r="E9758" s="29"/>
      <c r="F9758" s="29" t="s">
        <v>4230</v>
      </c>
      <c r="G9758" s="29"/>
      <c r="H9758" s="29" t="s">
        <v>4233</v>
      </c>
      <c r="I9758" s="29"/>
      <c r="J9758" s="29" t="s">
        <v>4336</v>
      </c>
      <c r="K9758" s="29"/>
      <c r="L9758" s="29" t="s">
        <v>2981</v>
      </c>
      <c r="M9758" s="29"/>
      <c r="N9758" s="29" t="s">
        <v>760</v>
      </c>
      <c r="O9758" s="29"/>
      <c r="P9758" s="29" t="s">
        <v>1051</v>
      </c>
      <c r="Q9758" t="s">
        <v>2040</v>
      </c>
      <c r="R9758" t="s">
        <v>2634</v>
      </c>
      <c r="S9758">
        <v>35</v>
      </c>
      <c r="T9758" s="43" t="str">
        <f>HYPERLINK("https://ictv.global/ictv/proposals/2019.006G.zip","2019.006G.zip")</f>
        <v>2019.006G.zip</v>
      </c>
      <c r="U9758" s="43" t="str">
        <f>HYPERLINK("https://ictv.global/taxonomy/taxondetails?taxnode_id=202205382","ictv.global=202205382")</f>
        <v>ictv.global=202205382</v>
      </c>
    </row>
    <row r="9759" spans="1:21">
      <c r="A9759">
        <v>9758</v>
      </c>
      <c r="B9759" s="29" t="s">
        <v>3223</v>
      </c>
      <c r="C9759" s="29"/>
      <c r="D9759" s="29" t="s">
        <v>4156</v>
      </c>
      <c r="E9759" s="29"/>
      <c r="F9759" s="29" t="s">
        <v>4230</v>
      </c>
      <c r="G9759" s="29"/>
      <c r="H9759" s="29" t="s">
        <v>4233</v>
      </c>
      <c r="I9759" s="29"/>
      <c r="J9759" s="29" t="s">
        <v>4336</v>
      </c>
      <c r="K9759" s="29"/>
      <c r="L9759" s="29" t="s">
        <v>2981</v>
      </c>
      <c r="M9759" s="29"/>
      <c r="N9759" s="29" t="s">
        <v>760</v>
      </c>
      <c r="O9759" s="29"/>
      <c r="P9759" s="29" t="s">
        <v>1052</v>
      </c>
      <c r="Q9759" t="s">
        <v>2040</v>
      </c>
      <c r="R9759" t="s">
        <v>6901</v>
      </c>
      <c r="S9759">
        <v>36</v>
      </c>
      <c r="T9759" s="43" t="str">
        <f>HYPERLINK("https://ictv.global/ictv/proposals/2020.001G.R.Abolish_type_species.pdf","2020.001G.R.Abolish_type_species.pdf")</f>
        <v>2020.001G.R.Abolish_type_species.pdf</v>
      </c>
      <c r="U9759" s="43" t="str">
        <f>HYPERLINK("https://ictv.global/taxonomy/taxondetails?taxnode_id=202205383","ictv.global=202205383")</f>
        <v>ictv.global=202205383</v>
      </c>
    </row>
    <row r="9760" spans="1:21">
      <c r="A9760">
        <v>9759</v>
      </c>
      <c r="B9760" s="29" t="s">
        <v>3223</v>
      </c>
      <c r="C9760" s="29"/>
      <c r="D9760" s="29" t="s">
        <v>4156</v>
      </c>
      <c r="E9760" s="29"/>
      <c r="F9760" s="29" t="s">
        <v>4230</v>
      </c>
      <c r="G9760" s="29"/>
      <c r="H9760" s="29" t="s">
        <v>4233</v>
      </c>
      <c r="I9760" s="29"/>
      <c r="J9760" s="29" t="s">
        <v>4336</v>
      </c>
      <c r="K9760" s="29"/>
      <c r="L9760" s="29" t="s">
        <v>2981</v>
      </c>
      <c r="M9760" s="29"/>
      <c r="N9760" s="29" t="s">
        <v>760</v>
      </c>
      <c r="O9760" s="29"/>
      <c r="P9760" s="29" t="s">
        <v>1053</v>
      </c>
      <c r="Q9760" t="s">
        <v>2040</v>
      </c>
      <c r="R9760" t="s">
        <v>2634</v>
      </c>
      <c r="S9760">
        <v>35</v>
      </c>
      <c r="T9760" s="43" t="str">
        <f t="shared" ref="T9760:T9765" si="418">HYPERLINK("https://ictv.global/ictv/proposals/2019.006G.zip","2019.006G.zip")</f>
        <v>2019.006G.zip</v>
      </c>
      <c r="U9760" s="43" t="str">
        <f>HYPERLINK("https://ictv.global/taxonomy/taxondetails?taxnode_id=202205384","ictv.global=202205384")</f>
        <v>ictv.global=202205384</v>
      </c>
    </row>
    <row r="9761" spans="1:21">
      <c r="A9761">
        <v>9760</v>
      </c>
      <c r="B9761" s="29" t="s">
        <v>3223</v>
      </c>
      <c r="C9761" s="29"/>
      <c r="D9761" s="29" t="s">
        <v>4156</v>
      </c>
      <c r="E9761" s="29"/>
      <c r="F9761" s="29" t="s">
        <v>4230</v>
      </c>
      <c r="G9761" s="29"/>
      <c r="H9761" s="29" t="s">
        <v>4233</v>
      </c>
      <c r="I9761" s="29"/>
      <c r="J9761" s="29" t="s">
        <v>4336</v>
      </c>
      <c r="K9761" s="29"/>
      <c r="L9761" s="29" t="s">
        <v>2981</v>
      </c>
      <c r="M9761" s="29"/>
      <c r="N9761" s="29" t="s">
        <v>760</v>
      </c>
      <c r="O9761" s="29"/>
      <c r="P9761" s="29" t="s">
        <v>811</v>
      </c>
      <c r="Q9761" t="s">
        <v>2040</v>
      </c>
      <c r="R9761" t="s">
        <v>2634</v>
      </c>
      <c r="S9761">
        <v>35</v>
      </c>
      <c r="T9761" s="43" t="str">
        <f t="shared" si="418"/>
        <v>2019.006G.zip</v>
      </c>
      <c r="U9761" s="43" t="str">
        <f>HYPERLINK("https://ictv.global/taxonomy/taxondetails?taxnode_id=202205385","ictv.global=202205385")</f>
        <v>ictv.global=202205385</v>
      </c>
    </row>
    <row r="9762" spans="1:21">
      <c r="A9762">
        <v>9761</v>
      </c>
      <c r="B9762" s="29" t="s">
        <v>3223</v>
      </c>
      <c r="C9762" s="29"/>
      <c r="D9762" s="29" t="s">
        <v>4156</v>
      </c>
      <c r="E9762" s="29"/>
      <c r="F9762" s="29" t="s">
        <v>4230</v>
      </c>
      <c r="G9762" s="29"/>
      <c r="H9762" s="29" t="s">
        <v>4233</v>
      </c>
      <c r="I9762" s="29"/>
      <c r="J9762" s="29" t="s">
        <v>4336</v>
      </c>
      <c r="K9762" s="29"/>
      <c r="L9762" s="29" t="s">
        <v>2981</v>
      </c>
      <c r="M9762" s="29"/>
      <c r="N9762" s="29" t="s">
        <v>760</v>
      </c>
      <c r="O9762" s="29"/>
      <c r="P9762" s="29" t="s">
        <v>2350</v>
      </c>
      <c r="Q9762" t="s">
        <v>2040</v>
      </c>
      <c r="R9762" t="s">
        <v>2634</v>
      </c>
      <c r="S9762">
        <v>35</v>
      </c>
      <c r="T9762" s="43" t="str">
        <f t="shared" si="418"/>
        <v>2019.006G.zip</v>
      </c>
      <c r="U9762" s="43" t="str">
        <f>HYPERLINK("https://ictv.global/taxonomy/taxondetails?taxnode_id=202205386","ictv.global=202205386")</f>
        <v>ictv.global=202205386</v>
      </c>
    </row>
    <row r="9763" spans="1:21">
      <c r="A9763">
        <v>9762</v>
      </c>
      <c r="B9763" s="29" t="s">
        <v>3223</v>
      </c>
      <c r="C9763" s="29"/>
      <c r="D9763" s="29" t="s">
        <v>4156</v>
      </c>
      <c r="E9763" s="29"/>
      <c r="F9763" s="29" t="s">
        <v>4230</v>
      </c>
      <c r="G9763" s="29"/>
      <c r="H9763" s="29" t="s">
        <v>4233</v>
      </c>
      <c r="I9763" s="29"/>
      <c r="J9763" s="29" t="s">
        <v>4336</v>
      </c>
      <c r="K9763" s="29"/>
      <c r="L9763" s="29" t="s">
        <v>2981</v>
      </c>
      <c r="M9763" s="29"/>
      <c r="N9763" s="29" t="s">
        <v>760</v>
      </c>
      <c r="O9763" s="29"/>
      <c r="P9763" s="29" t="s">
        <v>812</v>
      </c>
      <c r="Q9763" t="s">
        <v>2040</v>
      </c>
      <c r="R9763" t="s">
        <v>2634</v>
      </c>
      <c r="S9763">
        <v>35</v>
      </c>
      <c r="T9763" s="43" t="str">
        <f t="shared" si="418"/>
        <v>2019.006G.zip</v>
      </c>
      <c r="U9763" s="43" t="str">
        <f>HYPERLINK("https://ictv.global/taxonomy/taxondetails?taxnode_id=202205387","ictv.global=202205387")</f>
        <v>ictv.global=202205387</v>
      </c>
    </row>
    <row r="9764" spans="1:21">
      <c r="A9764">
        <v>9763</v>
      </c>
      <c r="B9764" s="29" t="s">
        <v>3223</v>
      </c>
      <c r="C9764" s="29"/>
      <c r="D9764" s="29" t="s">
        <v>4156</v>
      </c>
      <c r="E9764" s="29"/>
      <c r="F9764" s="29" t="s">
        <v>4230</v>
      </c>
      <c r="G9764" s="29"/>
      <c r="H9764" s="29" t="s">
        <v>4233</v>
      </c>
      <c r="I9764" s="29"/>
      <c r="J9764" s="29" t="s">
        <v>4336</v>
      </c>
      <c r="K9764" s="29"/>
      <c r="L9764" s="29" t="s">
        <v>2981</v>
      </c>
      <c r="M9764" s="29"/>
      <c r="N9764" s="29" t="s">
        <v>760</v>
      </c>
      <c r="O9764" s="29"/>
      <c r="P9764" s="29" t="s">
        <v>813</v>
      </c>
      <c r="Q9764" t="s">
        <v>2040</v>
      </c>
      <c r="R9764" t="s">
        <v>2634</v>
      </c>
      <c r="S9764">
        <v>35</v>
      </c>
      <c r="T9764" s="43" t="str">
        <f t="shared" si="418"/>
        <v>2019.006G.zip</v>
      </c>
      <c r="U9764" s="43" t="str">
        <f>HYPERLINK("https://ictv.global/taxonomy/taxondetails?taxnode_id=202205388","ictv.global=202205388")</f>
        <v>ictv.global=202205388</v>
      </c>
    </row>
    <row r="9765" spans="1:21">
      <c r="A9765">
        <v>9764</v>
      </c>
      <c r="B9765" s="29" t="s">
        <v>3223</v>
      </c>
      <c r="C9765" s="29"/>
      <c r="D9765" s="29" t="s">
        <v>4156</v>
      </c>
      <c r="E9765" s="29"/>
      <c r="F9765" s="29" t="s">
        <v>4230</v>
      </c>
      <c r="G9765" s="29"/>
      <c r="H9765" s="29" t="s">
        <v>4233</v>
      </c>
      <c r="I9765" s="29"/>
      <c r="J9765" s="29" t="s">
        <v>4336</v>
      </c>
      <c r="K9765" s="29"/>
      <c r="L9765" s="29" t="s">
        <v>2981</v>
      </c>
      <c r="M9765" s="29"/>
      <c r="N9765" s="29" t="s">
        <v>760</v>
      </c>
      <c r="O9765" s="29"/>
      <c r="P9765" s="29" t="s">
        <v>814</v>
      </c>
      <c r="Q9765" t="s">
        <v>2040</v>
      </c>
      <c r="R9765" t="s">
        <v>2634</v>
      </c>
      <c r="S9765">
        <v>35</v>
      </c>
      <c r="T9765" s="43" t="str">
        <f t="shared" si="418"/>
        <v>2019.006G.zip</v>
      </c>
      <c r="U9765" s="43" t="str">
        <f>HYPERLINK("https://ictv.global/taxonomy/taxondetails?taxnode_id=202205389","ictv.global=202205389")</f>
        <v>ictv.global=202205389</v>
      </c>
    </row>
    <row r="9766" spans="1:21">
      <c r="A9766">
        <v>9765</v>
      </c>
      <c r="B9766" s="29" t="s">
        <v>3223</v>
      </c>
      <c r="C9766" s="29"/>
      <c r="D9766" s="29" t="s">
        <v>4156</v>
      </c>
      <c r="E9766" s="29"/>
      <c r="F9766" s="29" t="s">
        <v>4230</v>
      </c>
      <c r="G9766" s="29"/>
      <c r="H9766" s="29" t="s">
        <v>4233</v>
      </c>
      <c r="I9766" s="29"/>
      <c r="J9766" s="29" t="s">
        <v>4336</v>
      </c>
      <c r="K9766" s="29"/>
      <c r="L9766" s="29" t="s">
        <v>2981</v>
      </c>
      <c r="M9766" s="29"/>
      <c r="N9766" s="29"/>
      <c r="O9766" s="29"/>
      <c r="P9766" s="29" t="s">
        <v>2924</v>
      </c>
      <c r="Q9766" t="s">
        <v>2040</v>
      </c>
      <c r="R9766" t="s">
        <v>2634</v>
      </c>
      <c r="S9766">
        <v>36</v>
      </c>
      <c r="T9766" s="43" t="str">
        <f>HYPERLINK("https://ictv.global/ictv/proposals/2020.026P.R.Abolish_Luteoviridae.zip","2020.026P.R.Abolish_Luteoviridae.zip")</f>
        <v>2020.026P.R.Abolish_Luteoviridae.zip</v>
      </c>
      <c r="U9766" s="43" t="str">
        <f>HYPERLINK("https://ictv.global/taxonomy/taxondetails?taxnode_id=202203792","ictv.global=202203792")</f>
        <v>ictv.global=202203792</v>
      </c>
    </row>
    <row r="9767" spans="1:21">
      <c r="A9767">
        <v>9766</v>
      </c>
      <c r="B9767" s="29" t="s">
        <v>3223</v>
      </c>
      <c r="C9767" s="29"/>
      <c r="D9767" s="29" t="s">
        <v>4156</v>
      </c>
      <c r="E9767" s="29"/>
      <c r="F9767" s="29" t="s">
        <v>4230</v>
      </c>
      <c r="G9767" s="29"/>
      <c r="H9767" s="29" t="s">
        <v>4233</v>
      </c>
      <c r="I9767" s="29"/>
      <c r="J9767" s="29" t="s">
        <v>4336</v>
      </c>
      <c r="K9767" s="29"/>
      <c r="L9767" s="29" t="s">
        <v>2981</v>
      </c>
      <c r="M9767" s="29"/>
      <c r="N9767" s="29"/>
      <c r="O9767" s="29"/>
      <c r="P9767" s="29" t="s">
        <v>2925</v>
      </c>
      <c r="Q9767" t="s">
        <v>2040</v>
      </c>
      <c r="R9767" t="s">
        <v>2635</v>
      </c>
      <c r="S9767">
        <v>38</v>
      </c>
      <c r="T9767" s="43" t="str">
        <f>HYPERLINK("https://ictv.global/ictv/proposals/2022.015P.Tombusviridae_rename.zip","2022.015P.Tombusviridae_rename.zip")</f>
        <v>2022.015P.Tombusviridae_rename.zip</v>
      </c>
      <c r="U9767" s="43" t="str">
        <f>HYPERLINK("https://ictv.global/taxonomy/taxondetails?taxnode_id=202203793","ictv.global=202203793")</f>
        <v>ictv.global=202203793</v>
      </c>
    </row>
    <row r="9768" spans="1:21">
      <c r="A9768">
        <v>9767</v>
      </c>
      <c r="B9768" s="29" t="s">
        <v>3223</v>
      </c>
      <c r="C9768" s="29"/>
      <c r="D9768" s="29" t="s">
        <v>4156</v>
      </c>
      <c r="E9768" s="29"/>
      <c r="F9768" s="29" t="s">
        <v>4230</v>
      </c>
      <c r="G9768" s="29"/>
      <c r="H9768" s="29" t="s">
        <v>4233</v>
      </c>
      <c r="I9768" s="29"/>
      <c r="J9768" s="29" t="s">
        <v>4336</v>
      </c>
      <c r="K9768" s="29"/>
      <c r="L9768" s="29" t="s">
        <v>2981</v>
      </c>
      <c r="M9768" s="29"/>
      <c r="N9768" s="29"/>
      <c r="O9768" s="29"/>
      <c r="P9768" s="29" t="s">
        <v>846</v>
      </c>
      <c r="Q9768" t="s">
        <v>2040</v>
      </c>
      <c r="R9768" t="s">
        <v>2634</v>
      </c>
      <c r="S9768">
        <v>36</v>
      </c>
      <c r="T9768" s="43" t="str">
        <f>HYPERLINK("https://ictv.global/ictv/proposals/2020.026P.R.Abolish_Luteoviridae.zip","2020.026P.R.Abolish_Luteoviridae.zip")</f>
        <v>2020.026P.R.Abolish_Luteoviridae.zip</v>
      </c>
      <c r="U9768" s="43" t="str">
        <f>HYPERLINK("https://ictv.global/taxonomy/taxondetails?taxnode_id=202203794","ictv.global=202203794")</f>
        <v>ictv.global=202203794</v>
      </c>
    </row>
    <row r="9769" spans="1:21">
      <c r="A9769">
        <v>9768</v>
      </c>
      <c r="B9769" s="29" t="s">
        <v>3223</v>
      </c>
      <c r="C9769" s="29"/>
      <c r="D9769" s="29" t="s">
        <v>4156</v>
      </c>
      <c r="E9769" s="29"/>
      <c r="F9769" s="29" t="s">
        <v>4230</v>
      </c>
      <c r="G9769" s="29"/>
      <c r="H9769" s="29" t="s">
        <v>4233</v>
      </c>
      <c r="I9769" s="29"/>
      <c r="J9769" s="29" t="s">
        <v>4336</v>
      </c>
      <c r="K9769" s="29"/>
      <c r="L9769" s="29" t="s">
        <v>2981</v>
      </c>
      <c r="M9769" s="29"/>
      <c r="N9769" s="29"/>
      <c r="O9769" s="29"/>
      <c r="P9769" s="29" t="s">
        <v>1447</v>
      </c>
      <c r="Q9769" t="s">
        <v>2040</v>
      </c>
      <c r="R9769" t="s">
        <v>2634</v>
      </c>
      <c r="S9769">
        <v>36</v>
      </c>
      <c r="T9769" s="43" t="str">
        <f>HYPERLINK("https://ictv.global/ictv/proposals/2020.026P.R.Abolish_Luteoviridae.zip","2020.026P.R.Abolish_Luteoviridae.zip")</f>
        <v>2020.026P.R.Abolish_Luteoviridae.zip</v>
      </c>
      <c r="U9769" s="43" t="str">
        <f>HYPERLINK("https://ictv.global/taxonomy/taxondetails?taxnode_id=202203795","ictv.global=202203795")</f>
        <v>ictv.global=202203795</v>
      </c>
    </row>
    <row r="9770" spans="1:21">
      <c r="A9770">
        <v>9769</v>
      </c>
      <c r="B9770" s="29" t="s">
        <v>3223</v>
      </c>
      <c r="C9770" s="29"/>
      <c r="D9770" s="29" t="s">
        <v>4156</v>
      </c>
      <c r="E9770" s="29"/>
      <c r="F9770" s="29" t="s">
        <v>4230</v>
      </c>
      <c r="G9770" s="29"/>
      <c r="H9770" s="29" t="s">
        <v>4233</v>
      </c>
      <c r="I9770" s="29"/>
      <c r="J9770" s="29" t="s">
        <v>4336</v>
      </c>
      <c r="K9770" s="29"/>
      <c r="L9770" s="29" t="s">
        <v>2981</v>
      </c>
      <c r="M9770" s="29"/>
      <c r="N9770" s="29"/>
      <c r="O9770" s="29"/>
      <c r="P9770" s="29" t="s">
        <v>1448</v>
      </c>
      <c r="Q9770" t="s">
        <v>2040</v>
      </c>
      <c r="R9770" t="s">
        <v>2634</v>
      </c>
      <c r="S9770">
        <v>36</v>
      </c>
      <c r="T9770" s="43" t="str">
        <f>HYPERLINK("https://ictv.global/ictv/proposals/2020.026P.R.Abolish_Luteoviridae.zip","2020.026P.R.Abolish_Luteoviridae.zip")</f>
        <v>2020.026P.R.Abolish_Luteoviridae.zip</v>
      </c>
      <c r="U9770" s="43" t="str">
        <f>HYPERLINK("https://ictv.global/taxonomy/taxondetails?taxnode_id=202203796","ictv.global=202203796")</f>
        <v>ictv.global=202203796</v>
      </c>
    </row>
    <row r="9771" spans="1:21">
      <c r="A9771">
        <v>9770</v>
      </c>
      <c r="B9771" s="29" t="s">
        <v>3223</v>
      </c>
      <c r="C9771" s="29"/>
      <c r="D9771" s="29" t="s">
        <v>4156</v>
      </c>
      <c r="E9771" s="29"/>
      <c r="F9771" s="29" t="s">
        <v>4230</v>
      </c>
      <c r="G9771" s="29"/>
      <c r="H9771" s="29" t="s">
        <v>4233</v>
      </c>
      <c r="I9771" s="29"/>
      <c r="J9771" s="29" t="s">
        <v>4336</v>
      </c>
      <c r="K9771" s="29"/>
      <c r="L9771" s="29" t="s">
        <v>2981</v>
      </c>
      <c r="M9771" s="29"/>
      <c r="N9771" s="29"/>
      <c r="O9771" s="29"/>
      <c r="P9771" s="29" t="s">
        <v>1449</v>
      </c>
      <c r="Q9771" t="s">
        <v>2040</v>
      </c>
      <c r="R9771" t="s">
        <v>2634</v>
      </c>
      <c r="S9771">
        <v>36</v>
      </c>
      <c r="T9771" s="43" t="str">
        <f>HYPERLINK("https://ictv.global/ictv/proposals/2020.026P.R.Abolish_Luteoviridae.zip","2020.026P.R.Abolish_Luteoviridae.zip")</f>
        <v>2020.026P.R.Abolish_Luteoviridae.zip</v>
      </c>
      <c r="U9771" s="43" t="str">
        <f>HYPERLINK("https://ictv.global/taxonomy/taxondetails?taxnode_id=202203797","ictv.global=202203797")</f>
        <v>ictv.global=202203797</v>
      </c>
    </row>
    <row r="9772" spans="1:21">
      <c r="A9772">
        <v>9771</v>
      </c>
      <c r="B9772" s="29" t="s">
        <v>3223</v>
      </c>
      <c r="C9772" s="29"/>
      <c r="D9772" s="29" t="s">
        <v>4156</v>
      </c>
      <c r="E9772" s="29"/>
      <c r="F9772" s="29" t="s">
        <v>4230</v>
      </c>
      <c r="G9772" s="29"/>
      <c r="H9772" s="29" t="s">
        <v>4233</v>
      </c>
      <c r="I9772" s="29"/>
      <c r="J9772" s="29" t="s">
        <v>4336</v>
      </c>
      <c r="K9772" s="29"/>
      <c r="L9772" s="29" t="s">
        <v>2981</v>
      </c>
      <c r="M9772" s="29"/>
      <c r="N9772" s="29"/>
      <c r="O9772" s="29"/>
      <c r="P9772" s="29" t="s">
        <v>1450</v>
      </c>
      <c r="Q9772" t="s">
        <v>2040</v>
      </c>
      <c r="R9772" t="s">
        <v>2634</v>
      </c>
      <c r="S9772">
        <v>36</v>
      </c>
      <c r="T9772" s="43" t="str">
        <f>HYPERLINK("https://ictv.global/ictv/proposals/2020.026P.R.Abolish_Luteoviridae.zip","2020.026P.R.Abolish_Luteoviridae.zip")</f>
        <v>2020.026P.R.Abolish_Luteoviridae.zip</v>
      </c>
      <c r="U9772" s="43" t="str">
        <f>HYPERLINK("https://ictv.global/taxonomy/taxondetails?taxnode_id=202203798","ictv.global=202203798")</f>
        <v>ictv.global=202203798</v>
      </c>
    </row>
    <row r="9773" spans="1:21">
      <c r="A9773">
        <v>9772</v>
      </c>
      <c r="B9773" s="29" t="s">
        <v>3223</v>
      </c>
      <c r="C9773" s="29"/>
      <c r="D9773" s="29" t="s">
        <v>4156</v>
      </c>
      <c r="E9773" s="29"/>
      <c r="F9773" s="29" t="s">
        <v>4230</v>
      </c>
      <c r="G9773" s="29"/>
      <c r="H9773" s="29" t="s">
        <v>4337</v>
      </c>
      <c r="I9773" s="29"/>
      <c r="J9773" s="29" t="s">
        <v>4338</v>
      </c>
      <c r="K9773" s="29"/>
      <c r="L9773" s="29" t="s">
        <v>391</v>
      </c>
      <c r="M9773" s="29"/>
      <c r="N9773" s="29" t="s">
        <v>4339</v>
      </c>
      <c r="O9773" s="29"/>
      <c r="P9773" s="29" t="s">
        <v>4340</v>
      </c>
      <c r="Q9773" t="s">
        <v>2040</v>
      </c>
      <c r="R9773" t="s">
        <v>2632</v>
      </c>
      <c r="S9773">
        <v>35</v>
      </c>
      <c r="T9773" s="43" t="str">
        <f>HYPERLINK("https://ictv.global/ictv/proposals/2019.019P.zip","2019.019P.zip")</f>
        <v>2019.019P.zip</v>
      </c>
      <c r="U9773" s="43" t="str">
        <f>HYPERLINK("https://ictv.global/taxonomy/taxondetails?taxnode_id=202207457","ictv.global=202207457")</f>
        <v>ictv.global=202207457</v>
      </c>
    </row>
    <row r="9774" spans="1:21">
      <c r="A9774">
        <v>9773</v>
      </c>
      <c r="B9774" s="29" t="s">
        <v>3223</v>
      </c>
      <c r="C9774" s="29"/>
      <c r="D9774" s="29" t="s">
        <v>4156</v>
      </c>
      <c r="E9774" s="29"/>
      <c r="F9774" s="29" t="s">
        <v>4230</v>
      </c>
      <c r="G9774" s="29"/>
      <c r="H9774" s="29" t="s">
        <v>4337</v>
      </c>
      <c r="I9774" s="29"/>
      <c r="J9774" s="29" t="s">
        <v>4338</v>
      </c>
      <c r="K9774" s="29"/>
      <c r="L9774" s="29" t="s">
        <v>391</v>
      </c>
      <c r="M9774" s="29"/>
      <c r="N9774" s="29" t="s">
        <v>4339</v>
      </c>
      <c r="O9774" s="29"/>
      <c r="P9774" s="29" t="s">
        <v>4341</v>
      </c>
      <c r="Q9774" t="s">
        <v>2040</v>
      </c>
      <c r="R9774" t="s">
        <v>6901</v>
      </c>
      <c r="S9774">
        <v>36</v>
      </c>
      <c r="T9774" s="43" t="str">
        <f>HYPERLINK("https://ictv.global/ictv/proposals/2020.001G.R.Abolish_type_species.pdf","2020.001G.R.Abolish_type_species.pdf")</f>
        <v>2020.001G.R.Abolish_type_species.pdf</v>
      </c>
      <c r="U9774" s="43" t="str">
        <f>HYPERLINK("https://ictv.global/taxonomy/taxondetails?taxnode_id=202207456","ictv.global=202207456")</f>
        <v>ictv.global=202207456</v>
      </c>
    </row>
    <row r="9775" spans="1:21">
      <c r="A9775">
        <v>9774</v>
      </c>
      <c r="B9775" s="29" t="s">
        <v>3223</v>
      </c>
      <c r="C9775" s="29"/>
      <c r="D9775" s="29" t="s">
        <v>4156</v>
      </c>
      <c r="E9775" s="29"/>
      <c r="F9775" s="29" t="s">
        <v>4230</v>
      </c>
      <c r="G9775" s="29"/>
      <c r="H9775" s="29" t="s">
        <v>4337</v>
      </c>
      <c r="I9775" s="29"/>
      <c r="J9775" s="29" t="s">
        <v>4338</v>
      </c>
      <c r="K9775" s="29"/>
      <c r="L9775" s="29" t="s">
        <v>391</v>
      </c>
      <c r="M9775" s="29"/>
      <c r="N9775" s="29" t="s">
        <v>2958</v>
      </c>
      <c r="O9775" s="29"/>
      <c r="P9775" s="29" t="s">
        <v>2959</v>
      </c>
      <c r="Q9775" t="s">
        <v>2040</v>
      </c>
      <c r="R9775" t="s">
        <v>6901</v>
      </c>
      <c r="S9775">
        <v>36</v>
      </c>
      <c r="T9775" s="43" t="str">
        <f>HYPERLINK("https://ictv.global/ictv/proposals/2020.001G.R.Abolish_type_species.pdf","2020.001G.R.Abolish_type_species.pdf")</f>
        <v>2020.001G.R.Abolish_type_species.pdf</v>
      </c>
      <c r="U9775" s="43" t="str">
        <f>HYPERLINK("https://ictv.global/taxonomy/taxondetails?taxnode_id=202205915","ictv.global=202205915")</f>
        <v>ictv.global=202205915</v>
      </c>
    </row>
    <row r="9776" spans="1:21">
      <c r="A9776">
        <v>9775</v>
      </c>
      <c r="B9776" s="29" t="s">
        <v>3223</v>
      </c>
      <c r="C9776" s="29"/>
      <c r="D9776" s="29" t="s">
        <v>4156</v>
      </c>
      <c r="E9776" s="29"/>
      <c r="F9776" s="29" t="s">
        <v>4230</v>
      </c>
      <c r="G9776" s="29"/>
      <c r="H9776" s="29" t="s">
        <v>4337</v>
      </c>
      <c r="I9776" s="29"/>
      <c r="J9776" s="29" t="s">
        <v>4338</v>
      </c>
      <c r="K9776" s="29"/>
      <c r="L9776" s="29" t="s">
        <v>391</v>
      </c>
      <c r="M9776" s="29"/>
      <c r="N9776" s="29" t="s">
        <v>455</v>
      </c>
      <c r="O9776" s="29"/>
      <c r="P9776" s="29" t="s">
        <v>456</v>
      </c>
      <c r="Q9776" t="s">
        <v>2040</v>
      </c>
      <c r="R9776" t="s">
        <v>6901</v>
      </c>
      <c r="S9776">
        <v>36</v>
      </c>
      <c r="T9776" s="43" t="str">
        <f>HYPERLINK("https://ictv.global/ictv/proposals/2020.001G.R.Abolish_type_species.pdf","2020.001G.R.Abolish_type_species.pdf")</f>
        <v>2020.001G.R.Abolish_type_species.pdf</v>
      </c>
      <c r="U9776" s="43" t="str">
        <f>HYPERLINK("https://ictv.global/taxonomy/taxondetails?taxnode_id=202204534","ictv.global=202204534")</f>
        <v>ictv.global=202204534</v>
      </c>
    </row>
    <row r="9777" spans="1:21">
      <c r="A9777">
        <v>9776</v>
      </c>
      <c r="B9777" s="29" t="s">
        <v>3223</v>
      </c>
      <c r="C9777" s="29"/>
      <c r="D9777" s="29" t="s">
        <v>4156</v>
      </c>
      <c r="E9777" s="29"/>
      <c r="F9777" s="29" t="s">
        <v>4230</v>
      </c>
      <c r="G9777" s="29"/>
      <c r="H9777" s="29" t="s">
        <v>4337</v>
      </c>
      <c r="I9777" s="29"/>
      <c r="J9777" s="29" t="s">
        <v>4338</v>
      </c>
      <c r="K9777" s="29"/>
      <c r="L9777" s="29" t="s">
        <v>391</v>
      </c>
      <c r="M9777" s="29"/>
      <c r="N9777" s="29" t="s">
        <v>392</v>
      </c>
      <c r="O9777" s="29"/>
      <c r="P9777" s="29" t="s">
        <v>393</v>
      </c>
      <c r="Q9777" t="s">
        <v>2040</v>
      </c>
      <c r="R9777" t="s">
        <v>2634</v>
      </c>
      <c r="S9777">
        <v>35</v>
      </c>
      <c r="T9777" s="43" t="str">
        <f>HYPERLINK("https://ictv.global/ictv/proposals/2019.006G.zip","2019.006G.zip")</f>
        <v>2019.006G.zip</v>
      </c>
      <c r="U9777" s="43" t="str">
        <f>HYPERLINK("https://ictv.global/taxonomy/taxondetails?taxnode_id=202204536","ictv.global=202204536")</f>
        <v>ictv.global=202204536</v>
      </c>
    </row>
    <row r="9778" spans="1:21">
      <c r="A9778">
        <v>9777</v>
      </c>
      <c r="B9778" s="29" t="s">
        <v>3223</v>
      </c>
      <c r="C9778" s="29"/>
      <c r="D9778" s="29" t="s">
        <v>4156</v>
      </c>
      <c r="E9778" s="29"/>
      <c r="F9778" s="29" t="s">
        <v>4230</v>
      </c>
      <c r="G9778" s="29"/>
      <c r="H9778" s="29" t="s">
        <v>4337</v>
      </c>
      <c r="I9778" s="29"/>
      <c r="J9778" s="29" t="s">
        <v>4338</v>
      </c>
      <c r="K9778" s="29"/>
      <c r="L9778" s="29" t="s">
        <v>391</v>
      </c>
      <c r="M9778" s="29"/>
      <c r="N9778" s="29" t="s">
        <v>392</v>
      </c>
      <c r="O9778" s="29"/>
      <c r="P9778" s="29" t="s">
        <v>394</v>
      </c>
      <c r="Q9778" t="s">
        <v>2040</v>
      </c>
      <c r="R9778" t="s">
        <v>6901</v>
      </c>
      <c r="S9778">
        <v>36</v>
      </c>
      <c r="T9778" s="43" t="str">
        <f>HYPERLINK("https://ictv.global/ictv/proposals/2020.001G.R.Abolish_type_species.pdf","2020.001G.R.Abolish_type_species.pdf")</f>
        <v>2020.001G.R.Abolish_type_species.pdf</v>
      </c>
      <c r="U9778" s="43" t="str">
        <f>HYPERLINK("https://ictv.global/taxonomy/taxondetails?taxnode_id=202204537","ictv.global=202204537")</f>
        <v>ictv.global=202204537</v>
      </c>
    </row>
    <row r="9779" spans="1:21">
      <c r="A9779">
        <v>9778</v>
      </c>
      <c r="B9779" s="29" t="s">
        <v>3223</v>
      </c>
      <c r="C9779" s="29"/>
      <c r="D9779" s="29" t="s">
        <v>4156</v>
      </c>
      <c r="E9779" s="29"/>
      <c r="F9779" s="29" t="s">
        <v>4230</v>
      </c>
      <c r="G9779" s="29"/>
      <c r="H9779" s="29" t="s">
        <v>4337</v>
      </c>
      <c r="I9779" s="29"/>
      <c r="J9779" s="29" t="s">
        <v>4338</v>
      </c>
      <c r="K9779" s="29"/>
      <c r="L9779" s="29" t="s">
        <v>391</v>
      </c>
      <c r="M9779" s="29"/>
      <c r="N9779" s="29" t="s">
        <v>392</v>
      </c>
      <c r="O9779" s="29"/>
      <c r="P9779" s="29" t="s">
        <v>1150</v>
      </c>
      <c r="Q9779" t="s">
        <v>2040</v>
      </c>
      <c r="R9779" t="s">
        <v>2634</v>
      </c>
      <c r="S9779">
        <v>35</v>
      </c>
      <c r="T9779" s="43" t="str">
        <f>HYPERLINK("https://ictv.global/ictv/proposals/2019.006G.zip","2019.006G.zip")</f>
        <v>2019.006G.zip</v>
      </c>
      <c r="U9779" s="43" t="str">
        <f>HYPERLINK("https://ictv.global/taxonomy/taxondetails?taxnode_id=202204538","ictv.global=202204538")</f>
        <v>ictv.global=202204538</v>
      </c>
    </row>
    <row r="9780" spans="1:21">
      <c r="A9780">
        <v>9779</v>
      </c>
      <c r="B9780" s="29" t="s">
        <v>3223</v>
      </c>
      <c r="C9780" s="29"/>
      <c r="D9780" s="29" t="s">
        <v>4156</v>
      </c>
      <c r="E9780" s="29"/>
      <c r="F9780" s="29" t="s">
        <v>4230</v>
      </c>
      <c r="G9780" s="29"/>
      <c r="H9780" s="29" t="s">
        <v>4337</v>
      </c>
      <c r="I9780" s="29"/>
      <c r="J9780" s="29" t="s">
        <v>4338</v>
      </c>
      <c r="K9780" s="29"/>
      <c r="L9780" s="29" t="s">
        <v>391</v>
      </c>
      <c r="M9780" s="29"/>
      <c r="N9780" s="29" t="s">
        <v>392</v>
      </c>
      <c r="O9780" s="29"/>
      <c r="P9780" s="29" t="s">
        <v>701</v>
      </c>
      <c r="Q9780" t="s">
        <v>2040</v>
      </c>
      <c r="R9780" t="s">
        <v>2634</v>
      </c>
      <c r="S9780">
        <v>35</v>
      </c>
      <c r="T9780" s="43" t="str">
        <f>HYPERLINK("https://ictv.global/ictv/proposals/2019.006G.zip","2019.006G.zip")</f>
        <v>2019.006G.zip</v>
      </c>
      <c r="U9780" s="43" t="str">
        <f>HYPERLINK("https://ictv.global/taxonomy/taxondetails?taxnode_id=202204539","ictv.global=202204539")</f>
        <v>ictv.global=202204539</v>
      </c>
    </row>
    <row r="9781" spans="1:21">
      <c r="A9781">
        <v>9780</v>
      </c>
      <c r="B9781" s="29" t="s">
        <v>3223</v>
      </c>
      <c r="C9781" s="29"/>
      <c r="D9781" s="29" t="s">
        <v>4156</v>
      </c>
      <c r="E9781" s="29"/>
      <c r="F9781" s="29" t="s">
        <v>4230</v>
      </c>
      <c r="G9781" s="29"/>
      <c r="H9781" s="29" t="s">
        <v>4337</v>
      </c>
      <c r="I9781" s="29"/>
      <c r="J9781" s="29" t="s">
        <v>4338</v>
      </c>
      <c r="K9781" s="29"/>
      <c r="L9781" s="29" t="s">
        <v>391</v>
      </c>
      <c r="M9781" s="29"/>
      <c r="N9781" s="29" t="s">
        <v>392</v>
      </c>
      <c r="O9781" s="29"/>
      <c r="P9781" s="29" t="s">
        <v>646</v>
      </c>
      <c r="Q9781" t="s">
        <v>2040</v>
      </c>
      <c r="R9781" t="s">
        <v>2634</v>
      </c>
      <c r="S9781">
        <v>35</v>
      </c>
      <c r="T9781" s="43" t="str">
        <f>HYPERLINK("https://ictv.global/ictv/proposals/2019.006G.zip","2019.006G.zip")</f>
        <v>2019.006G.zip</v>
      </c>
      <c r="U9781" s="43" t="str">
        <f>HYPERLINK("https://ictv.global/taxonomy/taxondetails?taxnode_id=202204540","ictv.global=202204540")</f>
        <v>ictv.global=202204540</v>
      </c>
    </row>
    <row r="9782" spans="1:21">
      <c r="A9782">
        <v>9781</v>
      </c>
      <c r="B9782" s="29" t="s">
        <v>3223</v>
      </c>
      <c r="C9782" s="29"/>
      <c r="D9782" s="29" t="s">
        <v>4156</v>
      </c>
      <c r="E9782" s="29"/>
      <c r="F9782" s="29" t="s">
        <v>4230</v>
      </c>
      <c r="G9782" s="29"/>
      <c r="H9782" s="29" t="s">
        <v>4337</v>
      </c>
      <c r="I9782" s="29"/>
      <c r="J9782" s="29" t="s">
        <v>4338</v>
      </c>
      <c r="K9782" s="29"/>
      <c r="L9782" s="29" t="s">
        <v>391</v>
      </c>
      <c r="M9782" s="29"/>
      <c r="N9782" s="29" t="s">
        <v>392</v>
      </c>
      <c r="O9782" s="29"/>
      <c r="P9782" s="29" t="s">
        <v>647</v>
      </c>
      <c r="Q9782" t="s">
        <v>2040</v>
      </c>
      <c r="R9782" t="s">
        <v>2634</v>
      </c>
      <c r="S9782">
        <v>35</v>
      </c>
      <c r="T9782" s="43" t="str">
        <f>HYPERLINK("https://ictv.global/ictv/proposals/2019.006G.zip","2019.006G.zip")</f>
        <v>2019.006G.zip</v>
      </c>
      <c r="U9782" s="43" t="str">
        <f>HYPERLINK("https://ictv.global/taxonomy/taxondetails?taxnode_id=202204541","ictv.global=202204541")</f>
        <v>ictv.global=202204541</v>
      </c>
    </row>
    <row r="9783" spans="1:21">
      <c r="A9783">
        <v>9782</v>
      </c>
      <c r="B9783" s="29" t="s">
        <v>3223</v>
      </c>
      <c r="C9783" s="29"/>
      <c r="D9783" s="29" t="s">
        <v>4156</v>
      </c>
      <c r="E9783" s="29"/>
      <c r="F9783" s="29" t="s">
        <v>4230</v>
      </c>
      <c r="G9783" s="29"/>
      <c r="H9783" s="29" t="s">
        <v>4337</v>
      </c>
      <c r="I9783" s="29"/>
      <c r="J9783" s="29" t="s">
        <v>4338</v>
      </c>
      <c r="K9783" s="29"/>
      <c r="L9783" s="29" t="s">
        <v>391</v>
      </c>
      <c r="M9783" s="29"/>
      <c r="N9783" s="29" t="s">
        <v>4342</v>
      </c>
      <c r="O9783" s="29"/>
      <c r="P9783" s="29" t="s">
        <v>4343</v>
      </c>
      <c r="Q9783" t="s">
        <v>2040</v>
      </c>
      <c r="R9783" t="s">
        <v>6901</v>
      </c>
      <c r="S9783">
        <v>36</v>
      </c>
      <c r="T9783" s="43" t="str">
        <f>HYPERLINK("https://ictv.global/ictv/proposals/2020.001G.R.Abolish_type_species.pdf","2020.001G.R.Abolish_type_species.pdf")</f>
        <v>2020.001G.R.Abolish_type_species.pdf</v>
      </c>
      <c r="U9783" s="43" t="str">
        <f>HYPERLINK("https://ictv.global/taxonomy/taxondetails?taxnode_id=202207463","ictv.global=202207463")</f>
        <v>ictv.global=202207463</v>
      </c>
    </row>
    <row r="9784" spans="1:21">
      <c r="A9784">
        <v>9783</v>
      </c>
      <c r="B9784" s="29" t="s">
        <v>3223</v>
      </c>
      <c r="C9784" s="29"/>
      <c r="D9784" s="29" t="s">
        <v>4156</v>
      </c>
      <c r="E9784" s="29"/>
      <c r="F9784" s="29" t="s">
        <v>4230</v>
      </c>
      <c r="G9784" s="29"/>
      <c r="H9784" s="29" t="s">
        <v>4337</v>
      </c>
      <c r="I9784" s="29"/>
      <c r="J9784" s="29" t="s">
        <v>4338</v>
      </c>
      <c r="K9784" s="29"/>
      <c r="L9784" s="29" t="s">
        <v>391</v>
      </c>
      <c r="M9784" s="29"/>
      <c r="N9784" s="29" t="s">
        <v>648</v>
      </c>
      <c r="O9784" s="29"/>
      <c r="P9784" s="29" t="s">
        <v>702</v>
      </c>
      <c r="Q9784" t="s">
        <v>2040</v>
      </c>
      <c r="R9784" t="s">
        <v>2634</v>
      </c>
      <c r="S9784">
        <v>35</v>
      </c>
      <c r="T9784" s="43" t="str">
        <f>HYPERLINK("https://ictv.global/ictv/proposals/2019.006G.zip","2019.006G.zip")</f>
        <v>2019.006G.zip</v>
      </c>
      <c r="U9784" s="43" t="str">
        <f>HYPERLINK("https://ictv.global/taxonomy/taxondetails?taxnode_id=202204543","ictv.global=202204543")</f>
        <v>ictv.global=202204543</v>
      </c>
    </row>
    <row r="9785" spans="1:21">
      <c r="A9785">
        <v>9784</v>
      </c>
      <c r="B9785" s="29" t="s">
        <v>3223</v>
      </c>
      <c r="C9785" s="29"/>
      <c r="D9785" s="29" t="s">
        <v>4156</v>
      </c>
      <c r="E9785" s="29"/>
      <c r="F9785" s="29" t="s">
        <v>4230</v>
      </c>
      <c r="G9785" s="29"/>
      <c r="H9785" s="29" t="s">
        <v>4337</v>
      </c>
      <c r="I9785" s="29"/>
      <c r="J9785" s="29" t="s">
        <v>4338</v>
      </c>
      <c r="K9785" s="29"/>
      <c r="L9785" s="29" t="s">
        <v>391</v>
      </c>
      <c r="M9785" s="29"/>
      <c r="N9785" s="29" t="s">
        <v>648</v>
      </c>
      <c r="O9785" s="29"/>
      <c r="P9785" s="29" t="s">
        <v>2960</v>
      </c>
      <c r="Q9785" t="s">
        <v>2040</v>
      </c>
      <c r="R9785" t="s">
        <v>2634</v>
      </c>
      <c r="S9785">
        <v>35</v>
      </c>
      <c r="T9785" s="43" t="str">
        <f>HYPERLINK("https://ictv.global/ictv/proposals/2019.006G.zip","2019.006G.zip")</f>
        <v>2019.006G.zip</v>
      </c>
      <c r="U9785" s="43" t="str">
        <f>HYPERLINK("https://ictv.global/taxonomy/taxondetails?taxnode_id=202205917","ictv.global=202205917")</f>
        <v>ictv.global=202205917</v>
      </c>
    </row>
    <row r="9786" spans="1:21">
      <c r="A9786">
        <v>9785</v>
      </c>
      <c r="B9786" s="29" t="s">
        <v>3223</v>
      </c>
      <c r="C9786" s="29"/>
      <c r="D9786" s="29" t="s">
        <v>4156</v>
      </c>
      <c r="E9786" s="29"/>
      <c r="F9786" s="29" t="s">
        <v>4230</v>
      </c>
      <c r="G9786" s="29"/>
      <c r="H9786" s="29" t="s">
        <v>4337</v>
      </c>
      <c r="I9786" s="29"/>
      <c r="J9786" s="29" t="s">
        <v>4338</v>
      </c>
      <c r="K9786" s="29"/>
      <c r="L9786" s="29" t="s">
        <v>391</v>
      </c>
      <c r="M9786" s="29"/>
      <c r="N9786" s="29" t="s">
        <v>648</v>
      </c>
      <c r="O9786" s="29"/>
      <c r="P9786" s="29" t="s">
        <v>703</v>
      </c>
      <c r="Q9786" t="s">
        <v>2040</v>
      </c>
      <c r="R9786" t="s">
        <v>2634</v>
      </c>
      <c r="S9786">
        <v>35</v>
      </c>
      <c r="T9786" s="43" t="str">
        <f>HYPERLINK("https://ictv.global/ictv/proposals/2019.006G.zip","2019.006G.zip")</f>
        <v>2019.006G.zip</v>
      </c>
      <c r="U9786" s="43" t="str">
        <f>HYPERLINK("https://ictv.global/taxonomy/taxondetails?taxnode_id=202204544","ictv.global=202204544")</f>
        <v>ictv.global=202204544</v>
      </c>
    </row>
    <row r="9787" spans="1:21">
      <c r="A9787">
        <v>9786</v>
      </c>
      <c r="B9787" s="29" t="s">
        <v>3223</v>
      </c>
      <c r="C9787" s="29"/>
      <c r="D9787" s="29" t="s">
        <v>4156</v>
      </c>
      <c r="E9787" s="29"/>
      <c r="F9787" s="29" t="s">
        <v>4230</v>
      </c>
      <c r="G9787" s="29"/>
      <c r="H9787" s="29" t="s">
        <v>4337</v>
      </c>
      <c r="I9787" s="29"/>
      <c r="J9787" s="29" t="s">
        <v>4338</v>
      </c>
      <c r="K9787" s="29"/>
      <c r="L9787" s="29" t="s">
        <v>391</v>
      </c>
      <c r="M9787" s="29"/>
      <c r="N9787" s="29" t="s">
        <v>648</v>
      </c>
      <c r="O9787" s="29"/>
      <c r="P9787" s="29" t="s">
        <v>704</v>
      </c>
      <c r="Q9787" t="s">
        <v>2040</v>
      </c>
      <c r="R9787" t="s">
        <v>2634</v>
      </c>
      <c r="S9787">
        <v>35</v>
      </c>
      <c r="T9787" s="43" t="str">
        <f>HYPERLINK("https://ictv.global/ictv/proposals/2019.006G.zip","2019.006G.zip")</f>
        <v>2019.006G.zip</v>
      </c>
      <c r="U9787" s="43" t="str">
        <f>HYPERLINK("https://ictv.global/taxonomy/taxondetails?taxnode_id=202204545","ictv.global=202204545")</f>
        <v>ictv.global=202204545</v>
      </c>
    </row>
    <row r="9788" spans="1:21">
      <c r="A9788">
        <v>9787</v>
      </c>
      <c r="B9788" s="29" t="s">
        <v>3223</v>
      </c>
      <c r="C9788" s="29"/>
      <c r="D9788" s="29" t="s">
        <v>4156</v>
      </c>
      <c r="E9788" s="29"/>
      <c r="F9788" s="29" t="s">
        <v>4230</v>
      </c>
      <c r="G9788" s="29"/>
      <c r="H9788" s="29" t="s">
        <v>4337</v>
      </c>
      <c r="I9788" s="29"/>
      <c r="J9788" s="29" t="s">
        <v>4338</v>
      </c>
      <c r="K9788" s="29"/>
      <c r="L9788" s="29" t="s">
        <v>391</v>
      </c>
      <c r="M9788" s="29"/>
      <c r="N9788" s="29" t="s">
        <v>648</v>
      </c>
      <c r="O9788" s="29"/>
      <c r="P9788" s="29" t="s">
        <v>705</v>
      </c>
      <c r="Q9788" t="s">
        <v>2040</v>
      </c>
      <c r="R9788" t="s">
        <v>6901</v>
      </c>
      <c r="S9788">
        <v>36</v>
      </c>
      <c r="T9788" s="43" t="str">
        <f>HYPERLINK("https://ictv.global/ictv/proposals/2020.001G.R.Abolish_type_species.pdf","2020.001G.R.Abolish_type_species.pdf")</f>
        <v>2020.001G.R.Abolish_type_species.pdf</v>
      </c>
      <c r="U9788" s="43" t="str">
        <f>HYPERLINK("https://ictv.global/taxonomy/taxondetails?taxnode_id=202204546","ictv.global=202204546")</f>
        <v>ictv.global=202204546</v>
      </c>
    </row>
    <row r="9789" spans="1:21">
      <c r="A9789">
        <v>9788</v>
      </c>
      <c r="B9789" s="29" t="s">
        <v>3223</v>
      </c>
      <c r="C9789" s="29"/>
      <c r="D9789" s="29" t="s">
        <v>4156</v>
      </c>
      <c r="E9789" s="29"/>
      <c r="F9789" s="29" t="s">
        <v>4230</v>
      </c>
      <c r="G9789" s="29"/>
      <c r="H9789" s="29" t="s">
        <v>4337</v>
      </c>
      <c r="I9789" s="29"/>
      <c r="J9789" s="29" t="s">
        <v>4338</v>
      </c>
      <c r="K9789" s="29"/>
      <c r="L9789" s="29" t="s">
        <v>391</v>
      </c>
      <c r="M9789" s="29"/>
      <c r="N9789" s="29" t="s">
        <v>648</v>
      </c>
      <c r="O9789" s="29"/>
      <c r="P9789" s="29" t="s">
        <v>1534</v>
      </c>
      <c r="Q9789" t="s">
        <v>2040</v>
      </c>
      <c r="R9789" t="s">
        <v>2634</v>
      </c>
      <c r="S9789">
        <v>35</v>
      </c>
      <c r="T9789" s="43" t="str">
        <f>HYPERLINK("https://ictv.global/ictv/proposals/2019.006G.zip","2019.006G.zip")</f>
        <v>2019.006G.zip</v>
      </c>
      <c r="U9789" s="43" t="str">
        <f>HYPERLINK("https://ictv.global/taxonomy/taxondetails?taxnode_id=202204547","ictv.global=202204547")</f>
        <v>ictv.global=202204547</v>
      </c>
    </row>
    <row r="9790" spans="1:21">
      <c r="A9790">
        <v>9789</v>
      </c>
      <c r="B9790" s="29" t="s">
        <v>3223</v>
      </c>
      <c r="C9790" s="29"/>
      <c r="D9790" s="29" t="s">
        <v>4156</v>
      </c>
      <c r="E9790" s="29"/>
      <c r="F9790" s="29" t="s">
        <v>4230</v>
      </c>
      <c r="G9790" s="29"/>
      <c r="H9790" s="29" t="s">
        <v>4337</v>
      </c>
      <c r="I9790" s="29"/>
      <c r="J9790" s="29" t="s">
        <v>4338</v>
      </c>
      <c r="K9790" s="29"/>
      <c r="L9790" s="29" t="s">
        <v>391</v>
      </c>
      <c r="M9790" s="29"/>
      <c r="N9790" s="29" t="s">
        <v>648</v>
      </c>
      <c r="O9790" s="29"/>
      <c r="P9790" s="29" t="s">
        <v>152</v>
      </c>
      <c r="Q9790" t="s">
        <v>2040</v>
      </c>
      <c r="R9790" t="s">
        <v>2634</v>
      </c>
      <c r="S9790">
        <v>35</v>
      </c>
      <c r="T9790" s="43" t="str">
        <f>HYPERLINK("https://ictv.global/ictv/proposals/2019.006G.zip","2019.006G.zip")</f>
        <v>2019.006G.zip</v>
      </c>
      <c r="U9790" s="43" t="str">
        <f>HYPERLINK("https://ictv.global/taxonomy/taxondetails?taxnode_id=202204548","ictv.global=202204548")</f>
        <v>ictv.global=202204548</v>
      </c>
    </row>
    <row r="9791" spans="1:21">
      <c r="A9791">
        <v>9790</v>
      </c>
      <c r="B9791" s="29" t="s">
        <v>3223</v>
      </c>
      <c r="C9791" s="29"/>
      <c r="D9791" s="29" t="s">
        <v>4156</v>
      </c>
      <c r="E9791" s="29"/>
      <c r="F9791" s="29" t="s">
        <v>4230</v>
      </c>
      <c r="G9791" s="29"/>
      <c r="H9791" s="29" t="s">
        <v>4337</v>
      </c>
      <c r="I9791" s="29"/>
      <c r="J9791" s="29" t="s">
        <v>4338</v>
      </c>
      <c r="K9791" s="29"/>
      <c r="L9791" s="29" t="s">
        <v>391</v>
      </c>
      <c r="M9791" s="29"/>
      <c r="N9791" s="29" t="s">
        <v>706</v>
      </c>
      <c r="O9791" s="29"/>
      <c r="P9791" s="29" t="s">
        <v>707</v>
      </c>
      <c r="Q9791" t="s">
        <v>2040</v>
      </c>
      <c r="R9791" t="s">
        <v>2634</v>
      </c>
      <c r="S9791">
        <v>35</v>
      </c>
      <c r="T9791" s="43" t="str">
        <f>HYPERLINK("https://ictv.global/ictv/proposals/2019.006G.zip","2019.006G.zip")</f>
        <v>2019.006G.zip</v>
      </c>
      <c r="U9791" s="43" t="str">
        <f>HYPERLINK("https://ictv.global/taxonomy/taxondetails?taxnode_id=202204550","ictv.global=202204550")</f>
        <v>ictv.global=202204550</v>
      </c>
    </row>
    <row r="9792" spans="1:21">
      <c r="A9792">
        <v>9791</v>
      </c>
      <c r="B9792" s="29" t="s">
        <v>3223</v>
      </c>
      <c r="C9792" s="29"/>
      <c r="D9792" s="29" t="s">
        <v>4156</v>
      </c>
      <c r="E9792" s="29"/>
      <c r="F9792" s="29" t="s">
        <v>4230</v>
      </c>
      <c r="G9792" s="29"/>
      <c r="H9792" s="29" t="s">
        <v>4337</v>
      </c>
      <c r="I9792" s="29"/>
      <c r="J9792" s="29" t="s">
        <v>4338</v>
      </c>
      <c r="K9792" s="29"/>
      <c r="L9792" s="29" t="s">
        <v>391</v>
      </c>
      <c r="M9792" s="29"/>
      <c r="N9792" s="29" t="s">
        <v>706</v>
      </c>
      <c r="O9792" s="29"/>
      <c r="P9792" s="29" t="s">
        <v>4344</v>
      </c>
      <c r="Q9792" t="s">
        <v>2040</v>
      </c>
      <c r="R9792" t="s">
        <v>2632</v>
      </c>
      <c r="S9792">
        <v>35</v>
      </c>
      <c r="T9792" s="43" t="str">
        <f>HYPERLINK("https://ictv.global/ictv/proposals/2019.017P.zip","2019.017P.zip")</f>
        <v>2019.017P.zip</v>
      </c>
      <c r="U9792" s="43" t="str">
        <f>HYPERLINK("https://ictv.global/taxonomy/taxondetails?taxnode_id=202207443","ictv.global=202207443")</f>
        <v>ictv.global=202207443</v>
      </c>
    </row>
    <row r="9793" spans="1:21">
      <c r="A9793">
        <v>9792</v>
      </c>
      <c r="B9793" s="29" t="s">
        <v>3223</v>
      </c>
      <c r="C9793" s="29"/>
      <c r="D9793" s="29" t="s">
        <v>4156</v>
      </c>
      <c r="E9793" s="29"/>
      <c r="F9793" s="29" t="s">
        <v>4230</v>
      </c>
      <c r="G9793" s="29"/>
      <c r="H9793" s="29" t="s">
        <v>4337</v>
      </c>
      <c r="I9793" s="29"/>
      <c r="J9793" s="29" t="s">
        <v>4338</v>
      </c>
      <c r="K9793" s="29"/>
      <c r="L9793" s="29" t="s">
        <v>391</v>
      </c>
      <c r="M9793" s="29"/>
      <c r="N9793" s="29" t="s">
        <v>706</v>
      </c>
      <c r="O9793" s="29"/>
      <c r="P9793" s="29" t="s">
        <v>485</v>
      </c>
      <c r="Q9793" t="s">
        <v>2040</v>
      </c>
      <c r="R9793" t="s">
        <v>2634</v>
      </c>
      <c r="S9793">
        <v>35</v>
      </c>
      <c r="T9793" s="43" t="str">
        <f>HYPERLINK("https://ictv.global/ictv/proposals/2019.006G.zip","2019.006G.zip")</f>
        <v>2019.006G.zip</v>
      </c>
      <c r="U9793" s="43" t="str">
        <f>HYPERLINK("https://ictv.global/taxonomy/taxondetails?taxnode_id=202204551","ictv.global=202204551")</f>
        <v>ictv.global=202204551</v>
      </c>
    </row>
    <row r="9794" spans="1:21">
      <c r="A9794">
        <v>9793</v>
      </c>
      <c r="B9794" s="29" t="s">
        <v>3223</v>
      </c>
      <c r="C9794" s="29"/>
      <c r="D9794" s="29" t="s">
        <v>4156</v>
      </c>
      <c r="E9794" s="29"/>
      <c r="F9794" s="29" t="s">
        <v>4230</v>
      </c>
      <c r="G9794" s="29"/>
      <c r="H9794" s="29" t="s">
        <v>4337</v>
      </c>
      <c r="I9794" s="29"/>
      <c r="J9794" s="29" t="s">
        <v>4338</v>
      </c>
      <c r="K9794" s="29"/>
      <c r="L9794" s="29" t="s">
        <v>391</v>
      </c>
      <c r="M9794" s="29"/>
      <c r="N9794" s="29" t="s">
        <v>706</v>
      </c>
      <c r="O9794" s="29"/>
      <c r="P9794" s="29" t="s">
        <v>2540</v>
      </c>
      <c r="Q9794" t="s">
        <v>2040</v>
      </c>
      <c r="R9794" t="s">
        <v>2634</v>
      </c>
      <c r="S9794">
        <v>35</v>
      </c>
      <c r="T9794" s="43" t="str">
        <f>HYPERLINK("https://ictv.global/ictv/proposals/2019.006G.zip","2019.006G.zip")</f>
        <v>2019.006G.zip</v>
      </c>
      <c r="U9794" s="43" t="str">
        <f>HYPERLINK("https://ictv.global/taxonomy/taxondetails?taxnode_id=202204552","ictv.global=202204552")</f>
        <v>ictv.global=202204552</v>
      </c>
    </row>
    <row r="9795" spans="1:21">
      <c r="A9795">
        <v>9794</v>
      </c>
      <c r="B9795" s="29" t="s">
        <v>3223</v>
      </c>
      <c r="C9795" s="29"/>
      <c r="D9795" s="29" t="s">
        <v>4156</v>
      </c>
      <c r="E9795" s="29"/>
      <c r="F9795" s="29" t="s">
        <v>4230</v>
      </c>
      <c r="G9795" s="29"/>
      <c r="H9795" s="29" t="s">
        <v>4337</v>
      </c>
      <c r="I9795" s="29"/>
      <c r="J9795" s="29" t="s">
        <v>4338</v>
      </c>
      <c r="K9795" s="29"/>
      <c r="L9795" s="29" t="s">
        <v>391</v>
      </c>
      <c r="M9795" s="29"/>
      <c r="N9795" s="29" t="s">
        <v>706</v>
      </c>
      <c r="O9795" s="29"/>
      <c r="P9795" s="29" t="s">
        <v>708</v>
      </c>
      <c r="Q9795" t="s">
        <v>2040</v>
      </c>
      <c r="R9795" t="s">
        <v>2634</v>
      </c>
      <c r="S9795">
        <v>35</v>
      </c>
      <c r="T9795" s="43" t="str">
        <f>HYPERLINK("https://ictv.global/ictv/proposals/2019.006G.zip","2019.006G.zip")</f>
        <v>2019.006G.zip</v>
      </c>
      <c r="U9795" s="43" t="str">
        <f>HYPERLINK("https://ictv.global/taxonomy/taxondetails?taxnode_id=202204553","ictv.global=202204553")</f>
        <v>ictv.global=202204553</v>
      </c>
    </row>
    <row r="9796" spans="1:21">
      <c r="A9796">
        <v>9795</v>
      </c>
      <c r="B9796" s="29" t="s">
        <v>3223</v>
      </c>
      <c r="C9796" s="29"/>
      <c r="D9796" s="29" t="s">
        <v>4156</v>
      </c>
      <c r="E9796" s="29"/>
      <c r="F9796" s="29" t="s">
        <v>4230</v>
      </c>
      <c r="G9796" s="29"/>
      <c r="H9796" s="29" t="s">
        <v>4337</v>
      </c>
      <c r="I9796" s="29"/>
      <c r="J9796" s="29" t="s">
        <v>4338</v>
      </c>
      <c r="K9796" s="29"/>
      <c r="L9796" s="29" t="s">
        <v>391</v>
      </c>
      <c r="M9796" s="29"/>
      <c r="N9796" s="29" t="s">
        <v>706</v>
      </c>
      <c r="O9796" s="29"/>
      <c r="P9796" s="29" t="s">
        <v>709</v>
      </c>
      <c r="Q9796" t="s">
        <v>2040</v>
      </c>
      <c r="R9796" t="s">
        <v>2634</v>
      </c>
      <c r="S9796">
        <v>35</v>
      </c>
      <c r="T9796" s="43" t="str">
        <f>HYPERLINK("https://ictv.global/ictv/proposals/2019.006G.zip","2019.006G.zip")</f>
        <v>2019.006G.zip</v>
      </c>
      <c r="U9796" s="43" t="str">
        <f>HYPERLINK("https://ictv.global/taxonomy/taxondetails?taxnode_id=202204554","ictv.global=202204554")</f>
        <v>ictv.global=202204554</v>
      </c>
    </row>
    <row r="9797" spans="1:21">
      <c r="A9797">
        <v>9796</v>
      </c>
      <c r="B9797" s="29" t="s">
        <v>3223</v>
      </c>
      <c r="C9797" s="29"/>
      <c r="D9797" s="29" t="s">
        <v>4156</v>
      </c>
      <c r="E9797" s="29"/>
      <c r="F9797" s="29" t="s">
        <v>4230</v>
      </c>
      <c r="G9797" s="29"/>
      <c r="H9797" s="29" t="s">
        <v>4337</v>
      </c>
      <c r="I9797" s="29"/>
      <c r="J9797" s="29" t="s">
        <v>4338</v>
      </c>
      <c r="K9797" s="29"/>
      <c r="L9797" s="29" t="s">
        <v>391</v>
      </c>
      <c r="M9797" s="29"/>
      <c r="N9797" s="29" t="s">
        <v>706</v>
      </c>
      <c r="O9797" s="29"/>
      <c r="P9797" s="29" t="s">
        <v>477</v>
      </c>
      <c r="Q9797" t="s">
        <v>2040</v>
      </c>
      <c r="R9797" t="s">
        <v>6901</v>
      </c>
      <c r="S9797">
        <v>36</v>
      </c>
      <c r="T9797" s="43" t="str">
        <f>HYPERLINK("https://ictv.global/ictv/proposals/2020.001G.R.Abolish_type_species.pdf","2020.001G.R.Abolish_type_species.pdf")</f>
        <v>2020.001G.R.Abolish_type_species.pdf</v>
      </c>
      <c r="U9797" s="43" t="str">
        <f>HYPERLINK("https://ictv.global/taxonomy/taxondetails?taxnode_id=202204555","ictv.global=202204555")</f>
        <v>ictv.global=202204555</v>
      </c>
    </row>
    <row r="9798" spans="1:21">
      <c r="A9798">
        <v>9797</v>
      </c>
      <c r="B9798" s="29" t="s">
        <v>3223</v>
      </c>
      <c r="C9798" s="29"/>
      <c r="D9798" s="29" t="s">
        <v>4156</v>
      </c>
      <c r="E9798" s="29"/>
      <c r="F9798" s="29" t="s">
        <v>4230</v>
      </c>
      <c r="G9798" s="29"/>
      <c r="H9798" s="29" t="s">
        <v>4337</v>
      </c>
      <c r="I9798" s="29"/>
      <c r="J9798" s="29" t="s">
        <v>4338</v>
      </c>
      <c r="K9798" s="29"/>
      <c r="L9798" s="29" t="s">
        <v>391</v>
      </c>
      <c r="M9798" s="29"/>
      <c r="N9798" s="29" t="s">
        <v>706</v>
      </c>
      <c r="O9798" s="29"/>
      <c r="P9798" s="29" t="s">
        <v>14268</v>
      </c>
      <c r="Q9798" t="s">
        <v>2040</v>
      </c>
      <c r="R9798" t="s">
        <v>2632</v>
      </c>
      <c r="S9798">
        <v>38</v>
      </c>
      <c r="T9798" s="43" t="str">
        <f>HYPERLINK("https://ictv.global/ictv/proposals/2022.010P.Potyviridae_7ns.zip","2022.010P.Potyviridae_7ns.zip")</f>
        <v>2022.010P.Potyviridae_7ns.zip</v>
      </c>
      <c r="U9798" s="43" t="str">
        <f>HYPERLINK("https://ictv.global/taxonomy/taxondetails?taxnode_id=202215108","ictv.global=202215108")</f>
        <v>ictv.global=202215108</v>
      </c>
    </row>
    <row r="9799" spans="1:21">
      <c r="A9799">
        <v>9798</v>
      </c>
      <c r="B9799" s="29" t="s">
        <v>3223</v>
      </c>
      <c r="C9799" s="29"/>
      <c r="D9799" s="29" t="s">
        <v>4156</v>
      </c>
      <c r="E9799" s="29"/>
      <c r="F9799" s="29" t="s">
        <v>4230</v>
      </c>
      <c r="G9799" s="29"/>
      <c r="H9799" s="29" t="s">
        <v>4337</v>
      </c>
      <c r="I9799" s="29"/>
      <c r="J9799" s="29" t="s">
        <v>4338</v>
      </c>
      <c r="K9799" s="29"/>
      <c r="L9799" s="29" t="s">
        <v>391</v>
      </c>
      <c r="M9799" s="29"/>
      <c r="N9799" s="29" t="s">
        <v>706</v>
      </c>
      <c r="O9799" s="29"/>
      <c r="P9799" s="29" t="s">
        <v>478</v>
      </c>
      <c r="Q9799" t="s">
        <v>2040</v>
      </c>
      <c r="R9799" t="s">
        <v>2634</v>
      </c>
      <c r="S9799">
        <v>35</v>
      </c>
      <c r="T9799" s="43" t="str">
        <f>HYPERLINK("https://ictv.global/ictv/proposals/2019.006G.zip","2019.006G.zip")</f>
        <v>2019.006G.zip</v>
      </c>
      <c r="U9799" s="43" t="str">
        <f>HYPERLINK("https://ictv.global/taxonomy/taxondetails?taxnode_id=202204556","ictv.global=202204556")</f>
        <v>ictv.global=202204556</v>
      </c>
    </row>
    <row r="9800" spans="1:21">
      <c r="A9800">
        <v>9799</v>
      </c>
      <c r="B9800" s="29" t="s">
        <v>3223</v>
      </c>
      <c r="C9800" s="29"/>
      <c r="D9800" s="29" t="s">
        <v>4156</v>
      </c>
      <c r="E9800" s="29"/>
      <c r="F9800" s="29" t="s">
        <v>4230</v>
      </c>
      <c r="G9800" s="29"/>
      <c r="H9800" s="29" t="s">
        <v>4337</v>
      </c>
      <c r="I9800" s="29"/>
      <c r="J9800" s="29" t="s">
        <v>4338</v>
      </c>
      <c r="K9800" s="29"/>
      <c r="L9800" s="29" t="s">
        <v>391</v>
      </c>
      <c r="M9800" s="29"/>
      <c r="N9800" s="29" t="s">
        <v>706</v>
      </c>
      <c r="O9800" s="29"/>
      <c r="P9800" s="29" t="s">
        <v>2541</v>
      </c>
      <c r="Q9800" t="s">
        <v>2040</v>
      </c>
      <c r="R9800" t="s">
        <v>2634</v>
      </c>
      <c r="S9800">
        <v>35</v>
      </c>
      <c r="T9800" s="43" t="str">
        <f>HYPERLINK("https://ictv.global/ictv/proposals/2019.006G.zip","2019.006G.zip")</f>
        <v>2019.006G.zip</v>
      </c>
      <c r="U9800" s="43" t="str">
        <f>HYPERLINK("https://ictv.global/taxonomy/taxondetails?taxnode_id=202204557","ictv.global=202204557")</f>
        <v>ictv.global=202204557</v>
      </c>
    </row>
    <row r="9801" spans="1:21">
      <c r="A9801">
        <v>9800</v>
      </c>
      <c r="B9801" s="29" t="s">
        <v>3223</v>
      </c>
      <c r="C9801" s="29"/>
      <c r="D9801" s="29" t="s">
        <v>4156</v>
      </c>
      <c r="E9801" s="29"/>
      <c r="F9801" s="29" t="s">
        <v>4230</v>
      </c>
      <c r="G9801" s="29"/>
      <c r="H9801" s="29" t="s">
        <v>4337</v>
      </c>
      <c r="I9801" s="29"/>
      <c r="J9801" s="29" t="s">
        <v>4338</v>
      </c>
      <c r="K9801" s="29"/>
      <c r="L9801" s="29" t="s">
        <v>391</v>
      </c>
      <c r="M9801" s="29"/>
      <c r="N9801" s="29" t="s">
        <v>706</v>
      </c>
      <c r="O9801" s="29"/>
      <c r="P9801" s="29" t="s">
        <v>4345</v>
      </c>
      <c r="Q9801" t="s">
        <v>2040</v>
      </c>
      <c r="R9801" t="s">
        <v>2632</v>
      </c>
      <c r="S9801">
        <v>35</v>
      </c>
      <c r="T9801" s="43" t="str">
        <f>HYPERLINK("https://ictv.global/ictv/proposals/2019.017P.zip","2019.017P.zip")</f>
        <v>2019.017P.zip</v>
      </c>
      <c r="U9801" s="43" t="str">
        <f>HYPERLINK("https://ictv.global/taxonomy/taxondetails?taxnode_id=202207444","ictv.global=202207444")</f>
        <v>ictv.global=202207444</v>
      </c>
    </row>
    <row r="9802" spans="1:21">
      <c r="A9802">
        <v>9801</v>
      </c>
      <c r="B9802" s="29" t="s">
        <v>3223</v>
      </c>
      <c r="C9802" s="29"/>
      <c r="D9802" s="29" t="s">
        <v>4156</v>
      </c>
      <c r="E9802" s="29"/>
      <c r="F9802" s="29" t="s">
        <v>4230</v>
      </c>
      <c r="G9802" s="29"/>
      <c r="H9802" s="29" t="s">
        <v>4337</v>
      </c>
      <c r="I9802" s="29"/>
      <c r="J9802" s="29" t="s">
        <v>4338</v>
      </c>
      <c r="K9802" s="29"/>
      <c r="L9802" s="29" t="s">
        <v>391</v>
      </c>
      <c r="M9802" s="29"/>
      <c r="N9802" s="29" t="s">
        <v>153</v>
      </c>
      <c r="O9802" s="29"/>
      <c r="P9802" s="29" t="s">
        <v>2318</v>
      </c>
      <c r="Q9802" t="s">
        <v>2040</v>
      </c>
      <c r="R9802" t="s">
        <v>2634</v>
      </c>
      <c r="S9802">
        <v>35</v>
      </c>
      <c r="T9802" s="43" t="str">
        <f>HYPERLINK("https://ictv.global/ictv/proposals/2019.006G.zip","2019.006G.zip")</f>
        <v>2019.006G.zip</v>
      </c>
      <c r="U9802" s="43" t="str">
        <f>HYPERLINK("https://ictv.global/taxonomy/taxondetails?taxnode_id=202204559","ictv.global=202204559")</f>
        <v>ictv.global=202204559</v>
      </c>
    </row>
    <row r="9803" spans="1:21">
      <c r="A9803">
        <v>9802</v>
      </c>
      <c r="B9803" s="29" t="s">
        <v>3223</v>
      </c>
      <c r="C9803" s="29"/>
      <c r="D9803" s="29" t="s">
        <v>4156</v>
      </c>
      <c r="E9803" s="29"/>
      <c r="F9803" s="29" t="s">
        <v>4230</v>
      </c>
      <c r="G9803" s="29"/>
      <c r="H9803" s="29" t="s">
        <v>4337</v>
      </c>
      <c r="I9803" s="29"/>
      <c r="J9803" s="29" t="s">
        <v>4338</v>
      </c>
      <c r="K9803" s="29"/>
      <c r="L9803" s="29" t="s">
        <v>391</v>
      </c>
      <c r="M9803" s="29"/>
      <c r="N9803" s="29" t="s">
        <v>153</v>
      </c>
      <c r="O9803" s="29"/>
      <c r="P9803" s="29" t="s">
        <v>402</v>
      </c>
      <c r="Q9803" t="s">
        <v>2040</v>
      </c>
      <c r="R9803" t="s">
        <v>2634</v>
      </c>
      <c r="S9803">
        <v>35</v>
      </c>
      <c r="T9803" s="43" t="str">
        <f>HYPERLINK("https://ictv.global/ictv/proposals/2019.006G.zip","2019.006G.zip")</f>
        <v>2019.006G.zip</v>
      </c>
      <c r="U9803" s="43" t="str">
        <f>HYPERLINK("https://ictv.global/taxonomy/taxondetails?taxnode_id=202204560","ictv.global=202204560")</f>
        <v>ictv.global=202204560</v>
      </c>
    </row>
    <row r="9804" spans="1:21">
      <c r="A9804">
        <v>9803</v>
      </c>
      <c r="B9804" s="29" t="s">
        <v>3223</v>
      </c>
      <c r="C9804" s="29"/>
      <c r="D9804" s="29" t="s">
        <v>4156</v>
      </c>
      <c r="E9804" s="29"/>
      <c r="F9804" s="29" t="s">
        <v>4230</v>
      </c>
      <c r="G9804" s="29"/>
      <c r="H9804" s="29" t="s">
        <v>4337</v>
      </c>
      <c r="I9804" s="29"/>
      <c r="J9804" s="29" t="s">
        <v>4338</v>
      </c>
      <c r="K9804" s="29"/>
      <c r="L9804" s="29" t="s">
        <v>391</v>
      </c>
      <c r="M9804" s="29"/>
      <c r="N9804" s="29" t="s">
        <v>153</v>
      </c>
      <c r="O9804" s="29"/>
      <c r="P9804" s="29" t="s">
        <v>154</v>
      </c>
      <c r="Q9804" t="s">
        <v>2040</v>
      </c>
      <c r="R9804" t="s">
        <v>6901</v>
      </c>
      <c r="S9804">
        <v>36</v>
      </c>
      <c r="T9804" s="43" t="str">
        <f>HYPERLINK("https://ictv.global/ictv/proposals/2020.001G.R.Abolish_type_species.pdf","2020.001G.R.Abolish_type_species.pdf")</f>
        <v>2020.001G.R.Abolish_type_species.pdf</v>
      </c>
      <c r="U9804" s="43" t="str">
        <f>HYPERLINK("https://ictv.global/taxonomy/taxondetails?taxnode_id=202204561","ictv.global=202204561")</f>
        <v>ictv.global=202204561</v>
      </c>
    </row>
    <row r="9805" spans="1:21">
      <c r="A9805">
        <v>9804</v>
      </c>
      <c r="B9805" s="29" t="s">
        <v>3223</v>
      </c>
      <c r="C9805" s="29"/>
      <c r="D9805" s="29" t="s">
        <v>4156</v>
      </c>
      <c r="E9805" s="29"/>
      <c r="F9805" s="29" t="s">
        <v>4230</v>
      </c>
      <c r="G9805" s="29"/>
      <c r="H9805" s="29" t="s">
        <v>4337</v>
      </c>
      <c r="I9805" s="29"/>
      <c r="J9805" s="29" t="s">
        <v>4338</v>
      </c>
      <c r="K9805" s="29"/>
      <c r="L9805" s="29" t="s">
        <v>391</v>
      </c>
      <c r="M9805" s="29"/>
      <c r="N9805" s="29" t="s">
        <v>479</v>
      </c>
      <c r="O9805" s="29"/>
      <c r="P9805" s="29" t="s">
        <v>3351</v>
      </c>
      <c r="Q9805" t="s">
        <v>2040</v>
      </c>
      <c r="R9805" t="s">
        <v>2634</v>
      </c>
      <c r="S9805">
        <v>35</v>
      </c>
      <c r="T9805" s="43" t="str">
        <f t="shared" ref="T9805:T9822" si="419">HYPERLINK("https://ictv.global/ictv/proposals/2019.006G.zip","2019.006G.zip")</f>
        <v>2019.006G.zip</v>
      </c>
      <c r="U9805" s="43" t="str">
        <f>HYPERLINK("https://ictv.global/taxonomy/taxondetails?taxnode_id=202206671","ictv.global=202206671")</f>
        <v>ictv.global=202206671</v>
      </c>
    </row>
    <row r="9806" spans="1:21">
      <c r="A9806">
        <v>9805</v>
      </c>
      <c r="B9806" s="29" t="s">
        <v>3223</v>
      </c>
      <c r="C9806" s="29"/>
      <c r="D9806" s="29" t="s">
        <v>4156</v>
      </c>
      <c r="E9806" s="29"/>
      <c r="F9806" s="29" t="s">
        <v>4230</v>
      </c>
      <c r="G9806" s="29"/>
      <c r="H9806" s="29" t="s">
        <v>4337</v>
      </c>
      <c r="I9806" s="29"/>
      <c r="J9806" s="29" t="s">
        <v>4338</v>
      </c>
      <c r="K9806" s="29"/>
      <c r="L9806" s="29" t="s">
        <v>391</v>
      </c>
      <c r="M9806" s="29"/>
      <c r="N9806" s="29" t="s">
        <v>479</v>
      </c>
      <c r="O9806" s="29"/>
      <c r="P9806" s="29" t="s">
        <v>1564</v>
      </c>
      <c r="Q9806" t="s">
        <v>2040</v>
      </c>
      <c r="R9806" t="s">
        <v>2634</v>
      </c>
      <c r="S9806">
        <v>35</v>
      </c>
      <c r="T9806" s="43" t="str">
        <f t="shared" si="419"/>
        <v>2019.006G.zip</v>
      </c>
      <c r="U9806" s="43" t="str">
        <f>HYPERLINK("https://ictv.global/taxonomy/taxondetails?taxnode_id=202204563","ictv.global=202204563")</f>
        <v>ictv.global=202204563</v>
      </c>
    </row>
    <row r="9807" spans="1:21">
      <c r="A9807">
        <v>9806</v>
      </c>
      <c r="B9807" s="29" t="s">
        <v>3223</v>
      </c>
      <c r="C9807" s="29"/>
      <c r="D9807" s="29" t="s">
        <v>4156</v>
      </c>
      <c r="E9807" s="29"/>
      <c r="F9807" s="29" t="s">
        <v>4230</v>
      </c>
      <c r="G9807" s="29"/>
      <c r="H9807" s="29" t="s">
        <v>4337</v>
      </c>
      <c r="I9807" s="29"/>
      <c r="J9807" s="29" t="s">
        <v>4338</v>
      </c>
      <c r="K9807" s="29"/>
      <c r="L9807" s="29" t="s">
        <v>391</v>
      </c>
      <c r="M9807" s="29"/>
      <c r="N9807" s="29" t="s">
        <v>479</v>
      </c>
      <c r="O9807" s="29"/>
      <c r="P9807" s="29" t="s">
        <v>480</v>
      </c>
      <c r="Q9807" t="s">
        <v>2040</v>
      </c>
      <c r="R9807" t="s">
        <v>2634</v>
      </c>
      <c r="S9807">
        <v>35</v>
      </c>
      <c r="T9807" s="43" t="str">
        <f t="shared" si="419"/>
        <v>2019.006G.zip</v>
      </c>
      <c r="U9807" s="43" t="str">
        <f>HYPERLINK("https://ictv.global/taxonomy/taxondetails?taxnode_id=202204564","ictv.global=202204564")</f>
        <v>ictv.global=202204564</v>
      </c>
    </row>
    <row r="9808" spans="1:21">
      <c r="A9808">
        <v>9807</v>
      </c>
      <c r="B9808" s="29" t="s">
        <v>3223</v>
      </c>
      <c r="C9808" s="29"/>
      <c r="D9808" s="29" t="s">
        <v>4156</v>
      </c>
      <c r="E9808" s="29"/>
      <c r="F9808" s="29" t="s">
        <v>4230</v>
      </c>
      <c r="G9808" s="29"/>
      <c r="H9808" s="29" t="s">
        <v>4337</v>
      </c>
      <c r="I9808" s="29"/>
      <c r="J9808" s="29" t="s">
        <v>4338</v>
      </c>
      <c r="K9808" s="29"/>
      <c r="L9808" s="29" t="s">
        <v>391</v>
      </c>
      <c r="M9808" s="29"/>
      <c r="N9808" s="29" t="s">
        <v>479</v>
      </c>
      <c r="O9808" s="29"/>
      <c r="P9808" s="29" t="s">
        <v>1565</v>
      </c>
      <c r="Q9808" t="s">
        <v>2040</v>
      </c>
      <c r="R9808" t="s">
        <v>2634</v>
      </c>
      <c r="S9808">
        <v>35</v>
      </c>
      <c r="T9808" s="43" t="str">
        <f t="shared" si="419"/>
        <v>2019.006G.zip</v>
      </c>
      <c r="U9808" s="43" t="str">
        <f>HYPERLINK("https://ictv.global/taxonomy/taxondetails?taxnode_id=202204565","ictv.global=202204565")</f>
        <v>ictv.global=202204565</v>
      </c>
    </row>
    <row r="9809" spans="1:21">
      <c r="A9809">
        <v>9808</v>
      </c>
      <c r="B9809" s="29" t="s">
        <v>3223</v>
      </c>
      <c r="C9809" s="29"/>
      <c r="D9809" s="29" t="s">
        <v>4156</v>
      </c>
      <c r="E9809" s="29"/>
      <c r="F9809" s="29" t="s">
        <v>4230</v>
      </c>
      <c r="G9809" s="29"/>
      <c r="H9809" s="29" t="s">
        <v>4337</v>
      </c>
      <c r="I9809" s="29"/>
      <c r="J9809" s="29" t="s">
        <v>4338</v>
      </c>
      <c r="K9809" s="29"/>
      <c r="L9809" s="29" t="s">
        <v>391</v>
      </c>
      <c r="M9809" s="29"/>
      <c r="N9809" s="29" t="s">
        <v>479</v>
      </c>
      <c r="O9809" s="29"/>
      <c r="P9809" s="29" t="s">
        <v>481</v>
      </c>
      <c r="Q9809" t="s">
        <v>2040</v>
      </c>
      <c r="R9809" t="s">
        <v>2634</v>
      </c>
      <c r="S9809">
        <v>35</v>
      </c>
      <c r="T9809" s="43" t="str">
        <f t="shared" si="419"/>
        <v>2019.006G.zip</v>
      </c>
      <c r="U9809" s="43" t="str">
        <f>HYPERLINK("https://ictv.global/taxonomy/taxondetails?taxnode_id=202204566","ictv.global=202204566")</f>
        <v>ictv.global=202204566</v>
      </c>
    </row>
    <row r="9810" spans="1:21">
      <c r="A9810">
        <v>9809</v>
      </c>
      <c r="B9810" s="29" t="s">
        <v>3223</v>
      </c>
      <c r="C9810" s="29"/>
      <c r="D9810" s="29" t="s">
        <v>4156</v>
      </c>
      <c r="E9810" s="29"/>
      <c r="F9810" s="29" t="s">
        <v>4230</v>
      </c>
      <c r="G9810" s="29"/>
      <c r="H9810" s="29" t="s">
        <v>4337</v>
      </c>
      <c r="I9810" s="29"/>
      <c r="J9810" s="29" t="s">
        <v>4338</v>
      </c>
      <c r="K9810" s="29"/>
      <c r="L9810" s="29" t="s">
        <v>391</v>
      </c>
      <c r="M9810" s="29"/>
      <c r="N9810" s="29" t="s">
        <v>479</v>
      </c>
      <c r="O9810" s="29"/>
      <c r="P9810" s="29" t="s">
        <v>482</v>
      </c>
      <c r="Q9810" t="s">
        <v>2040</v>
      </c>
      <c r="R9810" t="s">
        <v>2634</v>
      </c>
      <c r="S9810">
        <v>35</v>
      </c>
      <c r="T9810" s="43" t="str">
        <f t="shared" si="419"/>
        <v>2019.006G.zip</v>
      </c>
      <c r="U9810" s="43" t="str">
        <f>HYPERLINK("https://ictv.global/taxonomy/taxondetails?taxnode_id=202204567","ictv.global=202204567")</f>
        <v>ictv.global=202204567</v>
      </c>
    </row>
    <row r="9811" spans="1:21">
      <c r="A9811">
        <v>9810</v>
      </c>
      <c r="B9811" s="29" t="s">
        <v>3223</v>
      </c>
      <c r="C9811" s="29"/>
      <c r="D9811" s="29" t="s">
        <v>4156</v>
      </c>
      <c r="E9811" s="29"/>
      <c r="F9811" s="29" t="s">
        <v>4230</v>
      </c>
      <c r="G9811" s="29"/>
      <c r="H9811" s="29" t="s">
        <v>4337</v>
      </c>
      <c r="I9811" s="29"/>
      <c r="J9811" s="29" t="s">
        <v>4338</v>
      </c>
      <c r="K9811" s="29"/>
      <c r="L9811" s="29" t="s">
        <v>391</v>
      </c>
      <c r="M9811" s="29"/>
      <c r="N9811" s="29" t="s">
        <v>479</v>
      </c>
      <c r="O9811" s="29"/>
      <c r="P9811" s="29" t="s">
        <v>1566</v>
      </c>
      <c r="Q9811" t="s">
        <v>2040</v>
      </c>
      <c r="R9811" t="s">
        <v>2634</v>
      </c>
      <c r="S9811">
        <v>35</v>
      </c>
      <c r="T9811" s="43" t="str">
        <f t="shared" si="419"/>
        <v>2019.006G.zip</v>
      </c>
      <c r="U9811" s="43" t="str">
        <f>HYPERLINK("https://ictv.global/taxonomy/taxondetails?taxnode_id=202204568","ictv.global=202204568")</f>
        <v>ictv.global=202204568</v>
      </c>
    </row>
    <row r="9812" spans="1:21">
      <c r="A9812">
        <v>9811</v>
      </c>
      <c r="B9812" s="29" t="s">
        <v>3223</v>
      </c>
      <c r="C9812" s="29"/>
      <c r="D9812" s="29" t="s">
        <v>4156</v>
      </c>
      <c r="E9812" s="29"/>
      <c r="F9812" s="29" t="s">
        <v>4230</v>
      </c>
      <c r="G9812" s="29"/>
      <c r="H9812" s="29" t="s">
        <v>4337</v>
      </c>
      <c r="I9812" s="29"/>
      <c r="J9812" s="29" t="s">
        <v>4338</v>
      </c>
      <c r="K9812" s="29"/>
      <c r="L9812" s="29" t="s">
        <v>391</v>
      </c>
      <c r="M9812" s="29"/>
      <c r="N9812" s="29" t="s">
        <v>479</v>
      </c>
      <c r="O9812" s="29"/>
      <c r="P9812" s="29" t="s">
        <v>483</v>
      </c>
      <c r="Q9812" t="s">
        <v>2040</v>
      </c>
      <c r="R9812" t="s">
        <v>2634</v>
      </c>
      <c r="S9812">
        <v>35</v>
      </c>
      <c r="T9812" s="43" t="str">
        <f t="shared" si="419"/>
        <v>2019.006G.zip</v>
      </c>
      <c r="U9812" s="43" t="str">
        <f>HYPERLINK("https://ictv.global/taxonomy/taxondetails?taxnode_id=202204569","ictv.global=202204569")</f>
        <v>ictv.global=202204569</v>
      </c>
    </row>
    <row r="9813" spans="1:21">
      <c r="A9813">
        <v>9812</v>
      </c>
      <c r="B9813" s="29" t="s">
        <v>3223</v>
      </c>
      <c r="C9813" s="29"/>
      <c r="D9813" s="29" t="s">
        <v>4156</v>
      </c>
      <c r="E9813" s="29"/>
      <c r="F9813" s="29" t="s">
        <v>4230</v>
      </c>
      <c r="G9813" s="29"/>
      <c r="H9813" s="29" t="s">
        <v>4337</v>
      </c>
      <c r="I9813" s="29"/>
      <c r="J9813" s="29" t="s">
        <v>4338</v>
      </c>
      <c r="K9813" s="29"/>
      <c r="L9813" s="29" t="s">
        <v>391</v>
      </c>
      <c r="M9813" s="29"/>
      <c r="N9813" s="29" t="s">
        <v>479</v>
      </c>
      <c r="O9813" s="29"/>
      <c r="P9813" s="29" t="s">
        <v>484</v>
      </c>
      <c r="Q9813" t="s">
        <v>2040</v>
      </c>
      <c r="R9813" t="s">
        <v>2634</v>
      </c>
      <c r="S9813">
        <v>35</v>
      </c>
      <c r="T9813" s="43" t="str">
        <f t="shared" si="419"/>
        <v>2019.006G.zip</v>
      </c>
      <c r="U9813" s="43" t="str">
        <f>HYPERLINK("https://ictv.global/taxonomy/taxondetails?taxnode_id=202204570","ictv.global=202204570")</f>
        <v>ictv.global=202204570</v>
      </c>
    </row>
    <row r="9814" spans="1:21">
      <c r="A9814">
        <v>9813</v>
      </c>
      <c r="B9814" s="29" t="s">
        <v>3223</v>
      </c>
      <c r="C9814" s="29"/>
      <c r="D9814" s="29" t="s">
        <v>4156</v>
      </c>
      <c r="E9814" s="29"/>
      <c r="F9814" s="29" t="s">
        <v>4230</v>
      </c>
      <c r="G9814" s="29"/>
      <c r="H9814" s="29" t="s">
        <v>4337</v>
      </c>
      <c r="I9814" s="29"/>
      <c r="J9814" s="29" t="s">
        <v>4338</v>
      </c>
      <c r="K9814" s="29"/>
      <c r="L9814" s="29" t="s">
        <v>391</v>
      </c>
      <c r="M9814" s="29"/>
      <c r="N9814" s="29" t="s">
        <v>479</v>
      </c>
      <c r="O9814" s="29"/>
      <c r="P9814" s="29" t="s">
        <v>1586</v>
      </c>
      <c r="Q9814" t="s">
        <v>2040</v>
      </c>
      <c r="R9814" t="s">
        <v>2634</v>
      </c>
      <c r="S9814">
        <v>35</v>
      </c>
      <c r="T9814" s="43" t="str">
        <f t="shared" si="419"/>
        <v>2019.006G.zip</v>
      </c>
      <c r="U9814" s="43" t="str">
        <f>HYPERLINK("https://ictv.global/taxonomy/taxondetails?taxnode_id=202204571","ictv.global=202204571")</f>
        <v>ictv.global=202204571</v>
      </c>
    </row>
    <row r="9815" spans="1:21">
      <c r="A9815">
        <v>9814</v>
      </c>
      <c r="B9815" s="29" t="s">
        <v>3223</v>
      </c>
      <c r="C9815" s="29"/>
      <c r="D9815" s="29" t="s">
        <v>4156</v>
      </c>
      <c r="E9815" s="29"/>
      <c r="F9815" s="29" t="s">
        <v>4230</v>
      </c>
      <c r="G9815" s="29"/>
      <c r="H9815" s="29" t="s">
        <v>4337</v>
      </c>
      <c r="I9815" s="29"/>
      <c r="J9815" s="29" t="s">
        <v>4338</v>
      </c>
      <c r="K9815" s="29"/>
      <c r="L9815" s="29" t="s">
        <v>391</v>
      </c>
      <c r="M9815" s="29"/>
      <c r="N9815" s="29" t="s">
        <v>479</v>
      </c>
      <c r="O9815" s="29"/>
      <c r="P9815" s="29" t="s">
        <v>486</v>
      </c>
      <c r="Q9815" t="s">
        <v>2040</v>
      </c>
      <c r="R9815" t="s">
        <v>2634</v>
      </c>
      <c r="S9815">
        <v>35</v>
      </c>
      <c r="T9815" s="43" t="str">
        <f t="shared" si="419"/>
        <v>2019.006G.zip</v>
      </c>
      <c r="U9815" s="43" t="str">
        <f>HYPERLINK("https://ictv.global/taxonomy/taxondetails?taxnode_id=202204572","ictv.global=202204572")</f>
        <v>ictv.global=202204572</v>
      </c>
    </row>
    <row r="9816" spans="1:21">
      <c r="A9816">
        <v>9815</v>
      </c>
      <c r="B9816" s="29" t="s">
        <v>3223</v>
      </c>
      <c r="C9816" s="29"/>
      <c r="D9816" s="29" t="s">
        <v>4156</v>
      </c>
      <c r="E9816" s="29"/>
      <c r="F9816" s="29" t="s">
        <v>4230</v>
      </c>
      <c r="G9816" s="29"/>
      <c r="H9816" s="29" t="s">
        <v>4337</v>
      </c>
      <c r="I9816" s="29"/>
      <c r="J9816" s="29" t="s">
        <v>4338</v>
      </c>
      <c r="K9816" s="29"/>
      <c r="L9816" s="29" t="s">
        <v>391</v>
      </c>
      <c r="M9816" s="29"/>
      <c r="N9816" s="29" t="s">
        <v>479</v>
      </c>
      <c r="O9816" s="29"/>
      <c r="P9816" s="29" t="s">
        <v>487</v>
      </c>
      <c r="Q9816" t="s">
        <v>2040</v>
      </c>
      <c r="R9816" t="s">
        <v>2634</v>
      </c>
      <c r="S9816">
        <v>35</v>
      </c>
      <c r="T9816" s="43" t="str">
        <f t="shared" si="419"/>
        <v>2019.006G.zip</v>
      </c>
      <c r="U9816" s="43" t="str">
        <f>HYPERLINK("https://ictv.global/taxonomy/taxondetails?taxnode_id=202204573","ictv.global=202204573")</f>
        <v>ictv.global=202204573</v>
      </c>
    </row>
    <row r="9817" spans="1:21">
      <c r="A9817">
        <v>9816</v>
      </c>
      <c r="B9817" s="29" t="s">
        <v>3223</v>
      </c>
      <c r="C9817" s="29"/>
      <c r="D9817" s="29" t="s">
        <v>4156</v>
      </c>
      <c r="E9817" s="29"/>
      <c r="F9817" s="29" t="s">
        <v>4230</v>
      </c>
      <c r="G9817" s="29"/>
      <c r="H9817" s="29" t="s">
        <v>4337</v>
      </c>
      <c r="I9817" s="29"/>
      <c r="J9817" s="29" t="s">
        <v>4338</v>
      </c>
      <c r="K9817" s="29"/>
      <c r="L9817" s="29" t="s">
        <v>391</v>
      </c>
      <c r="M9817" s="29"/>
      <c r="N9817" s="29" t="s">
        <v>479</v>
      </c>
      <c r="O9817" s="29"/>
      <c r="P9817" s="29" t="s">
        <v>2961</v>
      </c>
      <c r="Q9817" t="s">
        <v>2040</v>
      </c>
      <c r="R9817" t="s">
        <v>2634</v>
      </c>
      <c r="S9817">
        <v>35</v>
      </c>
      <c r="T9817" s="43" t="str">
        <f t="shared" si="419"/>
        <v>2019.006G.zip</v>
      </c>
      <c r="U9817" s="43" t="str">
        <f>HYPERLINK("https://ictv.global/taxonomy/taxondetails?taxnode_id=202205918","ictv.global=202205918")</f>
        <v>ictv.global=202205918</v>
      </c>
    </row>
    <row r="9818" spans="1:21">
      <c r="A9818">
        <v>9817</v>
      </c>
      <c r="B9818" s="29" t="s">
        <v>3223</v>
      </c>
      <c r="C9818" s="29"/>
      <c r="D9818" s="29" t="s">
        <v>4156</v>
      </c>
      <c r="E9818" s="29"/>
      <c r="F9818" s="29" t="s">
        <v>4230</v>
      </c>
      <c r="G9818" s="29"/>
      <c r="H9818" s="29" t="s">
        <v>4337</v>
      </c>
      <c r="I9818" s="29"/>
      <c r="J9818" s="29" t="s">
        <v>4338</v>
      </c>
      <c r="K9818" s="29"/>
      <c r="L9818" s="29" t="s">
        <v>391</v>
      </c>
      <c r="M9818" s="29"/>
      <c r="N9818" s="29" t="s">
        <v>479</v>
      </c>
      <c r="O9818" s="29"/>
      <c r="P9818" s="29" t="s">
        <v>488</v>
      </c>
      <c r="Q9818" t="s">
        <v>2040</v>
      </c>
      <c r="R9818" t="s">
        <v>2634</v>
      </c>
      <c r="S9818">
        <v>35</v>
      </c>
      <c r="T9818" s="43" t="str">
        <f t="shared" si="419"/>
        <v>2019.006G.zip</v>
      </c>
      <c r="U9818" s="43" t="str">
        <f>HYPERLINK("https://ictv.global/taxonomy/taxondetails?taxnode_id=202204574","ictv.global=202204574")</f>
        <v>ictv.global=202204574</v>
      </c>
    </row>
    <row r="9819" spans="1:21">
      <c r="A9819">
        <v>9818</v>
      </c>
      <c r="B9819" s="29" t="s">
        <v>3223</v>
      </c>
      <c r="C9819" s="29"/>
      <c r="D9819" s="29" t="s">
        <v>4156</v>
      </c>
      <c r="E9819" s="29"/>
      <c r="F9819" s="29" t="s">
        <v>4230</v>
      </c>
      <c r="G9819" s="29"/>
      <c r="H9819" s="29" t="s">
        <v>4337</v>
      </c>
      <c r="I9819" s="29"/>
      <c r="J9819" s="29" t="s">
        <v>4338</v>
      </c>
      <c r="K9819" s="29"/>
      <c r="L9819" s="29" t="s">
        <v>391</v>
      </c>
      <c r="M9819" s="29"/>
      <c r="N9819" s="29" t="s">
        <v>479</v>
      </c>
      <c r="O9819" s="29"/>
      <c r="P9819" s="29" t="s">
        <v>489</v>
      </c>
      <c r="Q9819" t="s">
        <v>2040</v>
      </c>
      <c r="R9819" t="s">
        <v>2634</v>
      </c>
      <c r="S9819">
        <v>35</v>
      </c>
      <c r="T9819" s="43" t="str">
        <f t="shared" si="419"/>
        <v>2019.006G.zip</v>
      </c>
      <c r="U9819" s="43" t="str">
        <f>HYPERLINK("https://ictv.global/taxonomy/taxondetails?taxnode_id=202204575","ictv.global=202204575")</f>
        <v>ictv.global=202204575</v>
      </c>
    </row>
    <row r="9820" spans="1:21">
      <c r="A9820">
        <v>9819</v>
      </c>
      <c r="B9820" s="29" t="s">
        <v>3223</v>
      </c>
      <c r="C9820" s="29"/>
      <c r="D9820" s="29" t="s">
        <v>4156</v>
      </c>
      <c r="E9820" s="29"/>
      <c r="F9820" s="29" t="s">
        <v>4230</v>
      </c>
      <c r="G9820" s="29"/>
      <c r="H9820" s="29" t="s">
        <v>4337</v>
      </c>
      <c r="I9820" s="29"/>
      <c r="J9820" s="29" t="s">
        <v>4338</v>
      </c>
      <c r="K9820" s="29"/>
      <c r="L9820" s="29" t="s">
        <v>391</v>
      </c>
      <c r="M9820" s="29"/>
      <c r="N9820" s="29" t="s">
        <v>479</v>
      </c>
      <c r="O9820" s="29"/>
      <c r="P9820" s="29" t="s">
        <v>490</v>
      </c>
      <c r="Q9820" t="s">
        <v>2040</v>
      </c>
      <c r="R9820" t="s">
        <v>2634</v>
      </c>
      <c r="S9820">
        <v>35</v>
      </c>
      <c r="T9820" s="43" t="str">
        <f t="shared" si="419"/>
        <v>2019.006G.zip</v>
      </c>
      <c r="U9820" s="43" t="str">
        <f>HYPERLINK("https://ictv.global/taxonomy/taxondetails?taxnode_id=202204576","ictv.global=202204576")</f>
        <v>ictv.global=202204576</v>
      </c>
    </row>
    <row r="9821" spans="1:21">
      <c r="A9821">
        <v>9820</v>
      </c>
      <c r="B9821" s="29" t="s">
        <v>3223</v>
      </c>
      <c r="C9821" s="29"/>
      <c r="D9821" s="29" t="s">
        <v>4156</v>
      </c>
      <c r="E9821" s="29"/>
      <c r="F9821" s="29" t="s">
        <v>4230</v>
      </c>
      <c r="G9821" s="29"/>
      <c r="H9821" s="29" t="s">
        <v>4337</v>
      </c>
      <c r="I9821" s="29"/>
      <c r="J9821" s="29" t="s">
        <v>4338</v>
      </c>
      <c r="K9821" s="29"/>
      <c r="L9821" s="29" t="s">
        <v>391</v>
      </c>
      <c r="M9821" s="29"/>
      <c r="N9821" s="29" t="s">
        <v>479</v>
      </c>
      <c r="O9821" s="29"/>
      <c r="P9821" s="29" t="s">
        <v>491</v>
      </c>
      <c r="Q9821" t="s">
        <v>2040</v>
      </c>
      <c r="R9821" t="s">
        <v>2634</v>
      </c>
      <c r="S9821">
        <v>35</v>
      </c>
      <c r="T9821" s="43" t="str">
        <f t="shared" si="419"/>
        <v>2019.006G.zip</v>
      </c>
      <c r="U9821" s="43" t="str">
        <f>HYPERLINK("https://ictv.global/taxonomy/taxondetails?taxnode_id=202204577","ictv.global=202204577")</f>
        <v>ictv.global=202204577</v>
      </c>
    </row>
    <row r="9822" spans="1:21">
      <c r="A9822">
        <v>9821</v>
      </c>
      <c r="B9822" s="29" t="s">
        <v>3223</v>
      </c>
      <c r="C9822" s="29"/>
      <c r="D9822" s="29" t="s">
        <v>4156</v>
      </c>
      <c r="E9822" s="29"/>
      <c r="F9822" s="29" t="s">
        <v>4230</v>
      </c>
      <c r="G9822" s="29"/>
      <c r="H9822" s="29" t="s">
        <v>4337</v>
      </c>
      <c r="I9822" s="29"/>
      <c r="J9822" s="29" t="s">
        <v>4338</v>
      </c>
      <c r="K9822" s="29"/>
      <c r="L9822" s="29" t="s">
        <v>391</v>
      </c>
      <c r="M9822" s="29"/>
      <c r="N9822" s="29" t="s">
        <v>479</v>
      </c>
      <c r="O9822" s="29"/>
      <c r="P9822" s="29" t="s">
        <v>492</v>
      </c>
      <c r="Q9822" t="s">
        <v>2040</v>
      </c>
      <c r="R9822" t="s">
        <v>2634</v>
      </c>
      <c r="S9822">
        <v>35</v>
      </c>
      <c r="T9822" s="43" t="str">
        <f t="shared" si="419"/>
        <v>2019.006G.zip</v>
      </c>
      <c r="U9822" s="43" t="str">
        <f>HYPERLINK("https://ictv.global/taxonomy/taxondetails?taxnode_id=202204578","ictv.global=202204578")</f>
        <v>ictv.global=202204578</v>
      </c>
    </row>
    <row r="9823" spans="1:21">
      <c r="A9823">
        <v>9822</v>
      </c>
      <c r="B9823" s="29" t="s">
        <v>3223</v>
      </c>
      <c r="C9823" s="29"/>
      <c r="D9823" s="29" t="s">
        <v>4156</v>
      </c>
      <c r="E9823" s="29"/>
      <c r="F9823" s="29" t="s">
        <v>4230</v>
      </c>
      <c r="G9823" s="29"/>
      <c r="H9823" s="29" t="s">
        <v>4337</v>
      </c>
      <c r="I9823" s="29"/>
      <c r="J9823" s="29" t="s">
        <v>4338</v>
      </c>
      <c r="K9823" s="29"/>
      <c r="L9823" s="29" t="s">
        <v>391</v>
      </c>
      <c r="M9823" s="29"/>
      <c r="N9823" s="29" t="s">
        <v>479</v>
      </c>
      <c r="O9823" s="29"/>
      <c r="P9823" s="29" t="s">
        <v>6707</v>
      </c>
      <c r="Q9823" t="s">
        <v>2040</v>
      </c>
      <c r="R9823" t="s">
        <v>2632</v>
      </c>
      <c r="S9823">
        <v>36</v>
      </c>
      <c r="T9823" s="43" t="str">
        <f>HYPERLINK("https://ictv.global/ictv/proposals/2020.024P.R.Potyviridae_7nsp.zip","2020.024P.R.Potyviridae_7nsp.zip")</f>
        <v>2020.024P.R.Potyviridae_7nsp.zip</v>
      </c>
      <c r="U9823" s="43" t="str">
        <f>HYPERLINK("https://ictv.global/taxonomy/taxondetails?taxnode_id=202209669","ictv.global=202209669")</f>
        <v>ictv.global=202209669</v>
      </c>
    </row>
    <row r="9824" spans="1:21">
      <c r="A9824">
        <v>9823</v>
      </c>
      <c r="B9824" s="29" t="s">
        <v>3223</v>
      </c>
      <c r="C9824" s="29"/>
      <c r="D9824" s="29" t="s">
        <v>4156</v>
      </c>
      <c r="E9824" s="29"/>
      <c r="F9824" s="29" t="s">
        <v>4230</v>
      </c>
      <c r="G9824" s="29"/>
      <c r="H9824" s="29" t="s">
        <v>4337</v>
      </c>
      <c r="I9824" s="29"/>
      <c r="J9824" s="29" t="s">
        <v>4338</v>
      </c>
      <c r="K9824" s="29"/>
      <c r="L9824" s="29" t="s">
        <v>391</v>
      </c>
      <c r="M9824" s="29"/>
      <c r="N9824" s="29" t="s">
        <v>479</v>
      </c>
      <c r="O9824" s="29"/>
      <c r="P9824" s="29" t="s">
        <v>1999</v>
      </c>
      <c r="Q9824" t="s">
        <v>2040</v>
      </c>
      <c r="R9824" t="s">
        <v>2634</v>
      </c>
      <c r="S9824">
        <v>35</v>
      </c>
      <c r="T9824" s="43" t="str">
        <f t="shared" ref="T9824:T9847" si="420">HYPERLINK("https://ictv.global/ictv/proposals/2019.006G.zip","2019.006G.zip")</f>
        <v>2019.006G.zip</v>
      </c>
      <c r="U9824" s="43" t="str">
        <f>HYPERLINK("https://ictv.global/taxonomy/taxondetails?taxnode_id=202204579","ictv.global=202204579")</f>
        <v>ictv.global=202204579</v>
      </c>
    </row>
    <row r="9825" spans="1:21">
      <c r="A9825">
        <v>9824</v>
      </c>
      <c r="B9825" s="29" t="s">
        <v>3223</v>
      </c>
      <c r="C9825" s="29"/>
      <c r="D9825" s="29" t="s">
        <v>4156</v>
      </c>
      <c r="E9825" s="29"/>
      <c r="F9825" s="29" t="s">
        <v>4230</v>
      </c>
      <c r="G9825" s="29"/>
      <c r="H9825" s="29" t="s">
        <v>4337</v>
      </c>
      <c r="I9825" s="29"/>
      <c r="J9825" s="29" t="s">
        <v>4338</v>
      </c>
      <c r="K9825" s="29"/>
      <c r="L9825" s="29" t="s">
        <v>391</v>
      </c>
      <c r="M9825" s="29"/>
      <c r="N9825" s="29" t="s">
        <v>479</v>
      </c>
      <c r="O9825" s="29"/>
      <c r="P9825" s="29" t="s">
        <v>493</v>
      </c>
      <c r="Q9825" t="s">
        <v>2040</v>
      </c>
      <c r="R9825" t="s">
        <v>2634</v>
      </c>
      <c r="S9825">
        <v>35</v>
      </c>
      <c r="T9825" s="43" t="str">
        <f t="shared" si="420"/>
        <v>2019.006G.zip</v>
      </c>
      <c r="U9825" s="43" t="str">
        <f>HYPERLINK("https://ictv.global/taxonomy/taxondetails?taxnode_id=202204580","ictv.global=202204580")</f>
        <v>ictv.global=202204580</v>
      </c>
    </row>
    <row r="9826" spans="1:21">
      <c r="A9826">
        <v>9825</v>
      </c>
      <c r="B9826" s="29" t="s">
        <v>3223</v>
      </c>
      <c r="C9826" s="29"/>
      <c r="D9826" s="29" t="s">
        <v>4156</v>
      </c>
      <c r="E9826" s="29"/>
      <c r="F9826" s="29" t="s">
        <v>4230</v>
      </c>
      <c r="G9826" s="29"/>
      <c r="H9826" s="29" t="s">
        <v>4337</v>
      </c>
      <c r="I9826" s="29"/>
      <c r="J9826" s="29" t="s">
        <v>4338</v>
      </c>
      <c r="K9826" s="29"/>
      <c r="L9826" s="29" t="s">
        <v>391</v>
      </c>
      <c r="M9826" s="29"/>
      <c r="N9826" s="29" t="s">
        <v>479</v>
      </c>
      <c r="O9826" s="29"/>
      <c r="P9826" s="29" t="s">
        <v>2000</v>
      </c>
      <c r="Q9826" t="s">
        <v>2040</v>
      </c>
      <c r="R9826" t="s">
        <v>2634</v>
      </c>
      <c r="S9826">
        <v>35</v>
      </c>
      <c r="T9826" s="43" t="str">
        <f t="shared" si="420"/>
        <v>2019.006G.zip</v>
      </c>
      <c r="U9826" s="43" t="str">
        <f>HYPERLINK("https://ictv.global/taxonomy/taxondetails?taxnode_id=202204581","ictv.global=202204581")</f>
        <v>ictv.global=202204581</v>
      </c>
    </row>
    <row r="9827" spans="1:21">
      <c r="A9827">
        <v>9826</v>
      </c>
      <c r="B9827" s="29" t="s">
        <v>3223</v>
      </c>
      <c r="C9827" s="29"/>
      <c r="D9827" s="29" t="s">
        <v>4156</v>
      </c>
      <c r="E9827" s="29"/>
      <c r="F9827" s="29" t="s">
        <v>4230</v>
      </c>
      <c r="G9827" s="29"/>
      <c r="H9827" s="29" t="s">
        <v>4337</v>
      </c>
      <c r="I9827" s="29"/>
      <c r="J9827" s="29" t="s">
        <v>4338</v>
      </c>
      <c r="K9827" s="29"/>
      <c r="L9827" s="29" t="s">
        <v>391</v>
      </c>
      <c r="M9827" s="29"/>
      <c r="N9827" s="29" t="s">
        <v>479</v>
      </c>
      <c r="O9827" s="29"/>
      <c r="P9827" s="29" t="s">
        <v>2001</v>
      </c>
      <c r="Q9827" t="s">
        <v>2040</v>
      </c>
      <c r="R9827" t="s">
        <v>2634</v>
      </c>
      <c r="S9827">
        <v>35</v>
      </c>
      <c r="T9827" s="43" t="str">
        <f t="shared" si="420"/>
        <v>2019.006G.zip</v>
      </c>
      <c r="U9827" s="43" t="str">
        <f>HYPERLINK("https://ictv.global/taxonomy/taxondetails?taxnode_id=202204582","ictv.global=202204582")</f>
        <v>ictv.global=202204582</v>
      </c>
    </row>
    <row r="9828" spans="1:21">
      <c r="A9828">
        <v>9827</v>
      </c>
      <c r="B9828" s="29" t="s">
        <v>3223</v>
      </c>
      <c r="C9828" s="29"/>
      <c r="D9828" s="29" t="s">
        <v>4156</v>
      </c>
      <c r="E9828" s="29"/>
      <c r="F9828" s="29" t="s">
        <v>4230</v>
      </c>
      <c r="G9828" s="29"/>
      <c r="H9828" s="29" t="s">
        <v>4337</v>
      </c>
      <c r="I9828" s="29"/>
      <c r="J9828" s="29" t="s">
        <v>4338</v>
      </c>
      <c r="K9828" s="29"/>
      <c r="L9828" s="29" t="s">
        <v>391</v>
      </c>
      <c r="M9828" s="29"/>
      <c r="N9828" s="29" t="s">
        <v>479</v>
      </c>
      <c r="O9828" s="29"/>
      <c r="P9828" s="29" t="s">
        <v>1587</v>
      </c>
      <c r="Q9828" t="s">
        <v>2040</v>
      </c>
      <c r="R9828" t="s">
        <v>2634</v>
      </c>
      <c r="S9828">
        <v>35</v>
      </c>
      <c r="T9828" s="43" t="str">
        <f t="shared" si="420"/>
        <v>2019.006G.zip</v>
      </c>
      <c r="U9828" s="43" t="str">
        <f>HYPERLINK("https://ictv.global/taxonomy/taxondetails?taxnode_id=202204583","ictv.global=202204583")</f>
        <v>ictv.global=202204583</v>
      </c>
    </row>
    <row r="9829" spans="1:21">
      <c r="A9829">
        <v>9828</v>
      </c>
      <c r="B9829" s="29" t="s">
        <v>3223</v>
      </c>
      <c r="C9829" s="29"/>
      <c r="D9829" s="29" t="s">
        <v>4156</v>
      </c>
      <c r="E9829" s="29"/>
      <c r="F9829" s="29" t="s">
        <v>4230</v>
      </c>
      <c r="G9829" s="29"/>
      <c r="H9829" s="29" t="s">
        <v>4337</v>
      </c>
      <c r="I9829" s="29"/>
      <c r="J9829" s="29" t="s">
        <v>4338</v>
      </c>
      <c r="K9829" s="29"/>
      <c r="L9829" s="29" t="s">
        <v>391</v>
      </c>
      <c r="M9829" s="29"/>
      <c r="N9829" s="29" t="s">
        <v>479</v>
      </c>
      <c r="O9829" s="29"/>
      <c r="P9829" s="29" t="s">
        <v>1567</v>
      </c>
      <c r="Q9829" t="s">
        <v>2040</v>
      </c>
      <c r="R9829" t="s">
        <v>2634</v>
      </c>
      <c r="S9829">
        <v>35</v>
      </c>
      <c r="T9829" s="43" t="str">
        <f t="shared" si="420"/>
        <v>2019.006G.zip</v>
      </c>
      <c r="U9829" s="43" t="str">
        <f>HYPERLINK("https://ictv.global/taxonomy/taxondetails?taxnode_id=202204584","ictv.global=202204584")</f>
        <v>ictv.global=202204584</v>
      </c>
    </row>
    <row r="9830" spans="1:21">
      <c r="A9830">
        <v>9829</v>
      </c>
      <c r="B9830" s="29" t="s">
        <v>3223</v>
      </c>
      <c r="C9830" s="29"/>
      <c r="D9830" s="29" t="s">
        <v>4156</v>
      </c>
      <c r="E9830" s="29"/>
      <c r="F9830" s="29" t="s">
        <v>4230</v>
      </c>
      <c r="G9830" s="29"/>
      <c r="H9830" s="29" t="s">
        <v>4337</v>
      </c>
      <c r="I9830" s="29"/>
      <c r="J9830" s="29" t="s">
        <v>4338</v>
      </c>
      <c r="K9830" s="29"/>
      <c r="L9830" s="29" t="s">
        <v>391</v>
      </c>
      <c r="M9830" s="29"/>
      <c r="N9830" s="29" t="s">
        <v>479</v>
      </c>
      <c r="O9830" s="29"/>
      <c r="P9830" s="29" t="s">
        <v>1169</v>
      </c>
      <c r="Q9830" t="s">
        <v>2040</v>
      </c>
      <c r="R9830" t="s">
        <v>2634</v>
      </c>
      <c r="S9830">
        <v>35</v>
      </c>
      <c r="T9830" s="43" t="str">
        <f t="shared" si="420"/>
        <v>2019.006G.zip</v>
      </c>
      <c r="U9830" s="43" t="str">
        <f>HYPERLINK("https://ictv.global/taxonomy/taxondetails?taxnode_id=202204585","ictv.global=202204585")</f>
        <v>ictv.global=202204585</v>
      </c>
    </row>
    <row r="9831" spans="1:21">
      <c r="A9831">
        <v>9830</v>
      </c>
      <c r="B9831" s="29" t="s">
        <v>3223</v>
      </c>
      <c r="C9831" s="29"/>
      <c r="D9831" s="29" t="s">
        <v>4156</v>
      </c>
      <c r="E9831" s="29"/>
      <c r="F9831" s="29" t="s">
        <v>4230</v>
      </c>
      <c r="G9831" s="29"/>
      <c r="H9831" s="29" t="s">
        <v>4337</v>
      </c>
      <c r="I9831" s="29"/>
      <c r="J9831" s="29" t="s">
        <v>4338</v>
      </c>
      <c r="K9831" s="29"/>
      <c r="L9831" s="29" t="s">
        <v>391</v>
      </c>
      <c r="M9831" s="29"/>
      <c r="N9831" s="29" t="s">
        <v>479</v>
      </c>
      <c r="O9831" s="29"/>
      <c r="P9831" s="29" t="s">
        <v>2002</v>
      </c>
      <c r="Q9831" t="s">
        <v>2040</v>
      </c>
      <c r="R9831" t="s">
        <v>2634</v>
      </c>
      <c r="S9831">
        <v>35</v>
      </c>
      <c r="T9831" s="43" t="str">
        <f t="shared" si="420"/>
        <v>2019.006G.zip</v>
      </c>
      <c r="U9831" s="43" t="str">
        <f>HYPERLINK("https://ictv.global/taxonomy/taxondetails?taxnode_id=202204586","ictv.global=202204586")</f>
        <v>ictv.global=202204586</v>
      </c>
    </row>
    <row r="9832" spans="1:21">
      <c r="A9832">
        <v>9831</v>
      </c>
      <c r="B9832" s="29" t="s">
        <v>3223</v>
      </c>
      <c r="C9832" s="29"/>
      <c r="D9832" s="29" t="s">
        <v>4156</v>
      </c>
      <c r="E9832" s="29"/>
      <c r="F9832" s="29" t="s">
        <v>4230</v>
      </c>
      <c r="G9832" s="29"/>
      <c r="H9832" s="29" t="s">
        <v>4337</v>
      </c>
      <c r="I9832" s="29"/>
      <c r="J9832" s="29" t="s">
        <v>4338</v>
      </c>
      <c r="K9832" s="29"/>
      <c r="L9832" s="29" t="s">
        <v>391</v>
      </c>
      <c r="M9832" s="29"/>
      <c r="N9832" s="29" t="s">
        <v>479</v>
      </c>
      <c r="O9832" s="29"/>
      <c r="P9832" s="29" t="s">
        <v>2962</v>
      </c>
      <c r="Q9832" t="s">
        <v>2040</v>
      </c>
      <c r="R9832" t="s">
        <v>2634</v>
      </c>
      <c r="S9832">
        <v>35</v>
      </c>
      <c r="T9832" s="43" t="str">
        <f t="shared" si="420"/>
        <v>2019.006G.zip</v>
      </c>
      <c r="U9832" s="43" t="str">
        <f>HYPERLINK("https://ictv.global/taxonomy/taxondetails?taxnode_id=202205919","ictv.global=202205919")</f>
        <v>ictv.global=202205919</v>
      </c>
    </row>
    <row r="9833" spans="1:21">
      <c r="A9833">
        <v>9832</v>
      </c>
      <c r="B9833" s="29" t="s">
        <v>3223</v>
      </c>
      <c r="C9833" s="29"/>
      <c r="D9833" s="29" t="s">
        <v>4156</v>
      </c>
      <c r="E9833" s="29"/>
      <c r="F9833" s="29" t="s">
        <v>4230</v>
      </c>
      <c r="G9833" s="29"/>
      <c r="H9833" s="29" t="s">
        <v>4337</v>
      </c>
      <c r="I9833" s="29"/>
      <c r="J9833" s="29" t="s">
        <v>4338</v>
      </c>
      <c r="K9833" s="29"/>
      <c r="L9833" s="29" t="s">
        <v>391</v>
      </c>
      <c r="M9833" s="29"/>
      <c r="N9833" s="29" t="s">
        <v>479</v>
      </c>
      <c r="O9833" s="29"/>
      <c r="P9833" s="29" t="s">
        <v>1568</v>
      </c>
      <c r="Q9833" t="s">
        <v>2040</v>
      </c>
      <c r="R9833" t="s">
        <v>2634</v>
      </c>
      <c r="S9833">
        <v>35</v>
      </c>
      <c r="T9833" s="43" t="str">
        <f t="shared" si="420"/>
        <v>2019.006G.zip</v>
      </c>
      <c r="U9833" s="43" t="str">
        <f>HYPERLINK("https://ictv.global/taxonomy/taxondetails?taxnode_id=202204587","ictv.global=202204587")</f>
        <v>ictv.global=202204587</v>
      </c>
    </row>
    <row r="9834" spans="1:21">
      <c r="A9834">
        <v>9833</v>
      </c>
      <c r="B9834" s="29" t="s">
        <v>3223</v>
      </c>
      <c r="C9834" s="29"/>
      <c r="D9834" s="29" t="s">
        <v>4156</v>
      </c>
      <c r="E9834" s="29"/>
      <c r="F9834" s="29" t="s">
        <v>4230</v>
      </c>
      <c r="G9834" s="29"/>
      <c r="H9834" s="29" t="s">
        <v>4337</v>
      </c>
      <c r="I9834" s="29"/>
      <c r="J9834" s="29" t="s">
        <v>4338</v>
      </c>
      <c r="K9834" s="29"/>
      <c r="L9834" s="29" t="s">
        <v>391</v>
      </c>
      <c r="M9834" s="29"/>
      <c r="N9834" s="29" t="s">
        <v>479</v>
      </c>
      <c r="O9834" s="29"/>
      <c r="P9834" s="29" t="s">
        <v>1170</v>
      </c>
      <c r="Q9834" t="s">
        <v>2040</v>
      </c>
      <c r="R9834" t="s">
        <v>2634</v>
      </c>
      <c r="S9834">
        <v>35</v>
      </c>
      <c r="T9834" s="43" t="str">
        <f t="shared" si="420"/>
        <v>2019.006G.zip</v>
      </c>
      <c r="U9834" s="43" t="str">
        <f>HYPERLINK("https://ictv.global/taxonomy/taxondetails?taxnode_id=202204588","ictv.global=202204588")</f>
        <v>ictv.global=202204588</v>
      </c>
    </row>
    <row r="9835" spans="1:21">
      <c r="A9835">
        <v>9834</v>
      </c>
      <c r="B9835" s="29" t="s">
        <v>3223</v>
      </c>
      <c r="C9835" s="29"/>
      <c r="D9835" s="29" t="s">
        <v>4156</v>
      </c>
      <c r="E9835" s="29"/>
      <c r="F9835" s="29" t="s">
        <v>4230</v>
      </c>
      <c r="G9835" s="29"/>
      <c r="H9835" s="29" t="s">
        <v>4337</v>
      </c>
      <c r="I9835" s="29"/>
      <c r="J9835" s="29" t="s">
        <v>4338</v>
      </c>
      <c r="K9835" s="29"/>
      <c r="L9835" s="29" t="s">
        <v>391</v>
      </c>
      <c r="M9835" s="29"/>
      <c r="N9835" s="29" t="s">
        <v>479</v>
      </c>
      <c r="O9835" s="29"/>
      <c r="P9835" s="29" t="s">
        <v>1171</v>
      </c>
      <c r="Q9835" t="s">
        <v>2040</v>
      </c>
      <c r="R9835" t="s">
        <v>2634</v>
      </c>
      <c r="S9835">
        <v>35</v>
      </c>
      <c r="T9835" s="43" t="str">
        <f t="shared" si="420"/>
        <v>2019.006G.zip</v>
      </c>
      <c r="U9835" s="43" t="str">
        <f>HYPERLINK("https://ictv.global/taxonomy/taxondetails?taxnode_id=202204589","ictv.global=202204589")</f>
        <v>ictv.global=202204589</v>
      </c>
    </row>
    <row r="9836" spans="1:21">
      <c r="A9836">
        <v>9835</v>
      </c>
      <c r="B9836" s="29" t="s">
        <v>3223</v>
      </c>
      <c r="C9836" s="29"/>
      <c r="D9836" s="29" t="s">
        <v>4156</v>
      </c>
      <c r="E9836" s="29"/>
      <c r="F9836" s="29" t="s">
        <v>4230</v>
      </c>
      <c r="G9836" s="29"/>
      <c r="H9836" s="29" t="s">
        <v>4337</v>
      </c>
      <c r="I9836" s="29"/>
      <c r="J9836" s="29" t="s">
        <v>4338</v>
      </c>
      <c r="K9836" s="29"/>
      <c r="L9836" s="29" t="s">
        <v>391</v>
      </c>
      <c r="M9836" s="29"/>
      <c r="N9836" s="29" t="s">
        <v>479</v>
      </c>
      <c r="O9836" s="29"/>
      <c r="P9836" s="29" t="s">
        <v>1172</v>
      </c>
      <c r="Q9836" t="s">
        <v>2040</v>
      </c>
      <c r="R9836" t="s">
        <v>2634</v>
      </c>
      <c r="S9836">
        <v>35</v>
      </c>
      <c r="T9836" s="43" t="str">
        <f t="shared" si="420"/>
        <v>2019.006G.zip</v>
      </c>
      <c r="U9836" s="43" t="str">
        <f>HYPERLINK("https://ictv.global/taxonomy/taxondetails?taxnode_id=202204590","ictv.global=202204590")</f>
        <v>ictv.global=202204590</v>
      </c>
    </row>
    <row r="9837" spans="1:21">
      <c r="A9837">
        <v>9836</v>
      </c>
      <c r="B9837" s="29" t="s">
        <v>3223</v>
      </c>
      <c r="C9837" s="29"/>
      <c r="D9837" s="29" t="s">
        <v>4156</v>
      </c>
      <c r="E9837" s="29"/>
      <c r="F9837" s="29" t="s">
        <v>4230</v>
      </c>
      <c r="G9837" s="29"/>
      <c r="H9837" s="29" t="s">
        <v>4337</v>
      </c>
      <c r="I9837" s="29"/>
      <c r="J9837" s="29" t="s">
        <v>4338</v>
      </c>
      <c r="K9837" s="29"/>
      <c r="L9837" s="29" t="s">
        <v>391</v>
      </c>
      <c r="M9837" s="29"/>
      <c r="N9837" s="29" t="s">
        <v>479</v>
      </c>
      <c r="O9837" s="29"/>
      <c r="P9837" s="29" t="s">
        <v>2319</v>
      </c>
      <c r="Q9837" t="s">
        <v>2040</v>
      </c>
      <c r="R9837" t="s">
        <v>2634</v>
      </c>
      <c r="S9837">
        <v>35</v>
      </c>
      <c r="T9837" s="43" t="str">
        <f t="shared" si="420"/>
        <v>2019.006G.zip</v>
      </c>
      <c r="U9837" s="43" t="str">
        <f>HYPERLINK("https://ictv.global/taxonomy/taxondetails?taxnode_id=202204591","ictv.global=202204591")</f>
        <v>ictv.global=202204591</v>
      </c>
    </row>
    <row r="9838" spans="1:21">
      <c r="A9838">
        <v>9837</v>
      </c>
      <c r="B9838" s="29" t="s">
        <v>3223</v>
      </c>
      <c r="C9838" s="29"/>
      <c r="D9838" s="29" t="s">
        <v>4156</v>
      </c>
      <c r="E9838" s="29"/>
      <c r="F9838" s="29" t="s">
        <v>4230</v>
      </c>
      <c r="G9838" s="29"/>
      <c r="H9838" s="29" t="s">
        <v>4337</v>
      </c>
      <c r="I9838" s="29"/>
      <c r="J9838" s="29" t="s">
        <v>4338</v>
      </c>
      <c r="K9838" s="29"/>
      <c r="L9838" s="29" t="s">
        <v>391</v>
      </c>
      <c r="M9838" s="29"/>
      <c r="N9838" s="29" t="s">
        <v>479</v>
      </c>
      <c r="O9838" s="29"/>
      <c r="P9838" s="29" t="s">
        <v>1173</v>
      </c>
      <c r="Q9838" t="s">
        <v>2040</v>
      </c>
      <c r="R9838" t="s">
        <v>2634</v>
      </c>
      <c r="S9838">
        <v>35</v>
      </c>
      <c r="T9838" s="43" t="str">
        <f t="shared" si="420"/>
        <v>2019.006G.zip</v>
      </c>
      <c r="U9838" s="43" t="str">
        <f>HYPERLINK("https://ictv.global/taxonomy/taxondetails?taxnode_id=202204592","ictv.global=202204592")</f>
        <v>ictv.global=202204592</v>
      </c>
    </row>
    <row r="9839" spans="1:21">
      <c r="A9839">
        <v>9838</v>
      </c>
      <c r="B9839" s="29" t="s">
        <v>3223</v>
      </c>
      <c r="C9839" s="29"/>
      <c r="D9839" s="29" t="s">
        <v>4156</v>
      </c>
      <c r="E9839" s="29"/>
      <c r="F9839" s="29" t="s">
        <v>4230</v>
      </c>
      <c r="G9839" s="29"/>
      <c r="H9839" s="29" t="s">
        <v>4337</v>
      </c>
      <c r="I9839" s="29"/>
      <c r="J9839" s="29" t="s">
        <v>4338</v>
      </c>
      <c r="K9839" s="29"/>
      <c r="L9839" s="29" t="s">
        <v>391</v>
      </c>
      <c r="M9839" s="29"/>
      <c r="N9839" s="29" t="s">
        <v>479</v>
      </c>
      <c r="O9839" s="29"/>
      <c r="P9839" s="29" t="s">
        <v>1174</v>
      </c>
      <c r="Q9839" t="s">
        <v>2040</v>
      </c>
      <c r="R9839" t="s">
        <v>2634</v>
      </c>
      <c r="S9839">
        <v>35</v>
      </c>
      <c r="T9839" s="43" t="str">
        <f t="shared" si="420"/>
        <v>2019.006G.zip</v>
      </c>
      <c r="U9839" s="43" t="str">
        <f>HYPERLINK("https://ictv.global/taxonomy/taxondetails?taxnode_id=202204593","ictv.global=202204593")</f>
        <v>ictv.global=202204593</v>
      </c>
    </row>
    <row r="9840" spans="1:21">
      <c r="A9840">
        <v>9839</v>
      </c>
      <c r="B9840" s="29" t="s">
        <v>3223</v>
      </c>
      <c r="C9840" s="29"/>
      <c r="D9840" s="29" t="s">
        <v>4156</v>
      </c>
      <c r="E9840" s="29"/>
      <c r="F9840" s="29" t="s">
        <v>4230</v>
      </c>
      <c r="G9840" s="29"/>
      <c r="H9840" s="29" t="s">
        <v>4337</v>
      </c>
      <c r="I9840" s="29"/>
      <c r="J9840" s="29" t="s">
        <v>4338</v>
      </c>
      <c r="K9840" s="29"/>
      <c r="L9840" s="29" t="s">
        <v>391</v>
      </c>
      <c r="M9840" s="29"/>
      <c r="N9840" s="29" t="s">
        <v>479</v>
      </c>
      <c r="O9840" s="29"/>
      <c r="P9840" s="29" t="s">
        <v>1588</v>
      </c>
      <c r="Q9840" t="s">
        <v>2040</v>
      </c>
      <c r="R9840" t="s">
        <v>2634</v>
      </c>
      <c r="S9840">
        <v>35</v>
      </c>
      <c r="T9840" s="43" t="str">
        <f t="shared" si="420"/>
        <v>2019.006G.zip</v>
      </c>
      <c r="U9840" s="43" t="str">
        <f>HYPERLINK("https://ictv.global/taxonomy/taxondetails?taxnode_id=202204594","ictv.global=202204594")</f>
        <v>ictv.global=202204594</v>
      </c>
    </row>
    <row r="9841" spans="1:21">
      <c r="A9841">
        <v>9840</v>
      </c>
      <c r="B9841" s="29" t="s">
        <v>3223</v>
      </c>
      <c r="C9841" s="29"/>
      <c r="D9841" s="29" t="s">
        <v>4156</v>
      </c>
      <c r="E9841" s="29"/>
      <c r="F9841" s="29" t="s">
        <v>4230</v>
      </c>
      <c r="G9841" s="29"/>
      <c r="H9841" s="29" t="s">
        <v>4337</v>
      </c>
      <c r="I9841" s="29"/>
      <c r="J9841" s="29" t="s">
        <v>4338</v>
      </c>
      <c r="K9841" s="29"/>
      <c r="L9841" s="29" t="s">
        <v>391</v>
      </c>
      <c r="M9841" s="29"/>
      <c r="N9841" s="29" t="s">
        <v>479</v>
      </c>
      <c r="O9841" s="29"/>
      <c r="P9841" s="29" t="s">
        <v>1175</v>
      </c>
      <c r="Q9841" t="s">
        <v>2040</v>
      </c>
      <c r="R9841" t="s">
        <v>2634</v>
      </c>
      <c r="S9841">
        <v>35</v>
      </c>
      <c r="T9841" s="43" t="str">
        <f t="shared" si="420"/>
        <v>2019.006G.zip</v>
      </c>
      <c r="U9841" s="43" t="str">
        <f>HYPERLINK("https://ictv.global/taxonomy/taxondetails?taxnode_id=202204595","ictv.global=202204595")</f>
        <v>ictv.global=202204595</v>
      </c>
    </row>
    <row r="9842" spans="1:21">
      <c r="A9842">
        <v>9841</v>
      </c>
      <c r="B9842" s="29" t="s">
        <v>3223</v>
      </c>
      <c r="C9842" s="29"/>
      <c r="D9842" s="29" t="s">
        <v>4156</v>
      </c>
      <c r="E9842" s="29"/>
      <c r="F9842" s="29" t="s">
        <v>4230</v>
      </c>
      <c r="G9842" s="29"/>
      <c r="H9842" s="29" t="s">
        <v>4337</v>
      </c>
      <c r="I9842" s="29"/>
      <c r="J9842" s="29" t="s">
        <v>4338</v>
      </c>
      <c r="K9842" s="29"/>
      <c r="L9842" s="29" t="s">
        <v>391</v>
      </c>
      <c r="M9842" s="29"/>
      <c r="N9842" s="29" t="s">
        <v>479</v>
      </c>
      <c r="O9842" s="29"/>
      <c r="P9842" s="29" t="s">
        <v>1176</v>
      </c>
      <c r="Q9842" t="s">
        <v>2040</v>
      </c>
      <c r="R9842" t="s">
        <v>2634</v>
      </c>
      <c r="S9842">
        <v>35</v>
      </c>
      <c r="T9842" s="43" t="str">
        <f t="shared" si="420"/>
        <v>2019.006G.zip</v>
      </c>
      <c r="U9842" s="43" t="str">
        <f>HYPERLINK("https://ictv.global/taxonomy/taxondetails?taxnode_id=202204596","ictv.global=202204596")</f>
        <v>ictv.global=202204596</v>
      </c>
    </row>
    <row r="9843" spans="1:21">
      <c r="A9843">
        <v>9842</v>
      </c>
      <c r="B9843" s="29" t="s">
        <v>3223</v>
      </c>
      <c r="C9843" s="29"/>
      <c r="D9843" s="29" t="s">
        <v>4156</v>
      </c>
      <c r="E9843" s="29"/>
      <c r="F9843" s="29" t="s">
        <v>4230</v>
      </c>
      <c r="G9843" s="29"/>
      <c r="H9843" s="29" t="s">
        <v>4337</v>
      </c>
      <c r="I9843" s="29"/>
      <c r="J9843" s="29" t="s">
        <v>4338</v>
      </c>
      <c r="K9843" s="29"/>
      <c r="L9843" s="29" t="s">
        <v>391</v>
      </c>
      <c r="M9843" s="29"/>
      <c r="N9843" s="29" t="s">
        <v>479</v>
      </c>
      <c r="O9843" s="29"/>
      <c r="P9843" s="29" t="s">
        <v>1177</v>
      </c>
      <c r="Q9843" t="s">
        <v>2040</v>
      </c>
      <c r="R9843" t="s">
        <v>2634</v>
      </c>
      <c r="S9843">
        <v>35</v>
      </c>
      <c r="T9843" s="43" t="str">
        <f t="shared" si="420"/>
        <v>2019.006G.zip</v>
      </c>
      <c r="U9843" s="43" t="str">
        <f>HYPERLINK("https://ictv.global/taxonomy/taxondetails?taxnode_id=202204597","ictv.global=202204597")</f>
        <v>ictv.global=202204597</v>
      </c>
    </row>
    <row r="9844" spans="1:21">
      <c r="A9844">
        <v>9843</v>
      </c>
      <c r="B9844" s="29" t="s">
        <v>3223</v>
      </c>
      <c r="C9844" s="29"/>
      <c r="D9844" s="29" t="s">
        <v>4156</v>
      </c>
      <c r="E9844" s="29"/>
      <c r="F9844" s="29" t="s">
        <v>4230</v>
      </c>
      <c r="G9844" s="29"/>
      <c r="H9844" s="29" t="s">
        <v>4337</v>
      </c>
      <c r="I9844" s="29"/>
      <c r="J9844" s="29" t="s">
        <v>4338</v>
      </c>
      <c r="K9844" s="29"/>
      <c r="L9844" s="29" t="s">
        <v>391</v>
      </c>
      <c r="M9844" s="29"/>
      <c r="N9844" s="29" t="s">
        <v>479</v>
      </c>
      <c r="O9844" s="29"/>
      <c r="P9844" s="29" t="s">
        <v>1178</v>
      </c>
      <c r="Q9844" t="s">
        <v>2040</v>
      </c>
      <c r="R9844" t="s">
        <v>2634</v>
      </c>
      <c r="S9844">
        <v>35</v>
      </c>
      <c r="T9844" s="43" t="str">
        <f t="shared" si="420"/>
        <v>2019.006G.zip</v>
      </c>
      <c r="U9844" s="43" t="str">
        <f>HYPERLINK("https://ictv.global/taxonomy/taxondetails?taxnode_id=202204598","ictv.global=202204598")</f>
        <v>ictv.global=202204598</v>
      </c>
    </row>
    <row r="9845" spans="1:21">
      <c r="A9845">
        <v>9844</v>
      </c>
      <c r="B9845" s="29" t="s">
        <v>3223</v>
      </c>
      <c r="C9845" s="29"/>
      <c r="D9845" s="29" t="s">
        <v>4156</v>
      </c>
      <c r="E9845" s="29"/>
      <c r="F9845" s="29" t="s">
        <v>4230</v>
      </c>
      <c r="G9845" s="29"/>
      <c r="H9845" s="29" t="s">
        <v>4337</v>
      </c>
      <c r="I9845" s="29"/>
      <c r="J9845" s="29" t="s">
        <v>4338</v>
      </c>
      <c r="K9845" s="29"/>
      <c r="L9845" s="29" t="s">
        <v>391</v>
      </c>
      <c r="M9845" s="29"/>
      <c r="N9845" s="29" t="s">
        <v>479</v>
      </c>
      <c r="O9845" s="29"/>
      <c r="P9845" s="29" t="s">
        <v>1549</v>
      </c>
      <c r="Q9845" t="s">
        <v>2040</v>
      </c>
      <c r="R9845" t="s">
        <v>2634</v>
      </c>
      <c r="S9845">
        <v>35</v>
      </c>
      <c r="T9845" s="43" t="str">
        <f t="shared" si="420"/>
        <v>2019.006G.zip</v>
      </c>
      <c r="U9845" s="43" t="str">
        <f>HYPERLINK("https://ictv.global/taxonomy/taxondetails?taxnode_id=202204599","ictv.global=202204599")</f>
        <v>ictv.global=202204599</v>
      </c>
    </row>
    <row r="9846" spans="1:21">
      <c r="A9846">
        <v>9845</v>
      </c>
      <c r="B9846" s="29" t="s">
        <v>3223</v>
      </c>
      <c r="C9846" s="29"/>
      <c r="D9846" s="29" t="s">
        <v>4156</v>
      </c>
      <c r="E9846" s="29"/>
      <c r="F9846" s="29" t="s">
        <v>4230</v>
      </c>
      <c r="G9846" s="29"/>
      <c r="H9846" s="29" t="s">
        <v>4337</v>
      </c>
      <c r="I9846" s="29"/>
      <c r="J9846" s="29" t="s">
        <v>4338</v>
      </c>
      <c r="K9846" s="29"/>
      <c r="L9846" s="29" t="s">
        <v>391</v>
      </c>
      <c r="M9846" s="29"/>
      <c r="N9846" s="29" t="s">
        <v>479</v>
      </c>
      <c r="O9846" s="29"/>
      <c r="P9846" s="29" t="s">
        <v>1550</v>
      </c>
      <c r="Q9846" t="s">
        <v>2040</v>
      </c>
      <c r="R9846" t="s">
        <v>2634</v>
      </c>
      <c r="S9846">
        <v>35</v>
      </c>
      <c r="T9846" s="43" t="str">
        <f t="shared" si="420"/>
        <v>2019.006G.zip</v>
      </c>
      <c r="U9846" s="43" t="str">
        <f>HYPERLINK("https://ictv.global/taxonomy/taxondetails?taxnode_id=202204600","ictv.global=202204600")</f>
        <v>ictv.global=202204600</v>
      </c>
    </row>
    <row r="9847" spans="1:21">
      <c r="A9847">
        <v>9846</v>
      </c>
      <c r="B9847" s="29" t="s">
        <v>3223</v>
      </c>
      <c r="C9847" s="29"/>
      <c r="D9847" s="29" t="s">
        <v>4156</v>
      </c>
      <c r="E9847" s="29"/>
      <c r="F9847" s="29" t="s">
        <v>4230</v>
      </c>
      <c r="G9847" s="29"/>
      <c r="H9847" s="29" t="s">
        <v>4337</v>
      </c>
      <c r="I9847" s="29"/>
      <c r="J9847" s="29" t="s">
        <v>4338</v>
      </c>
      <c r="K9847" s="29"/>
      <c r="L9847" s="29" t="s">
        <v>391</v>
      </c>
      <c r="M9847" s="29"/>
      <c r="N9847" s="29" t="s">
        <v>479</v>
      </c>
      <c r="O9847" s="29"/>
      <c r="P9847" s="29" t="s">
        <v>1551</v>
      </c>
      <c r="Q9847" t="s">
        <v>2040</v>
      </c>
      <c r="R9847" t="s">
        <v>2634</v>
      </c>
      <c r="S9847">
        <v>35</v>
      </c>
      <c r="T9847" s="43" t="str">
        <f t="shared" si="420"/>
        <v>2019.006G.zip</v>
      </c>
      <c r="U9847" s="43" t="str">
        <f>HYPERLINK("https://ictv.global/taxonomy/taxondetails?taxnode_id=202204601","ictv.global=202204601")</f>
        <v>ictv.global=202204601</v>
      </c>
    </row>
    <row r="9848" spans="1:21">
      <c r="A9848">
        <v>9847</v>
      </c>
      <c r="B9848" s="29" t="s">
        <v>3223</v>
      </c>
      <c r="C9848" s="29"/>
      <c r="D9848" s="29" t="s">
        <v>4156</v>
      </c>
      <c r="E9848" s="29"/>
      <c r="F9848" s="29" t="s">
        <v>4230</v>
      </c>
      <c r="G9848" s="29"/>
      <c r="H9848" s="29" t="s">
        <v>4337</v>
      </c>
      <c r="I9848" s="29"/>
      <c r="J9848" s="29" t="s">
        <v>4338</v>
      </c>
      <c r="K9848" s="29"/>
      <c r="L9848" s="29" t="s">
        <v>391</v>
      </c>
      <c r="M9848" s="29"/>
      <c r="N9848" s="29" t="s">
        <v>479</v>
      </c>
      <c r="O9848" s="29"/>
      <c r="P9848" s="29" t="s">
        <v>6708</v>
      </c>
      <c r="Q9848" t="s">
        <v>2040</v>
      </c>
      <c r="R9848" t="s">
        <v>2632</v>
      </c>
      <c r="S9848">
        <v>36</v>
      </c>
      <c r="T9848" s="43" t="str">
        <f>HYPERLINK("https://ictv.global/ictv/proposals/2020.024P.R.Potyviridae_7nsp.zip","2020.024P.R.Potyviridae_7nsp.zip")</f>
        <v>2020.024P.R.Potyviridae_7nsp.zip</v>
      </c>
      <c r="U9848" s="43" t="str">
        <f>HYPERLINK("https://ictv.global/taxonomy/taxondetails?taxnode_id=202209670","ictv.global=202209670")</f>
        <v>ictv.global=202209670</v>
      </c>
    </row>
    <row r="9849" spans="1:21">
      <c r="A9849">
        <v>9848</v>
      </c>
      <c r="B9849" s="29" t="s">
        <v>3223</v>
      </c>
      <c r="C9849" s="29"/>
      <c r="D9849" s="29" t="s">
        <v>4156</v>
      </c>
      <c r="E9849" s="29"/>
      <c r="F9849" s="29" t="s">
        <v>4230</v>
      </c>
      <c r="G9849" s="29"/>
      <c r="H9849" s="29" t="s">
        <v>4337</v>
      </c>
      <c r="I9849" s="29"/>
      <c r="J9849" s="29" t="s">
        <v>4338</v>
      </c>
      <c r="K9849" s="29"/>
      <c r="L9849" s="29" t="s">
        <v>391</v>
      </c>
      <c r="M9849" s="29"/>
      <c r="N9849" s="29" t="s">
        <v>479</v>
      </c>
      <c r="O9849" s="29"/>
      <c r="P9849" s="29" t="s">
        <v>1552</v>
      </c>
      <c r="Q9849" t="s">
        <v>2040</v>
      </c>
      <c r="R9849" t="s">
        <v>2634</v>
      </c>
      <c r="S9849">
        <v>35</v>
      </c>
      <c r="T9849" s="43" t="str">
        <f t="shared" ref="T9849:T9856" si="421">HYPERLINK("https://ictv.global/ictv/proposals/2019.006G.zip","2019.006G.zip")</f>
        <v>2019.006G.zip</v>
      </c>
      <c r="U9849" s="43" t="str">
        <f>HYPERLINK("https://ictv.global/taxonomy/taxondetails?taxnode_id=202204602","ictv.global=202204602")</f>
        <v>ictv.global=202204602</v>
      </c>
    </row>
    <row r="9850" spans="1:21">
      <c r="A9850">
        <v>9849</v>
      </c>
      <c r="B9850" s="29" t="s">
        <v>3223</v>
      </c>
      <c r="C9850" s="29"/>
      <c r="D9850" s="29" t="s">
        <v>4156</v>
      </c>
      <c r="E9850" s="29"/>
      <c r="F9850" s="29" t="s">
        <v>4230</v>
      </c>
      <c r="G9850" s="29"/>
      <c r="H9850" s="29" t="s">
        <v>4337</v>
      </c>
      <c r="I9850" s="29"/>
      <c r="J9850" s="29" t="s">
        <v>4338</v>
      </c>
      <c r="K9850" s="29"/>
      <c r="L9850" s="29" t="s">
        <v>391</v>
      </c>
      <c r="M9850" s="29"/>
      <c r="N9850" s="29" t="s">
        <v>479</v>
      </c>
      <c r="O9850" s="29"/>
      <c r="P9850" s="29" t="s">
        <v>3352</v>
      </c>
      <c r="Q9850" t="s">
        <v>2040</v>
      </c>
      <c r="R9850" t="s">
        <v>2634</v>
      </c>
      <c r="S9850">
        <v>35</v>
      </c>
      <c r="T9850" s="43" t="str">
        <f t="shared" si="421"/>
        <v>2019.006G.zip</v>
      </c>
      <c r="U9850" s="43" t="str">
        <f>HYPERLINK("https://ictv.global/taxonomy/taxondetails?taxnode_id=202206672","ictv.global=202206672")</f>
        <v>ictv.global=202206672</v>
      </c>
    </row>
    <row r="9851" spans="1:21">
      <c r="A9851">
        <v>9850</v>
      </c>
      <c r="B9851" s="29" t="s">
        <v>3223</v>
      </c>
      <c r="C9851" s="29"/>
      <c r="D9851" s="29" t="s">
        <v>4156</v>
      </c>
      <c r="E9851" s="29"/>
      <c r="F9851" s="29" t="s">
        <v>4230</v>
      </c>
      <c r="G9851" s="29"/>
      <c r="H9851" s="29" t="s">
        <v>4337</v>
      </c>
      <c r="I9851" s="29"/>
      <c r="J9851" s="29" t="s">
        <v>4338</v>
      </c>
      <c r="K9851" s="29"/>
      <c r="L9851" s="29" t="s">
        <v>391</v>
      </c>
      <c r="M9851" s="29"/>
      <c r="N9851" s="29" t="s">
        <v>479</v>
      </c>
      <c r="O9851" s="29"/>
      <c r="P9851" s="29" t="s">
        <v>1553</v>
      </c>
      <c r="Q9851" t="s">
        <v>2040</v>
      </c>
      <c r="R9851" t="s">
        <v>2634</v>
      </c>
      <c r="S9851">
        <v>35</v>
      </c>
      <c r="T9851" s="43" t="str">
        <f t="shared" si="421"/>
        <v>2019.006G.zip</v>
      </c>
      <c r="U9851" s="43" t="str">
        <f>HYPERLINK("https://ictv.global/taxonomy/taxondetails?taxnode_id=202204603","ictv.global=202204603")</f>
        <v>ictv.global=202204603</v>
      </c>
    </row>
    <row r="9852" spans="1:21">
      <c r="A9852">
        <v>9851</v>
      </c>
      <c r="B9852" s="29" t="s">
        <v>3223</v>
      </c>
      <c r="C9852" s="29"/>
      <c r="D9852" s="29" t="s">
        <v>4156</v>
      </c>
      <c r="E9852" s="29"/>
      <c r="F9852" s="29" t="s">
        <v>4230</v>
      </c>
      <c r="G9852" s="29"/>
      <c r="H9852" s="29" t="s">
        <v>4337</v>
      </c>
      <c r="I9852" s="29"/>
      <c r="J9852" s="29" t="s">
        <v>4338</v>
      </c>
      <c r="K9852" s="29"/>
      <c r="L9852" s="29" t="s">
        <v>391</v>
      </c>
      <c r="M9852" s="29"/>
      <c r="N9852" s="29" t="s">
        <v>479</v>
      </c>
      <c r="O9852" s="29"/>
      <c r="P9852" s="29" t="s">
        <v>2003</v>
      </c>
      <c r="Q9852" t="s">
        <v>2040</v>
      </c>
      <c r="R9852" t="s">
        <v>2634</v>
      </c>
      <c r="S9852">
        <v>35</v>
      </c>
      <c r="T9852" s="43" t="str">
        <f t="shared" si="421"/>
        <v>2019.006G.zip</v>
      </c>
      <c r="U9852" s="43" t="str">
        <f>HYPERLINK("https://ictv.global/taxonomy/taxondetails?taxnode_id=202204604","ictv.global=202204604")</f>
        <v>ictv.global=202204604</v>
      </c>
    </row>
    <row r="9853" spans="1:21">
      <c r="A9853">
        <v>9852</v>
      </c>
      <c r="B9853" s="29" t="s">
        <v>3223</v>
      </c>
      <c r="C9853" s="29"/>
      <c r="D9853" s="29" t="s">
        <v>4156</v>
      </c>
      <c r="E9853" s="29"/>
      <c r="F9853" s="29" t="s">
        <v>4230</v>
      </c>
      <c r="G9853" s="29"/>
      <c r="H9853" s="29" t="s">
        <v>4337</v>
      </c>
      <c r="I9853" s="29"/>
      <c r="J9853" s="29" t="s">
        <v>4338</v>
      </c>
      <c r="K9853" s="29"/>
      <c r="L9853" s="29" t="s">
        <v>391</v>
      </c>
      <c r="M9853" s="29"/>
      <c r="N9853" s="29" t="s">
        <v>479</v>
      </c>
      <c r="O9853" s="29"/>
      <c r="P9853" s="29" t="s">
        <v>1554</v>
      </c>
      <c r="Q9853" t="s">
        <v>2040</v>
      </c>
      <c r="R9853" t="s">
        <v>2634</v>
      </c>
      <c r="S9853">
        <v>35</v>
      </c>
      <c r="T9853" s="43" t="str">
        <f t="shared" si="421"/>
        <v>2019.006G.zip</v>
      </c>
      <c r="U9853" s="43" t="str">
        <f>HYPERLINK("https://ictv.global/taxonomy/taxondetails?taxnode_id=202204605","ictv.global=202204605")</f>
        <v>ictv.global=202204605</v>
      </c>
    </row>
    <row r="9854" spans="1:21">
      <c r="A9854">
        <v>9853</v>
      </c>
      <c r="B9854" s="29" t="s">
        <v>3223</v>
      </c>
      <c r="C9854" s="29"/>
      <c r="D9854" s="29" t="s">
        <v>4156</v>
      </c>
      <c r="E9854" s="29"/>
      <c r="F9854" s="29" t="s">
        <v>4230</v>
      </c>
      <c r="G9854" s="29"/>
      <c r="H9854" s="29" t="s">
        <v>4337</v>
      </c>
      <c r="I9854" s="29"/>
      <c r="J9854" s="29" t="s">
        <v>4338</v>
      </c>
      <c r="K9854" s="29"/>
      <c r="L9854" s="29" t="s">
        <v>391</v>
      </c>
      <c r="M9854" s="29"/>
      <c r="N9854" s="29" t="s">
        <v>479</v>
      </c>
      <c r="O9854" s="29"/>
      <c r="P9854" s="29" t="s">
        <v>2963</v>
      </c>
      <c r="Q9854" t="s">
        <v>2040</v>
      </c>
      <c r="R9854" t="s">
        <v>2634</v>
      </c>
      <c r="S9854">
        <v>35</v>
      </c>
      <c r="T9854" s="43" t="str">
        <f t="shared" si="421"/>
        <v>2019.006G.zip</v>
      </c>
      <c r="U9854" s="43" t="str">
        <f>HYPERLINK("https://ictv.global/taxonomy/taxondetails?taxnode_id=202205920","ictv.global=202205920")</f>
        <v>ictv.global=202205920</v>
      </c>
    </row>
    <row r="9855" spans="1:21">
      <c r="A9855">
        <v>9854</v>
      </c>
      <c r="B9855" s="29" t="s">
        <v>3223</v>
      </c>
      <c r="C9855" s="29"/>
      <c r="D9855" s="29" t="s">
        <v>4156</v>
      </c>
      <c r="E9855" s="29"/>
      <c r="F9855" s="29" t="s">
        <v>4230</v>
      </c>
      <c r="G9855" s="29"/>
      <c r="H9855" s="29" t="s">
        <v>4337</v>
      </c>
      <c r="I9855" s="29"/>
      <c r="J9855" s="29" t="s">
        <v>4338</v>
      </c>
      <c r="K9855" s="29"/>
      <c r="L9855" s="29" t="s">
        <v>391</v>
      </c>
      <c r="M9855" s="29"/>
      <c r="N9855" s="29" t="s">
        <v>479</v>
      </c>
      <c r="O9855" s="29"/>
      <c r="P9855" s="29" t="s">
        <v>1555</v>
      </c>
      <c r="Q9855" t="s">
        <v>2040</v>
      </c>
      <c r="R9855" t="s">
        <v>2634</v>
      </c>
      <c r="S9855">
        <v>35</v>
      </c>
      <c r="T9855" s="43" t="str">
        <f t="shared" si="421"/>
        <v>2019.006G.zip</v>
      </c>
      <c r="U9855" s="43" t="str">
        <f>HYPERLINK("https://ictv.global/taxonomy/taxondetails?taxnode_id=202204606","ictv.global=202204606")</f>
        <v>ictv.global=202204606</v>
      </c>
    </row>
    <row r="9856" spans="1:21">
      <c r="A9856">
        <v>9855</v>
      </c>
      <c r="B9856" s="29" t="s">
        <v>3223</v>
      </c>
      <c r="C9856" s="29"/>
      <c r="D9856" s="29" t="s">
        <v>4156</v>
      </c>
      <c r="E9856" s="29"/>
      <c r="F9856" s="29" t="s">
        <v>4230</v>
      </c>
      <c r="G9856" s="29"/>
      <c r="H9856" s="29" t="s">
        <v>4337</v>
      </c>
      <c r="I9856" s="29"/>
      <c r="J9856" s="29" t="s">
        <v>4338</v>
      </c>
      <c r="K9856" s="29"/>
      <c r="L9856" s="29" t="s">
        <v>391</v>
      </c>
      <c r="M9856" s="29"/>
      <c r="N9856" s="29" t="s">
        <v>479</v>
      </c>
      <c r="O9856" s="29"/>
      <c r="P9856" s="29" t="s">
        <v>1556</v>
      </c>
      <c r="Q9856" t="s">
        <v>2040</v>
      </c>
      <c r="R9856" t="s">
        <v>2634</v>
      </c>
      <c r="S9856">
        <v>35</v>
      </c>
      <c r="T9856" s="43" t="str">
        <f t="shared" si="421"/>
        <v>2019.006G.zip</v>
      </c>
      <c r="U9856" s="43" t="str">
        <f>HYPERLINK("https://ictv.global/taxonomy/taxondetails?taxnode_id=202204607","ictv.global=202204607")</f>
        <v>ictv.global=202204607</v>
      </c>
    </row>
    <row r="9857" spans="1:21">
      <c r="A9857">
        <v>9856</v>
      </c>
      <c r="B9857" s="29" t="s">
        <v>3223</v>
      </c>
      <c r="C9857" s="29"/>
      <c r="D9857" s="29" t="s">
        <v>4156</v>
      </c>
      <c r="E9857" s="29"/>
      <c r="F9857" s="29" t="s">
        <v>4230</v>
      </c>
      <c r="G9857" s="29"/>
      <c r="H9857" s="29" t="s">
        <v>4337</v>
      </c>
      <c r="I9857" s="29"/>
      <c r="J9857" s="29" t="s">
        <v>4338</v>
      </c>
      <c r="K9857" s="29"/>
      <c r="L9857" s="29" t="s">
        <v>391</v>
      </c>
      <c r="M9857" s="29"/>
      <c r="N9857" s="29" t="s">
        <v>479</v>
      </c>
      <c r="O9857" s="29"/>
      <c r="P9857" s="29" t="s">
        <v>4346</v>
      </c>
      <c r="Q9857" t="s">
        <v>2040</v>
      </c>
      <c r="R9857" t="s">
        <v>2632</v>
      </c>
      <c r="S9857">
        <v>35</v>
      </c>
      <c r="T9857" s="43" t="str">
        <f>HYPERLINK("https://ictv.global/ictv/proposals/2019.016P.zip","2019.016P.zip")</f>
        <v>2019.016P.zip</v>
      </c>
      <c r="U9857" s="43" t="str">
        <f>HYPERLINK("https://ictv.global/taxonomy/taxondetails?taxnode_id=202207431","ictv.global=202207431")</f>
        <v>ictv.global=202207431</v>
      </c>
    </row>
    <row r="9858" spans="1:21">
      <c r="A9858">
        <v>9857</v>
      </c>
      <c r="B9858" s="29" t="s">
        <v>3223</v>
      </c>
      <c r="C9858" s="29"/>
      <c r="D9858" s="29" t="s">
        <v>4156</v>
      </c>
      <c r="E9858" s="29"/>
      <c r="F9858" s="29" t="s">
        <v>4230</v>
      </c>
      <c r="G9858" s="29"/>
      <c r="H9858" s="29" t="s">
        <v>4337</v>
      </c>
      <c r="I9858" s="29"/>
      <c r="J9858" s="29" t="s">
        <v>4338</v>
      </c>
      <c r="K9858" s="29"/>
      <c r="L9858" s="29" t="s">
        <v>391</v>
      </c>
      <c r="M9858" s="29"/>
      <c r="N9858" s="29" t="s">
        <v>479</v>
      </c>
      <c r="O9858" s="29"/>
      <c r="P9858" s="29" t="s">
        <v>4347</v>
      </c>
      <c r="Q9858" t="s">
        <v>2040</v>
      </c>
      <c r="R9858" t="s">
        <v>2632</v>
      </c>
      <c r="S9858">
        <v>35</v>
      </c>
      <c r="T9858" s="43" t="str">
        <f>HYPERLINK("https://ictv.global/ictv/proposals/2019.016P.zip","2019.016P.zip")</f>
        <v>2019.016P.zip</v>
      </c>
      <c r="U9858" s="43" t="str">
        <f>HYPERLINK("https://ictv.global/taxonomy/taxondetails?taxnode_id=202207432","ictv.global=202207432")</f>
        <v>ictv.global=202207432</v>
      </c>
    </row>
    <row r="9859" spans="1:21">
      <c r="A9859">
        <v>9858</v>
      </c>
      <c r="B9859" s="29" t="s">
        <v>3223</v>
      </c>
      <c r="C9859" s="29"/>
      <c r="D9859" s="29" t="s">
        <v>4156</v>
      </c>
      <c r="E9859" s="29"/>
      <c r="F9859" s="29" t="s">
        <v>4230</v>
      </c>
      <c r="G9859" s="29"/>
      <c r="H9859" s="29" t="s">
        <v>4337</v>
      </c>
      <c r="I9859" s="29"/>
      <c r="J9859" s="29" t="s">
        <v>4338</v>
      </c>
      <c r="K9859" s="29"/>
      <c r="L9859" s="29" t="s">
        <v>391</v>
      </c>
      <c r="M9859" s="29"/>
      <c r="N9859" s="29" t="s">
        <v>479</v>
      </c>
      <c r="O9859" s="29"/>
      <c r="P9859" s="29" t="s">
        <v>1557</v>
      </c>
      <c r="Q9859" t="s">
        <v>2040</v>
      </c>
      <c r="R9859" t="s">
        <v>2634</v>
      </c>
      <c r="S9859">
        <v>35</v>
      </c>
      <c r="T9859" s="43" t="str">
        <f>HYPERLINK("https://ictv.global/ictv/proposals/2019.006G.zip","2019.006G.zip")</f>
        <v>2019.006G.zip</v>
      </c>
      <c r="U9859" s="43" t="str">
        <f>HYPERLINK("https://ictv.global/taxonomy/taxondetails?taxnode_id=202204608","ictv.global=202204608")</f>
        <v>ictv.global=202204608</v>
      </c>
    </row>
    <row r="9860" spans="1:21">
      <c r="A9860">
        <v>9859</v>
      </c>
      <c r="B9860" s="29" t="s">
        <v>3223</v>
      </c>
      <c r="C9860" s="29"/>
      <c r="D9860" s="29" t="s">
        <v>4156</v>
      </c>
      <c r="E9860" s="29"/>
      <c r="F9860" s="29" t="s">
        <v>4230</v>
      </c>
      <c r="G9860" s="29"/>
      <c r="H9860" s="29" t="s">
        <v>4337</v>
      </c>
      <c r="I9860" s="29"/>
      <c r="J9860" s="29" t="s">
        <v>4338</v>
      </c>
      <c r="K9860" s="29"/>
      <c r="L9860" s="29" t="s">
        <v>391</v>
      </c>
      <c r="M9860" s="29"/>
      <c r="N9860" s="29" t="s">
        <v>479</v>
      </c>
      <c r="O9860" s="29"/>
      <c r="P9860" s="29" t="s">
        <v>2320</v>
      </c>
      <c r="Q9860" t="s">
        <v>2040</v>
      </c>
      <c r="R9860" t="s">
        <v>2634</v>
      </c>
      <c r="S9860">
        <v>35</v>
      </c>
      <c r="T9860" s="43" t="str">
        <f>HYPERLINK("https://ictv.global/ictv/proposals/2019.006G.zip","2019.006G.zip")</f>
        <v>2019.006G.zip</v>
      </c>
      <c r="U9860" s="43" t="str">
        <f>HYPERLINK("https://ictv.global/taxonomy/taxondetails?taxnode_id=202204609","ictv.global=202204609")</f>
        <v>ictv.global=202204609</v>
      </c>
    </row>
    <row r="9861" spans="1:21">
      <c r="A9861">
        <v>9860</v>
      </c>
      <c r="B9861" s="29" t="s">
        <v>3223</v>
      </c>
      <c r="C9861" s="29"/>
      <c r="D9861" s="29" t="s">
        <v>4156</v>
      </c>
      <c r="E9861" s="29"/>
      <c r="F9861" s="29" t="s">
        <v>4230</v>
      </c>
      <c r="G9861" s="29"/>
      <c r="H9861" s="29" t="s">
        <v>4337</v>
      </c>
      <c r="I9861" s="29"/>
      <c r="J9861" s="29" t="s">
        <v>4338</v>
      </c>
      <c r="K9861" s="29"/>
      <c r="L9861" s="29" t="s">
        <v>391</v>
      </c>
      <c r="M9861" s="29"/>
      <c r="N9861" s="29" t="s">
        <v>479</v>
      </c>
      <c r="O9861" s="29"/>
      <c r="P9861" s="29" t="s">
        <v>4348</v>
      </c>
      <c r="Q9861" t="s">
        <v>2040</v>
      </c>
      <c r="R9861" t="s">
        <v>2632</v>
      </c>
      <c r="S9861">
        <v>35</v>
      </c>
      <c r="T9861" s="43" t="str">
        <f>HYPERLINK("https://ictv.global/ictv/proposals/2019.016P.zip","2019.016P.zip")</f>
        <v>2019.016P.zip</v>
      </c>
      <c r="U9861" s="43" t="str">
        <f>HYPERLINK("https://ictv.global/taxonomy/taxondetails?taxnode_id=202207433","ictv.global=202207433")</f>
        <v>ictv.global=202207433</v>
      </c>
    </row>
    <row r="9862" spans="1:21">
      <c r="A9862">
        <v>9861</v>
      </c>
      <c r="B9862" s="29" t="s">
        <v>3223</v>
      </c>
      <c r="C9862" s="29"/>
      <c r="D9862" s="29" t="s">
        <v>4156</v>
      </c>
      <c r="E9862" s="29"/>
      <c r="F9862" s="29" t="s">
        <v>4230</v>
      </c>
      <c r="G9862" s="29"/>
      <c r="H9862" s="29" t="s">
        <v>4337</v>
      </c>
      <c r="I9862" s="29"/>
      <c r="J9862" s="29" t="s">
        <v>4338</v>
      </c>
      <c r="K9862" s="29"/>
      <c r="L9862" s="29" t="s">
        <v>391</v>
      </c>
      <c r="M9862" s="29"/>
      <c r="N9862" s="29" t="s">
        <v>479</v>
      </c>
      <c r="O9862" s="29"/>
      <c r="P9862" s="29" t="s">
        <v>1558</v>
      </c>
      <c r="Q9862" t="s">
        <v>2040</v>
      </c>
      <c r="R9862" t="s">
        <v>2634</v>
      </c>
      <c r="S9862">
        <v>35</v>
      </c>
      <c r="T9862" s="43" t="str">
        <f t="shared" ref="T9862:T9867" si="422">HYPERLINK("https://ictv.global/ictv/proposals/2019.006G.zip","2019.006G.zip")</f>
        <v>2019.006G.zip</v>
      </c>
      <c r="U9862" s="43" t="str">
        <f>HYPERLINK("https://ictv.global/taxonomy/taxondetails?taxnode_id=202204610","ictv.global=202204610")</f>
        <v>ictv.global=202204610</v>
      </c>
    </row>
    <row r="9863" spans="1:21">
      <c r="A9863">
        <v>9862</v>
      </c>
      <c r="B9863" s="29" t="s">
        <v>3223</v>
      </c>
      <c r="C9863" s="29"/>
      <c r="D9863" s="29" t="s">
        <v>4156</v>
      </c>
      <c r="E9863" s="29"/>
      <c r="F9863" s="29" t="s">
        <v>4230</v>
      </c>
      <c r="G9863" s="29"/>
      <c r="H9863" s="29" t="s">
        <v>4337</v>
      </c>
      <c r="I9863" s="29"/>
      <c r="J9863" s="29" t="s">
        <v>4338</v>
      </c>
      <c r="K9863" s="29"/>
      <c r="L9863" s="29" t="s">
        <v>391</v>
      </c>
      <c r="M9863" s="29"/>
      <c r="N9863" s="29" t="s">
        <v>479</v>
      </c>
      <c r="O9863" s="29"/>
      <c r="P9863" s="29" t="s">
        <v>1559</v>
      </c>
      <c r="Q9863" t="s">
        <v>2040</v>
      </c>
      <c r="R9863" t="s">
        <v>2634</v>
      </c>
      <c r="S9863">
        <v>35</v>
      </c>
      <c r="T9863" s="43" t="str">
        <f t="shared" si="422"/>
        <v>2019.006G.zip</v>
      </c>
      <c r="U9863" s="43" t="str">
        <f>HYPERLINK("https://ictv.global/taxonomy/taxondetails?taxnode_id=202204611","ictv.global=202204611")</f>
        <v>ictv.global=202204611</v>
      </c>
    </row>
    <row r="9864" spans="1:21">
      <c r="A9864">
        <v>9863</v>
      </c>
      <c r="B9864" s="29" t="s">
        <v>3223</v>
      </c>
      <c r="C9864" s="29"/>
      <c r="D9864" s="29" t="s">
        <v>4156</v>
      </c>
      <c r="E9864" s="29"/>
      <c r="F9864" s="29" t="s">
        <v>4230</v>
      </c>
      <c r="G9864" s="29"/>
      <c r="H9864" s="29" t="s">
        <v>4337</v>
      </c>
      <c r="I9864" s="29"/>
      <c r="J9864" s="29" t="s">
        <v>4338</v>
      </c>
      <c r="K9864" s="29"/>
      <c r="L9864" s="29" t="s">
        <v>391</v>
      </c>
      <c r="M9864" s="29"/>
      <c r="N9864" s="29" t="s">
        <v>479</v>
      </c>
      <c r="O9864" s="29"/>
      <c r="P9864" s="29" t="s">
        <v>1560</v>
      </c>
      <c r="Q9864" t="s">
        <v>2040</v>
      </c>
      <c r="R9864" t="s">
        <v>2634</v>
      </c>
      <c r="S9864">
        <v>35</v>
      </c>
      <c r="T9864" s="43" t="str">
        <f t="shared" si="422"/>
        <v>2019.006G.zip</v>
      </c>
      <c r="U9864" s="43" t="str">
        <f>HYPERLINK("https://ictv.global/taxonomy/taxondetails?taxnode_id=202204612","ictv.global=202204612")</f>
        <v>ictv.global=202204612</v>
      </c>
    </row>
    <row r="9865" spans="1:21">
      <c r="A9865">
        <v>9864</v>
      </c>
      <c r="B9865" s="29" t="s">
        <v>3223</v>
      </c>
      <c r="C9865" s="29"/>
      <c r="D9865" s="29" t="s">
        <v>4156</v>
      </c>
      <c r="E9865" s="29"/>
      <c r="F9865" s="29" t="s">
        <v>4230</v>
      </c>
      <c r="G9865" s="29"/>
      <c r="H9865" s="29" t="s">
        <v>4337</v>
      </c>
      <c r="I9865" s="29"/>
      <c r="J9865" s="29" t="s">
        <v>4338</v>
      </c>
      <c r="K9865" s="29"/>
      <c r="L9865" s="29" t="s">
        <v>391</v>
      </c>
      <c r="M9865" s="29"/>
      <c r="N9865" s="29" t="s">
        <v>479</v>
      </c>
      <c r="O9865" s="29"/>
      <c r="P9865" s="29" t="s">
        <v>1561</v>
      </c>
      <c r="Q9865" t="s">
        <v>2040</v>
      </c>
      <c r="R9865" t="s">
        <v>2634</v>
      </c>
      <c r="S9865">
        <v>35</v>
      </c>
      <c r="T9865" s="43" t="str">
        <f t="shared" si="422"/>
        <v>2019.006G.zip</v>
      </c>
      <c r="U9865" s="43" t="str">
        <f>HYPERLINK("https://ictv.global/taxonomy/taxondetails?taxnode_id=202204613","ictv.global=202204613")</f>
        <v>ictv.global=202204613</v>
      </c>
    </row>
    <row r="9866" spans="1:21">
      <c r="A9866">
        <v>9865</v>
      </c>
      <c r="B9866" s="29" t="s">
        <v>3223</v>
      </c>
      <c r="C9866" s="29"/>
      <c r="D9866" s="29" t="s">
        <v>4156</v>
      </c>
      <c r="E9866" s="29"/>
      <c r="F9866" s="29" t="s">
        <v>4230</v>
      </c>
      <c r="G9866" s="29"/>
      <c r="H9866" s="29" t="s">
        <v>4337</v>
      </c>
      <c r="I9866" s="29"/>
      <c r="J9866" s="29" t="s">
        <v>4338</v>
      </c>
      <c r="K9866" s="29"/>
      <c r="L9866" s="29" t="s">
        <v>391</v>
      </c>
      <c r="M9866" s="29"/>
      <c r="N9866" s="29" t="s">
        <v>479</v>
      </c>
      <c r="O9866" s="29"/>
      <c r="P9866" s="29" t="s">
        <v>1562</v>
      </c>
      <c r="Q9866" t="s">
        <v>2040</v>
      </c>
      <c r="R9866" t="s">
        <v>2634</v>
      </c>
      <c r="S9866">
        <v>35</v>
      </c>
      <c r="T9866" s="43" t="str">
        <f t="shared" si="422"/>
        <v>2019.006G.zip</v>
      </c>
      <c r="U9866" s="43" t="str">
        <f>HYPERLINK("https://ictv.global/taxonomy/taxondetails?taxnode_id=202204614","ictv.global=202204614")</f>
        <v>ictv.global=202204614</v>
      </c>
    </row>
    <row r="9867" spans="1:21">
      <c r="A9867">
        <v>9866</v>
      </c>
      <c r="B9867" s="29" t="s">
        <v>3223</v>
      </c>
      <c r="C9867" s="29"/>
      <c r="D9867" s="29" t="s">
        <v>4156</v>
      </c>
      <c r="E9867" s="29"/>
      <c r="F9867" s="29" t="s">
        <v>4230</v>
      </c>
      <c r="G9867" s="29"/>
      <c r="H9867" s="29" t="s">
        <v>4337</v>
      </c>
      <c r="I9867" s="29"/>
      <c r="J9867" s="29" t="s">
        <v>4338</v>
      </c>
      <c r="K9867" s="29"/>
      <c r="L9867" s="29" t="s">
        <v>391</v>
      </c>
      <c r="M9867" s="29"/>
      <c r="N9867" s="29" t="s">
        <v>479</v>
      </c>
      <c r="O9867" s="29"/>
      <c r="P9867" s="29" t="s">
        <v>1563</v>
      </c>
      <c r="Q9867" t="s">
        <v>2040</v>
      </c>
      <c r="R9867" t="s">
        <v>2634</v>
      </c>
      <c r="S9867">
        <v>35</v>
      </c>
      <c r="T9867" s="43" t="str">
        <f t="shared" si="422"/>
        <v>2019.006G.zip</v>
      </c>
      <c r="U9867" s="43" t="str">
        <f>HYPERLINK("https://ictv.global/taxonomy/taxondetails?taxnode_id=202204615","ictv.global=202204615")</f>
        <v>ictv.global=202204615</v>
      </c>
    </row>
    <row r="9868" spans="1:21">
      <c r="A9868">
        <v>9867</v>
      </c>
      <c r="B9868" s="29" t="s">
        <v>3223</v>
      </c>
      <c r="C9868" s="29"/>
      <c r="D9868" s="29" t="s">
        <v>4156</v>
      </c>
      <c r="E9868" s="29"/>
      <c r="F9868" s="29" t="s">
        <v>4230</v>
      </c>
      <c r="G9868" s="29"/>
      <c r="H9868" s="29" t="s">
        <v>4337</v>
      </c>
      <c r="I9868" s="29"/>
      <c r="J9868" s="29" t="s">
        <v>4338</v>
      </c>
      <c r="K9868" s="29"/>
      <c r="L9868" s="29" t="s">
        <v>391</v>
      </c>
      <c r="M9868" s="29"/>
      <c r="N9868" s="29" t="s">
        <v>479</v>
      </c>
      <c r="O9868" s="29"/>
      <c r="P9868" s="29" t="s">
        <v>4349</v>
      </c>
      <c r="Q9868" t="s">
        <v>2040</v>
      </c>
      <c r="R9868" t="s">
        <v>2632</v>
      </c>
      <c r="S9868">
        <v>35</v>
      </c>
      <c r="T9868" s="43" t="str">
        <f>HYPERLINK("https://ictv.global/ictv/proposals/2019.016P.zip","2019.016P.zip")</f>
        <v>2019.016P.zip</v>
      </c>
      <c r="U9868" s="43" t="str">
        <f>HYPERLINK("https://ictv.global/taxonomy/taxondetails?taxnode_id=202207434","ictv.global=202207434")</f>
        <v>ictv.global=202207434</v>
      </c>
    </row>
    <row r="9869" spans="1:21">
      <c r="A9869">
        <v>9868</v>
      </c>
      <c r="B9869" s="29" t="s">
        <v>3223</v>
      </c>
      <c r="C9869" s="29"/>
      <c r="D9869" s="29" t="s">
        <v>4156</v>
      </c>
      <c r="E9869" s="29"/>
      <c r="F9869" s="29" t="s">
        <v>4230</v>
      </c>
      <c r="G9869" s="29"/>
      <c r="H9869" s="29" t="s">
        <v>4337</v>
      </c>
      <c r="I9869" s="29"/>
      <c r="J9869" s="29" t="s">
        <v>4338</v>
      </c>
      <c r="K9869" s="29"/>
      <c r="L9869" s="29" t="s">
        <v>391</v>
      </c>
      <c r="M9869" s="29"/>
      <c r="N9869" s="29" t="s">
        <v>479</v>
      </c>
      <c r="O9869" s="29"/>
      <c r="P9869" s="29" t="s">
        <v>2004</v>
      </c>
      <c r="Q9869" t="s">
        <v>2040</v>
      </c>
      <c r="R9869" t="s">
        <v>2634</v>
      </c>
      <c r="S9869">
        <v>35</v>
      </c>
      <c r="T9869" s="43" t="str">
        <f t="shared" ref="T9869:T9888" si="423">HYPERLINK("https://ictv.global/ictv/proposals/2019.006G.zip","2019.006G.zip")</f>
        <v>2019.006G.zip</v>
      </c>
      <c r="U9869" s="43" t="str">
        <f>HYPERLINK("https://ictv.global/taxonomy/taxondetails?taxnode_id=202204616","ictv.global=202204616")</f>
        <v>ictv.global=202204616</v>
      </c>
    </row>
    <row r="9870" spans="1:21">
      <c r="A9870">
        <v>9869</v>
      </c>
      <c r="B9870" s="29" t="s">
        <v>3223</v>
      </c>
      <c r="C9870" s="29"/>
      <c r="D9870" s="29" t="s">
        <v>4156</v>
      </c>
      <c r="E9870" s="29"/>
      <c r="F9870" s="29" t="s">
        <v>4230</v>
      </c>
      <c r="G9870" s="29"/>
      <c r="H9870" s="29" t="s">
        <v>4337</v>
      </c>
      <c r="I9870" s="29"/>
      <c r="J9870" s="29" t="s">
        <v>4338</v>
      </c>
      <c r="K9870" s="29"/>
      <c r="L9870" s="29" t="s">
        <v>391</v>
      </c>
      <c r="M9870" s="29"/>
      <c r="N9870" s="29" t="s">
        <v>479</v>
      </c>
      <c r="O9870" s="29"/>
      <c r="P9870" s="29" t="s">
        <v>1569</v>
      </c>
      <c r="Q9870" t="s">
        <v>2040</v>
      </c>
      <c r="R9870" t="s">
        <v>2634</v>
      </c>
      <c r="S9870">
        <v>35</v>
      </c>
      <c r="T9870" s="43" t="str">
        <f t="shared" si="423"/>
        <v>2019.006G.zip</v>
      </c>
      <c r="U9870" s="43" t="str">
        <f>HYPERLINK("https://ictv.global/taxonomy/taxondetails?taxnode_id=202204617","ictv.global=202204617")</f>
        <v>ictv.global=202204617</v>
      </c>
    </row>
    <row r="9871" spans="1:21">
      <c r="A9871">
        <v>9870</v>
      </c>
      <c r="B9871" s="29" t="s">
        <v>3223</v>
      </c>
      <c r="C9871" s="29"/>
      <c r="D9871" s="29" t="s">
        <v>4156</v>
      </c>
      <c r="E9871" s="29"/>
      <c r="F9871" s="29" t="s">
        <v>4230</v>
      </c>
      <c r="G9871" s="29"/>
      <c r="H9871" s="29" t="s">
        <v>4337</v>
      </c>
      <c r="I9871" s="29"/>
      <c r="J9871" s="29" t="s">
        <v>4338</v>
      </c>
      <c r="K9871" s="29"/>
      <c r="L9871" s="29" t="s">
        <v>391</v>
      </c>
      <c r="M9871" s="29"/>
      <c r="N9871" s="29" t="s">
        <v>479</v>
      </c>
      <c r="O9871" s="29"/>
      <c r="P9871" s="29" t="s">
        <v>437</v>
      </c>
      <c r="Q9871" t="s">
        <v>2040</v>
      </c>
      <c r="R9871" t="s">
        <v>2634</v>
      </c>
      <c r="S9871">
        <v>35</v>
      </c>
      <c r="T9871" s="43" t="str">
        <f t="shared" si="423"/>
        <v>2019.006G.zip</v>
      </c>
      <c r="U9871" s="43" t="str">
        <f>HYPERLINK("https://ictv.global/taxonomy/taxondetails?taxnode_id=202204618","ictv.global=202204618")</f>
        <v>ictv.global=202204618</v>
      </c>
    </row>
    <row r="9872" spans="1:21">
      <c r="A9872">
        <v>9871</v>
      </c>
      <c r="B9872" s="29" t="s">
        <v>3223</v>
      </c>
      <c r="C9872" s="29"/>
      <c r="D9872" s="29" t="s">
        <v>4156</v>
      </c>
      <c r="E9872" s="29"/>
      <c r="F9872" s="29" t="s">
        <v>4230</v>
      </c>
      <c r="G9872" s="29"/>
      <c r="H9872" s="29" t="s">
        <v>4337</v>
      </c>
      <c r="I9872" s="29"/>
      <c r="J9872" s="29" t="s">
        <v>4338</v>
      </c>
      <c r="K9872" s="29"/>
      <c r="L9872" s="29" t="s">
        <v>391</v>
      </c>
      <c r="M9872" s="29"/>
      <c r="N9872" s="29" t="s">
        <v>479</v>
      </c>
      <c r="O9872" s="29"/>
      <c r="P9872" s="29" t="s">
        <v>438</v>
      </c>
      <c r="Q9872" t="s">
        <v>2040</v>
      </c>
      <c r="R9872" t="s">
        <v>2634</v>
      </c>
      <c r="S9872">
        <v>35</v>
      </c>
      <c r="T9872" s="43" t="str">
        <f t="shared" si="423"/>
        <v>2019.006G.zip</v>
      </c>
      <c r="U9872" s="43" t="str">
        <f>HYPERLINK("https://ictv.global/taxonomy/taxondetails?taxnode_id=202204619","ictv.global=202204619")</f>
        <v>ictv.global=202204619</v>
      </c>
    </row>
    <row r="9873" spans="1:21">
      <c r="A9873">
        <v>9872</v>
      </c>
      <c r="B9873" s="29" t="s">
        <v>3223</v>
      </c>
      <c r="C9873" s="29"/>
      <c r="D9873" s="29" t="s">
        <v>4156</v>
      </c>
      <c r="E9873" s="29"/>
      <c r="F9873" s="29" t="s">
        <v>4230</v>
      </c>
      <c r="G9873" s="29"/>
      <c r="H9873" s="29" t="s">
        <v>4337</v>
      </c>
      <c r="I9873" s="29"/>
      <c r="J9873" s="29" t="s">
        <v>4338</v>
      </c>
      <c r="K9873" s="29"/>
      <c r="L9873" s="29" t="s">
        <v>391</v>
      </c>
      <c r="M9873" s="29"/>
      <c r="N9873" s="29" t="s">
        <v>479</v>
      </c>
      <c r="O9873" s="29"/>
      <c r="P9873" s="29" t="s">
        <v>439</v>
      </c>
      <c r="Q9873" t="s">
        <v>2040</v>
      </c>
      <c r="R9873" t="s">
        <v>2634</v>
      </c>
      <c r="S9873">
        <v>35</v>
      </c>
      <c r="T9873" s="43" t="str">
        <f t="shared" si="423"/>
        <v>2019.006G.zip</v>
      </c>
      <c r="U9873" s="43" t="str">
        <f>HYPERLINK("https://ictv.global/taxonomy/taxondetails?taxnode_id=202204620","ictv.global=202204620")</f>
        <v>ictv.global=202204620</v>
      </c>
    </row>
    <row r="9874" spans="1:21">
      <c r="A9874">
        <v>9873</v>
      </c>
      <c r="B9874" s="29" t="s">
        <v>3223</v>
      </c>
      <c r="C9874" s="29"/>
      <c r="D9874" s="29" t="s">
        <v>4156</v>
      </c>
      <c r="E9874" s="29"/>
      <c r="F9874" s="29" t="s">
        <v>4230</v>
      </c>
      <c r="G9874" s="29"/>
      <c r="H9874" s="29" t="s">
        <v>4337</v>
      </c>
      <c r="I9874" s="29"/>
      <c r="J9874" s="29" t="s">
        <v>4338</v>
      </c>
      <c r="K9874" s="29"/>
      <c r="L9874" s="29" t="s">
        <v>391</v>
      </c>
      <c r="M9874" s="29"/>
      <c r="N9874" s="29" t="s">
        <v>479</v>
      </c>
      <c r="O9874" s="29"/>
      <c r="P9874" s="29" t="s">
        <v>440</v>
      </c>
      <c r="Q9874" t="s">
        <v>2040</v>
      </c>
      <c r="R9874" t="s">
        <v>2634</v>
      </c>
      <c r="S9874">
        <v>35</v>
      </c>
      <c r="T9874" s="43" t="str">
        <f t="shared" si="423"/>
        <v>2019.006G.zip</v>
      </c>
      <c r="U9874" s="43" t="str">
        <f>HYPERLINK("https://ictv.global/taxonomy/taxondetails?taxnode_id=202204621","ictv.global=202204621")</f>
        <v>ictv.global=202204621</v>
      </c>
    </row>
    <row r="9875" spans="1:21">
      <c r="A9875">
        <v>9874</v>
      </c>
      <c r="B9875" s="29" t="s">
        <v>3223</v>
      </c>
      <c r="C9875" s="29"/>
      <c r="D9875" s="29" t="s">
        <v>4156</v>
      </c>
      <c r="E9875" s="29"/>
      <c r="F9875" s="29" t="s">
        <v>4230</v>
      </c>
      <c r="G9875" s="29"/>
      <c r="H9875" s="29" t="s">
        <v>4337</v>
      </c>
      <c r="I9875" s="29"/>
      <c r="J9875" s="29" t="s">
        <v>4338</v>
      </c>
      <c r="K9875" s="29"/>
      <c r="L9875" s="29" t="s">
        <v>391</v>
      </c>
      <c r="M9875" s="29"/>
      <c r="N9875" s="29" t="s">
        <v>479</v>
      </c>
      <c r="O9875" s="29"/>
      <c r="P9875" s="29" t="s">
        <v>2964</v>
      </c>
      <c r="Q9875" t="s">
        <v>2040</v>
      </c>
      <c r="R9875" t="s">
        <v>2634</v>
      </c>
      <c r="S9875">
        <v>35</v>
      </c>
      <c r="T9875" s="43" t="str">
        <f t="shared" si="423"/>
        <v>2019.006G.zip</v>
      </c>
      <c r="U9875" s="43" t="str">
        <f>HYPERLINK("https://ictv.global/taxonomy/taxondetails?taxnode_id=202205921","ictv.global=202205921")</f>
        <v>ictv.global=202205921</v>
      </c>
    </row>
    <row r="9876" spans="1:21">
      <c r="A9876">
        <v>9875</v>
      </c>
      <c r="B9876" s="29" t="s">
        <v>3223</v>
      </c>
      <c r="C9876" s="29"/>
      <c r="D9876" s="29" t="s">
        <v>4156</v>
      </c>
      <c r="E9876" s="29"/>
      <c r="F9876" s="29" t="s">
        <v>4230</v>
      </c>
      <c r="G9876" s="29"/>
      <c r="H9876" s="29" t="s">
        <v>4337</v>
      </c>
      <c r="I9876" s="29"/>
      <c r="J9876" s="29" t="s">
        <v>4338</v>
      </c>
      <c r="K9876" s="29"/>
      <c r="L9876" s="29" t="s">
        <v>391</v>
      </c>
      <c r="M9876" s="29"/>
      <c r="N9876" s="29" t="s">
        <v>479</v>
      </c>
      <c r="O9876" s="29"/>
      <c r="P9876" s="29" t="s">
        <v>441</v>
      </c>
      <c r="Q9876" t="s">
        <v>2040</v>
      </c>
      <c r="R9876" t="s">
        <v>2634</v>
      </c>
      <c r="S9876">
        <v>35</v>
      </c>
      <c r="T9876" s="43" t="str">
        <f t="shared" si="423"/>
        <v>2019.006G.zip</v>
      </c>
      <c r="U9876" s="43" t="str">
        <f>HYPERLINK("https://ictv.global/taxonomy/taxondetails?taxnode_id=202204622","ictv.global=202204622")</f>
        <v>ictv.global=202204622</v>
      </c>
    </row>
    <row r="9877" spans="1:21">
      <c r="A9877">
        <v>9876</v>
      </c>
      <c r="B9877" s="29" t="s">
        <v>3223</v>
      </c>
      <c r="C9877" s="29"/>
      <c r="D9877" s="29" t="s">
        <v>4156</v>
      </c>
      <c r="E9877" s="29"/>
      <c r="F9877" s="29" t="s">
        <v>4230</v>
      </c>
      <c r="G9877" s="29"/>
      <c r="H9877" s="29" t="s">
        <v>4337</v>
      </c>
      <c r="I9877" s="29"/>
      <c r="J9877" s="29" t="s">
        <v>4338</v>
      </c>
      <c r="K9877" s="29"/>
      <c r="L9877" s="29" t="s">
        <v>391</v>
      </c>
      <c r="M9877" s="29"/>
      <c r="N9877" s="29" t="s">
        <v>479</v>
      </c>
      <c r="O9877" s="29"/>
      <c r="P9877" s="29" t="s">
        <v>442</v>
      </c>
      <c r="Q9877" t="s">
        <v>2040</v>
      </c>
      <c r="R9877" t="s">
        <v>2634</v>
      </c>
      <c r="S9877">
        <v>35</v>
      </c>
      <c r="T9877" s="43" t="str">
        <f t="shared" si="423"/>
        <v>2019.006G.zip</v>
      </c>
      <c r="U9877" s="43" t="str">
        <f>HYPERLINK("https://ictv.global/taxonomy/taxondetails?taxnode_id=202204623","ictv.global=202204623")</f>
        <v>ictv.global=202204623</v>
      </c>
    </row>
    <row r="9878" spans="1:21">
      <c r="A9878">
        <v>9877</v>
      </c>
      <c r="B9878" s="29" t="s">
        <v>3223</v>
      </c>
      <c r="C9878" s="29"/>
      <c r="D9878" s="29" t="s">
        <v>4156</v>
      </c>
      <c r="E9878" s="29"/>
      <c r="F9878" s="29" t="s">
        <v>4230</v>
      </c>
      <c r="G9878" s="29"/>
      <c r="H9878" s="29" t="s">
        <v>4337</v>
      </c>
      <c r="I9878" s="29"/>
      <c r="J9878" s="29" t="s">
        <v>4338</v>
      </c>
      <c r="K9878" s="29"/>
      <c r="L9878" s="29" t="s">
        <v>391</v>
      </c>
      <c r="M9878" s="29"/>
      <c r="N9878" s="29" t="s">
        <v>479</v>
      </c>
      <c r="O9878" s="29"/>
      <c r="P9878" s="29" t="s">
        <v>443</v>
      </c>
      <c r="Q9878" t="s">
        <v>2040</v>
      </c>
      <c r="R9878" t="s">
        <v>2634</v>
      </c>
      <c r="S9878">
        <v>35</v>
      </c>
      <c r="T9878" s="43" t="str">
        <f t="shared" si="423"/>
        <v>2019.006G.zip</v>
      </c>
      <c r="U9878" s="43" t="str">
        <f>HYPERLINK("https://ictv.global/taxonomy/taxondetails?taxnode_id=202204624","ictv.global=202204624")</f>
        <v>ictv.global=202204624</v>
      </c>
    </row>
    <row r="9879" spans="1:21">
      <c r="A9879">
        <v>9878</v>
      </c>
      <c r="B9879" s="29" t="s">
        <v>3223</v>
      </c>
      <c r="C9879" s="29"/>
      <c r="D9879" s="29" t="s">
        <v>4156</v>
      </c>
      <c r="E9879" s="29"/>
      <c r="F9879" s="29" t="s">
        <v>4230</v>
      </c>
      <c r="G9879" s="29"/>
      <c r="H9879" s="29" t="s">
        <v>4337</v>
      </c>
      <c r="I9879" s="29"/>
      <c r="J9879" s="29" t="s">
        <v>4338</v>
      </c>
      <c r="K9879" s="29"/>
      <c r="L9879" s="29" t="s">
        <v>391</v>
      </c>
      <c r="M9879" s="29"/>
      <c r="N9879" s="29" t="s">
        <v>479</v>
      </c>
      <c r="O9879" s="29"/>
      <c r="P9879" s="29" t="s">
        <v>444</v>
      </c>
      <c r="Q9879" t="s">
        <v>2040</v>
      </c>
      <c r="R9879" t="s">
        <v>2634</v>
      </c>
      <c r="S9879">
        <v>35</v>
      </c>
      <c r="T9879" s="43" t="str">
        <f t="shared" si="423"/>
        <v>2019.006G.zip</v>
      </c>
      <c r="U9879" s="43" t="str">
        <f>HYPERLINK("https://ictv.global/taxonomy/taxondetails?taxnode_id=202204625","ictv.global=202204625")</f>
        <v>ictv.global=202204625</v>
      </c>
    </row>
    <row r="9880" spans="1:21">
      <c r="A9880">
        <v>9879</v>
      </c>
      <c r="B9880" s="29" t="s">
        <v>3223</v>
      </c>
      <c r="C9880" s="29"/>
      <c r="D9880" s="29" t="s">
        <v>4156</v>
      </c>
      <c r="E9880" s="29"/>
      <c r="F9880" s="29" t="s">
        <v>4230</v>
      </c>
      <c r="G9880" s="29"/>
      <c r="H9880" s="29" t="s">
        <v>4337</v>
      </c>
      <c r="I9880" s="29"/>
      <c r="J9880" s="29" t="s">
        <v>4338</v>
      </c>
      <c r="K9880" s="29"/>
      <c r="L9880" s="29" t="s">
        <v>391</v>
      </c>
      <c r="M9880" s="29"/>
      <c r="N9880" s="29" t="s">
        <v>479</v>
      </c>
      <c r="O9880" s="29"/>
      <c r="P9880" s="29" t="s">
        <v>2542</v>
      </c>
      <c r="Q9880" t="s">
        <v>2040</v>
      </c>
      <c r="R9880" t="s">
        <v>2634</v>
      </c>
      <c r="S9880">
        <v>35</v>
      </c>
      <c r="T9880" s="43" t="str">
        <f t="shared" si="423"/>
        <v>2019.006G.zip</v>
      </c>
      <c r="U9880" s="43" t="str">
        <f>HYPERLINK("https://ictv.global/taxonomy/taxondetails?taxnode_id=202204626","ictv.global=202204626")</f>
        <v>ictv.global=202204626</v>
      </c>
    </row>
    <row r="9881" spans="1:21">
      <c r="A9881">
        <v>9880</v>
      </c>
      <c r="B9881" s="29" t="s">
        <v>3223</v>
      </c>
      <c r="C9881" s="29"/>
      <c r="D9881" s="29" t="s">
        <v>4156</v>
      </c>
      <c r="E9881" s="29"/>
      <c r="F9881" s="29" t="s">
        <v>4230</v>
      </c>
      <c r="G9881" s="29"/>
      <c r="H9881" s="29" t="s">
        <v>4337</v>
      </c>
      <c r="I9881" s="29"/>
      <c r="J9881" s="29" t="s">
        <v>4338</v>
      </c>
      <c r="K9881" s="29"/>
      <c r="L9881" s="29" t="s">
        <v>391</v>
      </c>
      <c r="M9881" s="29"/>
      <c r="N9881" s="29" t="s">
        <v>479</v>
      </c>
      <c r="O9881" s="29"/>
      <c r="P9881" s="29" t="s">
        <v>445</v>
      </c>
      <c r="Q9881" t="s">
        <v>2040</v>
      </c>
      <c r="R9881" t="s">
        <v>2634</v>
      </c>
      <c r="S9881">
        <v>35</v>
      </c>
      <c r="T9881" s="43" t="str">
        <f t="shared" si="423"/>
        <v>2019.006G.zip</v>
      </c>
      <c r="U9881" s="43" t="str">
        <f>HYPERLINK("https://ictv.global/taxonomy/taxondetails?taxnode_id=202204627","ictv.global=202204627")</f>
        <v>ictv.global=202204627</v>
      </c>
    </row>
    <row r="9882" spans="1:21">
      <c r="A9882">
        <v>9881</v>
      </c>
      <c r="B9882" s="29" t="s">
        <v>3223</v>
      </c>
      <c r="C9882" s="29"/>
      <c r="D9882" s="29" t="s">
        <v>4156</v>
      </c>
      <c r="E9882" s="29"/>
      <c r="F9882" s="29" t="s">
        <v>4230</v>
      </c>
      <c r="G9882" s="29"/>
      <c r="H9882" s="29" t="s">
        <v>4337</v>
      </c>
      <c r="I9882" s="29"/>
      <c r="J9882" s="29" t="s">
        <v>4338</v>
      </c>
      <c r="K9882" s="29"/>
      <c r="L9882" s="29" t="s">
        <v>391</v>
      </c>
      <c r="M9882" s="29"/>
      <c r="N9882" s="29" t="s">
        <v>479</v>
      </c>
      <c r="O9882" s="29"/>
      <c r="P9882" s="29" t="s">
        <v>2965</v>
      </c>
      <c r="Q9882" t="s">
        <v>2040</v>
      </c>
      <c r="R9882" t="s">
        <v>2634</v>
      </c>
      <c r="S9882">
        <v>35</v>
      </c>
      <c r="T9882" s="43" t="str">
        <f t="shared" si="423"/>
        <v>2019.006G.zip</v>
      </c>
      <c r="U9882" s="43" t="str">
        <f>HYPERLINK("https://ictv.global/taxonomy/taxondetails?taxnode_id=202204628","ictv.global=202204628")</f>
        <v>ictv.global=202204628</v>
      </c>
    </row>
    <row r="9883" spans="1:21">
      <c r="A9883">
        <v>9882</v>
      </c>
      <c r="B9883" s="29" t="s">
        <v>3223</v>
      </c>
      <c r="C9883" s="29"/>
      <c r="D9883" s="29" t="s">
        <v>4156</v>
      </c>
      <c r="E9883" s="29"/>
      <c r="F9883" s="29" t="s">
        <v>4230</v>
      </c>
      <c r="G9883" s="29"/>
      <c r="H9883" s="29" t="s">
        <v>4337</v>
      </c>
      <c r="I9883" s="29"/>
      <c r="J9883" s="29" t="s">
        <v>4338</v>
      </c>
      <c r="K9883" s="29"/>
      <c r="L9883" s="29" t="s">
        <v>391</v>
      </c>
      <c r="M9883" s="29"/>
      <c r="N9883" s="29" t="s">
        <v>479</v>
      </c>
      <c r="O9883" s="29"/>
      <c r="P9883" s="29" t="s">
        <v>2005</v>
      </c>
      <c r="Q9883" t="s">
        <v>2040</v>
      </c>
      <c r="R9883" t="s">
        <v>2634</v>
      </c>
      <c r="S9883">
        <v>35</v>
      </c>
      <c r="T9883" s="43" t="str">
        <f t="shared" si="423"/>
        <v>2019.006G.zip</v>
      </c>
      <c r="U9883" s="43" t="str">
        <f>HYPERLINK("https://ictv.global/taxonomy/taxondetails?taxnode_id=202204629","ictv.global=202204629")</f>
        <v>ictv.global=202204629</v>
      </c>
    </row>
    <row r="9884" spans="1:21">
      <c r="A9884">
        <v>9883</v>
      </c>
      <c r="B9884" s="29" t="s">
        <v>3223</v>
      </c>
      <c r="C9884" s="29"/>
      <c r="D9884" s="29" t="s">
        <v>4156</v>
      </c>
      <c r="E9884" s="29"/>
      <c r="F9884" s="29" t="s">
        <v>4230</v>
      </c>
      <c r="G9884" s="29"/>
      <c r="H9884" s="29" t="s">
        <v>4337</v>
      </c>
      <c r="I9884" s="29"/>
      <c r="J9884" s="29" t="s">
        <v>4338</v>
      </c>
      <c r="K9884" s="29"/>
      <c r="L9884" s="29" t="s">
        <v>391</v>
      </c>
      <c r="M9884" s="29"/>
      <c r="N9884" s="29" t="s">
        <v>479</v>
      </c>
      <c r="O9884" s="29"/>
      <c r="P9884" s="29" t="s">
        <v>446</v>
      </c>
      <c r="Q9884" t="s">
        <v>2040</v>
      </c>
      <c r="R9884" t="s">
        <v>2634</v>
      </c>
      <c r="S9884">
        <v>35</v>
      </c>
      <c r="T9884" s="43" t="str">
        <f t="shared" si="423"/>
        <v>2019.006G.zip</v>
      </c>
      <c r="U9884" s="43" t="str">
        <f>HYPERLINK("https://ictv.global/taxonomy/taxondetails?taxnode_id=202204630","ictv.global=202204630")</f>
        <v>ictv.global=202204630</v>
      </c>
    </row>
    <row r="9885" spans="1:21">
      <c r="A9885">
        <v>9884</v>
      </c>
      <c r="B9885" s="29" t="s">
        <v>3223</v>
      </c>
      <c r="C9885" s="29"/>
      <c r="D9885" s="29" t="s">
        <v>4156</v>
      </c>
      <c r="E9885" s="29"/>
      <c r="F9885" s="29" t="s">
        <v>4230</v>
      </c>
      <c r="G9885" s="29"/>
      <c r="H9885" s="29" t="s">
        <v>4337</v>
      </c>
      <c r="I9885" s="29"/>
      <c r="J9885" s="29" t="s">
        <v>4338</v>
      </c>
      <c r="K9885" s="29"/>
      <c r="L9885" s="29" t="s">
        <v>391</v>
      </c>
      <c r="M9885" s="29"/>
      <c r="N9885" s="29" t="s">
        <v>479</v>
      </c>
      <c r="O9885" s="29"/>
      <c r="P9885" s="29" t="s">
        <v>447</v>
      </c>
      <c r="Q9885" t="s">
        <v>2040</v>
      </c>
      <c r="R9885" t="s">
        <v>2634</v>
      </c>
      <c r="S9885">
        <v>35</v>
      </c>
      <c r="T9885" s="43" t="str">
        <f t="shared" si="423"/>
        <v>2019.006G.zip</v>
      </c>
      <c r="U9885" s="43" t="str">
        <f>HYPERLINK("https://ictv.global/taxonomy/taxondetails?taxnode_id=202204631","ictv.global=202204631")</f>
        <v>ictv.global=202204631</v>
      </c>
    </row>
    <row r="9886" spans="1:21">
      <c r="A9886">
        <v>9885</v>
      </c>
      <c r="B9886" s="29" t="s">
        <v>3223</v>
      </c>
      <c r="C9886" s="29"/>
      <c r="D9886" s="29" t="s">
        <v>4156</v>
      </c>
      <c r="E9886" s="29"/>
      <c r="F9886" s="29" t="s">
        <v>4230</v>
      </c>
      <c r="G9886" s="29"/>
      <c r="H9886" s="29" t="s">
        <v>4337</v>
      </c>
      <c r="I9886" s="29"/>
      <c r="J9886" s="29" t="s">
        <v>4338</v>
      </c>
      <c r="K9886" s="29"/>
      <c r="L9886" s="29" t="s">
        <v>391</v>
      </c>
      <c r="M9886" s="29"/>
      <c r="N9886" s="29" t="s">
        <v>479</v>
      </c>
      <c r="O9886" s="29"/>
      <c r="P9886" s="29" t="s">
        <v>2543</v>
      </c>
      <c r="Q9886" t="s">
        <v>2040</v>
      </c>
      <c r="R9886" t="s">
        <v>2634</v>
      </c>
      <c r="S9886">
        <v>35</v>
      </c>
      <c r="T9886" s="43" t="str">
        <f t="shared" si="423"/>
        <v>2019.006G.zip</v>
      </c>
      <c r="U9886" s="43" t="str">
        <f>HYPERLINK("https://ictv.global/taxonomy/taxondetails?taxnode_id=202204632","ictv.global=202204632")</f>
        <v>ictv.global=202204632</v>
      </c>
    </row>
    <row r="9887" spans="1:21">
      <c r="A9887">
        <v>9886</v>
      </c>
      <c r="B9887" s="29" t="s">
        <v>3223</v>
      </c>
      <c r="C9887" s="29"/>
      <c r="D9887" s="29" t="s">
        <v>4156</v>
      </c>
      <c r="E9887" s="29"/>
      <c r="F9887" s="29" t="s">
        <v>4230</v>
      </c>
      <c r="G9887" s="29"/>
      <c r="H9887" s="29" t="s">
        <v>4337</v>
      </c>
      <c r="I9887" s="29"/>
      <c r="J9887" s="29" t="s">
        <v>4338</v>
      </c>
      <c r="K9887" s="29"/>
      <c r="L9887" s="29" t="s">
        <v>391</v>
      </c>
      <c r="M9887" s="29"/>
      <c r="N9887" s="29" t="s">
        <v>479</v>
      </c>
      <c r="O9887" s="29"/>
      <c r="P9887" s="29" t="s">
        <v>448</v>
      </c>
      <c r="Q9887" t="s">
        <v>2040</v>
      </c>
      <c r="R9887" t="s">
        <v>2634</v>
      </c>
      <c r="S9887">
        <v>35</v>
      </c>
      <c r="T9887" s="43" t="str">
        <f t="shared" si="423"/>
        <v>2019.006G.zip</v>
      </c>
      <c r="U9887" s="43" t="str">
        <f>HYPERLINK("https://ictv.global/taxonomy/taxondetails?taxnode_id=202204633","ictv.global=202204633")</f>
        <v>ictv.global=202204633</v>
      </c>
    </row>
    <row r="9888" spans="1:21">
      <c r="A9888">
        <v>9887</v>
      </c>
      <c r="B9888" s="29" t="s">
        <v>3223</v>
      </c>
      <c r="C9888" s="29"/>
      <c r="D9888" s="29" t="s">
        <v>4156</v>
      </c>
      <c r="E9888" s="29"/>
      <c r="F9888" s="29" t="s">
        <v>4230</v>
      </c>
      <c r="G9888" s="29"/>
      <c r="H9888" s="29" t="s">
        <v>4337</v>
      </c>
      <c r="I9888" s="29"/>
      <c r="J9888" s="29" t="s">
        <v>4338</v>
      </c>
      <c r="K9888" s="29"/>
      <c r="L9888" s="29" t="s">
        <v>391</v>
      </c>
      <c r="M9888" s="29"/>
      <c r="N9888" s="29" t="s">
        <v>479</v>
      </c>
      <c r="O9888" s="29"/>
      <c r="P9888" s="29" t="s">
        <v>449</v>
      </c>
      <c r="Q9888" t="s">
        <v>2040</v>
      </c>
      <c r="R9888" t="s">
        <v>2634</v>
      </c>
      <c r="S9888">
        <v>35</v>
      </c>
      <c r="T9888" s="43" t="str">
        <f t="shared" si="423"/>
        <v>2019.006G.zip</v>
      </c>
      <c r="U9888" s="43" t="str">
        <f>HYPERLINK("https://ictv.global/taxonomy/taxondetails?taxnode_id=202204634","ictv.global=202204634")</f>
        <v>ictv.global=202204634</v>
      </c>
    </row>
    <row r="9889" spans="1:21">
      <c r="A9889">
        <v>9888</v>
      </c>
      <c r="B9889" s="29" t="s">
        <v>3223</v>
      </c>
      <c r="C9889" s="29"/>
      <c r="D9889" s="29" t="s">
        <v>4156</v>
      </c>
      <c r="E9889" s="29"/>
      <c r="F9889" s="29" t="s">
        <v>4230</v>
      </c>
      <c r="G9889" s="29"/>
      <c r="H9889" s="29" t="s">
        <v>4337</v>
      </c>
      <c r="I9889" s="29"/>
      <c r="J9889" s="29" t="s">
        <v>4338</v>
      </c>
      <c r="K9889" s="29"/>
      <c r="L9889" s="29" t="s">
        <v>391</v>
      </c>
      <c r="M9889" s="29"/>
      <c r="N9889" s="29" t="s">
        <v>479</v>
      </c>
      <c r="O9889" s="29"/>
      <c r="P9889" s="29" t="s">
        <v>4350</v>
      </c>
      <c r="Q9889" t="s">
        <v>2040</v>
      </c>
      <c r="R9889" t="s">
        <v>2632</v>
      </c>
      <c r="S9889">
        <v>35</v>
      </c>
      <c r="T9889" s="43" t="str">
        <f>HYPERLINK("https://ictv.global/ictv/proposals/2019.016P.zip","2019.016P.zip")</f>
        <v>2019.016P.zip</v>
      </c>
      <c r="U9889" s="43" t="str">
        <f>HYPERLINK("https://ictv.global/taxonomy/taxondetails?taxnode_id=202207435","ictv.global=202207435")</f>
        <v>ictv.global=202207435</v>
      </c>
    </row>
    <row r="9890" spans="1:21">
      <c r="A9890">
        <v>9889</v>
      </c>
      <c r="B9890" s="29" t="s">
        <v>3223</v>
      </c>
      <c r="C9890" s="29"/>
      <c r="D9890" s="29" t="s">
        <v>4156</v>
      </c>
      <c r="E9890" s="29"/>
      <c r="F9890" s="29" t="s">
        <v>4230</v>
      </c>
      <c r="G9890" s="29"/>
      <c r="H9890" s="29" t="s">
        <v>4337</v>
      </c>
      <c r="I9890" s="29"/>
      <c r="J9890" s="29" t="s">
        <v>4338</v>
      </c>
      <c r="K9890" s="29"/>
      <c r="L9890" s="29" t="s">
        <v>391</v>
      </c>
      <c r="M9890" s="29"/>
      <c r="N9890" s="29" t="s">
        <v>479</v>
      </c>
      <c r="O9890" s="29"/>
      <c r="P9890" s="29" t="s">
        <v>2006</v>
      </c>
      <c r="Q9890" t="s">
        <v>2040</v>
      </c>
      <c r="R9890" t="s">
        <v>2634</v>
      </c>
      <c r="S9890">
        <v>35</v>
      </c>
      <c r="T9890" s="43" t="str">
        <f>HYPERLINK("https://ictv.global/ictv/proposals/2019.006G.zip","2019.006G.zip")</f>
        <v>2019.006G.zip</v>
      </c>
      <c r="U9890" s="43" t="str">
        <f>HYPERLINK("https://ictv.global/taxonomy/taxondetails?taxnode_id=202204635","ictv.global=202204635")</f>
        <v>ictv.global=202204635</v>
      </c>
    </row>
    <row r="9891" spans="1:21">
      <c r="A9891">
        <v>9890</v>
      </c>
      <c r="B9891" s="29" t="s">
        <v>3223</v>
      </c>
      <c r="C9891" s="29"/>
      <c r="D9891" s="29" t="s">
        <v>4156</v>
      </c>
      <c r="E9891" s="29"/>
      <c r="F9891" s="29" t="s">
        <v>4230</v>
      </c>
      <c r="G9891" s="29"/>
      <c r="H9891" s="29" t="s">
        <v>4337</v>
      </c>
      <c r="I9891" s="29"/>
      <c r="J9891" s="29" t="s">
        <v>4338</v>
      </c>
      <c r="K9891" s="29"/>
      <c r="L9891" s="29" t="s">
        <v>391</v>
      </c>
      <c r="M9891" s="29"/>
      <c r="N9891" s="29" t="s">
        <v>479</v>
      </c>
      <c r="O9891" s="29"/>
      <c r="P9891" s="29" t="s">
        <v>450</v>
      </c>
      <c r="Q9891" t="s">
        <v>2040</v>
      </c>
      <c r="R9891" t="s">
        <v>2634</v>
      </c>
      <c r="S9891">
        <v>35</v>
      </c>
      <c r="T9891" s="43" t="str">
        <f>HYPERLINK("https://ictv.global/ictv/proposals/2019.006G.zip","2019.006G.zip")</f>
        <v>2019.006G.zip</v>
      </c>
      <c r="U9891" s="43" t="str">
        <f>HYPERLINK("https://ictv.global/taxonomy/taxondetails?taxnode_id=202204636","ictv.global=202204636")</f>
        <v>ictv.global=202204636</v>
      </c>
    </row>
    <row r="9892" spans="1:21">
      <c r="A9892">
        <v>9891</v>
      </c>
      <c r="B9892" s="29" t="s">
        <v>3223</v>
      </c>
      <c r="C9892" s="29"/>
      <c r="D9892" s="29" t="s">
        <v>4156</v>
      </c>
      <c r="E9892" s="29"/>
      <c r="F9892" s="29" t="s">
        <v>4230</v>
      </c>
      <c r="G9892" s="29"/>
      <c r="H9892" s="29" t="s">
        <v>4337</v>
      </c>
      <c r="I9892" s="29"/>
      <c r="J9892" s="29" t="s">
        <v>4338</v>
      </c>
      <c r="K9892" s="29"/>
      <c r="L9892" s="29" t="s">
        <v>391</v>
      </c>
      <c r="M9892" s="29"/>
      <c r="N9892" s="29" t="s">
        <v>479</v>
      </c>
      <c r="O9892" s="29"/>
      <c r="P9892" s="29" t="s">
        <v>685</v>
      </c>
      <c r="Q9892" t="s">
        <v>2040</v>
      </c>
      <c r="R9892" t="s">
        <v>2634</v>
      </c>
      <c r="S9892">
        <v>35</v>
      </c>
      <c r="T9892" s="43" t="str">
        <f>HYPERLINK("https://ictv.global/ictv/proposals/2019.006G.zip","2019.006G.zip")</f>
        <v>2019.006G.zip</v>
      </c>
      <c r="U9892" s="43" t="str">
        <f>HYPERLINK("https://ictv.global/taxonomy/taxondetails?taxnode_id=202204637","ictv.global=202204637")</f>
        <v>ictv.global=202204637</v>
      </c>
    </row>
    <row r="9893" spans="1:21">
      <c r="A9893">
        <v>9892</v>
      </c>
      <c r="B9893" s="29" t="s">
        <v>3223</v>
      </c>
      <c r="C9893" s="29"/>
      <c r="D9893" s="29" t="s">
        <v>4156</v>
      </c>
      <c r="E9893" s="29"/>
      <c r="F9893" s="29" t="s">
        <v>4230</v>
      </c>
      <c r="G9893" s="29"/>
      <c r="H9893" s="29" t="s">
        <v>4337</v>
      </c>
      <c r="I9893" s="29"/>
      <c r="J9893" s="29" t="s">
        <v>4338</v>
      </c>
      <c r="K9893" s="29"/>
      <c r="L9893" s="29" t="s">
        <v>391</v>
      </c>
      <c r="M9893" s="29"/>
      <c r="N9893" s="29" t="s">
        <v>479</v>
      </c>
      <c r="O9893" s="29"/>
      <c r="P9893" s="29" t="s">
        <v>1589</v>
      </c>
      <c r="Q9893" t="s">
        <v>2040</v>
      </c>
      <c r="R9893" t="s">
        <v>2634</v>
      </c>
      <c r="S9893">
        <v>35</v>
      </c>
      <c r="T9893" s="43" t="str">
        <f>HYPERLINK("https://ictv.global/ictv/proposals/2019.006G.zip","2019.006G.zip")</f>
        <v>2019.006G.zip</v>
      </c>
      <c r="U9893" s="43" t="str">
        <f>HYPERLINK("https://ictv.global/taxonomy/taxondetails?taxnode_id=202204638","ictv.global=202204638")</f>
        <v>ictv.global=202204638</v>
      </c>
    </row>
    <row r="9894" spans="1:21">
      <c r="A9894">
        <v>9893</v>
      </c>
      <c r="B9894" s="29" t="s">
        <v>3223</v>
      </c>
      <c r="C9894" s="29"/>
      <c r="D9894" s="29" t="s">
        <v>4156</v>
      </c>
      <c r="E9894" s="29"/>
      <c r="F9894" s="29" t="s">
        <v>4230</v>
      </c>
      <c r="G9894" s="29"/>
      <c r="H9894" s="29" t="s">
        <v>4337</v>
      </c>
      <c r="I9894" s="29"/>
      <c r="J9894" s="29" t="s">
        <v>4338</v>
      </c>
      <c r="K9894" s="29"/>
      <c r="L9894" s="29" t="s">
        <v>391</v>
      </c>
      <c r="M9894" s="29"/>
      <c r="N9894" s="29" t="s">
        <v>479</v>
      </c>
      <c r="O9894" s="29"/>
      <c r="P9894" s="29" t="s">
        <v>4351</v>
      </c>
      <c r="Q9894" t="s">
        <v>2040</v>
      </c>
      <c r="R9894" t="s">
        <v>2632</v>
      </c>
      <c r="S9894">
        <v>35</v>
      </c>
      <c r="T9894" s="43" t="str">
        <f>HYPERLINK("https://ictv.global/ictv/proposals/2019.016P.zip","2019.016P.zip")</f>
        <v>2019.016P.zip</v>
      </c>
      <c r="U9894" s="43" t="str">
        <f>HYPERLINK("https://ictv.global/taxonomy/taxondetails?taxnode_id=202207436","ictv.global=202207436")</f>
        <v>ictv.global=202207436</v>
      </c>
    </row>
    <row r="9895" spans="1:21">
      <c r="A9895">
        <v>9894</v>
      </c>
      <c r="B9895" s="29" t="s">
        <v>3223</v>
      </c>
      <c r="C9895" s="29"/>
      <c r="D9895" s="29" t="s">
        <v>4156</v>
      </c>
      <c r="E9895" s="29"/>
      <c r="F9895" s="29" t="s">
        <v>4230</v>
      </c>
      <c r="G9895" s="29"/>
      <c r="H9895" s="29" t="s">
        <v>4337</v>
      </c>
      <c r="I9895" s="29"/>
      <c r="J9895" s="29" t="s">
        <v>4338</v>
      </c>
      <c r="K9895" s="29"/>
      <c r="L9895" s="29" t="s">
        <v>391</v>
      </c>
      <c r="M9895" s="29"/>
      <c r="N9895" s="29" t="s">
        <v>479</v>
      </c>
      <c r="O9895" s="29"/>
      <c r="P9895" s="29" t="s">
        <v>686</v>
      </c>
      <c r="Q9895" t="s">
        <v>2040</v>
      </c>
      <c r="R9895" t="s">
        <v>2634</v>
      </c>
      <c r="S9895">
        <v>35</v>
      </c>
      <c r="T9895" s="43" t="str">
        <f t="shared" ref="T9895:T9901" si="424">HYPERLINK("https://ictv.global/ictv/proposals/2019.006G.zip","2019.006G.zip")</f>
        <v>2019.006G.zip</v>
      </c>
      <c r="U9895" s="43" t="str">
        <f>HYPERLINK("https://ictv.global/taxonomy/taxondetails?taxnode_id=202204639","ictv.global=202204639")</f>
        <v>ictv.global=202204639</v>
      </c>
    </row>
    <row r="9896" spans="1:21">
      <c r="A9896">
        <v>9895</v>
      </c>
      <c r="B9896" s="29" t="s">
        <v>3223</v>
      </c>
      <c r="C9896" s="29"/>
      <c r="D9896" s="29" t="s">
        <v>4156</v>
      </c>
      <c r="E9896" s="29"/>
      <c r="F9896" s="29" t="s">
        <v>4230</v>
      </c>
      <c r="G9896" s="29"/>
      <c r="H9896" s="29" t="s">
        <v>4337</v>
      </c>
      <c r="I9896" s="29"/>
      <c r="J9896" s="29" t="s">
        <v>4338</v>
      </c>
      <c r="K9896" s="29"/>
      <c r="L9896" s="29" t="s">
        <v>391</v>
      </c>
      <c r="M9896" s="29"/>
      <c r="N9896" s="29" t="s">
        <v>479</v>
      </c>
      <c r="O9896" s="29"/>
      <c r="P9896" s="29" t="s">
        <v>3353</v>
      </c>
      <c r="Q9896" t="s">
        <v>2040</v>
      </c>
      <c r="R9896" t="s">
        <v>2634</v>
      </c>
      <c r="S9896">
        <v>35</v>
      </c>
      <c r="T9896" s="43" t="str">
        <f t="shared" si="424"/>
        <v>2019.006G.zip</v>
      </c>
      <c r="U9896" s="43" t="str">
        <f>HYPERLINK("https://ictv.global/taxonomy/taxondetails?taxnode_id=202206673","ictv.global=202206673")</f>
        <v>ictv.global=202206673</v>
      </c>
    </row>
    <row r="9897" spans="1:21">
      <c r="A9897">
        <v>9896</v>
      </c>
      <c r="B9897" s="29" t="s">
        <v>3223</v>
      </c>
      <c r="C9897" s="29"/>
      <c r="D9897" s="29" t="s">
        <v>4156</v>
      </c>
      <c r="E9897" s="29"/>
      <c r="F9897" s="29" t="s">
        <v>4230</v>
      </c>
      <c r="G9897" s="29"/>
      <c r="H9897" s="29" t="s">
        <v>4337</v>
      </c>
      <c r="I9897" s="29"/>
      <c r="J9897" s="29" t="s">
        <v>4338</v>
      </c>
      <c r="K9897" s="29"/>
      <c r="L9897" s="29" t="s">
        <v>391</v>
      </c>
      <c r="M9897" s="29"/>
      <c r="N9897" s="29" t="s">
        <v>479</v>
      </c>
      <c r="O9897" s="29"/>
      <c r="P9897" s="29" t="s">
        <v>687</v>
      </c>
      <c r="Q9897" t="s">
        <v>2040</v>
      </c>
      <c r="R9897" t="s">
        <v>2634</v>
      </c>
      <c r="S9897">
        <v>35</v>
      </c>
      <c r="T9897" s="43" t="str">
        <f t="shared" si="424"/>
        <v>2019.006G.zip</v>
      </c>
      <c r="U9897" s="43" t="str">
        <f>HYPERLINK("https://ictv.global/taxonomy/taxondetails?taxnode_id=202204640","ictv.global=202204640")</f>
        <v>ictv.global=202204640</v>
      </c>
    </row>
    <row r="9898" spans="1:21">
      <c r="A9898">
        <v>9897</v>
      </c>
      <c r="B9898" s="29" t="s">
        <v>3223</v>
      </c>
      <c r="C9898" s="29"/>
      <c r="D9898" s="29" t="s">
        <v>4156</v>
      </c>
      <c r="E9898" s="29"/>
      <c r="F9898" s="29" t="s">
        <v>4230</v>
      </c>
      <c r="G9898" s="29"/>
      <c r="H9898" s="29" t="s">
        <v>4337</v>
      </c>
      <c r="I9898" s="29"/>
      <c r="J9898" s="29" t="s">
        <v>4338</v>
      </c>
      <c r="K9898" s="29"/>
      <c r="L9898" s="29" t="s">
        <v>391</v>
      </c>
      <c r="M9898" s="29"/>
      <c r="N9898" s="29" t="s">
        <v>479</v>
      </c>
      <c r="O9898" s="29"/>
      <c r="P9898" s="29" t="s">
        <v>736</v>
      </c>
      <c r="Q9898" t="s">
        <v>2040</v>
      </c>
      <c r="R9898" t="s">
        <v>2634</v>
      </c>
      <c r="S9898">
        <v>35</v>
      </c>
      <c r="T9898" s="43" t="str">
        <f t="shared" si="424"/>
        <v>2019.006G.zip</v>
      </c>
      <c r="U9898" s="43" t="str">
        <f>HYPERLINK("https://ictv.global/taxonomy/taxondetails?taxnode_id=202204641","ictv.global=202204641")</f>
        <v>ictv.global=202204641</v>
      </c>
    </row>
    <row r="9899" spans="1:21">
      <c r="A9899">
        <v>9898</v>
      </c>
      <c r="B9899" s="29" t="s">
        <v>3223</v>
      </c>
      <c r="C9899" s="29"/>
      <c r="D9899" s="29" t="s">
        <v>4156</v>
      </c>
      <c r="E9899" s="29"/>
      <c r="F9899" s="29" t="s">
        <v>4230</v>
      </c>
      <c r="G9899" s="29"/>
      <c r="H9899" s="29" t="s">
        <v>4337</v>
      </c>
      <c r="I9899" s="29"/>
      <c r="J9899" s="29" t="s">
        <v>4338</v>
      </c>
      <c r="K9899" s="29"/>
      <c r="L9899" s="29" t="s">
        <v>391</v>
      </c>
      <c r="M9899" s="29"/>
      <c r="N9899" s="29" t="s">
        <v>479</v>
      </c>
      <c r="O9899" s="29"/>
      <c r="P9899" s="29" t="s">
        <v>737</v>
      </c>
      <c r="Q9899" t="s">
        <v>2040</v>
      </c>
      <c r="R9899" t="s">
        <v>2634</v>
      </c>
      <c r="S9899">
        <v>35</v>
      </c>
      <c r="T9899" s="43" t="str">
        <f t="shared" si="424"/>
        <v>2019.006G.zip</v>
      </c>
      <c r="U9899" s="43" t="str">
        <f>HYPERLINK("https://ictv.global/taxonomy/taxondetails?taxnode_id=202204642","ictv.global=202204642")</f>
        <v>ictv.global=202204642</v>
      </c>
    </row>
    <row r="9900" spans="1:21">
      <c r="A9900">
        <v>9899</v>
      </c>
      <c r="B9900" s="29" t="s">
        <v>3223</v>
      </c>
      <c r="C9900" s="29"/>
      <c r="D9900" s="29" t="s">
        <v>4156</v>
      </c>
      <c r="E9900" s="29"/>
      <c r="F9900" s="29" t="s">
        <v>4230</v>
      </c>
      <c r="G9900" s="29"/>
      <c r="H9900" s="29" t="s">
        <v>4337</v>
      </c>
      <c r="I9900" s="29"/>
      <c r="J9900" s="29" t="s">
        <v>4338</v>
      </c>
      <c r="K9900" s="29"/>
      <c r="L9900" s="29" t="s">
        <v>391</v>
      </c>
      <c r="M9900" s="29"/>
      <c r="N9900" s="29" t="s">
        <v>479</v>
      </c>
      <c r="O9900" s="29"/>
      <c r="P9900" s="29" t="s">
        <v>738</v>
      </c>
      <c r="Q9900" t="s">
        <v>2040</v>
      </c>
      <c r="R9900" t="s">
        <v>2634</v>
      </c>
      <c r="S9900">
        <v>35</v>
      </c>
      <c r="T9900" s="43" t="str">
        <f t="shared" si="424"/>
        <v>2019.006G.zip</v>
      </c>
      <c r="U9900" s="43" t="str">
        <f>HYPERLINK("https://ictv.global/taxonomy/taxondetails?taxnode_id=202204643","ictv.global=202204643")</f>
        <v>ictv.global=202204643</v>
      </c>
    </row>
    <row r="9901" spans="1:21">
      <c r="A9901">
        <v>9900</v>
      </c>
      <c r="B9901" s="29" t="s">
        <v>3223</v>
      </c>
      <c r="C9901" s="29"/>
      <c r="D9901" s="29" t="s">
        <v>4156</v>
      </c>
      <c r="E9901" s="29"/>
      <c r="F9901" s="29" t="s">
        <v>4230</v>
      </c>
      <c r="G9901" s="29"/>
      <c r="H9901" s="29" t="s">
        <v>4337</v>
      </c>
      <c r="I9901" s="29"/>
      <c r="J9901" s="29" t="s">
        <v>4338</v>
      </c>
      <c r="K9901" s="29"/>
      <c r="L9901" s="29" t="s">
        <v>391</v>
      </c>
      <c r="M9901" s="29"/>
      <c r="N9901" s="29" t="s">
        <v>479</v>
      </c>
      <c r="O9901" s="29"/>
      <c r="P9901" s="29" t="s">
        <v>739</v>
      </c>
      <c r="Q9901" t="s">
        <v>2040</v>
      </c>
      <c r="R9901" t="s">
        <v>2634</v>
      </c>
      <c r="S9901">
        <v>35</v>
      </c>
      <c r="T9901" s="43" t="str">
        <f t="shared" si="424"/>
        <v>2019.006G.zip</v>
      </c>
      <c r="U9901" s="43" t="str">
        <f>HYPERLINK("https://ictv.global/taxonomy/taxondetails?taxnode_id=202204644","ictv.global=202204644")</f>
        <v>ictv.global=202204644</v>
      </c>
    </row>
    <row r="9902" spans="1:21">
      <c r="A9902">
        <v>9901</v>
      </c>
      <c r="B9902" s="29" t="s">
        <v>3223</v>
      </c>
      <c r="C9902" s="29"/>
      <c r="D9902" s="29" t="s">
        <v>4156</v>
      </c>
      <c r="E9902" s="29"/>
      <c r="F9902" s="29" t="s">
        <v>4230</v>
      </c>
      <c r="G9902" s="29"/>
      <c r="H9902" s="29" t="s">
        <v>4337</v>
      </c>
      <c r="I9902" s="29"/>
      <c r="J9902" s="29" t="s">
        <v>4338</v>
      </c>
      <c r="K9902" s="29"/>
      <c r="L9902" s="29" t="s">
        <v>391</v>
      </c>
      <c r="M9902" s="29"/>
      <c r="N9902" s="29" t="s">
        <v>479</v>
      </c>
      <c r="O9902" s="29"/>
      <c r="P9902" s="29" t="s">
        <v>6709</v>
      </c>
      <c r="Q9902" t="s">
        <v>2040</v>
      </c>
      <c r="R9902" t="s">
        <v>2632</v>
      </c>
      <c r="S9902">
        <v>36</v>
      </c>
      <c r="T9902" s="43" t="str">
        <f>HYPERLINK("https://ictv.global/ictv/proposals/2020.024P.R.Potyviridae_7nsp.zip","2020.024P.R.Potyviridae_7nsp.zip")</f>
        <v>2020.024P.R.Potyviridae_7nsp.zip</v>
      </c>
      <c r="U9902" s="43" t="str">
        <f>HYPERLINK("https://ictv.global/taxonomy/taxondetails?taxnode_id=202209671","ictv.global=202209671")</f>
        <v>ictv.global=202209671</v>
      </c>
    </row>
    <row r="9903" spans="1:21">
      <c r="A9903">
        <v>9902</v>
      </c>
      <c r="B9903" s="29" t="s">
        <v>3223</v>
      </c>
      <c r="C9903" s="29"/>
      <c r="D9903" s="29" t="s">
        <v>4156</v>
      </c>
      <c r="E9903" s="29"/>
      <c r="F9903" s="29" t="s">
        <v>4230</v>
      </c>
      <c r="G9903" s="29"/>
      <c r="H9903" s="29" t="s">
        <v>4337</v>
      </c>
      <c r="I9903" s="29"/>
      <c r="J9903" s="29" t="s">
        <v>4338</v>
      </c>
      <c r="K9903" s="29"/>
      <c r="L9903" s="29" t="s">
        <v>391</v>
      </c>
      <c r="M9903" s="29"/>
      <c r="N9903" s="29" t="s">
        <v>479</v>
      </c>
      <c r="O9903" s="29"/>
      <c r="P9903" s="29" t="s">
        <v>690</v>
      </c>
      <c r="Q9903" t="s">
        <v>2040</v>
      </c>
      <c r="R9903" t="s">
        <v>2634</v>
      </c>
      <c r="S9903">
        <v>35</v>
      </c>
      <c r="T9903" s="43" t="str">
        <f t="shared" ref="T9903:T9911" si="425">HYPERLINK("https://ictv.global/ictv/proposals/2019.006G.zip","2019.006G.zip")</f>
        <v>2019.006G.zip</v>
      </c>
      <c r="U9903" s="43" t="str">
        <f>HYPERLINK("https://ictv.global/taxonomy/taxondetails?taxnode_id=202204645","ictv.global=202204645")</f>
        <v>ictv.global=202204645</v>
      </c>
    </row>
    <row r="9904" spans="1:21">
      <c r="A9904">
        <v>9903</v>
      </c>
      <c r="B9904" s="29" t="s">
        <v>3223</v>
      </c>
      <c r="C9904" s="29"/>
      <c r="D9904" s="29" t="s">
        <v>4156</v>
      </c>
      <c r="E9904" s="29"/>
      <c r="F9904" s="29" t="s">
        <v>4230</v>
      </c>
      <c r="G9904" s="29"/>
      <c r="H9904" s="29" t="s">
        <v>4337</v>
      </c>
      <c r="I9904" s="29"/>
      <c r="J9904" s="29" t="s">
        <v>4338</v>
      </c>
      <c r="K9904" s="29"/>
      <c r="L9904" s="29" t="s">
        <v>391</v>
      </c>
      <c r="M9904" s="29"/>
      <c r="N9904" s="29" t="s">
        <v>479</v>
      </c>
      <c r="O9904" s="29"/>
      <c r="P9904" s="29" t="s">
        <v>691</v>
      </c>
      <c r="Q9904" t="s">
        <v>2040</v>
      </c>
      <c r="R9904" t="s">
        <v>2634</v>
      </c>
      <c r="S9904">
        <v>35</v>
      </c>
      <c r="T9904" s="43" t="str">
        <f t="shared" si="425"/>
        <v>2019.006G.zip</v>
      </c>
      <c r="U9904" s="43" t="str">
        <f>HYPERLINK("https://ictv.global/taxonomy/taxondetails?taxnode_id=202204646","ictv.global=202204646")</f>
        <v>ictv.global=202204646</v>
      </c>
    </row>
    <row r="9905" spans="1:21">
      <c r="A9905">
        <v>9904</v>
      </c>
      <c r="B9905" s="29" t="s">
        <v>3223</v>
      </c>
      <c r="C9905" s="29"/>
      <c r="D9905" s="29" t="s">
        <v>4156</v>
      </c>
      <c r="E9905" s="29"/>
      <c r="F9905" s="29" t="s">
        <v>4230</v>
      </c>
      <c r="G9905" s="29"/>
      <c r="H9905" s="29" t="s">
        <v>4337</v>
      </c>
      <c r="I9905" s="29"/>
      <c r="J9905" s="29" t="s">
        <v>4338</v>
      </c>
      <c r="K9905" s="29"/>
      <c r="L9905" s="29" t="s">
        <v>391</v>
      </c>
      <c r="M9905" s="29"/>
      <c r="N9905" s="29" t="s">
        <v>479</v>
      </c>
      <c r="O9905" s="29"/>
      <c r="P9905" s="29" t="s">
        <v>692</v>
      </c>
      <c r="Q9905" t="s">
        <v>2040</v>
      </c>
      <c r="R9905" t="s">
        <v>2634</v>
      </c>
      <c r="S9905">
        <v>35</v>
      </c>
      <c r="T9905" s="43" t="str">
        <f t="shared" si="425"/>
        <v>2019.006G.zip</v>
      </c>
      <c r="U9905" s="43" t="str">
        <f>HYPERLINK("https://ictv.global/taxonomy/taxondetails?taxnode_id=202204647","ictv.global=202204647")</f>
        <v>ictv.global=202204647</v>
      </c>
    </row>
    <row r="9906" spans="1:21">
      <c r="A9906">
        <v>9905</v>
      </c>
      <c r="B9906" s="29" t="s">
        <v>3223</v>
      </c>
      <c r="C9906" s="29"/>
      <c r="D9906" s="29" t="s">
        <v>4156</v>
      </c>
      <c r="E9906" s="29"/>
      <c r="F9906" s="29" t="s">
        <v>4230</v>
      </c>
      <c r="G9906" s="29"/>
      <c r="H9906" s="29" t="s">
        <v>4337</v>
      </c>
      <c r="I9906" s="29"/>
      <c r="J9906" s="29" t="s">
        <v>4338</v>
      </c>
      <c r="K9906" s="29"/>
      <c r="L9906" s="29" t="s">
        <v>391</v>
      </c>
      <c r="M9906" s="29"/>
      <c r="N9906" s="29" t="s">
        <v>479</v>
      </c>
      <c r="O9906" s="29"/>
      <c r="P9906" s="29" t="s">
        <v>742</v>
      </c>
      <c r="Q9906" t="s">
        <v>2040</v>
      </c>
      <c r="R9906" t="s">
        <v>2634</v>
      </c>
      <c r="S9906">
        <v>35</v>
      </c>
      <c r="T9906" s="43" t="str">
        <f t="shared" si="425"/>
        <v>2019.006G.zip</v>
      </c>
      <c r="U9906" s="43" t="str">
        <f>HYPERLINK("https://ictv.global/taxonomy/taxondetails?taxnode_id=202204648","ictv.global=202204648")</f>
        <v>ictv.global=202204648</v>
      </c>
    </row>
    <row r="9907" spans="1:21">
      <c r="A9907">
        <v>9906</v>
      </c>
      <c r="B9907" s="29" t="s">
        <v>3223</v>
      </c>
      <c r="C9907" s="29"/>
      <c r="D9907" s="29" t="s">
        <v>4156</v>
      </c>
      <c r="E9907" s="29"/>
      <c r="F9907" s="29" t="s">
        <v>4230</v>
      </c>
      <c r="G9907" s="29"/>
      <c r="H9907" s="29" t="s">
        <v>4337</v>
      </c>
      <c r="I9907" s="29"/>
      <c r="J9907" s="29" t="s">
        <v>4338</v>
      </c>
      <c r="K9907" s="29"/>
      <c r="L9907" s="29" t="s">
        <v>391</v>
      </c>
      <c r="M9907" s="29"/>
      <c r="N9907" s="29" t="s">
        <v>479</v>
      </c>
      <c r="O9907" s="29"/>
      <c r="P9907" s="29" t="s">
        <v>743</v>
      </c>
      <c r="Q9907" t="s">
        <v>2040</v>
      </c>
      <c r="R9907" t="s">
        <v>2634</v>
      </c>
      <c r="S9907">
        <v>35</v>
      </c>
      <c r="T9907" s="43" t="str">
        <f t="shared" si="425"/>
        <v>2019.006G.zip</v>
      </c>
      <c r="U9907" s="43" t="str">
        <f>HYPERLINK("https://ictv.global/taxonomy/taxondetails?taxnode_id=202204649","ictv.global=202204649")</f>
        <v>ictv.global=202204649</v>
      </c>
    </row>
    <row r="9908" spans="1:21">
      <c r="A9908">
        <v>9907</v>
      </c>
      <c r="B9908" s="29" t="s">
        <v>3223</v>
      </c>
      <c r="C9908" s="29"/>
      <c r="D9908" s="29" t="s">
        <v>4156</v>
      </c>
      <c r="E9908" s="29"/>
      <c r="F9908" s="29" t="s">
        <v>4230</v>
      </c>
      <c r="G9908" s="29"/>
      <c r="H9908" s="29" t="s">
        <v>4337</v>
      </c>
      <c r="I9908" s="29"/>
      <c r="J9908" s="29" t="s">
        <v>4338</v>
      </c>
      <c r="K9908" s="29"/>
      <c r="L9908" s="29" t="s">
        <v>391</v>
      </c>
      <c r="M9908" s="29"/>
      <c r="N9908" s="29" t="s">
        <v>479</v>
      </c>
      <c r="O9908" s="29"/>
      <c r="P9908" s="29" t="s">
        <v>2007</v>
      </c>
      <c r="Q9908" t="s">
        <v>2040</v>
      </c>
      <c r="R9908" t="s">
        <v>2634</v>
      </c>
      <c r="S9908">
        <v>35</v>
      </c>
      <c r="T9908" s="43" t="str">
        <f t="shared" si="425"/>
        <v>2019.006G.zip</v>
      </c>
      <c r="U9908" s="43" t="str">
        <f>HYPERLINK("https://ictv.global/taxonomy/taxondetails?taxnode_id=202204650","ictv.global=202204650")</f>
        <v>ictv.global=202204650</v>
      </c>
    </row>
    <row r="9909" spans="1:21">
      <c r="A9909">
        <v>9908</v>
      </c>
      <c r="B9909" s="29" t="s">
        <v>3223</v>
      </c>
      <c r="C9909" s="29"/>
      <c r="D9909" s="29" t="s">
        <v>4156</v>
      </c>
      <c r="E9909" s="29"/>
      <c r="F9909" s="29" t="s">
        <v>4230</v>
      </c>
      <c r="G9909" s="29"/>
      <c r="H9909" s="29" t="s">
        <v>4337</v>
      </c>
      <c r="I9909" s="29"/>
      <c r="J9909" s="29" t="s">
        <v>4338</v>
      </c>
      <c r="K9909" s="29"/>
      <c r="L9909" s="29" t="s">
        <v>391</v>
      </c>
      <c r="M9909" s="29"/>
      <c r="N9909" s="29" t="s">
        <v>479</v>
      </c>
      <c r="O9909" s="29"/>
      <c r="P9909" s="29" t="s">
        <v>744</v>
      </c>
      <c r="Q9909" t="s">
        <v>2040</v>
      </c>
      <c r="R9909" t="s">
        <v>2634</v>
      </c>
      <c r="S9909">
        <v>35</v>
      </c>
      <c r="T9909" s="43" t="str">
        <f t="shared" si="425"/>
        <v>2019.006G.zip</v>
      </c>
      <c r="U9909" s="43" t="str">
        <f>HYPERLINK("https://ictv.global/taxonomy/taxondetails?taxnode_id=202204651","ictv.global=202204651")</f>
        <v>ictv.global=202204651</v>
      </c>
    </row>
    <row r="9910" spans="1:21">
      <c r="A9910">
        <v>9909</v>
      </c>
      <c r="B9910" s="29" t="s">
        <v>3223</v>
      </c>
      <c r="C9910" s="29"/>
      <c r="D9910" s="29" t="s">
        <v>4156</v>
      </c>
      <c r="E9910" s="29"/>
      <c r="F9910" s="29" t="s">
        <v>4230</v>
      </c>
      <c r="G9910" s="29"/>
      <c r="H9910" s="29" t="s">
        <v>4337</v>
      </c>
      <c r="I9910" s="29"/>
      <c r="J9910" s="29" t="s">
        <v>4338</v>
      </c>
      <c r="K9910" s="29"/>
      <c r="L9910" s="29" t="s">
        <v>391</v>
      </c>
      <c r="M9910" s="29"/>
      <c r="N9910" s="29" t="s">
        <v>479</v>
      </c>
      <c r="O9910" s="29"/>
      <c r="P9910" s="29" t="s">
        <v>745</v>
      </c>
      <c r="Q9910" t="s">
        <v>2040</v>
      </c>
      <c r="R9910" t="s">
        <v>2634</v>
      </c>
      <c r="S9910">
        <v>35</v>
      </c>
      <c r="T9910" s="43" t="str">
        <f t="shared" si="425"/>
        <v>2019.006G.zip</v>
      </c>
      <c r="U9910" s="43" t="str">
        <f>HYPERLINK("https://ictv.global/taxonomy/taxondetails?taxnode_id=202204652","ictv.global=202204652")</f>
        <v>ictv.global=202204652</v>
      </c>
    </row>
    <row r="9911" spans="1:21">
      <c r="A9911">
        <v>9910</v>
      </c>
      <c r="B9911" s="29" t="s">
        <v>3223</v>
      </c>
      <c r="C9911" s="29"/>
      <c r="D9911" s="29" t="s">
        <v>4156</v>
      </c>
      <c r="E9911" s="29"/>
      <c r="F9911" s="29" t="s">
        <v>4230</v>
      </c>
      <c r="G9911" s="29"/>
      <c r="H9911" s="29" t="s">
        <v>4337</v>
      </c>
      <c r="I9911" s="29"/>
      <c r="J9911" s="29" t="s">
        <v>4338</v>
      </c>
      <c r="K9911" s="29"/>
      <c r="L9911" s="29" t="s">
        <v>391</v>
      </c>
      <c r="M9911" s="29"/>
      <c r="N9911" s="29" t="s">
        <v>479</v>
      </c>
      <c r="O9911" s="29"/>
      <c r="P9911" s="29" t="s">
        <v>3354</v>
      </c>
      <c r="Q9911" t="s">
        <v>2040</v>
      </c>
      <c r="R9911" t="s">
        <v>2634</v>
      </c>
      <c r="S9911">
        <v>35</v>
      </c>
      <c r="T9911" s="43" t="str">
        <f t="shared" si="425"/>
        <v>2019.006G.zip</v>
      </c>
      <c r="U9911" s="43" t="str">
        <f>HYPERLINK("https://ictv.global/taxonomy/taxondetails?taxnode_id=202206674","ictv.global=202206674")</f>
        <v>ictv.global=202206674</v>
      </c>
    </row>
    <row r="9912" spans="1:21">
      <c r="A9912">
        <v>9911</v>
      </c>
      <c r="B9912" s="29" t="s">
        <v>3223</v>
      </c>
      <c r="C9912" s="29"/>
      <c r="D9912" s="29" t="s">
        <v>4156</v>
      </c>
      <c r="E9912" s="29"/>
      <c r="F9912" s="29" t="s">
        <v>4230</v>
      </c>
      <c r="G9912" s="29"/>
      <c r="H9912" s="29" t="s">
        <v>4337</v>
      </c>
      <c r="I9912" s="29"/>
      <c r="J9912" s="29" t="s">
        <v>4338</v>
      </c>
      <c r="K9912" s="29"/>
      <c r="L9912" s="29" t="s">
        <v>391</v>
      </c>
      <c r="M9912" s="29"/>
      <c r="N9912" s="29" t="s">
        <v>479</v>
      </c>
      <c r="O9912" s="29"/>
      <c r="P9912" s="29" t="s">
        <v>6710</v>
      </c>
      <c r="Q9912" t="s">
        <v>2040</v>
      </c>
      <c r="R9912" t="s">
        <v>2632</v>
      </c>
      <c r="S9912">
        <v>36</v>
      </c>
      <c r="T9912" s="43" t="str">
        <f>HYPERLINK("https://ictv.global/ictv/proposals/2020.024P.R.Potyviridae_7nsp.zip","2020.024P.R.Potyviridae_7nsp.zip")</f>
        <v>2020.024P.R.Potyviridae_7nsp.zip</v>
      </c>
      <c r="U9912" s="43" t="str">
        <f>HYPERLINK("https://ictv.global/taxonomy/taxondetails?taxnode_id=202209672","ictv.global=202209672")</f>
        <v>ictv.global=202209672</v>
      </c>
    </row>
    <row r="9913" spans="1:21">
      <c r="A9913">
        <v>9912</v>
      </c>
      <c r="B9913" s="29" t="s">
        <v>3223</v>
      </c>
      <c r="C9913" s="29"/>
      <c r="D9913" s="29" t="s">
        <v>4156</v>
      </c>
      <c r="E9913" s="29"/>
      <c r="F9913" s="29" t="s">
        <v>4230</v>
      </c>
      <c r="G9913" s="29"/>
      <c r="H9913" s="29" t="s">
        <v>4337</v>
      </c>
      <c r="I9913" s="29"/>
      <c r="J9913" s="29" t="s">
        <v>4338</v>
      </c>
      <c r="K9913" s="29"/>
      <c r="L9913" s="29" t="s">
        <v>391</v>
      </c>
      <c r="M9913" s="29"/>
      <c r="N9913" s="29" t="s">
        <v>479</v>
      </c>
      <c r="O9913" s="29"/>
      <c r="P9913" s="29" t="s">
        <v>746</v>
      </c>
      <c r="Q9913" t="s">
        <v>2040</v>
      </c>
      <c r="R9913" t="s">
        <v>2634</v>
      </c>
      <c r="S9913">
        <v>35</v>
      </c>
      <c r="T9913" s="43" t="str">
        <f>HYPERLINK("https://ictv.global/ictv/proposals/2019.006G.zip","2019.006G.zip")</f>
        <v>2019.006G.zip</v>
      </c>
      <c r="U9913" s="43" t="str">
        <f>HYPERLINK("https://ictv.global/taxonomy/taxondetails?taxnode_id=202204653","ictv.global=202204653")</f>
        <v>ictv.global=202204653</v>
      </c>
    </row>
    <row r="9914" spans="1:21">
      <c r="A9914">
        <v>9913</v>
      </c>
      <c r="B9914" s="29" t="s">
        <v>3223</v>
      </c>
      <c r="C9914" s="29"/>
      <c r="D9914" s="29" t="s">
        <v>4156</v>
      </c>
      <c r="E9914" s="29"/>
      <c r="F9914" s="29" t="s">
        <v>4230</v>
      </c>
      <c r="G9914" s="29"/>
      <c r="H9914" s="29" t="s">
        <v>4337</v>
      </c>
      <c r="I9914" s="29"/>
      <c r="J9914" s="29" t="s">
        <v>4338</v>
      </c>
      <c r="K9914" s="29"/>
      <c r="L9914" s="29" t="s">
        <v>391</v>
      </c>
      <c r="M9914" s="29"/>
      <c r="N9914" s="29" t="s">
        <v>479</v>
      </c>
      <c r="O9914" s="29"/>
      <c r="P9914" s="29" t="s">
        <v>747</v>
      </c>
      <c r="Q9914" t="s">
        <v>2040</v>
      </c>
      <c r="R9914" t="s">
        <v>2634</v>
      </c>
      <c r="S9914">
        <v>35</v>
      </c>
      <c r="T9914" s="43" t="str">
        <f>HYPERLINK("https://ictv.global/ictv/proposals/2019.006G.zip","2019.006G.zip")</f>
        <v>2019.006G.zip</v>
      </c>
      <c r="U9914" s="43" t="str">
        <f>HYPERLINK("https://ictv.global/taxonomy/taxondetails?taxnode_id=202204654","ictv.global=202204654")</f>
        <v>ictv.global=202204654</v>
      </c>
    </row>
    <row r="9915" spans="1:21">
      <c r="A9915">
        <v>9914</v>
      </c>
      <c r="B9915" s="29" t="s">
        <v>3223</v>
      </c>
      <c r="C9915" s="29"/>
      <c r="D9915" s="29" t="s">
        <v>4156</v>
      </c>
      <c r="E9915" s="29"/>
      <c r="F9915" s="29" t="s">
        <v>4230</v>
      </c>
      <c r="G9915" s="29"/>
      <c r="H9915" s="29" t="s">
        <v>4337</v>
      </c>
      <c r="I9915" s="29"/>
      <c r="J9915" s="29" t="s">
        <v>4338</v>
      </c>
      <c r="K9915" s="29"/>
      <c r="L9915" s="29" t="s">
        <v>391</v>
      </c>
      <c r="M9915" s="29"/>
      <c r="N9915" s="29" t="s">
        <v>479</v>
      </c>
      <c r="O9915" s="29"/>
      <c r="P9915" s="29" t="s">
        <v>6711</v>
      </c>
      <c r="Q9915" t="s">
        <v>2040</v>
      </c>
      <c r="R9915" t="s">
        <v>2632</v>
      </c>
      <c r="S9915">
        <v>36</v>
      </c>
      <c r="T9915" s="43" t="str">
        <f>HYPERLINK("https://ictv.global/ictv/proposals/2020.024P.R.Potyviridae_7nsp.zip","2020.024P.R.Potyviridae_7nsp.zip")</f>
        <v>2020.024P.R.Potyviridae_7nsp.zip</v>
      </c>
      <c r="U9915" s="43" t="str">
        <f>HYPERLINK("https://ictv.global/taxonomy/taxondetails?taxnode_id=202209673","ictv.global=202209673")</f>
        <v>ictv.global=202209673</v>
      </c>
    </row>
    <row r="9916" spans="1:21">
      <c r="A9916">
        <v>9915</v>
      </c>
      <c r="B9916" s="29" t="s">
        <v>3223</v>
      </c>
      <c r="C9916" s="29"/>
      <c r="D9916" s="29" t="s">
        <v>4156</v>
      </c>
      <c r="E9916" s="29"/>
      <c r="F9916" s="29" t="s">
        <v>4230</v>
      </c>
      <c r="G9916" s="29"/>
      <c r="H9916" s="29" t="s">
        <v>4337</v>
      </c>
      <c r="I9916" s="29"/>
      <c r="J9916" s="29" t="s">
        <v>4338</v>
      </c>
      <c r="K9916" s="29"/>
      <c r="L9916" s="29" t="s">
        <v>391</v>
      </c>
      <c r="M9916" s="29"/>
      <c r="N9916" s="29" t="s">
        <v>479</v>
      </c>
      <c r="O9916" s="29"/>
      <c r="P9916" s="29" t="s">
        <v>748</v>
      </c>
      <c r="Q9916" t="s">
        <v>2040</v>
      </c>
      <c r="R9916" t="s">
        <v>2634</v>
      </c>
      <c r="S9916">
        <v>35</v>
      </c>
      <c r="T9916" s="43" t="str">
        <f t="shared" ref="T9916:T9926" si="426">HYPERLINK("https://ictv.global/ictv/proposals/2019.006G.zip","2019.006G.zip")</f>
        <v>2019.006G.zip</v>
      </c>
      <c r="U9916" s="43" t="str">
        <f>HYPERLINK("https://ictv.global/taxonomy/taxondetails?taxnode_id=202204655","ictv.global=202204655")</f>
        <v>ictv.global=202204655</v>
      </c>
    </row>
    <row r="9917" spans="1:21">
      <c r="A9917">
        <v>9916</v>
      </c>
      <c r="B9917" s="29" t="s">
        <v>3223</v>
      </c>
      <c r="C9917" s="29"/>
      <c r="D9917" s="29" t="s">
        <v>4156</v>
      </c>
      <c r="E9917" s="29"/>
      <c r="F9917" s="29" t="s">
        <v>4230</v>
      </c>
      <c r="G9917" s="29"/>
      <c r="H9917" s="29" t="s">
        <v>4337</v>
      </c>
      <c r="I9917" s="29"/>
      <c r="J9917" s="29" t="s">
        <v>4338</v>
      </c>
      <c r="K9917" s="29"/>
      <c r="L9917" s="29" t="s">
        <v>391</v>
      </c>
      <c r="M9917" s="29"/>
      <c r="N9917" s="29" t="s">
        <v>479</v>
      </c>
      <c r="O9917" s="29"/>
      <c r="P9917" s="29" t="s">
        <v>749</v>
      </c>
      <c r="Q9917" t="s">
        <v>2040</v>
      </c>
      <c r="R9917" t="s">
        <v>2634</v>
      </c>
      <c r="S9917">
        <v>35</v>
      </c>
      <c r="T9917" s="43" t="str">
        <f t="shared" si="426"/>
        <v>2019.006G.zip</v>
      </c>
      <c r="U9917" s="43" t="str">
        <f>HYPERLINK("https://ictv.global/taxonomy/taxondetails?taxnode_id=202204656","ictv.global=202204656")</f>
        <v>ictv.global=202204656</v>
      </c>
    </row>
    <row r="9918" spans="1:21">
      <c r="A9918">
        <v>9917</v>
      </c>
      <c r="B9918" s="29" t="s">
        <v>3223</v>
      </c>
      <c r="C9918" s="29"/>
      <c r="D9918" s="29" t="s">
        <v>4156</v>
      </c>
      <c r="E9918" s="29"/>
      <c r="F9918" s="29" t="s">
        <v>4230</v>
      </c>
      <c r="G9918" s="29"/>
      <c r="H9918" s="29" t="s">
        <v>4337</v>
      </c>
      <c r="I9918" s="29"/>
      <c r="J9918" s="29" t="s">
        <v>4338</v>
      </c>
      <c r="K9918" s="29"/>
      <c r="L9918" s="29" t="s">
        <v>391</v>
      </c>
      <c r="M9918" s="29"/>
      <c r="N9918" s="29" t="s">
        <v>479</v>
      </c>
      <c r="O9918" s="29"/>
      <c r="P9918" s="29" t="s">
        <v>750</v>
      </c>
      <c r="Q9918" t="s">
        <v>2040</v>
      </c>
      <c r="R9918" t="s">
        <v>2634</v>
      </c>
      <c r="S9918">
        <v>35</v>
      </c>
      <c r="T9918" s="43" t="str">
        <f t="shared" si="426"/>
        <v>2019.006G.zip</v>
      </c>
      <c r="U9918" s="43" t="str">
        <f>HYPERLINK("https://ictv.global/taxonomy/taxondetails?taxnode_id=202204657","ictv.global=202204657")</f>
        <v>ictv.global=202204657</v>
      </c>
    </row>
    <row r="9919" spans="1:21">
      <c r="A9919">
        <v>9918</v>
      </c>
      <c r="B9919" s="29" t="s">
        <v>3223</v>
      </c>
      <c r="C9919" s="29"/>
      <c r="D9919" s="29" t="s">
        <v>4156</v>
      </c>
      <c r="E9919" s="29"/>
      <c r="F9919" s="29" t="s">
        <v>4230</v>
      </c>
      <c r="G9919" s="29"/>
      <c r="H9919" s="29" t="s">
        <v>4337</v>
      </c>
      <c r="I9919" s="29"/>
      <c r="J9919" s="29" t="s">
        <v>4338</v>
      </c>
      <c r="K9919" s="29"/>
      <c r="L9919" s="29" t="s">
        <v>391</v>
      </c>
      <c r="M9919" s="29"/>
      <c r="N9919" s="29" t="s">
        <v>479</v>
      </c>
      <c r="O9919" s="29"/>
      <c r="P9919" s="29" t="s">
        <v>2966</v>
      </c>
      <c r="Q9919" t="s">
        <v>2040</v>
      </c>
      <c r="R9919" t="s">
        <v>2634</v>
      </c>
      <c r="S9919">
        <v>35</v>
      </c>
      <c r="T9919" s="43" t="str">
        <f t="shared" si="426"/>
        <v>2019.006G.zip</v>
      </c>
      <c r="U9919" s="43" t="str">
        <f>HYPERLINK("https://ictv.global/taxonomy/taxondetails?taxnode_id=202205922","ictv.global=202205922")</f>
        <v>ictv.global=202205922</v>
      </c>
    </row>
    <row r="9920" spans="1:21">
      <c r="A9920">
        <v>9919</v>
      </c>
      <c r="B9920" s="29" t="s">
        <v>3223</v>
      </c>
      <c r="C9920" s="29"/>
      <c r="D9920" s="29" t="s">
        <v>4156</v>
      </c>
      <c r="E9920" s="29"/>
      <c r="F9920" s="29" t="s">
        <v>4230</v>
      </c>
      <c r="G9920" s="29"/>
      <c r="H9920" s="29" t="s">
        <v>4337</v>
      </c>
      <c r="I9920" s="29"/>
      <c r="J9920" s="29" t="s">
        <v>4338</v>
      </c>
      <c r="K9920" s="29"/>
      <c r="L9920" s="29" t="s">
        <v>391</v>
      </c>
      <c r="M9920" s="29"/>
      <c r="N9920" s="29" t="s">
        <v>479</v>
      </c>
      <c r="O9920" s="29"/>
      <c r="P9920" s="29" t="s">
        <v>507</v>
      </c>
      <c r="Q9920" t="s">
        <v>2040</v>
      </c>
      <c r="R9920" t="s">
        <v>2634</v>
      </c>
      <c r="S9920">
        <v>35</v>
      </c>
      <c r="T9920" s="43" t="str">
        <f t="shared" si="426"/>
        <v>2019.006G.zip</v>
      </c>
      <c r="U9920" s="43" t="str">
        <f>HYPERLINK("https://ictv.global/taxonomy/taxondetails?taxnode_id=202204658","ictv.global=202204658")</f>
        <v>ictv.global=202204658</v>
      </c>
    </row>
    <row r="9921" spans="1:21">
      <c r="A9921">
        <v>9920</v>
      </c>
      <c r="B9921" s="29" t="s">
        <v>3223</v>
      </c>
      <c r="C9921" s="29"/>
      <c r="D9921" s="29" t="s">
        <v>4156</v>
      </c>
      <c r="E9921" s="29"/>
      <c r="F9921" s="29" t="s">
        <v>4230</v>
      </c>
      <c r="G9921" s="29"/>
      <c r="H9921" s="29" t="s">
        <v>4337</v>
      </c>
      <c r="I9921" s="29"/>
      <c r="J9921" s="29" t="s">
        <v>4338</v>
      </c>
      <c r="K9921" s="29"/>
      <c r="L9921" s="29" t="s">
        <v>391</v>
      </c>
      <c r="M9921" s="29"/>
      <c r="N9921" s="29" t="s">
        <v>479</v>
      </c>
      <c r="O9921" s="29"/>
      <c r="P9921" s="29" t="s">
        <v>508</v>
      </c>
      <c r="Q9921" t="s">
        <v>2040</v>
      </c>
      <c r="R9921" t="s">
        <v>2634</v>
      </c>
      <c r="S9921">
        <v>35</v>
      </c>
      <c r="T9921" s="43" t="str">
        <f t="shared" si="426"/>
        <v>2019.006G.zip</v>
      </c>
      <c r="U9921" s="43" t="str">
        <f>HYPERLINK("https://ictv.global/taxonomy/taxondetails?taxnode_id=202204659","ictv.global=202204659")</f>
        <v>ictv.global=202204659</v>
      </c>
    </row>
    <row r="9922" spans="1:21">
      <c r="A9922">
        <v>9921</v>
      </c>
      <c r="B9922" s="29" t="s">
        <v>3223</v>
      </c>
      <c r="C9922" s="29"/>
      <c r="D9922" s="29" t="s">
        <v>4156</v>
      </c>
      <c r="E9922" s="29"/>
      <c r="F9922" s="29" t="s">
        <v>4230</v>
      </c>
      <c r="G9922" s="29"/>
      <c r="H9922" s="29" t="s">
        <v>4337</v>
      </c>
      <c r="I9922" s="29"/>
      <c r="J9922" s="29" t="s">
        <v>4338</v>
      </c>
      <c r="K9922" s="29"/>
      <c r="L9922" s="29" t="s">
        <v>391</v>
      </c>
      <c r="M9922" s="29"/>
      <c r="N9922" s="29" t="s">
        <v>479</v>
      </c>
      <c r="O9922" s="29"/>
      <c r="P9922" s="29" t="s">
        <v>509</v>
      </c>
      <c r="Q9922" t="s">
        <v>2040</v>
      </c>
      <c r="R9922" t="s">
        <v>2634</v>
      </c>
      <c r="S9922">
        <v>35</v>
      </c>
      <c r="T9922" s="43" t="str">
        <f t="shared" si="426"/>
        <v>2019.006G.zip</v>
      </c>
      <c r="U9922" s="43" t="str">
        <f>HYPERLINK("https://ictv.global/taxonomy/taxondetails?taxnode_id=202204660","ictv.global=202204660")</f>
        <v>ictv.global=202204660</v>
      </c>
    </row>
    <row r="9923" spans="1:21">
      <c r="A9923">
        <v>9922</v>
      </c>
      <c r="B9923" s="29" t="s">
        <v>3223</v>
      </c>
      <c r="C9923" s="29"/>
      <c r="D9923" s="29" t="s">
        <v>4156</v>
      </c>
      <c r="E9923" s="29"/>
      <c r="F9923" s="29" t="s">
        <v>4230</v>
      </c>
      <c r="G9923" s="29"/>
      <c r="H9923" s="29" t="s">
        <v>4337</v>
      </c>
      <c r="I9923" s="29"/>
      <c r="J9923" s="29" t="s">
        <v>4338</v>
      </c>
      <c r="K9923" s="29"/>
      <c r="L9923" s="29" t="s">
        <v>391</v>
      </c>
      <c r="M9923" s="29"/>
      <c r="N9923" s="29" t="s">
        <v>479</v>
      </c>
      <c r="O9923" s="29"/>
      <c r="P9923" s="29" t="s">
        <v>510</v>
      </c>
      <c r="Q9923" t="s">
        <v>2040</v>
      </c>
      <c r="R9923" t="s">
        <v>2634</v>
      </c>
      <c r="S9923">
        <v>35</v>
      </c>
      <c r="T9923" s="43" t="str">
        <f t="shared" si="426"/>
        <v>2019.006G.zip</v>
      </c>
      <c r="U9923" s="43" t="str">
        <f>HYPERLINK("https://ictv.global/taxonomy/taxondetails?taxnode_id=202204661","ictv.global=202204661")</f>
        <v>ictv.global=202204661</v>
      </c>
    </row>
    <row r="9924" spans="1:21">
      <c r="A9924">
        <v>9923</v>
      </c>
      <c r="B9924" s="29" t="s">
        <v>3223</v>
      </c>
      <c r="C9924" s="29"/>
      <c r="D9924" s="29" t="s">
        <v>4156</v>
      </c>
      <c r="E9924" s="29"/>
      <c r="F9924" s="29" t="s">
        <v>4230</v>
      </c>
      <c r="G9924" s="29"/>
      <c r="H9924" s="29" t="s">
        <v>4337</v>
      </c>
      <c r="I9924" s="29"/>
      <c r="J9924" s="29" t="s">
        <v>4338</v>
      </c>
      <c r="K9924" s="29"/>
      <c r="L9924" s="29" t="s">
        <v>391</v>
      </c>
      <c r="M9924" s="29"/>
      <c r="N9924" s="29" t="s">
        <v>479</v>
      </c>
      <c r="O9924" s="29"/>
      <c r="P9924" s="29" t="s">
        <v>511</v>
      </c>
      <c r="Q9924" t="s">
        <v>2040</v>
      </c>
      <c r="R9924" t="s">
        <v>2634</v>
      </c>
      <c r="S9924">
        <v>35</v>
      </c>
      <c r="T9924" s="43" t="str">
        <f t="shared" si="426"/>
        <v>2019.006G.zip</v>
      </c>
      <c r="U9924" s="43" t="str">
        <f>HYPERLINK("https://ictv.global/taxonomy/taxondetails?taxnode_id=202204662","ictv.global=202204662")</f>
        <v>ictv.global=202204662</v>
      </c>
    </row>
    <row r="9925" spans="1:21">
      <c r="A9925">
        <v>9924</v>
      </c>
      <c r="B9925" s="29" t="s">
        <v>3223</v>
      </c>
      <c r="C9925" s="29"/>
      <c r="D9925" s="29" t="s">
        <v>4156</v>
      </c>
      <c r="E9925" s="29"/>
      <c r="F9925" s="29" t="s">
        <v>4230</v>
      </c>
      <c r="G9925" s="29"/>
      <c r="H9925" s="29" t="s">
        <v>4337</v>
      </c>
      <c r="I9925" s="29"/>
      <c r="J9925" s="29" t="s">
        <v>4338</v>
      </c>
      <c r="K9925" s="29"/>
      <c r="L9925" s="29" t="s">
        <v>391</v>
      </c>
      <c r="M9925" s="29"/>
      <c r="N9925" s="29" t="s">
        <v>479</v>
      </c>
      <c r="O9925" s="29"/>
      <c r="P9925" s="29" t="s">
        <v>512</v>
      </c>
      <c r="Q9925" t="s">
        <v>2040</v>
      </c>
      <c r="R9925" t="s">
        <v>2634</v>
      </c>
      <c r="S9925">
        <v>35</v>
      </c>
      <c r="T9925" s="43" t="str">
        <f t="shared" si="426"/>
        <v>2019.006G.zip</v>
      </c>
      <c r="U9925" s="43" t="str">
        <f>HYPERLINK("https://ictv.global/taxonomy/taxondetails?taxnode_id=202204663","ictv.global=202204663")</f>
        <v>ictv.global=202204663</v>
      </c>
    </row>
    <row r="9926" spans="1:21">
      <c r="A9926">
        <v>9925</v>
      </c>
      <c r="B9926" s="29" t="s">
        <v>3223</v>
      </c>
      <c r="C9926" s="29"/>
      <c r="D9926" s="29" t="s">
        <v>4156</v>
      </c>
      <c r="E9926" s="29"/>
      <c r="F9926" s="29" t="s">
        <v>4230</v>
      </c>
      <c r="G9926" s="29"/>
      <c r="H9926" s="29" t="s">
        <v>4337</v>
      </c>
      <c r="I9926" s="29"/>
      <c r="J9926" s="29" t="s">
        <v>4338</v>
      </c>
      <c r="K9926" s="29"/>
      <c r="L9926" s="29" t="s">
        <v>391</v>
      </c>
      <c r="M9926" s="29"/>
      <c r="N9926" s="29" t="s">
        <v>479</v>
      </c>
      <c r="O9926" s="29"/>
      <c r="P9926" s="29" t="s">
        <v>513</v>
      </c>
      <c r="Q9926" t="s">
        <v>2040</v>
      </c>
      <c r="R9926" t="s">
        <v>2634</v>
      </c>
      <c r="S9926">
        <v>35</v>
      </c>
      <c r="T9926" s="43" t="str">
        <f t="shared" si="426"/>
        <v>2019.006G.zip</v>
      </c>
      <c r="U9926" s="43" t="str">
        <f>HYPERLINK("https://ictv.global/taxonomy/taxondetails?taxnode_id=202204664","ictv.global=202204664")</f>
        <v>ictv.global=202204664</v>
      </c>
    </row>
    <row r="9927" spans="1:21">
      <c r="A9927">
        <v>9926</v>
      </c>
      <c r="B9927" s="29" t="s">
        <v>3223</v>
      </c>
      <c r="C9927" s="29"/>
      <c r="D9927" s="29" t="s">
        <v>4156</v>
      </c>
      <c r="E9927" s="29"/>
      <c r="F9927" s="29" t="s">
        <v>4230</v>
      </c>
      <c r="G9927" s="29"/>
      <c r="H9927" s="29" t="s">
        <v>4337</v>
      </c>
      <c r="I9927" s="29"/>
      <c r="J9927" s="29" t="s">
        <v>4338</v>
      </c>
      <c r="K9927" s="29"/>
      <c r="L9927" s="29" t="s">
        <v>391</v>
      </c>
      <c r="M9927" s="29"/>
      <c r="N9927" s="29" t="s">
        <v>479</v>
      </c>
      <c r="O9927" s="29"/>
      <c r="P9927" s="29" t="s">
        <v>4352</v>
      </c>
      <c r="Q9927" t="s">
        <v>2040</v>
      </c>
      <c r="R9927" t="s">
        <v>2632</v>
      </c>
      <c r="S9927">
        <v>35</v>
      </c>
      <c r="T9927" s="43" t="str">
        <f>HYPERLINK("https://ictv.global/ictv/proposals/2019.016P.zip","2019.016P.zip")</f>
        <v>2019.016P.zip</v>
      </c>
      <c r="U9927" s="43" t="str">
        <f>HYPERLINK("https://ictv.global/taxonomy/taxondetails?taxnode_id=202207437","ictv.global=202207437")</f>
        <v>ictv.global=202207437</v>
      </c>
    </row>
    <row r="9928" spans="1:21">
      <c r="A9928">
        <v>9927</v>
      </c>
      <c r="B9928" s="29" t="s">
        <v>3223</v>
      </c>
      <c r="C9928" s="29"/>
      <c r="D9928" s="29" t="s">
        <v>4156</v>
      </c>
      <c r="E9928" s="29"/>
      <c r="F9928" s="29" t="s">
        <v>4230</v>
      </c>
      <c r="G9928" s="29"/>
      <c r="H9928" s="29" t="s">
        <v>4337</v>
      </c>
      <c r="I9928" s="29"/>
      <c r="J9928" s="29" t="s">
        <v>4338</v>
      </c>
      <c r="K9928" s="29"/>
      <c r="L9928" s="29" t="s">
        <v>391</v>
      </c>
      <c r="M9928" s="29"/>
      <c r="N9928" s="29" t="s">
        <v>479</v>
      </c>
      <c r="O9928" s="29"/>
      <c r="P9928" s="29" t="s">
        <v>6712</v>
      </c>
      <c r="Q9928" t="s">
        <v>2040</v>
      </c>
      <c r="R9928" t="s">
        <v>2632</v>
      </c>
      <c r="S9928">
        <v>36</v>
      </c>
      <c r="T9928" s="43" t="str">
        <f>HYPERLINK("https://ictv.global/ictv/proposals/2020.024P.R.Potyviridae_7nsp.zip","2020.024P.R.Potyviridae_7nsp.zip")</f>
        <v>2020.024P.R.Potyviridae_7nsp.zip</v>
      </c>
      <c r="U9928" s="43" t="str">
        <f>HYPERLINK("https://ictv.global/taxonomy/taxondetails?taxnode_id=202209674","ictv.global=202209674")</f>
        <v>ictv.global=202209674</v>
      </c>
    </row>
    <row r="9929" spans="1:21">
      <c r="A9929">
        <v>9928</v>
      </c>
      <c r="B9929" s="29" t="s">
        <v>3223</v>
      </c>
      <c r="C9929" s="29"/>
      <c r="D9929" s="29" t="s">
        <v>4156</v>
      </c>
      <c r="E9929" s="29"/>
      <c r="F9929" s="29" t="s">
        <v>4230</v>
      </c>
      <c r="G9929" s="29"/>
      <c r="H9929" s="29" t="s">
        <v>4337</v>
      </c>
      <c r="I9929" s="29"/>
      <c r="J9929" s="29" t="s">
        <v>4338</v>
      </c>
      <c r="K9929" s="29"/>
      <c r="L9929" s="29" t="s">
        <v>391</v>
      </c>
      <c r="M9929" s="29"/>
      <c r="N9929" s="29" t="s">
        <v>479</v>
      </c>
      <c r="O9929" s="29"/>
      <c r="P9929" s="29" t="s">
        <v>514</v>
      </c>
      <c r="Q9929" t="s">
        <v>2040</v>
      </c>
      <c r="R9929" t="s">
        <v>2634</v>
      </c>
      <c r="S9929">
        <v>35</v>
      </c>
      <c r="T9929" s="43" t="str">
        <f>HYPERLINK("https://ictv.global/ictv/proposals/2019.006G.zip","2019.006G.zip")</f>
        <v>2019.006G.zip</v>
      </c>
      <c r="U9929" s="43" t="str">
        <f>HYPERLINK("https://ictv.global/taxonomy/taxondetails?taxnode_id=202204665","ictv.global=202204665")</f>
        <v>ictv.global=202204665</v>
      </c>
    </row>
    <row r="9930" spans="1:21">
      <c r="A9930">
        <v>9929</v>
      </c>
      <c r="B9930" s="29" t="s">
        <v>3223</v>
      </c>
      <c r="C9930" s="29"/>
      <c r="D9930" s="29" t="s">
        <v>4156</v>
      </c>
      <c r="E9930" s="29"/>
      <c r="F9930" s="29" t="s">
        <v>4230</v>
      </c>
      <c r="G9930" s="29"/>
      <c r="H9930" s="29" t="s">
        <v>4337</v>
      </c>
      <c r="I9930" s="29"/>
      <c r="J9930" s="29" t="s">
        <v>4338</v>
      </c>
      <c r="K9930" s="29"/>
      <c r="L9930" s="29" t="s">
        <v>391</v>
      </c>
      <c r="M9930" s="29"/>
      <c r="N9930" s="29" t="s">
        <v>479</v>
      </c>
      <c r="O9930" s="29"/>
      <c r="P9930" s="29" t="s">
        <v>370</v>
      </c>
      <c r="Q9930" t="s">
        <v>2040</v>
      </c>
      <c r="R9930" t="s">
        <v>2634</v>
      </c>
      <c r="S9930">
        <v>35</v>
      </c>
      <c r="T9930" s="43" t="str">
        <f>HYPERLINK("https://ictv.global/ictv/proposals/2019.006G.zip","2019.006G.zip")</f>
        <v>2019.006G.zip</v>
      </c>
      <c r="U9930" s="43" t="str">
        <f>HYPERLINK("https://ictv.global/taxonomy/taxondetails?taxnode_id=202204666","ictv.global=202204666")</f>
        <v>ictv.global=202204666</v>
      </c>
    </row>
    <row r="9931" spans="1:21">
      <c r="A9931">
        <v>9930</v>
      </c>
      <c r="B9931" s="29" t="s">
        <v>3223</v>
      </c>
      <c r="C9931" s="29"/>
      <c r="D9931" s="29" t="s">
        <v>4156</v>
      </c>
      <c r="E9931" s="29"/>
      <c r="F9931" s="29" t="s">
        <v>4230</v>
      </c>
      <c r="G9931" s="29"/>
      <c r="H9931" s="29" t="s">
        <v>4337</v>
      </c>
      <c r="I9931" s="29"/>
      <c r="J9931" s="29" t="s">
        <v>4338</v>
      </c>
      <c r="K9931" s="29"/>
      <c r="L9931" s="29" t="s">
        <v>391</v>
      </c>
      <c r="M9931" s="29"/>
      <c r="N9931" s="29" t="s">
        <v>479</v>
      </c>
      <c r="O9931" s="29"/>
      <c r="P9931" s="29" t="s">
        <v>1179</v>
      </c>
      <c r="Q9931" t="s">
        <v>2040</v>
      </c>
      <c r="R9931" t="s">
        <v>2634</v>
      </c>
      <c r="S9931">
        <v>35</v>
      </c>
      <c r="T9931" s="43" t="str">
        <f>HYPERLINK("https://ictv.global/ictv/proposals/2019.006G.zip","2019.006G.zip")</f>
        <v>2019.006G.zip</v>
      </c>
      <c r="U9931" s="43" t="str">
        <f>HYPERLINK("https://ictv.global/taxonomy/taxondetails?taxnode_id=202204667","ictv.global=202204667")</f>
        <v>ictv.global=202204667</v>
      </c>
    </row>
    <row r="9932" spans="1:21">
      <c r="A9932">
        <v>9931</v>
      </c>
      <c r="B9932" s="29" t="s">
        <v>3223</v>
      </c>
      <c r="C9932" s="29"/>
      <c r="D9932" s="29" t="s">
        <v>4156</v>
      </c>
      <c r="E9932" s="29"/>
      <c r="F9932" s="29" t="s">
        <v>4230</v>
      </c>
      <c r="G9932" s="29"/>
      <c r="H9932" s="29" t="s">
        <v>4337</v>
      </c>
      <c r="I9932" s="29"/>
      <c r="J9932" s="29" t="s">
        <v>4338</v>
      </c>
      <c r="K9932" s="29"/>
      <c r="L9932" s="29" t="s">
        <v>391</v>
      </c>
      <c r="M9932" s="29"/>
      <c r="N9932" s="29" t="s">
        <v>479</v>
      </c>
      <c r="O9932" s="29"/>
      <c r="P9932" s="29" t="s">
        <v>1180</v>
      </c>
      <c r="Q9932" t="s">
        <v>2040</v>
      </c>
      <c r="R9932" t="s">
        <v>2634</v>
      </c>
      <c r="S9932">
        <v>35</v>
      </c>
      <c r="T9932" s="43" t="str">
        <f>HYPERLINK("https://ictv.global/ictv/proposals/2019.006G.zip","2019.006G.zip")</f>
        <v>2019.006G.zip</v>
      </c>
      <c r="U9932" s="43" t="str">
        <f>HYPERLINK("https://ictv.global/taxonomy/taxondetails?taxnode_id=202204668","ictv.global=202204668")</f>
        <v>ictv.global=202204668</v>
      </c>
    </row>
    <row r="9933" spans="1:21">
      <c r="A9933">
        <v>9932</v>
      </c>
      <c r="B9933" s="29" t="s">
        <v>3223</v>
      </c>
      <c r="C9933" s="29"/>
      <c r="D9933" s="29" t="s">
        <v>4156</v>
      </c>
      <c r="E9933" s="29"/>
      <c r="F9933" s="29" t="s">
        <v>4230</v>
      </c>
      <c r="G9933" s="29"/>
      <c r="H9933" s="29" t="s">
        <v>4337</v>
      </c>
      <c r="I9933" s="29"/>
      <c r="J9933" s="29" t="s">
        <v>4338</v>
      </c>
      <c r="K9933" s="29"/>
      <c r="L9933" s="29" t="s">
        <v>391</v>
      </c>
      <c r="M9933" s="29"/>
      <c r="N9933" s="29" t="s">
        <v>479</v>
      </c>
      <c r="O9933" s="29"/>
      <c r="P9933" s="29" t="s">
        <v>419</v>
      </c>
      <c r="Q9933" t="s">
        <v>2040</v>
      </c>
      <c r="R9933" t="s">
        <v>2634</v>
      </c>
      <c r="S9933">
        <v>35</v>
      </c>
      <c r="T9933" s="43" t="str">
        <f>HYPERLINK("https://ictv.global/ictv/proposals/2019.006G.zip","2019.006G.zip")</f>
        <v>2019.006G.zip</v>
      </c>
      <c r="U9933" s="43" t="str">
        <f>HYPERLINK("https://ictv.global/taxonomy/taxondetails?taxnode_id=202204669","ictv.global=202204669")</f>
        <v>ictv.global=202204669</v>
      </c>
    </row>
    <row r="9934" spans="1:21">
      <c r="A9934">
        <v>9933</v>
      </c>
      <c r="B9934" s="29" t="s">
        <v>3223</v>
      </c>
      <c r="C9934" s="29"/>
      <c r="D9934" s="29" t="s">
        <v>4156</v>
      </c>
      <c r="E9934" s="29"/>
      <c r="F9934" s="29" t="s">
        <v>4230</v>
      </c>
      <c r="G9934" s="29"/>
      <c r="H9934" s="29" t="s">
        <v>4337</v>
      </c>
      <c r="I9934" s="29"/>
      <c r="J9934" s="29" t="s">
        <v>4338</v>
      </c>
      <c r="K9934" s="29"/>
      <c r="L9934" s="29" t="s">
        <v>391</v>
      </c>
      <c r="M9934" s="29"/>
      <c r="N9934" s="29" t="s">
        <v>479</v>
      </c>
      <c r="O9934" s="29"/>
      <c r="P9934" s="29" t="s">
        <v>420</v>
      </c>
      <c r="Q9934" t="s">
        <v>2040</v>
      </c>
      <c r="R9934" t="s">
        <v>6901</v>
      </c>
      <c r="S9934">
        <v>36</v>
      </c>
      <c r="T9934" s="43" t="str">
        <f>HYPERLINK("https://ictv.global/ictv/proposals/2020.001G.R.Abolish_type_species.pdf","2020.001G.R.Abolish_type_species.pdf")</f>
        <v>2020.001G.R.Abolish_type_species.pdf</v>
      </c>
      <c r="U9934" s="43" t="str">
        <f>HYPERLINK("https://ictv.global/taxonomy/taxondetails?taxnode_id=202204670","ictv.global=202204670")</f>
        <v>ictv.global=202204670</v>
      </c>
    </row>
    <row r="9935" spans="1:21">
      <c r="A9935">
        <v>9934</v>
      </c>
      <c r="B9935" s="29" t="s">
        <v>3223</v>
      </c>
      <c r="C9935" s="29"/>
      <c r="D9935" s="29" t="s">
        <v>4156</v>
      </c>
      <c r="E9935" s="29"/>
      <c r="F9935" s="29" t="s">
        <v>4230</v>
      </c>
      <c r="G9935" s="29"/>
      <c r="H9935" s="29" t="s">
        <v>4337</v>
      </c>
      <c r="I9935" s="29"/>
      <c r="J9935" s="29" t="s">
        <v>4338</v>
      </c>
      <c r="K9935" s="29"/>
      <c r="L9935" s="29" t="s">
        <v>391</v>
      </c>
      <c r="M9935" s="29"/>
      <c r="N9935" s="29" t="s">
        <v>479</v>
      </c>
      <c r="O9935" s="29"/>
      <c r="P9935" s="29" t="s">
        <v>4353</v>
      </c>
      <c r="Q9935" t="s">
        <v>2040</v>
      </c>
      <c r="R9935" t="s">
        <v>2632</v>
      </c>
      <c r="S9935">
        <v>35</v>
      </c>
      <c r="T9935" s="43" t="str">
        <f>HYPERLINK("https://ictv.global/ictv/proposals/2019.016P.zip","2019.016P.zip")</f>
        <v>2019.016P.zip</v>
      </c>
      <c r="U9935" s="43" t="str">
        <f>HYPERLINK("https://ictv.global/taxonomy/taxondetails?taxnode_id=202207438","ictv.global=202207438")</f>
        <v>ictv.global=202207438</v>
      </c>
    </row>
    <row r="9936" spans="1:21">
      <c r="A9936">
        <v>9935</v>
      </c>
      <c r="B9936" s="29" t="s">
        <v>3223</v>
      </c>
      <c r="C9936" s="29"/>
      <c r="D9936" s="29" t="s">
        <v>4156</v>
      </c>
      <c r="E9936" s="29"/>
      <c r="F9936" s="29" t="s">
        <v>4230</v>
      </c>
      <c r="G9936" s="29"/>
      <c r="H9936" s="29" t="s">
        <v>4337</v>
      </c>
      <c r="I9936" s="29"/>
      <c r="J9936" s="29" t="s">
        <v>4338</v>
      </c>
      <c r="K9936" s="29"/>
      <c r="L9936" s="29" t="s">
        <v>391</v>
      </c>
      <c r="M9936" s="29"/>
      <c r="N9936" s="29" t="s">
        <v>479</v>
      </c>
      <c r="O9936" s="29"/>
      <c r="P9936" s="29" t="s">
        <v>14269</v>
      </c>
      <c r="Q9936" t="s">
        <v>2040</v>
      </c>
      <c r="R9936" t="s">
        <v>2632</v>
      </c>
      <c r="S9936">
        <v>37</v>
      </c>
      <c r="T9936" s="43" t="str">
        <f>HYPERLINK("https://ictv.global/ictv/proposals/2021.006P.R.Potyvirus_5ns_3as.zip","2021.006P.R.Potyvirus_5ns_3as.zip")</f>
        <v>2021.006P.R.Potyvirus_5ns_3as.zip</v>
      </c>
      <c r="U9936" s="43" t="str">
        <f>HYPERLINK("https://ictv.global/taxonomy/taxondetails?taxnode_id=202213835","ictv.global=202213835")</f>
        <v>ictv.global=202213835</v>
      </c>
    </row>
    <row r="9937" spans="1:21">
      <c r="A9937">
        <v>9936</v>
      </c>
      <c r="B9937" s="29" t="s">
        <v>3223</v>
      </c>
      <c r="C9937" s="29"/>
      <c r="D9937" s="29" t="s">
        <v>4156</v>
      </c>
      <c r="E9937" s="29"/>
      <c r="F9937" s="29" t="s">
        <v>4230</v>
      </c>
      <c r="G9937" s="29"/>
      <c r="H9937" s="29" t="s">
        <v>4337</v>
      </c>
      <c r="I9937" s="29"/>
      <c r="J9937" s="29" t="s">
        <v>4338</v>
      </c>
      <c r="K9937" s="29"/>
      <c r="L9937" s="29" t="s">
        <v>391</v>
      </c>
      <c r="M9937" s="29"/>
      <c r="N9937" s="29" t="s">
        <v>479</v>
      </c>
      <c r="O9937" s="29"/>
      <c r="P9937" s="29" t="s">
        <v>14270</v>
      </c>
      <c r="Q9937" t="s">
        <v>2040</v>
      </c>
      <c r="R9937" t="s">
        <v>2632</v>
      </c>
      <c r="S9937">
        <v>38</v>
      </c>
      <c r="T9937" s="43" t="str">
        <f>HYPERLINK("https://ictv.global/ictv/proposals/2022.010P.Potyviridae_7ns.zip","2022.010P.Potyviridae_7ns.zip")</f>
        <v>2022.010P.Potyviridae_7ns.zip</v>
      </c>
      <c r="U9937" s="43" t="str">
        <f>HYPERLINK("https://ictv.global/taxonomy/taxondetails?taxnode_id=202215109","ictv.global=202215109")</f>
        <v>ictv.global=202215109</v>
      </c>
    </row>
    <row r="9938" spans="1:21">
      <c r="A9938">
        <v>9937</v>
      </c>
      <c r="B9938" s="29" t="s">
        <v>3223</v>
      </c>
      <c r="C9938" s="29"/>
      <c r="D9938" s="29" t="s">
        <v>4156</v>
      </c>
      <c r="E9938" s="29"/>
      <c r="F9938" s="29" t="s">
        <v>4230</v>
      </c>
      <c r="G9938" s="29"/>
      <c r="H9938" s="29" t="s">
        <v>4337</v>
      </c>
      <c r="I9938" s="29"/>
      <c r="J9938" s="29" t="s">
        <v>4338</v>
      </c>
      <c r="K9938" s="29"/>
      <c r="L9938" s="29" t="s">
        <v>391</v>
      </c>
      <c r="M9938" s="29"/>
      <c r="N9938" s="29" t="s">
        <v>479</v>
      </c>
      <c r="O9938" s="29"/>
      <c r="P9938" s="29" t="s">
        <v>14271</v>
      </c>
      <c r="Q9938" t="s">
        <v>2040</v>
      </c>
      <c r="R9938" t="s">
        <v>2632</v>
      </c>
      <c r="S9938">
        <v>37</v>
      </c>
      <c r="T9938" s="43" t="str">
        <f>HYPERLINK("https://ictv.global/ictv/proposals/2021.006P.R.Potyvirus_5ns_3as.zip","2021.006P.R.Potyvirus_5ns_3as.zip")</f>
        <v>2021.006P.R.Potyvirus_5ns_3as.zip</v>
      </c>
      <c r="U9938" s="43" t="str">
        <f>HYPERLINK("https://ictv.global/taxonomy/taxondetails?taxnode_id=202213836","ictv.global=202213836")</f>
        <v>ictv.global=202213836</v>
      </c>
    </row>
    <row r="9939" spans="1:21">
      <c r="A9939">
        <v>9938</v>
      </c>
      <c r="B9939" s="29" t="s">
        <v>3223</v>
      </c>
      <c r="C9939" s="29"/>
      <c r="D9939" s="29" t="s">
        <v>4156</v>
      </c>
      <c r="E9939" s="29"/>
      <c r="F9939" s="29" t="s">
        <v>4230</v>
      </c>
      <c r="G9939" s="29"/>
      <c r="H9939" s="29" t="s">
        <v>4337</v>
      </c>
      <c r="I9939" s="29"/>
      <c r="J9939" s="29" t="s">
        <v>4338</v>
      </c>
      <c r="K9939" s="29"/>
      <c r="L9939" s="29" t="s">
        <v>391</v>
      </c>
      <c r="M9939" s="29"/>
      <c r="N9939" s="29" t="s">
        <v>479</v>
      </c>
      <c r="O9939" s="29"/>
      <c r="P9939" s="29" t="s">
        <v>14272</v>
      </c>
      <c r="Q9939" t="s">
        <v>2040</v>
      </c>
      <c r="R9939" t="s">
        <v>2632</v>
      </c>
      <c r="S9939">
        <v>38</v>
      </c>
      <c r="T9939" s="43" t="str">
        <f>HYPERLINK("https://ictv.global/ictv/proposals/2022.010P.Potyviridae_7ns.zip","2022.010P.Potyviridae_7ns.zip")</f>
        <v>2022.010P.Potyviridae_7ns.zip</v>
      </c>
      <c r="U9939" s="43" t="str">
        <f>HYPERLINK("https://ictv.global/taxonomy/taxondetails?taxnode_id=202215110","ictv.global=202215110")</f>
        <v>ictv.global=202215110</v>
      </c>
    </row>
    <row r="9940" spans="1:21">
      <c r="A9940">
        <v>9939</v>
      </c>
      <c r="B9940" s="29" t="s">
        <v>3223</v>
      </c>
      <c r="C9940" s="29"/>
      <c r="D9940" s="29" t="s">
        <v>4156</v>
      </c>
      <c r="E9940" s="29"/>
      <c r="F9940" s="29" t="s">
        <v>4230</v>
      </c>
      <c r="G9940" s="29"/>
      <c r="H9940" s="29" t="s">
        <v>4337</v>
      </c>
      <c r="I9940" s="29"/>
      <c r="J9940" s="29" t="s">
        <v>4338</v>
      </c>
      <c r="K9940" s="29"/>
      <c r="L9940" s="29" t="s">
        <v>391</v>
      </c>
      <c r="M9940" s="29"/>
      <c r="N9940" s="29" t="s">
        <v>479</v>
      </c>
      <c r="O9940" s="29"/>
      <c r="P9940" s="29" t="s">
        <v>14273</v>
      </c>
      <c r="Q9940" t="s">
        <v>2040</v>
      </c>
      <c r="R9940" t="s">
        <v>2632</v>
      </c>
      <c r="S9940">
        <v>37</v>
      </c>
      <c r="T9940" s="43" t="str">
        <f>HYPERLINK("https://ictv.global/ictv/proposals/2021.006P.R.Potyvirus_5ns_3as.zip","2021.006P.R.Potyvirus_5ns_3as.zip")</f>
        <v>2021.006P.R.Potyvirus_5ns_3as.zip</v>
      </c>
      <c r="U9940" s="43" t="str">
        <f>HYPERLINK("https://ictv.global/taxonomy/taxondetails?taxnode_id=202213838","ictv.global=202213838")</f>
        <v>ictv.global=202213838</v>
      </c>
    </row>
    <row r="9941" spans="1:21">
      <c r="A9941">
        <v>9940</v>
      </c>
      <c r="B9941" s="29" t="s">
        <v>3223</v>
      </c>
      <c r="C9941" s="29"/>
      <c r="D9941" s="29" t="s">
        <v>4156</v>
      </c>
      <c r="E9941" s="29"/>
      <c r="F9941" s="29" t="s">
        <v>4230</v>
      </c>
      <c r="G9941" s="29"/>
      <c r="H9941" s="29" t="s">
        <v>4337</v>
      </c>
      <c r="I9941" s="29"/>
      <c r="J9941" s="29" t="s">
        <v>4338</v>
      </c>
      <c r="K9941" s="29"/>
      <c r="L9941" s="29" t="s">
        <v>391</v>
      </c>
      <c r="M9941" s="29"/>
      <c r="N9941" s="29" t="s">
        <v>479</v>
      </c>
      <c r="O9941" s="29"/>
      <c r="P9941" s="29" t="s">
        <v>14274</v>
      </c>
      <c r="Q9941" t="s">
        <v>2040</v>
      </c>
      <c r="R9941" t="s">
        <v>2632</v>
      </c>
      <c r="S9941">
        <v>38</v>
      </c>
      <c r="T9941" s="43" t="str">
        <f>HYPERLINK("https://ictv.global/ictv/proposals/2022.010P.Potyviridae_7ns.zip","2022.010P.Potyviridae_7ns.zip")</f>
        <v>2022.010P.Potyviridae_7ns.zip</v>
      </c>
      <c r="U9941" s="43" t="str">
        <f>HYPERLINK("https://ictv.global/taxonomy/taxondetails?taxnode_id=202215111","ictv.global=202215111")</f>
        <v>ictv.global=202215111</v>
      </c>
    </row>
    <row r="9942" spans="1:21">
      <c r="A9942">
        <v>9941</v>
      </c>
      <c r="B9942" s="29" t="s">
        <v>3223</v>
      </c>
      <c r="C9942" s="29"/>
      <c r="D9942" s="29" t="s">
        <v>4156</v>
      </c>
      <c r="E9942" s="29"/>
      <c r="F9942" s="29" t="s">
        <v>4230</v>
      </c>
      <c r="G9942" s="29"/>
      <c r="H9942" s="29" t="s">
        <v>4337</v>
      </c>
      <c r="I9942" s="29"/>
      <c r="J9942" s="29" t="s">
        <v>4338</v>
      </c>
      <c r="K9942" s="29"/>
      <c r="L9942" s="29" t="s">
        <v>391</v>
      </c>
      <c r="M9942" s="29"/>
      <c r="N9942" s="29" t="s">
        <v>479</v>
      </c>
      <c r="O9942" s="29"/>
      <c r="P9942" s="29" t="s">
        <v>14275</v>
      </c>
      <c r="Q9942" t="s">
        <v>2040</v>
      </c>
      <c r="R9942" t="s">
        <v>2632</v>
      </c>
      <c r="S9942">
        <v>37</v>
      </c>
      <c r="T9942" s="43" t="str">
        <f>HYPERLINK("https://ictv.global/ictv/proposals/2021.006P.R.Potyvirus_5ns_3as.zip","2021.006P.R.Potyvirus_5ns_3as.zip")</f>
        <v>2021.006P.R.Potyvirus_5ns_3as.zip</v>
      </c>
      <c r="U9942" s="43" t="str">
        <f>HYPERLINK("https://ictv.global/taxonomy/taxondetails?taxnode_id=202213837","ictv.global=202213837")</f>
        <v>ictv.global=202213837</v>
      </c>
    </row>
    <row r="9943" spans="1:21">
      <c r="A9943">
        <v>9942</v>
      </c>
      <c r="B9943" s="29" t="s">
        <v>3223</v>
      </c>
      <c r="C9943" s="29"/>
      <c r="D9943" s="29" t="s">
        <v>4156</v>
      </c>
      <c r="E9943" s="29"/>
      <c r="F9943" s="29" t="s">
        <v>4230</v>
      </c>
      <c r="G9943" s="29"/>
      <c r="H9943" s="29" t="s">
        <v>4337</v>
      </c>
      <c r="I9943" s="29"/>
      <c r="J9943" s="29" t="s">
        <v>4338</v>
      </c>
      <c r="K9943" s="29"/>
      <c r="L9943" s="29" t="s">
        <v>391</v>
      </c>
      <c r="M9943" s="29"/>
      <c r="N9943" s="29" t="s">
        <v>479</v>
      </c>
      <c r="O9943" s="29"/>
      <c r="P9943" s="29" t="s">
        <v>14276</v>
      </c>
      <c r="Q9943" t="s">
        <v>2040</v>
      </c>
      <c r="R9943" t="s">
        <v>2632</v>
      </c>
      <c r="S9943">
        <v>37</v>
      </c>
      <c r="T9943" s="43" t="str">
        <f>HYPERLINK("https://ictv.global/ictv/proposals/2021.006P.R.Potyvirus_5ns_3as.zip","2021.006P.R.Potyvirus_5ns_3as.zip")</f>
        <v>2021.006P.R.Potyvirus_5ns_3as.zip</v>
      </c>
      <c r="U9943" s="43" t="str">
        <f>HYPERLINK("https://ictv.global/taxonomy/taxondetails?taxnode_id=202213839","ictv.global=202213839")</f>
        <v>ictv.global=202213839</v>
      </c>
    </row>
    <row r="9944" spans="1:21">
      <c r="A9944">
        <v>9943</v>
      </c>
      <c r="B9944" s="29" t="s">
        <v>3223</v>
      </c>
      <c r="C9944" s="29"/>
      <c r="D9944" s="29" t="s">
        <v>4156</v>
      </c>
      <c r="E9944" s="29"/>
      <c r="F9944" s="29" t="s">
        <v>4230</v>
      </c>
      <c r="G9944" s="29"/>
      <c r="H9944" s="29" t="s">
        <v>4337</v>
      </c>
      <c r="I9944" s="29"/>
      <c r="J9944" s="29" t="s">
        <v>4338</v>
      </c>
      <c r="K9944" s="29"/>
      <c r="L9944" s="29" t="s">
        <v>391</v>
      </c>
      <c r="M9944" s="29"/>
      <c r="N9944" s="29" t="s">
        <v>479</v>
      </c>
      <c r="O9944" s="29"/>
      <c r="P9944" s="29" t="s">
        <v>14277</v>
      </c>
      <c r="Q9944" t="s">
        <v>2040</v>
      </c>
      <c r="R9944" t="s">
        <v>2632</v>
      </c>
      <c r="S9944">
        <v>38</v>
      </c>
      <c r="T9944" s="43" t="str">
        <f>HYPERLINK("https://ictv.global/ictv/proposals/2022.010P.Potyviridae_7ns.zip","2022.010P.Potyviridae_7ns.zip")</f>
        <v>2022.010P.Potyviridae_7ns.zip</v>
      </c>
      <c r="U9944" s="43" t="str">
        <f>HYPERLINK("https://ictv.global/taxonomy/taxondetails?taxnode_id=202215113","ictv.global=202215113")</f>
        <v>ictv.global=202215113</v>
      </c>
    </row>
    <row r="9945" spans="1:21">
      <c r="A9945">
        <v>9944</v>
      </c>
      <c r="B9945" s="29" t="s">
        <v>3223</v>
      </c>
      <c r="C9945" s="29"/>
      <c r="D9945" s="29" t="s">
        <v>4156</v>
      </c>
      <c r="E9945" s="29"/>
      <c r="F9945" s="29" t="s">
        <v>4230</v>
      </c>
      <c r="G9945" s="29"/>
      <c r="H9945" s="29" t="s">
        <v>4337</v>
      </c>
      <c r="I9945" s="29"/>
      <c r="J9945" s="29" t="s">
        <v>4338</v>
      </c>
      <c r="K9945" s="29"/>
      <c r="L9945" s="29" t="s">
        <v>391</v>
      </c>
      <c r="M9945" s="29"/>
      <c r="N9945" s="29" t="s">
        <v>479</v>
      </c>
      <c r="O9945" s="29"/>
      <c r="P9945" s="29" t="s">
        <v>14278</v>
      </c>
      <c r="Q9945" t="s">
        <v>2040</v>
      </c>
      <c r="R9945" t="s">
        <v>2632</v>
      </c>
      <c r="S9945">
        <v>38</v>
      </c>
      <c r="T9945" s="43" t="str">
        <f>HYPERLINK("https://ictv.global/ictv/proposals/2022.010P.Potyviridae_7ns.zip","2022.010P.Potyviridae_7ns.zip")</f>
        <v>2022.010P.Potyviridae_7ns.zip</v>
      </c>
      <c r="U9945" s="43" t="str">
        <f>HYPERLINK("https://ictv.global/taxonomy/taxondetails?taxnode_id=202215112","ictv.global=202215112")</f>
        <v>ictv.global=202215112</v>
      </c>
    </row>
    <row r="9946" spans="1:21">
      <c r="A9946">
        <v>9945</v>
      </c>
      <c r="B9946" s="29" t="s">
        <v>3223</v>
      </c>
      <c r="C9946" s="29"/>
      <c r="D9946" s="29" t="s">
        <v>4156</v>
      </c>
      <c r="E9946" s="29"/>
      <c r="F9946" s="29" t="s">
        <v>4230</v>
      </c>
      <c r="G9946" s="29"/>
      <c r="H9946" s="29" t="s">
        <v>4337</v>
      </c>
      <c r="I9946" s="29"/>
      <c r="J9946" s="29" t="s">
        <v>4338</v>
      </c>
      <c r="K9946" s="29"/>
      <c r="L9946" s="29" t="s">
        <v>391</v>
      </c>
      <c r="M9946" s="29"/>
      <c r="N9946" s="29" t="s">
        <v>479</v>
      </c>
      <c r="O9946" s="29"/>
      <c r="P9946" s="29" t="s">
        <v>14279</v>
      </c>
      <c r="Q9946" t="s">
        <v>2040</v>
      </c>
      <c r="R9946" t="s">
        <v>2632</v>
      </c>
      <c r="S9946">
        <v>38</v>
      </c>
      <c r="T9946" s="43" t="str">
        <f>HYPERLINK("https://ictv.global/ictv/proposals/2022.010P.Potyviridae_7ns.zip","2022.010P.Potyviridae_7ns.zip")</f>
        <v>2022.010P.Potyviridae_7ns.zip</v>
      </c>
      <c r="U9946" s="43" t="str">
        <f>HYPERLINK("https://ictv.global/taxonomy/taxondetails?taxnode_id=202215114","ictv.global=202215114")</f>
        <v>ictv.global=202215114</v>
      </c>
    </row>
    <row r="9947" spans="1:21">
      <c r="A9947">
        <v>9946</v>
      </c>
      <c r="B9947" s="29" t="s">
        <v>3223</v>
      </c>
      <c r="C9947" s="29"/>
      <c r="D9947" s="29" t="s">
        <v>4156</v>
      </c>
      <c r="E9947" s="29"/>
      <c r="F9947" s="29" t="s">
        <v>4230</v>
      </c>
      <c r="G9947" s="29"/>
      <c r="H9947" s="29" t="s">
        <v>4337</v>
      </c>
      <c r="I9947" s="29"/>
      <c r="J9947" s="29" t="s">
        <v>4338</v>
      </c>
      <c r="K9947" s="29"/>
      <c r="L9947" s="29" t="s">
        <v>391</v>
      </c>
      <c r="M9947" s="29"/>
      <c r="N9947" s="29" t="s">
        <v>479</v>
      </c>
      <c r="O9947" s="29"/>
      <c r="P9947" s="29" t="s">
        <v>421</v>
      </c>
      <c r="Q9947" t="s">
        <v>2040</v>
      </c>
      <c r="R9947" t="s">
        <v>2634</v>
      </c>
      <c r="S9947">
        <v>35</v>
      </c>
      <c r="T9947" s="43" t="str">
        <f t="shared" ref="T9947:T9985" si="427">HYPERLINK("https://ictv.global/ictv/proposals/2019.006G.zip","2019.006G.zip")</f>
        <v>2019.006G.zip</v>
      </c>
      <c r="U9947" s="43" t="str">
        <f>HYPERLINK("https://ictv.global/taxonomy/taxondetails?taxnode_id=202204671","ictv.global=202204671")</f>
        <v>ictv.global=202204671</v>
      </c>
    </row>
    <row r="9948" spans="1:21">
      <c r="A9948">
        <v>9947</v>
      </c>
      <c r="B9948" s="29" t="s">
        <v>3223</v>
      </c>
      <c r="C9948" s="29"/>
      <c r="D9948" s="29" t="s">
        <v>4156</v>
      </c>
      <c r="E9948" s="29"/>
      <c r="F9948" s="29" t="s">
        <v>4230</v>
      </c>
      <c r="G9948" s="29"/>
      <c r="H9948" s="29" t="s">
        <v>4337</v>
      </c>
      <c r="I9948" s="29"/>
      <c r="J9948" s="29" t="s">
        <v>4338</v>
      </c>
      <c r="K9948" s="29"/>
      <c r="L9948" s="29" t="s">
        <v>391</v>
      </c>
      <c r="M9948" s="29"/>
      <c r="N9948" s="29" t="s">
        <v>479</v>
      </c>
      <c r="O9948" s="29"/>
      <c r="P9948" s="29" t="s">
        <v>1084</v>
      </c>
      <c r="Q9948" t="s">
        <v>2040</v>
      </c>
      <c r="R9948" t="s">
        <v>2634</v>
      </c>
      <c r="S9948">
        <v>35</v>
      </c>
      <c r="T9948" s="43" t="str">
        <f t="shared" si="427"/>
        <v>2019.006G.zip</v>
      </c>
      <c r="U9948" s="43" t="str">
        <f>HYPERLINK("https://ictv.global/taxonomy/taxondetails?taxnode_id=202204672","ictv.global=202204672")</f>
        <v>ictv.global=202204672</v>
      </c>
    </row>
    <row r="9949" spans="1:21">
      <c r="A9949">
        <v>9948</v>
      </c>
      <c r="B9949" s="29" t="s">
        <v>3223</v>
      </c>
      <c r="C9949" s="29"/>
      <c r="D9949" s="29" t="s">
        <v>4156</v>
      </c>
      <c r="E9949" s="29"/>
      <c r="F9949" s="29" t="s">
        <v>4230</v>
      </c>
      <c r="G9949" s="29"/>
      <c r="H9949" s="29" t="s">
        <v>4337</v>
      </c>
      <c r="I9949" s="29"/>
      <c r="J9949" s="29" t="s">
        <v>4338</v>
      </c>
      <c r="K9949" s="29"/>
      <c r="L9949" s="29" t="s">
        <v>391</v>
      </c>
      <c r="M9949" s="29"/>
      <c r="N9949" s="29" t="s">
        <v>479</v>
      </c>
      <c r="O9949" s="29"/>
      <c r="P9949" s="29" t="s">
        <v>1085</v>
      </c>
      <c r="Q9949" t="s">
        <v>2040</v>
      </c>
      <c r="R9949" t="s">
        <v>2634</v>
      </c>
      <c r="S9949">
        <v>35</v>
      </c>
      <c r="T9949" s="43" t="str">
        <f t="shared" si="427"/>
        <v>2019.006G.zip</v>
      </c>
      <c r="U9949" s="43" t="str">
        <f>HYPERLINK("https://ictv.global/taxonomy/taxondetails?taxnode_id=202204673","ictv.global=202204673")</f>
        <v>ictv.global=202204673</v>
      </c>
    </row>
    <row r="9950" spans="1:21">
      <c r="A9950">
        <v>9949</v>
      </c>
      <c r="B9950" s="29" t="s">
        <v>3223</v>
      </c>
      <c r="C9950" s="29"/>
      <c r="D9950" s="29" t="s">
        <v>4156</v>
      </c>
      <c r="E9950" s="29"/>
      <c r="F9950" s="29" t="s">
        <v>4230</v>
      </c>
      <c r="G9950" s="29"/>
      <c r="H9950" s="29" t="s">
        <v>4337</v>
      </c>
      <c r="I9950" s="29"/>
      <c r="J9950" s="29" t="s">
        <v>4338</v>
      </c>
      <c r="K9950" s="29"/>
      <c r="L9950" s="29" t="s">
        <v>391</v>
      </c>
      <c r="M9950" s="29"/>
      <c r="N9950" s="29" t="s">
        <v>479</v>
      </c>
      <c r="O9950" s="29"/>
      <c r="P9950" s="29" t="s">
        <v>299</v>
      </c>
      <c r="Q9950" t="s">
        <v>2040</v>
      </c>
      <c r="R9950" t="s">
        <v>2634</v>
      </c>
      <c r="S9950">
        <v>35</v>
      </c>
      <c r="T9950" s="43" t="str">
        <f t="shared" si="427"/>
        <v>2019.006G.zip</v>
      </c>
      <c r="U9950" s="43" t="str">
        <f>HYPERLINK("https://ictv.global/taxonomy/taxondetails?taxnode_id=202204674","ictv.global=202204674")</f>
        <v>ictv.global=202204674</v>
      </c>
    </row>
    <row r="9951" spans="1:21">
      <c r="A9951">
        <v>9950</v>
      </c>
      <c r="B9951" s="29" t="s">
        <v>3223</v>
      </c>
      <c r="C9951" s="29"/>
      <c r="D9951" s="29" t="s">
        <v>4156</v>
      </c>
      <c r="E9951" s="29"/>
      <c r="F9951" s="29" t="s">
        <v>4230</v>
      </c>
      <c r="G9951" s="29"/>
      <c r="H9951" s="29" t="s">
        <v>4337</v>
      </c>
      <c r="I9951" s="29"/>
      <c r="J9951" s="29" t="s">
        <v>4338</v>
      </c>
      <c r="K9951" s="29"/>
      <c r="L9951" s="29" t="s">
        <v>391</v>
      </c>
      <c r="M9951" s="29"/>
      <c r="N9951" s="29" t="s">
        <v>479</v>
      </c>
      <c r="O9951" s="29"/>
      <c r="P9951" s="29" t="s">
        <v>3355</v>
      </c>
      <c r="Q9951" t="s">
        <v>2040</v>
      </c>
      <c r="R9951" t="s">
        <v>2634</v>
      </c>
      <c r="S9951">
        <v>35</v>
      </c>
      <c r="T9951" s="43" t="str">
        <f t="shared" si="427"/>
        <v>2019.006G.zip</v>
      </c>
      <c r="U9951" s="43" t="str">
        <f>HYPERLINK("https://ictv.global/taxonomy/taxondetails?taxnode_id=202206675","ictv.global=202206675")</f>
        <v>ictv.global=202206675</v>
      </c>
    </row>
    <row r="9952" spans="1:21">
      <c r="A9952">
        <v>9951</v>
      </c>
      <c r="B9952" s="29" t="s">
        <v>3223</v>
      </c>
      <c r="C9952" s="29"/>
      <c r="D9952" s="29" t="s">
        <v>4156</v>
      </c>
      <c r="E9952" s="29"/>
      <c r="F9952" s="29" t="s">
        <v>4230</v>
      </c>
      <c r="G9952" s="29"/>
      <c r="H9952" s="29" t="s">
        <v>4337</v>
      </c>
      <c r="I9952" s="29"/>
      <c r="J9952" s="29" t="s">
        <v>4338</v>
      </c>
      <c r="K9952" s="29"/>
      <c r="L9952" s="29" t="s">
        <v>391</v>
      </c>
      <c r="M9952" s="29"/>
      <c r="N9952" s="29" t="s">
        <v>479</v>
      </c>
      <c r="O9952" s="29"/>
      <c r="P9952" s="29" t="s">
        <v>300</v>
      </c>
      <c r="Q9952" t="s">
        <v>2040</v>
      </c>
      <c r="R9952" t="s">
        <v>2634</v>
      </c>
      <c r="S9952">
        <v>35</v>
      </c>
      <c r="T9952" s="43" t="str">
        <f t="shared" si="427"/>
        <v>2019.006G.zip</v>
      </c>
      <c r="U9952" s="43" t="str">
        <f>HYPERLINK("https://ictv.global/taxonomy/taxondetails?taxnode_id=202204675","ictv.global=202204675")</f>
        <v>ictv.global=202204675</v>
      </c>
    </row>
    <row r="9953" spans="1:21">
      <c r="A9953">
        <v>9952</v>
      </c>
      <c r="B9953" s="29" t="s">
        <v>3223</v>
      </c>
      <c r="C9953" s="29"/>
      <c r="D9953" s="29" t="s">
        <v>4156</v>
      </c>
      <c r="E9953" s="29"/>
      <c r="F9953" s="29" t="s">
        <v>4230</v>
      </c>
      <c r="G9953" s="29"/>
      <c r="H9953" s="29" t="s">
        <v>4337</v>
      </c>
      <c r="I9953" s="29"/>
      <c r="J9953" s="29" t="s">
        <v>4338</v>
      </c>
      <c r="K9953" s="29"/>
      <c r="L9953" s="29" t="s">
        <v>391</v>
      </c>
      <c r="M9953" s="29"/>
      <c r="N9953" s="29" t="s">
        <v>479</v>
      </c>
      <c r="O9953" s="29"/>
      <c r="P9953" s="29" t="s">
        <v>301</v>
      </c>
      <c r="Q9953" t="s">
        <v>2040</v>
      </c>
      <c r="R9953" t="s">
        <v>2634</v>
      </c>
      <c r="S9953">
        <v>35</v>
      </c>
      <c r="T9953" s="43" t="str">
        <f t="shared" si="427"/>
        <v>2019.006G.zip</v>
      </c>
      <c r="U9953" s="43" t="str">
        <f>HYPERLINK("https://ictv.global/taxonomy/taxondetails?taxnode_id=202204676","ictv.global=202204676")</f>
        <v>ictv.global=202204676</v>
      </c>
    </row>
    <row r="9954" spans="1:21">
      <c r="A9954">
        <v>9953</v>
      </c>
      <c r="B9954" s="29" t="s">
        <v>3223</v>
      </c>
      <c r="C9954" s="29"/>
      <c r="D9954" s="29" t="s">
        <v>4156</v>
      </c>
      <c r="E9954" s="29"/>
      <c r="F9954" s="29" t="s">
        <v>4230</v>
      </c>
      <c r="G9954" s="29"/>
      <c r="H9954" s="29" t="s">
        <v>4337</v>
      </c>
      <c r="I9954" s="29"/>
      <c r="J9954" s="29" t="s">
        <v>4338</v>
      </c>
      <c r="K9954" s="29"/>
      <c r="L9954" s="29" t="s">
        <v>391</v>
      </c>
      <c r="M9954" s="29"/>
      <c r="N9954" s="29" t="s">
        <v>479</v>
      </c>
      <c r="O9954" s="29"/>
      <c r="P9954" s="29" t="s">
        <v>302</v>
      </c>
      <c r="Q9954" t="s">
        <v>2040</v>
      </c>
      <c r="R9954" t="s">
        <v>2634</v>
      </c>
      <c r="S9954">
        <v>35</v>
      </c>
      <c r="T9954" s="43" t="str">
        <f t="shared" si="427"/>
        <v>2019.006G.zip</v>
      </c>
      <c r="U9954" s="43" t="str">
        <f>HYPERLINK("https://ictv.global/taxonomy/taxondetails?taxnode_id=202204677","ictv.global=202204677")</f>
        <v>ictv.global=202204677</v>
      </c>
    </row>
    <row r="9955" spans="1:21">
      <c r="A9955">
        <v>9954</v>
      </c>
      <c r="B9955" s="29" t="s">
        <v>3223</v>
      </c>
      <c r="C9955" s="29"/>
      <c r="D9955" s="29" t="s">
        <v>4156</v>
      </c>
      <c r="E9955" s="29"/>
      <c r="F9955" s="29" t="s">
        <v>4230</v>
      </c>
      <c r="G9955" s="29"/>
      <c r="H9955" s="29" t="s">
        <v>4337</v>
      </c>
      <c r="I9955" s="29"/>
      <c r="J9955" s="29" t="s">
        <v>4338</v>
      </c>
      <c r="K9955" s="29"/>
      <c r="L9955" s="29" t="s">
        <v>391</v>
      </c>
      <c r="M9955" s="29"/>
      <c r="N9955" s="29" t="s">
        <v>479</v>
      </c>
      <c r="O9955" s="29"/>
      <c r="P9955" s="29" t="s">
        <v>1086</v>
      </c>
      <c r="Q9955" t="s">
        <v>2040</v>
      </c>
      <c r="R9955" t="s">
        <v>2634</v>
      </c>
      <c r="S9955">
        <v>35</v>
      </c>
      <c r="T9955" s="43" t="str">
        <f t="shared" si="427"/>
        <v>2019.006G.zip</v>
      </c>
      <c r="U9955" s="43" t="str">
        <f>HYPERLINK("https://ictv.global/taxonomy/taxondetails?taxnode_id=202204678","ictv.global=202204678")</f>
        <v>ictv.global=202204678</v>
      </c>
    </row>
    <row r="9956" spans="1:21">
      <c r="A9956">
        <v>9955</v>
      </c>
      <c r="B9956" s="29" t="s">
        <v>3223</v>
      </c>
      <c r="C9956" s="29"/>
      <c r="D9956" s="29" t="s">
        <v>4156</v>
      </c>
      <c r="E9956" s="29"/>
      <c r="F9956" s="29" t="s">
        <v>4230</v>
      </c>
      <c r="G9956" s="29"/>
      <c r="H9956" s="29" t="s">
        <v>4337</v>
      </c>
      <c r="I9956" s="29"/>
      <c r="J9956" s="29" t="s">
        <v>4338</v>
      </c>
      <c r="K9956" s="29"/>
      <c r="L9956" s="29" t="s">
        <v>391</v>
      </c>
      <c r="M9956" s="29"/>
      <c r="N9956" s="29" t="s">
        <v>479</v>
      </c>
      <c r="O9956" s="29"/>
      <c r="P9956" s="29" t="s">
        <v>1087</v>
      </c>
      <c r="Q9956" t="s">
        <v>2040</v>
      </c>
      <c r="R9956" t="s">
        <v>2634</v>
      </c>
      <c r="S9956">
        <v>35</v>
      </c>
      <c r="T9956" s="43" t="str">
        <f t="shared" si="427"/>
        <v>2019.006G.zip</v>
      </c>
      <c r="U9956" s="43" t="str">
        <f>HYPERLINK("https://ictv.global/taxonomy/taxondetails?taxnode_id=202204679","ictv.global=202204679")</f>
        <v>ictv.global=202204679</v>
      </c>
    </row>
    <row r="9957" spans="1:21">
      <c r="A9957">
        <v>9956</v>
      </c>
      <c r="B9957" s="29" t="s">
        <v>3223</v>
      </c>
      <c r="C9957" s="29"/>
      <c r="D9957" s="29" t="s">
        <v>4156</v>
      </c>
      <c r="E9957" s="29"/>
      <c r="F9957" s="29" t="s">
        <v>4230</v>
      </c>
      <c r="G9957" s="29"/>
      <c r="H9957" s="29" t="s">
        <v>4337</v>
      </c>
      <c r="I9957" s="29"/>
      <c r="J9957" s="29" t="s">
        <v>4338</v>
      </c>
      <c r="K9957" s="29"/>
      <c r="L9957" s="29" t="s">
        <v>391</v>
      </c>
      <c r="M9957" s="29"/>
      <c r="N9957" s="29" t="s">
        <v>479</v>
      </c>
      <c r="O9957" s="29"/>
      <c r="P9957" s="29" t="s">
        <v>1391</v>
      </c>
      <c r="Q9957" t="s">
        <v>2040</v>
      </c>
      <c r="R9957" t="s">
        <v>2634</v>
      </c>
      <c r="S9957">
        <v>35</v>
      </c>
      <c r="T9957" s="43" t="str">
        <f t="shared" si="427"/>
        <v>2019.006G.zip</v>
      </c>
      <c r="U9957" s="43" t="str">
        <f>HYPERLINK("https://ictv.global/taxonomy/taxondetails?taxnode_id=202204680","ictv.global=202204680")</f>
        <v>ictv.global=202204680</v>
      </c>
    </row>
    <row r="9958" spans="1:21">
      <c r="A9958">
        <v>9957</v>
      </c>
      <c r="B9958" s="29" t="s">
        <v>3223</v>
      </c>
      <c r="C9958" s="29"/>
      <c r="D9958" s="29" t="s">
        <v>4156</v>
      </c>
      <c r="E9958" s="29"/>
      <c r="F9958" s="29" t="s">
        <v>4230</v>
      </c>
      <c r="G9958" s="29"/>
      <c r="H9958" s="29" t="s">
        <v>4337</v>
      </c>
      <c r="I9958" s="29"/>
      <c r="J9958" s="29" t="s">
        <v>4338</v>
      </c>
      <c r="K9958" s="29"/>
      <c r="L9958" s="29" t="s">
        <v>391</v>
      </c>
      <c r="M9958" s="29"/>
      <c r="N9958" s="29" t="s">
        <v>479</v>
      </c>
      <c r="O9958" s="29"/>
      <c r="P9958" s="29" t="s">
        <v>3356</v>
      </c>
      <c r="Q9958" t="s">
        <v>2040</v>
      </c>
      <c r="R9958" t="s">
        <v>2634</v>
      </c>
      <c r="S9958">
        <v>35</v>
      </c>
      <c r="T9958" s="43" t="str">
        <f t="shared" si="427"/>
        <v>2019.006G.zip</v>
      </c>
      <c r="U9958" s="43" t="str">
        <f>HYPERLINK("https://ictv.global/taxonomy/taxondetails?taxnode_id=202206676","ictv.global=202206676")</f>
        <v>ictv.global=202206676</v>
      </c>
    </row>
    <row r="9959" spans="1:21">
      <c r="A9959">
        <v>9958</v>
      </c>
      <c r="B9959" s="29" t="s">
        <v>3223</v>
      </c>
      <c r="C9959" s="29"/>
      <c r="D9959" s="29" t="s">
        <v>4156</v>
      </c>
      <c r="E9959" s="29"/>
      <c r="F9959" s="29" t="s">
        <v>4230</v>
      </c>
      <c r="G9959" s="29"/>
      <c r="H9959" s="29" t="s">
        <v>4337</v>
      </c>
      <c r="I9959" s="29"/>
      <c r="J9959" s="29" t="s">
        <v>4338</v>
      </c>
      <c r="K9959" s="29"/>
      <c r="L9959" s="29" t="s">
        <v>391</v>
      </c>
      <c r="M9959" s="29"/>
      <c r="N9959" s="29" t="s">
        <v>479</v>
      </c>
      <c r="O9959" s="29"/>
      <c r="P9959" s="29" t="s">
        <v>1088</v>
      </c>
      <c r="Q9959" t="s">
        <v>2040</v>
      </c>
      <c r="R9959" t="s">
        <v>2634</v>
      </c>
      <c r="S9959">
        <v>35</v>
      </c>
      <c r="T9959" s="43" t="str">
        <f t="shared" si="427"/>
        <v>2019.006G.zip</v>
      </c>
      <c r="U9959" s="43" t="str">
        <f>HYPERLINK("https://ictv.global/taxonomy/taxondetails?taxnode_id=202204681","ictv.global=202204681")</f>
        <v>ictv.global=202204681</v>
      </c>
    </row>
    <row r="9960" spans="1:21">
      <c r="A9960">
        <v>9959</v>
      </c>
      <c r="B9960" s="29" t="s">
        <v>3223</v>
      </c>
      <c r="C9960" s="29"/>
      <c r="D9960" s="29" t="s">
        <v>4156</v>
      </c>
      <c r="E9960" s="29"/>
      <c r="F9960" s="29" t="s">
        <v>4230</v>
      </c>
      <c r="G9960" s="29"/>
      <c r="H9960" s="29" t="s">
        <v>4337</v>
      </c>
      <c r="I9960" s="29"/>
      <c r="J9960" s="29" t="s">
        <v>4338</v>
      </c>
      <c r="K9960" s="29"/>
      <c r="L9960" s="29" t="s">
        <v>391</v>
      </c>
      <c r="M9960" s="29"/>
      <c r="N9960" s="29" t="s">
        <v>479</v>
      </c>
      <c r="O9960" s="29"/>
      <c r="P9960" s="29" t="s">
        <v>155</v>
      </c>
      <c r="Q9960" t="s">
        <v>2040</v>
      </c>
      <c r="R9960" t="s">
        <v>2634</v>
      </c>
      <c r="S9960">
        <v>35</v>
      </c>
      <c r="T9960" s="43" t="str">
        <f t="shared" si="427"/>
        <v>2019.006G.zip</v>
      </c>
      <c r="U9960" s="43" t="str">
        <f>HYPERLINK("https://ictv.global/taxonomy/taxondetails?taxnode_id=202204682","ictv.global=202204682")</f>
        <v>ictv.global=202204682</v>
      </c>
    </row>
    <row r="9961" spans="1:21">
      <c r="A9961">
        <v>9960</v>
      </c>
      <c r="B9961" s="29" t="s">
        <v>3223</v>
      </c>
      <c r="C9961" s="29"/>
      <c r="D9961" s="29" t="s">
        <v>4156</v>
      </c>
      <c r="E9961" s="29"/>
      <c r="F9961" s="29" t="s">
        <v>4230</v>
      </c>
      <c r="G9961" s="29"/>
      <c r="H9961" s="29" t="s">
        <v>4337</v>
      </c>
      <c r="I9961" s="29"/>
      <c r="J9961" s="29" t="s">
        <v>4338</v>
      </c>
      <c r="K9961" s="29"/>
      <c r="L9961" s="29" t="s">
        <v>391</v>
      </c>
      <c r="M9961" s="29"/>
      <c r="N9961" s="29" t="s">
        <v>479</v>
      </c>
      <c r="O9961" s="29"/>
      <c r="P9961" s="29" t="s">
        <v>2321</v>
      </c>
      <c r="Q9961" t="s">
        <v>2040</v>
      </c>
      <c r="R9961" t="s">
        <v>2634</v>
      </c>
      <c r="S9961">
        <v>35</v>
      </c>
      <c r="T9961" s="43" t="str">
        <f t="shared" si="427"/>
        <v>2019.006G.zip</v>
      </c>
      <c r="U9961" s="43" t="str">
        <f>HYPERLINK("https://ictv.global/taxonomy/taxondetails?taxnode_id=202204683","ictv.global=202204683")</f>
        <v>ictv.global=202204683</v>
      </c>
    </row>
    <row r="9962" spans="1:21">
      <c r="A9962">
        <v>9961</v>
      </c>
      <c r="B9962" s="29" t="s">
        <v>3223</v>
      </c>
      <c r="C9962" s="29"/>
      <c r="D9962" s="29" t="s">
        <v>4156</v>
      </c>
      <c r="E9962" s="29"/>
      <c r="F9962" s="29" t="s">
        <v>4230</v>
      </c>
      <c r="G9962" s="29"/>
      <c r="H9962" s="29" t="s">
        <v>4337</v>
      </c>
      <c r="I9962" s="29"/>
      <c r="J9962" s="29" t="s">
        <v>4338</v>
      </c>
      <c r="K9962" s="29"/>
      <c r="L9962" s="29" t="s">
        <v>391</v>
      </c>
      <c r="M9962" s="29"/>
      <c r="N9962" s="29" t="s">
        <v>479</v>
      </c>
      <c r="O9962" s="29"/>
      <c r="P9962" s="29" t="s">
        <v>1089</v>
      </c>
      <c r="Q9962" t="s">
        <v>2040</v>
      </c>
      <c r="R9962" t="s">
        <v>2634</v>
      </c>
      <c r="S9962">
        <v>35</v>
      </c>
      <c r="T9962" s="43" t="str">
        <f t="shared" si="427"/>
        <v>2019.006G.zip</v>
      </c>
      <c r="U9962" s="43" t="str">
        <f>HYPERLINK("https://ictv.global/taxonomy/taxondetails?taxnode_id=202204684","ictv.global=202204684")</f>
        <v>ictv.global=202204684</v>
      </c>
    </row>
    <row r="9963" spans="1:21">
      <c r="A9963">
        <v>9962</v>
      </c>
      <c r="B9963" s="29" t="s">
        <v>3223</v>
      </c>
      <c r="C9963" s="29"/>
      <c r="D9963" s="29" t="s">
        <v>4156</v>
      </c>
      <c r="E9963" s="29"/>
      <c r="F9963" s="29" t="s">
        <v>4230</v>
      </c>
      <c r="G9963" s="29"/>
      <c r="H9963" s="29" t="s">
        <v>4337</v>
      </c>
      <c r="I9963" s="29"/>
      <c r="J9963" s="29" t="s">
        <v>4338</v>
      </c>
      <c r="K9963" s="29"/>
      <c r="L9963" s="29" t="s">
        <v>391</v>
      </c>
      <c r="M9963" s="29"/>
      <c r="N9963" s="29" t="s">
        <v>479</v>
      </c>
      <c r="O9963" s="29"/>
      <c r="P9963" s="29" t="s">
        <v>2967</v>
      </c>
      <c r="Q9963" t="s">
        <v>2040</v>
      </c>
      <c r="R9963" t="s">
        <v>2634</v>
      </c>
      <c r="S9963">
        <v>35</v>
      </c>
      <c r="T9963" s="43" t="str">
        <f t="shared" si="427"/>
        <v>2019.006G.zip</v>
      </c>
      <c r="U9963" s="43" t="str">
        <f>HYPERLINK("https://ictv.global/taxonomy/taxondetails?taxnode_id=202205923","ictv.global=202205923")</f>
        <v>ictv.global=202205923</v>
      </c>
    </row>
    <row r="9964" spans="1:21">
      <c r="A9964">
        <v>9963</v>
      </c>
      <c r="B9964" s="29" t="s">
        <v>3223</v>
      </c>
      <c r="C9964" s="29"/>
      <c r="D9964" s="29" t="s">
        <v>4156</v>
      </c>
      <c r="E9964" s="29"/>
      <c r="F9964" s="29" t="s">
        <v>4230</v>
      </c>
      <c r="G9964" s="29"/>
      <c r="H9964" s="29" t="s">
        <v>4337</v>
      </c>
      <c r="I9964" s="29"/>
      <c r="J9964" s="29" t="s">
        <v>4338</v>
      </c>
      <c r="K9964" s="29"/>
      <c r="L9964" s="29" t="s">
        <v>391</v>
      </c>
      <c r="M9964" s="29"/>
      <c r="N9964" s="29" t="s">
        <v>479</v>
      </c>
      <c r="O9964" s="29"/>
      <c r="P9964" s="29" t="s">
        <v>1090</v>
      </c>
      <c r="Q9964" t="s">
        <v>2040</v>
      </c>
      <c r="R9964" t="s">
        <v>2634</v>
      </c>
      <c r="S9964">
        <v>35</v>
      </c>
      <c r="T9964" s="43" t="str">
        <f t="shared" si="427"/>
        <v>2019.006G.zip</v>
      </c>
      <c r="U9964" s="43" t="str">
        <f>HYPERLINK("https://ictv.global/taxonomy/taxondetails?taxnode_id=202204685","ictv.global=202204685")</f>
        <v>ictv.global=202204685</v>
      </c>
    </row>
    <row r="9965" spans="1:21">
      <c r="A9965">
        <v>9964</v>
      </c>
      <c r="B9965" s="29" t="s">
        <v>3223</v>
      </c>
      <c r="C9965" s="29"/>
      <c r="D9965" s="29" t="s">
        <v>4156</v>
      </c>
      <c r="E9965" s="29"/>
      <c r="F9965" s="29" t="s">
        <v>4230</v>
      </c>
      <c r="G9965" s="29"/>
      <c r="H9965" s="29" t="s">
        <v>4337</v>
      </c>
      <c r="I9965" s="29"/>
      <c r="J9965" s="29" t="s">
        <v>4338</v>
      </c>
      <c r="K9965" s="29"/>
      <c r="L9965" s="29" t="s">
        <v>391</v>
      </c>
      <c r="M9965" s="29"/>
      <c r="N9965" s="29" t="s">
        <v>479</v>
      </c>
      <c r="O9965" s="29"/>
      <c r="P9965" s="29" t="s">
        <v>1091</v>
      </c>
      <c r="Q9965" t="s">
        <v>2040</v>
      </c>
      <c r="R9965" t="s">
        <v>2634</v>
      </c>
      <c r="S9965">
        <v>35</v>
      </c>
      <c r="T9965" s="43" t="str">
        <f t="shared" si="427"/>
        <v>2019.006G.zip</v>
      </c>
      <c r="U9965" s="43" t="str">
        <f>HYPERLINK("https://ictv.global/taxonomy/taxondetails?taxnode_id=202204686","ictv.global=202204686")</f>
        <v>ictv.global=202204686</v>
      </c>
    </row>
    <row r="9966" spans="1:21">
      <c r="A9966">
        <v>9965</v>
      </c>
      <c r="B9966" s="29" t="s">
        <v>3223</v>
      </c>
      <c r="C9966" s="29"/>
      <c r="D9966" s="29" t="s">
        <v>4156</v>
      </c>
      <c r="E9966" s="29"/>
      <c r="F9966" s="29" t="s">
        <v>4230</v>
      </c>
      <c r="G9966" s="29"/>
      <c r="H9966" s="29" t="s">
        <v>4337</v>
      </c>
      <c r="I9966" s="29"/>
      <c r="J9966" s="29" t="s">
        <v>4338</v>
      </c>
      <c r="K9966" s="29"/>
      <c r="L9966" s="29" t="s">
        <v>391</v>
      </c>
      <c r="M9966" s="29"/>
      <c r="N9966" s="29" t="s">
        <v>479</v>
      </c>
      <c r="O9966" s="29"/>
      <c r="P9966" s="29" t="s">
        <v>200</v>
      </c>
      <c r="Q9966" t="s">
        <v>2040</v>
      </c>
      <c r="R9966" t="s">
        <v>2634</v>
      </c>
      <c r="S9966">
        <v>35</v>
      </c>
      <c r="T9966" s="43" t="str">
        <f t="shared" si="427"/>
        <v>2019.006G.zip</v>
      </c>
      <c r="U9966" s="43" t="str">
        <f>HYPERLINK("https://ictv.global/taxonomy/taxondetails?taxnode_id=202204687","ictv.global=202204687")</f>
        <v>ictv.global=202204687</v>
      </c>
    </row>
    <row r="9967" spans="1:21">
      <c r="A9967">
        <v>9966</v>
      </c>
      <c r="B9967" s="29" t="s">
        <v>3223</v>
      </c>
      <c r="C9967" s="29"/>
      <c r="D9967" s="29" t="s">
        <v>4156</v>
      </c>
      <c r="E9967" s="29"/>
      <c r="F9967" s="29" t="s">
        <v>4230</v>
      </c>
      <c r="G9967" s="29"/>
      <c r="H9967" s="29" t="s">
        <v>4337</v>
      </c>
      <c r="I9967" s="29"/>
      <c r="J9967" s="29" t="s">
        <v>4338</v>
      </c>
      <c r="K9967" s="29"/>
      <c r="L9967" s="29" t="s">
        <v>391</v>
      </c>
      <c r="M9967" s="29"/>
      <c r="N9967" s="29" t="s">
        <v>479</v>
      </c>
      <c r="O9967" s="29"/>
      <c r="P9967" s="29" t="s">
        <v>201</v>
      </c>
      <c r="Q9967" t="s">
        <v>2040</v>
      </c>
      <c r="R9967" t="s">
        <v>2634</v>
      </c>
      <c r="S9967">
        <v>35</v>
      </c>
      <c r="T9967" s="43" t="str">
        <f t="shared" si="427"/>
        <v>2019.006G.zip</v>
      </c>
      <c r="U9967" s="43" t="str">
        <f>HYPERLINK("https://ictv.global/taxonomy/taxondetails?taxnode_id=202204688","ictv.global=202204688")</f>
        <v>ictv.global=202204688</v>
      </c>
    </row>
    <row r="9968" spans="1:21">
      <c r="A9968">
        <v>9967</v>
      </c>
      <c r="B9968" s="29" t="s">
        <v>3223</v>
      </c>
      <c r="C9968" s="29"/>
      <c r="D9968" s="29" t="s">
        <v>4156</v>
      </c>
      <c r="E9968" s="29"/>
      <c r="F9968" s="29" t="s">
        <v>4230</v>
      </c>
      <c r="G9968" s="29"/>
      <c r="H9968" s="29" t="s">
        <v>4337</v>
      </c>
      <c r="I9968" s="29"/>
      <c r="J9968" s="29" t="s">
        <v>4338</v>
      </c>
      <c r="K9968" s="29"/>
      <c r="L9968" s="29" t="s">
        <v>391</v>
      </c>
      <c r="M9968" s="29"/>
      <c r="N9968" s="29" t="s">
        <v>479</v>
      </c>
      <c r="O9968" s="29"/>
      <c r="P9968" s="29" t="s">
        <v>156</v>
      </c>
      <c r="Q9968" t="s">
        <v>2040</v>
      </c>
      <c r="R9968" t="s">
        <v>2634</v>
      </c>
      <c r="S9968">
        <v>35</v>
      </c>
      <c r="T9968" s="43" t="str">
        <f t="shared" si="427"/>
        <v>2019.006G.zip</v>
      </c>
      <c r="U9968" s="43" t="str">
        <f>HYPERLINK("https://ictv.global/taxonomy/taxondetails?taxnode_id=202204689","ictv.global=202204689")</f>
        <v>ictv.global=202204689</v>
      </c>
    </row>
    <row r="9969" spans="1:21">
      <c r="A9969">
        <v>9968</v>
      </c>
      <c r="B9969" s="29" t="s">
        <v>3223</v>
      </c>
      <c r="C9969" s="29"/>
      <c r="D9969" s="29" t="s">
        <v>4156</v>
      </c>
      <c r="E9969" s="29"/>
      <c r="F9969" s="29" t="s">
        <v>4230</v>
      </c>
      <c r="G9969" s="29"/>
      <c r="H9969" s="29" t="s">
        <v>4337</v>
      </c>
      <c r="I9969" s="29"/>
      <c r="J9969" s="29" t="s">
        <v>4338</v>
      </c>
      <c r="K9969" s="29"/>
      <c r="L9969" s="29" t="s">
        <v>391</v>
      </c>
      <c r="M9969" s="29"/>
      <c r="N9969" s="29" t="s">
        <v>479</v>
      </c>
      <c r="O9969" s="29"/>
      <c r="P9969" s="29" t="s">
        <v>202</v>
      </c>
      <c r="Q9969" t="s">
        <v>2040</v>
      </c>
      <c r="R9969" t="s">
        <v>2634</v>
      </c>
      <c r="S9969">
        <v>35</v>
      </c>
      <c r="T9969" s="43" t="str">
        <f t="shared" si="427"/>
        <v>2019.006G.zip</v>
      </c>
      <c r="U9969" s="43" t="str">
        <f>HYPERLINK("https://ictv.global/taxonomy/taxondetails?taxnode_id=202204690","ictv.global=202204690")</f>
        <v>ictv.global=202204690</v>
      </c>
    </row>
    <row r="9970" spans="1:21">
      <c r="A9970">
        <v>9969</v>
      </c>
      <c r="B9970" s="29" t="s">
        <v>3223</v>
      </c>
      <c r="C9970" s="29"/>
      <c r="D9970" s="29" t="s">
        <v>4156</v>
      </c>
      <c r="E9970" s="29"/>
      <c r="F9970" s="29" t="s">
        <v>4230</v>
      </c>
      <c r="G9970" s="29"/>
      <c r="H9970" s="29" t="s">
        <v>4337</v>
      </c>
      <c r="I9970" s="29"/>
      <c r="J9970" s="29" t="s">
        <v>4338</v>
      </c>
      <c r="K9970" s="29"/>
      <c r="L9970" s="29" t="s">
        <v>391</v>
      </c>
      <c r="M9970" s="29"/>
      <c r="N9970" s="29" t="s">
        <v>479</v>
      </c>
      <c r="O9970" s="29"/>
      <c r="P9970" s="29" t="s">
        <v>2322</v>
      </c>
      <c r="Q9970" t="s">
        <v>2040</v>
      </c>
      <c r="R9970" t="s">
        <v>2634</v>
      </c>
      <c r="S9970">
        <v>35</v>
      </c>
      <c r="T9970" s="43" t="str">
        <f t="shared" si="427"/>
        <v>2019.006G.zip</v>
      </c>
      <c r="U9970" s="43" t="str">
        <f>HYPERLINK("https://ictv.global/taxonomy/taxondetails?taxnode_id=202204691","ictv.global=202204691")</f>
        <v>ictv.global=202204691</v>
      </c>
    </row>
    <row r="9971" spans="1:21">
      <c r="A9971">
        <v>9970</v>
      </c>
      <c r="B9971" s="29" t="s">
        <v>3223</v>
      </c>
      <c r="C9971" s="29"/>
      <c r="D9971" s="29" t="s">
        <v>4156</v>
      </c>
      <c r="E9971" s="29"/>
      <c r="F9971" s="29" t="s">
        <v>4230</v>
      </c>
      <c r="G9971" s="29"/>
      <c r="H9971" s="29" t="s">
        <v>4337</v>
      </c>
      <c r="I9971" s="29"/>
      <c r="J9971" s="29" t="s">
        <v>4338</v>
      </c>
      <c r="K9971" s="29"/>
      <c r="L9971" s="29" t="s">
        <v>391</v>
      </c>
      <c r="M9971" s="29"/>
      <c r="N9971" s="29" t="s">
        <v>479</v>
      </c>
      <c r="O9971" s="29"/>
      <c r="P9971" s="29" t="s">
        <v>203</v>
      </c>
      <c r="Q9971" t="s">
        <v>2040</v>
      </c>
      <c r="R9971" t="s">
        <v>2634</v>
      </c>
      <c r="S9971">
        <v>35</v>
      </c>
      <c r="T9971" s="43" t="str">
        <f t="shared" si="427"/>
        <v>2019.006G.zip</v>
      </c>
      <c r="U9971" s="43" t="str">
        <f>HYPERLINK("https://ictv.global/taxonomy/taxondetails?taxnode_id=202204692","ictv.global=202204692")</f>
        <v>ictv.global=202204692</v>
      </c>
    </row>
    <row r="9972" spans="1:21">
      <c r="A9972">
        <v>9971</v>
      </c>
      <c r="B9972" s="29" t="s">
        <v>3223</v>
      </c>
      <c r="C9972" s="29"/>
      <c r="D9972" s="29" t="s">
        <v>4156</v>
      </c>
      <c r="E9972" s="29"/>
      <c r="F9972" s="29" t="s">
        <v>4230</v>
      </c>
      <c r="G9972" s="29"/>
      <c r="H9972" s="29" t="s">
        <v>4337</v>
      </c>
      <c r="I9972" s="29"/>
      <c r="J9972" s="29" t="s">
        <v>4338</v>
      </c>
      <c r="K9972" s="29"/>
      <c r="L9972" s="29" t="s">
        <v>391</v>
      </c>
      <c r="M9972" s="29"/>
      <c r="N9972" s="29" t="s">
        <v>479</v>
      </c>
      <c r="O9972" s="29"/>
      <c r="P9972" s="29" t="s">
        <v>1590</v>
      </c>
      <c r="Q9972" t="s">
        <v>2040</v>
      </c>
      <c r="R9972" t="s">
        <v>2634</v>
      </c>
      <c r="S9972">
        <v>35</v>
      </c>
      <c r="T9972" s="43" t="str">
        <f t="shared" si="427"/>
        <v>2019.006G.zip</v>
      </c>
      <c r="U9972" s="43" t="str">
        <f>HYPERLINK("https://ictv.global/taxonomy/taxondetails?taxnode_id=202204693","ictv.global=202204693")</f>
        <v>ictv.global=202204693</v>
      </c>
    </row>
    <row r="9973" spans="1:21">
      <c r="A9973">
        <v>9972</v>
      </c>
      <c r="B9973" s="29" t="s">
        <v>3223</v>
      </c>
      <c r="C9973" s="29"/>
      <c r="D9973" s="29" t="s">
        <v>4156</v>
      </c>
      <c r="E9973" s="29"/>
      <c r="F9973" s="29" t="s">
        <v>4230</v>
      </c>
      <c r="G9973" s="29"/>
      <c r="H9973" s="29" t="s">
        <v>4337</v>
      </c>
      <c r="I9973" s="29"/>
      <c r="J9973" s="29" t="s">
        <v>4338</v>
      </c>
      <c r="K9973" s="29"/>
      <c r="L9973" s="29" t="s">
        <v>391</v>
      </c>
      <c r="M9973" s="29"/>
      <c r="N9973" s="29" t="s">
        <v>479</v>
      </c>
      <c r="O9973" s="29"/>
      <c r="P9973" s="29" t="s">
        <v>204</v>
      </c>
      <c r="Q9973" t="s">
        <v>2040</v>
      </c>
      <c r="R9973" t="s">
        <v>2634</v>
      </c>
      <c r="S9973">
        <v>35</v>
      </c>
      <c r="T9973" s="43" t="str">
        <f t="shared" si="427"/>
        <v>2019.006G.zip</v>
      </c>
      <c r="U9973" s="43" t="str">
        <f>HYPERLINK("https://ictv.global/taxonomy/taxondetails?taxnode_id=202204694","ictv.global=202204694")</f>
        <v>ictv.global=202204694</v>
      </c>
    </row>
    <row r="9974" spans="1:21">
      <c r="A9974">
        <v>9973</v>
      </c>
      <c r="B9974" s="29" t="s">
        <v>3223</v>
      </c>
      <c r="C9974" s="29"/>
      <c r="D9974" s="29" t="s">
        <v>4156</v>
      </c>
      <c r="E9974" s="29"/>
      <c r="F9974" s="29" t="s">
        <v>4230</v>
      </c>
      <c r="G9974" s="29"/>
      <c r="H9974" s="29" t="s">
        <v>4337</v>
      </c>
      <c r="I9974" s="29"/>
      <c r="J9974" s="29" t="s">
        <v>4338</v>
      </c>
      <c r="K9974" s="29"/>
      <c r="L9974" s="29" t="s">
        <v>391</v>
      </c>
      <c r="M9974" s="29"/>
      <c r="N9974" s="29" t="s">
        <v>479</v>
      </c>
      <c r="O9974" s="29"/>
      <c r="P9974" s="29" t="s">
        <v>205</v>
      </c>
      <c r="Q9974" t="s">
        <v>2040</v>
      </c>
      <c r="R9974" t="s">
        <v>2634</v>
      </c>
      <c r="S9974">
        <v>35</v>
      </c>
      <c r="T9974" s="43" t="str">
        <f t="shared" si="427"/>
        <v>2019.006G.zip</v>
      </c>
      <c r="U9974" s="43" t="str">
        <f>HYPERLINK("https://ictv.global/taxonomy/taxondetails?taxnode_id=202204695","ictv.global=202204695")</f>
        <v>ictv.global=202204695</v>
      </c>
    </row>
    <row r="9975" spans="1:21">
      <c r="A9975">
        <v>9974</v>
      </c>
      <c r="B9975" s="29" t="s">
        <v>3223</v>
      </c>
      <c r="C9975" s="29"/>
      <c r="D9975" s="29" t="s">
        <v>4156</v>
      </c>
      <c r="E9975" s="29"/>
      <c r="F9975" s="29" t="s">
        <v>4230</v>
      </c>
      <c r="G9975" s="29"/>
      <c r="H9975" s="29" t="s">
        <v>4337</v>
      </c>
      <c r="I9975" s="29"/>
      <c r="J9975" s="29" t="s">
        <v>4338</v>
      </c>
      <c r="K9975" s="29"/>
      <c r="L9975" s="29" t="s">
        <v>391</v>
      </c>
      <c r="M9975" s="29"/>
      <c r="N9975" s="29" t="s">
        <v>479</v>
      </c>
      <c r="O9975" s="29"/>
      <c r="P9975" s="29" t="s">
        <v>2968</v>
      </c>
      <c r="Q9975" t="s">
        <v>2040</v>
      </c>
      <c r="R9975" t="s">
        <v>2634</v>
      </c>
      <c r="S9975">
        <v>35</v>
      </c>
      <c r="T9975" s="43" t="str">
        <f t="shared" si="427"/>
        <v>2019.006G.zip</v>
      </c>
      <c r="U9975" s="43" t="str">
        <f>HYPERLINK("https://ictv.global/taxonomy/taxondetails?taxnode_id=202205924","ictv.global=202205924")</f>
        <v>ictv.global=202205924</v>
      </c>
    </row>
    <row r="9976" spans="1:21">
      <c r="A9976">
        <v>9975</v>
      </c>
      <c r="B9976" s="29" t="s">
        <v>3223</v>
      </c>
      <c r="C9976" s="29"/>
      <c r="D9976" s="29" t="s">
        <v>4156</v>
      </c>
      <c r="E9976" s="29"/>
      <c r="F9976" s="29" t="s">
        <v>4230</v>
      </c>
      <c r="G9976" s="29"/>
      <c r="H9976" s="29" t="s">
        <v>4337</v>
      </c>
      <c r="I9976" s="29"/>
      <c r="J9976" s="29" t="s">
        <v>4338</v>
      </c>
      <c r="K9976" s="29"/>
      <c r="L9976" s="29" t="s">
        <v>391</v>
      </c>
      <c r="M9976" s="29"/>
      <c r="N9976" s="29" t="s">
        <v>479</v>
      </c>
      <c r="O9976" s="29"/>
      <c r="P9976" s="29" t="s">
        <v>303</v>
      </c>
      <c r="Q9976" t="s">
        <v>2040</v>
      </c>
      <c r="R9976" t="s">
        <v>2634</v>
      </c>
      <c r="S9976">
        <v>35</v>
      </c>
      <c r="T9976" s="43" t="str">
        <f t="shared" si="427"/>
        <v>2019.006G.zip</v>
      </c>
      <c r="U9976" s="43" t="str">
        <f>HYPERLINK("https://ictv.global/taxonomy/taxondetails?taxnode_id=202204696","ictv.global=202204696")</f>
        <v>ictv.global=202204696</v>
      </c>
    </row>
    <row r="9977" spans="1:21">
      <c r="A9977">
        <v>9976</v>
      </c>
      <c r="B9977" s="29" t="s">
        <v>3223</v>
      </c>
      <c r="C9977" s="29"/>
      <c r="D9977" s="29" t="s">
        <v>4156</v>
      </c>
      <c r="E9977" s="29"/>
      <c r="F9977" s="29" t="s">
        <v>4230</v>
      </c>
      <c r="G9977" s="29"/>
      <c r="H9977" s="29" t="s">
        <v>4337</v>
      </c>
      <c r="I9977" s="29"/>
      <c r="J9977" s="29" t="s">
        <v>4338</v>
      </c>
      <c r="K9977" s="29"/>
      <c r="L9977" s="29" t="s">
        <v>391</v>
      </c>
      <c r="M9977" s="29"/>
      <c r="N9977" s="29" t="s">
        <v>479</v>
      </c>
      <c r="O9977" s="29"/>
      <c r="P9977" s="29" t="s">
        <v>304</v>
      </c>
      <c r="Q9977" t="s">
        <v>2040</v>
      </c>
      <c r="R9977" t="s">
        <v>2634</v>
      </c>
      <c r="S9977">
        <v>35</v>
      </c>
      <c r="T9977" s="43" t="str">
        <f t="shared" si="427"/>
        <v>2019.006G.zip</v>
      </c>
      <c r="U9977" s="43" t="str">
        <f>HYPERLINK("https://ictv.global/taxonomy/taxondetails?taxnode_id=202204697","ictv.global=202204697")</f>
        <v>ictv.global=202204697</v>
      </c>
    </row>
    <row r="9978" spans="1:21">
      <c r="A9978">
        <v>9977</v>
      </c>
      <c r="B9978" s="29" t="s">
        <v>3223</v>
      </c>
      <c r="C9978" s="29"/>
      <c r="D9978" s="29" t="s">
        <v>4156</v>
      </c>
      <c r="E9978" s="29"/>
      <c r="F9978" s="29" t="s">
        <v>4230</v>
      </c>
      <c r="G9978" s="29"/>
      <c r="H9978" s="29" t="s">
        <v>4337</v>
      </c>
      <c r="I9978" s="29"/>
      <c r="J9978" s="29" t="s">
        <v>4338</v>
      </c>
      <c r="K9978" s="29"/>
      <c r="L9978" s="29" t="s">
        <v>391</v>
      </c>
      <c r="M9978" s="29"/>
      <c r="N9978" s="29" t="s">
        <v>479</v>
      </c>
      <c r="O9978" s="29"/>
      <c r="P9978" s="29" t="s">
        <v>2008</v>
      </c>
      <c r="Q9978" t="s">
        <v>2040</v>
      </c>
      <c r="R9978" t="s">
        <v>2634</v>
      </c>
      <c r="S9978">
        <v>35</v>
      </c>
      <c r="T9978" s="43" t="str">
        <f t="shared" si="427"/>
        <v>2019.006G.zip</v>
      </c>
      <c r="U9978" s="43" t="str">
        <f>HYPERLINK("https://ictv.global/taxonomy/taxondetails?taxnode_id=202204698","ictv.global=202204698")</f>
        <v>ictv.global=202204698</v>
      </c>
    </row>
    <row r="9979" spans="1:21">
      <c r="A9979">
        <v>9978</v>
      </c>
      <c r="B9979" s="29" t="s">
        <v>3223</v>
      </c>
      <c r="C9979" s="29"/>
      <c r="D9979" s="29" t="s">
        <v>4156</v>
      </c>
      <c r="E9979" s="29"/>
      <c r="F9979" s="29" t="s">
        <v>4230</v>
      </c>
      <c r="G9979" s="29"/>
      <c r="H9979" s="29" t="s">
        <v>4337</v>
      </c>
      <c r="I9979" s="29"/>
      <c r="J9979" s="29" t="s">
        <v>4338</v>
      </c>
      <c r="K9979" s="29"/>
      <c r="L9979" s="29" t="s">
        <v>391</v>
      </c>
      <c r="M9979" s="29"/>
      <c r="N9979" s="29" t="s">
        <v>479</v>
      </c>
      <c r="O9979" s="29"/>
      <c r="P9979" s="29" t="s">
        <v>305</v>
      </c>
      <c r="Q9979" t="s">
        <v>2040</v>
      </c>
      <c r="R9979" t="s">
        <v>2634</v>
      </c>
      <c r="S9979">
        <v>35</v>
      </c>
      <c r="T9979" s="43" t="str">
        <f t="shared" si="427"/>
        <v>2019.006G.zip</v>
      </c>
      <c r="U9979" s="43" t="str">
        <f>HYPERLINK("https://ictv.global/taxonomy/taxondetails?taxnode_id=202204699","ictv.global=202204699")</f>
        <v>ictv.global=202204699</v>
      </c>
    </row>
    <row r="9980" spans="1:21">
      <c r="A9980">
        <v>9979</v>
      </c>
      <c r="B9980" s="29" t="s">
        <v>3223</v>
      </c>
      <c r="C9980" s="29"/>
      <c r="D9980" s="29" t="s">
        <v>4156</v>
      </c>
      <c r="E9980" s="29"/>
      <c r="F9980" s="29" t="s">
        <v>4230</v>
      </c>
      <c r="G9980" s="29"/>
      <c r="H9980" s="29" t="s">
        <v>4337</v>
      </c>
      <c r="I9980" s="29"/>
      <c r="J9980" s="29" t="s">
        <v>4338</v>
      </c>
      <c r="K9980" s="29"/>
      <c r="L9980" s="29" t="s">
        <v>391</v>
      </c>
      <c r="M9980" s="29"/>
      <c r="N9980" s="29" t="s">
        <v>479</v>
      </c>
      <c r="O9980" s="29"/>
      <c r="P9980" s="29" t="s">
        <v>306</v>
      </c>
      <c r="Q9980" t="s">
        <v>2040</v>
      </c>
      <c r="R9980" t="s">
        <v>2634</v>
      </c>
      <c r="S9980">
        <v>35</v>
      </c>
      <c r="T9980" s="43" t="str">
        <f t="shared" si="427"/>
        <v>2019.006G.zip</v>
      </c>
      <c r="U9980" s="43" t="str">
        <f>HYPERLINK("https://ictv.global/taxonomy/taxondetails?taxnode_id=202204700","ictv.global=202204700")</f>
        <v>ictv.global=202204700</v>
      </c>
    </row>
    <row r="9981" spans="1:21">
      <c r="A9981">
        <v>9980</v>
      </c>
      <c r="B9981" s="29" t="s">
        <v>3223</v>
      </c>
      <c r="C9981" s="29"/>
      <c r="D9981" s="29" t="s">
        <v>4156</v>
      </c>
      <c r="E9981" s="29"/>
      <c r="F9981" s="29" t="s">
        <v>4230</v>
      </c>
      <c r="G9981" s="29"/>
      <c r="H9981" s="29" t="s">
        <v>4337</v>
      </c>
      <c r="I9981" s="29"/>
      <c r="J9981" s="29" t="s">
        <v>4338</v>
      </c>
      <c r="K9981" s="29"/>
      <c r="L9981" s="29" t="s">
        <v>391</v>
      </c>
      <c r="M9981" s="29"/>
      <c r="N9981" s="29" t="s">
        <v>479</v>
      </c>
      <c r="O9981" s="29"/>
      <c r="P9981" s="29" t="s">
        <v>307</v>
      </c>
      <c r="Q9981" t="s">
        <v>2040</v>
      </c>
      <c r="R9981" t="s">
        <v>2634</v>
      </c>
      <c r="S9981">
        <v>35</v>
      </c>
      <c r="T9981" s="43" t="str">
        <f t="shared" si="427"/>
        <v>2019.006G.zip</v>
      </c>
      <c r="U9981" s="43" t="str">
        <f>HYPERLINK("https://ictv.global/taxonomy/taxondetails?taxnode_id=202204701","ictv.global=202204701")</f>
        <v>ictv.global=202204701</v>
      </c>
    </row>
    <row r="9982" spans="1:21">
      <c r="A9982">
        <v>9981</v>
      </c>
      <c r="B9982" s="29" t="s">
        <v>3223</v>
      </c>
      <c r="C9982" s="29"/>
      <c r="D9982" s="29" t="s">
        <v>4156</v>
      </c>
      <c r="E9982" s="29"/>
      <c r="F9982" s="29" t="s">
        <v>4230</v>
      </c>
      <c r="G9982" s="29"/>
      <c r="H9982" s="29" t="s">
        <v>4337</v>
      </c>
      <c r="I9982" s="29"/>
      <c r="J9982" s="29" t="s">
        <v>4338</v>
      </c>
      <c r="K9982" s="29"/>
      <c r="L9982" s="29" t="s">
        <v>391</v>
      </c>
      <c r="M9982" s="29"/>
      <c r="N9982" s="29" t="s">
        <v>479</v>
      </c>
      <c r="O9982" s="29"/>
      <c r="P9982" s="29" t="s">
        <v>308</v>
      </c>
      <c r="Q9982" t="s">
        <v>2040</v>
      </c>
      <c r="R9982" t="s">
        <v>2634</v>
      </c>
      <c r="S9982">
        <v>35</v>
      </c>
      <c r="T9982" s="43" t="str">
        <f t="shared" si="427"/>
        <v>2019.006G.zip</v>
      </c>
      <c r="U9982" s="43" t="str">
        <f>HYPERLINK("https://ictv.global/taxonomy/taxondetails?taxnode_id=202204702","ictv.global=202204702")</f>
        <v>ictv.global=202204702</v>
      </c>
    </row>
    <row r="9983" spans="1:21">
      <c r="A9983">
        <v>9982</v>
      </c>
      <c r="B9983" s="29" t="s">
        <v>3223</v>
      </c>
      <c r="C9983" s="29"/>
      <c r="D9983" s="29" t="s">
        <v>4156</v>
      </c>
      <c r="E9983" s="29"/>
      <c r="F9983" s="29" t="s">
        <v>4230</v>
      </c>
      <c r="G9983" s="29"/>
      <c r="H9983" s="29" t="s">
        <v>4337</v>
      </c>
      <c r="I9983" s="29"/>
      <c r="J9983" s="29" t="s">
        <v>4338</v>
      </c>
      <c r="K9983" s="29"/>
      <c r="L9983" s="29" t="s">
        <v>391</v>
      </c>
      <c r="M9983" s="29"/>
      <c r="N9983" s="29" t="s">
        <v>479</v>
      </c>
      <c r="O9983" s="29"/>
      <c r="P9983" s="29" t="s">
        <v>309</v>
      </c>
      <c r="Q9983" t="s">
        <v>2040</v>
      </c>
      <c r="R9983" t="s">
        <v>2634</v>
      </c>
      <c r="S9983">
        <v>35</v>
      </c>
      <c r="T9983" s="43" t="str">
        <f t="shared" si="427"/>
        <v>2019.006G.zip</v>
      </c>
      <c r="U9983" s="43" t="str">
        <f>HYPERLINK("https://ictv.global/taxonomy/taxondetails?taxnode_id=202204703","ictv.global=202204703")</f>
        <v>ictv.global=202204703</v>
      </c>
    </row>
    <row r="9984" spans="1:21">
      <c r="A9984">
        <v>9983</v>
      </c>
      <c r="B9984" s="29" t="s">
        <v>3223</v>
      </c>
      <c r="C9984" s="29"/>
      <c r="D9984" s="29" t="s">
        <v>4156</v>
      </c>
      <c r="E9984" s="29"/>
      <c r="F9984" s="29" t="s">
        <v>4230</v>
      </c>
      <c r="G9984" s="29"/>
      <c r="H9984" s="29" t="s">
        <v>4337</v>
      </c>
      <c r="I9984" s="29"/>
      <c r="J9984" s="29" t="s">
        <v>4338</v>
      </c>
      <c r="K9984" s="29"/>
      <c r="L9984" s="29" t="s">
        <v>391</v>
      </c>
      <c r="M9984" s="29"/>
      <c r="N9984" s="29" t="s">
        <v>479</v>
      </c>
      <c r="O9984" s="29"/>
      <c r="P9984" s="29" t="s">
        <v>310</v>
      </c>
      <c r="Q9984" t="s">
        <v>2040</v>
      </c>
      <c r="R9984" t="s">
        <v>2634</v>
      </c>
      <c r="S9984">
        <v>35</v>
      </c>
      <c r="T9984" s="43" t="str">
        <f t="shared" si="427"/>
        <v>2019.006G.zip</v>
      </c>
      <c r="U9984" s="43" t="str">
        <f>HYPERLINK("https://ictv.global/taxonomy/taxondetails?taxnode_id=202204704","ictv.global=202204704")</f>
        <v>ictv.global=202204704</v>
      </c>
    </row>
    <row r="9985" spans="1:21">
      <c r="A9985">
        <v>9984</v>
      </c>
      <c r="B9985" s="29" t="s">
        <v>3223</v>
      </c>
      <c r="C9985" s="29"/>
      <c r="D9985" s="29" t="s">
        <v>4156</v>
      </c>
      <c r="E9985" s="29"/>
      <c r="F9985" s="29" t="s">
        <v>4230</v>
      </c>
      <c r="G9985" s="29"/>
      <c r="H9985" s="29" t="s">
        <v>4337</v>
      </c>
      <c r="I9985" s="29"/>
      <c r="J9985" s="29" t="s">
        <v>4338</v>
      </c>
      <c r="K9985" s="29"/>
      <c r="L9985" s="29" t="s">
        <v>391</v>
      </c>
      <c r="M9985" s="29"/>
      <c r="N9985" s="29" t="s">
        <v>479</v>
      </c>
      <c r="O9985" s="29"/>
      <c r="P9985" s="29" t="s">
        <v>1591</v>
      </c>
      <c r="Q9985" t="s">
        <v>2040</v>
      </c>
      <c r="R9985" t="s">
        <v>2634</v>
      </c>
      <c r="S9985">
        <v>35</v>
      </c>
      <c r="T9985" s="43" t="str">
        <f t="shared" si="427"/>
        <v>2019.006G.zip</v>
      </c>
      <c r="U9985" s="43" t="str">
        <f>HYPERLINK("https://ictv.global/taxonomy/taxondetails?taxnode_id=202204705","ictv.global=202204705")</f>
        <v>ictv.global=202204705</v>
      </c>
    </row>
    <row r="9986" spans="1:21">
      <c r="A9986">
        <v>9985</v>
      </c>
      <c r="B9986" s="29" t="s">
        <v>3223</v>
      </c>
      <c r="C9986" s="29"/>
      <c r="D9986" s="29" t="s">
        <v>4156</v>
      </c>
      <c r="E9986" s="29"/>
      <c r="F9986" s="29" t="s">
        <v>4230</v>
      </c>
      <c r="G9986" s="29"/>
      <c r="H9986" s="29" t="s">
        <v>4337</v>
      </c>
      <c r="I9986" s="29"/>
      <c r="J9986" s="29" t="s">
        <v>4338</v>
      </c>
      <c r="K9986" s="29"/>
      <c r="L9986" s="29" t="s">
        <v>391</v>
      </c>
      <c r="M9986" s="29"/>
      <c r="N9986" s="29" t="s">
        <v>479</v>
      </c>
      <c r="O9986" s="29"/>
      <c r="P9986" s="29" t="s">
        <v>6713</v>
      </c>
      <c r="Q9986" t="s">
        <v>2040</v>
      </c>
      <c r="R9986" t="s">
        <v>2632</v>
      </c>
      <c r="S9986">
        <v>36</v>
      </c>
      <c r="T9986" s="43" t="str">
        <f>HYPERLINK("https://ictv.global/ictv/proposals/2020.024P.R.Potyviridae_7nsp.zip","2020.024P.R.Potyviridae_7nsp.zip")</f>
        <v>2020.024P.R.Potyviridae_7nsp.zip</v>
      </c>
      <c r="U9986" s="43" t="str">
        <f>HYPERLINK("https://ictv.global/taxonomy/taxondetails?taxnode_id=202209675","ictv.global=202209675")</f>
        <v>ictv.global=202209675</v>
      </c>
    </row>
    <row r="9987" spans="1:21">
      <c r="A9987">
        <v>9986</v>
      </c>
      <c r="B9987" s="29" t="s">
        <v>3223</v>
      </c>
      <c r="C9987" s="29"/>
      <c r="D9987" s="29" t="s">
        <v>4156</v>
      </c>
      <c r="E9987" s="29"/>
      <c r="F9987" s="29" t="s">
        <v>4230</v>
      </c>
      <c r="G9987" s="29"/>
      <c r="H9987" s="29" t="s">
        <v>4337</v>
      </c>
      <c r="I9987" s="29"/>
      <c r="J9987" s="29" t="s">
        <v>4338</v>
      </c>
      <c r="K9987" s="29"/>
      <c r="L9987" s="29" t="s">
        <v>391</v>
      </c>
      <c r="M9987" s="29"/>
      <c r="N9987" s="29" t="s">
        <v>479</v>
      </c>
      <c r="O9987" s="29"/>
      <c r="P9987" s="29" t="s">
        <v>1592</v>
      </c>
      <c r="Q9987" t="s">
        <v>2040</v>
      </c>
      <c r="R9987" t="s">
        <v>2634</v>
      </c>
      <c r="S9987">
        <v>35</v>
      </c>
      <c r="T9987" s="43" t="str">
        <f t="shared" ref="T9987:T10005" si="428">HYPERLINK("https://ictv.global/ictv/proposals/2019.006G.zip","2019.006G.zip")</f>
        <v>2019.006G.zip</v>
      </c>
      <c r="U9987" s="43" t="str">
        <f>HYPERLINK("https://ictv.global/taxonomy/taxondetails?taxnode_id=202204706","ictv.global=202204706")</f>
        <v>ictv.global=202204706</v>
      </c>
    </row>
    <row r="9988" spans="1:21">
      <c r="A9988">
        <v>9987</v>
      </c>
      <c r="B9988" s="29" t="s">
        <v>3223</v>
      </c>
      <c r="C9988" s="29"/>
      <c r="D9988" s="29" t="s">
        <v>4156</v>
      </c>
      <c r="E9988" s="29"/>
      <c r="F9988" s="29" t="s">
        <v>4230</v>
      </c>
      <c r="G9988" s="29"/>
      <c r="H9988" s="29" t="s">
        <v>4337</v>
      </c>
      <c r="I9988" s="29"/>
      <c r="J9988" s="29" t="s">
        <v>4338</v>
      </c>
      <c r="K9988" s="29"/>
      <c r="L9988" s="29" t="s">
        <v>391</v>
      </c>
      <c r="M9988" s="29"/>
      <c r="N9988" s="29" t="s">
        <v>479</v>
      </c>
      <c r="O9988" s="29"/>
      <c r="P9988" s="29" t="s">
        <v>2323</v>
      </c>
      <c r="Q9988" t="s">
        <v>2040</v>
      </c>
      <c r="R9988" t="s">
        <v>2634</v>
      </c>
      <c r="S9988">
        <v>35</v>
      </c>
      <c r="T9988" s="43" t="str">
        <f t="shared" si="428"/>
        <v>2019.006G.zip</v>
      </c>
      <c r="U9988" s="43" t="str">
        <f>HYPERLINK("https://ictv.global/taxonomy/taxondetails?taxnode_id=202204707","ictv.global=202204707")</f>
        <v>ictv.global=202204707</v>
      </c>
    </row>
    <row r="9989" spans="1:21">
      <c r="A9989">
        <v>9988</v>
      </c>
      <c r="B9989" s="29" t="s">
        <v>3223</v>
      </c>
      <c r="C9989" s="29"/>
      <c r="D9989" s="29" t="s">
        <v>4156</v>
      </c>
      <c r="E9989" s="29"/>
      <c r="F9989" s="29" t="s">
        <v>4230</v>
      </c>
      <c r="G9989" s="29"/>
      <c r="H9989" s="29" t="s">
        <v>4337</v>
      </c>
      <c r="I9989" s="29"/>
      <c r="J9989" s="29" t="s">
        <v>4338</v>
      </c>
      <c r="K9989" s="29"/>
      <c r="L9989" s="29" t="s">
        <v>391</v>
      </c>
      <c r="M9989" s="29"/>
      <c r="N9989" s="29" t="s">
        <v>479</v>
      </c>
      <c r="O9989" s="29"/>
      <c r="P9989" s="29" t="s">
        <v>2009</v>
      </c>
      <c r="Q9989" t="s">
        <v>2040</v>
      </c>
      <c r="R9989" t="s">
        <v>2634</v>
      </c>
      <c r="S9989">
        <v>35</v>
      </c>
      <c r="T9989" s="43" t="str">
        <f t="shared" si="428"/>
        <v>2019.006G.zip</v>
      </c>
      <c r="U9989" s="43" t="str">
        <f>HYPERLINK("https://ictv.global/taxonomy/taxondetails?taxnode_id=202204708","ictv.global=202204708")</f>
        <v>ictv.global=202204708</v>
      </c>
    </row>
    <row r="9990" spans="1:21">
      <c r="A9990">
        <v>9989</v>
      </c>
      <c r="B9990" s="29" t="s">
        <v>3223</v>
      </c>
      <c r="C9990" s="29"/>
      <c r="D9990" s="29" t="s">
        <v>4156</v>
      </c>
      <c r="E9990" s="29"/>
      <c r="F9990" s="29" t="s">
        <v>4230</v>
      </c>
      <c r="G9990" s="29"/>
      <c r="H9990" s="29" t="s">
        <v>4337</v>
      </c>
      <c r="I9990" s="29"/>
      <c r="J9990" s="29" t="s">
        <v>4338</v>
      </c>
      <c r="K9990" s="29"/>
      <c r="L9990" s="29" t="s">
        <v>391</v>
      </c>
      <c r="M9990" s="29"/>
      <c r="N9990" s="29" t="s">
        <v>479</v>
      </c>
      <c r="O9990" s="29"/>
      <c r="P9990" s="29" t="s">
        <v>311</v>
      </c>
      <c r="Q9990" t="s">
        <v>2040</v>
      </c>
      <c r="R9990" t="s">
        <v>2634</v>
      </c>
      <c r="S9990">
        <v>35</v>
      </c>
      <c r="T9990" s="43" t="str">
        <f t="shared" si="428"/>
        <v>2019.006G.zip</v>
      </c>
      <c r="U9990" s="43" t="str">
        <f>HYPERLINK("https://ictv.global/taxonomy/taxondetails?taxnode_id=202204709","ictv.global=202204709")</f>
        <v>ictv.global=202204709</v>
      </c>
    </row>
    <row r="9991" spans="1:21">
      <c r="A9991">
        <v>9990</v>
      </c>
      <c r="B9991" s="29" t="s">
        <v>3223</v>
      </c>
      <c r="C9991" s="29"/>
      <c r="D9991" s="29" t="s">
        <v>4156</v>
      </c>
      <c r="E9991" s="29"/>
      <c r="F9991" s="29" t="s">
        <v>4230</v>
      </c>
      <c r="G9991" s="29"/>
      <c r="H9991" s="29" t="s">
        <v>4337</v>
      </c>
      <c r="I9991" s="29"/>
      <c r="J9991" s="29" t="s">
        <v>4338</v>
      </c>
      <c r="K9991" s="29"/>
      <c r="L9991" s="29" t="s">
        <v>391</v>
      </c>
      <c r="M9991" s="29"/>
      <c r="N9991" s="29" t="s">
        <v>479</v>
      </c>
      <c r="O9991" s="29"/>
      <c r="P9991" s="29" t="s">
        <v>312</v>
      </c>
      <c r="Q9991" t="s">
        <v>2040</v>
      </c>
      <c r="R9991" t="s">
        <v>2634</v>
      </c>
      <c r="S9991">
        <v>35</v>
      </c>
      <c r="T9991" s="43" t="str">
        <f t="shared" si="428"/>
        <v>2019.006G.zip</v>
      </c>
      <c r="U9991" s="43" t="str">
        <f>HYPERLINK("https://ictv.global/taxonomy/taxondetails?taxnode_id=202204710","ictv.global=202204710")</f>
        <v>ictv.global=202204710</v>
      </c>
    </row>
    <row r="9992" spans="1:21">
      <c r="A9992">
        <v>9991</v>
      </c>
      <c r="B9992" s="29" t="s">
        <v>3223</v>
      </c>
      <c r="C9992" s="29"/>
      <c r="D9992" s="29" t="s">
        <v>4156</v>
      </c>
      <c r="E9992" s="29"/>
      <c r="F9992" s="29" t="s">
        <v>4230</v>
      </c>
      <c r="G9992" s="29"/>
      <c r="H9992" s="29" t="s">
        <v>4337</v>
      </c>
      <c r="I9992" s="29"/>
      <c r="J9992" s="29" t="s">
        <v>4338</v>
      </c>
      <c r="K9992" s="29"/>
      <c r="L9992" s="29" t="s">
        <v>391</v>
      </c>
      <c r="M9992" s="29"/>
      <c r="N9992" s="29" t="s">
        <v>479</v>
      </c>
      <c r="O9992" s="29"/>
      <c r="P9992" s="29" t="s">
        <v>3357</v>
      </c>
      <c r="Q9992" t="s">
        <v>2040</v>
      </c>
      <c r="R9992" t="s">
        <v>2634</v>
      </c>
      <c r="S9992">
        <v>35</v>
      </c>
      <c r="T9992" s="43" t="str">
        <f t="shared" si="428"/>
        <v>2019.006G.zip</v>
      </c>
      <c r="U9992" s="43" t="str">
        <f>HYPERLINK("https://ictv.global/taxonomy/taxondetails?taxnode_id=202206677","ictv.global=202206677")</f>
        <v>ictv.global=202206677</v>
      </c>
    </row>
    <row r="9993" spans="1:21">
      <c r="A9993">
        <v>9992</v>
      </c>
      <c r="B9993" s="29" t="s">
        <v>3223</v>
      </c>
      <c r="C9993" s="29"/>
      <c r="D9993" s="29" t="s">
        <v>4156</v>
      </c>
      <c r="E9993" s="29"/>
      <c r="F9993" s="29" t="s">
        <v>4230</v>
      </c>
      <c r="G9993" s="29"/>
      <c r="H9993" s="29" t="s">
        <v>4337</v>
      </c>
      <c r="I9993" s="29"/>
      <c r="J9993" s="29" t="s">
        <v>4338</v>
      </c>
      <c r="K9993" s="29"/>
      <c r="L9993" s="29" t="s">
        <v>391</v>
      </c>
      <c r="M9993" s="29"/>
      <c r="N9993" s="29" t="s">
        <v>479</v>
      </c>
      <c r="O9993" s="29"/>
      <c r="P9993" s="29" t="s">
        <v>2969</v>
      </c>
      <c r="Q9993" t="s">
        <v>2040</v>
      </c>
      <c r="R9993" t="s">
        <v>2634</v>
      </c>
      <c r="S9993">
        <v>35</v>
      </c>
      <c r="T9993" s="43" t="str">
        <f t="shared" si="428"/>
        <v>2019.006G.zip</v>
      </c>
      <c r="U9993" s="43" t="str">
        <f>HYPERLINK("https://ictv.global/taxonomy/taxondetails?taxnode_id=202205925","ictv.global=202205925")</f>
        <v>ictv.global=202205925</v>
      </c>
    </row>
    <row r="9994" spans="1:21">
      <c r="A9994">
        <v>9993</v>
      </c>
      <c r="B9994" s="29" t="s">
        <v>3223</v>
      </c>
      <c r="C9994" s="29"/>
      <c r="D9994" s="29" t="s">
        <v>4156</v>
      </c>
      <c r="E9994" s="29"/>
      <c r="F9994" s="29" t="s">
        <v>4230</v>
      </c>
      <c r="G9994" s="29"/>
      <c r="H9994" s="29" t="s">
        <v>4337</v>
      </c>
      <c r="I9994" s="29"/>
      <c r="J9994" s="29" t="s">
        <v>4338</v>
      </c>
      <c r="K9994" s="29"/>
      <c r="L9994" s="29" t="s">
        <v>391</v>
      </c>
      <c r="M9994" s="29"/>
      <c r="N9994" s="29" t="s">
        <v>479</v>
      </c>
      <c r="O9994" s="29"/>
      <c r="P9994" s="29" t="s">
        <v>1101</v>
      </c>
      <c r="Q9994" t="s">
        <v>2040</v>
      </c>
      <c r="R9994" t="s">
        <v>2634</v>
      </c>
      <c r="S9994">
        <v>35</v>
      </c>
      <c r="T9994" s="43" t="str">
        <f t="shared" si="428"/>
        <v>2019.006G.zip</v>
      </c>
      <c r="U9994" s="43" t="str">
        <f>HYPERLINK("https://ictv.global/taxonomy/taxondetails?taxnode_id=202204711","ictv.global=202204711")</f>
        <v>ictv.global=202204711</v>
      </c>
    </row>
    <row r="9995" spans="1:21">
      <c r="A9995">
        <v>9994</v>
      </c>
      <c r="B9995" s="29" t="s">
        <v>3223</v>
      </c>
      <c r="C9995" s="29"/>
      <c r="D9995" s="29" t="s">
        <v>4156</v>
      </c>
      <c r="E9995" s="29"/>
      <c r="F9995" s="29" t="s">
        <v>4230</v>
      </c>
      <c r="G9995" s="29"/>
      <c r="H9995" s="29" t="s">
        <v>4337</v>
      </c>
      <c r="I9995" s="29"/>
      <c r="J9995" s="29" t="s">
        <v>4338</v>
      </c>
      <c r="K9995" s="29"/>
      <c r="L9995" s="29" t="s">
        <v>391</v>
      </c>
      <c r="M9995" s="29"/>
      <c r="N9995" s="29" t="s">
        <v>479</v>
      </c>
      <c r="O9995" s="29"/>
      <c r="P9995" s="29" t="s">
        <v>1593</v>
      </c>
      <c r="Q9995" t="s">
        <v>2040</v>
      </c>
      <c r="R9995" t="s">
        <v>2634</v>
      </c>
      <c r="S9995">
        <v>35</v>
      </c>
      <c r="T9995" s="43" t="str">
        <f t="shared" si="428"/>
        <v>2019.006G.zip</v>
      </c>
      <c r="U9995" s="43" t="str">
        <f>HYPERLINK("https://ictv.global/taxonomy/taxondetails?taxnode_id=202204712","ictv.global=202204712")</f>
        <v>ictv.global=202204712</v>
      </c>
    </row>
    <row r="9996" spans="1:21">
      <c r="A9996">
        <v>9995</v>
      </c>
      <c r="B9996" s="29" t="s">
        <v>3223</v>
      </c>
      <c r="C9996" s="29"/>
      <c r="D9996" s="29" t="s">
        <v>4156</v>
      </c>
      <c r="E9996" s="29"/>
      <c r="F9996" s="29" t="s">
        <v>4230</v>
      </c>
      <c r="G9996" s="29"/>
      <c r="H9996" s="29" t="s">
        <v>4337</v>
      </c>
      <c r="I9996" s="29"/>
      <c r="J9996" s="29" t="s">
        <v>4338</v>
      </c>
      <c r="K9996" s="29"/>
      <c r="L9996" s="29" t="s">
        <v>391</v>
      </c>
      <c r="M9996" s="29"/>
      <c r="N9996" s="29" t="s">
        <v>479</v>
      </c>
      <c r="O9996" s="29"/>
      <c r="P9996" s="29" t="s">
        <v>1102</v>
      </c>
      <c r="Q9996" t="s">
        <v>2040</v>
      </c>
      <c r="R9996" t="s">
        <v>2634</v>
      </c>
      <c r="S9996">
        <v>35</v>
      </c>
      <c r="T9996" s="43" t="str">
        <f t="shared" si="428"/>
        <v>2019.006G.zip</v>
      </c>
      <c r="U9996" s="43" t="str">
        <f>HYPERLINK("https://ictv.global/taxonomy/taxondetails?taxnode_id=202204713","ictv.global=202204713")</f>
        <v>ictv.global=202204713</v>
      </c>
    </row>
    <row r="9997" spans="1:21">
      <c r="A9997">
        <v>9996</v>
      </c>
      <c r="B9997" s="29" t="s">
        <v>3223</v>
      </c>
      <c r="C9997" s="29"/>
      <c r="D9997" s="29" t="s">
        <v>4156</v>
      </c>
      <c r="E9997" s="29"/>
      <c r="F9997" s="29" t="s">
        <v>4230</v>
      </c>
      <c r="G9997" s="29"/>
      <c r="H9997" s="29" t="s">
        <v>4337</v>
      </c>
      <c r="I9997" s="29"/>
      <c r="J9997" s="29" t="s">
        <v>4338</v>
      </c>
      <c r="K9997" s="29"/>
      <c r="L9997" s="29" t="s">
        <v>391</v>
      </c>
      <c r="M9997" s="29"/>
      <c r="N9997" s="29" t="s">
        <v>479</v>
      </c>
      <c r="O9997" s="29"/>
      <c r="P9997" s="29" t="s">
        <v>1103</v>
      </c>
      <c r="Q9997" t="s">
        <v>2040</v>
      </c>
      <c r="R9997" t="s">
        <v>2634</v>
      </c>
      <c r="S9997">
        <v>35</v>
      </c>
      <c r="T9997" s="43" t="str">
        <f t="shared" si="428"/>
        <v>2019.006G.zip</v>
      </c>
      <c r="U9997" s="43" t="str">
        <f>HYPERLINK("https://ictv.global/taxonomy/taxondetails?taxnode_id=202204714","ictv.global=202204714")</f>
        <v>ictv.global=202204714</v>
      </c>
    </row>
    <row r="9998" spans="1:21">
      <c r="A9998">
        <v>9997</v>
      </c>
      <c r="B9998" s="29" t="s">
        <v>3223</v>
      </c>
      <c r="C9998" s="29"/>
      <c r="D9998" s="29" t="s">
        <v>4156</v>
      </c>
      <c r="E9998" s="29"/>
      <c r="F9998" s="29" t="s">
        <v>4230</v>
      </c>
      <c r="G9998" s="29"/>
      <c r="H9998" s="29" t="s">
        <v>4337</v>
      </c>
      <c r="I9998" s="29"/>
      <c r="J9998" s="29" t="s">
        <v>4338</v>
      </c>
      <c r="K9998" s="29"/>
      <c r="L9998" s="29" t="s">
        <v>391</v>
      </c>
      <c r="M9998" s="29"/>
      <c r="N9998" s="29" t="s">
        <v>479</v>
      </c>
      <c r="O9998" s="29"/>
      <c r="P9998" s="29" t="s">
        <v>1104</v>
      </c>
      <c r="Q9998" t="s">
        <v>2040</v>
      </c>
      <c r="R9998" t="s">
        <v>2634</v>
      </c>
      <c r="S9998">
        <v>35</v>
      </c>
      <c r="T9998" s="43" t="str">
        <f t="shared" si="428"/>
        <v>2019.006G.zip</v>
      </c>
      <c r="U9998" s="43" t="str">
        <f>HYPERLINK("https://ictv.global/taxonomy/taxondetails?taxnode_id=202204715","ictv.global=202204715")</f>
        <v>ictv.global=202204715</v>
      </c>
    </row>
    <row r="9999" spans="1:21">
      <c r="A9999">
        <v>9998</v>
      </c>
      <c r="B9999" s="29" t="s">
        <v>3223</v>
      </c>
      <c r="C9999" s="29"/>
      <c r="D9999" s="29" t="s">
        <v>4156</v>
      </c>
      <c r="E9999" s="29"/>
      <c r="F9999" s="29" t="s">
        <v>4230</v>
      </c>
      <c r="G9999" s="29"/>
      <c r="H9999" s="29" t="s">
        <v>4337</v>
      </c>
      <c r="I9999" s="29"/>
      <c r="J9999" s="29" t="s">
        <v>4338</v>
      </c>
      <c r="K9999" s="29"/>
      <c r="L9999" s="29" t="s">
        <v>391</v>
      </c>
      <c r="M9999" s="29"/>
      <c r="N9999" s="29" t="s">
        <v>479</v>
      </c>
      <c r="O9999" s="29"/>
      <c r="P9999" s="29" t="s">
        <v>157</v>
      </c>
      <c r="Q9999" t="s">
        <v>2040</v>
      </c>
      <c r="R9999" t="s">
        <v>2634</v>
      </c>
      <c r="S9999">
        <v>35</v>
      </c>
      <c r="T9999" s="43" t="str">
        <f t="shared" si="428"/>
        <v>2019.006G.zip</v>
      </c>
      <c r="U9999" s="43" t="str">
        <f>HYPERLINK("https://ictv.global/taxonomy/taxondetails?taxnode_id=202204716","ictv.global=202204716")</f>
        <v>ictv.global=202204716</v>
      </c>
    </row>
    <row r="10000" spans="1:21">
      <c r="A10000">
        <v>9999</v>
      </c>
      <c r="B10000" s="29" t="s">
        <v>3223</v>
      </c>
      <c r="C10000" s="29"/>
      <c r="D10000" s="29" t="s">
        <v>4156</v>
      </c>
      <c r="E10000" s="29"/>
      <c r="F10000" s="29" t="s">
        <v>4230</v>
      </c>
      <c r="G10000" s="29"/>
      <c r="H10000" s="29" t="s">
        <v>4337</v>
      </c>
      <c r="I10000" s="29"/>
      <c r="J10000" s="29" t="s">
        <v>4338</v>
      </c>
      <c r="K10000" s="29"/>
      <c r="L10000" s="29" t="s">
        <v>391</v>
      </c>
      <c r="M10000" s="29"/>
      <c r="N10000" s="29" t="s">
        <v>479</v>
      </c>
      <c r="O10000" s="29"/>
      <c r="P10000" s="29" t="s">
        <v>1105</v>
      </c>
      <c r="Q10000" t="s">
        <v>2040</v>
      </c>
      <c r="R10000" t="s">
        <v>2634</v>
      </c>
      <c r="S10000">
        <v>35</v>
      </c>
      <c r="T10000" s="43" t="str">
        <f t="shared" si="428"/>
        <v>2019.006G.zip</v>
      </c>
      <c r="U10000" s="43" t="str">
        <f>HYPERLINK("https://ictv.global/taxonomy/taxondetails?taxnode_id=202204717","ictv.global=202204717")</f>
        <v>ictv.global=202204717</v>
      </c>
    </row>
    <row r="10001" spans="1:21">
      <c r="A10001">
        <v>10000</v>
      </c>
      <c r="B10001" s="29" t="s">
        <v>3223</v>
      </c>
      <c r="C10001" s="29"/>
      <c r="D10001" s="29" t="s">
        <v>4156</v>
      </c>
      <c r="E10001" s="29"/>
      <c r="F10001" s="29" t="s">
        <v>4230</v>
      </c>
      <c r="G10001" s="29"/>
      <c r="H10001" s="29" t="s">
        <v>4337</v>
      </c>
      <c r="I10001" s="29"/>
      <c r="J10001" s="29" t="s">
        <v>4338</v>
      </c>
      <c r="K10001" s="29"/>
      <c r="L10001" s="29" t="s">
        <v>391</v>
      </c>
      <c r="M10001" s="29"/>
      <c r="N10001" s="29" t="s">
        <v>479</v>
      </c>
      <c r="O10001" s="29"/>
      <c r="P10001" s="29" t="s">
        <v>1106</v>
      </c>
      <c r="Q10001" t="s">
        <v>2040</v>
      </c>
      <c r="R10001" t="s">
        <v>2634</v>
      </c>
      <c r="S10001">
        <v>35</v>
      </c>
      <c r="T10001" s="43" t="str">
        <f t="shared" si="428"/>
        <v>2019.006G.zip</v>
      </c>
      <c r="U10001" s="43" t="str">
        <f>HYPERLINK("https://ictv.global/taxonomy/taxondetails?taxnode_id=202204718","ictv.global=202204718")</f>
        <v>ictv.global=202204718</v>
      </c>
    </row>
    <row r="10002" spans="1:21">
      <c r="A10002">
        <v>10001</v>
      </c>
      <c r="B10002" s="29" t="s">
        <v>3223</v>
      </c>
      <c r="C10002" s="29"/>
      <c r="D10002" s="29" t="s">
        <v>4156</v>
      </c>
      <c r="E10002" s="29"/>
      <c r="F10002" s="29" t="s">
        <v>4230</v>
      </c>
      <c r="G10002" s="29"/>
      <c r="H10002" s="29" t="s">
        <v>4337</v>
      </c>
      <c r="I10002" s="29"/>
      <c r="J10002" s="29" t="s">
        <v>4338</v>
      </c>
      <c r="K10002" s="29"/>
      <c r="L10002" s="29" t="s">
        <v>391</v>
      </c>
      <c r="M10002" s="29"/>
      <c r="N10002" s="29" t="s">
        <v>479</v>
      </c>
      <c r="O10002" s="29"/>
      <c r="P10002" s="29" t="s">
        <v>2544</v>
      </c>
      <c r="Q10002" t="s">
        <v>2040</v>
      </c>
      <c r="R10002" t="s">
        <v>2634</v>
      </c>
      <c r="S10002">
        <v>35</v>
      </c>
      <c r="T10002" s="43" t="str">
        <f t="shared" si="428"/>
        <v>2019.006G.zip</v>
      </c>
      <c r="U10002" s="43" t="str">
        <f>HYPERLINK("https://ictv.global/taxonomy/taxondetails?taxnode_id=202204719","ictv.global=202204719")</f>
        <v>ictv.global=202204719</v>
      </c>
    </row>
    <row r="10003" spans="1:21">
      <c r="A10003">
        <v>10002</v>
      </c>
      <c r="B10003" s="29" t="s">
        <v>3223</v>
      </c>
      <c r="C10003" s="29"/>
      <c r="D10003" s="29" t="s">
        <v>4156</v>
      </c>
      <c r="E10003" s="29"/>
      <c r="F10003" s="29" t="s">
        <v>4230</v>
      </c>
      <c r="G10003" s="29"/>
      <c r="H10003" s="29" t="s">
        <v>4337</v>
      </c>
      <c r="I10003" s="29"/>
      <c r="J10003" s="29" t="s">
        <v>4338</v>
      </c>
      <c r="K10003" s="29"/>
      <c r="L10003" s="29" t="s">
        <v>391</v>
      </c>
      <c r="M10003" s="29"/>
      <c r="N10003" s="29" t="s">
        <v>479</v>
      </c>
      <c r="O10003" s="29"/>
      <c r="P10003" s="29" t="s">
        <v>2010</v>
      </c>
      <c r="Q10003" t="s">
        <v>2040</v>
      </c>
      <c r="R10003" t="s">
        <v>2634</v>
      </c>
      <c r="S10003">
        <v>35</v>
      </c>
      <c r="T10003" s="43" t="str">
        <f t="shared" si="428"/>
        <v>2019.006G.zip</v>
      </c>
      <c r="U10003" s="43" t="str">
        <f>HYPERLINK("https://ictv.global/taxonomy/taxondetails?taxnode_id=202204720","ictv.global=202204720")</f>
        <v>ictv.global=202204720</v>
      </c>
    </row>
    <row r="10004" spans="1:21">
      <c r="A10004">
        <v>10003</v>
      </c>
      <c r="B10004" s="29" t="s">
        <v>3223</v>
      </c>
      <c r="C10004" s="29"/>
      <c r="D10004" s="29" t="s">
        <v>4156</v>
      </c>
      <c r="E10004" s="29"/>
      <c r="F10004" s="29" t="s">
        <v>4230</v>
      </c>
      <c r="G10004" s="29"/>
      <c r="H10004" s="29" t="s">
        <v>4337</v>
      </c>
      <c r="I10004" s="29"/>
      <c r="J10004" s="29" t="s">
        <v>4338</v>
      </c>
      <c r="K10004" s="29"/>
      <c r="L10004" s="29" t="s">
        <v>391</v>
      </c>
      <c r="M10004" s="29"/>
      <c r="N10004" s="29" t="s">
        <v>479</v>
      </c>
      <c r="O10004" s="29"/>
      <c r="P10004" s="29" t="s">
        <v>1189</v>
      </c>
      <c r="Q10004" t="s">
        <v>2040</v>
      </c>
      <c r="R10004" t="s">
        <v>2634</v>
      </c>
      <c r="S10004">
        <v>35</v>
      </c>
      <c r="T10004" s="43" t="str">
        <f t="shared" si="428"/>
        <v>2019.006G.zip</v>
      </c>
      <c r="U10004" s="43" t="str">
        <f>HYPERLINK("https://ictv.global/taxonomy/taxondetails?taxnode_id=202204721","ictv.global=202204721")</f>
        <v>ictv.global=202204721</v>
      </c>
    </row>
    <row r="10005" spans="1:21">
      <c r="A10005">
        <v>10004</v>
      </c>
      <c r="B10005" s="29" t="s">
        <v>3223</v>
      </c>
      <c r="C10005" s="29"/>
      <c r="D10005" s="29" t="s">
        <v>4156</v>
      </c>
      <c r="E10005" s="29"/>
      <c r="F10005" s="29" t="s">
        <v>4230</v>
      </c>
      <c r="G10005" s="29"/>
      <c r="H10005" s="29" t="s">
        <v>4337</v>
      </c>
      <c r="I10005" s="29"/>
      <c r="J10005" s="29" t="s">
        <v>4338</v>
      </c>
      <c r="K10005" s="29"/>
      <c r="L10005" s="29" t="s">
        <v>391</v>
      </c>
      <c r="M10005" s="29"/>
      <c r="N10005" s="29" t="s">
        <v>479</v>
      </c>
      <c r="O10005" s="29"/>
      <c r="P10005" s="29" t="s">
        <v>1190</v>
      </c>
      <c r="Q10005" t="s">
        <v>2040</v>
      </c>
      <c r="R10005" t="s">
        <v>2634</v>
      </c>
      <c r="S10005">
        <v>35</v>
      </c>
      <c r="T10005" s="43" t="str">
        <f t="shared" si="428"/>
        <v>2019.006G.zip</v>
      </c>
      <c r="U10005" s="43" t="str">
        <f>HYPERLINK("https://ictv.global/taxonomy/taxondetails?taxnode_id=202204722","ictv.global=202204722")</f>
        <v>ictv.global=202204722</v>
      </c>
    </row>
    <row r="10006" spans="1:21">
      <c r="A10006">
        <v>10005</v>
      </c>
      <c r="B10006" s="29" t="s">
        <v>3223</v>
      </c>
      <c r="C10006" s="29"/>
      <c r="D10006" s="29" t="s">
        <v>4156</v>
      </c>
      <c r="E10006" s="29"/>
      <c r="F10006" s="29" t="s">
        <v>4230</v>
      </c>
      <c r="G10006" s="29"/>
      <c r="H10006" s="29" t="s">
        <v>4337</v>
      </c>
      <c r="I10006" s="29"/>
      <c r="J10006" s="29" t="s">
        <v>4338</v>
      </c>
      <c r="K10006" s="29"/>
      <c r="L10006" s="29" t="s">
        <v>391</v>
      </c>
      <c r="M10006" s="29"/>
      <c r="N10006" s="29" t="s">
        <v>2970</v>
      </c>
      <c r="O10006" s="29"/>
      <c r="P10006" s="29" t="s">
        <v>4354</v>
      </c>
      <c r="Q10006" t="s">
        <v>2040</v>
      </c>
      <c r="R10006" t="s">
        <v>2632</v>
      </c>
      <c r="S10006">
        <v>35</v>
      </c>
      <c r="T10006" s="43" t="str">
        <f>HYPERLINK("https://ictv.global/ictv/proposals/2019.018P.zip","2019.018P.zip")</f>
        <v>2019.018P.zip</v>
      </c>
      <c r="U10006" s="43" t="str">
        <f>HYPERLINK("https://ictv.global/taxonomy/taxondetails?taxnode_id=202207450","ictv.global=202207450")</f>
        <v>ictv.global=202207450</v>
      </c>
    </row>
    <row r="10007" spans="1:21">
      <c r="A10007">
        <v>10006</v>
      </c>
      <c r="B10007" s="29" t="s">
        <v>3223</v>
      </c>
      <c r="C10007" s="29"/>
      <c r="D10007" s="29" t="s">
        <v>4156</v>
      </c>
      <c r="E10007" s="29"/>
      <c r="F10007" s="29" t="s">
        <v>4230</v>
      </c>
      <c r="G10007" s="29"/>
      <c r="H10007" s="29" t="s">
        <v>4337</v>
      </c>
      <c r="I10007" s="29"/>
      <c r="J10007" s="29" t="s">
        <v>4338</v>
      </c>
      <c r="K10007" s="29"/>
      <c r="L10007" s="29" t="s">
        <v>391</v>
      </c>
      <c r="M10007" s="29"/>
      <c r="N10007" s="29" t="s">
        <v>2970</v>
      </c>
      <c r="O10007" s="29"/>
      <c r="P10007" s="29" t="s">
        <v>1946</v>
      </c>
      <c r="Q10007" t="s">
        <v>2040</v>
      </c>
      <c r="R10007" t="s">
        <v>6901</v>
      </c>
      <c r="S10007">
        <v>36</v>
      </c>
      <c r="T10007" s="43" t="str">
        <f>HYPERLINK("https://ictv.global/ictv/proposals/2020.001G.R.Abolish_type_species.pdf","2020.001G.R.Abolish_type_species.pdf")</f>
        <v>2020.001G.R.Abolish_type_species.pdf</v>
      </c>
      <c r="U10007" s="43" t="str">
        <f>HYPERLINK("https://ictv.global/taxonomy/taxondetails?taxnode_id=202204735","ictv.global=202204735")</f>
        <v>ictv.global=202204735</v>
      </c>
    </row>
    <row r="10008" spans="1:21">
      <c r="A10008">
        <v>10007</v>
      </c>
      <c r="B10008" s="29" t="s">
        <v>3223</v>
      </c>
      <c r="C10008" s="29"/>
      <c r="D10008" s="29" t="s">
        <v>4156</v>
      </c>
      <c r="E10008" s="29"/>
      <c r="F10008" s="29" t="s">
        <v>4230</v>
      </c>
      <c r="G10008" s="29"/>
      <c r="H10008" s="29" t="s">
        <v>4337</v>
      </c>
      <c r="I10008" s="29"/>
      <c r="J10008" s="29" t="s">
        <v>4338</v>
      </c>
      <c r="K10008" s="29"/>
      <c r="L10008" s="29" t="s">
        <v>391</v>
      </c>
      <c r="M10008" s="29"/>
      <c r="N10008" s="29" t="s">
        <v>1151</v>
      </c>
      <c r="O10008" s="29"/>
      <c r="P10008" s="29" t="s">
        <v>1152</v>
      </c>
      <c r="Q10008" t="s">
        <v>2040</v>
      </c>
      <c r="R10008" t="s">
        <v>2634</v>
      </c>
      <c r="S10008">
        <v>35</v>
      </c>
      <c r="T10008" s="43" t="str">
        <f>HYPERLINK("https://ictv.global/ictv/proposals/2019.006G.zip","2019.006G.zip")</f>
        <v>2019.006G.zip</v>
      </c>
      <c r="U10008" s="43" t="str">
        <f>HYPERLINK("https://ictv.global/taxonomy/taxondetails?taxnode_id=202204724","ictv.global=202204724")</f>
        <v>ictv.global=202204724</v>
      </c>
    </row>
    <row r="10009" spans="1:21">
      <c r="A10009">
        <v>10008</v>
      </c>
      <c r="B10009" s="29" t="s">
        <v>3223</v>
      </c>
      <c r="C10009" s="29"/>
      <c r="D10009" s="29" t="s">
        <v>4156</v>
      </c>
      <c r="E10009" s="29"/>
      <c r="F10009" s="29" t="s">
        <v>4230</v>
      </c>
      <c r="G10009" s="29"/>
      <c r="H10009" s="29" t="s">
        <v>4337</v>
      </c>
      <c r="I10009" s="29"/>
      <c r="J10009" s="29" t="s">
        <v>4338</v>
      </c>
      <c r="K10009" s="29"/>
      <c r="L10009" s="29" t="s">
        <v>391</v>
      </c>
      <c r="M10009" s="29"/>
      <c r="N10009" s="29" t="s">
        <v>1151</v>
      </c>
      <c r="O10009" s="29"/>
      <c r="P10009" s="29" t="s">
        <v>1153</v>
      </c>
      <c r="Q10009" t="s">
        <v>2040</v>
      </c>
      <c r="R10009" t="s">
        <v>2634</v>
      </c>
      <c r="S10009">
        <v>35</v>
      </c>
      <c r="T10009" s="43" t="str">
        <f>HYPERLINK("https://ictv.global/ictv/proposals/2019.006G.zip","2019.006G.zip")</f>
        <v>2019.006G.zip</v>
      </c>
      <c r="U10009" s="43" t="str">
        <f>HYPERLINK("https://ictv.global/taxonomy/taxondetails?taxnode_id=202204725","ictv.global=202204725")</f>
        <v>ictv.global=202204725</v>
      </c>
    </row>
    <row r="10010" spans="1:21">
      <c r="A10010">
        <v>10009</v>
      </c>
      <c r="B10010" s="29" t="s">
        <v>3223</v>
      </c>
      <c r="C10010" s="29"/>
      <c r="D10010" s="29" t="s">
        <v>4156</v>
      </c>
      <c r="E10010" s="29"/>
      <c r="F10010" s="29" t="s">
        <v>4230</v>
      </c>
      <c r="G10010" s="29"/>
      <c r="H10010" s="29" t="s">
        <v>4337</v>
      </c>
      <c r="I10010" s="29"/>
      <c r="J10010" s="29" t="s">
        <v>4338</v>
      </c>
      <c r="K10010" s="29"/>
      <c r="L10010" s="29" t="s">
        <v>391</v>
      </c>
      <c r="M10010" s="29"/>
      <c r="N10010" s="29" t="s">
        <v>1151</v>
      </c>
      <c r="O10010" s="29"/>
      <c r="P10010" s="29" t="s">
        <v>1154</v>
      </c>
      <c r="Q10010" t="s">
        <v>2040</v>
      </c>
      <c r="R10010" t="s">
        <v>6901</v>
      </c>
      <c r="S10010">
        <v>36</v>
      </c>
      <c r="T10010" s="43" t="str">
        <f>HYPERLINK("https://ictv.global/ictv/proposals/2020.001G.R.Abolish_type_species.pdf","2020.001G.R.Abolish_type_species.pdf")</f>
        <v>2020.001G.R.Abolish_type_species.pdf</v>
      </c>
      <c r="U10010" s="43" t="str">
        <f>HYPERLINK("https://ictv.global/taxonomy/taxondetails?taxnode_id=202204726","ictv.global=202204726")</f>
        <v>ictv.global=202204726</v>
      </c>
    </row>
    <row r="10011" spans="1:21">
      <c r="A10011">
        <v>10010</v>
      </c>
      <c r="B10011" s="29" t="s">
        <v>3223</v>
      </c>
      <c r="C10011" s="29"/>
      <c r="D10011" s="29" t="s">
        <v>4156</v>
      </c>
      <c r="E10011" s="29"/>
      <c r="F10011" s="29" t="s">
        <v>4230</v>
      </c>
      <c r="G10011" s="29"/>
      <c r="H10011" s="29" t="s">
        <v>4337</v>
      </c>
      <c r="I10011" s="29"/>
      <c r="J10011" s="29" t="s">
        <v>4338</v>
      </c>
      <c r="K10011" s="29"/>
      <c r="L10011" s="29" t="s">
        <v>391</v>
      </c>
      <c r="M10011" s="29"/>
      <c r="N10011" s="29" t="s">
        <v>1155</v>
      </c>
      <c r="O10011" s="29"/>
      <c r="P10011" s="29" t="s">
        <v>1156</v>
      </c>
      <c r="Q10011" t="s">
        <v>2040</v>
      </c>
      <c r="R10011" t="s">
        <v>2634</v>
      </c>
      <c r="S10011">
        <v>35</v>
      </c>
      <c r="T10011" s="43" t="str">
        <f>HYPERLINK("https://ictv.global/ictv/proposals/2019.006G.zip","2019.006G.zip")</f>
        <v>2019.006G.zip</v>
      </c>
      <c r="U10011" s="43" t="str">
        <f>HYPERLINK("https://ictv.global/taxonomy/taxondetails?taxnode_id=202204728","ictv.global=202204728")</f>
        <v>ictv.global=202204728</v>
      </c>
    </row>
    <row r="10012" spans="1:21">
      <c r="A10012">
        <v>10011</v>
      </c>
      <c r="B10012" s="29" t="s">
        <v>3223</v>
      </c>
      <c r="C10012" s="29"/>
      <c r="D10012" s="29" t="s">
        <v>4156</v>
      </c>
      <c r="E10012" s="29"/>
      <c r="F10012" s="29" t="s">
        <v>4230</v>
      </c>
      <c r="G10012" s="29"/>
      <c r="H10012" s="29" t="s">
        <v>4337</v>
      </c>
      <c r="I10012" s="29"/>
      <c r="J10012" s="29" t="s">
        <v>4338</v>
      </c>
      <c r="K10012" s="29"/>
      <c r="L10012" s="29" t="s">
        <v>391</v>
      </c>
      <c r="M10012" s="29"/>
      <c r="N10012" s="29" t="s">
        <v>1155</v>
      </c>
      <c r="O10012" s="29"/>
      <c r="P10012" s="29" t="s">
        <v>1157</v>
      </c>
      <c r="Q10012" t="s">
        <v>2040</v>
      </c>
      <c r="R10012" t="s">
        <v>2634</v>
      </c>
      <c r="S10012">
        <v>35</v>
      </c>
      <c r="T10012" s="43" t="str">
        <f>HYPERLINK("https://ictv.global/ictv/proposals/2019.006G.zip","2019.006G.zip")</f>
        <v>2019.006G.zip</v>
      </c>
      <c r="U10012" s="43" t="str">
        <f>HYPERLINK("https://ictv.global/taxonomy/taxondetails?taxnode_id=202204729","ictv.global=202204729")</f>
        <v>ictv.global=202204729</v>
      </c>
    </row>
    <row r="10013" spans="1:21">
      <c r="A10013">
        <v>10012</v>
      </c>
      <c r="B10013" s="29" t="s">
        <v>3223</v>
      </c>
      <c r="C10013" s="29"/>
      <c r="D10013" s="29" t="s">
        <v>4156</v>
      </c>
      <c r="E10013" s="29"/>
      <c r="F10013" s="29" t="s">
        <v>4230</v>
      </c>
      <c r="G10013" s="29"/>
      <c r="H10013" s="29" t="s">
        <v>4337</v>
      </c>
      <c r="I10013" s="29"/>
      <c r="J10013" s="29" t="s">
        <v>4338</v>
      </c>
      <c r="K10013" s="29"/>
      <c r="L10013" s="29" t="s">
        <v>391</v>
      </c>
      <c r="M10013" s="29"/>
      <c r="N10013" s="29" t="s">
        <v>1155</v>
      </c>
      <c r="O10013" s="29"/>
      <c r="P10013" s="29" t="s">
        <v>2011</v>
      </c>
      <c r="Q10013" t="s">
        <v>2040</v>
      </c>
      <c r="R10013" t="s">
        <v>2634</v>
      </c>
      <c r="S10013">
        <v>35</v>
      </c>
      <c r="T10013" s="43" t="str">
        <f>HYPERLINK("https://ictv.global/ictv/proposals/2019.006G.zip","2019.006G.zip")</f>
        <v>2019.006G.zip</v>
      </c>
      <c r="U10013" s="43" t="str">
        <f>HYPERLINK("https://ictv.global/taxonomy/taxondetails?taxnode_id=202204730","ictv.global=202204730")</f>
        <v>ictv.global=202204730</v>
      </c>
    </row>
    <row r="10014" spans="1:21">
      <c r="A10014">
        <v>10013</v>
      </c>
      <c r="B10014" s="29" t="s">
        <v>3223</v>
      </c>
      <c r="C10014" s="29"/>
      <c r="D10014" s="29" t="s">
        <v>4156</v>
      </c>
      <c r="E10014" s="29"/>
      <c r="F10014" s="29" t="s">
        <v>4230</v>
      </c>
      <c r="G10014" s="29"/>
      <c r="H10014" s="29" t="s">
        <v>4337</v>
      </c>
      <c r="I10014" s="29"/>
      <c r="J10014" s="29" t="s">
        <v>4338</v>
      </c>
      <c r="K10014" s="29"/>
      <c r="L10014" s="29" t="s">
        <v>391</v>
      </c>
      <c r="M10014" s="29"/>
      <c r="N10014" s="29" t="s">
        <v>1155</v>
      </c>
      <c r="O10014" s="29"/>
      <c r="P10014" s="29" t="s">
        <v>1594</v>
      </c>
      <c r="Q10014" t="s">
        <v>2040</v>
      </c>
      <c r="R10014" t="s">
        <v>2634</v>
      </c>
      <c r="S10014">
        <v>35</v>
      </c>
      <c r="T10014" s="43" t="str">
        <f>HYPERLINK("https://ictv.global/ictv/proposals/2019.006G.zip","2019.006G.zip")</f>
        <v>2019.006G.zip</v>
      </c>
      <c r="U10014" s="43" t="str">
        <f>HYPERLINK("https://ictv.global/taxonomy/taxondetails?taxnode_id=202204731","ictv.global=202204731")</f>
        <v>ictv.global=202204731</v>
      </c>
    </row>
    <row r="10015" spans="1:21">
      <c r="A10015">
        <v>10014</v>
      </c>
      <c r="B10015" s="29" t="s">
        <v>3223</v>
      </c>
      <c r="C10015" s="29"/>
      <c r="D10015" s="29" t="s">
        <v>4156</v>
      </c>
      <c r="E10015" s="29"/>
      <c r="F10015" s="29" t="s">
        <v>4230</v>
      </c>
      <c r="G10015" s="29"/>
      <c r="H10015" s="29" t="s">
        <v>4337</v>
      </c>
      <c r="I10015" s="29"/>
      <c r="J10015" s="29" t="s">
        <v>4338</v>
      </c>
      <c r="K10015" s="29"/>
      <c r="L10015" s="29" t="s">
        <v>391</v>
      </c>
      <c r="M10015" s="29"/>
      <c r="N10015" s="29" t="s">
        <v>1155</v>
      </c>
      <c r="O10015" s="29"/>
      <c r="P10015" s="29" t="s">
        <v>1158</v>
      </c>
      <c r="Q10015" t="s">
        <v>2040</v>
      </c>
      <c r="R10015" t="s">
        <v>6901</v>
      </c>
      <c r="S10015">
        <v>36</v>
      </c>
      <c r="T10015" s="43" t="str">
        <f>HYPERLINK("https://ictv.global/ictv/proposals/2020.001G.R.Abolish_type_species.pdf","2020.001G.R.Abolish_type_species.pdf")</f>
        <v>2020.001G.R.Abolish_type_species.pdf</v>
      </c>
      <c r="U10015" s="43" t="str">
        <f>HYPERLINK("https://ictv.global/taxonomy/taxondetails?taxnode_id=202204732","ictv.global=202204732")</f>
        <v>ictv.global=202204732</v>
      </c>
    </row>
    <row r="10016" spans="1:21">
      <c r="A10016">
        <v>10015</v>
      </c>
      <c r="B10016" s="29" t="s">
        <v>3223</v>
      </c>
      <c r="C10016" s="29"/>
      <c r="D10016" s="29" t="s">
        <v>4156</v>
      </c>
      <c r="E10016" s="29"/>
      <c r="F10016" s="29" t="s">
        <v>4230</v>
      </c>
      <c r="G10016" s="29"/>
      <c r="H10016" s="29" t="s">
        <v>4337</v>
      </c>
      <c r="I10016" s="29"/>
      <c r="J10016" s="29" t="s">
        <v>4338</v>
      </c>
      <c r="K10016" s="29"/>
      <c r="L10016" s="29" t="s">
        <v>391</v>
      </c>
      <c r="M10016" s="29"/>
      <c r="N10016" s="29" t="s">
        <v>1155</v>
      </c>
      <c r="O10016" s="29"/>
      <c r="P10016" s="29" t="s">
        <v>2971</v>
      </c>
      <c r="Q10016" t="s">
        <v>2040</v>
      </c>
      <c r="R10016" t="s">
        <v>2634</v>
      </c>
      <c r="S10016">
        <v>35</v>
      </c>
      <c r="T10016" s="43" t="str">
        <f>HYPERLINK("https://ictv.global/ictv/proposals/2019.006G.zip","2019.006G.zip")</f>
        <v>2019.006G.zip</v>
      </c>
      <c r="U10016" s="43" t="str">
        <f>HYPERLINK("https://ictv.global/taxonomy/taxondetails?taxnode_id=202204733","ictv.global=202204733")</f>
        <v>ictv.global=202204733</v>
      </c>
    </row>
    <row r="10017" spans="1:21">
      <c r="A10017">
        <v>10016</v>
      </c>
      <c r="B10017" s="29" t="s">
        <v>3223</v>
      </c>
      <c r="C10017" s="29"/>
      <c r="D10017" s="29" t="s">
        <v>4156</v>
      </c>
      <c r="E10017" s="29"/>
      <c r="F10017" s="29" t="s">
        <v>4230</v>
      </c>
      <c r="G10017" s="29"/>
      <c r="H10017" s="29" t="s">
        <v>4337</v>
      </c>
      <c r="I10017" s="29"/>
      <c r="J10017" s="29" t="s">
        <v>4355</v>
      </c>
      <c r="K10017" s="29"/>
      <c r="L10017" s="29" t="s">
        <v>533</v>
      </c>
      <c r="M10017" s="29"/>
      <c r="N10017" s="29" t="s">
        <v>534</v>
      </c>
      <c r="O10017" s="29"/>
      <c r="P10017" s="29" t="s">
        <v>17</v>
      </c>
      <c r="Q10017" t="s">
        <v>2040</v>
      </c>
      <c r="R10017" t="s">
        <v>6901</v>
      </c>
      <c r="S10017">
        <v>36</v>
      </c>
      <c r="T10017" s="43" t="str">
        <f>HYPERLINK("https://ictv.global/ictv/proposals/2020.001G.R.Abolish_type_species.pdf","2020.001G.R.Abolish_type_species.pdf")</f>
        <v>2020.001G.R.Abolish_type_species.pdf</v>
      </c>
      <c r="U10017" s="43" t="str">
        <f>HYPERLINK("https://ictv.global/taxonomy/taxondetails?taxnode_id=202202622","ictv.global=202202622")</f>
        <v>ictv.global=202202622</v>
      </c>
    </row>
    <row r="10018" spans="1:21">
      <c r="A10018">
        <v>10017</v>
      </c>
      <c r="B10018" s="29" t="s">
        <v>3223</v>
      </c>
      <c r="C10018" s="29"/>
      <c r="D10018" s="29" t="s">
        <v>4156</v>
      </c>
      <c r="E10018" s="29"/>
      <c r="F10018" s="29" t="s">
        <v>4230</v>
      </c>
      <c r="G10018" s="29"/>
      <c r="H10018" s="29" t="s">
        <v>4337</v>
      </c>
      <c r="I10018" s="29"/>
      <c r="J10018" s="29" t="s">
        <v>4355</v>
      </c>
      <c r="K10018" s="29"/>
      <c r="L10018" s="29" t="s">
        <v>533</v>
      </c>
      <c r="M10018" s="29"/>
      <c r="N10018" s="29" t="s">
        <v>534</v>
      </c>
      <c r="O10018" s="29"/>
      <c r="P10018" s="29" t="s">
        <v>18</v>
      </c>
      <c r="Q10018" t="s">
        <v>2040</v>
      </c>
      <c r="R10018" t="s">
        <v>2634</v>
      </c>
      <c r="S10018">
        <v>35</v>
      </c>
      <c r="T10018" s="43" t="str">
        <f>HYPERLINK("https://ictv.global/ictv/proposals/2019.006G.zip","2019.006G.zip")</f>
        <v>2019.006G.zip</v>
      </c>
      <c r="U10018" s="43" t="str">
        <f>HYPERLINK("https://ictv.global/taxonomy/taxondetails?taxnode_id=202202623","ictv.global=202202623")</f>
        <v>ictv.global=202202623</v>
      </c>
    </row>
    <row r="10019" spans="1:21">
      <c r="A10019">
        <v>10018</v>
      </c>
      <c r="B10019" s="29" t="s">
        <v>3223</v>
      </c>
      <c r="C10019" s="29"/>
      <c r="D10019" s="29" t="s">
        <v>4156</v>
      </c>
      <c r="E10019" s="29"/>
      <c r="F10019" s="29" t="s">
        <v>4230</v>
      </c>
      <c r="G10019" s="29"/>
      <c r="H10019" s="29" t="s">
        <v>4337</v>
      </c>
      <c r="I10019" s="29"/>
      <c r="J10019" s="29" t="s">
        <v>4355</v>
      </c>
      <c r="K10019" s="29"/>
      <c r="L10019" s="29" t="s">
        <v>533</v>
      </c>
      <c r="M10019" s="29"/>
      <c r="N10019" s="29" t="s">
        <v>534</v>
      </c>
      <c r="O10019" s="29"/>
      <c r="P10019" s="29" t="s">
        <v>19</v>
      </c>
      <c r="Q10019" t="s">
        <v>2040</v>
      </c>
      <c r="R10019" t="s">
        <v>2634</v>
      </c>
      <c r="S10019">
        <v>35</v>
      </c>
      <c r="T10019" s="43" t="str">
        <f>HYPERLINK("https://ictv.global/ictv/proposals/2019.006G.zip","2019.006G.zip")</f>
        <v>2019.006G.zip</v>
      </c>
      <c r="U10019" s="43" t="str">
        <f>HYPERLINK("https://ictv.global/taxonomy/taxondetails?taxnode_id=202202624","ictv.global=202202624")</f>
        <v>ictv.global=202202624</v>
      </c>
    </row>
    <row r="10020" spans="1:21">
      <c r="A10020">
        <v>10019</v>
      </c>
      <c r="B10020" s="29" t="s">
        <v>3223</v>
      </c>
      <c r="C10020" s="29"/>
      <c r="D10020" s="29" t="s">
        <v>4156</v>
      </c>
      <c r="E10020" s="29"/>
      <c r="F10020" s="29" t="s">
        <v>4230</v>
      </c>
      <c r="G10020" s="29"/>
      <c r="H10020" s="29" t="s">
        <v>4337</v>
      </c>
      <c r="I10020" s="29"/>
      <c r="J10020" s="29" t="s">
        <v>4355</v>
      </c>
      <c r="K10020" s="29"/>
      <c r="L10020" s="29" t="s">
        <v>533</v>
      </c>
      <c r="M10020" s="29"/>
      <c r="N10020" s="29" t="s">
        <v>476</v>
      </c>
      <c r="O10020" s="29"/>
      <c r="P10020" s="29" t="s">
        <v>20</v>
      </c>
      <c r="Q10020" t="s">
        <v>2040</v>
      </c>
      <c r="R10020" t="s">
        <v>6901</v>
      </c>
      <c r="S10020">
        <v>36</v>
      </c>
      <c r="T10020" s="43" t="str">
        <f>HYPERLINK("https://ictv.global/ictv/proposals/2020.001G.R.Abolish_type_species.pdf","2020.001G.R.Abolish_type_species.pdf")</f>
        <v>2020.001G.R.Abolish_type_species.pdf</v>
      </c>
      <c r="U10020" s="43" t="str">
        <f>HYPERLINK("https://ictv.global/taxonomy/taxondetails?taxnode_id=202202626","ictv.global=202202626")</f>
        <v>ictv.global=202202626</v>
      </c>
    </row>
    <row r="10021" spans="1:21">
      <c r="A10021">
        <v>10020</v>
      </c>
      <c r="B10021" s="29" t="s">
        <v>3223</v>
      </c>
      <c r="C10021" s="29"/>
      <c r="D10021" s="29" t="s">
        <v>4156</v>
      </c>
      <c r="E10021" s="29"/>
      <c r="F10021" s="29" t="s">
        <v>4230</v>
      </c>
      <c r="G10021" s="29"/>
      <c r="H10021" s="29" t="s">
        <v>4337</v>
      </c>
      <c r="I10021" s="29"/>
      <c r="J10021" s="29" t="s">
        <v>4355</v>
      </c>
      <c r="K10021" s="29"/>
      <c r="L10021" s="29" t="s">
        <v>533</v>
      </c>
      <c r="M10021" s="29"/>
      <c r="N10021" s="29" t="s">
        <v>476</v>
      </c>
      <c r="O10021" s="29"/>
      <c r="P10021" s="29" t="s">
        <v>31</v>
      </c>
      <c r="Q10021" t="s">
        <v>2040</v>
      </c>
      <c r="R10021" t="s">
        <v>2634</v>
      </c>
      <c r="S10021">
        <v>35</v>
      </c>
      <c r="T10021" s="43" t="str">
        <f t="shared" ref="T10021:T10038" si="429">HYPERLINK("https://ictv.global/ictv/proposals/2019.006G.zip","2019.006G.zip")</f>
        <v>2019.006G.zip</v>
      </c>
      <c r="U10021" s="43" t="str">
        <f>HYPERLINK("https://ictv.global/taxonomy/taxondetails?taxnode_id=202202627","ictv.global=202202627")</f>
        <v>ictv.global=202202627</v>
      </c>
    </row>
    <row r="10022" spans="1:21">
      <c r="A10022">
        <v>10021</v>
      </c>
      <c r="B10022" s="29" t="s">
        <v>3223</v>
      </c>
      <c r="C10022" s="29"/>
      <c r="D10022" s="29" t="s">
        <v>4156</v>
      </c>
      <c r="E10022" s="29"/>
      <c r="F10022" s="29" t="s">
        <v>4230</v>
      </c>
      <c r="G10022" s="29"/>
      <c r="H10022" s="29" t="s">
        <v>4337</v>
      </c>
      <c r="I10022" s="29"/>
      <c r="J10022" s="29" t="s">
        <v>4355</v>
      </c>
      <c r="K10022" s="29"/>
      <c r="L10022" s="29" t="s">
        <v>533</v>
      </c>
      <c r="M10022" s="29"/>
      <c r="N10022" s="29" t="s">
        <v>476</v>
      </c>
      <c r="O10022" s="29"/>
      <c r="P10022" s="29" t="s">
        <v>32</v>
      </c>
      <c r="Q10022" t="s">
        <v>2040</v>
      </c>
      <c r="R10022" t="s">
        <v>2634</v>
      </c>
      <c r="S10022">
        <v>35</v>
      </c>
      <c r="T10022" s="43" t="str">
        <f t="shared" si="429"/>
        <v>2019.006G.zip</v>
      </c>
      <c r="U10022" s="43" t="str">
        <f>HYPERLINK("https://ictv.global/taxonomy/taxondetails?taxnode_id=202202628","ictv.global=202202628")</f>
        <v>ictv.global=202202628</v>
      </c>
    </row>
    <row r="10023" spans="1:21">
      <c r="A10023">
        <v>10022</v>
      </c>
      <c r="B10023" s="29" t="s">
        <v>3223</v>
      </c>
      <c r="C10023" s="29"/>
      <c r="D10023" s="29" t="s">
        <v>4156</v>
      </c>
      <c r="E10023" s="29"/>
      <c r="F10023" s="29" t="s">
        <v>4230</v>
      </c>
      <c r="G10023" s="29"/>
      <c r="H10023" s="29" t="s">
        <v>4337</v>
      </c>
      <c r="I10023" s="29"/>
      <c r="J10023" s="29" t="s">
        <v>4355</v>
      </c>
      <c r="K10023" s="29"/>
      <c r="L10023" s="29" t="s">
        <v>533</v>
      </c>
      <c r="M10023" s="29"/>
      <c r="N10023" s="29" t="s">
        <v>476</v>
      </c>
      <c r="O10023" s="29"/>
      <c r="P10023" s="29" t="s">
        <v>33</v>
      </c>
      <c r="Q10023" t="s">
        <v>2040</v>
      </c>
      <c r="R10023" t="s">
        <v>2634</v>
      </c>
      <c r="S10023">
        <v>35</v>
      </c>
      <c r="T10023" s="43" t="str">
        <f t="shared" si="429"/>
        <v>2019.006G.zip</v>
      </c>
      <c r="U10023" s="43" t="str">
        <f>HYPERLINK("https://ictv.global/taxonomy/taxondetails?taxnode_id=202202629","ictv.global=202202629")</f>
        <v>ictv.global=202202629</v>
      </c>
    </row>
    <row r="10024" spans="1:21">
      <c r="A10024">
        <v>10023</v>
      </c>
      <c r="B10024" s="29" t="s">
        <v>3223</v>
      </c>
      <c r="C10024" s="29"/>
      <c r="D10024" s="29" t="s">
        <v>4156</v>
      </c>
      <c r="E10024" s="29"/>
      <c r="F10024" s="29" t="s">
        <v>4230</v>
      </c>
      <c r="G10024" s="29"/>
      <c r="H10024" s="29" t="s">
        <v>4337</v>
      </c>
      <c r="I10024" s="29"/>
      <c r="J10024" s="29" t="s">
        <v>4355</v>
      </c>
      <c r="K10024" s="29"/>
      <c r="L10024" s="29" t="s">
        <v>533</v>
      </c>
      <c r="M10024" s="29"/>
      <c r="N10024" s="29" t="s">
        <v>476</v>
      </c>
      <c r="O10024" s="29"/>
      <c r="P10024" s="29" t="s">
        <v>34</v>
      </c>
      <c r="Q10024" t="s">
        <v>2040</v>
      </c>
      <c r="R10024" t="s">
        <v>2634</v>
      </c>
      <c r="S10024">
        <v>35</v>
      </c>
      <c r="T10024" s="43" t="str">
        <f t="shared" si="429"/>
        <v>2019.006G.zip</v>
      </c>
      <c r="U10024" s="43" t="str">
        <f>HYPERLINK("https://ictv.global/taxonomy/taxondetails?taxnode_id=202202630","ictv.global=202202630")</f>
        <v>ictv.global=202202630</v>
      </c>
    </row>
    <row r="10025" spans="1:21">
      <c r="A10025">
        <v>10024</v>
      </c>
      <c r="B10025" s="29" t="s">
        <v>3223</v>
      </c>
      <c r="C10025" s="29"/>
      <c r="D10025" s="29" t="s">
        <v>4156</v>
      </c>
      <c r="E10025" s="29"/>
      <c r="F10025" s="29" t="s">
        <v>4230</v>
      </c>
      <c r="G10025" s="29"/>
      <c r="H10025" s="29" t="s">
        <v>4337</v>
      </c>
      <c r="I10025" s="29"/>
      <c r="J10025" s="29" t="s">
        <v>4355</v>
      </c>
      <c r="K10025" s="29"/>
      <c r="L10025" s="29" t="s">
        <v>533</v>
      </c>
      <c r="M10025" s="29"/>
      <c r="N10025" s="29" t="s">
        <v>476</v>
      </c>
      <c r="O10025" s="29"/>
      <c r="P10025" s="29" t="s">
        <v>35</v>
      </c>
      <c r="Q10025" t="s">
        <v>2040</v>
      </c>
      <c r="R10025" t="s">
        <v>2634</v>
      </c>
      <c r="S10025">
        <v>35</v>
      </c>
      <c r="T10025" s="43" t="str">
        <f t="shared" si="429"/>
        <v>2019.006G.zip</v>
      </c>
      <c r="U10025" s="43" t="str">
        <f>HYPERLINK("https://ictv.global/taxonomy/taxondetails?taxnode_id=202202631","ictv.global=202202631")</f>
        <v>ictv.global=202202631</v>
      </c>
    </row>
    <row r="10026" spans="1:21">
      <c r="A10026">
        <v>10025</v>
      </c>
      <c r="B10026" s="29" t="s">
        <v>3223</v>
      </c>
      <c r="C10026" s="29"/>
      <c r="D10026" s="29" t="s">
        <v>4156</v>
      </c>
      <c r="E10026" s="29"/>
      <c r="F10026" s="29" t="s">
        <v>4230</v>
      </c>
      <c r="G10026" s="29"/>
      <c r="H10026" s="29" t="s">
        <v>4337</v>
      </c>
      <c r="I10026" s="29"/>
      <c r="J10026" s="29" t="s">
        <v>4355</v>
      </c>
      <c r="K10026" s="29"/>
      <c r="L10026" s="29" t="s">
        <v>533</v>
      </c>
      <c r="M10026" s="29"/>
      <c r="N10026" s="29" t="s">
        <v>476</v>
      </c>
      <c r="O10026" s="29"/>
      <c r="P10026" s="29" t="s">
        <v>36</v>
      </c>
      <c r="Q10026" t="s">
        <v>2040</v>
      </c>
      <c r="R10026" t="s">
        <v>2634</v>
      </c>
      <c r="S10026">
        <v>35</v>
      </c>
      <c r="T10026" s="43" t="str">
        <f t="shared" si="429"/>
        <v>2019.006G.zip</v>
      </c>
      <c r="U10026" s="43" t="str">
        <f>HYPERLINK("https://ictv.global/taxonomy/taxondetails?taxnode_id=202202632","ictv.global=202202632")</f>
        <v>ictv.global=202202632</v>
      </c>
    </row>
    <row r="10027" spans="1:21">
      <c r="A10027">
        <v>10026</v>
      </c>
      <c r="B10027" s="29" t="s">
        <v>3223</v>
      </c>
      <c r="C10027" s="29"/>
      <c r="D10027" s="29" t="s">
        <v>4156</v>
      </c>
      <c r="E10027" s="29"/>
      <c r="F10027" s="29" t="s">
        <v>4230</v>
      </c>
      <c r="G10027" s="29"/>
      <c r="H10027" s="29" t="s">
        <v>4337</v>
      </c>
      <c r="I10027" s="29"/>
      <c r="J10027" s="29" t="s">
        <v>4355</v>
      </c>
      <c r="K10027" s="29"/>
      <c r="L10027" s="29" t="s">
        <v>533</v>
      </c>
      <c r="M10027" s="29"/>
      <c r="N10027" s="29" t="s">
        <v>476</v>
      </c>
      <c r="O10027" s="29"/>
      <c r="P10027" s="29" t="s">
        <v>37</v>
      </c>
      <c r="Q10027" t="s">
        <v>2040</v>
      </c>
      <c r="R10027" t="s">
        <v>2634</v>
      </c>
      <c r="S10027">
        <v>35</v>
      </c>
      <c r="T10027" s="43" t="str">
        <f t="shared" si="429"/>
        <v>2019.006G.zip</v>
      </c>
      <c r="U10027" s="43" t="str">
        <f>HYPERLINK("https://ictv.global/taxonomy/taxondetails?taxnode_id=202202633","ictv.global=202202633")</f>
        <v>ictv.global=202202633</v>
      </c>
    </row>
    <row r="10028" spans="1:21">
      <c r="A10028">
        <v>10027</v>
      </c>
      <c r="B10028" s="29" t="s">
        <v>3223</v>
      </c>
      <c r="C10028" s="29"/>
      <c r="D10028" s="29" t="s">
        <v>4156</v>
      </c>
      <c r="E10028" s="29"/>
      <c r="F10028" s="29" t="s">
        <v>4230</v>
      </c>
      <c r="G10028" s="29"/>
      <c r="H10028" s="29" t="s">
        <v>4337</v>
      </c>
      <c r="I10028" s="29"/>
      <c r="J10028" s="29" t="s">
        <v>4355</v>
      </c>
      <c r="K10028" s="29"/>
      <c r="L10028" s="29" t="s">
        <v>533</v>
      </c>
      <c r="M10028" s="29"/>
      <c r="N10028" s="29" t="s">
        <v>476</v>
      </c>
      <c r="O10028" s="29"/>
      <c r="P10028" s="29" t="s">
        <v>38</v>
      </c>
      <c r="Q10028" t="s">
        <v>2040</v>
      </c>
      <c r="R10028" t="s">
        <v>2634</v>
      </c>
      <c r="S10028">
        <v>35</v>
      </c>
      <c r="T10028" s="43" t="str">
        <f t="shared" si="429"/>
        <v>2019.006G.zip</v>
      </c>
      <c r="U10028" s="43" t="str">
        <f>HYPERLINK("https://ictv.global/taxonomy/taxondetails?taxnode_id=202202634","ictv.global=202202634")</f>
        <v>ictv.global=202202634</v>
      </c>
    </row>
    <row r="10029" spans="1:21">
      <c r="A10029">
        <v>10028</v>
      </c>
      <c r="B10029" s="29" t="s">
        <v>3223</v>
      </c>
      <c r="C10029" s="29"/>
      <c r="D10029" s="29" t="s">
        <v>4156</v>
      </c>
      <c r="E10029" s="29"/>
      <c r="F10029" s="29" t="s">
        <v>4230</v>
      </c>
      <c r="G10029" s="29"/>
      <c r="H10029" s="29" t="s">
        <v>4337</v>
      </c>
      <c r="I10029" s="29"/>
      <c r="J10029" s="29" t="s">
        <v>4355</v>
      </c>
      <c r="K10029" s="29"/>
      <c r="L10029" s="29" t="s">
        <v>533</v>
      </c>
      <c r="M10029" s="29"/>
      <c r="N10029" s="29" t="s">
        <v>476</v>
      </c>
      <c r="O10029" s="29"/>
      <c r="P10029" s="29" t="s">
        <v>21</v>
      </c>
      <c r="Q10029" t="s">
        <v>2040</v>
      </c>
      <c r="R10029" t="s">
        <v>2634</v>
      </c>
      <c r="S10029">
        <v>35</v>
      </c>
      <c r="T10029" s="43" t="str">
        <f t="shared" si="429"/>
        <v>2019.006G.zip</v>
      </c>
      <c r="U10029" s="43" t="str">
        <f>HYPERLINK("https://ictv.global/taxonomy/taxondetails?taxnode_id=202202635","ictv.global=202202635")</f>
        <v>ictv.global=202202635</v>
      </c>
    </row>
    <row r="10030" spans="1:21">
      <c r="A10030">
        <v>10029</v>
      </c>
      <c r="B10030" s="29" t="s">
        <v>3223</v>
      </c>
      <c r="C10030" s="29"/>
      <c r="D10030" s="29" t="s">
        <v>4156</v>
      </c>
      <c r="E10030" s="29"/>
      <c r="F10030" s="29" t="s">
        <v>4230</v>
      </c>
      <c r="G10030" s="29"/>
      <c r="H10030" s="29" t="s">
        <v>4337</v>
      </c>
      <c r="I10030" s="29"/>
      <c r="J10030" s="29" t="s">
        <v>4355</v>
      </c>
      <c r="K10030" s="29"/>
      <c r="L10030" s="29" t="s">
        <v>533</v>
      </c>
      <c r="M10030" s="29"/>
      <c r="N10030" s="29" t="s">
        <v>476</v>
      </c>
      <c r="O10030" s="29"/>
      <c r="P10030" s="29" t="s">
        <v>22</v>
      </c>
      <c r="Q10030" t="s">
        <v>2040</v>
      </c>
      <c r="R10030" t="s">
        <v>2634</v>
      </c>
      <c r="S10030">
        <v>35</v>
      </c>
      <c r="T10030" s="43" t="str">
        <f t="shared" si="429"/>
        <v>2019.006G.zip</v>
      </c>
      <c r="U10030" s="43" t="str">
        <f>HYPERLINK("https://ictv.global/taxonomy/taxondetails?taxnode_id=202202636","ictv.global=202202636")</f>
        <v>ictv.global=202202636</v>
      </c>
    </row>
    <row r="10031" spans="1:21">
      <c r="A10031">
        <v>10030</v>
      </c>
      <c r="B10031" s="29" t="s">
        <v>3223</v>
      </c>
      <c r="C10031" s="29"/>
      <c r="D10031" s="29" t="s">
        <v>4156</v>
      </c>
      <c r="E10031" s="29"/>
      <c r="F10031" s="29" t="s">
        <v>4230</v>
      </c>
      <c r="G10031" s="29"/>
      <c r="H10031" s="29" t="s">
        <v>4337</v>
      </c>
      <c r="I10031" s="29"/>
      <c r="J10031" s="29" t="s">
        <v>4355</v>
      </c>
      <c r="K10031" s="29"/>
      <c r="L10031" s="29" t="s">
        <v>533</v>
      </c>
      <c r="M10031" s="29"/>
      <c r="N10031" s="29" t="s">
        <v>476</v>
      </c>
      <c r="O10031" s="29"/>
      <c r="P10031" s="29" t="s">
        <v>23</v>
      </c>
      <c r="Q10031" t="s">
        <v>2040</v>
      </c>
      <c r="R10031" t="s">
        <v>2634</v>
      </c>
      <c r="S10031">
        <v>35</v>
      </c>
      <c r="T10031" s="43" t="str">
        <f t="shared" si="429"/>
        <v>2019.006G.zip</v>
      </c>
      <c r="U10031" s="43" t="str">
        <f>HYPERLINK("https://ictv.global/taxonomy/taxondetails?taxnode_id=202202637","ictv.global=202202637")</f>
        <v>ictv.global=202202637</v>
      </c>
    </row>
    <row r="10032" spans="1:21">
      <c r="A10032">
        <v>10031</v>
      </c>
      <c r="B10032" s="29" t="s">
        <v>3223</v>
      </c>
      <c r="C10032" s="29"/>
      <c r="D10032" s="29" t="s">
        <v>4156</v>
      </c>
      <c r="E10032" s="29"/>
      <c r="F10032" s="29" t="s">
        <v>4230</v>
      </c>
      <c r="G10032" s="29"/>
      <c r="H10032" s="29" t="s">
        <v>4337</v>
      </c>
      <c r="I10032" s="29"/>
      <c r="J10032" s="29" t="s">
        <v>4355</v>
      </c>
      <c r="K10032" s="29"/>
      <c r="L10032" s="29" t="s">
        <v>533</v>
      </c>
      <c r="M10032" s="29"/>
      <c r="N10032" s="29" t="s">
        <v>476</v>
      </c>
      <c r="O10032" s="29"/>
      <c r="P10032" s="29" t="s">
        <v>24</v>
      </c>
      <c r="Q10032" t="s">
        <v>2040</v>
      </c>
      <c r="R10032" t="s">
        <v>2634</v>
      </c>
      <c r="S10032">
        <v>35</v>
      </c>
      <c r="T10032" s="43" t="str">
        <f t="shared" si="429"/>
        <v>2019.006G.zip</v>
      </c>
      <c r="U10032" s="43" t="str">
        <f>HYPERLINK("https://ictv.global/taxonomy/taxondetails?taxnode_id=202202638","ictv.global=202202638")</f>
        <v>ictv.global=202202638</v>
      </c>
    </row>
    <row r="10033" spans="1:21">
      <c r="A10033">
        <v>10032</v>
      </c>
      <c r="B10033" s="29" t="s">
        <v>3223</v>
      </c>
      <c r="C10033" s="29"/>
      <c r="D10033" s="29" t="s">
        <v>4156</v>
      </c>
      <c r="E10033" s="29"/>
      <c r="F10033" s="29" t="s">
        <v>4230</v>
      </c>
      <c r="G10033" s="29"/>
      <c r="H10033" s="29" t="s">
        <v>4337</v>
      </c>
      <c r="I10033" s="29"/>
      <c r="J10033" s="29" t="s">
        <v>4355</v>
      </c>
      <c r="K10033" s="29"/>
      <c r="L10033" s="29" t="s">
        <v>533</v>
      </c>
      <c r="M10033" s="29"/>
      <c r="N10033" s="29" t="s">
        <v>476</v>
      </c>
      <c r="O10033" s="29"/>
      <c r="P10033" s="29" t="s">
        <v>25</v>
      </c>
      <c r="Q10033" t="s">
        <v>2040</v>
      </c>
      <c r="R10033" t="s">
        <v>2634</v>
      </c>
      <c r="S10033">
        <v>35</v>
      </c>
      <c r="T10033" s="43" t="str">
        <f t="shared" si="429"/>
        <v>2019.006G.zip</v>
      </c>
      <c r="U10033" s="43" t="str">
        <f>HYPERLINK("https://ictv.global/taxonomy/taxondetails?taxnode_id=202202639","ictv.global=202202639")</f>
        <v>ictv.global=202202639</v>
      </c>
    </row>
    <row r="10034" spans="1:21">
      <c r="A10034">
        <v>10033</v>
      </c>
      <c r="B10034" s="29" t="s">
        <v>3223</v>
      </c>
      <c r="C10034" s="29"/>
      <c r="D10034" s="29" t="s">
        <v>4156</v>
      </c>
      <c r="E10034" s="29"/>
      <c r="F10034" s="29" t="s">
        <v>4230</v>
      </c>
      <c r="G10034" s="29"/>
      <c r="H10034" s="29" t="s">
        <v>4337</v>
      </c>
      <c r="I10034" s="29"/>
      <c r="J10034" s="29" t="s">
        <v>4355</v>
      </c>
      <c r="K10034" s="29"/>
      <c r="L10034" s="29" t="s">
        <v>533</v>
      </c>
      <c r="M10034" s="29"/>
      <c r="N10034" s="29" t="s">
        <v>476</v>
      </c>
      <c r="O10034" s="29"/>
      <c r="P10034" s="29" t="s">
        <v>26</v>
      </c>
      <c r="Q10034" t="s">
        <v>2040</v>
      </c>
      <c r="R10034" t="s">
        <v>2634</v>
      </c>
      <c r="S10034">
        <v>35</v>
      </c>
      <c r="T10034" s="43" t="str">
        <f t="shared" si="429"/>
        <v>2019.006G.zip</v>
      </c>
      <c r="U10034" s="43" t="str">
        <f>HYPERLINK("https://ictv.global/taxonomy/taxondetails?taxnode_id=202202640","ictv.global=202202640")</f>
        <v>ictv.global=202202640</v>
      </c>
    </row>
    <row r="10035" spans="1:21">
      <c r="A10035">
        <v>10034</v>
      </c>
      <c r="B10035" s="29" t="s">
        <v>3223</v>
      </c>
      <c r="C10035" s="29"/>
      <c r="D10035" s="29" t="s">
        <v>4156</v>
      </c>
      <c r="E10035" s="29"/>
      <c r="F10035" s="29" t="s">
        <v>4230</v>
      </c>
      <c r="G10035" s="29"/>
      <c r="H10035" s="29" t="s">
        <v>4337</v>
      </c>
      <c r="I10035" s="29"/>
      <c r="J10035" s="29" t="s">
        <v>4355</v>
      </c>
      <c r="K10035" s="29"/>
      <c r="L10035" s="29" t="s">
        <v>533</v>
      </c>
      <c r="M10035" s="29"/>
      <c r="N10035" s="29" t="s">
        <v>476</v>
      </c>
      <c r="O10035" s="29"/>
      <c r="P10035" s="29" t="s">
        <v>27</v>
      </c>
      <c r="Q10035" t="s">
        <v>2040</v>
      </c>
      <c r="R10035" t="s">
        <v>2634</v>
      </c>
      <c r="S10035">
        <v>35</v>
      </c>
      <c r="T10035" s="43" t="str">
        <f t="shared" si="429"/>
        <v>2019.006G.zip</v>
      </c>
      <c r="U10035" s="43" t="str">
        <f>HYPERLINK("https://ictv.global/taxonomy/taxondetails?taxnode_id=202202641","ictv.global=202202641")</f>
        <v>ictv.global=202202641</v>
      </c>
    </row>
    <row r="10036" spans="1:21">
      <c r="A10036">
        <v>10035</v>
      </c>
      <c r="B10036" s="29" t="s">
        <v>3223</v>
      </c>
      <c r="C10036" s="29"/>
      <c r="D10036" s="29" t="s">
        <v>4156</v>
      </c>
      <c r="E10036" s="29"/>
      <c r="F10036" s="29" t="s">
        <v>4230</v>
      </c>
      <c r="G10036" s="29"/>
      <c r="H10036" s="29" t="s">
        <v>4337</v>
      </c>
      <c r="I10036" s="29"/>
      <c r="J10036" s="29" t="s">
        <v>4355</v>
      </c>
      <c r="K10036" s="29"/>
      <c r="L10036" s="29" t="s">
        <v>533</v>
      </c>
      <c r="M10036" s="29"/>
      <c r="N10036" s="29" t="s">
        <v>476</v>
      </c>
      <c r="O10036" s="29"/>
      <c r="P10036" s="29" t="s">
        <v>28</v>
      </c>
      <c r="Q10036" t="s">
        <v>2040</v>
      </c>
      <c r="R10036" t="s">
        <v>2634</v>
      </c>
      <c r="S10036">
        <v>35</v>
      </c>
      <c r="T10036" s="43" t="str">
        <f t="shared" si="429"/>
        <v>2019.006G.zip</v>
      </c>
      <c r="U10036" s="43" t="str">
        <f>HYPERLINK("https://ictv.global/taxonomy/taxondetails?taxnode_id=202202642","ictv.global=202202642")</f>
        <v>ictv.global=202202642</v>
      </c>
    </row>
    <row r="10037" spans="1:21">
      <c r="A10037">
        <v>10036</v>
      </c>
      <c r="B10037" s="29" t="s">
        <v>3223</v>
      </c>
      <c r="C10037" s="29"/>
      <c r="D10037" s="29" t="s">
        <v>4156</v>
      </c>
      <c r="E10037" s="29"/>
      <c r="F10037" s="29" t="s">
        <v>4230</v>
      </c>
      <c r="G10037" s="29"/>
      <c r="H10037" s="29" t="s">
        <v>4337</v>
      </c>
      <c r="I10037" s="29"/>
      <c r="J10037" s="29" t="s">
        <v>4355</v>
      </c>
      <c r="K10037" s="29"/>
      <c r="L10037" s="29" t="s">
        <v>533</v>
      </c>
      <c r="M10037" s="29"/>
      <c r="N10037" s="29" t="s">
        <v>476</v>
      </c>
      <c r="O10037" s="29"/>
      <c r="P10037" s="29" t="s">
        <v>29</v>
      </c>
      <c r="Q10037" t="s">
        <v>2040</v>
      </c>
      <c r="R10037" t="s">
        <v>2634</v>
      </c>
      <c r="S10037">
        <v>35</v>
      </c>
      <c r="T10037" s="43" t="str">
        <f t="shared" si="429"/>
        <v>2019.006G.zip</v>
      </c>
      <c r="U10037" s="43" t="str">
        <f>HYPERLINK("https://ictv.global/taxonomy/taxondetails?taxnode_id=202202643","ictv.global=202202643")</f>
        <v>ictv.global=202202643</v>
      </c>
    </row>
    <row r="10038" spans="1:21">
      <c r="A10038">
        <v>10037</v>
      </c>
      <c r="B10038" s="29" t="s">
        <v>3223</v>
      </c>
      <c r="C10038" s="29"/>
      <c r="D10038" s="29" t="s">
        <v>4156</v>
      </c>
      <c r="E10038" s="29"/>
      <c r="F10038" s="29" t="s">
        <v>4230</v>
      </c>
      <c r="G10038" s="29"/>
      <c r="H10038" s="29" t="s">
        <v>4337</v>
      </c>
      <c r="I10038" s="29"/>
      <c r="J10038" s="29" t="s">
        <v>4355</v>
      </c>
      <c r="K10038" s="29"/>
      <c r="L10038" s="29" t="s">
        <v>533</v>
      </c>
      <c r="M10038" s="29"/>
      <c r="N10038" s="29" t="s">
        <v>476</v>
      </c>
      <c r="O10038" s="29"/>
      <c r="P10038" s="29" t="s">
        <v>30</v>
      </c>
      <c r="Q10038" t="s">
        <v>2040</v>
      </c>
      <c r="R10038" t="s">
        <v>2634</v>
      </c>
      <c r="S10038">
        <v>35</v>
      </c>
      <c r="T10038" s="43" t="str">
        <f t="shared" si="429"/>
        <v>2019.006G.zip</v>
      </c>
      <c r="U10038" s="43" t="str">
        <f>HYPERLINK("https://ictv.global/taxonomy/taxondetails?taxnode_id=202202644","ictv.global=202202644")</f>
        <v>ictv.global=202202644</v>
      </c>
    </row>
    <row r="10039" spans="1:21">
      <c r="A10039">
        <v>10038</v>
      </c>
      <c r="B10039" s="29" t="s">
        <v>3223</v>
      </c>
      <c r="C10039" s="29"/>
      <c r="D10039" s="29" t="s">
        <v>4156</v>
      </c>
      <c r="E10039" s="29"/>
      <c r="F10039" s="29" t="s">
        <v>4230</v>
      </c>
      <c r="G10039" s="29"/>
      <c r="H10039" s="29"/>
      <c r="I10039" s="29"/>
      <c r="J10039" s="29" t="s">
        <v>14280</v>
      </c>
      <c r="K10039" s="29"/>
      <c r="L10039" s="29" t="s">
        <v>14281</v>
      </c>
      <c r="M10039" s="29"/>
      <c r="N10039" s="29" t="s">
        <v>14282</v>
      </c>
      <c r="O10039" s="29"/>
      <c r="P10039" s="29" t="s">
        <v>14283</v>
      </c>
      <c r="Q10039" t="s">
        <v>2040</v>
      </c>
      <c r="R10039" t="s">
        <v>2632</v>
      </c>
      <c r="S10039">
        <v>37</v>
      </c>
      <c r="T10039" s="43" t="str">
        <f t="shared" ref="T10039:T10048" si="430">HYPERLINK("https://ictv.global/ictv/proposals/2021.005F.R.Yadokarivirales_neworder.zip","2021.005F.R.Yadokarivirales_neworder.zip")</f>
        <v>2021.005F.R.Yadokarivirales_neworder.zip</v>
      </c>
      <c r="U10039" s="43" t="str">
        <f>HYPERLINK("https://ictv.global/taxonomy/taxondetails?taxnode_id=202212473","ictv.global=202212473")</f>
        <v>ictv.global=202212473</v>
      </c>
    </row>
    <row r="10040" spans="1:21">
      <c r="A10040">
        <v>10039</v>
      </c>
      <c r="B10040" s="29" t="s">
        <v>3223</v>
      </c>
      <c r="C10040" s="29"/>
      <c r="D10040" s="29" t="s">
        <v>4156</v>
      </c>
      <c r="E10040" s="29"/>
      <c r="F10040" s="29" t="s">
        <v>4230</v>
      </c>
      <c r="G10040" s="29"/>
      <c r="H10040" s="29"/>
      <c r="I10040" s="29"/>
      <c r="J10040" s="29" t="s">
        <v>14280</v>
      </c>
      <c r="K10040" s="29"/>
      <c r="L10040" s="29" t="s">
        <v>14281</v>
      </c>
      <c r="M10040" s="29"/>
      <c r="N10040" s="29" t="s">
        <v>14282</v>
      </c>
      <c r="O10040" s="29"/>
      <c r="P10040" s="29" t="s">
        <v>14284</v>
      </c>
      <c r="Q10040" t="s">
        <v>2040</v>
      </c>
      <c r="R10040" t="s">
        <v>2632</v>
      </c>
      <c r="S10040">
        <v>37</v>
      </c>
      <c r="T10040" s="43" t="str">
        <f t="shared" si="430"/>
        <v>2021.005F.R.Yadokarivirales_neworder.zip</v>
      </c>
      <c r="U10040" s="43" t="str">
        <f>HYPERLINK("https://ictv.global/taxonomy/taxondetails?taxnode_id=202212469","ictv.global=202212469")</f>
        <v>ictv.global=202212469</v>
      </c>
    </row>
    <row r="10041" spans="1:21">
      <c r="A10041">
        <v>10040</v>
      </c>
      <c r="B10041" s="29" t="s">
        <v>3223</v>
      </c>
      <c r="C10041" s="29"/>
      <c r="D10041" s="29" t="s">
        <v>4156</v>
      </c>
      <c r="E10041" s="29"/>
      <c r="F10041" s="29" t="s">
        <v>4230</v>
      </c>
      <c r="G10041" s="29"/>
      <c r="H10041" s="29"/>
      <c r="I10041" s="29"/>
      <c r="J10041" s="29" t="s">
        <v>14280</v>
      </c>
      <c r="K10041" s="29"/>
      <c r="L10041" s="29" t="s">
        <v>14281</v>
      </c>
      <c r="M10041" s="29"/>
      <c r="N10041" s="29" t="s">
        <v>14282</v>
      </c>
      <c r="O10041" s="29"/>
      <c r="P10041" s="29" t="s">
        <v>14285</v>
      </c>
      <c r="Q10041" t="s">
        <v>2040</v>
      </c>
      <c r="R10041" t="s">
        <v>2632</v>
      </c>
      <c r="S10041">
        <v>37</v>
      </c>
      <c r="T10041" s="43" t="str">
        <f t="shared" si="430"/>
        <v>2021.005F.R.Yadokarivirales_neworder.zip</v>
      </c>
      <c r="U10041" s="43" t="str">
        <f>HYPERLINK("https://ictv.global/taxonomy/taxondetails?taxnode_id=202212470","ictv.global=202212470")</f>
        <v>ictv.global=202212470</v>
      </c>
    </row>
    <row r="10042" spans="1:21">
      <c r="A10042">
        <v>10041</v>
      </c>
      <c r="B10042" s="29" t="s">
        <v>3223</v>
      </c>
      <c r="C10042" s="29"/>
      <c r="D10042" s="29" t="s">
        <v>4156</v>
      </c>
      <c r="E10042" s="29"/>
      <c r="F10042" s="29" t="s">
        <v>4230</v>
      </c>
      <c r="G10042" s="29"/>
      <c r="H10042" s="29"/>
      <c r="I10042" s="29"/>
      <c r="J10042" s="29" t="s">
        <v>14280</v>
      </c>
      <c r="K10042" s="29"/>
      <c r="L10042" s="29" t="s">
        <v>14281</v>
      </c>
      <c r="M10042" s="29"/>
      <c r="N10042" s="29" t="s">
        <v>14282</v>
      </c>
      <c r="O10042" s="29"/>
      <c r="P10042" s="29" t="s">
        <v>14286</v>
      </c>
      <c r="Q10042" t="s">
        <v>2040</v>
      </c>
      <c r="R10042" t="s">
        <v>2632</v>
      </c>
      <c r="S10042">
        <v>37</v>
      </c>
      <c r="T10042" s="43" t="str">
        <f t="shared" si="430"/>
        <v>2021.005F.R.Yadokarivirales_neworder.zip</v>
      </c>
      <c r="U10042" s="43" t="str">
        <f>HYPERLINK("https://ictv.global/taxonomy/taxondetails?taxnode_id=202212474","ictv.global=202212474")</f>
        <v>ictv.global=202212474</v>
      </c>
    </row>
    <row r="10043" spans="1:21">
      <c r="A10043">
        <v>10042</v>
      </c>
      <c r="B10043" s="29" t="s">
        <v>3223</v>
      </c>
      <c r="C10043" s="29"/>
      <c r="D10043" s="29" t="s">
        <v>4156</v>
      </c>
      <c r="E10043" s="29"/>
      <c r="F10043" s="29" t="s">
        <v>4230</v>
      </c>
      <c r="G10043" s="29"/>
      <c r="H10043" s="29"/>
      <c r="I10043" s="29"/>
      <c r="J10043" s="29" t="s">
        <v>14280</v>
      </c>
      <c r="K10043" s="29"/>
      <c r="L10043" s="29" t="s">
        <v>14281</v>
      </c>
      <c r="M10043" s="29"/>
      <c r="N10043" s="29" t="s">
        <v>14282</v>
      </c>
      <c r="O10043" s="29"/>
      <c r="P10043" s="29" t="s">
        <v>14287</v>
      </c>
      <c r="Q10043" t="s">
        <v>2040</v>
      </c>
      <c r="R10043" t="s">
        <v>2632</v>
      </c>
      <c r="S10043">
        <v>37</v>
      </c>
      <c r="T10043" s="43" t="str">
        <f t="shared" si="430"/>
        <v>2021.005F.R.Yadokarivirales_neworder.zip</v>
      </c>
      <c r="U10043" s="43" t="str">
        <f>HYPERLINK("https://ictv.global/taxonomy/taxondetails?taxnode_id=202212471","ictv.global=202212471")</f>
        <v>ictv.global=202212471</v>
      </c>
    </row>
    <row r="10044" spans="1:21">
      <c r="A10044">
        <v>10043</v>
      </c>
      <c r="B10044" s="29" t="s">
        <v>3223</v>
      </c>
      <c r="C10044" s="29"/>
      <c r="D10044" s="29" t="s">
        <v>4156</v>
      </c>
      <c r="E10044" s="29"/>
      <c r="F10044" s="29" t="s">
        <v>4230</v>
      </c>
      <c r="G10044" s="29"/>
      <c r="H10044" s="29"/>
      <c r="I10044" s="29"/>
      <c r="J10044" s="29" t="s">
        <v>14280</v>
      </c>
      <c r="K10044" s="29"/>
      <c r="L10044" s="29" t="s">
        <v>14281</v>
      </c>
      <c r="M10044" s="29"/>
      <c r="N10044" s="29" t="s">
        <v>14282</v>
      </c>
      <c r="O10044" s="29"/>
      <c r="P10044" s="29" t="s">
        <v>14288</v>
      </c>
      <c r="Q10044" t="s">
        <v>2040</v>
      </c>
      <c r="R10044" t="s">
        <v>2632</v>
      </c>
      <c r="S10044">
        <v>37</v>
      </c>
      <c r="T10044" s="43" t="str">
        <f t="shared" si="430"/>
        <v>2021.005F.R.Yadokarivirales_neworder.zip</v>
      </c>
      <c r="U10044" s="43" t="str">
        <f>HYPERLINK("https://ictv.global/taxonomy/taxondetails?taxnode_id=202212472","ictv.global=202212472")</f>
        <v>ictv.global=202212472</v>
      </c>
    </row>
    <row r="10045" spans="1:21">
      <c r="A10045">
        <v>10044</v>
      </c>
      <c r="B10045" s="29" t="s">
        <v>3223</v>
      </c>
      <c r="C10045" s="29"/>
      <c r="D10045" s="29" t="s">
        <v>4156</v>
      </c>
      <c r="E10045" s="29"/>
      <c r="F10045" s="29" t="s">
        <v>4230</v>
      </c>
      <c r="G10045" s="29"/>
      <c r="H10045" s="29"/>
      <c r="I10045" s="29"/>
      <c r="J10045" s="29" t="s">
        <v>14280</v>
      </c>
      <c r="K10045" s="29"/>
      <c r="L10045" s="29" t="s">
        <v>14281</v>
      </c>
      <c r="M10045" s="29"/>
      <c r="N10045" s="29" t="s">
        <v>14289</v>
      </c>
      <c r="O10045" s="29"/>
      <c r="P10045" s="29" t="s">
        <v>14290</v>
      </c>
      <c r="Q10045" t="s">
        <v>2040</v>
      </c>
      <c r="R10045" t="s">
        <v>2632</v>
      </c>
      <c r="S10045">
        <v>37</v>
      </c>
      <c r="T10045" s="43" t="str">
        <f t="shared" si="430"/>
        <v>2021.005F.R.Yadokarivirales_neworder.zip</v>
      </c>
      <c r="U10045" s="43" t="str">
        <f>HYPERLINK("https://ictv.global/taxonomy/taxondetails?taxnode_id=202212476","ictv.global=202212476")</f>
        <v>ictv.global=202212476</v>
      </c>
    </row>
    <row r="10046" spans="1:21">
      <c r="A10046">
        <v>10045</v>
      </c>
      <c r="B10046" s="29" t="s">
        <v>3223</v>
      </c>
      <c r="C10046" s="29"/>
      <c r="D10046" s="29" t="s">
        <v>4156</v>
      </c>
      <c r="E10046" s="29"/>
      <c r="F10046" s="29" t="s">
        <v>4230</v>
      </c>
      <c r="G10046" s="29"/>
      <c r="H10046" s="29"/>
      <c r="I10046" s="29"/>
      <c r="J10046" s="29" t="s">
        <v>14280</v>
      </c>
      <c r="K10046" s="29"/>
      <c r="L10046" s="29" t="s">
        <v>14281</v>
      </c>
      <c r="M10046" s="29"/>
      <c r="N10046" s="29" t="s">
        <v>14289</v>
      </c>
      <c r="O10046" s="29"/>
      <c r="P10046" s="29" t="s">
        <v>14291</v>
      </c>
      <c r="Q10046" t="s">
        <v>2040</v>
      </c>
      <c r="R10046" t="s">
        <v>2632</v>
      </c>
      <c r="S10046">
        <v>37</v>
      </c>
      <c r="T10046" s="43" t="str">
        <f t="shared" si="430"/>
        <v>2021.005F.R.Yadokarivirales_neworder.zip</v>
      </c>
      <c r="U10046" s="43" t="str">
        <f>HYPERLINK("https://ictv.global/taxonomy/taxondetails?taxnode_id=202212477","ictv.global=202212477")</f>
        <v>ictv.global=202212477</v>
      </c>
    </row>
    <row r="10047" spans="1:21">
      <c r="A10047">
        <v>10046</v>
      </c>
      <c r="B10047" s="29" t="s">
        <v>3223</v>
      </c>
      <c r="C10047" s="29"/>
      <c r="D10047" s="29" t="s">
        <v>4156</v>
      </c>
      <c r="E10047" s="29"/>
      <c r="F10047" s="29" t="s">
        <v>4230</v>
      </c>
      <c r="G10047" s="29"/>
      <c r="H10047" s="29"/>
      <c r="I10047" s="29"/>
      <c r="J10047" s="29" t="s">
        <v>14280</v>
      </c>
      <c r="K10047" s="29"/>
      <c r="L10047" s="29" t="s">
        <v>14281</v>
      </c>
      <c r="M10047" s="29"/>
      <c r="N10047" s="29" t="s">
        <v>14289</v>
      </c>
      <c r="O10047" s="29"/>
      <c r="P10047" s="29" t="s">
        <v>14292</v>
      </c>
      <c r="Q10047" t="s">
        <v>2040</v>
      </c>
      <c r="R10047" t="s">
        <v>2632</v>
      </c>
      <c r="S10047">
        <v>37</v>
      </c>
      <c r="T10047" s="43" t="str">
        <f t="shared" si="430"/>
        <v>2021.005F.R.Yadokarivirales_neworder.zip</v>
      </c>
      <c r="U10047" s="43" t="str">
        <f>HYPERLINK("https://ictv.global/taxonomy/taxondetails?taxnode_id=202212478","ictv.global=202212478")</f>
        <v>ictv.global=202212478</v>
      </c>
    </row>
    <row r="10048" spans="1:21">
      <c r="A10048">
        <v>10047</v>
      </c>
      <c r="B10048" s="29" t="s">
        <v>3223</v>
      </c>
      <c r="C10048" s="29"/>
      <c r="D10048" s="29" t="s">
        <v>4156</v>
      </c>
      <c r="E10048" s="29"/>
      <c r="F10048" s="29" t="s">
        <v>4230</v>
      </c>
      <c r="G10048" s="29"/>
      <c r="H10048" s="29"/>
      <c r="I10048" s="29"/>
      <c r="J10048" s="29" t="s">
        <v>14280</v>
      </c>
      <c r="K10048" s="29"/>
      <c r="L10048" s="29" t="s">
        <v>14281</v>
      </c>
      <c r="M10048" s="29"/>
      <c r="N10048" s="29" t="s">
        <v>14289</v>
      </c>
      <c r="O10048" s="29"/>
      <c r="P10048" s="29" t="s">
        <v>14293</v>
      </c>
      <c r="Q10048" t="s">
        <v>2040</v>
      </c>
      <c r="R10048" t="s">
        <v>2632</v>
      </c>
      <c r="S10048">
        <v>37</v>
      </c>
      <c r="T10048" s="43" t="str">
        <f t="shared" si="430"/>
        <v>2021.005F.R.Yadokarivirales_neworder.zip</v>
      </c>
      <c r="U10048" s="43" t="str">
        <f>HYPERLINK("https://ictv.global/taxonomy/taxondetails?taxnode_id=202212479","ictv.global=202212479")</f>
        <v>ictv.global=202212479</v>
      </c>
    </row>
    <row r="10049" spans="1:21">
      <c r="A10049">
        <v>10048</v>
      </c>
      <c r="B10049" s="29" t="s">
        <v>3223</v>
      </c>
      <c r="C10049" s="29"/>
      <c r="D10049" s="29" t="s">
        <v>4156</v>
      </c>
      <c r="E10049" s="29"/>
      <c r="F10049" s="29" t="s">
        <v>4230</v>
      </c>
      <c r="G10049" s="29"/>
      <c r="H10049" s="29"/>
      <c r="I10049" s="29"/>
      <c r="J10049" s="29"/>
      <c r="K10049" s="29"/>
      <c r="L10049" s="29" t="s">
        <v>14294</v>
      </c>
      <c r="M10049" s="29"/>
      <c r="N10049" s="29" t="s">
        <v>14295</v>
      </c>
      <c r="O10049" s="29"/>
      <c r="P10049" s="29" t="s">
        <v>14296</v>
      </c>
      <c r="Q10049" t="s">
        <v>2040</v>
      </c>
      <c r="R10049" t="s">
        <v>2632</v>
      </c>
      <c r="S10049">
        <v>37</v>
      </c>
      <c r="T10049" s="43" t="str">
        <f>HYPERLINK("https://ictv.global/ictv/proposals/2021.004F.R.Hadakaviridae_newfam.zip","2021.004F.R.Hadakaviridae_newfam.zip")</f>
        <v>2021.004F.R.Hadakaviridae_newfam.zip</v>
      </c>
      <c r="U10049" s="43" t="str">
        <f>HYPERLINK("https://ictv.global/taxonomy/taxondetails?taxnode_id=202212465","ictv.global=202212465")</f>
        <v>ictv.global=202212465</v>
      </c>
    </row>
    <row r="10050" spans="1:21">
      <c r="A10050">
        <v>10049</v>
      </c>
      <c r="B10050" s="29" t="s">
        <v>3223</v>
      </c>
      <c r="C10050" s="29"/>
      <c r="D10050" s="29" t="s">
        <v>4156</v>
      </c>
      <c r="E10050" s="29"/>
      <c r="F10050" s="29"/>
      <c r="G10050" s="29"/>
      <c r="H10050" s="29"/>
      <c r="I10050" s="29"/>
      <c r="J10050" s="29"/>
      <c r="K10050" s="29"/>
      <c r="L10050" s="29" t="s">
        <v>1297</v>
      </c>
      <c r="M10050" s="29"/>
      <c r="N10050" s="29" t="s">
        <v>1298</v>
      </c>
      <c r="O10050" s="29"/>
      <c r="P10050" s="29" t="s">
        <v>14297</v>
      </c>
      <c r="Q10050" t="s">
        <v>2042</v>
      </c>
      <c r="R10050" t="s">
        <v>2635</v>
      </c>
      <c r="S10050">
        <v>38</v>
      </c>
      <c r="T10050" s="43" t="str">
        <f t="shared" ref="T10050:T10060" si="431">HYPERLINK("https://ictv.global/ictv/proposals/2022.004M.Birnaviridae_sprenamed.zip","2022.004M.Birnaviridae_sprenamed.zip")</f>
        <v>2022.004M.Birnaviridae_sprenamed.zip</v>
      </c>
      <c r="U10050" s="43" t="str">
        <f>HYPERLINK("https://ictv.global/taxonomy/taxondetails?taxnode_id=202202750","ictv.global=202202750")</f>
        <v>ictv.global=202202750</v>
      </c>
    </row>
    <row r="10051" spans="1:21">
      <c r="A10051">
        <v>10050</v>
      </c>
      <c r="B10051" s="29" t="s">
        <v>3223</v>
      </c>
      <c r="C10051" s="29"/>
      <c r="D10051" s="29" t="s">
        <v>4156</v>
      </c>
      <c r="E10051" s="29"/>
      <c r="F10051" s="29"/>
      <c r="G10051" s="29"/>
      <c r="H10051" s="29"/>
      <c r="I10051" s="29"/>
      <c r="J10051" s="29"/>
      <c r="K10051" s="29"/>
      <c r="L10051" s="29" t="s">
        <v>1297</v>
      </c>
      <c r="M10051" s="29"/>
      <c r="N10051" s="29" t="s">
        <v>1298</v>
      </c>
      <c r="O10051" s="29"/>
      <c r="P10051" s="29" t="s">
        <v>14298</v>
      </c>
      <c r="Q10051" t="s">
        <v>2042</v>
      </c>
      <c r="R10051" t="s">
        <v>2635</v>
      </c>
      <c r="S10051">
        <v>38</v>
      </c>
      <c r="T10051" s="43" t="str">
        <f t="shared" si="431"/>
        <v>2022.004M.Birnaviridae_sprenamed.zip</v>
      </c>
      <c r="U10051" s="43" t="str">
        <f>HYPERLINK("https://ictv.global/taxonomy/taxondetails?taxnode_id=202202748","ictv.global=202202748")</f>
        <v>ictv.global=202202748</v>
      </c>
    </row>
    <row r="10052" spans="1:21">
      <c r="A10052">
        <v>10051</v>
      </c>
      <c r="B10052" s="29" t="s">
        <v>3223</v>
      </c>
      <c r="C10052" s="29"/>
      <c r="D10052" s="29" t="s">
        <v>4156</v>
      </c>
      <c r="E10052" s="29"/>
      <c r="F10052" s="29"/>
      <c r="G10052" s="29"/>
      <c r="H10052" s="29"/>
      <c r="I10052" s="29"/>
      <c r="J10052" s="29"/>
      <c r="K10052" s="29"/>
      <c r="L10052" s="29" t="s">
        <v>1297</v>
      </c>
      <c r="M10052" s="29"/>
      <c r="N10052" s="29" t="s">
        <v>1298</v>
      </c>
      <c r="O10052" s="29"/>
      <c r="P10052" s="29" t="s">
        <v>14299</v>
      </c>
      <c r="Q10052" t="s">
        <v>2042</v>
      </c>
      <c r="R10052" t="s">
        <v>2635</v>
      </c>
      <c r="S10052">
        <v>38</v>
      </c>
      <c r="T10052" s="43" t="str">
        <f t="shared" si="431"/>
        <v>2022.004M.Birnaviridae_sprenamed.zip</v>
      </c>
      <c r="U10052" s="43" t="str">
        <f>HYPERLINK("https://ictv.global/taxonomy/taxondetails?taxnode_id=202202749","ictv.global=202202749")</f>
        <v>ictv.global=202202749</v>
      </c>
    </row>
    <row r="10053" spans="1:21">
      <c r="A10053">
        <v>10052</v>
      </c>
      <c r="B10053" s="29" t="s">
        <v>3223</v>
      </c>
      <c r="C10053" s="29"/>
      <c r="D10053" s="29" t="s">
        <v>4156</v>
      </c>
      <c r="E10053" s="29"/>
      <c r="F10053" s="29"/>
      <c r="G10053" s="29"/>
      <c r="H10053" s="29"/>
      <c r="I10053" s="29"/>
      <c r="J10053" s="29"/>
      <c r="K10053" s="29"/>
      <c r="L10053" s="29" t="s">
        <v>1297</v>
      </c>
      <c r="M10053" s="29"/>
      <c r="N10053" s="29" t="s">
        <v>1299</v>
      </c>
      <c r="O10053" s="29"/>
      <c r="P10053" s="29" t="s">
        <v>14300</v>
      </c>
      <c r="Q10053" t="s">
        <v>2042</v>
      </c>
      <c r="R10053" t="s">
        <v>2635</v>
      </c>
      <c r="S10053">
        <v>38</v>
      </c>
      <c r="T10053" s="43" t="str">
        <f t="shared" si="431"/>
        <v>2022.004M.Birnaviridae_sprenamed.zip</v>
      </c>
      <c r="U10053" s="43" t="str">
        <f>HYPERLINK("https://ictv.global/taxonomy/taxondetails?taxnode_id=202202752","ictv.global=202202752")</f>
        <v>ictv.global=202202752</v>
      </c>
    </row>
    <row r="10054" spans="1:21">
      <c r="A10054">
        <v>10053</v>
      </c>
      <c r="B10054" s="29" t="s">
        <v>3223</v>
      </c>
      <c r="C10054" s="29"/>
      <c r="D10054" s="29" t="s">
        <v>4156</v>
      </c>
      <c r="E10054" s="29"/>
      <c r="F10054" s="29"/>
      <c r="G10054" s="29"/>
      <c r="H10054" s="29"/>
      <c r="I10054" s="29"/>
      <c r="J10054" s="29"/>
      <c r="K10054" s="29"/>
      <c r="L10054" s="29" t="s">
        <v>1297</v>
      </c>
      <c r="M10054" s="29"/>
      <c r="N10054" s="29" t="s">
        <v>1303</v>
      </c>
      <c r="O10054" s="29"/>
      <c r="P10054" s="29" t="s">
        <v>14301</v>
      </c>
      <c r="Q10054" t="s">
        <v>2042</v>
      </c>
      <c r="R10054" t="s">
        <v>2635</v>
      </c>
      <c r="S10054">
        <v>38</v>
      </c>
      <c r="T10054" s="43" t="str">
        <f t="shared" si="431"/>
        <v>2022.004M.Birnaviridae_sprenamed.zip</v>
      </c>
      <c r="U10054" s="43" t="str">
        <f>HYPERLINK("https://ictv.global/taxonomy/taxondetails?taxnode_id=202202754","ictv.global=202202754")</f>
        <v>ictv.global=202202754</v>
      </c>
    </row>
    <row r="10055" spans="1:21">
      <c r="A10055">
        <v>10054</v>
      </c>
      <c r="B10055" s="29" t="s">
        <v>3223</v>
      </c>
      <c r="C10055" s="29"/>
      <c r="D10055" s="29" t="s">
        <v>4156</v>
      </c>
      <c r="E10055" s="29"/>
      <c r="F10055" s="29"/>
      <c r="G10055" s="29"/>
      <c r="H10055" s="29"/>
      <c r="I10055" s="29"/>
      <c r="J10055" s="29"/>
      <c r="K10055" s="29"/>
      <c r="L10055" s="29" t="s">
        <v>1297</v>
      </c>
      <c r="M10055" s="29"/>
      <c r="N10055" s="29" t="s">
        <v>1303</v>
      </c>
      <c r="O10055" s="29"/>
      <c r="P10055" s="29" t="s">
        <v>14302</v>
      </c>
      <c r="Q10055" t="s">
        <v>2042</v>
      </c>
      <c r="R10055" t="s">
        <v>2635</v>
      </c>
      <c r="S10055">
        <v>38</v>
      </c>
      <c r="T10055" s="43" t="str">
        <f t="shared" si="431"/>
        <v>2022.004M.Birnaviridae_sprenamed.zip</v>
      </c>
      <c r="U10055" s="43" t="str">
        <f>HYPERLINK("https://ictv.global/taxonomy/taxondetails?taxnode_id=202208656","ictv.global=202208656")</f>
        <v>ictv.global=202208656</v>
      </c>
    </row>
    <row r="10056" spans="1:21">
      <c r="A10056">
        <v>10055</v>
      </c>
      <c r="B10056" s="29" t="s">
        <v>3223</v>
      </c>
      <c r="C10056" s="29"/>
      <c r="D10056" s="29" t="s">
        <v>4156</v>
      </c>
      <c r="E10056" s="29"/>
      <c r="F10056" s="29"/>
      <c r="G10056" s="29"/>
      <c r="H10056" s="29"/>
      <c r="I10056" s="29"/>
      <c r="J10056" s="29"/>
      <c r="K10056" s="29"/>
      <c r="L10056" s="29" t="s">
        <v>1297</v>
      </c>
      <c r="M10056" s="29"/>
      <c r="N10056" s="29" t="s">
        <v>4356</v>
      </c>
      <c r="O10056" s="29"/>
      <c r="P10056" s="29" t="s">
        <v>14303</v>
      </c>
      <c r="Q10056" t="s">
        <v>2042</v>
      </c>
      <c r="R10056" t="s">
        <v>2635</v>
      </c>
      <c r="S10056">
        <v>38</v>
      </c>
      <c r="T10056" s="43" t="str">
        <f t="shared" si="431"/>
        <v>2022.004M.Birnaviridae_sprenamed.zip</v>
      </c>
      <c r="U10056" s="43" t="str">
        <f>HYPERLINK("https://ictv.global/taxonomy/taxondetails?taxnode_id=202208651","ictv.global=202208651")</f>
        <v>ictv.global=202208651</v>
      </c>
    </row>
    <row r="10057" spans="1:21">
      <c r="A10057">
        <v>10056</v>
      </c>
      <c r="B10057" s="29" t="s">
        <v>3223</v>
      </c>
      <c r="C10057" s="29"/>
      <c r="D10057" s="29" t="s">
        <v>4156</v>
      </c>
      <c r="E10057" s="29"/>
      <c r="F10057" s="29"/>
      <c r="G10057" s="29"/>
      <c r="H10057" s="29"/>
      <c r="I10057" s="29"/>
      <c r="J10057" s="29"/>
      <c r="K10057" s="29"/>
      <c r="L10057" s="29" t="s">
        <v>1297</v>
      </c>
      <c r="M10057" s="29"/>
      <c r="N10057" s="29" t="s">
        <v>1304</v>
      </c>
      <c r="O10057" s="29"/>
      <c r="P10057" s="29" t="s">
        <v>14304</v>
      </c>
      <c r="Q10057" t="s">
        <v>2042</v>
      </c>
      <c r="R10057" t="s">
        <v>2635</v>
      </c>
      <c r="S10057">
        <v>38</v>
      </c>
      <c r="T10057" s="43" t="str">
        <f t="shared" si="431"/>
        <v>2022.004M.Birnaviridae_sprenamed.zip</v>
      </c>
      <c r="U10057" s="43" t="str">
        <f>HYPERLINK("https://ictv.global/taxonomy/taxondetails?taxnode_id=202208649","ictv.global=202208649")</f>
        <v>ictv.global=202208649</v>
      </c>
    </row>
    <row r="10058" spans="1:21">
      <c r="A10058">
        <v>10057</v>
      </c>
      <c r="B10058" s="29" t="s">
        <v>3223</v>
      </c>
      <c r="C10058" s="29"/>
      <c r="D10058" s="29" t="s">
        <v>4156</v>
      </c>
      <c r="E10058" s="29"/>
      <c r="F10058" s="29"/>
      <c r="G10058" s="29"/>
      <c r="H10058" s="29"/>
      <c r="I10058" s="29"/>
      <c r="J10058" s="29"/>
      <c r="K10058" s="29"/>
      <c r="L10058" s="29" t="s">
        <v>1297</v>
      </c>
      <c r="M10058" s="29"/>
      <c r="N10058" s="29" t="s">
        <v>1304</v>
      </c>
      <c r="O10058" s="29"/>
      <c r="P10058" s="29" t="s">
        <v>14305</v>
      </c>
      <c r="Q10058" t="s">
        <v>2042</v>
      </c>
      <c r="R10058" t="s">
        <v>2635</v>
      </c>
      <c r="S10058">
        <v>38</v>
      </c>
      <c r="T10058" s="43" t="str">
        <f t="shared" si="431"/>
        <v>2022.004M.Birnaviridae_sprenamed.zip</v>
      </c>
      <c r="U10058" s="43" t="str">
        <f>HYPERLINK("https://ictv.global/taxonomy/taxondetails?taxnode_id=202202756","ictv.global=202202756")</f>
        <v>ictv.global=202202756</v>
      </c>
    </row>
    <row r="10059" spans="1:21">
      <c r="A10059">
        <v>10058</v>
      </c>
      <c r="B10059" s="29" t="s">
        <v>3223</v>
      </c>
      <c r="C10059" s="29"/>
      <c r="D10059" s="29" t="s">
        <v>4156</v>
      </c>
      <c r="E10059" s="29"/>
      <c r="F10059" s="29"/>
      <c r="G10059" s="29"/>
      <c r="H10059" s="29"/>
      <c r="I10059" s="29"/>
      <c r="J10059" s="29"/>
      <c r="K10059" s="29"/>
      <c r="L10059" s="29" t="s">
        <v>1297</v>
      </c>
      <c r="M10059" s="29"/>
      <c r="N10059" s="29" t="s">
        <v>4357</v>
      </c>
      <c r="O10059" s="29"/>
      <c r="P10059" s="29" t="s">
        <v>14306</v>
      </c>
      <c r="Q10059" t="s">
        <v>2042</v>
      </c>
      <c r="R10059" t="s">
        <v>2635</v>
      </c>
      <c r="S10059">
        <v>38</v>
      </c>
      <c r="T10059" s="43" t="str">
        <f t="shared" si="431"/>
        <v>2022.004M.Birnaviridae_sprenamed.zip</v>
      </c>
      <c r="U10059" s="43" t="str">
        <f>HYPERLINK("https://ictv.global/taxonomy/taxondetails?taxnode_id=202208653","ictv.global=202208653")</f>
        <v>ictv.global=202208653</v>
      </c>
    </row>
    <row r="10060" spans="1:21">
      <c r="A10060">
        <v>10059</v>
      </c>
      <c r="B10060" s="29" t="s">
        <v>3223</v>
      </c>
      <c r="C10060" s="29"/>
      <c r="D10060" s="29" t="s">
        <v>4156</v>
      </c>
      <c r="E10060" s="29"/>
      <c r="F10060" s="29"/>
      <c r="G10060" s="29"/>
      <c r="H10060" s="29"/>
      <c r="I10060" s="29"/>
      <c r="J10060" s="29"/>
      <c r="K10060" s="29"/>
      <c r="L10060" s="29" t="s">
        <v>1297</v>
      </c>
      <c r="M10060" s="29"/>
      <c r="N10060" s="29" t="s">
        <v>4358</v>
      </c>
      <c r="O10060" s="29"/>
      <c r="P10060" s="29" t="s">
        <v>14307</v>
      </c>
      <c r="Q10060" t="s">
        <v>2042</v>
      </c>
      <c r="R10060" t="s">
        <v>2635</v>
      </c>
      <c r="S10060">
        <v>38</v>
      </c>
      <c r="T10060" s="43" t="str">
        <f t="shared" si="431"/>
        <v>2022.004M.Birnaviridae_sprenamed.zip</v>
      </c>
      <c r="U10060" s="43" t="str">
        <f>HYPERLINK("https://ictv.global/taxonomy/taxondetails?taxnode_id=202208655","ictv.global=202208655")</f>
        <v>ictv.global=202208655</v>
      </c>
    </row>
    <row r="10061" spans="1:21">
      <c r="A10061">
        <v>10060</v>
      </c>
      <c r="B10061" s="29" t="s">
        <v>3223</v>
      </c>
      <c r="C10061" s="29"/>
      <c r="D10061" s="29" t="s">
        <v>4156</v>
      </c>
      <c r="E10061" s="29"/>
      <c r="F10061" s="29"/>
      <c r="G10061" s="29"/>
      <c r="H10061" s="29"/>
      <c r="I10061" s="29"/>
      <c r="J10061" s="29"/>
      <c r="K10061" s="29"/>
      <c r="L10061" s="29" t="s">
        <v>147</v>
      </c>
      <c r="M10061" s="29"/>
      <c r="N10061" s="29" t="s">
        <v>148</v>
      </c>
      <c r="O10061" s="29"/>
      <c r="P10061" s="29" t="s">
        <v>1364</v>
      </c>
      <c r="Q10061" t="s">
        <v>2040</v>
      </c>
      <c r="R10061" t="s">
        <v>2634</v>
      </c>
      <c r="S10061">
        <v>35</v>
      </c>
      <c r="T10061" s="43" t="str">
        <f>HYPERLINK("https://ictv.global/ictv/proposals/2019.006G.zip","2019.006G.zip")</f>
        <v>2019.006G.zip</v>
      </c>
      <c r="U10061" s="43" t="str">
        <f>HYPERLINK("https://ictv.global/taxonomy/taxondetails?taxnode_id=202204288","ictv.global=202204288")</f>
        <v>ictv.global=202204288</v>
      </c>
    </row>
    <row r="10062" spans="1:21">
      <c r="A10062">
        <v>10061</v>
      </c>
      <c r="B10062" s="29" t="s">
        <v>3223</v>
      </c>
      <c r="C10062" s="29"/>
      <c r="D10062" s="29" t="s">
        <v>4156</v>
      </c>
      <c r="E10062" s="29"/>
      <c r="F10062" s="29"/>
      <c r="G10062" s="29"/>
      <c r="H10062" s="29"/>
      <c r="I10062" s="29"/>
      <c r="J10062" s="29"/>
      <c r="K10062" s="29"/>
      <c r="L10062" s="29" t="s">
        <v>147</v>
      </c>
      <c r="M10062" s="29"/>
      <c r="N10062" s="29" t="s">
        <v>148</v>
      </c>
      <c r="O10062" s="29"/>
      <c r="P10062" s="29" t="s">
        <v>1368</v>
      </c>
      <c r="Q10062" t="s">
        <v>2040</v>
      </c>
      <c r="R10062" t="s">
        <v>6901</v>
      </c>
      <c r="S10062">
        <v>36</v>
      </c>
      <c r="T10062" s="43" t="str">
        <f>HYPERLINK("https://ictv.global/ictv/proposals/2020.001G.R.Abolish_type_species.pdf","2020.001G.R.Abolish_type_species.pdf")</f>
        <v>2020.001G.R.Abolish_type_species.pdf</v>
      </c>
      <c r="U10062" s="43" t="str">
        <f>HYPERLINK("https://ictv.global/taxonomy/taxondetails?taxnode_id=202204289","ictv.global=202204289")</f>
        <v>ictv.global=202204289</v>
      </c>
    </row>
    <row r="10063" spans="1:21">
      <c r="A10063">
        <v>10062</v>
      </c>
      <c r="B10063" s="29" t="s">
        <v>3223</v>
      </c>
      <c r="C10063" s="29"/>
      <c r="D10063" s="29" t="s">
        <v>4156</v>
      </c>
      <c r="E10063" s="29"/>
      <c r="F10063" s="29"/>
      <c r="G10063" s="29"/>
      <c r="H10063" s="29"/>
      <c r="I10063" s="29"/>
      <c r="J10063" s="29"/>
      <c r="K10063" s="29"/>
      <c r="L10063" s="29"/>
      <c r="M10063" s="29"/>
      <c r="N10063" s="29" t="s">
        <v>2339</v>
      </c>
      <c r="O10063" s="29"/>
      <c r="P10063" s="29" t="s">
        <v>2340</v>
      </c>
      <c r="Q10063" t="s">
        <v>2042</v>
      </c>
      <c r="R10063" t="s">
        <v>6901</v>
      </c>
      <c r="S10063">
        <v>36</v>
      </c>
      <c r="T10063" s="43" t="str">
        <f>HYPERLINK("https://ictv.global/ictv/proposals/2020.001G.R.Abolish_type_species.pdf","2020.001G.R.Abolish_type_species.pdf")</f>
        <v>2020.001G.R.Abolish_type_species.pdf</v>
      </c>
      <c r="U10063" s="43" t="str">
        <f>HYPERLINK("https://ictv.global/taxonomy/taxondetails?taxnode_id=202205343","ictv.global=202205343")</f>
        <v>ictv.global=202205343</v>
      </c>
    </row>
    <row r="10064" spans="1:21">
      <c r="A10064">
        <v>10063</v>
      </c>
      <c r="B10064" s="29" t="s">
        <v>3223</v>
      </c>
      <c r="C10064" s="29"/>
      <c r="D10064" s="29" t="s">
        <v>4359</v>
      </c>
      <c r="E10064" s="29"/>
      <c r="F10064" s="29" t="s">
        <v>4360</v>
      </c>
      <c r="G10064" s="29"/>
      <c r="H10064" s="29" t="s">
        <v>4361</v>
      </c>
      <c r="I10064" s="29"/>
      <c r="J10064" s="29" t="s">
        <v>4362</v>
      </c>
      <c r="K10064" s="29"/>
      <c r="L10064" s="29" t="s">
        <v>199</v>
      </c>
      <c r="M10064" s="29"/>
      <c r="N10064" s="29" t="s">
        <v>919</v>
      </c>
      <c r="O10064" s="29"/>
      <c r="P10064" s="29" t="s">
        <v>920</v>
      </c>
      <c r="Q10064" t="s">
        <v>2193</v>
      </c>
      <c r="R10064" t="s">
        <v>6901</v>
      </c>
      <c r="S10064">
        <v>36</v>
      </c>
      <c r="T10064" s="43" t="str">
        <f>HYPERLINK("https://ictv.global/ictv/proposals/2020.001G.R.Abolish_type_species.pdf","2020.001G.R.Abolish_type_species.pdf")</f>
        <v>2020.001G.R.Abolish_type_species.pdf</v>
      </c>
      <c r="U10064" s="43" t="str">
        <f>HYPERLINK("https://ictv.global/taxonomy/taxondetails?taxnode_id=202203648","ictv.global=202203648")</f>
        <v>ictv.global=202203648</v>
      </c>
    </row>
    <row r="10065" spans="1:21">
      <c r="A10065">
        <v>10064</v>
      </c>
      <c r="B10065" s="29" t="s">
        <v>3223</v>
      </c>
      <c r="C10065" s="29"/>
      <c r="D10065" s="29" t="s">
        <v>4359</v>
      </c>
      <c r="E10065" s="29"/>
      <c r="F10065" s="29" t="s">
        <v>4360</v>
      </c>
      <c r="G10065" s="29"/>
      <c r="H10065" s="29" t="s">
        <v>4361</v>
      </c>
      <c r="I10065" s="29"/>
      <c r="J10065" s="29" t="s">
        <v>4362</v>
      </c>
      <c r="K10065" s="29"/>
      <c r="L10065" s="29" t="s">
        <v>199</v>
      </c>
      <c r="M10065" s="29"/>
      <c r="N10065" s="29" t="s">
        <v>919</v>
      </c>
      <c r="O10065" s="29"/>
      <c r="P10065" s="29" t="s">
        <v>921</v>
      </c>
      <c r="Q10065" t="s">
        <v>2193</v>
      </c>
      <c r="R10065" t="s">
        <v>2634</v>
      </c>
      <c r="S10065">
        <v>35</v>
      </c>
      <c r="T10065" s="43" t="str">
        <f>HYPERLINK("https://ictv.global/ictv/proposals/2019.006G.zip","2019.006G.zip")</f>
        <v>2019.006G.zip</v>
      </c>
      <c r="U10065" s="43" t="str">
        <f>HYPERLINK("https://ictv.global/taxonomy/taxondetails?taxnode_id=202203649","ictv.global=202203649")</f>
        <v>ictv.global=202203649</v>
      </c>
    </row>
    <row r="10066" spans="1:21">
      <c r="A10066">
        <v>10065</v>
      </c>
      <c r="B10066" s="29" t="s">
        <v>3223</v>
      </c>
      <c r="C10066" s="29"/>
      <c r="D10066" s="29" t="s">
        <v>4359</v>
      </c>
      <c r="E10066" s="29"/>
      <c r="F10066" s="29" t="s">
        <v>4360</v>
      </c>
      <c r="G10066" s="29"/>
      <c r="H10066" s="29" t="s">
        <v>4361</v>
      </c>
      <c r="I10066" s="29"/>
      <c r="J10066" s="29" t="s">
        <v>4362</v>
      </c>
      <c r="K10066" s="29"/>
      <c r="L10066" s="29" t="s">
        <v>199</v>
      </c>
      <c r="M10066" s="29"/>
      <c r="N10066" s="29" t="s">
        <v>919</v>
      </c>
      <c r="O10066" s="29"/>
      <c r="P10066" s="29" t="s">
        <v>2534</v>
      </c>
      <c r="Q10066" t="s">
        <v>2193</v>
      </c>
      <c r="R10066" t="s">
        <v>2634</v>
      </c>
      <c r="S10066">
        <v>35</v>
      </c>
      <c r="T10066" s="43" t="str">
        <f>HYPERLINK("https://ictv.global/ictv/proposals/2019.006G.zip","2019.006G.zip")</f>
        <v>2019.006G.zip</v>
      </c>
      <c r="U10066" s="43" t="str">
        <f>HYPERLINK("https://ictv.global/taxonomy/taxondetails?taxnode_id=202203650","ictv.global=202203650")</f>
        <v>ictv.global=202203650</v>
      </c>
    </row>
    <row r="10067" spans="1:21">
      <c r="A10067">
        <v>10066</v>
      </c>
      <c r="B10067" s="29" t="s">
        <v>3223</v>
      </c>
      <c r="C10067" s="29"/>
      <c r="D10067" s="29" t="s">
        <v>4359</v>
      </c>
      <c r="E10067" s="29"/>
      <c r="F10067" s="29" t="s">
        <v>4360</v>
      </c>
      <c r="G10067" s="29"/>
      <c r="H10067" s="29" t="s">
        <v>4361</v>
      </c>
      <c r="I10067" s="29"/>
      <c r="J10067" s="29" t="s">
        <v>4362</v>
      </c>
      <c r="K10067" s="29"/>
      <c r="L10067" s="29" t="s">
        <v>199</v>
      </c>
      <c r="M10067" s="29"/>
      <c r="N10067" s="29" t="s">
        <v>4363</v>
      </c>
      <c r="O10067" s="29"/>
      <c r="P10067" s="29" t="s">
        <v>2917</v>
      </c>
      <c r="Q10067" t="s">
        <v>2193</v>
      </c>
      <c r="R10067" t="s">
        <v>6901</v>
      </c>
      <c r="S10067">
        <v>36</v>
      </c>
      <c r="T10067" s="43" t="str">
        <f>HYPERLINK("https://ictv.global/ictv/proposals/2020.001G.R.Abolish_type_species.pdf","2020.001G.R.Abolish_type_species.pdf")</f>
        <v>2020.001G.R.Abolish_type_species.pdf</v>
      </c>
      <c r="U10067" s="43" t="str">
        <f>HYPERLINK("https://ictv.global/taxonomy/taxondetails?taxnode_id=202205860","ictv.global=202205860")</f>
        <v>ictv.global=202205860</v>
      </c>
    </row>
    <row r="10068" spans="1:21">
      <c r="A10068">
        <v>10067</v>
      </c>
      <c r="B10068" s="29" t="s">
        <v>3223</v>
      </c>
      <c r="C10068" s="29"/>
      <c r="D10068" s="29" t="s">
        <v>4359</v>
      </c>
      <c r="E10068" s="29"/>
      <c r="F10068" s="29" t="s">
        <v>4360</v>
      </c>
      <c r="G10068" s="29"/>
      <c r="H10068" s="29" t="s">
        <v>4361</v>
      </c>
      <c r="I10068" s="29"/>
      <c r="J10068" s="29" t="s">
        <v>4362</v>
      </c>
      <c r="K10068" s="29"/>
      <c r="L10068" s="29" t="s">
        <v>199</v>
      </c>
      <c r="M10068" s="29"/>
      <c r="N10068" s="29" t="s">
        <v>4364</v>
      </c>
      <c r="O10068" s="29"/>
      <c r="P10068" s="29" t="s">
        <v>6714</v>
      </c>
      <c r="Q10068" t="s">
        <v>2193</v>
      </c>
      <c r="R10068" t="s">
        <v>6902</v>
      </c>
      <c r="S10068">
        <v>36</v>
      </c>
      <c r="T10068" s="43" t="str">
        <f>HYPERLINK("https://ictv.global/ictv/proposals/2020.013D.R.Metahepadnavirus_1sp.zip","2020.013D.R.Metahepadnavirus_1sp.zip;2020.001G.R.Abolish_type_species.pdf")</f>
        <v>2020.013D.R.Metahepadnavirus_1sp.zip;2020.001G.R.Abolish_type_species.pdf</v>
      </c>
      <c r="U10068" s="43" t="str">
        <f>HYPERLINK("https://ictv.global/taxonomy/taxondetails?taxnode_id=202205859","ictv.global=202205859")</f>
        <v>ictv.global=202205859</v>
      </c>
    </row>
    <row r="10069" spans="1:21">
      <c r="A10069">
        <v>10068</v>
      </c>
      <c r="B10069" s="29" t="s">
        <v>3223</v>
      </c>
      <c r="C10069" s="29"/>
      <c r="D10069" s="29" t="s">
        <v>4359</v>
      </c>
      <c r="E10069" s="29"/>
      <c r="F10069" s="29" t="s">
        <v>4360</v>
      </c>
      <c r="G10069" s="29"/>
      <c r="H10069" s="29" t="s">
        <v>4361</v>
      </c>
      <c r="I10069" s="29"/>
      <c r="J10069" s="29" t="s">
        <v>4362</v>
      </c>
      <c r="K10069" s="29"/>
      <c r="L10069" s="29" t="s">
        <v>199</v>
      </c>
      <c r="M10069" s="29"/>
      <c r="N10069" s="29" t="s">
        <v>922</v>
      </c>
      <c r="O10069" s="29"/>
      <c r="P10069" s="29" t="s">
        <v>3663</v>
      </c>
      <c r="Q10069" t="s">
        <v>2193</v>
      </c>
      <c r="R10069" t="s">
        <v>2634</v>
      </c>
      <c r="S10069">
        <v>35</v>
      </c>
      <c r="T10069" s="43" t="str">
        <f>HYPERLINK("https://ictv.global/ictv/proposals/2019.006G.zip","2019.006G.zip")</f>
        <v>2019.006G.zip</v>
      </c>
      <c r="U10069" s="43" t="str">
        <f>HYPERLINK("https://ictv.global/taxonomy/taxondetails?taxnode_id=202206328","ictv.global=202206328")</f>
        <v>ictv.global=202206328</v>
      </c>
    </row>
    <row r="10070" spans="1:21">
      <c r="A10070">
        <v>10069</v>
      </c>
      <c r="B10070" s="29" t="s">
        <v>3223</v>
      </c>
      <c r="C10070" s="29"/>
      <c r="D10070" s="29" t="s">
        <v>4359</v>
      </c>
      <c r="E10070" s="29"/>
      <c r="F10070" s="29" t="s">
        <v>4360</v>
      </c>
      <c r="G10070" s="29"/>
      <c r="H10070" s="29" t="s">
        <v>4361</v>
      </c>
      <c r="I10070" s="29"/>
      <c r="J10070" s="29" t="s">
        <v>4362</v>
      </c>
      <c r="K10070" s="29"/>
      <c r="L10070" s="29" t="s">
        <v>199</v>
      </c>
      <c r="M10070" s="29"/>
      <c r="N10070" s="29" t="s">
        <v>922</v>
      </c>
      <c r="O10070" s="29"/>
      <c r="P10070" s="29" t="s">
        <v>4365</v>
      </c>
      <c r="Q10070" t="s">
        <v>2193</v>
      </c>
      <c r="R10070" t="s">
        <v>2632</v>
      </c>
      <c r="S10070">
        <v>35</v>
      </c>
      <c r="T10070" s="43" t="str">
        <f>HYPERLINK("https://ictv.global/ictv/proposals/2019.007D.zip","2019.007D.zip")</f>
        <v>2019.007D.zip</v>
      </c>
      <c r="U10070" s="43" t="str">
        <f>HYPERLINK("https://ictv.global/taxonomy/taxondetails?taxnode_id=202207260","ictv.global=202207260")</f>
        <v>ictv.global=202207260</v>
      </c>
    </row>
    <row r="10071" spans="1:21">
      <c r="A10071">
        <v>10070</v>
      </c>
      <c r="B10071" s="29" t="s">
        <v>3223</v>
      </c>
      <c r="C10071" s="29"/>
      <c r="D10071" s="29" t="s">
        <v>4359</v>
      </c>
      <c r="E10071" s="29"/>
      <c r="F10071" s="29" t="s">
        <v>4360</v>
      </c>
      <c r="G10071" s="29"/>
      <c r="H10071" s="29" t="s">
        <v>4361</v>
      </c>
      <c r="I10071" s="29"/>
      <c r="J10071" s="29" t="s">
        <v>4362</v>
      </c>
      <c r="K10071" s="29"/>
      <c r="L10071" s="29" t="s">
        <v>199</v>
      </c>
      <c r="M10071" s="29"/>
      <c r="N10071" s="29" t="s">
        <v>922</v>
      </c>
      <c r="O10071" s="29"/>
      <c r="P10071" s="29" t="s">
        <v>4366</v>
      </c>
      <c r="Q10071" t="s">
        <v>2193</v>
      </c>
      <c r="R10071" t="s">
        <v>2632</v>
      </c>
      <c r="S10071">
        <v>35</v>
      </c>
      <c r="T10071" s="43" t="str">
        <f>HYPERLINK("https://ictv.global/ictv/proposals/2019.007D.zip","2019.007D.zip")</f>
        <v>2019.007D.zip</v>
      </c>
      <c r="U10071" s="43" t="str">
        <f>HYPERLINK("https://ictv.global/taxonomy/taxondetails?taxnode_id=202207258","ictv.global=202207258")</f>
        <v>ictv.global=202207258</v>
      </c>
    </row>
    <row r="10072" spans="1:21">
      <c r="A10072">
        <v>10071</v>
      </c>
      <c r="B10072" s="29" t="s">
        <v>3223</v>
      </c>
      <c r="C10072" s="29"/>
      <c r="D10072" s="29" t="s">
        <v>4359</v>
      </c>
      <c r="E10072" s="29"/>
      <c r="F10072" s="29" t="s">
        <v>4360</v>
      </c>
      <c r="G10072" s="29"/>
      <c r="H10072" s="29" t="s">
        <v>4361</v>
      </c>
      <c r="I10072" s="29"/>
      <c r="J10072" s="29" t="s">
        <v>4362</v>
      </c>
      <c r="K10072" s="29"/>
      <c r="L10072" s="29" t="s">
        <v>199</v>
      </c>
      <c r="M10072" s="29"/>
      <c r="N10072" s="29" t="s">
        <v>922</v>
      </c>
      <c r="O10072" s="29"/>
      <c r="P10072" s="29" t="s">
        <v>923</v>
      </c>
      <c r="Q10072" t="s">
        <v>2193</v>
      </c>
      <c r="R10072" t="s">
        <v>2634</v>
      </c>
      <c r="S10072">
        <v>35</v>
      </c>
      <c r="T10072" s="43" t="str">
        <f>HYPERLINK("https://ictv.global/ictv/proposals/2019.006G.zip","2019.006G.zip")</f>
        <v>2019.006G.zip</v>
      </c>
      <c r="U10072" s="43" t="str">
        <f>HYPERLINK("https://ictv.global/taxonomy/taxondetails?taxnode_id=202203652","ictv.global=202203652")</f>
        <v>ictv.global=202203652</v>
      </c>
    </row>
    <row r="10073" spans="1:21">
      <c r="A10073">
        <v>10072</v>
      </c>
      <c r="B10073" s="29" t="s">
        <v>3223</v>
      </c>
      <c r="C10073" s="29"/>
      <c r="D10073" s="29" t="s">
        <v>4359</v>
      </c>
      <c r="E10073" s="29"/>
      <c r="F10073" s="29" t="s">
        <v>4360</v>
      </c>
      <c r="G10073" s="29"/>
      <c r="H10073" s="29" t="s">
        <v>4361</v>
      </c>
      <c r="I10073" s="29"/>
      <c r="J10073" s="29" t="s">
        <v>4362</v>
      </c>
      <c r="K10073" s="29"/>
      <c r="L10073" s="29" t="s">
        <v>199</v>
      </c>
      <c r="M10073" s="29"/>
      <c r="N10073" s="29" t="s">
        <v>922</v>
      </c>
      <c r="O10073" s="29"/>
      <c r="P10073" s="29" t="s">
        <v>924</v>
      </c>
      <c r="Q10073" t="s">
        <v>2193</v>
      </c>
      <c r="R10073" t="s">
        <v>6901</v>
      </c>
      <c r="S10073">
        <v>36</v>
      </c>
      <c r="T10073" s="43" t="str">
        <f>HYPERLINK("https://ictv.global/ictv/proposals/2020.001G.R.Abolish_type_species.pdf","2020.001G.R.Abolish_type_species.pdf")</f>
        <v>2020.001G.R.Abolish_type_species.pdf</v>
      </c>
      <c r="U10073" s="43" t="str">
        <f>HYPERLINK("https://ictv.global/taxonomy/taxondetails?taxnode_id=202203653","ictv.global=202203653")</f>
        <v>ictv.global=202203653</v>
      </c>
    </row>
    <row r="10074" spans="1:21">
      <c r="A10074">
        <v>10073</v>
      </c>
      <c r="B10074" s="29" t="s">
        <v>3223</v>
      </c>
      <c r="C10074" s="29"/>
      <c r="D10074" s="29" t="s">
        <v>4359</v>
      </c>
      <c r="E10074" s="29"/>
      <c r="F10074" s="29" t="s">
        <v>4360</v>
      </c>
      <c r="G10074" s="29"/>
      <c r="H10074" s="29" t="s">
        <v>4361</v>
      </c>
      <c r="I10074" s="29"/>
      <c r="J10074" s="29" t="s">
        <v>4362</v>
      </c>
      <c r="K10074" s="29"/>
      <c r="L10074" s="29" t="s">
        <v>199</v>
      </c>
      <c r="M10074" s="29"/>
      <c r="N10074" s="29" t="s">
        <v>922</v>
      </c>
      <c r="O10074" s="29"/>
      <c r="P10074" s="29" t="s">
        <v>2262</v>
      </c>
      <c r="Q10074" t="s">
        <v>2193</v>
      </c>
      <c r="R10074" t="s">
        <v>2634</v>
      </c>
      <c r="S10074">
        <v>35</v>
      </c>
      <c r="T10074" s="43" t="str">
        <f>HYPERLINK("https://ictv.global/ictv/proposals/2019.006G.zip","2019.006G.zip")</f>
        <v>2019.006G.zip</v>
      </c>
      <c r="U10074" s="43" t="str">
        <f>HYPERLINK("https://ictv.global/taxonomy/taxondetails?taxnode_id=202203654","ictv.global=202203654")</f>
        <v>ictv.global=202203654</v>
      </c>
    </row>
    <row r="10075" spans="1:21">
      <c r="A10075">
        <v>10074</v>
      </c>
      <c r="B10075" s="29" t="s">
        <v>3223</v>
      </c>
      <c r="C10075" s="29"/>
      <c r="D10075" s="29" t="s">
        <v>4359</v>
      </c>
      <c r="E10075" s="29"/>
      <c r="F10075" s="29" t="s">
        <v>4360</v>
      </c>
      <c r="G10075" s="29"/>
      <c r="H10075" s="29" t="s">
        <v>4361</v>
      </c>
      <c r="I10075" s="29"/>
      <c r="J10075" s="29" t="s">
        <v>4362</v>
      </c>
      <c r="K10075" s="29"/>
      <c r="L10075" s="29" t="s">
        <v>199</v>
      </c>
      <c r="M10075" s="29"/>
      <c r="N10075" s="29" t="s">
        <v>922</v>
      </c>
      <c r="O10075" s="29"/>
      <c r="P10075" s="29" t="s">
        <v>2535</v>
      </c>
      <c r="Q10075" t="s">
        <v>2193</v>
      </c>
      <c r="R10075" t="s">
        <v>2634</v>
      </c>
      <c r="S10075">
        <v>35</v>
      </c>
      <c r="T10075" s="43" t="str">
        <f>HYPERLINK("https://ictv.global/ictv/proposals/2019.006G.zip","2019.006G.zip")</f>
        <v>2019.006G.zip</v>
      </c>
      <c r="U10075" s="43" t="str">
        <f>HYPERLINK("https://ictv.global/taxonomy/taxondetails?taxnode_id=202203655","ictv.global=202203655")</f>
        <v>ictv.global=202203655</v>
      </c>
    </row>
    <row r="10076" spans="1:21">
      <c r="A10076">
        <v>10075</v>
      </c>
      <c r="B10076" s="29" t="s">
        <v>3223</v>
      </c>
      <c r="C10076" s="29"/>
      <c r="D10076" s="29" t="s">
        <v>4359</v>
      </c>
      <c r="E10076" s="29"/>
      <c r="F10076" s="29" t="s">
        <v>4360</v>
      </c>
      <c r="G10076" s="29"/>
      <c r="H10076" s="29" t="s">
        <v>4361</v>
      </c>
      <c r="I10076" s="29"/>
      <c r="J10076" s="29" t="s">
        <v>4362</v>
      </c>
      <c r="K10076" s="29"/>
      <c r="L10076" s="29" t="s">
        <v>199</v>
      </c>
      <c r="M10076" s="29"/>
      <c r="N10076" s="29" t="s">
        <v>922</v>
      </c>
      <c r="O10076" s="29"/>
      <c r="P10076" s="29" t="s">
        <v>2263</v>
      </c>
      <c r="Q10076" t="s">
        <v>2193</v>
      </c>
      <c r="R10076" t="s">
        <v>2634</v>
      </c>
      <c r="S10076">
        <v>35</v>
      </c>
      <c r="T10076" s="43" t="str">
        <f>HYPERLINK("https://ictv.global/ictv/proposals/2019.006G.zip","2019.006G.zip")</f>
        <v>2019.006G.zip</v>
      </c>
      <c r="U10076" s="43" t="str">
        <f>HYPERLINK("https://ictv.global/taxonomy/taxondetails?taxnode_id=202203656","ictv.global=202203656")</f>
        <v>ictv.global=202203656</v>
      </c>
    </row>
    <row r="10077" spans="1:21">
      <c r="A10077">
        <v>10076</v>
      </c>
      <c r="B10077" s="29" t="s">
        <v>3223</v>
      </c>
      <c r="C10077" s="29"/>
      <c r="D10077" s="29" t="s">
        <v>4359</v>
      </c>
      <c r="E10077" s="29"/>
      <c r="F10077" s="29" t="s">
        <v>4360</v>
      </c>
      <c r="G10077" s="29"/>
      <c r="H10077" s="29" t="s">
        <v>4361</v>
      </c>
      <c r="I10077" s="29"/>
      <c r="J10077" s="29" t="s">
        <v>4362</v>
      </c>
      <c r="K10077" s="29"/>
      <c r="L10077" s="29" t="s">
        <v>199</v>
      </c>
      <c r="M10077" s="29"/>
      <c r="N10077" s="29" t="s">
        <v>922</v>
      </c>
      <c r="O10077" s="29"/>
      <c r="P10077" s="29" t="s">
        <v>4367</v>
      </c>
      <c r="Q10077" t="s">
        <v>2193</v>
      </c>
      <c r="R10077" t="s">
        <v>2632</v>
      </c>
      <c r="S10077">
        <v>35</v>
      </c>
      <c r="T10077" s="43" t="str">
        <f>HYPERLINK("https://ictv.global/ictv/proposals/2019.007D.zip","2019.007D.zip")</f>
        <v>2019.007D.zip</v>
      </c>
      <c r="U10077" s="43" t="str">
        <f>HYPERLINK("https://ictv.global/taxonomy/taxondetails?taxnode_id=202207259","ictv.global=202207259")</f>
        <v>ictv.global=202207259</v>
      </c>
    </row>
    <row r="10078" spans="1:21">
      <c r="A10078">
        <v>10077</v>
      </c>
      <c r="B10078" s="29" t="s">
        <v>3223</v>
      </c>
      <c r="C10078" s="29"/>
      <c r="D10078" s="29" t="s">
        <v>4359</v>
      </c>
      <c r="E10078" s="29"/>
      <c r="F10078" s="29" t="s">
        <v>4360</v>
      </c>
      <c r="G10078" s="29"/>
      <c r="H10078" s="29" t="s">
        <v>4361</v>
      </c>
      <c r="I10078" s="29"/>
      <c r="J10078" s="29" t="s">
        <v>4362</v>
      </c>
      <c r="K10078" s="29"/>
      <c r="L10078" s="29" t="s">
        <v>199</v>
      </c>
      <c r="M10078" s="29"/>
      <c r="N10078" s="29" t="s">
        <v>922</v>
      </c>
      <c r="O10078" s="29"/>
      <c r="P10078" s="29" t="s">
        <v>2264</v>
      </c>
      <c r="Q10078" t="s">
        <v>2193</v>
      </c>
      <c r="R10078" t="s">
        <v>2634</v>
      </c>
      <c r="S10078">
        <v>35</v>
      </c>
      <c r="T10078" s="43" t="str">
        <f>HYPERLINK("https://ictv.global/ictv/proposals/2019.006G.zip","2019.006G.zip")</f>
        <v>2019.006G.zip</v>
      </c>
      <c r="U10078" s="43" t="str">
        <f>HYPERLINK("https://ictv.global/taxonomy/taxondetails?taxnode_id=202203657","ictv.global=202203657")</f>
        <v>ictv.global=202203657</v>
      </c>
    </row>
    <row r="10079" spans="1:21">
      <c r="A10079">
        <v>10078</v>
      </c>
      <c r="B10079" s="29" t="s">
        <v>3223</v>
      </c>
      <c r="C10079" s="29"/>
      <c r="D10079" s="29" t="s">
        <v>4359</v>
      </c>
      <c r="E10079" s="29"/>
      <c r="F10079" s="29" t="s">
        <v>4360</v>
      </c>
      <c r="G10079" s="29"/>
      <c r="H10079" s="29" t="s">
        <v>4361</v>
      </c>
      <c r="I10079" s="29"/>
      <c r="J10079" s="29" t="s">
        <v>4362</v>
      </c>
      <c r="K10079" s="29"/>
      <c r="L10079" s="29" t="s">
        <v>199</v>
      </c>
      <c r="M10079" s="29"/>
      <c r="N10079" s="29" t="s">
        <v>922</v>
      </c>
      <c r="O10079" s="29"/>
      <c r="P10079" s="29" t="s">
        <v>925</v>
      </c>
      <c r="Q10079" t="s">
        <v>2193</v>
      </c>
      <c r="R10079" t="s">
        <v>2634</v>
      </c>
      <c r="S10079">
        <v>35</v>
      </c>
      <c r="T10079" s="43" t="str">
        <f>HYPERLINK("https://ictv.global/ictv/proposals/2019.006G.zip","2019.006G.zip")</f>
        <v>2019.006G.zip</v>
      </c>
      <c r="U10079" s="43" t="str">
        <f>HYPERLINK("https://ictv.global/taxonomy/taxondetails?taxnode_id=202203658","ictv.global=202203658")</f>
        <v>ictv.global=202203658</v>
      </c>
    </row>
    <row r="10080" spans="1:21">
      <c r="A10080">
        <v>10079</v>
      </c>
      <c r="B10080" s="29" t="s">
        <v>3223</v>
      </c>
      <c r="C10080" s="29"/>
      <c r="D10080" s="29" t="s">
        <v>4359</v>
      </c>
      <c r="E10080" s="29"/>
      <c r="F10080" s="29" t="s">
        <v>4360</v>
      </c>
      <c r="G10080" s="29"/>
      <c r="H10080" s="29" t="s">
        <v>4361</v>
      </c>
      <c r="I10080" s="29"/>
      <c r="J10080" s="29" t="s">
        <v>4362</v>
      </c>
      <c r="K10080" s="29"/>
      <c r="L10080" s="29" t="s">
        <v>199</v>
      </c>
      <c r="M10080" s="29"/>
      <c r="N10080" s="29" t="s">
        <v>922</v>
      </c>
      <c r="O10080" s="29"/>
      <c r="P10080" s="29" t="s">
        <v>206</v>
      </c>
      <c r="Q10080" t="s">
        <v>2193</v>
      </c>
      <c r="R10080" t="s">
        <v>2634</v>
      </c>
      <c r="S10080">
        <v>35</v>
      </c>
      <c r="T10080" s="43" t="str">
        <f>HYPERLINK("https://ictv.global/ictv/proposals/2019.006G.zip","2019.006G.zip")</f>
        <v>2019.006G.zip</v>
      </c>
      <c r="U10080" s="43" t="str">
        <f>HYPERLINK("https://ictv.global/taxonomy/taxondetails?taxnode_id=202203659","ictv.global=202203659")</f>
        <v>ictv.global=202203659</v>
      </c>
    </row>
    <row r="10081" spans="1:21">
      <c r="A10081">
        <v>10080</v>
      </c>
      <c r="B10081" s="29" t="s">
        <v>3223</v>
      </c>
      <c r="C10081" s="29"/>
      <c r="D10081" s="29" t="s">
        <v>4359</v>
      </c>
      <c r="E10081" s="29"/>
      <c r="F10081" s="29" t="s">
        <v>4360</v>
      </c>
      <c r="G10081" s="29"/>
      <c r="H10081" s="29" t="s">
        <v>4361</v>
      </c>
      <c r="I10081" s="29"/>
      <c r="J10081" s="29" t="s">
        <v>4362</v>
      </c>
      <c r="K10081" s="29"/>
      <c r="L10081" s="29" t="s">
        <v>199</v>
      </c>
      <c r="M10081" s="29"/>
      <c r="N10081" s="29" t="s">
        <v>4368</v>
      </c>
      <c r="O10081" s="29"/>
      <c r="P10081" s="29" t="s">
        <v>2536</v>
      </c>
      <c r="Q10081" t="s">
        <v>2193</v>
      </c>
      <c r="R10081" t="s">
        <v>6901</v>
      </c>
      <c r="S10081">
        <v>36</v>
      </c>
      <c r="T10081" s="43" t="str">
        <f>HYPERLINK("https://ictv.global/ictv/proposals/2020.001G.R.Abolish_type_species.pdf","2020.001G.R.Abolish_type_species.pdf")</f>
        <v>2020.001G.R.Abolish_type_species.pdf</v>
      </c>
      <c r="U10081" s="43" t="str">
        <f>HYPERLINK("https://ictv.global/taxonomy/taxondetails?taxnode_id=202203661","ictv.global=202203661")</f>
        <v>ictv.global=202203661</v>
      </c>
    </row>
    <row r="10082" spans="1:21">
      <c r="A10082">
        <v>10081</v>
      </c>
      <c r="B10082" s="29" t="s">
        <v>3223</v>
      </c>
      <c r="C10082" s="29"/>
      <c r="D10082" s="29" t="s">
        <v>4359</v>
      </c>
      <c r="E10082" s="29"/>
      <c r="F10082" s="29" t="s">
        <v>4360</v>
      </c>
      <c r="G10082" s="29"/>
      <c r="H10082" s="29" t="s">
        <v>4361</v>
      </c>
      <c r="I10082" s="29"/>
      <c r="J10082" s="29" t="s">
        <v>2660</v>
      </c>
      <c r="K10082" s="29"/>
      <c r="L10082" s="29" t="s">
        <v>2661</v>
      </c>
      <c r="M10082" s="29"/>
      <c r="N10082" s="29" t="s">
        <v>1480</v>
      </c>
      <c r="O10082" s="29"/>
      <c r="P10082" s="29" t="s">
        <v>1481</v>
      </c>
      <c r="Q10082" t="s">
        <v>2043</v>
      </c>
      <c r="R10082" t="s">
        <v>2634</v>
      </c>
      <c r="S10082">
        <v>35</v>
      </c>
      <c r="T10082" s="43" t="str">
        <f>HYPERLINK("https://ictv.global/ictv/proposals/2019.006G.zip","2019.006G.zip")</f>
        <v>2019.006G.zip</v>
      </c>
      <c r="U10082" s="43" t="str">
        <f>HYPERLINK("https://ictv.global/taxonomy/taxondetails?taxnode_id=202203847","ictv.global=202203847")</f>
        <v>ictv.global=202203847</v>
      </c>
    </row>
    <row r="10083" spans="1:21">
      <c r="A10083">
        <v>10082</v>
      </c>
      <c r="B10083" s="29" t="s">
        <v>3223</v>
      </c>
      <c r="C10083" s="29"/>
      <c r="D10083" s="29" t="s">
        <v>4359</v>
      </c>
      <c r="E10083" s="29"/>
      <c r="F10083" s="29" t="s">
        <v>4360</v>
      </c>
      <c r="G10083" s="29"/>
      <c r="H10083" s="29" t="s">
        <v>4361</v>
      </c>
      <c r="I10083" s="29"/>
      <c r="J10083" s="29" t="s">
        <v>2660</v>
      </c>
      <c r="K10083" s="29"/>
      <c r="L10083" s="29" t="s">
        <v>2661</v>
      </c>
      <c r="M10083" s="29"/>
      <c r="N10083" s="29" t="s">
        <v>1480</v>
      </c>
      <c r="O10083" s="29"/>
      <c r="P10083" s="29" t="s">
        <v>2662</v>
      </c>
      <c r="Q10083" t="s">
        <v>2043</v>
      </c>
      <c r="R10083" t="s">
        <v>2634</v>
      </c>
      <c r="S10083">
        <v>35</v>
      </c>
      <c r="T10083" s="43" t="str">
        <f>HYPERLINK("https://ictv.global/ictv/proposals/2019.006G.zip","2019.006G.zip")</f>
        <v>2019.006G.zip</v>
      </c>
      <c r="U10083" s="43" t="str">
        <f>HYPERLINK("https://ictv.global/taxonomy/taxondetails?taxnode_id=202205584","ictv.global=202205584")</f>
        <v>ictv.global=202205584</v>
      </c>
    </row>
    <row r="10084" spans="1:21">
      <c r="A10084">
        <v>10083</v>
      </c>
      <c r="B10084" s="29" t="s">
        <v>3223</v>
      </c>
      <c r="C10084" s="29"/>
      <c r="D10084" s="29" t="s">
        <v>4359</v>
      </c>
      <c r="E10084" s="29"/>
      <c r="F10084" s="29" t="s">
        <v>4360</v>
      </c>
      <c r="G10084" s="29"/>
      <c r="H10084" s="29" t="s">
        <v>4361</v>
      </c>
      <c r="I10084" s="29"/>
      <c r="J10084" s="29" t="s">
        <v>2660</v>
      </c>
      <c r="K10084" s="29"/>
      <c r="L10084" s="29" t="s">
        <v>2661</v>
      </c>
      <c r="M10084" s="29"/>
      <c r="N10084" s="29" t="s">
        <v>1480</v>
      </c>
      <c r="O10084" s="29"/>
      <c r="P10084" s="29" t="s">
        <v>1482</v>
      </c>
      <c r="Q10084" t="s">
        <v>2043</v>
      </c>
      <c r="R10084" t="s">
        <v>6901</v>
      </c>
      <c r="S10084">
        <v>36</v>
      </c>
      <c r="T10084" s="43" t="str">
        <f>HYPERLINK("https://ictv.global/ictv/proposals/2020.001G.R.Abolish_type_species.pdf","2020.001G.R.Abolish_type_species.pdf")</f>
        <v>2020.001G.R.Abolish_type_species.pdf</v>
      </c>
      <c r="U10084" s="43" t="str">
        <f>HYPERLINK("https://ictv.global/taxonomy/taxondetails?taxnode_id=202203848","ictv.global=202203848")</f>
        <v>ictv.global=202203848</v>
      </c>
    </row>
    <row r="10085" spans="1:21">
      <c r="A10085">
        <v>10084</v>
      </c>
      <c r="B10085" s="29" t="s">
        <v>3223</v>
      </c>
      <c r="C10085" s="29"/>
      <c r="D10085" s="29" t="s">
        <v>4359</v>
      </c>
      <c r="E10085" s="29"/>
      <c r="F10085" s="29" t="s">
        <v>4360</v>
      </c>
      <c r="G10085" s="29"/>
      <c r="H10085" s="29" t="s">
        <v>4361</v>
      </c>
      <c r="I10085" s="29"/>
      <c r="J10085" s="29" t="s">
        <v>2660</v>
      </c>
      <c r="K10085" s="29"/>
      <c r="L10085" s="29" t="s">
        <v>2661</v>
      </c>
      <c r="M10085" s="29"/>
      <c r="N10085" s="29" t="s">
        <v>1480</v>
      </c>
      <c r="O10085" s="29"/>
      <c r="P10085" s="29" t="s">
        <v>1483</v>
      </c>
      <c r="Q10085" t="s">
        <v>2043</v>
      </c>
      <c r="R10085" t="s">
        <v>2634</v>
      </c>
      <c r="S10085">
        <v>35</v>
      </c>
      <c r="T10085" s="43" t="str">
        <f t="shared" ref="T10085:T10092" si="432">HYPERLINK("https://ictv.global/ictv/proposals/2019.006G.zip","2019.006G.zip")</f>
        <v>2019.006G.zip</v>
      </c>
      <c r="U10085" s="43" t="str">
        <f>HYPERLINK("https://ictv.global/taxonomy/taxondetails?taxnode_id=202203849","ictv.global=202203849")</f>
        <v>ictv.global=202203849</v>
      </c>
    </row>
    <row r="10086" spans="1:21">
      <c r="A10086">
        <v>10085</v>
      </c>
      <c r="B10086" s="29" t="s">
        <v>3223</v>
      </c>
      <c r="C10086" s="29"/>
      <c r="D10086" s="29" t="s">
        <v>4359</v>
      </c>
      <c r="E10086" s="29"/>
      <c r="F10086" s="29" t="s">
        <v>4360</v>
      </c>
      <c r="G10086" s="29"/>
      <c r="H10086" s="29" t="s">
        <v>4361</v>
      </c>
      <c r="I10086" s="29"/>
      <c r="J10086" s="29" t="s">
        <v>2660</v>
      </c>
      <c r="K10086" s="29"/>
      <c r="L10086" s="29" t="s">
        <v>2661</v>
      </c>
      <c r="M10086" s="29"/>
      <c r="N10086" s="29" t="s">
        <v>1480</v>
      </c>
      <c r="O10086" s="29"/>
      <c r="P10086" s="29" t="s">
        <v>865</v>
      </c>
      <c r="Q10086" t="s">
        <v>2043</v>
      </c>
      <c r="R10086" t="s">
        <v>2634</v>
      </c>
      <c r="S10086">
        <v>35</v>
      </c>
      <c r="T10086" s="43" t="str">
        <f t="shared" si="432"/>
        <v>2019.006G.zip</v>
      </c>
      <c r="U10086" s="43" t="str">
        <f>HYPERLINK("https://ictv.global/taxonomy/taxondetails?taxnode_id=202203850","ictv.global=202203850")</f>
        <v>ictv.global=202203850</v>
      </c>
    </row>
    <row r="10087" spans="1:21">
      <c r="A10087">
        <v>10086</v>
      </c>
      <c r="B10087" s="29" t="s">
        <v>3223</v>
      </c>
      <c r="C10087" s="29"/>
      <c r="D10087" s="29" t="s">
        <v>4359</v>
      </c>
      <c r="E10087" s="29"/>
      <c r="F10087" s="29" t="s">
        <v>4360</v>
      </c>
      <c r="G10087" s="29"/>
      <c r="H10087" s="29" t="s">
        <v>4361</v>
      </c>
      <c r="I10087" s="29"/>
      <c r="J10087" s="29" t="s">
        <v>2660</v>
      </c>
      <c r="K10087" s="29"/>
      <c r="L10087" s="29" t="s">
        <v>2661</v>
      </c>
      <c r="M10087" s="29"/>
      <c r="N10087" s="29" t="s">
        <v>1480</v>
      </c>
      <c r="O10087" s="29"/>
      <c r="P10087" s="29" t="s">
        <v>866</v>
      </c>
      <c r="Q10087" t="s">
        <v>2043</v>
      </c>
      <c r="R10087" t="s">
        <v>2634</v>
      </c>
      <c r="S10087">
        <v>35</v>
      </c>
      <c r="T10087" s="43" t="str">
        <f t="shared" si="432"/>
        <v>2019.006G.zip</v>
      </c>
      <c r="U10087" s="43" t="str">
        <f>HYPERLINK("https://ictv.global/taxonomy/taxondetails?taxnode_id=202203851","ictv.global=202203851")</f>
        <v>ictv.global=202203851</v>
      </c>
    </row>
    <row r="10088" spans="1:21">
      <c r="A10088">
        <v>10087</v>
      </c>
      <c r="B10088" s="29" t="s">
        <v>3223</v>
      </c>
      <c r="C10088" s="29"/>
      <c r="D10088" s="29" t="s">
        <v>4359</v>
      </c>
      <c r="E10088" s="29"/>
      <c r="F10088" s="29" t="s">
        <v>4360</v>
      </c>
      <c r="G10088" s="29"/>
      <c r="H10088" s="29" t="s">
        <v>4361</v>
      </c>
      <c r="I10088" s="29"/>
      <c r="J10088" s="29" t="s">
        <v>2660</v>
      </c>
      <c r="K10088" s="29"/>
      <c r="L10088" s="29" t="s">
        <v>2661</v>
      </c>
      <c r="M10088" s="29"/>
      <c r="N10088" s="29" t="s">
        <v>1480</v>
      </c>
      <c r="O10088" s="29"/>
      <c r="P10088" s="29" t="s">
        <v>867</v>
      </c>
      <c r="Q10088" t="s">
        <v>2043</v>
      </c>
      <c r="R10088" t="s">
        <v>2634</v>
      </c>
      <c r="S10088">
        <v>35</v>
      </c>
      <c r="T10088" s="43" t="str">
        <f t="shared" si="432"/>
        <v>2019.006G.zip</v>
      </c>
      <c r="U10088" s="43" t="str">
        <f>HYPERLINK("https://ictv.global/taxonomy/taxondetails?taxnode_id=202203852","ictv.global=202203852")</f>
        <v>ictv.global=202203852</v>
      </c>
    </row>
    <row r="10089" spans="1:21">
      <c r="A10089">
        <v>10088</v>
      </c>
      <c r="B10089" s="29" t="s">
        <v>3223</v>
      </c>
      <c r="C10089" s="29"/>
      <c r="D10089" s="29" t="s">
        <v>4359</v>
      </c>
      <c r="E10089" s="29"/>
      <c r="F10089" s="29" t="s">
        <v>4360</v>
      </c>
      <c r="G10089" s="29"/>
      <c r="H10089" s="29" t="s">
        <v>4361</v>
      </c>
      <c r="I10089" s="29"/>
      <c r="J10089" s="29" t="s">
        <v>2660</v>
      </c>
      <c r="K10089" s="29"/>
      <c r="L10089" s="29" t="s">
        <v>2661</v>
      </c>
      <c r="M10089" s="29"/>
      <c r="N10089" s="29" t="s">
        <v>1480</v>
      </c>
      <c r="O10089" s="29"/>
      <c r="P10089" s="29" t="s">
        <v>2663</v>
      </c>
      <c r="Q10089" t="s">
        <v>2043</v>
      </c>
      <c r="R10089" t="s">
        <v>2634</v>
      </c>
      <c r="S10089">
        <v>35</v>
      </c>
      <c r="T10089" s="43" t="str">
        <f t="shared" si="432"/>
        <v>2019.006G.zip</v>
      </c>
      <c r="U10089" s="43" t="str">
        <f>HYPERLINK("https://ictv.global/taxonomy/taxondetails?taxnode_id=202205585","ictv.global=202205585")</f>
        <v>ictv.global=202205585</v>
      </c>
    </row>
    <row r="10090" spans="1:21">
      <c r="A10090">
        <v>10089</v>
      </c>
      <c r="B10090" s="29" t="s">
        <v>3223</v>
      </c>
      <c r="C10090" s="29"/>
      <c r="D10090" s="29" t="s">
        <v>4359</v>
      </c>
      <c r="E10090" s="29"/>
      <c r="F10090" s="29" t="s">
        <v>4360</v>
      </c>
      <c r="G10090" s="29"/>
      <c r="H10090" s="29" t="s">
        <v>4361</v>
      </c>
      <c r="I10090" s="29"/>
      <c r="J10090" s="29" t="s">
        <v>2660</v>
      </c>
      <c r="K10090" s="29"/>
      <c r="L10090" s="29" t="s">
        <v>2661</v>
      </c>
      <c r="M10090" s="29"/>
      <c r="N10090" s="29" t="s">
        <v>1480</v>
      </c>
      <c r="O10090" s="29"/>
      <c r="P10090" s="29" t="s">
        <v>1248</v>
      </c>
      <c r="Q10090" t="s">
        <v>2043</v>
      </c>
      <c r="R10090" t="s">
        <v>2634</v>
      </c>
      <c r="S10090">
        <v>35</v>
      </c>
      <c r="T10090" s="43" t="str">
        <f t="shared" si="432"/>
        <v>2019.006G.zip</v>
      </c>
      <c r="U10090" s="43" t="str">
        <f>HYPERLINK("https://ictv.global/taxonomy/taxondetails?taxnode_id=202203853","ictv.global=202203853")</f>
        <v>ictv.global=202203853</v>
      </c>
    </row>
    <row r="10091" spans="1:21">
      <c r="A10091">
        <v>10090</v>
      </c>
      <c r="B10091" s="29" t="s">
        <v>3223</v>
      </c>
      <c r="C10091" s="29"/>
      <c r="D10091" s="29" t="s">
        <v>4359</v>
      </c>
      <c r="E10091" s="29"/>
      <c r="F10091" s="29" t="s">
        <v>4360</v>
      </c>
      <c r="G10091" s="29"/>
      <c r="H10091" s="29" t="s">
        <v>4361</v>
      </c>
      <c r="I10091" s="29"/>
      <c r="J10091" s="29" t="s">
        <v>2660</v>
      </c>
      <c r="K10091" s="29"/>
      <c r="L10091" s="29" t="s">
        <v>2661</v>
      </c>
      <c r="M10091" s="29"/>
      <c r="N10091" s="29" t="s">
        <v>1480</v>
      </c>
      <c r="O10091" s="29"/>
      <c r="P10091" s="29" t="s">
        <v>2664</v>
      </c>
      <c r="Q10091" t="s">
        <v>2043</v>
      </c>
      <c r="R10091" t="s">
        <v>2634</v>
      </c>
      <c r="S10091">
        <v>35</v>
      </c>
      <c r="T10091" s="43" t="str">
        <f t="shared" si="432"/>
        <v>2019.006G.zip</v>
      </c>
      <c r="U10091" s="43" t="str">
        <f>HYPERLINK("https://ictv.global/taxonomy/taxondetails?taxnode_id=202205586","ictv.global=202205586")</f>
        <v>ictv.global=202205586</v>
      </c>
    </row>
    <row r="10092" spans="1:21">
      <c r="A10092">
        <v>10091</v>
      </c>
      <c r="B10092" s="29" t="s">
        <v>3223</v>
      </c>
      <c r="C10092" s="29"/>
      <c r="D10092" s="29" t="s">
        <v>4359</v>
      </c>
      <c r="E10092" s="29"/>
      <c r="F10092" s="29" t="s">
        <v>4360</v>
      </c>
      <c r="G10092" s="29"/>
      <c r="H10092" s="29" t="s">
        <v>4361</v>
      </c>
      <c r="I10092" s="29"/>
      <c r="J10092" s="29" t="s">
        <v>2660</v>
      </c>
      <c r="K10092" s="29"/>
      <c r="L10092" s="29" t="s">
        <v>2661</v>
      </c>
      <c r="M10092" s="29"/>
      <c r="N10092" s="29" t="s">
        <v>1480</v>
      </c>
      <c r="O10092" s="29"/>
      <c r="P10092" s="29" t="s">
        <v>2665</v>
      </c>
      <c r="Q10092" t="s">
        <v>2043</v>
      </c>
      <c r="R10092" t="s">
        <v>2634</v>
      </c>
      <c r="S10092">
        <v>35</v>
      </c>
      <c r="T10092" s="43" t="str">
        <f t="shared" si="432"/>
        <v>2019.006G.zip</v>
      </c>
      <c r="U10092" s="43" t="str">
        <f>HYPERLINK("https://ictv.global/taxonomy/taxondetails?taxnode_id=202203854","ictv.global=202203854")</f>
        <v>ictv.global=202203854</v>
      </c>
    </row>
    <row r="10093" spans="1:21">
      <c r="A10093">
        <v>10092</v>
      </c>
      <c r="B10093" s="29" t="s">
        <v>3223</v>
      </c>
      <c r="C10093" s="29"/>
      <c r="D10093" s="29" t="s">
        <v>4359</v>
      </c>
      <c r="E10093" s="29"/>
      <c r="F10093" s="29" t="s">
        <v>4360</v>
      </c>
      <c r="G10093" s="29"/>
      <c r="H10093" s="29" t="s">
        <v>4361</v>
      </c>
      <c r="I10093" s="29"/>
      <c r="J10093" s="29" t="s">
        <v>2660</v>
      </c>
      <c r="K10093" s="29"/>
      <c r="L10093" s="29" t="s">
        <v>1478</v>
      </c>
      <c r="M10093" s="29"/>
      <c r="N10093" s="29" t="s">
        <v>1479</v>
      </c>
      <c r="O10093" s="29"/>
      <c r="P10093" s="29" t="s">
        <v>14308</v>
      </c>
      <c r="Q10093" t="s">
        <v>2193</v>
      </c>
      <c r="R10093" t="s">
        <v>2635</v>
      </c>
      <c r="S10093">
        <v>38</v>
      </c>
      <c r="T10093" s="43" t="str">
        <f t="shared" ref="T10093:T10133" si="433">HYPERLINK("https://ictv.global/ictv/proposals/2022.008P.Caulimoviridae_rename.zip","2022.008P.Caulimoviridae_rename.zip")</f>
        <v>2022.008P.Caulimoviridae_rename.zip</v>
      </c>
      <c r="U10093" s="43" t="str">
        <f>HYPERLINK("https://ictv.global/taxonomy/taxondetails?taxnode_id=202202819","ictv.global=202202819")</f>
        <v>ictv.global=202202819</v>
      </c>
    </row>
    <row r="10094" spans="1:21">
      <c r="A10094">
        <v>10093</v>
      </c>
      <c r="B10094" s="29" t="s">
        <v>3223</v>
      </c>
      <c r="C10094" s="29"/>
      <c r="D10094" s="29" t="s">
        <v>4359</v>
      </c>
      <c r="E10094" s="29"/>
      <c r="F10094" s="29" t="s">
        <v>4360</v>
      </c>
      <c r="G10094" s="29"/>
      <c r="H10094" s="29" t="s">
        <v>4361</v>
      </c>
      <c r="I10094" s="29"/>
      <c r="J10094" s="29" t="s">
        <v>2660</v>
      </c>
      <c r="K10094" s="29"/>
      <c r="L10094" s="29" t="s">
        <v>1478</v>
      </c>
      <c r="M10094" s="29"/>
      <c r="N10094" s="29" t="s">
        <v>1479</v>
      </c>
      <c r="O10094" s="29"/>
      <c r="P10094" s="29" t="s">
        <v>14309</v>
      </c>
      <c r="Q10094" t="s">
        <v>2193</v>
      </c>
      <c r="R10094" t="s">
        <v>2635</v>
      </c>
      <c r="S10094">
        <v>38</v>
      </c>
      <c r="T10094" s="43" t="str">
        <f t="shared" si="433"/>
        <v>2022.008P.Caulimoviridae_rename.zip</v>
      </c>
      <c r="U10094" s="43" t="str">
        <f>HYPERLINK("https://ictv.global/taxonomy/taxondetails?taxnode_id=202202857","ictv.global=202202857")</f>
        <v>ictv.global=202202857</v>
      </c>
    </row>
    <row r="10095" spans="1:21">
      <c r="A10095">
        <v>10094</v>
      </c>
      <c r="B10095" s="29" t="s">
        <v>3223</v>
      </c>
      <c r="C10095" s="29"/>
      <c r="D10095" s="29" t="s">
        <v>4359</v>
      </c>
      <c r="E10095" s="29"/>
      <c r="F10095" s="29" t="s">
        <v>4360</v>
      </c>
      <c r="G10095" s="29"/>
      <c r="H10095" s="29" t="s">
        <v>4361</v>
      </c>
      <c r="I10095" s="29"/>
      <c r="J10095" s="29" t="s">
        <v>2660</v>
      </c>
      <c r="K10095" s="29"/>
      <c r="L10095" s="29" t="s">
        <v>1478</v>
      </c>
      <c r="M10095" s="29"/>
      <c r="N10095" s="29" t="s">
        <v>1479</v>
      </c>
      <c r="O10095" s="29"/>
      <c r="P10095" s="29" t="s">
        <v>14310</v>
      </c>
      <c r="Q10095" t="s">
        <v>2193</v>
      </c>
      <c r="R10095" t="s">
        <v>2635</v>
      </c>
      <c r="S10095">
        <v>38</v>
      </c>
      <c r="T10095" s="43" t="str">
        <f t="shared" si="433"/>
        <v>2022.008P.Caulimoviridae_rename.zip</v>
      </c>
      <c r="U10095" s="43" t="str">
        <f>HYPERLINK("https://ictv.global/taxonomy/taxondetails?taxnode_id=202202836","ictv.global=202202836")</f>
        <v>ictv.global=202202836</v>
      </c>
    </row>
    <row r="10096" spans="1:21">
      <c r="A10096">
        <v>10095</v>
      </c>
      <c r="B10096" s="29" t="s">
        <v>3223</v>
      </c>
      <c r="C10096" s="29"/>
      <c r="D10096" s="29" t="s">
        <v>4359</v>
      </c>
      <c r="E10096" s="29"/>
      <c r="F10096" s="29" t="s">
        <v>4360</v>
      </c>
      <c r="G10096" s="29"/>
      <c r="H10096" s="29" t="s">
        <v>4361</v>
      </c>
      <c r="I10096" s="29"/>
      <c r="J10096" s="29" t="s">
        <v>2660</v>
      </c>
      <c r="K10096" s="29"/>
      <c r="L10096" s="29" t="s">
        <v>1478</v>
      </c>
      <c r="M10096" s="29"/>
      <c r="N10096" s="29" t="s">
        <v>1479</v>
      </c>
      <c r="O10096" s="29"/>
      <c r="P10096" s="29" t="s">
        <v>14311</v>
      </c>
      <c r="Q10096" t="s">
        <v>2193</v>
      </c>
      <c r="R10096" t="s">
        <v>2635</v>
      </c>
      <c r="S10096">
        <v>38</v>
      </c>
      <c r="T10096" s="43" t="str">
        <f t="shared" si="433"/>
        <v>2022.008P.Caulimoviridae_rename.zip</v>
      </c>
      <c r="U10096" s="43" t="str">
        <f>HYPERLINK("https://ictv.global/taxonomy/taxondetails?taxnode_id=202202830","ictv.global=202202830")</f>
        <v>ictv.global=202202830</v>
      </c>
    </row>
    <row r="10097" spans="1:21">
      <c r="A10097">
        <v>10096</v>
      </c>
      <c r="B10097" s="29" t="s">
        <v>3223</v>
      </c>
      <c r="C10097" s="29"/>
      <c r="D10097" s="29" t="s">
        <v>4359</v>
      </c>
      <c r="E10097" s="29"/>
      <c r="F10097" s="29" t="s">
        <v>4360</v>
      </c>
      <c r="G10097" s="29"/>
      <c r="H10097" s="29" t="s">
        <v>4361</v>
      </c>
      <c r="I10097" s="29"/>
      <c r="J10097" s="29" t="s">
        <v>2660</v>
      </c>
      <c r="K10097" s="29"/>
      <c r="L10097" s="29" t="s">
        <v>1478</v>
      </c>
      <c r="M10097" s="29"/>
      <c r="N10097" s="29" t="s">
        <v>1479</v>
      </c>
      <c r="O10097" s="29"/>
      <c r="P10097" s="29" t="s">
        <v>14312</v>
      </c>
      <c r="Q10097" t="s">
        <v>2193</v>
      </c>
      <c r="R10097" t="s">
        <v>2635</v>
      </c>
      <c r="S10097">
        <v>38</v>
      </c>
      <c r="T10097" s="43" t="str">
        <f t="shared" si="433"/>
        <v>2022.008P.Caulimoviridae_rename.zip</v>
      </c>
      <c r="U10097" s="43" t="str">
        <f>HYPERLINK("https://ictv.global/taxonomy/taxondetails?taxnode_id=202206648","ictv.global=202206648")</f>
        <v>ictv.global=202206648</v>
      </c>
    </row>
    <row r="10098" spans="1:21">
      <c r="A10098">
        <v>10097</v>
      </c>
      <c r="B10098" s="29" t="s">
        <v>3223</v>
      </c>
      <c r="C10098" s="29"/>
      <c r="D10098" s="29" t="s">
        <v>4359</v>
      </c>
      <c r="E10098" s="29"/>
      <c r="F10098" s="29" t="s">
        <v>4360</v>
      </c>
      <c r="G10098" s="29"/>
      <c r="H10098" s="29" t="s">
        <v>4361</v>
      </c>
      <c r="I10098" s="29"/>
      <c r="J10098" s="29" t="s">
        <v>2660</v>
      </c>
      <c r="K10098" s="29"/>
      <c r="L10098" s="29" t="s">
        <v>1478</v>
      </c>
      <c r="M10098" s="29"/>
      <c r="N10098" s="29" t="s">
        <v>1479</v>
      </c>
      <c r="O10098" s="29"/>
      <c r="P10098" s="29" t="s">
        <v>14313</v>
      </c>
      <c r="Q10098" t="s">
        <v>2193</v>
      </c>
      <c r="R10098" t="s">
        <v>2635</v>
      </c>
      <c r="S10098">
        <v>38</v>
      </c>
      <c r="T10098" s="43" t="str">
        <f t="shared" si="433"/>
        <v>2022.008P.Caulimoviridae_rename.zip</v>
      </c>
      <c r="U10098" s="43" t="str">
        <f>HYPERLINK("https://ictv.global/taxonomy/taxondetails?taxnode_id=202202845","ictv.global=202202845")</f>
        <v>ictv.global=202202845</v>
      </c>
    </row>
    <row r="10099" spans="1:21">
      <c r="A10099">
        <v>10098</v>
      </c>
      <c r="B10099" s="29" t="s">
        <v>3223</v>
      </c>
      <c r="C10099" s="29"/>
      <c r="D10099" s="29" t="s">
        <v>4359</v>
      </c>
      <c r="E10099" s="29"/>
      <c r="F10099" s="29" t="s">
        <v>4360</v>
      </c>
      <c r="G10099" s="29"/>
      <c r="H10099" s="29" t="s">
        <v>4361</v>
      </c>
      <c r="I10099" s="29"/>
      <c r="J10099" s="29" t="s">
        <v>2660</v>
      </c>
      <c r="K10099" s="29"/>
      <c r="L10099" s="29" t="s">
        <v>1478</v>
      </c>
      <c r="M10099" s="29"/>
      <c r="N10099" s="29" t="s">
        <v>1479</v>
      </c>
      <c r="O10099" s="29"/>
      <c r="P10099" s="29" t="s">
        <v>14314</v>
      </c>
      <c r="Q10099" t="s">
        <v>2193</v>
      </c>
      <c r="R10099" t="s">
        <v>2635</v>
      </c>
      <c r="S10099">
        <v>38</v>
      </c>
      <c r="T10099" s="43" t="str">
        <f t="shared" si="433"/>
        <v>2022.008P.Caulimoviridae_rename.zip</v>
      </c>
      <c r="U10099" s="43" t="str">
        <f>HYPERLINK("https://ictv.global/taxonomy/taxondetails?taxnode_id=202202851","ictv.global=202202851")</f>
        <v>ictv.global=202202851</v>
      </c>
    </row>
    <row r="10100" spans="1:21">
      <c r="A10100">
        <v>10099</v>
      </c>
      <c r="B10100" s="29" t="s">
        <v>3223</v>
      </c>
      <c r="C10100" s="29"/>
      <c r="D10100" s="29" t="s">
        <v>4359</v>
      </c>
      <c r="E10100" s="29"/>
      <c r="F10100" s="29" t="s">
        <v>4360</v>
      </c>
      <c r="G10100" s="29"/>
      <c r="H10100" s="29" t="s">
        <v>4361</v>
      </c>
      <c r="I10100" s="29"/>
      <c r="J10100" s="29" t="s">
        <v>2660</v>
      </c>
      <c r="K10100" s="29"/>
      <c r="L10100" s="29" t="s">
        <v>1478</v>
      </c>
      <c r="M10100" s="29"/>
      <c r="N10100" s="29" t="s">
        <v>1479</v>
      </c>
      <c r="O10100" s="29"/>
      <c r="P10100" s="29" t="s">
        <v>14315</v>
      </c>
      <c r="Q10100" t="s">
        <v>2193</v>
      </c>
      <c r="R10100" t="s">
        <v>2635</v>
      </c>
      <c r="S10100">
        <v>38</v>
      </c>
      <c r="T10100" s="43" t="str">
        <f t="shared" si="433"/>
        <v>2022.008P.Caulimoviridae_rename.zip</v>
      </c>
      <c r="U10100" s="43" t="str">
        <f>HYPERLINK("https://ictv.global/taxonomy/taxondetails?taxnode_id=202202820","ictv.global=202202820")</f>
        <v>ictv.global=202202820</v>
      </c>
    </row>
    <row r="10101" spans="1:21">
      <c r="A10101">
        <v>10100</v>
      </c>
      <c r="B10101" s="29" t="s">
        <v>3223</v>
      </c>
      <c r="C10101" s="29"/>
      <c r="D10101" s="29" t="s">
        <v>4359</v>
      </c>
      <c r="E10101" s="29"/>
      <c r="F10101" s="29" t="s">
        <v>4360</v>
      </c>
      <c r="G10101" s="29"/>
      <c r="H10101" s="29" t="s">
        <v>4361</v>
      </c>
      <c r="I10101" s="29"/>
      <c r="J10101" s="29" t="s">
        <v>2660</v>
      </c>
      <c r="K10101" s="29"/>
      <c r="L10101" s="29" t="s">
        <v>1478</v>
      </c>
      <c r="M10101" s="29"/>
      <c r="N10101" s="29" t="s">
        <v>1479</v>
      </c>
      <c r="O10101" s="29"/>
      <c r="P10101" s="29" t="s">
        <v>14316</v>
      </c>
      <c r="Q10101" t="s">
        <v>2193</v>
      </c>
      <c r="R10101" t="s">
        <v>2635</v>
      </c>
      <c r="S10101">
        <v>38</v>
      </c>
      <c r="T10101" s="43" t="str">
        <f t="shared" si="433"/>
        <v>2022.008P.Caulimoviridae_rename.zip</v>
      </c>
      <c r="U10101" s="43" t="str">
        <f>HYPERLINK("https://ictv.global/taxonomy/taxondetails?taxnode_id=202202856","ictv.global=202202856")</f>
        <v>ictv.global=202202856</v>
      </c>
    </row>
    <row r="10102" spans="1:21">
      <c r="A10102">
        <v>10101</v>
      </c>
      <c r="B10102" s="29" t="s">
        <v>3223</v>
      </c>
      <c r="C10102" s="29"/>
      <c r="D10102" s="29" t="s">
        <v>4359</v>
      </c>
      <c r="E10102" s="29"/>
      <c r="F10102" s="29" t="s">
        <v>4360</v>
      </c>
      <c r="G10102" s="29"/>
      <c r="H10102" s="29" t="s">
        <v>4361</v>
      </c>
      <c r="I10102" s="29"/>
      <c r="J10102" s="29" t="s">
        <v>2660</v>
      </c>
      <c r="K10102" s="29"/>
      <c r="L10102" s="29" t="s">
        <v>1478</v>
      </c>
      <c r="M10102" s="29"/>
      <c r="N10102" s="29" t="s">
        <v>1479</v>
      </c>
      <c r="O10102" s="29"/>
      <c r="P10102" s="29" t="s">
        <v>14317</v>
      </c>
      <c r="Q10102" t="s">
        <v>2193</v>
      </c>
      <c r="R10102" t="s">
        <v>2635</v>
      </c>
      <c r="S10102">
        <v>38</v>
      </c>
      <c r="T10102" s="43" t="str">
        <f t="shared" si="433"/>
        <v>2022.008P.Caulimoviridae_rename.zip</v>
      </c>
      <c r="U10102" s="43" t="str">
        <f>HYPERLINK("https://ictv.global/taxonomy/taxondetails?taxnode_id=202206650","ictv.global=202206650")</f>
        <v>ictv.global=202206650</v>
      </c>
    </row>
    <row r="10103" spans="1:21">
      <c r="A10103">
        <v>10102</v>
      </c>
      <c r="B10103" s="29" t="s">
        <v>3223</v>
      </c>
      <c r="C10103" s="29"/>
      <c r="D10103" s="29" t="s">
        <v>4359</v>
      </c>
      <c r="E10103" s="29"/>
      <c r="F10103" s="29" t="s">
        <v>4360</v>
      </c>
      <c r="G10103" s="29"/>
      <c r="H10103" s="29" t="s">
        <v>4361</v>
      </c>
      <c r="I10103" s="29"/>
      <c r="J10103" s="29" t="s">
        <v>2660</v>
      </c>
      <c r="K10103" s="29"/>
      <c r="L10103" s="29" t="s">
        <v>1478</v>
      </c>
      <c r="M10103" s="29"/>
      <c r="N10103" s="29" t="s">
        <v>1479</v>
      </c>
      <c r="O10103" s="29"/>
      <c r="P10103" s="29" t="s">
        <v>14318</v>
      </c>
      <c r="Q10103" t="s">
        <v>2193</v>
      </c>
      <c r="R10103" t="s">
        <v>2635</v>
      </c>
      <c r="S10103">
        <v>38</v>
      </c>
      <c r="T10103" s="43" t="str">
        <f t="shared" si="433"/>
        <v>2022.008P.Caulimoviridae_rename.zip</v>
      </c>
      <c r="U10103" s="43" t="str">
        <f>HYPERLINK("https://ictv.global/taxonomy/taxondetails?taxnode_id=202206643","ictv.global=202206643")</f>
        <v>ictv.global=202206643</v>
      </c>
    </row>
    <row r="10104" spans="1:21">
      <c r="A10104">
        <v>10103</v>
      </c>
      <c r="B10104" s="29" t="s">
        <v>3223</v>
      </c>
      <c r="C10104" s="29"/>
      <c r="D10104" s="29" t="s">
        <v>4359</v>
      </c>
      <c r="E10104" s="29"/>
      <c r="F10104" s="29" t="s">
        <v>4360</v>
      </c>
      <c r="G10104" s="29"/>
      <c r="H10104" s="29" t="s">
        <v>4361</v>
      </c>
      <c r="I10104" s="29"/>
      <c r="J10104" s="29" t="s">
        <v>2660</v>
      </c>
      <c r="K10104" s="29"/>
      <c r="L10104" s="29" t="s">
        <v>1478</v>
      </c>
      <c r="M10104" s="29"/>
      <c r="N10104" s="29" t="s">
        <v>1479</v>
      </c>
      <c r="O10104" s="29"/>
      <c r="P10104" s="29" t="s">
        <v>14319</v>
      </c>
      <c r="Q10104" t="s">
        <v>2193</v>
      </c>
      <c r="R10104" t="s">
        <v>2635</v>
      </c>
      <c r="S10104">
        <v>38</v>
      </c>
      <c r="T10104" s="43" t="str">
        <f t="shared" si="433"/>
        <v>2022.008P.Caulimoviridae_rename.zip</v>
      </c>
      <c r="U10104" s="43" t="str">
        <f>HYPERLINK("https://ictv.global/taxonomy/taxondetails?taxnode_id=202202833","ictv.global=202202833")</f>
        <v>ictv.global=202202833</v>
      </c>
    </row>
    <row r="10105" spans="1:21">
      <c r="A10105">
        <v>10104</v>
      </c>
      <c r="B10105" s="29" t="s">
        <v>3223</v>
      </c>
      <c r="C10105" s="29"/>
      <c r="D10105" s="29" t="s">
        <v>4359</v>
      </c>
      <c r="E10105" s="29"/>
      <c r="F10105" s="29" t="s">
        <v>4360</v>
      </c>
      <c r="G10105" s="29"/>
      <c r="H10105" s="29" t="s">
        <v>4361</v>
      </c>
      <c r="I10105" s="29"/>
      <c r="J10105" s="29" t="s">
        <v>2660</v>
      </c>
      <c r="K10105" s="29"/>
      <c r="L10105" s="29" t="s">
        <v>1478</v>
      </c>
      <c r="M10105" s="29"/>
      <c r="N10105" s="29" t="s">
        <v>1479</v>
      </c>
      <c r="O10105" s="29"/>
      <c r="P10105" s="29" t="s">
        <v>14320</v>
      </c>
      <c r="Q10105" t="s">
        <v>2193</v>
      </c>
      <c r="R10105" t="s">
        <v>2635</v>
      </c>
      <c r="S10105">
        <v>38</v>
      </c>
      <c r="T10105" s="43" t="str">
        <f t="shared" si="433"/>
        <v>2022.008P.Caulimoviridae_rename.zip</v>
      </c>
      <c r="U10105" s="43" t="str">
        <f>HYPERLINK("https://ictv.global/taxonomy/taxondetails?taxnode_id=202202846","ictv.global=202202846")</f>
        <v>ictv.global=202202846</v>
      </c>
    </row>
    <row r="10106" spans="1:21">
      <c r="A10106">
        <v>10105</v>
      </c>
      <c r="B10106" s="29" t="s">
        <v>3223</v>
      </c>
      <c r="C10106" s="29"/>
      <c r="D10106" s="29" t="s">
        <v>4359</v>
      </c>
      <c r="E10106" s="29"/>
      <c r="F10106" s="29" t="s">
        <v>4360</v>
      </c>
      <c r="G10106" s="29"/>
      <c r="H10106" s="29" t="s">
        <v>4361</v>
      </c>
      <c r="I10106" s="29"/>
      <c r="J10106" s="29" t="s">
        <v>2660</v>
      </c>
      <c r="K10106" s="29"/>
      <c r="L10106" s="29" t="s">
        <v>1478</v>
      </c>
      <c r="M10106" s="29"/>
      <c r="N10106" s="29" t="s">
        <v>1479</v>
      </c>
      <c r="O10106" s="29"/>
      <c r="P10106" s="29" t="s">
        <v>14321</v>
      </c>
      <c r="Q10106" t="s">
        <v>2193</v>
      </c>
      <c r="R10106" t="s">
        <v>2635</v>
      </c>
      <c r="S10106">
        <v>38</v>
      </c>
      <c r="T10106" s="43" t="str">
        <f t="shared" si="433"/>
        <v>2022.008P.Caulimoviridae_rename.zip</v>
      </c>
      <c r="U10106" s="43" t="str">
        <f>HYPERLINK("https://ictv.global/taxonomy/taxondetails?taxnode_id=202202852","ictv.global=202202852")</f>
        <v>ictv.global=202202852</v>
      </c>
    </row>
    <row r="10107" spans="1:21">
      <c r="A10107">
        <v>10106</v>
      </c>
      <c r="B10107" s="29" t="s">
        <v>3223</v>
      </c>
      <c r="C10107" s="29"/>
      <c r="D10107" s="29" t="s">
        <v>4359</v>
      </c>
      <c r="E10107" s="29"/>
      <c r="F10107" s="29" t="s">
        <v>4360</v>
      </c>
      <c r="G10107" s="29"/>
      <c r="H10107" s="29" t="s">
        <v>4361</v>
      </c>
      <c r="I10107" s="29"/>
      <c r="J10107" s="29" t="s">
        <v>2660</v>
      </c>
      <c r="K10107" s="29"/>
      <c r="L10107" s="29" t="s">
        <v>1478</v>
      </c>
      <c r="M10107" s="29"/>
      <c r="N10107" s="29" t="s">
        <v>1479</v>
      </c>
      <c r="O10107" s="29"/>
      <c r="P10107" s="29" t="s">
        <v>14322</v>
      </c>
      <c r="Q10107" t="s">
        <v>2193</v>
      </c>
      <c r="R10107" t="s">
        <v>2635</v>
      </c>
      <c r="S10107">
        <v>38</v>
      </c>
      <c r="T10107" s="43" t="str">
        <f t="shared" si="433"/>
        <v>2022.008P.Caulimoviridae_rename.zip</v>
      </c>
      <c r="U10107" s="43" t="str">
        <f>HYPERLINK("https://ictv.global/taxonomy/taxondetails?taxnode_id=202202821","ictv.global=202202821")</f>
        <v>ictv.global=202202821</v>
      </c>
    </row>
    <row r="10108" spans="1:21">
      <c r="A10108">
        <v>10107</v>
      </c>
      <c r="B10108" s="29" t="s">
        <v>3223</v>
      </c>
      <c r="C10108" s="29"/>
      <c r="D10108" s="29" t="s">
        <v>4359</v>
      </c>
      <c r="E10108" s="29"/>
      <c r="F10108" s="29" t="s">
        <v>4360</v>
      </c>
      <c r="G10108" s="29"/>
      <c r="H10108" s="29" t="s">
        <v>4361</v>
      </c>
      <c r="I10108" s="29"/>
      <c r="J10108" s="29" t="s">
        <v>2660</v>
      </c>
      <c r="K10108" s="29"/>
      <c r="L10108" s="29" t="s">
        <v>1478</v>
      </c>
      <c r="M10108" s="29"/>
      <c r="N10108" s="29" t="s">
        <v>1479</v>
      </c>
      <c r="O10108" s="29"/>
      <c r="P10108" s="29" t="s">
        <v>14323</v>
      </c>
      <c r="Q10108" t="s">
        <v>2193</v>
      </c>
      <c r="R10108" t="s">
        <v>2635</v>
      </c>
      <c r="S10108">
        <v>38</v>
      </c>
      <c r="T10108" s="43" t="str">
        <f t="shared" si="433"/>
        <v>2022.008P.Caulimoviridae_rename.zip</v>
      </c>
      <c r="U10108" s="43" t="str">
        <f>HYPERLINK("https://ictv.global/taxonomy/taxondetails?taxnode_id=202202840","ictv.global=202202840")</f>
        <v>ictv.global=202202840</v>
      </c>
    </row>
    <row r="10109" spans="1:21">
      <c r="A10109">
        <v>10108</v>
      </c>
      <c r="B10109" s="29" t="s">
        <v>3223</v>
      </c>
      <c r="C10109" s="29"/>
      <c r="D10109" s="29" t="s">
        <v>4359</v>
      </c>
      <c r="E10109" s="29"/>
      <c r="F10109" s="29" t="s">
        <v>4360</v>
      </c>
      <c r="G10109" s="29"/>
      <c r="H10109" s="29" t="s">
        <v>4361</v>
      </c>
      <c r="I10109" s="29"/>
      <c r="J10109" s="29" t="s">
        <v>2660</v>
      </c>
      <c r="K10109" s="29"/>
      <c r="L10109" s="29" t="s">
        <v>1478</v>
      </c>
      <c r="M10109" s="29"/>
      <c r="N10109" s="29" t="s">
        <v>1479</v>
      </c>
      <c r="O10109" s="29"/>
      <c r="P10109" s="29" t="s">
        <v>14324</v>
      </c>
      <c r="Q10109" t="s">
        <v>2193</v>
      </c>
      <c r="R10109" t="s">
        <v>2635</v>
      </c>
      <c r="S10109">
        <v>38</v>
      </c>
      <c r="T10109" s="43" t="str">
        <f t="shared" si="433"/>
        <v>2022.008P.Caulimoviridae_rename.zip</v>
      </c>
      <c r="U10109" s="43" t="str">
        <f>HYPERLINK("https://ictv.global/taxonomy/taxondetails?taxnode_id=202205763","ictv.global=202205763")</f>
        <v>ictv.global=202205763</v>
      </c>
    </row>
    <row r="10110" spans="1:21">
      <c r="A10110">
        <v>10109</v>
      </c>
      <c r="B10110" s="29" t="s">
        <v>3223</v>
      </c>
      <c r="C10110" s="29"/>
      <c r="D10110" s="29" t="s">
        <v>4359</v>
      </c>
      <c r="E10110" s="29"/>
      <c r="F10110" s="29" t="s">
        <v>4360</v>
      </c>
      <c r="G10110" s="29"/>
      <c r="H10110" s="29" t="s">
        <v>4361</v>
      </c>
      <c r="I10110" s="29"/>
      <c r="J10110" s="29" t="s">
        <v>2660</v>
      </c>
      <c r="K10110" s="29"/>
      <c r="L10110" s="29" t="s">
        <v>1478</v>
      </c>
      <c r="M10110" s="29"/>
      <c r="N10110" s="29" t="s">
        <v>1479</v>
      </c>
      <c r="O10110" s="29"/>
      <c r="P10110" s="29" t="s">
        <v>14325</v>
      </c>
      <c r="Q10110" t="s">
        <v>2193</v>
      </c>
      <c r="R10110" t="s">
        <v>2635</v>
      </c>
      <c r="S10110">
        <v>38</v>
      </c>
      <c r="T10110" s="43" t="str">
        <f t="shared" si="433"/>
        <v>2022.008P.Caulimoviridae_rename.zip</v>
      </c>
      <c r="U10110" s="43" t="str">
        <f>HYPERLINK("https://ictv.global/taxonomy/taxondetails?taxnode_id=202206645","ictv.global=202206645")</f>
        <v>ictv.global=202206645</v>
      </c>
    </row>
    <row r="10111" spans="1:21">
      <c r="A10111">
        <v>10110</v>
      </c>
      <c r="B10111" s="29" t="s">
        <v>3223</v>
      </c>
      <c r="C10111" s="29"/>
      <c r="D10111" s="29" t="s">
        <v>4359</v>
      </c>
      <c r="E10111" s="29"/>
      <c r="F10111" s="29" t="s">
        <v>4360</v>
      </c>
      <c r="G10111" s="29"/>
      <c r="H10111" s="29" t="s">
        <v>4361</v>
      </c>
      <c r="I10111" s="29"/>
      <c r="J10111" s="29" t="s">
        <v>2660</v>
      </c>
      <c r="K10111" s="29"/>
      <c r="L10111" s="29" t="s">
        <v>1478</v>
      </c>
      <c r="M10111" s="29"/>
      <c r="N10111" s="29" t="s">
        <v>1479</v>
      </c>
      <c r="O10111" s="29"/>
      <c r="P10111" s="29" t="s">
        <v>14326</v>
      </c>
      <c r="Q10111" t="s">
        <v>2193</v>
      </c>
      <c r="R10111" t="s">
        <v>2635</v>
      </c>
      <c r="S10111">
        <v>38</v>
      </c>
      <c r="T10111" s="43" t="str">
        <f t="shared" si="433"/>
        <v>2022.008P.Caulimoviridae_rename.zip</v>
      </c>
      <c r="U10111" s="43" t="str">
        <f>HYPERLINK("https://ictv.global/taxonomy/taxondetails?taxnode_id=202202854","ictv.global=202202854")</f>
        <v>ictv.global=202202854</v>
      </c>
    </row>
    <row r="10112" spans="1:21">
      <c r="A10112">
        <v>10111</v>
      </c>
      <c r="B10112" s="29" t="s">
        <v>3223</v>
      </c>
      <c r="C10112" s="29"/>
      <c r="D10112" s="29" t="s">
        <v>4359</v>
      </c>
      <c r="E10112" s="29"/>
      <c r="F10112" s="29" t="s">
        <v>4360</v>
      </c>
      <c r="G10112" s="29"/>
      <c r="H10112" s="29" t="s">
        <v>4361</v>
      </c>
      <c r="I10112" s="29"/>
      <c r="J10112" s="29" t="s">
        <v>2660</v>
      </c>
      <c r="K10112" s="29"/>
      <c r="L10112" s="29" t="s">
        <v>1478</v>
      </c>
      <c r="M10112" s="29"/>
      <c r="N10112" s="29" t="s">
        <v>1479</v>
      </c>
      <c r="O10112" s="29"/>
      <c r="P10112" s="29" t="s">
        <v>14327</v>
      </c>
      <c r="Q10112" t="s">
        <v>2193</v>
      </c>
      <c r="R10112" t="s">
        <v>2635</v>
      </c>
      <c r="S10112">
        <v>38</v>
      </c>
      <c r="T10112" s="43" t="str">
        <f t="shared" si="433"/>
        <v>2022.008P.Caulimoviridae_rename.zip</v>
      </c>
      <c r="U10112" s="43" t="str">
        <f>HYPERLINK("https://ictv.global/taxonomy/taxondetails?taxnode_id=202202823","ictv.global=202202823")</f>
        <v>ictv.global=202202823</v>
      </c>
    </row>
    <row r="10113" spans="1:21">
      <c r="A10113">
        <v>10112</v>
      </c>
      <c r="B10113" s="29" t="s">
        <v>3223</v>
      </c>
      <c r="C10113" s="29"/>
      <c r="D10113" s="29" t="s">
        <v>4359</v>
      </c>
      <c r="E10113" s="29"/>
      <c r="F10113" s="29" t="s">
        <v>4360</v>
      </c>
      <c r="G10113" s="29"/>
      <c r="H10113" s="29" t="s">
        <v>4361</v>
      </c>
      <c r="I10113" s="29"/>
      <c r="J10113" s="29" t="s">
        <v>2660</v>
      </c>
      <c r="K10113" s="29"/>
      <c r="L10113" s="29" t="s">
        <v>1478</v>
      </c>
      <c r="M10113" s="29"/>
      <c r="N10113" s="29" t="s">
        <v>1479</v>
      </c>
      <c r="O10113" s="29"/>
      <c r="P10113" s="29" t="s">
        <v>14328</v>
      </c>
      <c r="Q10113" t="s">
        <v>2193</v>
      </c>
      <c r="R10113" t="s">
        <v>2635</v>
      </c>
      <c r="S10113">
        <v>38</v>
      </c>
      <c r="T10113" s="43" t="str">
        <f t="shared" si="433"/>
        <v>2022.008P.Caulimoviridae_rename.zip</v>
      </c>
      <c r="U10113" s="43" t="str">
        <f>HYPERLINK("https://ictv.global/taxonomy/taxondetails?taxnode_id=202205764","ictv.global=202205764")</f>
        <v>ictv.global=202205764</v>
      </c>
    </row>
    <row r="10114" spans="1:21">
      <c r="A10114">
        <v>10113</v>
      </c>
      <c r="B10114" s="29" t="s">
        <v>3223</v>
      </c>
      <c r="C10114" s="29"/>
      <c r="D10114" s="29" t="s">
        <v>4359</v>
      </c>
      <c r="E10114" s="29"/>
      <c r="F10114" s="29" t="s">
        <v>4360</v>
      </c>
      <c r="G10114" s="29"/>
      <c r="H10114" s="29" t="s">
        <v>4361</v>
      </c>
      <c r="I10114" s="29"/>
      <c r="J10114" s="29" t="s">
        <v>2660</v>
      </c>
      <c r="K10114" s="29"/>
      <c r="L10114" s="29" t="s">
        <v>1478</v>
      </c>
      <c r="M10114" s="29"/>
      <c r="N10114" s="29" t="s">
        <v>1479</v>
      </c>
      <c r="O10114" s="29"/>
      <c r="P10114" s="29" t="s">
        <v>14329</v>
      </c>
      <c r="Q10114" t="s">
        <v>2193</v>
      </c>
      <c r="R10114" t="s">
        <v>2635</v>
      </c>
      <c r="S10114">
        <v>38</v>
      </c>
      <c r="T10114" s="43" t="str">
        <f t="shared" si="433"/>
        <v>2022.008P.Caulimoviridae_rename.zip</v>
      </c>
      <c r="U10114" s="43" t="str">
        <f>HYPERLINK("https://ictv.global/taxonomy/taxondetails?taxnode_id=202206646","ictv.global=202206646")</f>
        <v>ictv.global=202206646</v>
      </c>
    </row>
    <row r="10115" spans="1:21">
      <c r="A10115">
        <v>10114</v>
      </c>
      <c r="B10115" s="29" t="s">
        <v>3223</v>
      </c>
      <c r="C10115" s="29"/>
      <c r="D10115" s="29" t="s">
        <v>4359</v>
      </c>
      <c r="E10115" s="29"/>
      <c r="F10115" s="29" t="s">
        <v>4360</v>
      </c>
      <c r="G10115" s="29"/>
      <c r="H10115" s="29" t="s">
        <v>4361</v>
      </c>
      <c r="I10115" s="29"/>
      <c r="J10115" s="29" t="s">
        <v>2660</v>
      </c>
      <c r="K10115" s="29"/>
      <c r="L10115" s="29" t="s">
        <v>1478</v>
      </c>
      <c r="M10115" s="29"/>
      <c r="N10115" s="29" t="s">
        <v>1479</v>
      </c>
      <c r="O10115" s="29"/>
      <c r="P10115" s="29" t="s">
        <v>14330</v>
      </c>
      <c r="Q10115" t="s">
        <v>2193</v>
      </c>
      <c r="R10115" t="s">
        <v>2635</v>
      </c>
      <c r="S10115">
        <v>38</v>
      </c>
      <c r="T10115" s="43" t="str">
        <f t="shared" si="433"/>
        <v>2022.008P.Caulimoviridae_rename.zip</v>
      </c>
      <c r="U10115" s="43" t="str">
        <f>HYPERLINK("https://ictv.global/taxonomy/taxondetails?taxnode_id=202202824","ictv.global=202202824")</f>
        <v>ictv.global=202202824</v>
      </c>
    </row>
    <row r="10116" spans="1:21">
      <c r="A10116">
        <v>10115</v>
      </c>
      <c r="B10116" s="29" t="s">
        <v>3223</v>
      </c>
      <c r="C10116" s="29"/>
      <c r="D10116" s="29" t="s">
        <v>4359</v>
      </c>
      <c r="E10116" s="29"/>
      <c r="F10116" s="29" t="s">
        <v>4360</v>
      </c>
      <c r="G10116" s="29"/>
      <c r="H10116" s="29" t="s">
        <v>4361</v>
      </c>
      <c r="I10116" s="29"/>
      <c r="J10116" s="29" t="s">
        <v>2660</v>
      </c>
      <c r="K10116" s="29"/>
      <c r="L10116" s="29" t="s">
        <v>1478</v>
      </c>
      <c r="M10116" s="29"/>
      <c r="N10116" s="29" t="s">
        <v>1479</v>
      </c>
      <c r="O10116" s="29"/>
      <c r="P10116" s="29" t="s">
        <v>14331</v>
      </c>
      <c r="Q10116" t="s">
        <v>2193</v>
      </c>
      <c r="R10116" t="s">
        <v>2635</v>
      </c>
      <c r="S10116">
        <v>38</v>
      </c>
      <c r="T10116" s="43" t="str">
        <f t="shared" si="433"/>
        <v>2022.008P.Caulimoviridae_rename.zip</v>
      </c>
      <c r="U10116" s="43" t="str">
        <f>HYPERLINK("https://ictv.global/taxonomy/taxondetails?taxnode_id=202202837","ictv.global=202202837")</f>
        <v>ictv.global=202202837</v>
      </c>
    </row>
    <row r="10117" spans="1:21">
      <c r="A10117">
        <v>10116</v>
      </c>
      <c r="B10117" s="29" t="s">
        <v>3223</v>
      </c>
      <c r="C10117" s="29"/>
      <c r="D10117" s="29" t="s">
        <v>4359</v>
      </c>
      <c r="E10117" s="29"/>
      <c r="F10117" s="29" t="s">
        <v>4360</v>
      </c>
      <c r="G10117" s="29"/>
      <c r="H10117" s="29" t="s">
        <v>4361</v>
      </c>
      <c r="I10117" s="29"/>
      <c r="J10117" s="29" t="s">
        <v>2660</v>
      </c>
      <c r="K10117" s="29"/>
      <c r="L10117" s="29" t="s">
        <v>1478</v>
      </c>
      <c r="M10117" s="29"/>
      <c r="N10117" s="29" t="s">
        <v>1479</v>
      </c>
      <c r="O10117" s="29"/>
      <c r="P10117" s="29" t="s">
        <v>14332</v>
      </c>
      <c r="Q10117" t="s">
        <v>2193</v>
      </c>
      <c r="R10117" t="s">
        <v>2635</v>
      </c>
      <c r="S10117">
        <v>38</v>
      </c>
      <c r="T10117" s="43" t="str">
        <f t="shared" si="433"/>
        <v>2022.008P.Caulimoviridae_rename.zip</v>
      </c>
      <c r="U10117" s="43" t="str">
        <f>HYPERLINK("https://ictv.global/taxonomy/taxondetails?taxnode_id=202202832","ictv.global=202202832")</f>
        <v>ictv.global=202202832</v>
      </c>
    </row>
    <row r="10118" spans="1:21">
      <c r="A10118">
        <v>10117</v>
      </c>
      <c r="B10118" s="29" t="s">
        <v>3223</v>
      </c>
      <c r="C10118" s="29"/>
      <c r="D10118" s="29" t="s">
        <v>4359</v>
      </c>
      <c r="E10118" s="29"/>
      <c r="F10118" s="29" t="s">
        <v>4360</v>
      </c>
      <c r="G10118" s="29"/>
      <c r="H10118" s="29" t="s">
        <v>4361</v>
      </c>
      <c r="I10118" s="29"/>
      <c r="J10118" s="29" t="s">
        <v>2660</v>
      </c>
      <c r="K10118" s="29"/>
      <c r="L10118" s="29" t="s">
        <v>1478</v>
      </c>
      <c r="M10118" s="29"/>
      <c r="N10118" s="29" t="s">
        <v>1479</v>
      </c>
      <c r="O10118" s="29"/>
      <c r="P10118" s="29" t="s">
        <v>14333</v>
      </c>
      <c r="Q10118" t="s">
        <v>2193</v>
      </c>
      <c r="R10118" t="s">
        <v>2635</v>
      </c>
      <c r="S10118">
        <v>38</v>
      </c>
      <c r="T10118" s="43" t="str">
        <f t="shared" si="433"/>
        <v>2022.008P.Caulimoviridae_rename.zip</v>
      </c>
      <c r="U10118" s="43" t="str">
        <f>HYPERLINK("https://ictv.global/taxonomy/taxondetails?taxnode_id=202202826","ictv.global=202202826")</f>
        <v>ictv.global=202202826</v>
      </c>
    </row>
    <row r="10119" spans="1:21">
      <c r="A10119">
        <v>10118</v>
      </c>
      <c r="B10119" s="29" t="s">
        <v>3223</v>
      </c>
      <c r="C10119" s="29"/>
      <c r="D10119" s="29" t="s">
        <v>4359</v>
      </c>
      <c r="E10119" s="29"/>
      <c r="F10119" s="29" t="s">
        <v>4360</v>
      </c>
      <c r="G10119" s="29"/>
      <c r="H10119" s="29" t="s">
        <v>4361</v>
      </c>
      <c r="I10119" s="29"/>
      <c r="J10119" s="29" t="s">
        <v>2660</v>
      </c>
      <c r="K10119" s="29"/>
      <c r="L10119" s="29" t="s">
        <v>1478</v>
      </c>
      <c r="M10119" s="29"/>
      <c r="N10119" s="29" t="s">
        <v>1479</v>
      </c>
      <c r="O10119" s="29"/>
      <c r="P10119" s="29" t="s">
        <v>14334</v>
      </c>
      <c r="Q10119" t="s">
        <v>2193</v>
      </c>
      <c r="R10119" t="s">
        <v>2635</v>
      </c>
      <c r="S10119">
        <v>38</v>
      </c>
      <c r="T10119" s="43" t="str">
        <f t="shared" si="433"/>
        <v>2022.008P.Caulimoviridae_rename.zip</v>
      </c>
      <c r="U10119" s="43" t="str">
        <f>HYPERLINK("https://ictv.global/taxonomy/taxondetails?taxnode_id=202202838","ictv.global=202202838")</f>
        <v>ictv.global=202202838</v>
      </c>
    </row>
    <row r="10120" spans="1:21">
      <c r="A10120">
        <v>10119</v>
      </c>
      <c r="B10120" s="29" t="s">
        <v>3223</v>
      </c>
      <c r="C10120" s="29"/>
      <c r="D10120" s="29" t="s">
        <v>4359</v>
      </c>
      <c r="E10120" s="29"/>
      <c r="F10120" s="29" t="s">
        <v>4360</v>
      </c>
      <c r="G10120" s="29"/>
      <c r="H10120" s="29" t="s">
        <v>4361</v>
      </c>
      <c r="I10120" s="29"/>
      <c r="J10120" s="29" t="s">
        <v>2660</v>
      </c>
      <c r="K10120" s="29"/>
      <c r="L10120" s="29" t="s">
        <v>1478</v>
      </c>
      <c r="M10120" s="29"/>
      <c r="N10120" s="29" t="s">
        <v>1479</v>
      </c>
      <c r="O10120" s="29"/>
      <c r="P10120" s="29" t="s">
        <v>14335</v>
      </c>
      <c r="Q10120" t="s">
        <v>2193</v>
      </c>
      <c r="R10120" t="s">
        <v>2635</v>
      </c>
      <c r="S10120">
        <v>38</v>
      </c>
      <c r="T10120" s="43" t="str">
        <f t="shared" si="433"/>
        <v>2022.008P.Caulimoviridae_rename.zip</v>
      </c>
      <c r="U10120" s="43" t="str">
        <f>HYPERLINK("https://ictv.global/taxonomy/taxondetails?taxnode_id=202206649","ictv.global=202206649")</f>
        <v>ictv.global=202206649</v>
      </c>
    </row>
    <row r="10121" spans="1:21">
      <c r="A10121">
        <v>10120</v>
      </c>
      <c r="B10121" s="29" t="s">
        <v>3223</v>
      </c>
      <c r="C10121" s="29"/>
      <c r="D10121" s="29" t="s">
        <v>4359</v>
      </c>
      <c r="E10121" s="29"/>
      <c r="F10121" s="29" t="s">
        <v>4360</v>
      </c>
      <c r="G10121" s="29"/>
      <c r="H10121" s="29" t="s">
        <v>4361</v>
      </c>
      <c r="I10121" s="29"/>
      <c r="J10121" s="29" t="s">
        <v>2660</v>
      </c>
      <c r="K10121" s="29"/>
      <c r="L10121" s="29" t="s">
        <v>1478</v>
      </c>
      <c r="M10121" s="29"/>
      <c r="N10121" s="29" t="s">
        <v>1479</v>
      </c>
      <c r="O10121" s="29"/>
      <c r="P10121" s="29" t="s">
        <v>14336</v>
      </c>
      <c r="Q10121" t="s">
        <v>2193</v>
      </c>
      <c r="R10121" t="s">
        <v>2635</v>
      </c>
      <c r="S10121">
        <v>38</v>
      </c>
      <c r="T10121" s="43" t="str">
        <f t="shared" si="433"/>
        <v>2022.008P.Caulimoviridae_rename.zip</v>
      </c>
      <c r="U10121" s="43" t="str">
        <f>HYPERLINK("https://ictv.global/taxonomy/taxondetails?taxnode_id=202206644","ictv.global=202206644")</f>
        <v>ictv.global=202206644</v>
      </c>
    </row>
    <row r="10122" spans="1:21">
      <c r="A10122">
        <v>10121</v>
      </c>
      <c r="B10122" s="29" t="s">
        <v>3223</v>
      </c>
      <c r="C10122" s="29"/>
      <c r="D10122" s="29" t="s">
        <v>4359</v>
      </c>
      <c r="E10122" s="29"/>
      <c r="F10122" s="29" t="s">
        <v>4360</v>
      </c>
      <c r="G10122" s="29"/>
      <c r="H10122" s="29" t="s">
        <v>4361</v>
      </c>
      <c r="I10122" s="29"/>
      <c r="J10122" s="29" t="s">
        <v>2660</v>
      </c>
      <c r="K10122" s="29"/>
      <c r="L10122" s="29" t="s">
        <v>1478</v>
      </c>
      <c r="M10122" s="29"/>
      <c r="N10122" s="29" t="s">
        <v>1479</v>
      </c>
      <c r="O10122" s="29"/>
      <c r="P10122" s="29" t="s">
        <v>14337</v>
      </c>
      <c r="Q10122" t="s">
        <v>2193</v>
      </c>
      <c r="R10122" t="s">
        <v>2635</v>
      </c>
      <c r="S10122">
        <v>38</v>
      </c>
      <c r="T10122" s="43" t="str">
        <f t="shared" si="433"/>
        <v>2022.008P.Caulimoviridae_rename.zip</v>
      </c>
      <c r="U10122" s="43" t="str">
        <f>HYPERLINK("https://ictv.global/taxonomy/taxondetails?taxnode_id=202202853","ictv.global=202202853")</f>
        <v>ictv.global=202202853</v>
      </c>
    </row>
    <row r="10123" spans="1:21">
      <c r="A10123">
        <v>10122</v>
      </c>
      <c r="B10123" s="29" t="s">
        <v>3223</v>
      </c>
      <c r="C10123" s="29"/>
      <c r="D10123" s="29" t="s">
        <v>4359</v>
      </c>
      <c r="E10123" s="29"/>
      <c r="F10123" s="29" t="s">
        <v>4360</v>
      </c>
      <c r="G10123" s="29"/>
      <c r="H10123" s="29" t="s">
        <v>4361</v>
      </c>
      <c r="I10123" s="29"/>
      <c r="J10123" s="29" t="s">
        <v>2660</v>
      </c>
      <c r="K10123" s="29"/>
      <c r="L10123" s="29" t="s">
        <v>1478</v>
      </c>
      <c r="M10123" s="29"/>
      <c r="N10123" s="29" t="s">
        <v>1479</v>
      </c>
      <c r="O10123" s="29"/>
      <c r="P10123" s="29" t="s">
        <v>14338</v>
      </c>
      <c r="Q10123" t="s">
        <v>2193</v>
      </c>
      <c r="R10123" t="s">
        <v>2635</v>
      </c>
      <c r="S10123">
        <v>38</v>
      </c>
      <c r="T10123" s="43" t="str">
        <f t="shared" si="433"/>
        <v>2022.008P.Caulimoviridae_rename.zip</v>
      </c>
      <c r="U10123" s="43" t="str">
        <f>HYPERLINK("https://ictv.global/taxonomy/taxondetails?taxnode_id=202202822","ictv.global=202202822")</f>
        <v>ictv.global=202202822</v>
      </c>
    </row>
    <row r="10124" spans="1:21">
      <c r="A10124">
        <v>10123</v>
      </c>
      <c r="B10124" s="29" t="s">
        <v>3223</v>
      </c>
      <c r="C10124" s="29"/>
      <c r="D10124" s="29" t="s">
        <v>4359</v>
      </c>
      <c r="E10124" s="29"/>
      <c r="F10124" s="29" t="s">
        <v>4360</v>
      </c>
      <c r="G10124" s="29"/>
      <c r="H10124" s="29" t="s">
        <v>4361</v>
      </c>
      <c r="I10124" s="29"/>
      <c r="J10124" s="29" t="s">
        <v>2660</v>
      </c>
      <c r="K10124" s="29"/>
      <c r="L10124" s="29" t="s">
        <v>1478</v>
      </c>
      <c r="M10124" s="29"/>
      <c r="N10124" s="29" t="s">
        <v>1479</v>
      </c>
      <c r="O10124" s="29"/>
      <c r="P10124" s="29" t="s">
        <v>14339</v>
      </c>
      <c r="Q10124" t="s">
        <v>2193</v>
      </c>
      <c r="R10124" t="s">
        <v>2635</v>
      </c>
      <c r="S10124">
        <v>38</v>
      </c>
      <c r="T10124" s="43" t="str">
        <f t="shared" si="433"/>
        <v>2022.008P.Caulimoviridae_rename.zip</v>
      </c>
      <c r="U10124" s="43" t="str">
        <f>HYPERLINK("https://ictv.global/taxonomy/taxondetails?taxnode_id=202202828","ictv.global=202202828")</f>
        <v>ictv.global=202202828</v>
      </c>
    </row>
    <row r="10125" spans="1:21">
      <c r="A10125">
        <v>10124</v>
      </c>
      <c r="B10125" s="29" t="s">
        <v>3223</v>
      </c>
      <c r="C10125" s="29"/>
      <c r="D10125" s="29" t="s">
        <v>4359</v>
      </c>
      <c r="E10125" s="29"/>
      <c r="F10125" s="29" t="s">
        <v>4360</v>
      </c>
      <c r="G10125" s="29"/>
      <c r="H10125" s="29" t="s">
        <v>4361</v>
      </c>
      <c r="I10125" s="29"/>
      <c r="J10125" s="29" t="s">
        <v>2660</v>
      </c>
      <c r="K10125" s="29"/>
      <c r="L10125" s="29" t="s">
        <v>1478</v>
      </c>
      <c r="M10125" s="29"/>
      <c r="N10125" s="29" t="s">
        <v>1479</v>
      </c>
      <c r="O10125" s="29"/>
      <c r="P10125" s="29" t="s">
        <v>14340</v>
      </c>
      <c r="Q10125" t="s">
        <v>2193</v>
      </c>
      <c r="R10125" t="s">
        <v>2635</v>
      </c>
      <c r="S10125">
        <v>38</v>
      </c>
      <c r="T10125" s="43" t="str">
        <f t="shared" si="433"/>
        <v>2022.008P.Caulimoviridae_rename.zip</v>
      </c>
      <c r="U10125" s="43" t="str">
        <f>HYPERLINK("https://ictv.global/taxonomy/taxondetails?taxnode_id=202202835","ictv.global=202202835")</f>
        <v>ictv.global=202202835</v>
      </c>
    </row>
    <row r="10126" spans="1:21">
      <c r="A10126">
        <v>10125</v>
      </c>
      <c r="B10126" s="29" t="s">
        <v>3223</v>
      </c>
      <c r="C10126" s="29"/>
      <c r="D10126" s="29" t="s">
        <v>4359</v>
      </c>
      <c r="E10126" s="29"/>
      <c r="F10126" s="29" t="s">
        <v>4360</v>
      </c>
      <c r="G10126" s="29"/>
      <c r="H10126" s="29" t="s">
        <v>4361</v>
      </c>
      <c r="I10126" s="29"/>
      <c r="J10126" s="29" t="s">
        <v>2660</v>
      </c>
      <c r="K10126" s="29"/>
      <c r="L10126" s="29" t="s">
        <v>1478</v>
      </c>
      <c r="M10126" s="29"/>
      <c r="N10126" s="29" t="s">
        <v>1479</v>
      </c>
      <c r="O10126" s="29"/>
      <c r="P10126" s="29" t="s">
        <v>14341</v>
      </c>
      <c r="Q10126" t="s">
        <v>2193</v>
      </c>
      <c r="R10126" t="s">
        <v>2635</v>
      </c>
      <c r="S10126">
        <v>38</v>
      </c>
      <c r="T10126" s="43" t="str">
        <f t="shared" si="433"/>
        <v>2022.008P.Caulimoviridae_rename.zip</v>
      </c>
      <c r="U10126" s="43" t="str">
        <f>HYPERLINK("https://ictv.global/taxonomy/taxondetails?taxnode_id=202208837","ictv.global=202208837")</f>
        <v>ictv.global=202208837</v>
      </c>
    </row>
    <row r="10127" spans="1:21">
      <c r="A10127">
        <v>10126</v>
      </c>
      <c r="B10127" s="29" t="s">
        <v>3223</v>
      </c>
      <c r="C10127" s="29"/>
      <c r="D10127" s="29" t="s">
        <v>4359</v>
      </c>
      <c r="E10127" s="29"/>
      <c r="F10127" s="29" t="s">
        <v>4360</v>
      </c>
      <c r="G10127" s="29"/>
      <c r="H10127" s="29" t="s">
        <v>4361</v>
      </c>
      <c r="I10127" s="29"/>
      <c r="J10127" s="29" t="s">
        <v>2660</v>
      </c>
      <c r="K10127" s="29"/>
      <c r="L10127" s="29" t="s">
        <v>1478</v>
      </c>
      <c r="M10127" s="29"/>
      <c r="N10127" s="29" t="s">
        <v>1479</v>
      </c>
      <c r="O10127" s="29"/>
      <c r="P10127" s="29" t="s">
        <v>14342</v>
      </c>
      <c r="Q10127" t="s">
        <v>2193</v>
      </c>
      <c r="R10127" t="s">
        <v>2635</v>
      </c>
      <c r="S10127">
        <v>38</v>
      </c>
      <c r="T10127" s="43" t="str">
        <f t="shared" si="433"/>
        <v>2022.008P.Caulimoviridae_rename.zip</v>
      </c>
      <c r="U10127" s="43" t="str">
        <f>HYPERLINK("https://ictv.global/taxonomy/taxondetails?taxnode_id=202208838","ictv.global=202208838")</f>
        <v>ictv.global=202208838</v>
      </c>
    </row>
    <row r="10128" spans="1:21">
      <c r="A10128">
        <v>10127</v>
      </c>
      <c r="B10128" s="29" t="s">
        <v>3223</v>
      </c>
      <c r="C10128" s="29"/>
      <c r="D10128" s="29" t="s">
        <v>4359</v>
      </c>
      <c r="E10128" s="29"/>
      <c r="F10128" s="29" t="s">
        <v>4360</v>
      </c>
      <c r="G10128" s="29"/>
      <c r="H10128" s="29" t="s">
        <v>4361</v>
      </c>
      <c r="I10128" s="29"/>
      <c r="J10128" s="29" t="s">
        <v>2660</v>
      </c>
      <c r="K10128" s="29"/>
      <c r="L10128" s="29" t="s">
        <v>1478</v>
      </c>
      <c r="M10128" s="29"/>
      <c r="N10128" s="29" t="s">
        <v>1479</v>
      </c>
      <c r="O10128" s="29"/>
      <c r="P10128" s="29" t="s">
        <v>14343</v>
      </c>
      <c r="Q10128" t="s">
        <v>2193</v>
      </c>
      <c r="R10128" t="s">
        <v>2635</v>
      </c>
      <c r="S10128">
        <v>38</v>
      </c>
      <c r="T10128" s="43" t="str">
        <f t="shared" si="433"/>
        <v>2022.008P.Caulimoviridae_rename.zip</v>
      </c>
      <c r="U10128" s="43" t="str">
        <f>HYPERLINK("https://ictv.global/taxonomy/taxondetails?taxnode_id=202208841","ictv.global=202208841")</f>
        <v>ictv.global=202208841</v>
      </c>
    </row>
    <row r="10129" spans="1:21">
      <c r="A10129">
        <v>10128</v>
      </c>
      <c r="B10129" s="29" t="s">
        <v>3223</v>
      </c>
      <c r="C10129" s="29"/>
      <c r="D10129" s="29" t="s">
        <v>4359</v>
      </c>
      <c r="E10129" s="29"/>
      <c r="F10129" s="29" t="s">
        <v>4360</v>
      </c>
      <c r="G10129" s="29"/>
      <c r="H10129" s="29" t="s">
        <v>4361</v>
      </c>
      <c r="I10129" s="29"/>
      <c r="J10129" s="29" t="s">
        <v>2660</v>
      </c>
      <c r="K10129" s="29"/>
      <c r="L10129" s="29" t="s">
        <v>1478</v>
      </c>
      <c r="M10129" s="29"/>
      <c r="N10129" s="29" t="s">
        <v>1479</v>
      </c>
      <c r="O10129" s="29"/>
      <c r="P10129" s="29" t="s">
        <v>14344</v>
      </c>
      <c r="Q10129" t="s">
        <v>2193</v>
      </c>
      <c r="R10129" t="s">
        <v>2635</v>
      </c>
      <c r="S10129">
        <v>38</v>
      </c>
      <c r="T10129" s="43" t="str">
        <f t="shared" si="433"/>
        <v>2022.008P.Caulimoviridae_rename.zip</v>
      </c>
      <c r="U10129" s="43" t="str">
        <f>HYPERLINK("https://ictv.global/taxonomy/taxondetails?taxnode_id=202202842","ictv.global=202202842")</f>
        <v>ictv.global=202202842</v>
      </c>
    </row>
    <row r="10130" spans="1:21">
      <c r="A10130">
        <v>10129</v>
      </c>
      <c r="B10130" s="29" t="s">
        <v>3223</v>
      </c>
      <c r="C10130" s="29"/>
      <c r="D10130" s="29" t="s">
        <v>4359</v>
      </c>
      <c r="E10130" s="29"/>
      <c r="F10130" s="29" t="s">
        <v>4360</v>
      </c>
      <c r="G10130" s="29"/>
      <c r="H10130" s="29" t="s">
        <v>4361</v>
      </c>
      <c r="I10130" s="29"/>
      <c r="J10130" s="29" t="s">
        <v>2660</v>
      </c>
      <c r="K10130" s="29"/>
      <c r="L10130" s="29" t="s">
        <v>1478</v>
      </c>
      <c r="M10130" s="29"/>
      <c r="N10130" s="29" t="s">
        <v>1479</v>
      </c>
      <c r="O10130" s="29"/>
      <c r="P10130" s="29" t="s">
        <v>14345</v>
      </c>
      <c r="Q10130" t="s">
        <v>2193</v>
      </c>
      <c r="R10130" t="s">
        <v>2635</v>
      </c>
      <c r="S10130">
        <v>38</v>
      </c>
      <c r="T10130" s="43" t="str">
        <f t="shared" si="433"/>
        <v>2022.008P.Caulimoviridae_rename.zip</v>
      </c>
      <c r="U10130" s="43" t="str">
        <f>HYPERLINK("https://ictv.global/taxonomy/taxondetails?taxnode_id=202202847","ictv.global=202202847")</f>
        <v>ictv.global=202202847</v>
      </c>
    </row>
    <row r="10131" spans="1:21">
      <c r="A10131">
        <v>10130</v>
      </c>
      <c r="B10131" s="29" t="s">
        <v>3223</v>
      </c>
      <c r="C10131" s="29"/>
      <c r="D10131" s="29" t="s">
        <v>4359</v>
      </c>
      <c r="E10131" s="29"/>
      <c r="F10131" s="29" t="s">
        <v>4360</v>
      </c>
      <c r="G10131" s="29"/>
      <c r="H10131" s="29" t="s">
        <v>4361</v>
      </c>
      <c r="I10131" s="29"/>
      <c r="J10131" s="29" t="s">
        <v>2660</v>
      </c>
      <c r="K10131" s="29"/>
      <c r="L10131" s="29" t="s">
        <v>1478</v>
      </c>
      <c r="M10131" s="29"/>
      <c r="N10131" s="29" t="s">
        <v>1479</v>
      </c>
      <c r="O10131" s="29"/>
      <c r="P10131" s="29" t="s">
        <v>14346</v>
      </c>
      <c r="Q10131" t="s">
        <v>2193</v>
      </c>
      <c r="R10131" t="s">
        <v>2635</v>
      </c>
      <c r="S10131">
        <v>38</v>
      </c>
      <c r="T10131" s="43" t="str">
        <f t="shared" si="433"/>
        <v>2022.008P.Caulimoviridae_rename.zip</v>
      </c>
      <c r="U10131" s="43" t="str">
        <f>HYPERLINK("https://ictv.global/taxonomy/taxondetails?taxnode_id=202202858","ictv.global=202202858")</f>
        <v>ictv.global=202202858</v>
      </c>
    </row>
    <row r="10132" spans="1:21">
      <c r="A10132">
        <v>10131</v>
      </c>
      <c r="B10132" s="29" t="s">
        <v>3223</v>
      </c>
      <c r="C10132" s="29"/>
      <c r="D10132" s="29" t="s">
        <v>4359</v>
      </c>
      <c r="E10132" s="29"/>
      <c r="F10132" s="29" t="s">
        <v>4360</v>
      </c>
      <c r="G10132" s="29"/>
      <c r="H10132" s="29" t="s">
        <v>4361</v>
      </c>
      <c r="I10132" s="29"/>
      <c r="J10132" s="29" t="s">
        <v>2660</v>
      </c>
      <c r="K10132" s="29"/>
      <c r="L10132" s="29" t="s">
        <v>1478</v>
      </c>
      <c r="M10132" s="29"/>
      <c r="N10132" s="29" t="s">
        <v>1479</v>
      </c>
      <c r="O10132" s="29"/>
      <c r="P10132" s="29" t="s">
        <v>14347</v>
      </c>
      <c r="Q10132" t="s">
        <v>2193</v>
      </c>
      <c r="R10132" t="s">
        <v>2635</v>
      </c>
      <c r="S10132">
        <v>38</v>
      </c>
      <c r="T10132" s="43" t="str">
        <f t="shared" si="433"/>
        <v>2022.008P.Caulimoviridae_rename.zip</v>
      </c>
      <c r="U10132" s="43" t="str">
        <f>HYPERLINK("https://ictv.global/taxonomy/taxondetails?taxnode_id=202202850","ictv.global=202202850")</f>
        <v>ictv.global=202202850</v>
      </c>
    </row>
    <row r="10133" spans="1:21">
      <c r="A10133">
        <v>10132</v>
      </c>
      <c r="B10133" s="29" t="s">
        <v>3223</v>
      </c>
      <c r="C10133" s="29"/>
      <c r="D10133" s="29" t="s">
        <v>4359</v>
      </c>
      <c r="E10133" s="29"/>
      <c r="F10133" s="29" t="s">
        <v>4360</v>
      </c>
      <c r="G10133" s="29"/>
      <c r="H10133" s="29" t="s">
        <v>4361</v>
      </c>
      <c r="I10133" s="29"/>
      <c r="J10133" s="29" t="s">
        <v>2660</v>
      </c>
      <c r="K10133" s="29"/>
      <c r="L10133" s="29" t="s">
        <v>1478</v>
      </c>
      <c r="M10133" s="29"/>
      <c r="N10133" s="29" t="s">
        <v>1479</v>
      </c>
      <c r="O10133" s="29"/>
      <c r="P10133" s="29" t="s">
        <v>14348</v>
      </c>
      <c r="Q10133" t="s">
        <v>2038</v>
      </c>
      <c r="R10133" t="s">
        <v>2635</v>
      </c>
      <c r="S10133">
        <v>38</v>
      </c>
      <c r="T10133" s="43" t="str">
        <f t="shared" si="433"/>
        <v>2022.008P.Caulimoviridae_rename.zip</v>
      </c>
      <c r="U10133" s="43" t="str">
        <f>HYPERLINK("https://ictv.global/taxonomy/taxondetails?taxnode_id=202213831","ictv.global=202213831")</f>
        <v>ictv.global=202213831</v>
      </c>
    </row>
    <row r="10134" spans="1:21">
      <c r="A10134">
        <v>10133</v>
      </c>
      <c r="B10134" s="29" t="s">
        <v>3223</v>
      </c>
      <c r="C10134" s="29"/>
      <c r="D10134" s="29" t="s">
        <v>4359</v>
      </c>
      <c r="E10134" s="29"/>
      <c r="F10134" s="29" t="s">
        <v>4360</v>
      </c>
      <c r="G10134" s="29"/>
      <c r="H10134" s="29" t="s">
        <v>4361</v>
      </c>
      <c r="I10134" s="29"/>
      <c r="J10134" s="29" t="s">
        <v>2660</v>
      </c>
      <c r="K10134" s="29"/>
      <c r="L10134" s="29" t="s">
        <v>1478</v>
      </c>
      <c r="M10134" s="29"/>
      <c r="N10134" s="29" t="s">
        <v>1479</v>
      </c>
      <c r="O10134" s="29"/>
      <c r="P10134" s="29" t="s">
        <v>14349</v>
      </c>
      <c r="Q10134" t="s">
        <v>2038</v>
      </c>
      <c r="R10134" t="s">
        <v>2632</v>
      </c>
      <c r="S10134">
        <v>38</v>
      </c>
      <c r="T10134" s="43" t="str">
        <f>HYPERLINK("https://ictv.global/ictv/proposals/2022.007P.Caulimoviridae_4ns.zip","2022.007P.Caulimoviridae_4ns.zip")</f>
        <v>2022.007P.Caulimoviridae_4ns.zip</v>
      </c>
      <c r="U10134" s="43" t="str">
        <f>HYPERLINK("https://ictv.global/taxonomy/taxondetails?taxnode_id=202215099","ictv.global=202215099")</f>
        <v>ictv.global=202215099</v>
      </c>
    </row>
    <row r="10135" spans="1:21">
      <c r="A10135">
        <v>10134</v>
      </c>
      <c r="B10135" s="29" t="s">
        <v>3223</v>
      </c>
      <c r="C10135" s="29"/>
      <c r="D10135" s="29" t="s">
        <v>4359</v>
      </c>
      <c r="E10135" s="29"/>
      <c r="F10135" s="29" t="s">
        <v>4360</v>
      </c>
      <c r="G10135" s="29"/>
      <c r="H10135" s="29" t="s">
        <v>4361</v>
      </c>
      <c r="I10135" s="29"/>
      <c r="J10135" s="29" t="s">
        <v>2660</v>
      </c>
      <c r="K10135" s="29"/>
      <c r="L10135" s="29" t="s">
        <v>1478</v>
      </c>
      <c r="M10135" s="29"/>
      <c r="N10135" s="29" t="s">
        <v>1479</v>
      </c>
      <c r="O10135" s="29"/>
      <c r="P10135" s="29" t="s">
        <v>14350</v>
      </c>
      <c r="Q10135" t="s">
        <v>2193</v>
      </c>
      <c r="R10135" t="s">
        <v>2635</v>
      </c>
      <c r="S10135">
        <v>38</v>
      </c>
      <c r="T10135" s="43" t="str">
        <f t="shared" ref="T10135:T10167" si="434">HYPERLINK("https://ictv.global/ictv/proposals/2022.008P.Caulimoviridae_rename.zip","2022.008P.Caulimoviridae_rename.zip")</f>
        <v>2022.008P.Caulimoviridae_rename.zip</v>
      </c>
      <c r="U10135" s="43" t="str">
        <f>HYPERLINK("https://ictv.global/taxonomy/taxondetails?taxnode_id=202202843","ictv.global=202202843")</f>
        <v>ictv.global=202202843</v>
      </c>
    </row>
    <row r="10136" spans="1:21">
      <c r="A10136">
        <v>10135</v>
      </c>
      <c r="B10136" s="29" t="s">
        <v>3223</v>
      </c>
      <c r="C10136" s="29"/>
      <c r="D10136" s="29" t="s">
        <v>4359</v>
      </c>
      <c r="E10136" s="29"/>
      <c r="F10136" s="29" t="s">
        <v>4360</v>
      </c>
      <c r="G10136" s="29"/>
      <c r="H10136" s="29" t="s">
        <v>4361</v>
      </c>
      <c r="I10136" s="29"/>
      <c r="J10136" s="29" t="s">
        <v>2660</v>
      </c>
      <c r="K10136" s="29"/>
      <c r="L10136" s="29" t="s">
        <v>1478</v>
      </c>
      <c r="M10136" s="29"/>
      <c r="N10136" s="29" t="s">
        <v>1479</v>
      </c>
      <c r="O10136" s="29"/>
      <c r="P10136" s="29" t="s">
        <v>14351</v>
      </c>
      <c r="Q10136" t="s">
        <v>2193</v>
      </c>
      <c r="R10136" t="s">
        <v>2635</v>
      </c>
      <c r="S10136">
        <v>38</v>
      </c>
      <c r="T10136" s="43" t="str">
        <f t="shared" si="434"/>
        <v>2022.008P.Caulimoviridae_rename.zip</v>
      </c>
      <c r="U10136" s="43" t="str">
        <f>HYPERLINK("https://ictv.global/taxonomy/taxondetails?taxnode_id=202208835","ictv.global=202208835")</f>
        <v>ictv.global=202208835</v>
      </c>
    </row>
    <row r="10137" spans="1:21">
      <c r="A10137">
        <v>10136</v>
      </c>
      <c r="B10137" s="29" t="s">
        <v>3223</v>
      </c>
      <c r="C10137" s="29"/>
      <c r="D10137" s="29" t="s">
        <v>4359</v>
      </c>
      <c r="E10137" s="29"/>
      <c r="F10137" s="29" t="s">
        <v>4360</v>
      </c>
      <c r="G10137" s="29"/>
      <c r="H10137" s="29" t="s">
        <v>4361</v>
      </c>
      <c r="I10137" s="29"/>
      <c r="J10137" s="29" t="s">
        <v>2660</v>
      </c>
      <c r="K10137" s="29"/>
      <c r="L10137" s="29" t="s">
        <v>1478</v>
      </c>
      <c r="M10137" s="29"/>
      <c r="N10137" s="29" t="s">
        <v>1479</v>
      </c>
      <c r="O10137" s="29"/>
      <c r="P10137" s="29" t="s">
        <v>14352</v>
      </c>
      <c r="Q10137" t="s">
        <v>2193</v>
      </c>
      <c r="R10137" t="s">
        <v>2635</v>
      </c>
      <c r="S10137">
        <v>38</v>
      </c>
      <c r="T10137" s="43" t="str">
        <f t="shared" si="434"/>
        <v>2022.008P.Caulimoviridae_rename.zip</v>
      </c>
      <c r="U10137" s="43" t="str">
        <f>HYPERLINK("https://ictv.global/taxonomy/taxondetails?taxnode_id=202202855","ictv.global=202202855")</f>
        <v>ictv.global=202202855</v>
      </c>
    </row>
    <row r="10138" spans="1:21">
      <c r="A10138">
        <v>10137</v>
      </c>
      <c r="B10138" s="29" t="s">
        <v>3223</v>
      </c>
      <c r="C10138" s="29"/>
      <c r="D10138" s="29" t="s">
        <v>4359</v>
      </c>
      <c r="E10138" s="29"/>
      <c r="F10138" s="29" t="s">
        <v>4360</v>
      </c>
      <c r="G10138" s="29"/>
      <c r="H10138" s="29" t="s">
        <v>4361</v>
      </c>
      <c r="I10138" s="29"/>
      <c r="J10138" s="29" t="s">
        <v>2660</v>
      </c>
      <c r="K10138" s="29"/>
      <c r="L10138" s="29" t="s">
        <v>1478</v>
      </c>
      <c r="M10138" s="29"/>
      <c r="N10138" s="29" t="s">
        <v>1479</v>
      </c>
      <c r="O10138" s="29"/>
      <c r="P10138" s="29" t="s">
        <v>14353</v>
      </c>
      <c r="Q10138" t="s">
        <v>2193</v>
      </c>
      <c r="R10138" t="s">
        <v>2635</v>
      </c>
      <c r="S10138">
        <v>38</v>
      </c>
      <c r="T10138" s="43" t="str">
        <f t="shared" si="434"/>
        <v>2022.008P.Caulimoviridae_rename.zip</v>
      </c>
      <c r="U10138" s="43" t="str">
        <f>HYPERLINK("https://ictv.global/taxonomy/taxondetails?taxnode_id=202206642","ictv.global=202206642")</f>
        <v>ictv.global=202206642</v>
      </c>
    </row>
    <row r="10139" spans="1:21">
      <c r="A10139">
        <v>10138</v>
      </c>
      <c r="B10139" s="29" t="s">
        <v>3223</v>
      </c>
      <c r="C10139" s="29"/>
      <c r="D10139" s="29" t="s">
        <v>4359</v>
      </c>
      <c r="E10139" s="29"/>
      <c r="F10139" s="29" t="s">
        <v>4360</v>
      </c>
      <c r="G10139" s="29"/>
      <c r="H10139" s="29" t="s">
        <v>4361</v>
      </c>
      <c r="I10139" s="29"/>
      <c r="J10139" s="29" t="s">
        <v>2660</v>
      </c>
      <c r="K10139" s="29"/>
      <c r="L10139" s="29" t="s">
        <v>1478</v>
      </c>
      <c r="M10139" s="29"/>
      <c r="N10139" s="29" t="s">
        <v>1479</v>
      </c>
      <c r="O10139" s="29"/>
      <c r="P10139" s="29" t="s">
        <v>14354</v>
      </c>
      <c r="Q10139" t="s">
        <v>2193</v>
      </c>
      <c r="R10139" t="s">
        <v>2635</v>
      </c>
      <c r="S10139">
        <v>38</v>
      </c>
      <c r="T10139" s="43" t="str">
        <f t="shared" si="434"/>
        <v>2022.008P.Caulimoviridae_rename.zip</v>
      </c>
      <c r="U10139" s="43" t="str">
        <f>HYPERLINK("https://ictv.global/taxonomy/taxondetails?taxnode_id=202202848","ictv.global=202202848")</f>
        <v>ictv.global=202202848</v>
      </c>
    </row>
    <row r="10140" spans="1:21">
      <c r="A10140">
        <v>10139</v>
      </c>
      <c r="B10140" s="29" t="s">
        <v>3223</v>
      </c>
      <c r="C10140" s="29"/>
      <c r="D10140" s="29" t="s">
        <v>4359</v>
      </c>
      <c r="E10140" s="29"/>
      <c r="F10140" s="29" t="s">
        <v>4360</v>
      </c>
      <c r="G10140" s="29"/>
      <c r="H10140" s="29" t="s">
        <v>4361</v>
      </c>
      <c r="I10140" s="29"/>
      <c r="J10140" s="29" t="s">
        <v>2660</v>
      </c>
      <c r="K10140" s="29"/>
      <c r="L10140" s="29" t="s">
        <v>1478</v>
      </c>
      <c r="M10140" s="29"/>
      <c r="N10140" s="29" t="s">
        <v>1479</v>
      </c>
      <c r="O10140" s="29"/>
      <c r="P10140" s="29" t="s">
        <v>14355</v>
      </c>
      <c r="Q10140" t="s">
        <v>2193</v>
      </c>
      <c r="R10140" t="s">
        <v>2635</v>
      </c>
      <c r="S10140">
        <v>38</v>
      </c>
      <c r="T10140" s="43" t="str">
        <f t="shared" si="434"/>
        <v>2022.008P.Caulimoviridae_rename.zip</v>
      </c>
      <c r="U10140" s="43" t="str">
        <f>HYPERLINK("https://ictv.global/taxonomy/taxondetails?taxnode_id=202208834","ictv.global=202208834")</f>
        <v>ictv.global=202208834</v>
      </c>
    </row>
    <row r="10141" spans="1:21">
      <c r="A10141">
        <v>10140</v>
      </c>
      <c r="B10141" s="29" t="s">
        <v>3223</v>
      </c>
      <c r="C10141" s="29"/>
      <c r="D10141" s="29" t="s">
        <v>4359</v>
      </c>
      <c r="E10141" s="29"/>
      <c r="F10141" s="29" t="s">
        <v>4360</v>
      </c>
      <c r="G10141" s="29"/>
      <c r="H10141" s="29" t="s">
        <v>4361</v>
      </c>
      <c r="I10141" s="29"/>
      <c r="J10141" s="29" t="s">
        <v>2660</v>
      </c>
      <c r="K10141" s="29"/>
      <c r="L10141" s="29" t="s">
        <v>1478</v>
      </c>
      <c r="M10141" s="29"/>
      <c r="N10141" s="29" t="s">
        <v>1479</v>
      </c>
      <c r="O10141" s="29"/>
      <c r="P10141" s="29" t="s">
        <v>14356</v>
      </c>
      <c r="Q10141" t="s">
        <v>2038</v>
      </c>
      <c r="R10141" t="s">
        <v>2635</v>
      </c>
      <c r="S10141">
        <v>38</v>
      </c>
      <c r="T10141" s="43" t="str">
        <f t="shared" si="434"/>
        <v>2022.008P.Caulimoviridae_rename.zip</v>
      </c>
      <c r="U10141" s="43" t="str">
        <f>HYPERLINK("https://ictv.global/taxonomy/taxondetails?taxnode_id=202213832","ictv.global=202213832")</f>
        <v>ictv.global=202213832</v>
      </c>
    </row>
    <row r="10142" spans="1:21">
      <c r="A10142">
        <v>10141</v>
      </c>
      <c r="B10142" s="29" t="s">
        <v>3223</v>
      </c>
      <c r="C10142" s="29"/>
      <c r="D10142" s="29" t="s">
        <v>4359</v>
      </c>
      <c r="E10142" s="29"/>
      <c r="F10142" s="29" t="s">
        <v>4360</v>
      </c>
      <c r="G10142" s="29"/>
      <c r="H10142" s="29" t="s">
        <v>4361</v>
      </c>
      <c r="I10142" s="29"/>
      <c r="J10142" s="29" t="s">
        <v>2660</v>
      </c>
      <c r="K10142" s="29"/>
      <c r="L10142" s="29" t="s">
        <v>1478</v>
      </c>
      <c r="M10142" s="29"/>
      <c r="N10142" s="29" t="s">
        <v>1479</v>
      </c>
      <c r="O10142" s="29"/>
      <c r="P10142" s="29" t="s">
        <v>14357</v>
      </c>
      <c r="Q10142" t="s">
        <v>2193</v>
      </c>
      <c r="R10142" t="s">
        <v>2635</v>
      </c>
      <c r="S10142">
        <v>38</v>
      </c>
      <c r="T10142" s="43" t="str">
        <f t="shared" si="434"/>
        <v>2022.008P.Caulimoviridae_rename.zip</v>
      </c>
      <c r="U10142" s="43" t="str">
        <f>HYPERLINK("https://ictv.global/taxonomy/taxondetails?taxnode_id=202202834","ictv.global=202202834")</f>
        <v>ictv.global=202202834</v>
      </c>
    </row>
    <row r="10143" spans="1:21">
      <c r="A10143">
        <v>10142</v>
      </c>
      <c r="B10143" s="29" t="s">
        <v>3223</v>
      </c>
      <c r="C10143" s="29"/>
      <c r="D10143" s="29" t="s">
        <v>4359</v>
      </c>
      <c r="E10143" s="29"/>
      <c r="F10143" s="29" t="s">
        <v>4360</v>
      </c>
      <c r="G10143" s="29"/>
      <c r="H10143" s="29" t="s">
        <v>4361</v>
      </c>
      <c r="I10143" s="29"/>
      <c r="J10143" s="29" t="s">
        <v>2660</v>
      </c>
      <c r="K10143" s="29"/>
      <c r="L10143" s="29" t="s">
        <v>1478</v>
      </c>
      <c r="M10143" s="29"/>
      <c r="N10143" s="29" t="s">
        <v>1479</v>
      </c>
      <c r="O10143" s="29"/>
      <c r="P10143" s="29" t="s">
        <v>14358</v>
      </c>
      <c r="Q10143" t="s">
        <v>2193</v>
      </c>
      <c r="R10143" t="s">
        <v>2635</v>
      </c>
      <c r="S10143">
        <v>38</v>
      </c>
      <c r="T10143" s="43" t="str">
        <f t="shared" si="434"/>
        <v>2022.008P.Caulimoviridae_rename.zip</v>
      </c>
      <c r="U10143" s="43" t="str">
        <f>HYPERLINK("https://ictv.global/taxonomy/taxondetails?taxnode_id=202208842","ictv.global=202208842")</f>
        <v>ictv.global=202208842</v>
      </c>
    </row>
    <row r="10144" spans="1:21">
      <c r="A10144">
        <v>10143</v>
      </c>
      <c r="B10144" s="29" t="s">
        <v>3223</v>
      </c>
      <c r="C10144" s="29"/>
      <c r="D10144" s="29" t="s">
        <v>4359</v>
      </c>
      <c r="E10144" s="29"/>
      <c r="F10144" s="29" t="s">
        <v>4360</v>
      </c>
      <c r="G10144" s="29"/>
      <c r="H10144" s="29" t="s">
        <v>4361</v>
      </c>
      <c r="I10144" s="29"/>
      <c r="J10144" s="29" t="s">
        <v>2660</v>
      </c>
      <c r="K10144" s="29"/>
      <c r="L10144" s="29" t="s">
        <v>1478</v>
      </c>
      <c r="M10144" s="29"/>
      <c r="N10144" s="29" t="s">
        <v>1479</v>
      </c>
      <c r="O10144" s="29"/>
      <c r="P10144" s="29" t="s">
        <v>14359</v>
      </c>
      <c r="Q10144" t="s">
        <v>2193</v>
      </c>
      <c r="R10144" t="s">
        <v>2635</v>
      </c>
      <c r="S10144">
        <v>38</v>
      </c>
      <c r="T10144" s="43" t="str">
        <f t="shared" si="434"/>
        <v>2022.008P.Caulimoviridae_rename.zip</v>
      </c>
      <c r="U10144" s="43" t="str">
        <f>HYPERLINK("https://ictv.global/taxonomy/taxondetails?taxnode_id=202202844","ictv.global=202202844")</f>
        <v>ictv.global=202202844</v>
      </c>
    </row>
    <row r="10145" spans="1:21">
      <c r="A10145">
        <v>10144</v>
      </c>
      <c r="B10145" s="29" t="s">
        <v>3223</v>
      </c>
      <c r="C10145" s="29"/>
      <c r="D10145" s="29" t="s">
        <v>4359</v>
      </c>
      <c r="E10145" s="29"/>
      <c r="F10145" s="29" t="s">
        <v>4360</v>
      </c>
      <c r="G10145" s="29"/>
      <c r="H10145" s="29" t="s">
        <v>4361</v>
      </c>
      <c r="I10145" s="29"/>
      <c r="J10145" s="29" t="s">
        <v>2660</v>
      </c>
      <c r="K10145" s="29"/>
      <c r="L10145" s="29" t="s">
        <v>1478</v>
      </c>
      <c r="M10145" s="29"/>
      <c r="N10145" s="29" t="s">
        <v>1479</v>
      </c>
      <c r="O10145" s="29"/>
      <c r="P10145" s="29" t="s">
        <v>14360</v>
      </c>
      <c r="Q10145" t="s">
        <v>2193</v>
      </c>
      <c r="R10145" t="s">
        <v>2635</v>
      </c>
      <c r="S10145">
        <v>38</v>
      </c>
      <c r="T10145" s="43" t="str">
        <f t="shared" si="434"/>
        <v>2022.008P.Caulimoviridae_rename.zip</v>
      </c>
      <c r="U10145" s="43" t="str">
        <f>HYPERLINK("https://ictv.global/taxonomy/taxondetails?taxnode_id=202205761","ictv.global=202205761")</f>
        <v>ictv.global=202205761</v>
      </c>
    </row>
    <row r="10146" spans="1:21">
      <c r="A10146">
        <v>10145</v>
      </c>
      <c r="B10146" s="29" t="s">
        <v>3223</v>
      </c>
      <c r="C10146" s="29"/>
      <c r="D10146" s="29" t="s">
        <v>4359</v>
      </c>
      <c r="E10146" s="29"/>
      <c r="F10146" s="29" t="s">
        <v>4360</v>
      </c>
      <c r="G10146" s="29"/>
      <c r="H10146" s="29" t="s">
        <v>4361</v>
      </c>
      <c r="I10146" s="29"/>
      <c r="J10146" s="29" t="s">
        <v>2660</v>
      </c>
      <c r="K10146" s="29"/>
      <c r="L10146" s="29" t="s">
        <v>1478</v>
      </c>
      <c r="M10146" s="29"/>
      <c r="N10146" s="29" t="s">
        <v>1479</v>
      </c>
      <c r="O10146" s="29"/>
      <c r="P10146" s="29" t="s">
        <v>14361</v>
      </c>
      <c r="Q10146" t="s">
        <v>2193</v>
      </c>
      <c r="R10146" t="s">
        <v>2635</v>
      </c>
      <c r="S10146">
        <v>38</v>
      </c>
      <c r="T10146" s="43" t="str">
        <f t="shared" si="434"/>
        <v>2022.008P.Caulimoviridae_rename.zip</v>
      </c>
      <c r="U10146" s="43" t="str">
        <f>HYPERLINK("https://ictv.global/taxonomy/taxondetails?taxnode_id=202206651","ictv.global=202206651")</f>
        <v>ictv.global=202206651</v>
      </c>
    </row>
    <row r="10147" spans="1:21">
      <c r="A10147">
        <v>10146</v>
      </c>
      <c r="B10147" s="29" t="s">
        <v>3223</v>
      </c>
      <c r="C10147" s="29"/>
      <c r="D10147" s="29" t="s">
        <v>4359</v>
      </c>
      <c r="E10147" s="29"/>
      <c r="F10147" s="29" t="s">
        <v>4360</v>
      </c>
      <c r="G10147" s="29"/>
      <c r="H10147" s="29" t="s">
        <v>4361</v>
      </c>
      <c r="I10147" s="29"/>
      <c r="J10147" s="29" t="s">
        <v>2660</v>
      </c>
      <c r="K10147" s="29"/>
      <c r="L10147" s="29" t="s">
        <v>1478</v>
      </c>
      <c r="M10147" s="29"/>
      <c r="N10147" s="29" t="s">
        <v>1479</v>
      </c>
      <c r="O10147" s="29"/>
      <c r="P10147" s="29" t="s">
        <v>14362</v>
      </c>
      <c r="Q10147" t="s">
        <v>2193</v>
      </c>
      <c r="R10147" t="s">
        <v>2635</v>
      </c>
      <c r="S10147">
        <v>38</v>
      </c>
      <c r="T10147" s="43" t="str">
        <f t="shared" si="434"/>
        <v>2022.008P.Caulimoviridae_rename.zip</v>
      </c>
      <c r="U10147" s="43" t="str">
        <f>HYPERLINK("https://ictv.global/taxonomy/taxondetails?taxnode_id=202205765","ictv.global=202205765")</f>
        <v>ictv.global=202205765</v>
      </c>
    </row>
    <row r="10148" spans="1:21">
      <c r="A10148">
        <v>10147</v>
      </c>
      <c r="B10148" s="29" t="s">
        <v>3223</v>
      </c>
      <c r="C10148" s="29"/>
      <c r="D10148" s="29" t="s">
        <v>4359</v>
      </c>
      <c r="E10148" s="29"/>
      <c r="F10148" s="29" t="s">
        <v>4360</v>
      </c>
      <c r="G10148" s="29"/>
      <c r="H10148" s="29" t="s">
        <v>4361</v>
      </c>
      <c r="I10148" s="29"/>
      <c r="J10148" s="29" t="s">
        <v>2660</v>
      </c>
      <c r="K10148" s="29"/>
      <c r="L10148" s="29" t="s">
        <v>1478</v>
      </c>
      <c r="M10148" s="29"/>
      <c r="N10148" s="29" t="s">
        <v>1479</v>
      </c>
      <c r="O10148" s="29"/>
      <c r="P10148" s="29" t="s">
        <v>14363</v>
      </c>
      <c r="Q10148" t="s">
        <v>2193</v>
      </c>
      <c r="R10148" t="s">
        <v>2635</v>
      </c>
      <c r="S10148">
        <v>38</v>
      </c>
      <c r="T10148" s="43" t="str">
        <f t="shared" si="434"/>
        <v>2022.008P.Caulimoviridae_rename.zip</v>
      </c>
      <c r="U10148" s="43" t="str">
        <f>HYPERLINK("https://ictv.global/taxonomy/taxondetails?taxnode_id=202206647","ictv.global=202206647")</f>
        <v>ictv.global=202206647</v>
      </c>
    </row>
    <row r="10149" spans="1:21">
      <c r="A10149">
        <v>10148</v>
      </c>
      <c r="B10149" s="29" t="s">
        <v>3223</v>
      </c>
      <c r="C10149" s="29"/>
      <c r="D10149" s="29" t="s">
        <v>4359</v>
      </c>
      <c r="E10149" s="29"/>
      <c r="F10149" s="29" t="s">
        <v>4360</v>
      </c>
      <c r="G10149" s="29"/>
      <c r="H10149" s="29" t="s">
        <v>4361</v>
      </c>
      <c r="I10149" s="29"/>
      <c r="J10149" s="29" t="s">
        <v>2660</v>
      </c>
      <c r="K10149" s="29"/>
      <c r="L10149" s="29" t="s">
        <v>1478</v>
      </c>
      <c r="M10149" s="29"/>
      <c r="N10149" s="29" t="s">
        <v>1479</v>
      </c>
      <c r="O10149" s="29"/>
      <c r="P10149" s="29" t="s">
        <v>14364</v>
      </c>
      <c r="Q10149" t="s">
        <v>2193</v>
      </c>
      <c r="R10149" t="s">
        <v>2635</v>
      </c>
      <c r="S10149">
        <v>38</v>
      </c>
      <c r="T10149" s="43" t="str">
        <f t="shared" si="434"/>
        <v>2022.008P.Caulimoviridae_rename.zip</v>
      </c>
      <c r="U10149" s="43" t="str">
        <f>HYPERLINK("https://ictv.global/taxonomy/taxondetails?taxnode_id=202202827","ictv.global=202202827")</f>
        <v>ictv.global=202202827</v>
      </c>
    </row>
    <row r="10150" spans="1:21">
      <c r="A10150">
        <v>10149</v>
      </c>
      <c r="B10150" s="29" t="s">
        <v>3223</v>
      </c>
      <c r="C10150" s="29"/>
      <c r="D10150" s="29" t="s">
        <v>4359</v>
      </c>
      <c r="E10150" s="29"/>
      <c r="F10150" s="29" t="s">
        <v>4360</v>
      </c>
      <c r="G10150" s="29"/>
      <c r="H10150" s="29" t="s">
        <v>4361</v>
      </c>
      <c r="I10150" s="29"/>
      <c r="J10150" s="29" t="s">
        <v>2660</v>
      </c>
      <c r="K10150" s="29"/>
      <c r="L10150" s="29" t="s">
        <v>1478</v>
      </c>
      <c r="M10150" s="29"/>
      <c r="N10150" s="29" t="s">
        <v>1479</v>
      </c>
      <c r="O10150" s="29"/>
      <c r="P10150" s="29" t="s">
        <v>14365</v>
      </c>
      <c r="Q10150" t="s">
        <v>2193</v>
      </c>
      <c r="R10150" t="s">
        <v>2635</v>
      </c>
      <c r="S10150">
        <v>38</v>
      </c>
      <c r="T10150" s="43" t="str">
        <f t="shared" si="434"/>
        <v>2022.008P.Caulimoviridae_rename.zip</v>
      </c>
      <c r="U10150" s="43" t="str">
        <f>HYPERLINK("https://ictv.global/taxonomy/taxondetails?taxnode_id=202202829","ictv.global=202202829")</f>
        <v>ictv.global=202202829</v>
      </c>
    </row>
    <row r="10151" spans="1:21">
      <c r="A10151">
        <v>10150</v>
      </c>
      <c r="B10151" s="29" t="s">
        <v>3223</v>
      </c>
      <c r="C10151" s="29"/>
      <c r="D10151" s="29" t="s">
        <v>4359</v>
      </c>
      <c r="E10151" s="29"/>
      <c r="F10151" s="29" t="s">
        <v>4360</v>
      </c>
      <c r="G10151" s="29"/>
      <c r="H10151" s="29" t="s">
        <v>4361</v>
      </c>
      <c r="I10151" s="29"/>
      <c r="J10151" s="29" t="s">
        <v>2660</v>
      </c>
      <c r="K10151" s="29"/>
      <c r="L10151" s="29" t="s">
        <v>1478</v>
      </c>
      <c r="M10151" s="29"/>
      <c r="N10151" s="29" t="s">
        <v>1479</v>
      </c>
      <c r="O10151" s="29"/>
      <c r="P10151" s="29" t="s">
        <v>14366</v>
      </c>
      <c r="Q10151" t="s">
        <v>2193</v>
      </c>
      <c r="R10151" t="s">
        <v>2635</v>
      </c>
      <c r="S10151">
        <v>38</v>
      </c>
      <c r="T10151" s="43" t="str">
        <f t="shared" si="434"/>
        <v>2022.008P.Caulimoviridae_rename.zip</v>
      </c>
      <c r="U10151" s="43" t="str">
        <f>HYPERLINK("https://ictv.global/taxonomy/taxondetails?taxnode_id=202207426","ictv.global=202207426")</f>
        <v>ictv.global=202207426</v>
      </c>
    </row>
    <row r="10152" spans="1:21">
      <c r="A10152">
        <v>10151</v>
      </c>
      <c r="B10152" s="29" t="s">
        <v>3223</v>
      </c>
      <c r="C10152" s="29"/>
      <c r="D10152" s="29" t="s">
        <v>4359</v>
      </c>
      <c r="E10152" s="29"/>
      <c r="F10152" s="29" t="s">
        <v>4360</v>
      </c>
      <c r="G10152" s="29"/>
      <c r="H10152" s="29" t="s">
        <v>4361</v>
      </c>
      <c r="I10152" s="29"/>
      <c r="J10152" s="29" t="s">
        <v>2660</v>
      </c>
      <c r="K10152" s="29"/>
      <c r="L10152" s="29" t="s">
        <v>1478</v>
      </c>
      <c r="M10152" s="29"/>
      <c r="N10152" s="29" t="s">
        <v>1479</v>
      </c>
      <c r="O10152" s="29"/>
      <c r="P10152" s="29" t="s">
        <v>14367</v>
      </c>
      <c r="Q10152" t="s">
        <v>2193</v>
      </c>
      <c r="R10152" t="s">
        <v>2635</v>
      </c>
      <c r="S10152">
        <v>38</v>
      </c>
      <c r="T10152" s="43" t="str">
        <f t="shared" si="434"/>
        <v>2022.008P.Caulimoviridae_rename.zip</v>
      </c>
      <c r="U10152" s="43" t="str">
        <f>HYPERLINK("https://ictv.global/taxonomy/taxondetails?taxnode_id=202202839","ictv.global=202202839")</f>
        <v>ictv.global=202202839</v>
      </c>
    </row>
    <row r="10153" spans="1:21">
      <c r="A10153">
        <v>10152</v>
      </c>
      <c r="B10153" s="29" t="s">
        <v>3223</v>
      </c>
      <c r="C10153" s="29"/>
      <c r="D10153" s="29" t="s">
        <v>4359</v>
      </c>
      <c r="E10153" s="29"/>
      <c r="F10153" s="29" t="s">
        <v>4360</v>
      </c>
      <c r="G10153" s="29"/>
      <c r="H10153" s="29" t="s">
        <v>4361</v>
      </c>
      <c r="I10153" s="29"/>
      <c r="J10153" s="29" t="s">
        <v>2660</v>
      </c>
      <c r="K10153" s="29"/>
      <c r="L10153" s="29" t="s">
        <v>1478</v>
      </c>
      <c r="M10153" s="29"/>
      <c r="N10153" s="29" t="s">
        <v>1479</v>
      </c>
      <c r="O10153" s="29"/>
      <c r="P10153" s="29" t="s">
        <v>14368</v>
      </c>
      <c r="Q10153" t="s">
        <v>2193</v>
      </c>
      <c r="R10153" t="s">
        <v>2635</v>
      </c>
      <c r="S10153">
        <v>38</v>
      </c>
      <c r="T10153" s="43" t="str">
        <f t="shared" si="434"/>
        <v>2022.008P.Caulimoviridae_rename.zip</v>
      </c>
      <c r="U10153" s="43" t="str">
        <f>HYPERLINK("https://ictv.global/taxonomy/taxondetails?taxnode_id=202205762","ictv.global=202205762")</f>
        <v>ictv.global=202205762</v>
      </c>
    </row>
    <row r="10154" spans="1:21">
      <c r="A10154">
        <v>10153</v>
      </c>
      <c r="B10154" s="29" t="s">
        <v>3223</v>
      </c>
      <c r="C10154" s="29"/>
      <c r="D10154" s="29" t="s">
        <v>4359</v>
      </c>
      <c r="E10154" s="29"/>
      <c r="F10154" s="29" t="s">
        <v>4360</v>
      </c>
      <c r="G10154" s="29"/>
      <c r="H10154" s="29" t="s">
        <v>4361</v>
      </c>
      <c r="I10154" s="29"/>
      <c r="J10154" s="29" t="s">
        <v>2660</v>
      </c>
      <c r="K10154" s="29"/>
      <c r="L10154" s="29" t="s">
        <v>1478</v>
      </c>
      <c r="M10154" s="29"/>
      <c r="N10154" s="29" t="s">
        <v>1479</v>
      </c>
      <c r="O10154" s="29"/>
      <c r="P10154" s="29" t="s">
        <v>14369</v>
      </c>
      <c r="Q10154" t="s">
        <v>2193</v>
      </c>
      <c r="R10154" t="s">
        <v>2635</v>
      </c>
      <c r="S10154">
        <v>38</v>
      </c>
      <c r="T10154" s="43" t="str">
        <f t="shared" si="434"/>
        <v>2022.008P.Caulimoviridae_rename.zip</v>
      </c>
      <c r="U10154" s="43" t="str">
        <f>HYPERLINK("https://ictv.global/taxonomy/taxondetails?taxnode_id=202202841","ictv.global=202202841")</f>
        <v>ictv.global=202202841</v>
      </c>
    </row>
    <row r="10155" spans="1:21">
      <c r="A10155">
        <v>10154</v>
      </c>
      <c r="B10155" s="29" t="s">
        <v>3223</v>
      </c>
      <c r="C10155" s="29"/>
      <c r="D10155" s="29" t="s">
        <v>4359</v>
      </c>
      <c r="E10155" s="29"/>
      <c r="F10155" s="29" t="s">
        <v>4360</v>
      </c>
      <c r="G10155" s="29"/>
      <c r="H10155" s="29" t="s">
        <v>4361</v>
      </c>
      <c r="I10155" s="29"/>
      <c r="J10155" s="29" t="s">
        <v>2660</v>
      </c>
      <c r="K10155" s="29"/>
      <c r="L10155" s="29" t="s">
        <v>1478</v>
      </c>
      <c r="M10155" s="29"/>
      <c r="N10155" s="29" t="s">
        <v>1479</v>
      </c>
      <c r="O10155" s="29"/>
      <c r="P10155" s="29" t="s">
        <v>14370</v>
      </c>
      <c r="Q10155" t="s">
        <v>2193</v>
      </c>
      <c r="R10155" t="s">
        <v>2635</v>
      </c>
      <c r="S10155">
        <v>38</v>
      </c>
      <c r="T10155" s="43" t="str">
        <f t="shared" si="434"/>
        <v>2022.008P.Caulimoviridae_rename.zip</v>
      </c>
      <c r="U10155" s="43" t="str">
        <f>HYPERLINK("https://ictv.global/taxonomy/taxondetails?taxnode_id=202208840","ictv.global=202208840")</f>
        <v>ictv.global=202208840</v>
      </c>
    </row>
    <row r="10156" spans="1:21">
      <c r="A10156">
        <v>10155</v>
      </c>
      <c r="B10156" s="29" t="s">
        <v>3223</v>
      </c>
      <c r="C10156" s="29"/>
      <c r="D10156" s="29" t="s">
        <v>4359</v>
      </c>
      <c r="E10156" s="29"/>
      <c r="F10156" s="29" t="s">
        <v>4360</v>
      </c>
      <c r="G10156" s="29"/>
      <c r="H10156" s="29" t="s">
        <v>4361</v>
      </c>
      <c r="I10156" s="29"/>
      <c r="J10156" s="29" t="s">
        <v>2660</v>
      </c>
      <c r="K10156" s="29"/>
      <c r="L10156" s="29" t="s">
        <v>1478</v>
      </c>
      <c r="M10156" s="29"/>
      <c r="N10156" s="29" t="s">
        <v>1479</v>
      </c>
      <c r="O10156" s="29"/>
      <c r="P10156" s="29" t="s">
        <v>14371</v>
      </c>
      <c r="Q10156" t="s">
        <v>2193</v>
      </c>
      <c r="R10156" t="s">
        <v>2635</v>
      </c>
      <c r="S10156">
        <v>38</v>
      </c>
      <c r="T10156" s="43" t="str">
        <f t="shared" si="434"/>
        <v>2022.008P.Caulimoviridae_rename.zip</v>
      </c>
      <c r="U10156" s="43" t="str">
        <f>HYPERLINK("https://ictv.global/taxonomy/taxondetails?taxnode_id=202207427","ictv.global=202207427")</f>
        <v>ictv.global=202207427</v>
      </c>
    </row>
    <row r="10157" spans="1:21">
      <c r="A10157">
        <v>10156</v>
      </c>
      <c r="B10157" s="29" t="s">
        <v>3223</v>
      </c>
      <c r="C10157" s="29"/>
      <c r="D10157" s="29" t="s">
        <v>4359</v>
      </c>
      <c r="E10157" s="29"/>
      <c r="F10157" s="29" t="s">
        <v>4360</v>
      </c>
      <c r="G10157" s="29"/>
      <c r="H10157" s="29" t="s">
        <v>4361</v>
      </c>
      <c r="I10157" s="29"/>
      <c r="J10157" s="29" t="s">
        <v>2660</v>
      </c>
      <c r="K10157" s="29"/>
      <c r="L10157" s="29" t="s">
        <v>1478</v>
      </c>
      <c r="M10157" s="29"/>
      <c r="N10157" s="29" t="s">
        <v>1479</v>
      </c>
      <c r="O10157" s="29"/>
      <c r="P10157" s="29" t="s">
        <v>14372</v>
      </c>
      <c r="Q10157" t="s">
        <v>2193</v>
      </c>
      <c r="R10157" t="s">
        <v>2635</v>
      </c>
      <c r="S10157">
        <v>38</v>
      </c>
      <c r="T10157" s="43" t="str">
        <f t="shared" si="434"/>
        <v>2022.008P.Caulimoviridae_rename.zip</v>
      </c>
      <c r="U10157" s="43" t="str">
        <f>HYPERLINK("https://ictv.global/taxonomy/taxondetails?taxnode_id=202206641","ictv.global=202206641")</f>
        <v>ictv.global=202206641</v>
      </c>
    </row>
    <row r="10158" spans="1:21">
      <c r="A10158">
        <v>10157</v>
      </c>
      <c r="B10158" s="29" t="s">
        <v>3223</v>
      </c>
      <c r="C10158" s="29"/>
      <c r="D10158" s="29" t="s">
        <v>4359</v>
      </c>
      <c r="E10158" s="29"/>
      <c r="F10158" s="29" t="s">
        <v>4360</v>
      </c>
      <c r="G10158" s="29"/>
      <c r="H10158" s="29" t="s">
        <v>4361</v>
      </c>
      <c r="I10158" s="29"/>
      <c r="J10158" s="29" t="s">
        <v>2660</v>
      </c>
      <c r="K10158" s="29"/>
      <c r="L10158" s="29" t="s">
        <v>1478</v>
      </c>
      <c r="M10158" s="29"/>
      <c r="N10158" s="29" t="s">
        <v>1479</v>
      </c>
      <c r="O10158" s="29"/>
      <c r="P10158" s="29" t="s">
        <v>14373</v>
      </c>
      <c r="Q10158" t="s">
        <v>2193</v>
      </c>
      <c r="R10158" t="s">
        <v>2635</v>
      </c>
      <c r="S10158">
        <v>38</v>
      </c>
      <c r="T10158" s="43" t="str">
        <f t="shared" si="434"/>
        <v>2022.008P.Caulimoviridae_rename.zip</v>
      </c>
      <c r="U10158" s="43" t="str">
        <f>HYPERLINK("https://ictv.global/taxonomy/taxondetails?taxnode_id=202205766","ictv.global=202205766")</f>
        <v>ictv.global=202205766</v>
      </c>
    </row>
    <row r="10159" spans="1:21">
      <c r="A10159">
        <v>10158</v>
      </c>
      <c r="B10159" s="29" t="s">
        <v>3223</v>
      </c>
      <c r="C10159" s="29"/>
      <c r="D10159" s="29" t="s">
        <v>4359</v>
      </c>
      <c r="E10159" s="29"/>
      <c r="F10159" s="29" t="s">
        <v>4360</v>
      </c>
      <c r="G10159" s="29"/>
      <c r="H10159" s="29" t="s">
        <v>4361</v>
      </c>
      <c r="I10159" s="29"/>
      <c r="J10159" s="29" t="s">
        <v>2660</v>
      </c>
      <c r="K10159" s="29"/>
      <c r="L10159" s="29" t="s">
        <v>1478</v>
      </c>
      <c r="M10159" s="29"/>
      <c r="N10159" s="29" t="s">
        <v>1479</v>
      </c>
      <c r="O10159" s="29"/>
      <c r="P10159" s="29" t="s">
        <v>14374</v>
      </c>
      <c r="Q10159" t="s">
        <v>2193</v>
      </c>
      <c r="R10159" t="s">
        <v>2635</v>
      </c>
      <c r="S10159">
        <v>38</v>
      </c>
      <c r="T10159" s="43" t="str">
        <f t="shared" si="434"/>
        <v>2022.008P.Caulimoviridae_rename.zip</v>
      </c>
      <c r="U10159" s="43" t="str">
        <f>HYPERLINK("https://ictv.global/taxonomy/taxondetails?taxnode_id=202208836","ictv.global=202208836")</f>
        <v>ictv.global=202208836</v>
      </c>
    </row>
    <row r="10160" spans="1:21">
      <c r="A10160">
        <v>10159</v>
      </c>
      <c r="B10160" s="29" t="s">
        <v>3223</v>
      </c>
      <c r="C10160" s="29"/>
      <c r="D10160" s="29" t="s">
        <v>4359</v>
      </c>
      <c r="E10160" s="29"/>
      <c r="F10160" s="29" t="s">
        <v>4360</v>
      </c>
      <c r="G10160" s="29"/>
      <c r="H10160" s="29" t="s">
        <v>4361</v>
      </c>
      <c r="I10160" s="29"/>
      <c r="J10160" s="29" t="s">
        <v>2660</v>
      </c>
      <c r="K10160" s="29"/>
      <c r="L10160" s="29" t="s">
        <v>1478</v>
      </c>
      <c r="M10160" s="29"/>
      <c r="N10160" s="29" t="s">
        <v>1479</v>
      </c>
      <c r="O10160" s="29"/>
      <c r="P10160" s="29" t="s">
        <v>14375</v>
      </c>
      <c r="Q10160" t="s">
        <v>2193</v>
      </c>
      <c r="R10160" t="s">
        <v>2635</v>
      </c>
      <c r="S10160">
        <v>38</v>
      </c>
      <c r="T10160" s="43" t="str">
        <f t="shared" si="434"/>
        <v>2022.008P.Caulimoviridae_rename.zip</v>
      </c>
      <c r="U10160" s="43" t="str">
        <f>HYPERLINK("https://ictv.global/taxonomy/taxondetails?taxnode_id=202202831","ictv.global=202202831")</f>
        <v>ictv.global=202202831</v>
      </c>
    </row>
    <row r="10161" spans="1:21">
      <c r="A10161">
        <v>10160</v>
      </c>
      <c r="B10161" s="29" t="s">
        <v>3223</v>
      </c>
      <c r="C10161" s="29"/>
      <c r="D10161" s="29" t="s">
        <v>4359</v>
      </c>
      <c r="E10161" s="29"/>
      <c r="F10161" s="29" t="s">
        <v>4360</v>
      </c>
      <c r="G10161" s="29"/>
      <c r="H10161" s="29" t="s">
        <v>4361</v>
      </c>
      <c r="I10161" s="29"/>
      <c r="J10161" s="29" t="s">
        <v>2660</v>
      </c>
      <c r="K10161" s="29"/>
      <c r="L10161" s="29" t="s">
        <v>1478</v>
      </c>
      <c r="M10161" s="29"/>
      <c r="N10161" s="29" t="s">
        <v>1479</v>
      </c>
      <c r="O10161" s="29"/>
      <c r="P10161" s="29" t="s">
        <v>14376</v>
      </c>
      <c r="Q10161" t="s">
        <v>2193</v>
      </c>
      <c r="R10161" t="s">
        <v>2635</v>
      </c>
      <c r="S10161">
        <v>38</v>
      </c>
      <c r="T10161" s="43" t="str">
        <f t="shared" si="434"/>
        <v>2022.008P.Caulimoviridae_rename.zip</v>
      </c>
      <c r="U10161" s="43" t="str">
        <f>HYPERLINK("https://ictv.global/taxonomy/taxondetails?taxnode_id=202202825","ictv.global=202202825")</f>
        <v>ictv.global=202202825</v>
      </c>
    </row>
    <row r="10162" spans="1:21">
      <c r="A10162">
        <v>10161</v>
      </c>
      <c r="B10162" s="29" t="s">
        <v>3223</v>
      </c>
      <c r="C10162" s="29"/>
      <c r="D10162" s="29" t="s">
        <v>4359</v>
      </c>
      <c r="E10162" s="29"/>
      <c r="F10162" s="29" t="s">
        <v>4360</v>
      </c>
      <c r="G10162" s="29"/>
      <c r="H10162" s="29" t="s">
        <v>4361</v>
      </c>
      <c r="I10162" s="29"/>
      <c r="J10162" s="29" t="s">
        <v>2660</v>
      </c>
      <c r="K10162" s="29"/>
      <c r="L10162" s="29" t="s">
        <v>1478</v>
      </c>
      <c r="M10162" s="29"/>
      <c r="N10162" s="29" t="s">
        <v>1582</v>
      </c>
      <c r="O10162" s="29"/>
      <c r="P10162" s="29" t="s">
        <v>14377</v>
      </c>
      <c r="Q10162" t="s">
        <v>2193</v>
      </c>
      <c r="R10162" t="s">
        <v>2635</v>
      </c>
      <c r="S10162">
        <v>38</v>
      </c>
      <c r="T10162" s="43" t="str">
        <f t="shared" si="434"/>
        <v>2022.008P.Caulimoviridae_rename.zip</v>
      </c>
      <c r="U10162" s="43" t="str">
        <f>HYPERLINK("https://ictv.global/taxonomy/taxondetails?taxnode_id=202202866","ictv.global=202202866")</f>
        <v>ictv.global=202202866</v>
      </c>
    </row>
    <row r="10163" spans="1:21">
      <c r="A10163">
        <v>10162</v>
      </c>
      <c r="B10163" s="29" t="s">
        <v>3223</v>
      </c>
      <c r="C10163" s="29"/>
      <c r="D10163" s="29" t="s">
        <v>4359</v>
      </c>
      <c r="E10163" s="29"/>
      <c r="F10163" s="29" t="s">
        <v>4360</v>
      </c>
      <c r="G10163" s="29"/>
      <c r="H10163" s="29" t="s">
        <v>4361</v>
      </c>
      <c r="I10163" s="29"/>
      <c r="J10163" s="29" t="s">
        <v>2660</v>
      </c>
      <c r="K10163" s="29"/>
      <c r="L10163" s="29" t="s">
        <v>1478</v>
      </c>
      <c r="M10163" s="29"/>
      <c r="N10163" s="29" t="s">
        <v>1582</v>
      </c>
      <c r="O10163" s="29"/>
      <c r="P10163" s="29" t="s">
        <v>14378</v>
      </c>
      <c r="Q10163" t="s">
        <v>2193</v>
      </c>
      <c r="R10163" t="s">
        <v>2635</v>
      </c>
      <c r="S10163">
        <v>38</v>
      </c>
      <c r="T10163" s="43" t="str">
        <f t="shared" si="434"/>
        <v>2022.008P.Caulimoviridae_rename.zip</v>
      </c>
      <c r="U10163" s="43" t="str">
        <f>HYPERLINK("https://ictv.global/taxonomy/taxondetails?taxnode_id=202202868","ictv.global=202202868")</f>
        <v>ictv.global=202202868</v>
      </c>
    </row>
    <row r="10164" spans="1:21">
      <c r="A10164">
        <v>10163</v>
      </c>
      <c r="B10164" s="29" t="s">
        <v>3223</v>
      </c>
      <c r="C10164" s="29"/>
      <c r="D10164" s="29" t="s">
        <v>4359</v>
      </c>
      <c r="E10164" s="29"/>
      <c r="F10164" s="29" t="s">
        <v>4360</v>
      </c>
      <c r="G10164" s="29"/>
      <c r="H10164" s="29" t="s">
        <v>4361</v>
      </c>
      <c r="I10164" s="29"/>
      <c r="J10164" s="29" t="s">
        <v>2660</v>
      </c>
      <c r="K10164" s="29"/>
      <c r="L10164" s="29" t="s">
        <v>1478</v>
      </c>
      <c r="M10164" s="29"/>
      <c r="N10164" s="29" t="s">
        <v>1582</v>
      </c>
      <c r="O10164" s="29"/>
      <c r="P10164" s="29" t="s">
        <v>14379</v>
      </c>
      <c r="Q10164" t="s">
        <v>2193</v>
      </c>
      <c r="R10164" t="s">
        <v>2635</v>
      </c>
      <c r="S10164">
        <v>38</v>
      </c>
      <c r="T10164" s="43" t="str">
        <f t="shared" si="434"/>
        <v>2022.008P.Caulimoviridae_rename.zip</v>
      </c>
      <c r="U10164" s="43" t="str">
        <f>HYPERLINK("https://ictv.global/taxonomy/taxondetails?taxnode_id=202202861","ictv.global=202202861")</f>
        <v>ictv.global=202202861</v>
      </c>
    </row>
    <row r="10165" spans="1:21">
      <c r="A10165">
        <v>10164</v>
      </c>
      <c r="B10165" s="29" t="s">
        <v>3223</v>
      </c>
      <c r="C10165" s="29"/>
      <c r="D10165" s="29" t="s">
        <v>4359</v>
      </c>
      <c r="E10165" s="29"/>
      <c r="F10165" s="29" t="s">
        <v>4360</v>
      </c>
      <c r="G10165" s="29"/>
      <c r="H10165" s="29" t="s">
        <v>4361</v>
      </c>
      <c r="I10165" s="29"/>
      <c r="J10165" s="29" t="s">
        <v>2660</v>
      </c>
      <c r="K10165" s="29"/>
      <c r="L10165" s="29" t="s">
        <v>1478</v>
      </c>
      <c r="M10165" s="29"/>
      <c r="N10165" s="29" t="s">
        <v>1582</v>
      </c>
      <c r="O10165" s="29"/>
      <c r="P10165" s="29" t="s">
        <v>14380</v>
      </c>
      <c r="Q10165" t="s">
        <v>2193</v>
      </c>
      <c r="R10165" t="s">
        <v>2635</v>
      </c>
      <c r="S10165">
        <v>38</v>
      </c>
      <c r="T10165" s="43" t="str">
        <f t="shared" si="434"/>
        <v>2022.008P.Caulimoviridae_rename.zip</v>
      </c>
      <c r="U10165" s="43" t="str">
        <f>HYPERLINK("https://ictv.global/taxonomy/taxondetails?taxnode_id=202202865","ictv.global=202202865")</f>
        <v>ictv.global=202202865</v>
      </c>
    </row>
    <row r="10166" spans="1:21">
      <c r="A10166">
        <v>10165</v>
      </c>
      <c r="B10166" s="29" t="s">
        <v>3223</v>
      </c>
      <c r="C10166" s="29"/>
      <c r="D10166" s="29" t="s">
        <v>4359</v>
      </c>
      <c r="E10166" s="29"/>
      <c r="F10166" s="29" t="s">
        <v>4360</v>
      </c>
      <c r="G10166" s="29"/>
      <c r="H10166" s="29" t="s">
        <v>4361</v>
      </c>
      <c r="I10166" s="29"/>
      <c r="J10166" s="29" t="s">
        <v>2660</v>
      </c>
      <c r="K10166" s="29"/>
      <c r="L10166" s="29" t="s">
        <v>1478</v>
      </c>
      <c r="M10166" s="29"/>
      <c r="N10166" s="29" t="s">
        <v>1582</v>
      </c>
      <c r="O10166" s="29"/>
      <c r="P10166" s="29" t="s">
        <v>14381</v>
      </c>
      <c r="Q10166" t="s">
        <v>2193</v>
      </c>
      <c r="R10166" t="s">
        <v>2635</v>
      </c>
      <c r="S10166">
        <v>38</v>
      </c>
      <c r="T10166" s="43" t="str">
        <f t="shared" si="434"/>
        <v>2022.008P.Caulimoviridae_rename.zip</v>
      </c>
      <c r="U10166" s="43" t="str">
        <f>HYPERLINK("https://ictv.global/taxonomy/taxondetails?taxnode_id=202202870","ictv.global=202202870")</f>
        <v>ictv.global=202202870</v>
      </c>
    </row>
    <row r="10167" spans="1:21">
      <c r="A10167">
        <v>10166</v>
      </c>
      <c r="B10167" s="29" t="s">
        <v>3223</v>
      </c>
      <c r="C10167" s="29"/>
      <c r="D10167" s="29" t="s">
        <v>4359</v>
      </c>
      <c r="E10167" s="29"/>
      <c r="F10167" s="29" t="s">
        <v>4360</v>
      </c>
      <c r="G10167" s="29"/>
      <c r="H10167" s="29" t="s">
        <v>4361</v>
      </c>
      <c r="I10167" s="29"/>
      <c r="J10167" s="29" t="s">
        <v>2660</v>
      </c>
      <c r="K10167" s="29"/>
      <c r="L10167" s="29" t="s">
        <v>1478</v>
      </c>
      <c r="M10167" s="29"/>
      <c r="N10167" s="29" t="s">
        <v>1582</v>
      </c>
      <c r="O10167" s="29"/>
      <c r="P10167" s="29" t="s">
        <v>14382</v>
      </c>
      <c r="Q10167" t="s">
        <v>2193</v>
      </c>
      <c r="R10167" t="s">
        <v>2635</v>
      </c>
      <c r="S10167">
        <v>38</v>
      </c>
      <c r="T10167" s="43" t="str">
        <f t="shared" si="434"/>
        <v>2022.008P.Caulimoviridae_rename.zip</v>
      </c>
      <c r="U10167" s="43" t="str">
        <f>HYPERLINK("https://ictv.global/taxonomy/taxondetails?taxnode_id=202202860","ictv.global=202202860")</f>
        <v>ictv.global=202202860</v>
      </c>
    </row>
    <row r="10168" spans="1:21">
      <c r="A10168">
        <v>10167</v>
      </c>
      <c r="B10168" s="29" t="s">
        <v>3223</v>
      </c>
      <c r="C10168" s="29"/>
      <c r="D10168" s="29" t="s">
        <v>4359</v>
      </c>
      <c r="E10168" s="29"/>
      <c r="F10168" s="29" t="s">
        <v>4360</v>
      </c>
      <c r="G10168" s="29"/>
      <c r="H10168" s="29" t="s">
        <v>4361</v>
      </c>
      <c r="I10168" s="29"/>
      <c r="J10168" s="29" t="s">
        <v>2660</v>
      </c>
      <c r="K10168" s="29"/>
      <c r="L10168" s="29" t="s">
        <v>1478</v>
      </c>
      <c r="M10168" s="29"/>
      <c r="N10168" s="29" t="s">
        <v>1582</v>
      </c>
      <c r="O10168" s="29"/>
      <c r="P10168" s="29" t="s">
        <v>14383</v>
      </c>
      <c r="Q10168" t="s">
        <v>2038</v>
      </c>
      <c r="R10168" t="s">
        <v>2632</v>
      </c>
      <c r="S10168">
        <v>38</v>
      </c>
      <c r="T10168" s="43" t="str">
        <f>HYPERLINK("https://ictv.global/ictv/proposals/2022.007P.Caulimoviridae_4ns.zip","2022.007P.Caulimoviridae_4ns.zip")</f>
        <v>2022.007P.Caulimoviridae_4ns.zip</v>
      </c>
      <c r="U10168" s="43" t="str">
        <f>HYPERLINK("https://ictv.global/taxonomy/taxondetails?taxnode_id=202215100","ictv.global=202215100")</f>
        <v>ictv.global=202215100</v>
      </c>
    </row>
    <row r="10169" spans="1:21">
      <c r="A10169">
        <v>10168</v>
      </c>
      <c r="B10169" s="29" t="s">
        <v>3223</v>
      </c>
      <c r="C10169" s="29"/>
      <c r="D10169" s="29" t="s">
        <v>4359</v>
      </c>
      <c r="E10169" s="29"/>
      <c r="F10169" s="29" t="s">
        <v>4360</v>
      </c>
      <c r="G10169" s="29"/>
      <c r="H10169" s="29" t="s">
        <v>4361</v>
      </c>
      <c r="I10169" s="29"/>
      <c r="J10169" s="29" t="s">
        <v>2660</v>
      </c>
      <c r="K10169" s="29"/>
      <c r="L10169" s="29" t="s">
        <v>1478</v>
      </c>
      <c r="M10169" s="29"/>
      <c r="N10169" s="29" t="s">
        <v>1582</v>
      </c>
      <c r="O10169" s="29"/>
      <c r="P10169" s="29" t="s">
        <v>14384</v>
      </c>
      <c r="Q10169" t="s">
        <v>2193</v>
      </c>
      <c r="R10169" t="s">
        <v>2635</v>
      </c>
      <c r="S10169">
        <v>38</v>
      </c>
      <c r="T10169" s="43" t="str">
        <f t="shared" ref="T10169:T10184" si="435">HYPERLINK("https://ictv.global/ictv/proposals/2022.008P.Caulimoviridae_rename.zip","2022.008P.Caulimoviridae_rename.zip")</f>
        <v>2022.008P.Caulimoviridae_rename.zip</v>
      </c>
      <c r="U10169" s="43" t="str">
        <f>HYPERLINK("https://ictv.global/taxonomy/taxondetails?taxnode_id=202206640","ictv.global=202206640")</f>
        <v>ictv.global=202206640</v>
      </c>
    </row>
    <row r="10170" spans="1:21">
      <c r="A10170">
        <v>10169</v>
      </c>
      <c r="B10170" s="29" t="s">
        <v>3223</v>
      </c>
      <c r="C10170" s="29"/>
      <c r="D10170" s="29" t="s">
        <v>4359</v>
      </c>
      <c r="E10170" s="29"/>
      <c r="F10170" s="29" t="s">
        <v>4360</v>
      </c>
      <c r="G10170" s="29"/>
      <c r="H10170" s="29" t="s">
        <v>4361</v>
      </c>
      <c r="I10170" s="29"/>
      <c r="J10170" s="29" t="s">
        <v>2660</v>
      </c>
      <c r="K10170" s="29"/>
      <c r="L10170" s="29" t="s">
        <v>1478</v>
      </c>
      <c r="M10170" s="29"/>
      <c r="N10170" s="29" t="s">
        <v>1582</v>
      </c>
      <c r="O10170" s="29"/>
      <c r="P10170" s="29" t="s">
        <v>14385</v>
      </c>
      <c r="Q10170" t="s">
        <v>2193</v>
      </c>
      <c r="R10170" t="s">
        <v>2635</v>
      </c>
      <c r="S10170">
        <v>38</v>
      </c>
      <c r="T10170" s="43" t="str">
        <f t="shared" si="435"/>
        <v>2022.008P.Caulimoviridae_rename.zip</v>
      </c>
      <c r="U10170" s="43" t="str">
        <f>HYPERLINK("https://ictv.global/taxonomy/taxondetails?taxnode_id=202202862","ictv.global=202202862")</f>
        <v>ictv.global=202202862</v>
      </c>
    </row>
    <row r="10171" spans="1:21">
      <c r="A10171">
        <v>10170</v>
      </c>
      <c r="B10171" s="29" t="s">
        <v>3223</v>
      </c>
      <c r="C10171" s="29"/>
      <c r="D10171" s="29" t="s">
        <v>4359</v>
      </c>
      <c r="E10171" s="29"/>
      <c r="F10171" s="29" t="s">
        <v>4360</v>
      </c>
      <c r="G10171" s="29"/>
      <c r="H10171" s="29" t="s">
        <v>4361</v>
      </c>
      <c r="I10171" s="29"/>
      <c r="J10171" s="29" t="s">
        <v>2660</v>
      </c>
      <c r="K10171" s="29"/>
      <c r="L10171" s="29" t="s">
        <v>1478</v>
      </c>
      <c r="M10171" s="29"/>
      <c r="N10171" s="29" t="s">
        <v>1582</v>
      </c>
      <c r="O10171" s="29"/>
      <c r="P10171" s="29" t="s">
        <v>14386</v>
      </c>
      <c r="Q10171" t="s">
        <v>2193</v>
      </c>
      <c r="R10171" t="s">
        <v>2635</v>
      </c>
      <c r="S10171">
        <v>38</v>
      </c>
      <c r="T10171" s="43" t="str">
        <f t="shared" si="435"/>
        <v>2022.008P.Caulimoviridae_rename.zip</v>
      </c>
      <c r="U10171" s="43" t="str">
        <f>HYPERLINK("https://ictv.global/taxonomy/taxondetails?taxnode_id=202202863","ictv.global=202202863")</f>
        <v>ictv.global=202202863</v>
      </c>
    </row>
    <row r="10172" spans="1:21">
      <c r="A10172">
        <v>10171</v>
      </c>
      <c r="B10172" s="29" t="s">
        <v>3223</v>
      </c>
      <c r="C10172" s="29"/>
      <c r="D10172" s="29" t="s">
        <v>4359</v>
      </c>
      <c r="E10172" s="29"/>
      <c r="F10172" s="29" t="s">
        <v>4360</v>
      </c>
      <c r="G10172" s="29"/>
      <c r="H10172" s="29" t="s">
        <v>4361</v>
      </c>
      <c r="I10172" s="29"/>
      <c r="J10172" s="29" t="s">
        <v>2660</v>
      </c>
      <c r="K10172" s="29"/>
      <c r="L10172" s="29" t="s">
        <v>1478</v>
      </c>
      <c r="M10172" s="29"/>
      <c r="N10172" s="29" t="s">
        <v>1582</v>
      </c>
      <c r="O10172" s="29"/>
      <c r="P10172" s="29" t="s">
        <v>14387</v>
      </c>
      <c r="Q10172" t="s">
        <v>2193</v>
      </c>
      <c r="R10172" t="s">
        <v>2635</v>
      </c>
      <c r="S10172">
        <v>38</v>
      </c>
      <c r="T10172" s="43" t="str">
        <f t="shared" si="435"/>
        <v>2022.008P.Caulimoviridae_rename.zip</v>
      </c>
      <c r="U10172" s="43" t="str">
        <f>HYPERLINK("https://ictv.global/taxonomy/taxondetails?taxnode_id=202202867","ictv.global=202202867")</f>
        <v>ictv.global=202202867</v>
      </c>
    </row>
    <row r="10173" spans="1:21">
      <c r="A10173">
        <v>10172</v>
      </c>
      <c r="B10173" s="29" t="s">
        <v>3223</v>
      </c>
      <c r="C10173" s="29"/>
      <c r="D10173" s="29" t="s">
        <v>4359</v>
      </c>
      <c r="E10173" s="29"/>
      <c r="F10173" s="29" t="s">
        <v>4360</v>
      </c>
      <c r="G10173" s="29"/>
      <c r="H10173" s="29" t="s">
        <v>4361</v>
      </c>
      <c r="I10173" s="29"/>
      <c r="J10173" s="29" t="s">
        <v>2660</v>
      </c>
      <c r="K10173" s="29"/>
      <c r="L10173" s="29" t="s">
        <v>1478</v>
      </c>
      <c r="M10173" s="29"/>
      <c r="N10173" s="29" t="s">
        <v>1582</v>
      </c>
      <c r="O10173" s="29"/>
      <c r="P10173" s="29" t="s">
        <v>14388</v>
      </c>
      <c r="Q10173" t="s">
        <v>2193</v>
      </c>
      <c r="R10173" t="s">
        <v>2635</v>
      </c>
      <c r="S10173">
        <v>38</v>
      </c>
      <c r="T10173" s="43" t="str">
        <f t="shared" si="435"/>
        <v>2022.008P.Caulimoviridae_rename.zip</v>
      </c>
      <c r="U10173" s="43" t="str">
        <f>HYPERLINK("https://ictv.global/taxonomy/taxondetails?taxnode_id=202202864","ictv.global=202202864")</f>
        <v>ictv.global=202202864</v>
      </c>
    </row>
    <row r="10174" spans="1:21">
      <c r="A10174">
        <v>10173</v>
      </c>
      <c r="B10174" s="29" t="s">
        <v>3223</v>
      </c>
      <c r="C10174" s="29"/>
      <c r="D10174" s="29" t="s">
        <v>4359</v>
      </c>
      <c r="E10174" s="29"/>
      <c r="F10174" s="29" t="s">
        <v>4360</v>
      </c>
      <c r="G10174" s="29"/>
      <c r="H10174" s="29" t="s">
        <v>4361</v>
      </c>
      <c r="I10174" s="29"/>
      <c r="J10174" s="29" t="s">
        <v>2660</v>
      </c>
      <c r="K10174" s="29"/>
      <c r="L10174" s="29" t="s">
        <v>1478</v>
      </c>
      <c r="M10174" s="29"/>
      <c r="N10174" s="29" t="s">
        <v>1582</v>
      </c>
      <c r="O10174" s="29"/>
      <c r="P10174" s="29" t="s">
        <v>14389</v>
      </c>
      <c r="Q10174" t="s">
        <v>2193</v>
      </c>
      <c r="R10174" t="s">
        <v>2635</v>
      </c>
      <c r="S10174">
        <v>38</v>
      </c>
      <c r="T10174" s="43" t="str">
        <f t="shared" si="435"/>
        <v>2022.008P.Caulimoviridae_rename.zip</v>
      </c>
      <c r="U10174" s="43" t="str">
        <f>HYPERLINK("https://ictv.global/taxonomy/taxondetails?taxnode_id=202202869","ictv.global=202202869")</f>
        <v>ictv.global=202202869</v>
      </c>
    </row>
    <row r="10175" spans="1:21">
      <c r="A10175">
        <v>10174</v>
      </c>
      <c r="B10175" s="29" t="s">
        <v>3223</v>
      </c>
      <c r="C10175" s="29"/>
      <c r="D10175" s="29" t="s">
        <v>4359</v>
      </c>
      <c r="E10175" s="29"/>
      <c r="F10175" s="29" t="s">
        <v>4360</v>
      </c>
      <c r="G10175" s="29"/>
      <c r="H10175" s="29" t="s">
        <v>4361</v>
      </c>
      <c r="I10175" s="29"/>
      <c r="J10175" s="29" t="s">
        <v>2660</v>
      </c>
      <c r="K10175" s="29"/>
      <c r="L10175" s="29" t="s">
        <v>1478</v>
      </c>
      <c r="M10175" s="29"/>
      <c r="N10175" s="29" t="s">
        <v>572</v>
      </c>
      <c r="O10175" s="29"/>
      <c r="P10175" s="29" t="s">
        <v>14390</v>
      </c>
      <c r="Q10175" t="s">
        <v>2193</v>
      </c>
      <c r="R10175" t="s">
        <v>2635</v>
      </c>
      <c r="S10175">
        <v>38</v>
      </c>
      <c r="T10175" s="43" t="str">
        <f t="shared" si="435"/>
        <v>2022.008P.Caulimoviridae_rename.zip</v>
      </c>
      <c r="U10175" s="43" t="str">
        <f>HYPERLINK("https://ictv.global/taxonomy/taxondetails?taxnode_id=202202873","ictv.global=202202873")</f>
        <v>ictv.global=202202873</v>
      </c>
    </row>
    <row r="10176" spans="1:21">
      <c r="A10176">
        <v>10175</v>
      </c>
      <c r="B10176" s="29" t="s">
        <v>3223</v>
      </c>
      <c r="C10176" s="29"/>
      <c r="D10176" s="29" t="s">
        <v>4359</v>
      </c>
      <c r="E10176" s="29"/>
      <c r="F10176" s="29" t="s">
        <v>4360</v>
      </c>
      <c r="G10176" s="29"/>
      <c r="H10176" s="29" t="s">
        <v>4361</v>
      </c>
      <c r="I10176" s="29"/>
      <c r="J10176" s="29" t="s">
        <v>2660</v>
      </c>
      <c r="K10176" s="29"/>
      <c r="L10176" s="29" t="s">
        <v>1478</v>
      </c>
      <c r="M10176" s="29"/>
      <c r="N10176" s="29" t="s">
        <v>572</v>
      </c>
      <c r="O10176" s="29"/>
      <c r="P10176" s="29" t="s">
        <v>14391</v>
      </c>
      <c r="Q10176" t="s">
        <v>2193</v>
      </c>
      <c r="R10176" t="s">
        <v>2635</v>
      </c>
      <c r="S10176">
        <v>38</v>
      </c>
      <c r="T10176" s="43" t="str">
        <f t="shared" si="435"/>
        <v>2022.008P.Caulimoviridae_rename.zip</v>
      </c>
      <c r="U10176" s="43" t="str">
        <f>HYPERLINK("https://ictv.global/taxonomy/taxondetails?taxnode_id=202208839","ictv.global=202208839")</f>
        <v>ictv.global=202208839</v>
      </c>
    </row>
    <row r="10177" spans="1:21">
      <c r="A10177">
        <v>10176</v>
      </c>
      <c r="B10177" s="29" t="s">
        <v>3223</v>
      </c>
      <c r="C10177" s="29"/>
      <c r="D10177" s="29" t="s">
        <v>4359</v>
      </c>
      <c r="E10177" s="29"/>
      <c r="F10177" s="29" t="s">
        <v>4360</v>
      </c>
      <c r="G10177" s="29"/>
      <c r="H10177" s="29" t="s">
        <v>4361</v>
      </c>
      <c r="I10177" s="29"/>
      <c r="J10177" s="29" t="s">
        <v>2660</v>
      </c>
      <c r="K10177" s="29"/>
      <c r="L10177" s="29" t="s">
        <v>1478</v>
      </c>
      <c r="M10177" s="29"/>
      <c r="N10177" s="29" t="s">
        <v>572</v>
      </c>
      <c r="O10177" s="29"/>
      <c r="P10177" s="29" t="s">
        <v>14392</v>
      </c>
      <c r="Q10177" t="s">
        <v>2193</v>
      </c>
      <c r="R10177" t="s">
        <v>2635</v>
      </c>
      <c r="S10177">
        <v>38</v>
      </c>
      <c r="T10177" s="43" t="str">
        <f t="shared" si="435"/>
        <v>2022.008P.Caulimoviridae_rename.zip</v>
      </c>
      <c r="U10177" s="43" t="str">
        <f>HYPERLINK("https://ictv.global/taxonomy/taxondetails?taxnode_id=202202872","ictv.global=202202872")</f>
        <v>ictv.global=202202872</v>
      </c>
    </row>
    <row r="10178" spans="1:21">
      <c r="A10178">
        <v>10177</v>
      </c>
      <c r="B10178" s="29" t="s">
        <v>3223</v>
      </c>
      <c r="C10178" s="29"/>
      <c r="D10178" s="29" t="s">
        <v>4359</v>
      </c>
      <c r="E10178" s="29"/>
      <c r="F10178" s="29" t="s">
        <v>4360</v>
      </c>
      <c r="G10178" s="29"/>
      <c r="H10178" s="29" t="s">
        <v>4361</v>
      </c>
      <c r="I10178" s="29"/>
      <c r="J10178" s="29" t="s">
        <v>2660</v>
      </c>
      <c r="K10178" s="29"/>
      <c r="L10178" s="29" t="s">
        <v>1478</v>
      </c>
      <c r="M10178" s="29"/>
      <c r="N10178" s="29" t="s">
        <v>4369</v>
      </c>
      <c r="O10178" s="29"/>
      <c r="P10178" s="29" t="s">
        <v>14393</v>
      </c>
      <c r="Q10178" t="s">
        <v>2193</v>
      </c>
      <c r="R10178" t="s">
        <v>2635</v>
      </c>
      <c r="S10178">
        <v>38</v>
      </c>
      <c r="T10178" s="43" t="str">
        <f t="shared" si="435"/>
        <v>2022.008P.Caulimoviridae_rename.zip</v>
      </c>
      <c r="U10178" s="43" t="str">
        <f>HYPERLINK("https://ictv.global/taxonomy/taxondetails?taxnode_id=202207423","ictv.global=202207423")</f>
        <v>ictv.global=202207423</v>
      </c>
    </row>
    <row r="10179" spans="1:21">
      <c r="A10179">
        <v>10178</v>
      </c>
      <c r="B10179" s="29" t="s">
        <v>3223</v>
      </c>
      <c r="C10179" s="29"/>
      <c r="D10179" s="29" t="s">
        <v>4359</v>
      </c>
      <c r="E10179" s="29"/>
      <c r="F10179" s="29" t="s">
        <v>4360</v>
      </c>
      <c r="G10179" s="29"/>
      <c r="H10179" s="29" t="s">
        <v>4361</v>
      </c>
      <c r="I10179" s="29"/>
      <c r="J10179" s="29" t="s">
        <v>2660</v>
      </c>
      <c r="K10179" s="29"/>
      <c r="L10179" s="29" t="s">
        <v>1478</v>
      </c>
      <c r="M10179" s="29"/>
      <c r="N10179" s="29" t="s">
        <v>573</v>
      </c>
      <c r="O10179" s="29"/>
      <c r="P10179" s="29" t="s">
        <v>14394</v>
      </c>
      <c r="Q10179" t="s">
        <v>2193</v>
      </c>
      <c r="R10179" t="s">
        <v>2635</v>
      </c>
      <c r="S10179">
        <v>38</v>
      </c>
      <c r="T10179" s="43" t="str">
        <f t="shared" si="435"/>
        <v>2022.008P.Caulimoviridae_rename.zip</v>
      </c>
      <c r="U10179" s="43" t="str">
        <f>HYPERLINK("https://ictv.global/taxonomy/taxondetails?taxnode_id=202202875","ictv.global=202202875")</f>
        <v>ictv.global=202202875</v>
      </c>
    </row>
    <row r="10180" spans="1:21">
      <c r="A10180">
        <v>10179</v>
      </c>
      <c r="B10180" s="29" t="s">
        <v>3223</v>
      </c>
      <c r="C10180" s="29"/>
      <c r="D10180" s="29" t="s">
        <v>4359</v>
      </c>
      <c r="E10180" s="29"/>
      <c r="F10180" s="29" t="s">
        <v>4360</v>
      </c>
      <c r="G10180" s="29"/>
      <c r="H10180" s="29" t="s">
        <v>4361</v>
      </c>
      <c r="I10180" s="29"/>
      <c r="J10180" s="29" t="s">
        <v>2660</v>
      </c>
      <c r="K10180" s="29"/>
      <c r="L10180" s="29" t="s">
        <v>1478</v>
      </c>
      <c r="M10180" s="29"/>
      <c r="N10180" s="29" t="s">
        <v>1990</v>
      </c>
      <c r="O10180" s="29"/>
      <c r="P10180" s="29" t="s">
        <v>14395</v>
      </c>
      <c r="Q10180" t="s">
        <v>2193</v>
      </c>
      <c r="R10180" t="s">
        <v>2635</v>
      </c>
      <c r="S10180">
        <v>38</v>
      </c>
      <c r="T10180" s="43" t="str">
        <f t="shared" si="435"/>
        <v>2022.008P.Caulimoviridae_rename.zip</v>
      </c>
      <c r="U10180" s="43" t="str">
        <f>HYPERLINK("https://ictv.global/taxonomy/taxondetails?taxnode_id=202202877","ictv.global=202202877")</f>
        <v>ictv.global=202202877</v>
      </c>
    </row>
    <row r="10181" spans="1:21">
      <c r="A10181">
        <v>10180</v>
      </c>
      <c r="B10181" s="29" t="s">
        <v>3223</v>
      </c>
      <c r="C10181" s="29"/>
      <c r="D10181" s="29" t="s">
        <v>4359</v>
      </c>
      <c r="E10181" s="29"/>
      <c r="F10181" s="29" t="s">
        <v>4360</v>
      </c>
      <c r="G10181" s="29"/>
      <c r="H10181" s="29" t="s">
        <v>4361</v>
      </c>
      <c r="I10181" s="29"/>
      <c r="J10181" s="29" t="s">
        <v>2660</v>
      </c>
      <c r="K10181" s="29"/>
      <c r="L10181" s="29" t="s">
        <v>1478</v>
      </c>
      <c r="M10181" s="29"/>
      <c r="N10181" s="29" t="s">
        <v>6715</v>
      </c>
      <c r="O10181" s="29"/>
      <c r="P10181" s="29" t="s">
        <v>14396</v>
      </c>
      <c r="Q10181" t="s">
        <v>2193</v>
      </c>
      <c r="R10181" t="s">
        <v>2635</v>
      </c>
      <c r="S10181">
        <v>38</v>
      </c>
      <c r="T10181" s="43" t="str">
        <f t="shared" si="435"/>
        <v>2022.008P.Caulimoviridae_rename.zip</v>
      </c>
      <c r="U10181" s="43" t="str">
        <f>HYPERLINK("https://ictv.global/taxonomy/taxondetails?taxnode_id=202206652","ictv.global=202206652")</f>
        <v>ictv.global=202206652</v>
      </c>
    </row>
    <row r="10182" spans="1:21">
      <c r="A10182">
        <v>10181</v>
      </c>
      <c r="B10182" s="29" t="s">
        <v>3223</v>
      </c>
      <c r="C10182" s="29"/>
      <c r="D10182" s="29" t="s">
        <v>4359</v>
      </c>
      <c r="E10182" s="29"/>
      <c r="F10182" s="29" t="s">
        <v>4360</v>
      </c>
      <c r="G10182" s="29"/>
      <c r="H10182" s="29" t="s">
        <v>4361</v>
      </c>
      <c r="I10182" s="29"/>
      <c r="J10182" s="29" t="s">
        <v>2660</v>
      </c>
      <c r="K10182" s="29"/>
      <c r="L10182" s="29" t="s">
        <v>1478</v>
      </c>
      <c r="M10182" s="29"/>
      <c r="N10182" s="29" t="s">
        <v>48</v>
      </c>
      <c r="O10182" s="29"/>
      <c r="P10182" s="29" t="s">
        <v>14397</v>
      </c>
      <c r="Q10182" t="s">
        <v>2193</v>
      </c>
      <c r="R10182" t="s">
        <v>2635</v>
      </c>
      <c r="S10182">
        <v>38</v>
      </c>
      <c r="T10182" s="43" t="str">
        <f t="shared" si="435"/>
        <v>2022.008P.Caulimoviridae_rename.zip</v>
      </c>
      <c r="U10182" s="43" t="str">
        <f>HYPERLINK("https://ictv.global/taxonomy/taxondetails?taxnode_id=202202879","ictv.global=202202879")</f>
        <v>ictv.global=202202879</v>
      </c>
    </row>
    <row r="10183" spans="1:21">
      <c r="A10183">
        <v>10182</v>
      </c>
      <c r="B10183" s="29" t="s">
        <v>3223</v>
      </c>
      <c r="C10183" s="29"/>
      <c r="D10183" s="29" t="s">
        <v>4359</v>
      </c>
      <c r="E10183" s="29"/>
      <c r="F10183" s="29" t="s">
        <v>4360</v>
      </c>
      <c r="G10183" s="29"/>
      <c r="H10183" s="29" t="s">
        <v>4361</v>
      </c>
      <c r="I10183" s="29"/>
      <c r="J10183" s="29" t="s">
        <v>2660</v>
      </c>
      <c r="K10183" s="29"/>
      <c r="L10183" s="29" t="s">
        <v>1478</v>
      </c>
      <c r="M10183" s="29"/>
      <c r="N10183" s="29" t="s">
        <v>48</v>
      </c>
      <c r="O10183" s="29"/>
      <c r="P10183" s="29" t="s">
        <v>14398</v>
      </c>
      <c r="Q10183" t="s">
        <v>2193</v>
      </c>
      <c r="R10183" t="s">
        <v>2635</v>
      </c>
      <c r="S10183">
        <v>38</v>
      </c>
      <c r="T10183" s="43" t="str">
        <f t="shared" si="435"/>
        <v>2022.008P.Caulimoviridae_rename.zip</v>
      </c>
      <c r="U10183" s="43" t="str">
        <f>HYPERLINK("https://ictv.global/taxonomy/taxondetails?taxnode_id=202202880","ictv.global=202202880")</f>
        <v>ictv.global=202202880</v>
      </c>
    </row>
    <row r="10184" spans="1:21">
      <c r="A10184">
        <v>10183</v>
      </c>
      <c r="B10184" s="29" t="s">
        <v>3223</v>
      </c>
      <c r="C10184" s="29"/>
      <c r="D10184" s="29" t="s">
        <v>4359</v>
      </c>
      <c r="E10184" s="29"/>
      <c r="F10184" s="29" t="s">
        <v>4360</v>
      </c>
      <c r="G10184" s="29"/>
      <c r="H10184" s="29" t="s">
        <v>4361</v>
      </c>
      <c r="I10184" s="29"/>
      <c r="J10184" s="29" t="s">
        <v>2660</v>
      </c>
      <c r="K10184" s="29"/>
      <c r="L10184" s="29" t="s">
        <v>1478</v>
      </c>
      <c r="M10184" s="29"/>
      <c r="N10184" s="29" t="s">
        <v>886</v>
      </c>
      <c r="O10184" s="29"/>
      <c r="P10184" s="29" t="s">
        <v>14399</v>
      </c>
      <c r="Q10184" t="s">
        <v>2193</v>
      </c>
      <c r="R10184" t="s">
        <v>2635</v>
      </c>
      <c r="S10184">
        <v>38</v>
      </c>
      <c r="T10184" s="43" t="str">
        <f t="shared" si="435"/>
        <v>2022.008P.Caulimoviridae_rename.zip</v>
      </c>
      <c r="U10184" s="43" t="str">
        <f>HYPERLINK("https://ictv.global/taxonomy/taxondetails?taxnode_id=202202883","ictv.global=202202883")</f>
        <v>ictv.global=202202883</v>
      </c>
    </row>
    <row r="10185" spans="1:21">
      <c r="A10185">
        <v>10184</v>
      </c>
      <c r="B10185" s="29" t="s">
        <v>3223</v>
      </c>
      <c r="C10185" s="29"/>
      <c r="D10185" s="29" t="s">
        <v>4359</v>
      </c>
      <c r="E10185" s="29"/>
      <c r="F10185" s="29" t="s">
        <v>4360</v>
      </c>
      <c r="G10185" s="29"/>
      <c r="H10185" s="29" t="s">
        <v>4361</v>
      </c>
      <c r="I10185" s="29"/>
      <c r="J10185" s="29" t="s">
        <v>2660</v>
      </c>
      <c r="K10185" s="29"/>
      <c r="L10185" s="29" t="s">
        <v>1478</v>
      </c>
      <c r="M10185" s="29"/>
      <c r="N10185" s="29" t="s">
        <v>886</v>
      </c>
      <c r="O10185" s="29"/>
      <c r="P10185" s="29" t="s">
        <v>14400</v>
      </c>
      <c r="Q10185" t="s">
        <v>2038</v>
      </c>
      <c r="R10185" t="s">
        <v>2632</v>
      </c>
      <c r="S10185">
        <v>38</v>
      </c>
      <c r="T10185" s="43" t="str">
        <f>HYPERLINK("https://ictv.global/ictv/proposals/2022.007P.Caulimoviridae_4ns.zip","2022.007P.Caulimoviridae_4ns.zip")</f>
        <v>2022.007P.Caulimoviridae_4ns.zip</v>
      </c>
      <c r="U10185" s="43" t="str">
        <f>HYPERLINK("https://ictv.global/taxonomy/taxondetails?taxnode_id=202215101","ictv.global=202215101")</f>
        <v>ictv.global=202215101</v>
      </c>
    </row>
    <row r="10186" spans="1:21">
      <c r="A10186">
        <v>10185</v>
      </c>
      <c r="B10186" s="29" t="s">
        <v>3223</v>
      </c>
      <c r="C10186" s="29"/>
      <c r="D10186" s="29" t="s">
        <v>4359</v>
      </c>
      <c r="E10186" s="29"/>
      <c r="F10186" s="29" t="s">
        <v>4360</v>
      </c>
      <c r="G10186" s="29"/>
      <c r="H10186" s="29" t="s">
        <v>4361</v>
      </c>
      <c r="I10186" s="29"/>
      <c r="J10186" s="29" t="s">
        <v>2660</v>
      </c>
      <c r="K10186" s="29"/>
      <c r="L10186" s="29" t="s">
        <v>1478</v>
      </c>
      <c r="M10186" s="29"/>
      <c r="N10186" s="29" t="s">
        <v>886</v>
      </c>
      <c r="O10186" s="29"/>
      <c r="P10186" s="29" t="s">
        <v>14401</v>
      </c>
      <c r="Q10186" t="s">
        <v>2193</v>
      </c>
      <c r="R10186" t="s">
        <v>2635</v>
      </c>
      <c r="S10186">
        <v>38</v>
      </c>
      <c r="T10186" s="43" t="str">
        <f>HYPERLINK("https://ictv.global/ictv/proposals/2022.008P.Caulimoviridae_rename.zip","2022.008P.Caulimoviridae_rename.zip")</f>
        <v>2022.008P.Caulimoviridae_rename.zip</v>
      </c>
      <c r="U10186" s="43" t="str">
        <f>HYPERLINK("https://ictv.global/taxonomy/taxondetails?taxnode_id=202202885","ictv.global=202202885")</f>
        <v>ictv.global=202202885</v>
      </c>
    </row>
    <row r="10187" spans="1:21">
      <c r="A10187">
        <v>10186</v>
      </c>
      <c r="B10187" s="29" t="s">
        <v>3223</v>
      </c>
      <c r="C10187" s="29"/>
      <c r="D10187" s="29" t="s">
        <v>4359</v>
      </c>
      <c r="E10187" s="29"/>
      <c r="F10187" s="29" t="s">
        <v>4360</v>
      </c>
      <c r="G10187" s="29"/>
      <c r="H10187" s="29" t="s">
        <v>4361</v>
      </c>
      <c r="I10187" s="29"/>
      <c r="J10187" s="29" t="s">
        <v>2660</v>
      </c>
      <c r="K10187" s="29"/>
      <c r="L10187" s="29" t="s">
        <v>1478</v>
      </c>
      <c r="M10187" s="29"/>
      <c r="N10187" s="29" t="s">
        <v>886</v>
      </c>
      <c r="O10187" s="29"/>
      <c r="P10187" s="29" t="s">
        <v>14402</v>
      </c>
      <c r="Q10187" t="s">
        <v>2193</v>
      </c>
      <c r="R10187" t="s">
        <v>2635</v>
      </c>
      <c r="S10187">
        <v>38</v>
      </c>
      <c r="T10187" s="43" t="str">
        <f>HYPERLINK("https://ictv.global/ictv/proposals/2022.008P.Caulimoviridae_rename.zip","2022.008P.Caulimoviridae_rename.zip")</f>
        <v>2022.008P.Caulimoviridae_rename.zip</v>
      </c>
      <c r="U10187" s="43" t="str">
        <f>HYPERLINK("https://ictv.global/taxonomy/taxondetails?taxnode_id=202202882","ictv.global=202202882")</f>
        <v>ictv.global=202202882</v>
      </c>
    </row>
    <row r="10188" spans="1:21">
      <c r="A10188">
        <v>10187</v>
      </c>
      <c r="B10188" s="29" t="s">
        <v>3223</v>
      </c>
      <c r="C10188" s="29"/>
      <c r="D10188" s="29" t="s">
        <v>4359</v>
      </c>
      <c r="E10188" s="29"/>
      <c r="F10188" s="29" t="s">
        <v>4360</v>
      </c>
      <c r="G10188" s="29"/>
      <c r="H10188" s="29" t="s">
        <v>4361</v>
      </c>
      <c r="I10188" s="29"/>
      <c r="J10188" s="29" t="s">
        <v>2660</v>
      </c>
      <c r="K10188" s="29"/>
      <c r="L10188" s="29" t="s">
        <v>1478</v>
      </c>
      <c r="M10188" s="29"/>
      <c r="N10188" s="29" t="s">
        <v>886</v>
      </c>
      <c r="O10188" s="29"/>
      <c r="P10188" s="29" t="s">
        <v>14403</v>
      </c>
      <c r="Q10188" t="s">
        <v>2193</v>
      </c>
      <c r="R10188" t="s">
        <v>2635</v>
      </c>
      <c r="S10188">
        <v>38</v>
      </c>
      <c r="T10188" s="43" t="str">
        <f>HYPERLINK("https://ictv.global/ictv/proposals/2022.008P.Caulimoviridae_rename.zip","2022.008P.Caulimoviridae_rename.zip")</f>
        <v>2022.008P.Caulimoviridae_rename.zip</v>
      </c>
      <c r="U10188" s="43" t="str">
        <f>HYPERLINK("https://ictv.global/taxonomy/taxondetails?taxnode_id=202202884","ictv.global=202202884")</f>
        <v>ictv.global=202202884</v>
      </c>
    </row>
    <row r="10189" spans="1:21">
      <c r="A10189">
        <v>10188</v>
      </c>
      <c r="B10189" s="29" t="s">
        <v>3223</v>
      </c>
      <c r="C10189" s="29"/>
      <c r="D10189" s="29" t="s">
        <v>4359</v>
      </c>
      <c r="E10189" s="29"/>
      <c r="F10189" s="29" t="s">
        <v>4360</v>
      </c>
      <c r="G10189" s="29"/>
      <c r="H10189" s="29" t="s">
        <v>4361</v>
      </c>
      <c r="I10189" s="29"/>
      <c r="J10189" s="29" t="s">
        <v>2660</v>
      </c>
      <c r="K10189" s="29"/>
      <c r="L10189" s="29" t="s">
        <v>1478</v>
      </c>
      <c r="M10189" s="29"/>
      <c r="N10189" s="29" t="s">
        <v>887</v>
      </c>
      <c r="O10189" s="29"/>
      <c r="P10189" s="29" t="s">
        <v>14404</v>
      </c>
      <c r="Q10189" t="s">
        <v>2038</v>
      </c>
      <c r="R10189" t="s">
        <v>2632</v>
      </c>
      <c r="S10189">
        <v>38</v>
      </c>
      <c r="T10189" s="43" t="str">
        <f>HYPERLINK("https://ictv.global/ictv/proposals/2022.007P.Caulimoviridae_4ns.zip","2022.007P.Caulimoviridae_4ns.zip")</f>
        <v>2022.007P.Caulimoviridae_4ns.zip</v>
      </c>
      <c r="U10189" s="43" t="str">
        <f>HYPERLINK("https://ictv.global/taxonomy/taxondetails?taxnode_id=202215102","ictv.global=202215102")</f>
        <v>ictv.global=202215102</v>
      </c>
    </row>
    <row r="10190" spans="1:21">
      <c r="A10190">
        <v>10189</v>
      </c>
      <c r="B10190" s="29" t="s">
        <v>3223</v>
      </c>
      <c r="C10190" s="29"/>
      <c r="D10190" s="29" t="s">
        <v>4359</v>
      </c>
      <c r="E10190" s="29"/>
      <c r="F10190" s="29" t="s">
        <v>4360</v>
      </c>
      <c r="G10190" s="29"/>
      <c r="H10190" s="29" t="s">
        <v>4361</v>
      </c>
      <c r="I10190" s="29"/>
      <c r="J10190" s="29" t="s">
        <v>2660</v>
      </c>
      <c r="K10190" s="29"/>
      <c r="L10190" s="29" t="s">
        <v>1478</v>
      </c>
      <c r="M10190" s="29"/>
      <c r="N10190" s="29" t="s">
        <v>887</v>
      </c>
      <c r="O10190" s="29"/>
      <c r="P10190" s="29" t="s">
        <v>14405</v>
      </c>
      <c r="Q10190" t="s">
        <v>2193</v>
      </c>
      <c r="R10190" t="s">
        <v>2635</v>
      </c>
      <c r="S10190">
        <v>38</v>
      </c>
      <c r="T10190" s="43" t="str">
        <f>HYPERLINK("https://ictv.global/ictv/proposals/2022.008P.Caulimoviridae_rename.zip","2022.008P.Caulimoviridae_rename.zip")</f>
        <v>2022.008P.Caulimoviridae_rename.zip</v>
      </c>
      <c r="U10190" s="43" t="str">
        <f>HYPERLINK("https://ictv.global/taxonomy/taxondetails?taxnode_id=202202887","ictv.global=202202887")</f>
        <v>ictv.global=202202887</v>
      </c>
    </row>
    <row r="10191" spans="1:21">
      <c r="A10191">
        <v>10190</v>
      </c>
      <c r="B10191" s="29" t="s">
        <v>3223</v>
      </c>
      <c r="C10191" s="29"/>
      <c r="D10191" s="29" t="s">
        <v>4359</v>
      </c>
      <c r="E10191" s="29"/>
      <c r="F10191" s="29" t="s">
        <v>4360</v>
      </c>
      <c r="G10191" s="29"/>
      <c r="H10191" s="29" t="s">
        <v>4361</v>
      </c>
      <c r="I10191" s="29"/>
      <c r="J10191" s="29" t="s">
        <v>2660</v>
      </c>
      <c r="K10191" s="29"/>
      <c r="L10191" s="29" t="s">
        <v>1478</v>
      </c>
      <c r="M10191" s="29"/>
      <c r="N10191" s="29" t="s">
        <v>4370</v>
      </c>
      <c r="O10191" s="29"/>
      <c r="P10191" s="29" t="s">
        <v>14406</v>
      </c>
      <c r="Q10191" t="s">
        <v>2193</v>
      </c>
      <c r="R10191" t="s">
        <v>2635</v>
      </c>
      <c r="S10191">
        <v>38</v>
      </c>
      <c r="T10191" s="43" t="str">
        <f>HYPERLINK("https://ictv.global/ictv/proposals/2022.008P.Caulimoviridae_rename.zip","2022.008P.Caulimoviridae_rename.zip")</f>
        <v>2022.008P.Caulimoviridae_rename.zip</v>
      </c>
      <c r="U10191" s="43" t="str">
        <f>HYPERLINK("https://ictv.global/taxonomy/taxondetails?taxnode_id=202207425","ictv.global=202207425")</f>
        <v>ictv.global=202207425</v>
      </c>
    </row>
    <row r="10192" spans="1:21">
      <c r="A10192">
        <v>10191</v>
      </c>
      <c r="B10192" s="29" t="s">
        <v>3223</v>
      </c>
      <c r="C10192" s="29"/>
      <c r="D10192" s="29" t="s">
        <v>4359</v>
      </c>
      <c r="E10192" s="29"/>
      <c r="F10192" s="29" t="s">
        <v>4360</v>
      </c>
      <c r="G10192" s="29"/>
      <c r="H10192" s="29" t="s">
        <v>4361</v>
      </c>
      <c r="I10192" s="29"/>
      <c r="J10192" s="29" t="s">
        <v>2660</v>
      </c>
      <c r="K10192" s="29"/>
      <c r="L10192" s="29" t="s">
        <v>1231</v>
      </c>
      <c r="M10192" s="29"/>
      <c r="N10192" s="29" t="s">
        <v>784</v>
      </c>
      <c r="O10192" s="29"/>
      <c r="P10192" s="29" t="s">
        <v>785</v>
      </c>
      <c r="Q10192" t="s">
        <v>2043</v>
      </c>
      <c r="R10192" t="s">
        <v>2634</v>
      </c>
      <c r="S10192">
        <v>35</v>
      </c>
      <c r="T10192" s="43" t="str">
        <f>HYPERLINK("https://ictv.global/ictv/proposals/2019.006G.zip","2019.006G.zip")</f>
        <v>2019.006G.zip</v>
      </c>
      <c r="U10192" s="43" t="str">
        <f>HYPERLINK("https://ictv.global/taxonomy/taxondetails?taxnode_id=202203814","ictv.global=202203814")</f>
        <v>ictv.global=202203814</v>
      </c>
    </row>
    <row r="10193" spans="1:21">
      <c r="A10193">
        <v>10192</v>
      </c>
      <c r="B10193" s="29" t="s">
        <v>3223</v>
      </c>
      <c r="C10193" s="29"/>
      <c r="D10193" s="29" t="s">
        <v>4359</v>
      </c>
      <c r="E10193" s="29"/>
      <c r="F10193" s="29" t="s">
        <v>4360</v>
      </c>
      <c r="G10193" s="29"/>
      <c r="H10193" s="29" t="s">
        <v>4361</v>
      </c>
      <c r="I10193" s="29"/>
      <c r="J10193" s="29" t="s">
        <v>2660</v>
      </c>
      <c r="K10193" s="29"/>
      <c r="L10193" s="29" t="s">
        <v>1231</v>
      </c>
      <c r="M10193" s="29"/>
      <c r="N10193" s="29" t="s">
        <v>784</v>
      </c>
      <c r="O10193" s="29"/>
      <c r="P10193" s="29" t="s">
        <v>786</v>
      </c>
      <c r="Q10193" t="s">
        <v>2043</v>
      </c>
      <c r="R10193" t="s">
        <v>2634</v>
      </c>
      <c r="S10193">
        <v>35</v>
      </c>
      <c r="T10193" s="43" t="str">
        <f>HYPERLINK("https://ictv.global/ictv/proposals/2019.006G.zip","2019.006G.zip")</f>
        <v>2019.006G.zip</v>
      </c>
      <c r="U10193" s="43" t="str">
        <f>HYPERLINK("https://ictv.global/taxonomy/taxondetails?taxnode_id=202203815","ictv.global=202203815")</f>
        <v>ictv.global=202203815</v>
      </c>
    </row>
    <row r="10194" spans="1:21">
      <c r="A10194">
        <v>10193</v>
      </c>
      <c r="B10194" s="29" t="s">
        <v>3223</v>
      </c>
      <c r="C10194" s="29"/>
      <c r="D10194" s="29" t="s">
        <v>4359</v>
      </c>
      <c r="E10194" s="29"/>
      <c r="F10194" s="29" t="s">
        <v>4360</v>
      </c>
      <c r="G10194" s="29"/>
      <c r="H10194" s="29" t="s">
        <v>4361</v>
      </c>
      <c r="I10194" s="29"/>
      <c r="J10194" s="29" t="s">
        <v>2660</v>
      </c>
      <c r="K10194" s="29"/>
      <c r="L10194" s="29" t="s">
        <v>1231</v>
      </c>
      <c r="M10194" s="29"/>
      <c r="N10194" s="29" t="s">
        <v>784</v>
      </c>
      <c r="O10194" s="29"/>
      <c r="P10194" s="29" t="s">
        <v>2666</v>
      </c>
      <c r="Q10194" t="s">
        <v>2043</v>
      </c>
      <c r="R10194" t="s">
        <v>2634</v>
      </c>
      <c r="S10194">
        <v>35</v>
      </c>
      <c r="T10194" s="43" t="str">
        <f>HYPERLINK("https://ictv.global/ictv/proposals/2019.006G.zip","2019.006G.zip")</f>
        <v>2019.006G.zip</v>
      </c>
      <c r="U10194" s="43" t="str">
        <f>HYPERLINK("https://ictv.global/taxonomy/taxondetails?taxnode_id=202203816","ictv.global=202203816")</f>
        <v>ictv.global=202203816</v>
      </c>
    </row>
    <row r="10195" spans="1:21">
      <c r="A10195">
        <v>10194</v>
      </c>
      <c r="B10195" s="29" t="s">
        <v>3223</v>
      </c>
      <c r="C10195" s="29"/>
      <c r="D10195" s="29" t="s">
        <v>4359</v>
      </c>
      <c r="E10195" s="29"/>
      <c r="F10195" s="29" t="s">
        <v>4360</v>
      </c>
      <c r="G10195" s="29"/>
      <c r="H10195" s="29" t="s">
        <v>4361</v>
      </c>
      <c r="I10195" s="29"/>
      <c r="J10195" s="29" t="s">
        <v>2660</v>
      </c>
      <c r="K10195" s="29"/>
      <c r="L10195" s="29" t="s">
        <v>1231</v>
      </c>
      <c r="M10195" s="29"/>
      <c r="N10195" s="29" t="s">
        <v>784</v>
      </c>
      <c r="O10195" s="29"/>
      <c r="P10195" s="29" t="s">
        <v>787</v>
      </c>
      <c r="Q10195" t="s">
        <v>2043</v>
      </c>
      <c r="R10195" t="s">
        <v>2634</v>
      </c>
      <c r="S10195">
        <v>35</v>
      </c>
      <c r="T10195" s="43" t="str">
        <f>HYPERLINK("https://ictv.global/ictv/proposals/2019.006G.zip","2019.006G.zip")</f>
        <v>2019.006G.zip</v>
      </c>
      <c r="U10195" s="43" t="str">
        <f>HYPERLINK("https://ictv.global/taxonomy/taxondetails?taxnode_id=202203817","ictv.global=202203817")</f>
        <v>ictv.global=202203817</v>
      </c>
    </row>
    <row r="10196" spans="1:21">
      <c r="A10196">
        <v>10195</v>
      </c>
      <c r="B10196" s="29" t="s">
        <v>3223</v>
      </c>
      <c r="C10196" s="29"/>
      <c r="D10196" s="29" t="s">
        <v>4359</v>
      </c>
      <c r="E10196" s="29"/>
      <c r="F10196" s="29" t="s">
        <v>4360</v>
      </c>
      <c r="G10196" s="29"/>
      <c r="H10196" s="29" t="s">
        <v>4361</v>
      </c>
      <c r="I10196" s="29"/>
      <c r="J10196" s="29" t="s">
        <v>2660</v>
      </c>
      <c r="K10196" s="29"/>
      <c r="L10196" s="29" t="s">
        <v>1231</v>
      </c>
      <c r="M10196" s="29"/>
      <c r="N10196" s="29" t="s">
        <v>784</v>
      </c>
      <c r="O10196" s="29"/>
      <c r="P10196" s="29" t="s">
        <v>539</v>
      </c>
      <c r="Q10196" t="s">
        <v>2043</v>
      </c>
      <c r="R10196" t="s">
        <v>6901</v>
      </c>
      <c r="S10196">
        <v>36</v>
      </c>
      <c r="T10196" s="43" t="str">
        <f>HYPERLINK("https://ictv.global/ictv/proposals/2020.001G.R.Abolish_type_species.pdf","2020.001G.R.Abolish_type_species.pdf")</f>
        <v>2020.001G.R.Abolish_type_species.pdf</v>
      </c>
      <c r="U10196" s="43" t="str">
        <f>HYPERLINK("https://ictv.global/taxonomy/taxondetails?taxnode_id=202203818","ictv.global=202203818")</f>
        <v>ictv.global=202203818</v>
      </c>
    </row>
    <row r="10197" spans="1:21">
      <c r="A10197">
        <v>10196</v>
      </c>
      <c r="B10197" s="29" t="s">
        <v>3223</v>
      </c>
      <c r="C10197" s="29"/>
      <c r="D10197" s="29" t="s">
        <v>4359</v>
      </c>
      <c r="E10197" s="29"/>
      <c r="F10197" s="29" t="s">
        <v>4360</v>
      </c>
      <c r="G10197" s="29"/>
      <c r="H10197" s="29" t="s">
        <v>4361</v>
      </c>
      <c r="I10197" s="29"/>
      <c r="J10197" s="29" t="s">
        <v>2660</v>
      </c>
      <c r="K10197" s="29"/>
      <c r="L10197" s="29" t="s">
        <v>1231</v>
      </c>
      <c r="M10197" s="29"/>
      <c r="N10197" s="29" t="s">
        <v>784</v>
      </c>
      <c r="O10197" s="29"/>
      <c r="P10197" s="29" t="s">
        <v>540</v>
      </c>
      <c r="Q10197" t="s">
        <v>2043</v>
      </c>
      <c r="R10197" t="s">
        <v>2634</v>
      </c>
      <c r="S10197">
        <v>35</v>
      </c>
      <c r="T10197" s="43" t="str">
        <f t="shared" ref="T10197:T10216" si="436">HYPERLINK("https://ictv.global/ictv/proposals/2019.006G.zip","2019.006G.zip")</f>
        <v>2019.006G.zip</v>
      </c>
      <c r="U10197" s="43" t="str">
        <f>HYPERLINK("https://ictv.global/taxonomy/taxondetails?taxnode_id=202203819","ictv.global=202203819")</f>
        <v>ictv.global=202203819</v>
      </c>
    </row>
    <row r="10198" spans="1:21">
      <c r="A10198">
        <v>10197</v>
      </c>
      <c r="B10198" s="29" t="s">
        <v>3223</v>
      </c>
      <c r="C10198" s="29"/>
      <c r="D10198" s="29" t="s">
        <v>4359</v>
      </c>
      <c r="E10198" s="29"/>
      <c r="F10198" s="29" t="s">
        <v>4360</v>
      </c>
      <c r="G10198" s="29"/>
      <c r="H10198" s="29" t="s">
        <v>4361</v>
      </c>
      <c r="I10198" s="29"/>
      <c r="J10198" s="29" t="s">
        <v>2660</v>
      </c>
      <c r="K10198" s="29"/>
      <c r="L10198" s="29" t="s">
        <v>1231</v>
      </c>
      <c r="M10198" s="29"/>
      <c r="N10198" s="29" t="s">
        <v>784</v>
      </c>
      <c r="O10198" s="29"/>
      <c r="P10198" s="29" t="s">
        <v>541</v>
      </c>
      <c r="Q10198" t="s">
        <v>2043</v>
      </c>
      <c r="R10198" t="s">
        <v>2634</v>
      </c>
      <c r="S10198">
        <v>35</v>
      </c>
      <c r="T10198" s="43" t="str">
        <f t="shared" si="436"/>
        <v>2019.006G.zip</v>
      </c>
      <c r="U10198" s="43" t="str">
        <f>HYPERLINK("https://ictv.global/taxonomy/taxondetails?taxnode_id=202203820","ictv.global=202203820")</f>
        <v>ictv.global=202203820</v>
      </c>
    </row>
    <row r="10199" spans="1:21">
      <c r="A10199">
        <v>10198</v>
      </c>
      <c r="B10199" s="29" t="s">
        <v>3223</v>
      </c>
      <c r="C10199" s="29"/>
      <c r="D10199" s="29" t="s">
        <v>4359</v>
      </c>
      <c r="E10199" s="29"/>
      <c r="F10199" s="29" t="s">
        <v>4360</v>
      </c>
      <c r="G10199" s="29"/>
      <c r="H10199" s="29" t="s">
        <v>4361</v>
      </c>
      <c r="I10199" s="29"/>
      <c r="J10199" s="29" t="s">
        <v>2660</v>
      </c>
      <c r="K10199" s="29"/>
      <c r="L10199" s="29" t="s">
        <v>1231</v>
      </c>
      <c r="M10199" s="29"/>
      <c r="N10199" s="29" t="s">
        <v>784</v>
      </c>
      <c r="O10199" s="29"/>
      <c r="P10199" s="29" t="s">
        <v>542</v>
      </c>
      <c r="Q10199" t="s">
        <v>2043</v>
      </c>
      <c r="R10199" t="s">
        <v>2634</v>
      </c>
      <c r="S10199">
        <v>35</v>
      </c>
      <c r="T10199" s="43" t="str">
        <f t="shared" si="436"/>
        <v>2019.006G.zip</v>
      </c>
      <c r="U10199" s="43" t="str">
        <f>HYPERLINK("https://ictv.global/taxonomy/taxondetails?taxnode_id=202203821","ictv.global=202203821")</f>
        <v>ictv.global=202203821</v>
      </c>
    </row>
    <row r="10200" spans="1:21">
      <c r="A10200">
        <v>10199</v>
      </c>
      <c r="B10200" s="29" t="s">
        <v>3223</v>
      </c>
      <c r="C10200" s="29"/>
      <c r="D10200" s="29" t="s">
        <v>4359</v>
      </c>
      <c r="E10200" s="29"/>
      <c r="F10200" s="29" t="s">
        <v>4360</v>
      </c>
      <c r="G10200" s="29"/>
      <c r="H10200" s="29" t="s">
        <v>4361</v>
      </c>
      <c r="I10200" s="29"/>
      <c r="J10200" s="29" t="s">
        <v>2660</v>
      </c>
      <c r="K10200" s="29"/>
      <c r="L10200" s="29" t="s">
        <v>1231</v>
      </c>
      <c r="M10200" s="29"/>
      <c r="N10200" s="29" t="s">
        <v>784</v>
      </c>
      <c r="O10200" s="29"/>
      <c r="P10200" s="29" t="s">
        <v>543</v>
      </c>
      <c r="Q10200" t="s">
        <v>2043</v>
      </c>
      <c r="R10200" t="s">
        <v>2634</v>
      </c>
      <c r="S10200">
        <v>35</v>
      </c>
      <c r="T10200" s="43" t="str">
        <f t="shared" si="436"/>
        <v>2019.006G.zip</v>
      </c>
      <c r="U10200" s="43" t="str">
        <f>HYPERLINK("https://ictv.global/taxonomy/taxondetails?taxnode_id=202203822","ictv.global=202203822")</f>
        <v>ictv.global=202203822</v>
      </c>
    </row>
    <row r="10201" spans="1:21">
      <c r="A10201">
        <v>10200</v>
      </c>
      <c r="B10201" s="29" t="s">
        <v>3223</v>
      </c>
      <c r="C10201" s="29"/>
      <c r="D10201" s="29" t="s">
        <v>4359</v>
      </c>
      <c r="E10201" s="29"/>
      <c r="F10201" s="29" t="s">
        <v>4360</v>
      </c>
      <c r="G10201" s="29"/>
      <c r="H10201" s="29" t="s">
        <v>4361</v>
      </c>
      <c r="I10201" s="29"/>
      <c r="J10201" s="29" t="s">
        <v>2660</v>
      </c>
      <c r="K10201" s="29"/>
      <c r="L10201" s="29" t="s">
        <v>1231</v>
      </c>
      <c r="M10201" s="29"/>
      <c r="N10201" s="29" t="s">
        <v>784</v>
      </c>
      <c r="O10201" s="29"/>
      <c r="P10201" s="29" t="s">
        <v>789</v>
      </c>
      <c r="Q10201" t="s">
        <v>2043</v>
      </c>
      <c r="R10201" t="s">
        <v>2634</v>
      </c>
      <c r="S10201">
        <v>35</v>
      </c>
      <c r="T10201" s="43" t="str">
        <f t="shared" si="436"/>
        <v>2019.006G.zip</v>
      </c>
      <c r="U10201" s="43" t="str">
        <f>HYPERLINK("https://ictv.global/taxonomy/taxondetails?taxnode_id=202203823","ictv.global=202203823")</f>
        <v>ictv.global=202203823</v>
      </c>
    </row>
    <row r="10202" spans="1:21">
      <c r="A10202">
        <v>10201</v>
      </c>
      <c r="B10202" s="29" t="s">
        <v>3223</v>
      </c>
      <c r="C10202" s="29"/>
      <c r="D10202" s="29" t="s">
        <v>4359</v>
      </c>
      <c r="E10202" s="29"/>
      <c r="F10202" s="29" t="s">
        <v>4360</v>
      </c>
      <c r="G10202" s="29"/>
      <c r="H10202" s="29" t="s">
        <v>4361</v>
      </c>
      <c r="I10202" s="29"/>
      <c r="J10202" s="29" t="s">
        <v>2660</v>
      </c>
      <c r="K10202" s="29"/>
      <c r="L10202" s="29" t="s">
        <v>1231</v>
      </c>
      <c r="M10202" s="29"/>
      <c r="N10202" s="29" t="s">
        <v>790</v>
      </c>
      <c r="O10202" s="29"/>
      <c r="P10202" s="29" t="s">
        <v>791</v>
      </c>
      <c r="Q10202" t="s">
        <v>2043</v>
      </c>
      <c r="R10202" t="s">
        <v>2634</v>
      </c>
      <c r="S10202">
        <v>35</v>
      </c>
      <c r="T10202" s="43" t="str">
        <f t="shared" si="436"/>
        <v>2019.006G.zip</v>
      </c>
      <c r="U10202" s="43" t="str">
        <f>HYPERLINK("https://ictv.global/taxonomy/taxondetails?taxnode_id=202203825","ictv.global=202203825")</f>
        <v>ictv.global=202203825</v>
      </c>
    </row>
    <row r="10203" spans="1:21">
      <c r="A10203">
        <v>10202</v>
      </c>
      <c r="B10203" s="29" t="s">
        <v>3223</v>
      </c>
      <c r="C10203" s="29"/>
      <c r="D10203" s="29" t="s">
        <v>4359</v>
      </c>
      <c r="E10203" s="29"/>
      <c r="F10203" s="29" t="s">
        <v>4360</v>
      </c>
      <c r="G10203" s="29"/>
      <c r="H10203" s="29" t="s">
        <v>4361</v>
      </c>
      <c r="I10203" s="29"/>
      <c r="J10203" s="29" t="s">
        <v>2660</v>
      </c>
      <c r="K10203" s="29"/>
      <c r="L10203" s="29" t="s">
        <v>1231</v>
      </c>
      <c r="M10203" s="29"/>
      <c r="N10203" s="29" t="s">
        <v>790</v>
      </c>
      <c r="O10203" s="29"/>
      <c r="P10203" s="29" t="s">
        <v>792</v>
      </c>
      <c r="Q10203" t="s">
        <v>2043</v>
      </c>
      <c r="R10203" t="s">
        <v>2634</v>
      </c>
      <c r="S10203">
        <v>35</v>
      </c>
      <c r="T10203" s="43" t="str">
        <f t="shared" si="436"/>
        <v>2019.006G.zip</v>
      </c>
      <c r="U10203" s="43" t="str">
        <f>HYPERLINK("https://ictv.global/taxonomy/taxondetails?taxnode_id=202203826","ictv.global=202203826")</f>
        <v>ictv.global=202203826</v>
      </c>
    </row>
    <row r="10204" spans="1:21">
      <c r="A10204">
        <v>10203</v>
      </c>
      <c r="B10204" s="29" t="s">
        <v>3223</v>
      </c>
      <c r="C10204" s="29"/>
      <c r="D10204" s="29" t="s">
        <v>4359</v>
      </c>
      <c r="E10204" s="29"/>
      <c r="F10204" s="29" t="s">
        <v>4360</v>
      </c>
      <c r="G10204" s="29"/>
      <c r="H10204" s="29" t="s">
        <v>4361</v>
      </c>
      <c r="I10204" s="29"/>
      <c r="J10204" s="29" t="s">
        <v>2660</v>
      </c>
      <c r="K10204" s="29"/>
      <c r="L10204" s="29" t="s">
        <v>1231</v>
      </c>
      <c r="M10204" s="29"/>
      <c r="N10204" s="29" t="s">
        <v>790</v>
      </c>
      <c r="O10204" s="29"/>
      <c r="P10204" s="29" t="s">
        <v>793</v>
      </c>
      <c r="Q10204" t="s">
        <v>2043</v>
      </c>
      <c r="R10204" t="s">
        <v>2634</v>
      </c>
      <c r="S10204">
        <v>35</v>
      </c>
      <c r="T10204" s="43" t="str">
        <f t="shared" si="436"/>
        <v>2019.006G.zip</v>
      </c>
      <c r="U10204" s="43" t="str">
        <f>HYPERLINK("https://ictv.global/taxonomy/taxondetails?taxnode_id=202203827","ictv.global=202203827")</f>
        <v>ictv.global=202203827</v>
      </c>
    </row>
    <row r="10205" spans="1:21">
      <c r="A10205">
        <v>10204</v>
      </c>
      <c r="B10205" s="29" t="s">
        <v>3223</v>
      </c>
      <c r="C10205" s="29"/>
      <c r="D10205" s="29" t="s">
        <v>4359</v>
      </c>
      <c r="E10205" s="29"/>
      <c r="F10205" s="29" t="s">
        <v>4360</v>
      </c>
      <c r="G10205" s="29"/>
      <c r="H10205" s="29" t="s">
        <v>4361</v>
      </c>
      <c r="I10205" s="29"/>
      <c r="J10205" s="29" t="s">
        <v>2660</v>
      </c>
      <c r="K10205" s="29"/>
      <c r="L10205" s="29" t="s">
        <v>1231</v>
      </c>
      <c r="M10205" s="29"/>
      <c r="N10205" s="29" t="s">
        <v>790</v>
      </c>
      <c r="O10205" s="29"/>
      <c r="P10205" s="29" t="s">
        <v>794</v>
      </c>
      <c r="Q10205" t="s">
        <v>2043</v>
      </c>
      <c r="R10205" t="s">
        <v>2634</v>
      </c>
      <c r="S10205">
        <v>35</v>
      </c>
      <c r="T10205" s="43" t="str">
        <f t="shared" si="436"/>
        <v>2019.006G.zip</v>
      </c>
      <c r="U10205" s="43" t="str">
        <f>HYPERLINK("https://ictv.global/taxonomy/taxondetails?taxnode_id=202203828","ictv.global=202203828")</f>
        <v>ictv.global=202203828</v>
      </c>
    </row>
    <row r="10206" spans="1:21">
      <c r="A10206">
        <v>10205</v>
      </c>
      <c r="B10206" s="29" t="s">
        <v>3223</v>
      </c>
      <c r="C10206" s="29"/>
      <c r="D10206" s="29" t="s">
        <v>4359</v>
      </c>
      <c r="E10206" s="29"/>
      <c r="F10206" s="29" t="s">
        <v>4360</v>
      </c>
      <c r="G10206" s="29"/>
      <c r="H10206" s="29" t="s">
        <v>4361</v>
      </c>
      <c r="I10206" s="29"/>
      <c r="J10206" s="29" t="s">
        <v>2660</v>
      </c>
      <c r="K10206" s="29"/>
      <c r="L10206" s="29" t="s">
        <v>1231</v>
      </c>
      <c r="M10206" s="29"/>
      <c r="N10206" s="29" t="s">
        <v>790</v>
      </c>
      <c r="O10206" s="29"/>
      <c r="P10206" s="29" t="s">
        <v>795</v>
      </c>
      <c r="Q10206" t="s">
        <v>2043</v>
      </c>
      <c r="R10206" t="s">
        <v>2634</v>
      </c>
      <c r="S10206">
        <v>35</v>
      </c>
      <c r="T10206" s="43" t="str">
        <f t="shared" si="436"/>
        <v>2019.006G.zip</v>
      </c>
      <c r="U10206" s="43" t="str">
        <f>HYPERLINK("https://ictv.global/taxonomy/taxondetails?taxnode_id=202203829","ictv.global=202203829")</f>
        <v>ictv.global=202203829</v>
      </c>
    </row>
    <row r="10207" spans="1:21">
      <c r="A10207">
        <v>10206</v>
      </c>
      <c r="B10207" s="29" t="s">
        <v>3223</v>
      </c>
      <c r="C10207" s="29"/>
      <c r="D10207" s="29" t="s">
        <v>4359</v>
      </c>
      <c r="E10207" s="29"/>
      <c r="F10207" s="29" t="s">
        <v>4360</v>
      </c>
      <c r="G10207" s="29"/>
      <c r="H10207" s="29" t="s">
        <v>4361</v>
      </c>
      <c r="I10207" s="29"/>
      <c r="J10207" s="29" t="s">
        <v>2660</v>
      </c>
      <c r="K10207" s="29"/>
      <c r="L10207" s="29" t="s">
        <v>1231</v>
      </c>
      <c r="M10207" s="29"/>
      <c r="N10207" s="29" t="s">
        <v>790</v>
      </c>
      <c r="O10207" s="29"/>
      <c r="P10207" s="29" t="s">
        <v>796</v>
      </c>
      <c r="Q10207" t="s">
        <v>2043</v>
      </c>
      <c r="R10207" t="s">
        <v>2634</v>
      </c>
      <c r="S10207">
        <v>35</v>
      </c>
      <c r="T10207" s="43" t="str">
        <f t="shared" si="436"/>
        <v>2019.006G.zip</v>
      </c>
      <c r="U10207" s="43" t="str">
        <f>HYPERLINK("https://ictv.global/taxonomy/taxondetails?taxnode_id=202203830","ictv.global=202203830")</f>
        <v>ictv.global=202203830</v>
      </c>
    </row>
    <row r="10208" spans="1:21">
      <c r="A10208">
        <v>10207</v>
      </c>
      <c r="B10208" s="29" t="s">
        <v>3223</v>
      </c>
      <c r="C10208" s="29"/>
      <c r="D10208" s="29" t="s">
        <v>4359</v>
      </c>
      <c r="E10208" s="29"/>
      <c r="F10208" s="29" t="s">
        <v>4360</v>
      </c>
      <c r="G10208" s="29"/>
      <c r="H10208" s="29" t="s">
        <v>4361</v>
      </c>
      <c r="I10208" s="29"/>
      <c r="J10208" s="29" t="s">
        <v>2660</v>
      </c>
      <c r="K10208" s="29"/>
      <c r="L10208" s="29" t="s">
        <v>1231</v>
      </c>
      <c r="M10208" s="29"/>
      <c r="N10208" s="29" t="s">
        <v>790</v>
      </c>
      <c r="O10208" s="29"/>
      <c r="P10208" s="29" t="s">
        <v>858</v>
      </c>
      <c r="Q10208" t="s">
        <v>2043</v>
      </c>
      <c r="R10208" t="s">
        <v>2634</v>
      </c>
      <c r="S10208">
        <v>35</v>
      </c>
      <c r="T10208" s="43" t="str">
        <f t="shared" si="436"/>
        <v>2019.006G.zip</v>
      </c>
      <c r="U10208" s="43" t="str">
        <f>HYPERLINK("https://ictv.global/taxonomy/taxondetails?taxnode_id=202203831","ictv.global=202203831")</f>
        <v>ictv.global=202203831</v>
      </c>
    </row>
    <row r="10209" spans="1:21">
      <c r="A10209">
        <v>10208</v>
      </c>
      <c r="B10209" s="29" t="s">
        <v>3223</v>
      </c>
      <c r="C10209" s="29"/>
      <c r="D10209" s="29" t="s">
        <v>4359</v>
      </c>
      <c r="E10209" s="29"/>
      <c r="F10209" s="29" t="s">
        <v>4360</v>
      </c>
      <c r="G10209" s="29"/>
      <c r="H10209" s="29" t="s">
        <v>4361</v>
      </c>
      <c r="I10209" s="29"/>
      <c r="J10209" s="29" t="s">
        <v>2660</v>
      </c>
      <c r="K10209" s="29"/>
      <c r="L10209" s="29" t="s">
        <v>1231</v>
      </c>
      <c r="M10209" s="29"/>
      <c r="N10209" s="29" t="s">
        <v>790</v>
      </c>
      <c r="O10209" s="29"/>
      <c r="P10209" s="29" t="s">
        <v>859</v>
      </c>
      <c r="Q10209" t="s">
        <v>2043</v>
      </c>
      <c r="R10209" t="s">
        <v>2634</v>
      </c>
      <c r="S10209">
        <v>35</v>
      </c>
      <c r="T10209" s="43" t="str">
        <f t="shared" si="436"/>
        <v>2019.006G.zip</v>
      </c>
      <c r="U10209" s="43" t="str">
        <f>HYPERLINK("https://ictv.global/taxonomy/taxondetails?taxnode_id=202203832","ictv.global=202203832")</f>
        <v>ictv.global=202203832</v>
      </c>
    </row>
    <row r="10210" spans="1:21">
      <c r="A10210">
        <v>10209</v>
      </c>
      <c r="B10210" s="29" t="s">
        <v>3223</v>
      </c>
      <c r="C10210" s="29"/>
      <c r="D10210" s="29" t="s">
        <v>4359</v>
      </c>
      <c r="E10210" s="29"/>
      <c r="F10210" s="29" t="s">
        <v>4360</v>
      </c>
      <c r="G10210" s="29"/>
      <c r="H10210" s="29" t="s">
        <v>4361</v>
      </c>
      <c r="I10210" s="29"/>
      <c r="J10210" s="29" t="s">
        <v>2660</v>
      </c>
      <c r="K10210" s="29"/>
      <c r="L10210" s="29" t="s">
        <v>1231</v>
      </c>
      <c r="M10210" s="29"/>
      <c r="N10210" s="29" t="s">
        <v>790</v>
      </c>
      <c r="O10210" s="29"/>
      <c r="P10210" s="29" t="s">
        <v>860</v>
      </c>
      <c r="Q10210" t="s">
        <v>2043</v>
      </c>
      <c r="R10210" t="s">
        <v>2634</v>
      </c>
      <c r="S10210">
        <v>35</v>
      </c>
      <c r="T10210" s="43" t="str">
        <f t="shared" si="436"/>
        <v>2019.006G.zip</v>
      </c>
      <c r="U10210" s="43" t="str">
        <f>HYPERLINK("https://ictv.global/taxonomy/taxondetails?taxnode_id=202203833","ictv.global=202203833")</f>
        <v>ictv.global=202203833</v>
      </c>
    </row>
    <row r="10211" spans="1:21">
      <c r="A10211">
        <v>10210</v>
      </c>
      <c r="B10211" s="29" t="s">
        <v>3223</v>
      </c>
      <c r="C10211" s="29"/>
      <c r="D10211" s="29" t="s">
        <v>4359</v>
      </c>
      <c r="E10211" s="29"/>
      <c r="F10211" s="29" t="s">
        <v>4360</v>
      </c>
      <c r="G10211" s="29"/>
      <c r="H10211" s="29" t="s">
        <v>4361</v>
      </c>
      <c r="I10211" s="29"/>
      <c r="J10211" s="29" t="s">
        <v>2660</v>
      </c>
      <c r="K10211" s="29"/>
      <c r="L10211" s="29" t="s">
        <v>1231</v>
      </c>
      <c r="M10211" s="29"/>
      <c r="N10211" s="29" t="s">
        <v>790</v>
      </c>
      <c r="O10211" s="29"/>
      <c r="P10211" s="29" t="s">
        <v>861</v>
      </c>
      <c r="Q10211" t="s">
        <v>2043</v>
      </c>
      <c r="R10211" t="s">
        <v>2634</v>
      </c>
      <c r="S10211">
        <v>35</v>
      </c>
      <c r="T10211" s="43" t="str">
        <f t="shared" si="436"/>
        <v>2019.006G.zip</v>
      </c>
      <c r="U10211" s="43" t="str">
        <f>HYPERLINK("https://ictv.global/taxonomy/taxondetails?taxnode_id=202203834","ictv.global=202203834")</f>
        <v>ictv.global=202203834</v>
      </c>
    </row>
    <row r="10212" spans="1:21">
      <c r="A10212">
        <v>10211</v>
      </c>
      <c r="B10212" s="29" t="s">
        <v>3223</v>
      </c>
      <c r="C10212" s="29"/>
      <c r="D10212" s="29" t="s">
        <v>4359</v>
      </c>
      <c r="E10212" s="29"/>
      <c r="F10212" s="29" t="s">
        <v>4360</v>
      </c>
      <c r="G10212" s="29"/>
      <c r="H10212" s="29" t="s">
        <v>4361</v>
      </c>
      <c r="I10212" s="29"/>
      <c r="J10212" s="29" t="s">
        <v>2660</v>
      </c>
      <c r="K10212" s="29"/>
      <c r="L10212" s="29" t="s">
        <v>1231</v>
      </c>
      <c r="M10212" s="29"/>
      <c r="N10212" s="29" t="s">
        <v>790</v>
      </c>
      <c r="O10212" s="29"/>
      <c r="P10212" s="29" t="s">
        <v>862</v>
      </c>
      <c r="Q10212" t="s">
        <v>2043</v>
      </c>
      <c r="R10212" t="s">
        <v>2634</v>
      </c>
      <c r="S10212">
        <v>35</v>
      </c>
      <c r="T10212" s="43" t="str">
        <f t="shared" si="436"/>
        <v>2019.006G.zip</v>
      </c>
      <c r="U10212" s="43" t="str">
        <f>HYPERLINK("https://ictv.global/taxonomy/taxondetails?taxnode_id=202203835","ictv.global=202203835")</f>
        <v>ictv.global=202203835</v>
      </c>
    </row>
    <row r="10213" spans="1:21">
      <c r="A10213">
        <v>10212</v>
      </c>
      <c r="B10213" s="29" t="s">
        <v>3223</v>
      </c>
      <c r="C10213" s="29"/>
      <c r="D10213" s="29" t="s">
        <v>4359</v>
      </c>
      <c r="E10213" s="29"/>
      <c r="F10213" s="29" t="s">
        <v>4360</v>
      </c>
      <c r="G10213" s="29"/>
      <c r="H10213" s="29" t="s">
        <v>4361</v>
      </c>
      <c r="I10213" s="29"/>
      <c r="J10213" s="29" t="s">
        <v>2660</v>
      </c>
      <c r="K10213" s="29"/>
      <c r="L10213" s="29" t="s">
        <v>1231</v>
      </c>
      <c r="M10213" s="29"/>
      <c r="N10213" s="29" t="s">
        <v>790</v>
      </c>
      <c r="O10213" s="29"/>
      <c r="P10213" s="29" t="s">
        <v>863</v>
      </c>
      <c r="Q10213" t="s">
        <v>2043</v>
      </c>
      <c r="R10213" t="s">
        <v>2634</v>
      </c>
      <c r="S10213">
        <v>35</v>
      </c>
      <c r="T10213" s="43" t="str">
        <f t="shared" si="436"/>
        <v>2019.006G.zip</v>
      </c>
      <c r="U10213" s="43" t="str">
        <f>HYPERLINK("https://ictv.global/taxonomy/taxondetails?taxnode_id=202203836","ictv.global=202203836")</f>
        <v>ictv.global=202203836</v>
      </c>
    </row>
    <row r="10214" spans="1:21">
      <c r="A10214">
        <v>10213</v>
      </c>
      <c r="B10214" s="29" t="s">
        <v>3223</v>
      </c>
      <c r="C10214" s="29"/>
      <c r="D10214" s="29" t="s">
        <v>4359</v>
      </c>
      <c r="E10214" s="29"/>
      <c r="F10214" s="29" t="s">
        <v>4360</v>
      </c>
      <c r="G10214" s="29"/>
      <c r="H10214" s="29" t="s">
        <v>4361</v>
      </c>
      <c r="I10214" s="29"/>
      <c r="J10214" s="29" t="s">
        <v>2660</v>
      </c>
      <c r="K10214" s="29"/>
      <c r="L10214" s="29" t="s">
        <v>1231</v>
      </c>
      <c r="M10214" s="29"/>
      <c r="N10214" s="29" t="s">
        <v>790</v>
      </c>
      <c r="O10214" s="29"/>
      <c r="P10214" s="29" t="s">
        <v>1241</v>
      </c>
      <c r="Q10214" t="s">
        <v>2043</v>
      </c>
      <c r="R10214" t="s">
        <v>2634</v>
      </c>
      <c r="S10214">
        <v>35</v>
      </c>
      <c r="T10214" s="43" t="str">
        <f t="shared" si="436"/>
        <v>2019.006G.zip</v>
      </c>
      <c r="U10214" s="43" t="str">
        <f>HYPERLINK("https://ictv.global/taxonomy/taxondetails?taxnode_id=202203837","ictv.global=202203837")</f>
        <v>ictv.global=202203837</v>
      </c>
    </row>
    <row r="10215" spans="1:21">
      <c r="A10215">
        <v>10214</v>
      </c>
      <c r="B10215" s="29" t="s">
        <v>3223</v>
      </c>
      <c r="C10215" s="29"/>
      <c r="D10215" s="29" t="s">
        <v>4359</v>
      </c>
      <c r="E10215" s="29"/>
      <c r="F10215" s="29" t="s">
        <v>4360</v>
      </c>
      <c r="G10215" s="29"/>
      <c r="H10215" s="29" t="s">
        <v>4361</v>
      </c>
      <c r="I10215" s="29"/>
      <c r="J10215" s="29" t="s">
        <v>2660</v>
      </c>
      <c r="K10215" s="29"/>
      <c r="L10215" s="29" t="s">
        <v>1231</v>
      </c>
      <c r="M10215" s="29"/>
      <c r="N10215" s="29" t="s">
        <v>790</v>
      </c>
      <c r="O10215" s="29"/>
      <c r="P10215" s="29" t="s">
        <v>1242</v>
      </c>
      <c r="Q10215" t="s">
        <v>2043</v>
      </c>
      <c r="R10215" t="s">
        <v>2634</v>
      </c>
      <c r="S10215">
        <v>35</v>
      </c>
      <c r="T10215" s="43" t="str">
        <f t="shared" si="436"/>
        <v>2019.006G.zip</v>
      </c>
      <c r="U10215" s="43" t="str">
        <f>HYPERLINK("https://ictv.global/taxonomy/taxondetails?taxnode_id=202203838","ictv.global=202203838")</f>
        <v>ictv.global=202203838</v>
      </c>
    </row>
    <row r="10216" spans="1:21">
      <c r="A10216">
        <v>10215</v>
      </c>
      <c r="B10216" s="29" t="s">
        <v>3223</v>
      </c>
      <c r="C10216" s="29"/>
      <c r="D10216" s="29" t="s">
        <v>4359</v>
      </c>
      <c r="E10216" s="29"/>
      <c r="F10216" s="29" t="s">
        <v>4360</v>
      </c>
      <c r="G10216" s="29"/>
      <c r="H10216" s="29" t="s">
        <v>4361</v>
      </c>
      <c r="I10216" s="29"/>
      <c r="J10216" s="29" t="s">
        <v>2660</v>
      </c>
      <c r="K10216" s="29"/>
      <c r="L10216" s="29" t="s">
        <v>1231</v>
      </c>
      <c r="M10216" s="29"/>
      <c r="N10216" s="29" t="s">
        <v>790</v>
      </c>
      <c r="O10216" s="29"/>
      <c r="P10216" s="29" t="s">
        <v>1243</v>
      </c>
      <c r="Q10216" t="s">
        <v>2043</v>
      </c>
      <c r="R10216" t="s">
        <v>2634</v>
      </c>
      <c r="S10216">
        <v>35</v>
      </c>
      <c r="T10216" s="43" t="str">
        <f t="shared" si="436"/>
        <v>2019.006G.zip</v>
      </c>
      <c r="U10216" s="43" t="str">
        <f>HYPERLINK("https://ictv.global/taxonomy/taxondetails?taxnode_id=202203839","ictv.global=202203839")</f>
        <v>ictv.global=202203839</v>
      </c>
    </row>
    <row r="10217" spans="1:21">
      <c r="A10217">
        <v>10216</v>
      </c>
      <c r="B10217" s="29" t="s">
        <v>3223</v>
      </c>
      <c r="C10217" s="29"/>
      <c r="D10217" s="29" t="s">
        <v>4359</v>
      </c>
      <c r="E10217" s="29"/>
      <c r="F10217" s="29" t="s">
        <v>4360</v>
      </c>
      <c r="G10217" s="29"/>
      <c r="H10217" s="29" t="s">
        <v>4361</v>
      </c>
      <c r="I10217" s="29"/>
      <c r="J10217" s="29" t="s">
        <v>2660</v>
      </c>
      <c r="K10217" s="29"/>
      <c r="L10217" s="29" t="s">
        <v>1231</v>
      </c>
      <c r="M10217" s="29"/>
      <c r="N10217" s="29" t="s">
        <v>790</v>
      </c>
      <c r="O10217" s="29"/>
      <c r="P10217" s="29" t="s">
        <v>1244</v>
      </c>
      <c r="Q10217" t="s">
        <v>2043</v>
      </c>
      <c r="R10217" t="s">
        <v>6901</v>
      </c>
      <c r="S10217">
        <v>36</v>
      </c>
      <c r="T10217" s="43" t="str">
        <f>HYPERLINK("https://ictv.global/ictv/proposals/2020.001G.R.Abolish_type_species.pdf","2020.001G.R.Abolish_type_species.pdf")</f>
        <v>2020.001G.R.Abolish_type_species.pdf</v>
      </c>
      <c r="U10217" s="43" t="str">
        <f>HYPERLINK("https://ictv.global/taxonomy/taxondetails?taxnode_id=202203840","ictv.global=202203840")</f>
        <v>ictv.global=202203840</v>
      </c>
    </row>
    <row r="10218" spans="1:21">
      <c r="A10218">
        <v>10217</v>
      </c>
      <c r="B10218" s="29" t="s">
        <v>3223</v>
      </c>
      <c r="C10218" s="29"/>
      <c r="D10218" s="29" t="s">
        <v>4359</v>
      </c>
      <c r="E10218" s="29"/>
      <c r="F10218" s="29" t="s">
        <v>4360</v>
      </c>
      <c r="G10218" s="29"/>
      <c r="H10218" s="29" t="s">
        <v>4361</v>
      </c>
      <c r="I10218" s="29"/>
      <c r="J10218" s="29" t="s">
        <v>2660</v>
      </c>
      <c r="K10218" s="29"/>
      <c r="L10218" s="29" t="s">
        <v>1231</v>
      </c>
      <c r="M10218" s="29"/>
      <c r="N10218" s="29" t="s">
        <v>790</v>
      </c>
      <c r="O10218" s="29"/>
      <c r="P10218" s="29" t="s">
        <v>1245</v>
      </c>
      <c r="Q10218" t="s">
        <v>2043</v>
      </c>
      <c r="R10218" t="s">
        <v>2634</v>
      </c>
      <c r="S10218">
        <v>35</v>
      </c>
      <c r="T10218" s="43" t="str">
        <f t="shared" ref="T10218:T10226" si="437">HYPERLINK("https://ictv.global/ictv/proposals/2019.006G.zip","2019.006G.zip")</f>
        <v>2019.006G.zip</v>
      </c>
      <c r="U10218" s="43" t="str">
        <f>HYPERLINK("https://ictv.global/taxonomy/taxondetails?taxnode_id=202203841","ictv.global=202203841")</f>
        <v>ictv.global=202203841</v>
      </c>
    </row>
    <row r="10219" spans="1:21">
      <c r="A10219">
        <v>10218</v>
      </c>
      <c r="B10219" s="29" t="s">
        <v>3223</v>
      </c>
      <c r="C10219" s="29"/>
      <c r="D10219" s="29" t="s">
        <v>4359</v>
      </c>
      <c r="E10219" s="29"/>
      <c r="F10219" s="29" t="s">
        <v>4360</v>
      </c>
      <c r="G10219" s="29"/>
      <c r="H10219" s="29" t="s">
        <v>4361</v>
      </c>
      <c r="I10219" s="29"/>
      <c r="J10219" s="29" t="s">
        <v>2660</v>
      </c>
      <c r="K10219" s="29"/>
      <c r="L10219" s="29" t="s">
        <v>1231</v>
      </c>
      <c r="M10219" s="29"/>
      <c r="N10219" s="29" t="s">
        <v>790</v>
      </c>
      <c r="O10219" s="29"/>
      <c r="P10219" s="29" t="s">
        <v>1237</v>
      </c>
      <c r="Q10219" t="s">
        <v>2043</v>
      </c>
      <c r="R10219" t="s">
        <v>2634</v>
      </c>
      <c r="S10219">
        <v>35</v>
      </c>
      <c r="T10219" s="43" t="str">
        <f t="shared" si="437"/>
        <v>2019.006G.zip</v>
      </c>
      <c r="U10219" s="43" t="str">
        <f>HYPERLINK("https://ictv.global/taxonomy/taxondetails?taxnode_id=202203842","ictv.global=202203842")</f>
        <v>ictv.global=202203842</v>
      </c>
    </row>
    <row r="10220" spans="1:21">
      <c r="A10220">
        <v>10219</v>
      </c>
      <c r="B10220" s="29" t="s">
        <v>3223</v>
      </c>
      <c r="C10220" s="29"/>
      <c r="D10220" s="29" t="s">
        <v>4359</v>
      </c>
      <c r="E10220" s="29"/>
      <c r="F10220" s="29" t="s">
        <v>4360</v>
      </c>
      <c r="G10220" s="29"/>
      <c r="H10220" s="29" t="s">
        <v>4361</v>
      </c>
      <c r="I10220" s="29"/>
      <c r="J10220" s="29" t="s">
        <v>2660</v>
      </c>
      <c r="K10220" s="29"/>
      <c r="L10220" s="29" t="s">
        <v>1231</v>
      </c>
      <c r="M10220" s="29"/>
      <c r="N10220" s="29" t="s">
        <v>790</v>
      </c>
      <c r="O10220" s="29"/>
      <c r="P10220" s="29" t="s">
        <v>1238</v>
      </c>
      <c r="Q10220" t="s">
        <v>2043</v>
      </c>
      <c r="R10220" t="s">
        <v>2634</v>
      </c>
      <c r="S10220">
        <v>35</v>
      </c>
      <c r="T10220" s="43" t="str">
        <f t="shared" si="437"/>
        <v>2019.006G.zip</v>
      </c>
      <c r="U10220" s="43" t="str">
        <f>HYPERLINK("https://ictv.global/taxonomy/taxondetails?taxnode_id=202203843","ictv.global=202203843")</f>
        <v>ictv.global=202203843</v>
      </c>
    </row>
    <row r="10221" spans="1:21">
      <c r="A10221">
        <v>10220</v>
      </c>
      <c r="B10221" s="29" t="s">
        <v>3223</v>
      </c>
      <c r="C10221" s="29"/>
      <c r="D10221" s="29" t="s">
        <v>4359</v>
      </c>
      <c r="E10221" s="29"/>
      <c r="F10221" s="29" t="s">
        <v>4360</v>
      </c>
      <c r="G10221" s="29"/>
      <c r="H10221" s="29" t="s">
        <v>4361</v>
      </c>
      <c r="I10221" s="29"/>
      <c r="J10221" s="29" t="s">
        <v>2660</v>
      </c>
      <c r="K10221" s="29"/>
      <c r="L10221" s="29" t="s">
        <v>1231</v>
      </c>
      <c r="M10221" s="29"/>
      <c r="N10221" s="29" t="s">
        <v>790</v>
      </c>
      <c r="O10221" s="29"/>
      <c r="P10221" s="29" t="s">
        <v>1239</v>
      </c>
      <c r="Q10221" t="s">
        <v>2043</v>
      </c>
      <c r="R10221" t="s">
        <v>2634</v>
      </c>
      <c r="S10221">
        <v>35</v>
      </c>
      <c r="T10221" s="43" t="str">
        <f t="shared" si="437"/>
        <v>2019.006G.zip</v>
      </c>
      <c r="U10221" s="43" t="str">
        <f>HYPERLINK("https://ictv.global/taxonomy/taxondetails?taxnode_id=202203844","ictv.global=202203844")</f>
        <v>ictv.global=202203844</v>
      </c>
    </row>
    <row r="10222" spans="1:21">
      <c r="A10222">
        <v>10221</v>
      </c>
      <c r="B10222" s="29" t="s">
        <v>3223</v>
      </c>
      <c r="C10222" s="29"/>
      <c r="D10222" s="29" t="s">
        <v>4359</v>
      </c>
      <c r="E10222" s="29"/>
      <c r="F10222" s="29" t="s">
        <v>4360</v>
      </c>
      <c r="G10222" s="29"/>
      <c r="H10222" s="29" t="s">
        <v>4361</v>
      </c>
      <c r="I10222" s="29"/>
      <c r="J10222" s="29" t="s">
        <v>2660</v>
      </c>
      <c r="K10222" s="29"/>
      <c r="L10222" s="29" t="s">
        <v>1231</v>
      </c>
      <c r="M10222" s="29"/>
      <c r="N10222" s="29" t="s">
        <v>790</v>
      </c>
      <c r="O10222" s="29"/>
      <c r="P10222" s="29" t="s">
        <v>1240</v>
      </c>
      <c r="Q10222" t="s">
        <v>2043</v>
      </c>
      <c r="R10222" t="s">
        <v>2634</v>
      </c>
      <c r="S10222">
        <v>35</v>
      </c>
      <c r="T10222" s="43" t="str">
        <f t="shared" si="437"/>
        <v>2019.006G.zip</v>
      </c>
      <c r="U10222" s="43" t="str">
        <f>HYPERLINK("https://ictv.global/taxonomy/taxondetails?taxnode_id=202203845","ictv.global=202203845")</f>
        <v>ictv.global=202203845</v>
      </c>
    </row>
    <row r="10223" spans="1:21">
      <c r="A10223">
        <v>10222</v>
      </c>
      <c r="B10223" s="29" t="s">
        <v>3223</v>
      </c>
      <c r="C10223" s="29"/>
      <c r="D10223" s="29" t="s">
        <v>4359</v>
      </c>
      <c r="E10223" s="29"/>
      <c r="F10223" s="29" t="s">
        <v>4360</v>
      </c>
      <c r="G10223" s="29"/>
      <c r="H10223" s="29" t="s">
        <v>4361</v>
      </c>
      <c r="I10223" s="29"/>
      <c r="J10223" s="29" t="s">
        <v>2660</v>
      </c>
      <c r="K10223" s="29"/>
      <c r="L10223" s="29" t="s">
        <v>1584</v>
      </c>
      <c r="M10223" s="29"/>
      <c r="N10223" s="29" t="s">
        <v>1585</v>
      </c>
      <c r="O10223" s="29"/>
      <c r="P10223" s="29" t="s">
        <v>1123</v>
      </c>
      <c r="Q10223" t="s">
        <v>2043</v>
      </c>
      <c r="R10223" t="s">
        <v>2634</v>
      </c>
      <c r="S10223">
        <v>35</v>
      </c>
      <c r="T10223" s="43" t="str">
        <f t="shared" si="437"/>
        <v>2019.006G.zip</v>
      </c>
      <c r="U10223" s="43" t="str">
        <f>HYPERLINK("https://ictv.global/taxonomy/taxondetails?taxnode_id=202204830","ictv.global=202204830")</f>
        <v>ictv.global=202204830</v>
      </c>
    </row>
    <row r="10224" spans="1:21">
      <c r="A10224">
        <v>10223</v>
      </c>
      <c r="B10224" s="29" t="s">
        <v>3223</v>
      </c>
      <c r="C10224" s="29"/>
      <c r="D10224" s="29" t="s">
        <v>4359</v>
      </c>
      <c r="E10224" s="29"/>
      <c r="F10224" s="29" t="s">
        <v>4360</v>
      </c>
      <c r="G10224" s="29"/>
      <c r="H10224" s="29" t="s">
        <v>4361</v>
      </c>
      <c r="I10224" s="29"/>
      <c r="J10224" s="29" t="s">
        <v>2660</v>
      </c>
      <c r="K10224" s="29"/>
      <c r="L10224" s="29" t="s">
        <v>1584</v>
      </c>
      <c r="M10224" s="29"/>
      <c r="N10224" s="29" t="s">
        <v>1585</v>
      </c>
      <c r="O10224" s="29"/>
      <c r="P10224" s="29" t="s">
        <v>1124</v>
      </c>
      <c r="Q10224" t="s">
        <v>2043</v>
      </c>
      <c r="R10224" t="s">
        <v>2634</v>
      </c>
      <c r="S10224">
        <v>35</v>
      </c>
      <c r="T10224" s="43" t="str">
        <f t="shared" si="437"/>
        <v>2019.006G.zip</v>
      </c>
      <c r="U10224" s="43" t="str">
        <f>HYPERLINK("https://ictv.global/taxonomy/taxondetails?taxnode_id=202204831","ictv.global=202204831")</f>
        <v>ictv.global=202204831</v>
      </c>
    </row>
    <row r="10225" spans="1:21">
      <c r="A10225">
        <v>10224</v>
      </c>
      <c r="B10225" s="29" t="s">
        <v>3223</v>
      </c>
      <c r="C10225" s="29"/>
      <c r="D10225" s="29" t="s">
        <v>4359</v>
      </c>
      <c r="E10225" s="29"/>
      <c r="F10225" s="29" t="s">
        <v>4360</v>
      </c>
      <c r="G10225" s="29"/>
      <c r="H10225" s="29" t="s">
        <v>4361</v>
      </c>
      <c r="I10225" s="29"/>
      <c r="J10225" s="29" t="s">
        <v>2660</v>
      </c>
      <c r="K10225" s="29"/>
      <c r="L10225" s="29" t="s">
        <v>1584</v>
      </c>
      <c r="M10225" s="29"/>
      <c r="N10225" s="29" t="s">
        <v>1585</v>
      </c>
      <c r="O10225" s="29"/>
      <c r="P10225" s="29" t="s">
        <v>1159</v>
      </c>
      <c r="Q10225" t="s">
        <v>2043</v>
      </c>
      <c r="R10225" t="s">
        <v>2634</v>
      </c>
      <c r="S10225">
        <v>35</v>
      </c>
      <c r="T10225" s="43" t="str">
        <f t="shared" si="437"/>
        <v>2019.006G.zip</v>
      </c>
      <c r="U10225" s="43" t="str">
        <f>HYPERLINK("https://ictv.global/taxonomy/taxondetails?taxnode_id=202204832","ictv.global=202204832")</f>
        <v>ictv.global=202204832</v>
      </c>
    </row>
    <row r="10226" spans="1:21">
      <c r="A10226">
        <v>10225</v>
      </c>
      <c r="B10226" s="29" t="s">
        <v>3223</v>
      </c>
      <c r="C10226" s="29"/>
      <c r="D10226" s="29" t="s">
        <v>4359</v>
      </c>
      <c r="E10226" s="29"/>
      <c r="F10226" s="29" t="s">
        <v>4360</v>
      </c>
      <c r="G10226" s="29"/>
      <c r="H10226" s="29" t="s">
        <v>4361</v>
      </c>
      <c r="I10226" s="29"/>
      <c r="J10226" s="29" t="s">
        <v>2660</v>
      </c>
      <c r="K10226" s="29"/>
      <c r="L10226" s="29" t="s">
        <v>1584</v>
      </c>
      <c r="M10226" s="29"/>
      <c r="N10226" s="29" t="s">
        <v>1585</v>
      </c>
      <c r="O10226" s="29"/>
      <c r="P10226" s="29" t="s">
        <v>1160</v>
      </c>
      <c r="Q10226" t="s">
        <v>2043</v>
      </c>
      <c r="R10226" t="s">
        <v>2634</v>
      </c>
      <c r="S10226">
        <v>35</v>
      </c>
      <c r="T10226" s="43" t="str">
        <f t="shared" si="437"/>
        <v>2019.006G.zip</v>
      </c>
      <c r="U10226" s="43" t="str">
        <f>HYPERLINK("https://ictv.global/taxonomy/taxondetails?taxnode_id=202204833","ictv.global=202204833")</f>
        <v>ictv.global=202204833</v>
      </c>
    </row>
    <row r="10227" spans="1:21">
      <c r="A10227">
        <v>10226</v>
      </c>
      <c r="B10227" s="29" t="s">
        <v>3223</v>
      </c>
      <c r="C10227" s="29"/>
      <c r="D10227" s="29" t="s">
        <v>4359</v>
      </c>
      <c r="E10227" s="29"/>
      <c r="F10227" s="29" t="s">
        <v>4360</v>
      </c>
      <c r="G10227" s="29"/>
      <c r="H10227" s="29" t="s">
        <v>4361</v>
      </c>
      <c r="I10227" s="29"/>
      <c r="J10227" s="29" t="s">
        <v>2660</v>
      </c>
      <c r="K10227" s="29"/>
      <c r="L10227" s="29" t="s">
        <v>1584</v>
      </c>
      <c r="M10227" s="29"/>
      <c r="N10227" s="29" t="s">
        <v>1585</v>
      </c>
      <c r="O10227" s="29"/>
      <c r="P10227" s="29" t="s">
        <v>1379</v>
      </c>
      <c r="Q10227" t="s">
        <v>2043</v>
      </c>
      <c r="R10227" t="s">
        <v>6901</v>
      </c>
      <c r="S10227">
        <v>36</v>
      </c>
      <c r="T10227" s="43" t="str">
        <f>HYPERLINK("https://ictv.global/ictv/proposals/2020.001G.R.Abolish_type_species.pdf","2020.001G.R.Abolish_type_species.pdf")</f>
        <v>2020.001G.R.Abolish_type_species.pdf</v>
      </c>
      <c r="U10227" s="43" t="str">
        <f>HYPERLINK("https://ictv.global/taxonomy/taxondetails?taxnode_id=202204834","ictv.global=202204834")</f>
        <v>ictv.global=202204834</v>
      </c>
    </row>
    <row r="10228" spans="1:21">
      <c r="A10228">
        <v>10227</v>
      </c>
      <c r="B10228" s="29" t="s">
        <v>3223</v>
      </c>
      <c r="C10228" s="29"/>
      <c r="D10228" s="29" t="s">
        <v>4359</v>
      </c>
      <c r="E10228" s="29"/>
      <c r="F10228" s="29" t="s">
        <v>4360</v>
      </c>
      <c r="G10228" s="29"/>
      <c r="H10228" s="29" t="s">
        <v>4361</v>
      </c>
      <c r="I10228" s="29"/>
      <c r="J10228" s="29" t="s">
        <v>2660</v>
      </c>
      <c r="K10228" s="29"/>
      <c r="L10228" s="29" t="s">
        <v>1584</v>
      </c>
      <c r="M10228" s="29"/>
      <c r="N10228" s="29" t="s">
        <v>1585</v>
      </c>
      <c r="O10228" s="29"/>
      <c r="P10228" s="29" t="s">
        <v>1380</v>
      </c>
      <c r="Q10228" t="s">
        <v>2043</v>
      </c>
      <c r="R10228" t="s">
        <v>2634</v>
      </c>
      <c r="S10228">
        <v>35</v>
      </c>
      <c r="T10228" s="43" t="str">
        <f t="shared" ref="T10228:T10243" si="438">HYPERLINK("https://ictv.global/ictv/proposals/2019.006G.zip","2019.006G.zip")</f>
        <v>2019.006G.zip</v>
      </c>
      <c r="U10228" s="43" t="str">
        <f>HYPERLINK("https://ictv.global/taxonomy/taxondetails?taxnode_id=202204835","ictv.global=202204835")</f>
        <v>ictv.global=202204835</v>
      </c>
    </row>
    <row r="10229" spans="1:21">
      <c r="A10229">
        <v>10228</v>
      </c>
      <c r="B10229" s="29" t="s">
        <v>3223</v>
      </c>
      <c r="C10229" s="29"/>
      <c r="D10229" s="29" t="s">
        <v>4359</v>
      </c>
      <c r="E10229" s="29"/>
      <c r="F10229" s="29" t="s">
        <v>4360</v>
      </c>
      <c r="G10229" s="29"/>
      <c r="H10229" s="29" t="s">
        <v>4361</v>
      </c>
      <c r="I10229" s="29"/>
      <c r="J10229" s="29" t="s">
        <v>2660</v>
      </c>
      <c r="K10229" s="29"/>
      <c r="L10229" s="29" t="s">
        <v>1584</v>
      </c>
      <c r="M10229" s="29"/>
      <c r="N10229" s="29" t="s">
        <v>1585</v>
      </c>
      <c r="O10229" s="29"/>
      <c r="P10229" s="29" t="s">
        <v>1532</v>
      </c>
      <c r="Q10229" t="s">
        <v>2043</v>
      </c>
      <c r="R10229" t="s">
        <v>2634</v>
      </c>
      <c r="S10229">
        <v>35</v>
      </c>
      <c r="T10229" s="43" t="str">
        <f t="shared" si="438"/>
        <v>2019.006G.zip</v>
      </c>
      <c r="U10229" s="43" t="str">
        <f>HYPERLINK("https://ictv.global/taxonomy/taxondetails?taxnode_id=202204836","ictv.global=202204836")</f>
        <v>ictv.global=202204836</v>
      </c>
    </row>
    <row r="10230" spans="1:21">
      <c r="A10230">
        <v>10229</v>
      </c>
      <c r="B10230" s="29" t="s">
        <v>3223</v>
      </c>
      <c r="C10230" s="29"/>
      <c r="D10230" s="29" t="s">
        <v>4359</v>
      </c>
      <c r="E10230" s="29"/>
      <c r="F10230" s="29" t="s">
        <v>4360</v>
      </c>
      <c r="G10230" s="29"/>
      <c r="H10230" s="29" t="s">
        <v>4361</v>
      </c>
      <c r="I10230" s="29"/>
      <c r="J10230" s="29" t="s">
        <v>2660</v>
      </c>
      <c r="K10230" s="29"/>
      <c r="L10230" s="29" t="s">
        <v>1584</v>
      </c>
      <c r="M10230" s="29"/>
      <c r="N10230" s="29" t="s">
        <v>1585</v>
      </c>
      <c r="O10230" s="29"/>
      <c r="P10230" s="29" t="s">
        <v>1392</v>
      </c>
      <c r="Q10230" t="s">
        <v>2043</v>
      </c>
      <c r="R10230" t="s">
        <v>2634</v>
      </c>
      <c r="S10230">
        <v>35</v>
      </c>
      <c r="T10230" s="43" t="str">
        <f t="shared" si="438"/>
        <v>2019.006G.zip</v>
      </c>
      <c r="U10230" s="43" t="str">
        <f>HYPERLINK("https://ictv.global/taxonomy/taxondetails?taxnode_id=202204837","ictv.global=202204837")</f>
        <v>ictv.global=202204837</v>
      </c>
    </row>
    <row r="10231" spans="1:21">
      <c r="A10231">
        <v>10230</v>
      </c>
      <c r="B10231" s="29" t="s">
        <v>3223</v>
      </c>
      <c r="C10231" s="29"/>
      <c r="D10231" s="29" t="s">
        <v>4359</v>
      </c>
      <c r="E10231" s="29"/>
      <c r="F10231" s="29" t="s">
        <v>4360</v>
      </c>
      <c r="G10231" s="29"/>
      <c r="H10231" s="29" t="s">
        <v>4361</v>
      </c>
      <c r="I10231" s="29"/>
      <c r="J10231" s="29" t="s">
        <v>2660</v>
      </c>
      <c r="K10231" s="29"/>
      <c r="L10231" s="29" t="s">
        <v>1584</v>
      </c>
      <c r="M10231" s="29"/>
      <c r="N10231" s="29" t="s">
        <v>1393</v>
      </c>
      <c r="O10231" s="29"/>
      <c r="P10231" s="29" t="s">
        <v>234</v>
      </c>
      <c r="Q10231" t="s">
        <v>2043</v>
      </c>
      <c r="R10231" t="s">
        <v>2634</v>
      </c>
      <c r="S10231">
        <v>35</v>
      </c>
      <c r="T10231" s="43" t="str">
        <f t="shared" si="438"/>
        <v>2019.006G.zip</v>
      </c>
      <c r="U10231" s="43" t="str">
        <f>HYPERLINK("https://ictv.global/taxonomy/taxondetails?taxnode_id=202204839","ictv.global=202204839")</f>
        <v>ictv.global=202204839</v>
      </c>
    </row>
    <row r="10232" spans="1:21">
      <c r="A10232">
        <v>10231</v>
      </c>
      <c r="B10232" s="29" t="s">
        <v>3223</v>
      </c>
      <c r="C10232" s="29"/>
      <c r="D10232" s="29" t="s">
        <v>4359</v>
      </c>
      <c r="E10232" s="29"/>
      <c r="F10232" s="29" t="s">
        <v>4360</v>
      </c>
      <c r="G10232" s="29"/>
      <c r="H10232" s="29" t="s">
        <v>4361</v>
      </c>
      <c r="I10232" s="29"/>
      <c r="J10232" s="29" t="s">
        <v>2660</v>
      </c>
      <c r="K10232" s="29"/>
      <c r="L10232" s="29" t="s">
        <v>1584</v>
      </c>
      <c r="M10232" s="29"/>
      <c r="N10232" s="29" t="s">
        <v>1393</v>
      </c>
      <c r="O10232" s="29"/>
      <c r="P10232" s="29" t="s">
        <v>235</v>
      </c>
      <c r="Q10232" t="s">
        <v>2043</v>
      </c>
      <c r="R10232" t="s">
        <v>2634</v>
      </c>
      <c r="S10232">
        <v>35</v>
      </c>
      <c r="T10232" s="43" t="str">
        <f t="shared" si="438"/>
        <v>2019.006G.zip</v>
      </c>
      <c r="U10232" s="43" t="str">
        <f>HYPERLINK("https://ictv.global/taxonomy/taxondetails?taxnode_id=202204840","ictv.global=202204840")</f>
        <v>ictv.global=202204840</v>
      </c>
    </row>
    <row r="10233" spans="1:21">
      <c r="A10233">
        <v>10232</v>
      </c>
      <c r="B10233" s="29" t="s">
        <v>3223</v>
      </c>
      <c r="C10233" s="29"/>
      <c r="D10233" s="29" t="s">
        <v>4359</v>
      </c>
      <c r="E10233" s="29"/>
      <c r="F10233" s="29" t="s">
        <v>4360</v>
      </c>
      <c r="G10233" s="29"/>
      <c r="H10233" s="29" t="s">
        <v>4361</v>
      </c>
      <c r="I10233" s="29"/>
      <c r="J10233" s="29" t="s">
        <v>2660</v>
      </c>
      <c r="K10233" s="29"/>
      <c r="L10233" s="29" t="s">
        <v>1584</v>
      </c>
      <c r="M10233" s="29"/>
      <c r="N10233" s="29" t="s">
        <v>1393</v>
      </c>
      <c r="O10233" s="29"/>
      <c r="P10233" s="29" t="s">
        <v>2048</v>
      </c>
      <c r="Q10233" t="s">
        <v>2043</v>
      </c>
      <c r="R10233" t="s">
        <v>2634</v>
      </c>
      <c r="S10233">
        <v>35</v>
      </c>
      <c r="T10233" s="43" t="str">
        <f t="shared" si="438"/>
        <v>2019.006G.zip</v>
      </c>
      <c r="U10233" s="43" t="str">
        <f>HYPERLINK("https://ictv.global/taxonomy/taxondetails?taxnode_id=202204841","ictv.global=202204841")</f>
        <v>ictv.global=202204841</v>
      </c>
    </row>
    <row r="10234" spans="1:21">
      <c r="A10234">
        <v>10233</v>
      </c>
      <c r="B10234" s="29" t="s">
        <v>3223</v>
      </c>
      <c r="C10234" s="29"/>
      <c r="D10234" s="29" t="s">
        <v>4359</v>
      </c>
      <c r="E10234" s="29"/>
      <c r="F10234" s="29" t="s">
        <v>4360</v>
      </c>
      <c r="G10234" s="29"/>
      <c r="H10234" s="29" t="s">
        <v>4361</v>
      </c>
      <c r="I10234" s="29"/>
      <c r="J10234" s="29" t="s">
        <v>2660</v>
      </c>
      <c r="K10234" s="29"/>
      <c r="L10234" s="29" t="s">
        <v>1584</v>
      </c>
      <c r="M10234" s="29"/>
      <c r="N10234" s="29" t="s">
        <v>1393</v>
      </c>
      <c r="O10234" s="29"/>
      <c r="P10234" s="29" t="s">
        <v>951</v>
      </c>
      <c r="Q10234" t="s">
        <v>2043</v>
      </c>
      <c r="R10234" t="s">
        <v>2634</v>
      </c>
      <c r="S10234">
        <v>35</v>
      </c>
      <c r="T10234" s="43" t="str">
        <f t="shared" si="438"/>
        <v>2019.006G.zip</v>
      </c>
      <c r="U10234" s="43" t="str">
        <f>HYPERLINK("https://ictv.global/taxonomy/taxondetails?taxnode_id=202204842","ictv.global=202204842")</f>
        <v>ictv.global=202204842</v>
      </c>
    </row>
    <row r="10235" spans="1:21">
      <c r="A10235">
        <v>10234</v>
      </c>
      <c r="B10235" s="29" t="s">
        <v>3223</v>
      </c>
      <c r="C10235" s="29"/>
      <c r="D10235" s="29" t="s">
        <v>4359</v>
      </c>
      <c r="E10235" s="29"/>
      <c r="F10235" s="29" t="s">
        <v>4360</v>
      </c>
      <c r="G10235" s="29"/>
      <c r="H10235" s="29" t="s">
        <v>4361</v>
      </c>
      <c r="I10235" s="29"/>
      <c r="J10235" s="29" t="s">
        <v>2660</v>
      </c>
      <c r="K10235" s="29"/>
      <c r="L10235" s="29" t="s">
        <v>1584</v>
      </c>
      <c r="M10235" s="29"/>
      <c r="N10235" s="29" t="s">
        <v>1393</v>
      </c>
      <c r="O10235" s="29"/>
      <c r="P10235" s="29" t="s">
        <v>952</v>
      </c>
      <c r="Q10235" t="s">
        <v>2043</v>
      </c>
      <c r="R10235" t="s">
        <v>2634</v>
      </c>
      <c r="S10235">
        <v>35</v>
      </c>
      <c r="T10235" s="43" t="str">
        <f t="shared" si="438"/>
        <v>2019.006G.zip</v>
      </c>
      <c r="U10235" s="43" t="str">
        <f>HYPERLINK("https://ictv.global/taxonomy/taxondetails?taxnode_id=202204843","ictv.global=202204843")</f>
        <v>ictv.global=202204843</v>
      </c>
    </row>
    <row r="10236" spans="1:21">
      <c r="A10236">
        <v>10235</v>
      </c>
      <c r="B10236" s="29" t="s">
        <v>3223</v>
      </c>
      <c r="C10236" s="29"/>
      <c r="D10236" s="29" t="s">
        <v>4359</v>
      </c>
      <c r="E10236" s="29"/>
      <c r="F10236" s="29" t="s">
        <v>4360</v>
      </c>
      <c r="G10236" s="29"/>
      <c r="H10236" s="29" t="s">
        <v>4361</v>
      </c>
      <c r="I10236" s="29"/>
      <c r="J10236" s="29" t="s">
        <v>2660</v>
      </c>
      <c r="K10236" s="29"/>
      <c r="L10236" s="29" t="s">
        <v>1584</v>
      </c>
      <c r="M10236" s="29"/>
      <c r="N10236" s="29" t="s">
        <v>1393</v>
      </c>
      <c r="O10236" s="29"/>
      <c r="P10236" s="29" t="s">
        <v>953</v>
      </c>
      <c r="Q10236" t="s">
        <v>2043</v>
      </c>
      <c r="R10236" t="s">
        <v>2634</v>
      </c>
      <c r="S10236">
        <v>35</v>
      </c>
      <c r="T10236" s="43" t="str">
        <f t="shared" si="438"/>
        <v>2019.006G.zip</v>
      </c>
      <c r="U10236" s="43" t="str">
        <f>HYPERLINK("https://ictv.global/taxonomy/taxondetails?taxnode_id=202204844","ictv.global=202204844")</f>
        <v>ictv.global=202204844</v>
      </c>
    </row>
    <row r="10237" spans="1:21">
      <c r="A10237">
        <v>10236</v>
      </c>
      <c r="B10237" s="29" t="s">
        <v>3223</v>
      </c>
      <c r="C10237" s="29"/>
      <c r="D10237" s="29" t="s">
        <v>4359</v>
      </c>
      <c r="E10237" s="29"/>
      <c r="F10237" s="29" t="s">
        <v>4360</v>
      </c>
      <c r="G10237" s="29"/>
      <c r="H10237" s="29" t="s">
        <v>4361</v>
      </c>
      <c r="I10237" s="29"/>
      <c r="J10237" s="29" t="s">
        <v>2660</v>
      </c>
      <c r="K10237" s="29"/>
      <c r="L10237" s="29" t="s">
        <v>1584</v>
      </c>
      <c r="M10237" s="29"/>
      <c r="N10237" s="29" t="s">
        <v>1393</v>
      </c>
      <c r="O10237" s="29"/>
      <c r="P10237" s="29" t="s">
        <v>954</v>
      </c>
      <c r="Q10237" t="s">
        <v>2043</v>
      </c>
      <c r="R10237" t="s">
        <v>2634</v>
      </c>
      <c r="S10237">
        <v>35</v>
      </c>
      <c r="T10237" s="43" t="str">
        <f t="shared" si="438"/>
        <v>2019.006G.zip</v>
      </c>
      <c r="U10237" s="43" t="str">
        <f>HYPERLINK("https://ictv.global/taxonomy/taxondetails?taxnode_id=202204845","ictv.global=202204845")</f>
        <v>ictv.global=202204845</v>
      </c>
    </row>
    <row r="10238" spans="1:21">
      <c r="A10238">
        <v>10237</v>
      </c>
      <c r="B10238" s="29" t="s">
        <v>3223</v>
      </c>
      <c r="C10238" s="29"/>
      <c r="D10238" s="29" t="s">
        <v>4359</v>
      </c>
      <c r="E10238" s="29"/>
      <c r="F10238" s="29" t="s">
        <v>4360</v>
      </c>
      <c r="G10238" s="29"/>
      <c r="H10238" s="29" t="s">
        <v>4361</v>
      </c>
      <c r="I10238" s="29"/>
      <c r="J10238" s="29" t="s">
        <v>2660</v>
      </c>
      <c r="K10238" s="29"/>
      <c r="L10238" s="29" t="s">
        <v>1584</v>
      </c>
      <c r="M10238" s="29"/>
      <c r="N10238" s="29" t="s">
        <v>1393</v>
      </c>
      <c r="O10238" s="29"/>
      <c r="P10238" s="29" t="s">
        <v>955</v>
      </c>
      <c r="Q10238" t="s">
        <v>2043</v>
      </c>
      <c r="R10238" t="s">
        <v>2634</v>
      </c>
      <c r="S10238">
        <v>35</v>
      </c>
      <c r="T10238" s="43" t="str">
        <f t="shared" si="438"/>
        <v>2019.006G.zip</v>
      </c>
      <c r="U10238" s="43" t="str">
        <f>HYPERLINK("https://ictv.global/taxonomy/taxondetails?taxnode_id=202204846","ictv.global=202204846")</f>
        <v>ictv.global=202204846</v>
      </c>
    </row>
    <row r="10239" spans="1:21">
      <c r="A10239">
        <v>10238</v>
      </c>
      <c r="B10239" s="29" t="s">
        <v>3223</v>
      </c>
      <c r="C10239" s="29"/>
      <c r="D10239" s="29" t="s">
        <v>4359</v>
      </c>
      <c r="E10239" s="29"/>
      <c r="F10239" s="29" t="s">
        <v>4360</v>
      </c>
      <c r="G10239" s="29"/>
      <c r="H10239" s="29" t="s">
        <v>4361</v>
      </c>
      <c r="I10239" s="29"/>
      <c r="J10239" s="29" t="s">
        <v>2660</v>
      </c>
      <c r="K10239" s="29"/>
      <c r="L10239" s="29" t="s">
        <v>1584</v>
      </c>
      <c r="M10239" s="29"/>
      <c r="N10239" s="29" t="s">
        <v>1393</v>
      </c>
      <c r="O10239" s="29"/>
      <c r="P10239" s="29" t="s">
        <v>956</v>
      </c>
      <c r="Q10239" t="s">
        <v>2043</v>
      </c>
      <c r="R10239" t="s">
        <v>2634</v>
      </c>
      <c r="S10239">
        <v>35</v>
      </c>
      <c r="T10239" s="43" t="str">
        <f t="shared" si="438"/>
        <v>2019.006G.zip</v>
      </c>
      <c r="U10239" s="43" t="str">
        <f>HYPERLINK("https://ictv.global/taxonomy/taxondetails?taxnode_id=202204847","ictv.global=202204847")</f>
        <v>ictv.global=202204847</v>
      </c>
    </row>
    <row r="10240" spans="1:21">
      <c r="A10240">
        <v>10239</v>
      </c>
      <c r="B10240" s="29" t="s">
        <v>3223</v>
      </c>
      <c r="C10240" s="29"/>
      <c r="D10240" s="29" t="s">
        <v>4359</v>
      </c>
      <c r="E10240" s="29"/>
      <c r="F10240" s="29" t="s">
        <v>4360</v>
      </c>
      <c r="G10240" s="29"/>
      <c r="H10240" s="29" t="s">
        <v>4361</v>
      </c>
      <c r="I10240" s="29"/>
      <c r="J10240" s="29" t="s">
        <v>2660</v>
      </c>
      <c r="K10240" s="29"/>
      <c r="L10240" s="29" t="s">
        <v>1584</v>
      </c>
      <c r="M10240" s="29"/>
      <c r="N10240" s="29" t="s">
        <v>1393</v>
      </c>
      <c r="O10240" s="29"/>
      <c r="P10240" s="29" t="s">
        <v>957</v>
      </c>
      <c r="Q10240" t="s">
        <v>2043</v>
      </c>
      <c r="R10240" t="s">
        <v>2634</v>
      </c>
      <c r="S10240">
        <v>35</v>
      </c>
      <c r="T10240" s="43" t="str">
        <f t="shared" si="438"/>
        <v>2019.006G.zip</v>
      </c>
      <c r="U10240" s="43" t="str">
        <f>HYPERLINK("https://ictv.global/taxonomy/taxondetails?taxnode_id=202204848","ictv.global=202204848")</f>
        <v>ictv.global=202204848</v>
      </c>
    </row>
    <row r="10241" spans="1:21">
      <c r="A10241">
        <v>10240</v>
      </c>
      <c r="B10241" s="29" t="s">
        <v>3223</v>
      </c>
      <c r="C10241" s="29"/>
      <c r="D10241" s="29" t="s">
        <v>4359</v>
      </c>
      <c r="E10241" s="29"/>
      <c r="F10241" s="29" t="s">
        <v>4360</v>
      </c>
      <c r="G10241" s="29"/>
      <c r="H10241" s="29" t="s">
        <v>4361</v>
      </c>
      <c r="I10241" s="29"/>
      <c r="J10241" s="29" t="s">
        <v>2660</v>
      </c>
      <c r="K10241" s="29"/>
      <c r="L10241" s="29" t="s">
        <v>1584</v>
      </c>
      <c r="M10241" s="29"/>
      <c r="N10241" s="29" t="s">
        <v>1393</v>
      </c>
      <c r="O10241" s="29"/>
      <c r="P10241" s="29" t="s">
        <v>1250</v>
      </c>
      <c r="Q10241" t="s">
        <v>2043</v>
      </c>
      <c r="R10241" t="s">
        <v>2634</v>
      </c>
      <c r="S10241">
        <v>35</v>
      </c>
      <c r="T10241" s="43" t="str">
        <f t="shared" si="438"/>
        <v>2019.006G.zip</v>
      </c>
      <c r="U10241" s="43" t="str">
        <f>HYPERLINK("https://ictv.global/taxonomy/taxondetails?taxnode_id=202204849","ictv.global=202204849")</f>
        <v>ictv.global=202204849</v>
      </c>
    </row>
    <row r="10242" spans="1:21">
      <c r="A10242">
        <v>10241</v>
      </c>
      <c r="B10242" s="29" t="s">
        <v>3223</v>
      </c>
      <c r="C10242" s="29"/>
      <c r="D10242" s="29" t="s">
        <v>4359</v>
      </c>
      <c r="E10242" s="29"/>
      <c r="F10242" s="29" t="s">
        <v>4360</v>
      </c>
      <c r="G10242" s="29"/>
      <c r="H10242" s="29" t="s">
        <v>4361</v>
      </c>
      <c r="I10242" s="29"/>
      <c r="J10242" s="29" t="s">
        <v>2660</v>
      </c>
      <c r="K10242" s="29"/>
      <c r="L10242" s="29" t="s">
        <v>1584</v>
      </c>
      <c r="M10242" s="29"/>
      <c r="N10242" s="29" t="s">
        <v>1393</v>
      </c>
      <c r="O10242" s="29"/>
      <c r="P10242" s="29" t="s">
        <v>1251</v>
      </c>
      <c r="Q10242" t="s">
        <v>2043</v>
      </c>
      <c r="R10242" t="s">
        <v>2634</v>
      </c>
      <c r="S10242">
        <v>35</v>
      </c>
      <c r="T10242" s="43" t="str">
        <f t="shared" si="438"/>
        <v>2019.006G.zip</v>
      </c>
      <c r="U10242" s="43" t="str">
        <f>HYPERLINK("https://ictv.global/taxonomy/taxondetails?taxnode_id=202204850","ictv.global=202204850")</f>
        <v>ictv.global=202204850</v>
      </c>
    </row>
    <row r="10243" spans="1:21">
      <c r="A10243">
        <v>10242</v>
      </c>
      <c r="B10243" s="29" t="s">
        <v>3223</v>
      </c>
      <c r="C10243" s="29"/>
      <c r="D10243" s="29" t="s">
        <v>4359</v>
      </c>
      <c r="E10243" s="29"/>
      <c r="F10243" s="29" t="s">
        <v>4360</v>
      </c>
      <c r="G10243" s="29"/>
      <c r="H10243" s="29" t="s">
        <v>4361</v>
      </c>
      <c r="I10243" s="29"/>
      <c r="J10243" s="29" t="s">
        <v>2660</v>
      </c>
      <c r="K10243" s="29"/>
      <c r="L10243" s="29" t="s">
        <v>1584</v>
      </c>
      <c r="M10243" s="29"/>
      <c r="N10243" s="29" t="s">
        <v>1393</v>
      </c>
      <c r="O10243" s="29"/>
      <c r="P10243" s="29" t="s">
        <v>1252</v>
      </c>
      <c r="Q10243" t="s">
        <v>2043</v>
      </c>
      <c r="R10243" t="s">
        <v>2634</v>
      </c>
      <c r="S10243">
        <v>35</v>
      </c>
      <c r="T10243" s="43" t="str">
        <f t="shared" si="438"/>
        <v>2019.006G.zip</v>
      </c>
      <c r="U10243" s="43" t="str">
        <f>HYPERLINK("https://ictv.global/taxonomy/taxondetails?taxnode_id=202204851","ictv.global=202204851")</f>
        <v>ictv.global=202204851</v>
      </c>
    </row>
    <row r="10244" spans="1:21">
      <c r="A10244">
        <v>10243</v>
      </c>
      <c r="B10244" s="29" t="s">
        <v>3223</v>
      </c>
      <c r="C10244" s="29"/>
      <c r="D10244" s="29" t="s">
        <v>4359</v>
      </c>
      <c r="E10244" s="29"/>
      <c r="F10244" s="29" t="s">
        <v>4360</v>
      </c>
      <c r="G10244" s="29"/>
      <c r="H10244" s="29" t="s">
        <v>4361</v>
      </c>
      <c r="I10244" s="29"/>
      <c r="J10244" s="29" t="s">
        <v>2660</v>
      </c>
      <c r="K10244" s="29"/>
      <c r="L10244" s="29" t="s">
        <v>1584</v>
      </c>
      <c r="M10244" s="29"/>
      <c r="N10244" s="29" t="s">
        <v>1393</v>
      </c>
      <c r="O10244" s="29"/>
      <c r="P10244" s="29" t="s">
        <v>1253</v>
      </c>
      <c r="Q10244" t="s">
        <v>2043</v>
      </c>
      <c r="R10244" t="s">
        <v>6901</v>
      </c>
      <c r="S10244">
        <v>36</v>
      </c>
      <c r="T10244" s="43" t="str">
        <f>HYPERLINK("https://ictv.global/ictv/proposals/2020.001G.R.Abolish_type_species.pdf","2020.001G.R.Abolish_type_species.pdf")</f>
        <v>2020.001G.R.Abolish_type_species.pdf</v>
      </c>
      <c r="U10244" s="43" t="str">
        <f>HYPERLINK("https://ictv.global/taxonomy/taxondetails?taxnode_id=202204852","ictv.global=202204852")</f>
        <v>ictv.global=202204852</v>
      </c>
    </row>
    <row r="10245" spans="1:21">
      <c r="A10245">
        <v>10244</v>
      </c>
      <c r="B10245" s="29" t="s">
        <v>3223</v>
      </c>
      <c r="C10245" s="29"/>
      <c r="D10245" s="29" t="s">
        <v>4359</v>
      </c>
      <c r="E10245" s="29"/>
      <c r="F10245" s="29" t="s">
        <v>4360</v>
      </c>
      <c r="G10245" s="29"/>
      <c r="H10245" s="29" t="s">
        <v>4361</v>
      </c>
      <c r="I10245" s="29"/>
      <c r="J10245" s="29" t="s">
        <v>2660</v>
      </c>
      <c r="K10245" s="29"/>
      <c r="L10245" s="29" t="s">
        <v>1584</v>
      </c>
      <c r="M10245" s="29"/>
      <c r="N10245" s="29" t="s">
        <v>1393</v>
      </c>
      <c r="O10245" s="29"/>
      <c r="P10245" s="29" t="s">
        <v>1254</v>
      </c>
      <c r="Q10245" t="s">
        <v>2043</v>
      </c>
      <c r="R10245" t="s">
        <v>2634</v>
      </c>
      <c r="S10245">
        <v>35</v>
      </c>
      <c r="T10245" s="43" t="str">
        <f t="shared" ref="T10245:T10251" si="439">HYPERLINK("https://ictv.global/ictv/proposals/2019.006G.zip","2019.006G.zip")</f>
        <v>2019.006G.zip</v>
      </c>
      <c r="U10245" s="43" t="str">
        <f>HYPERLINK("https://ictv.global/taxonomy/taxondetails?taxnode_id=202204853","ictv.global=202204853")</f>
        <v>ictv.global=202204853</v>
      </c>
    </row>
    <row r="10246" spans="1:21">
      <c r="A10246">
        <v>10245</v>
      </c>
      <c r="B10246" s="29" t="s">
        <v>3223</v>
      </c>
      <c r="C10246" s="29"/>
      <c r="D10246" s="29" t="s">
        <v>4359</v>
      </c>
      <c r="E10246" s="29"/>
      <c r="F10246" s="29" t="s">
        <v>4360</v>
      </c>
      <c r="G10246" s="29"/>
      <c r="H10246" s="29" t="s">
        <v>4361</v>
      </c>
      <c r="I10246" s="29"/>
      <c r="J10246" s="29" t="s">
        <v>2660</v>
      </c>
      <c r="K10246" s="29"/>
      <c r="L10246" s="29" t="s">
        <v>1584</v>
      </c>
      <c r="M10246" s="29"/>
      <c r="N10246" s="29" t="s">
        <v>1393</v>
      </c>
      <c r="O10246" s="29"/>
      <c r="P10246" s="29" t="s">
        <v>553</v>
      </c>
      <c r="Q10246" t="s">
        <v>2043</v>
      </c>
      <c r="R10246" t="s">
        <v>2634</v>
      </c>
      <c r="S10246">
        <v>35</v>
      </c>
      <c r="T10246" s="43" t="str">
        <f t="shared" si="439"/>
        <v>2019.006G.zip</v>
      </c>
      <c r="U10246" s="43" t="str">
        <f>HYPERLINK("https://ictv.global/taxonomy/taxondetails?taxnode_id=202204854","ictv.global=202204854")</f>
        <v>ictv.global=202204854</v>
      </c>
    </row>
    <row r="10247" spans="1:21">
      <c r="A10247">
        <v>10246</v>
      </c>
      <c r="B10247" s="29" t="s">
        <v>3223</v>
      </c>
      <c r="C10247" s="29"/>
      <c r="D10247" s="29" t="s">
        <v>4359</v>
      </c>
      <c r="E10247" s="29"/>
      <c r="F10247" s="29" t="s">
        <v>4360</v>
      </c>
      <c r="G10247" s="29"/>
      <c r="H10247" s="29" t="s">
        <v>4361</v>
      </c>
      <c r="I10247" s="29"/>
      <c r="J10247" s="29" t="s">
        <v>2660</v>
      </c>
      <c r="K10247" s="29"/>
      <c r="L10247" s="29" t="s">
        <v>1584</v>
      </c>
      <c r="M10247" s="29"/>
      <c r="N10247" s="29" t="s">
        <v>1393</v>
      </c>
      <c r="O10247" s="29"/>
      <c r="P10247" s="29" t="s">
        <v>1290</v>
      </c>
      <c r="Q10247" t="s">
        <v>2043</v>
      </c>
      <c r="R10247" t="s">
        <v>2634</v>
      </c>
      <c r="S10247">
        <v>35</v>
      </c>
      <c r="T10247" s="43" t="str">
        <f t="shared" si="439"/>
        <v>2019.006G.zip</v>
      </c>
      <c r="U10247" s="43" t="str">
        <f>HYPERLINK("https://ictv.global/taxonomy/taxondetails?taxnode_id=202204855","ictv.global=202204855")</f>
        <v>ictv.global=202204855</v>
      </c>
    </row>
    <row r="10248" spans="1:21">
      <c r="A10248">
        <v>10247</v>
      </c>
      <c r="B10248" s="29" t="s">
        <v>3223</v>
      </c>
      <c r="C10248" s="29"/>
      <c r="D10248" s="29" t="s">
        <v>4359</v>
      </c>
      <c r="E10248" s="29"/>
      <c r="F10248" s="29" t="s">
        <v>4360</v>
      </c>
      <c r="G10248" s="29"/>
      <c r="H10248" s="29" t="s">
        <v>4361</v>
      </c>
      <c r="I10248" s="29"/>
      <c r="J10248" s="29" t="s">
        <v>2660</v>
      </c>
      <c r="K10248" s="29"/>
      <c r="L10248" s="29" t="s">
        <v>1584</v>
      </c>
      <c r="M10248" s="29"/>
      <c r="N10248" s="29" t="s">
        <v>1393</v>
      </c>
      <c r="O10248" s="29"/>
      <c r="P10248" s="29" t="s">
        <v>2668</v>
      </c>
      <c r="Q10248" t="s">
        <v>2043</v>
      </c>
      <c r="R10248" t="s">
        <v>2634</v>
      </c>
      <c r="S10248">
        <v>35</v>
      </c>
      <c r="T10248" s="43" t="str">
        <f t="shared" si="439"/>
        <v>2019.006G.zip</v>
      </c>
      <c r="U10248" s="43" t="str">
        <f>HYPERLINK("https://ictv.global/taxonomy/taxondetails?taxnode_id=202204856","ictv.global=202204856")</f>
        <v>ictv.global=202204856</v>
      </c>
    </row>
    <row r="10249" spans="1:21">
      <c r="A10249">
        <v>10248</v>
      </c>
      <c r="B10249" s="29" t="s">
        <v>3223</v>
      </c>
      <c r="C10249" s="29"/>
      <c r="D10249" s="29" t="s">
        <v>4359</v>
      </c>
      <c r="E10249" s="29"/>
      <c r="F10249" s="29" t="s">
        <v>4360</v>
      </c>
      <c r="G10249" s="29"/>
      <c r="H10249" s="29" t="s">
        <v>4361</v>
      </c>
      <c r="I10249" s="29"/>
      <c r="J10249" s="29" t="s">
        <v>2660</v>
      </c>
      <c r="K10249" s="29"/>
      <c r="L10249" s="29" t="s">
        <v>1584</v>
      </c>
      <c r="M10249" s="29"/>
      <c r="N10249" s="29" t="s">
        <v>1393</v>
      </c>
      <c r="O10249" s="29"/>
      <c r="P10249" s="29" t="s">
        <v>1291</v>
      </c>
      <c r="Q10249" t="s">
        <v>2043</v>
      </c>
      <c r="R10249" t="s">
        <v>2634</v>
      </c>
      <c r="S10249">
        <v>35</v>
      </c>
      <c r="T10249" s="43" t="str">
        <f t="shared" si="439"/>
        <v>2019.006G.zip</v>
      </c>
      <c r="U10249" s="43" t="str">
        <f>HYPERLINK("https://ictv.global/taxonomy/taxondetails?taxnode_id=202204857","ictv.global=202204857")</f>
        <v>ictv.global=202204857</v>
      </c>
    </row>
    <row r="10250" spans="1:21">
      <c r="A10250">
        <v>10249</v>
      </c>
      <c r="B10250" s="29" t="s">
        <v>3223</v>
      </c>
      <c r="C10250" s="29"/>
      <c r="D10250" s="29" t="s">
        <v>4359</v>
      </c>
      <c r="E10250" s="29"/>
      <c r="F10250" s="29" t="s">
        <v>4360</v>
      </c>
      <c r="G10250" s="29"/>
      <c r="H10250" s="29" t="s">
        <v>4361</v>
      </c>
      <c r="I10250" s="29"/>
      <c r="J10250" s="29" t="s">
        <v>2660</v>
      </c>
      <c r="K10250" s="29"/>
      <c r="L10250" s="29" t="s">
        <v>1584</v>
      </c>
      <c r="M10250" s="29"/>
      <c r="N10250" s="29" t="s">
        <v>1393</v>
      </c>
      <c r="O10250" s="29"/>
      <c r="P10250" s="29" t="s">
        <v>2669</v>
      </c>
      <c r="Q10250" t="s">
        <v>2043</v>
      </c>
      <c r="R10250" t="s">
        <v>2634</v>
      </c>
      <c r="S10250">
        <v>35</v>
      </c>
      <c r="T10250" s="43" t="str">
        <f t="shared" si="439"/>
        <v>2019.006G.zip</v>
      </c>
      <c r="U10250" s="43" t="str">
        <f>HYPERLINK("https://ictv.global/taxonomy/taxondetails?taxnode_id=202204858","ictv.global=202204858")</f>
        <v>ictv.global=202204858</v>
      </c>
    </row>
    <row r="10251" spans="1:21">
      <c r="A10251">
        <v>10250</v>
      </c>
      <c r="B10251" s="29" t="s">
        <v>3223</v>
      </c>
      <c r="C10251" s="29"/>
      <c r="D10251" s="29" t="s">
        <v>4359</v>
      </c>
      <c r="E10251" s="29"/>
      <c r="F10251" s="29" t="s">
        <v>4360</v>
      </c>
      <c r="G10251" s="29"/>
      <c r="H10251" s="29" t="s">
        <v>4361</v>
      </c>
      <c r="I10251" s="29"/>
      <c r="J10251" s="29" t="s">
        <v>2660</v>
      </c>
      <c r="K10251" s="29"/>
      <c r="L10251" s="29" t="s">
        <v>1584</v>
      </c>
      <c r="M10251" s="29"/>
      <c r="N10251" s="29" t="s">
        <v>555</v>
      </c>
      <c r="O10251" s="29"/>
      <c r="P10251" s="29" t="s">
        <v>556</v>
      </c>
      <c r="Q10251" t="s">
        <v>2043</v>
      </c>
      <c r="R10251" t="s">
        <v>2634</v>
      </c>
      <c r="S10251">
        <v>35</v>
      </c>
      <c r="T10251" s="43" t="str">
        <f t="shared" si="439"/>
        <v>2019.006G.zip</v>
      </c>
      <c r="U10251" s="43" t="str">
        <f>HYPERLINK("https://ictv.global/taxonomy/taxondetails?taxnode_id=202204860","ictv.global=202204860")</f>
        <v>ictv.global=202204860</v>
      </c>
    </row>
    <row r="10252" spans="1:21">
      <c r="A10252">
        <v>10251</v>
      </c>
      <c r="B10252" s="29" t="s">
        <v>3223</v>
      </c>
      <c r="C10252" s="29"/>
      <c r="D10252" s="29" t="s">
        <v>4359</v>
      </c>
      <c r="E10252" s="29"/>
      <c r="F10252" s="29" t="s">
        <v>4360</v>
      </c>
      <c r="G10252" s="29"/>
      <c r="H10252" s="29" t="s">
        <v>4361</v>
      </c>
      <c r="I10252" s="29"/>
      <c r="J10252" s="29" t="s">
        <v>2660</v>
      </c>
      <c r="K10252" s="29"/>
      <c r="L10252" s="29" t="s">
        <v>1584</v>
      </c>
      <c r="M10252" s="29"/>
      <c r="N10252" s="29" t="s">
        <v>555</v>
      </c>
      <c r="O10252" s="29"/>
      <c r="P10252" s="29" t="s">
        <v>557</v>
      </c>
      <c r="Q10252" t="s">
        <v>2043</v>
      </c>
      <c r="R10252" t="s">
        <v>6901</v>
      </c>
      <c r="S10252">
        <v>36</v>
      </c>
      <c r="T10252" s="43" t="str">
        <f>HYPERLINK("https://ictv.global/ictv/proposals/2020.001G.R.Abolish_type_species.pdf","2020.001G.R.Abolish_type_species.pdf")</f>
        <v>2020.001G.R.Abolish_type_species.pdf</v>
      </c>
      <c r="U10252" s="43" t="str">
        <f>HYPERLINK("https://ictv.global/taxonomy/taxondetails?taxnode_id=202204861","ictv.global=202204861")</f>
        <v>ictv.global=202204861</v>
      </c>
    </row>
    <row r="10253" spans="1:21">
      <c r="A10253">
        <v>10252</v>
      </c>
      <c r="B10253" s="29" t="s">
        <v>3223</v>
      </c>
      <c r="C10253" s="29"/>
      <c r="D10253" s="29" t="s">
        <v>4359</v>
      </c>
      <c r="E10253" s="29"/>
      <c r="F10253" s="29" t="s">
        <v>4360</v>
      </c>
      <c r="G10253" s="29"/>
      <c r="H10253" s="29" t="s">
        <v>4361</v>
      </c>
      <c r="I10253" s="29"/>
      <c r="J10253" s="29" t="s">
        <v>2660</v>
      </c>
      <c r="K10253" s="29"/>
      <c r="L10253" s="29" t="s">
        <v>1584</v>
      </c>
      <c r="M10253" s="29"/>
      <c r="N10253" s="29" t="s">
        <v>555</v>
      </c>
      <c r="O10253" s="29"/>
      <c r="P10253" s="29" t="s">
        <v>558</v>
      </c>
      <c r="Q10253" t="s">
        <v>2043</v>
      </c>
      <c r="R10253" t="s">
        <v>2634</v>
      </c>
      <c r="S10253">
        <v>35</v>
      </c>
      <c r="T10253" s="43" t="str">
        <f>HYPERLINK("https://ictv.global/ictv/proposals/2019.006G.zip","2019.006G.zip")</f>
        <v>2019.006G.zip</v>
      </c>
      <c r="U10253" s="43" t="str">
        <f>HYPERLINK("https://ictv.global/taxonomy/taxondetails?taxnode_id=202204862","ictv.global=202204862")</f>
        <v>ictv.global=202204862</v>
      </c>
    </row>
    <row r="10254" spans="1:21">
      <c r="A10254">
        <v>10253</v>
      </c>
      <c r="B10254" s="29" t="s">
        <v>3223</v>
      </c>
      <c r="C10254" s="29"/>
      <c r="D10254" s="29" t="s">
        <v>4359</v>
      </c>
      <c r="E10254" s="29"/>
      <c r="F10254" s="29" t="s">
        <v>4360</v>
      </c>
      <c r="G10254" s="29"/>
      <c r="H10254" s="29" t="s">
        <v>4361</v>
      </c>
      <c r="I10254" s="29"/>
      <c r="J10254" s="29" t="s">
        <v>2660</v>
      </c>
      <c r="K10254" s="29"/>
      <c r="L10254" s="29" t="s">
        <v>1584</v>
      </c>
      <c r="M10254" s="29"/>
      <c r="N10254" s="29" t="s">
        <v>555</v>
      </c>
      <c r="O10254" s="29"/>
      <c r="P10254" s="29" t="s">
        <v>2670</v>
      </c>
      <c r="Q10254" t="s">
        <v>2043</v>
      </c>
      <c r="R10254" t="s">
        <v>2634</v>
      </c>
      <c r="S10254">
        <v>35</v>
      </c>
      <c r="T10254" s="43" t="str">
        <f>HYPERLINK("https://ictv.global/ictv/proposals/2019.006G.zip","2019.006G.zip")</f>
        <v>2019.006G.zip</v>
      </c>
      <c r="U10254" s="43" t="str">
        <f>HYPERLINK("https://ictv.global/taxonomy/taxondetails?taxnode_id=202204863","ictv.global=202204863")</f>
        <v>ictv.global=202204863</v>
      </c>
    </row>
    <row r="10255" spans="1:21">
      <c r="A10255">
        <v>10254</v>
      </c>
      <c r="B10255" s="29" t="s">
        <v>3223</v>
      </c>
      <c r="C10255" s="29"/>
      <c r="D10255" s="29" t="s">
        <v>4359</v>
      </c>
      <c r="E10255" s="29"/>
      <c r="F10255" s="29" t="s">
        <v>4360</v>
      </c>
      <c r="G10255" s="29"/>
      <c r="H10255" s="29" t="s">
        <v>4361</v>
      </c>
      <c r="I10255" s="29"/>
      <c r="J10255" s="29" t="s">
        <v>2660</v>
      </c>
      <c r="K10255" s="29"/>
      <c r="L10255" s="29" t="s">
        <v>1584</v>
      </c>
      <c r="M10255" s="29"/>
      <c r="N10255" s="29" t="s">
        <v>555</v>
      </c>
      <c r="O10255" s="29"/>
      <c r="P10255" s="29" t="s">
        <v>2671</v>
      </c>
      <c r="Q10255" t="s">
        <v>2043</v>
      </c>
      <c r="R10255" t="s">
        <v>2634</v>
      </c>
      <c r="S10255">
        <v>35</v>
      </c>
      <c r="T10255" s="43" t="str">
        <f>HYPERLINK("https://ictv.global/ictv/proposals/2019.006G.zip","2019.006G.zip")</f>
        <v>2019.006G.zip</v>
      </c>
      <c r="U10255" s="43" t="str">
        <f>HYPERLINK("https://ictv.global/taxonomy/taxondetails?taxnode_id=202204864","ictv.global=202204864")</f>
        <v>ictv.global=202204864</v>
      </c>
    </row>
    <row r="10256" spans="1:21">
      <c r="A10256">
        <v>10255</v>
      </c>
      <c r="B10256" s="29" t="s">
        <v>3223</v>
      </c>
      <c r="C10256" s="29"/>
      <c r="D10256" s="29" t="s">
        <v>4359</v>
      </c>
      <c r="E10256" s="29"/>
      <c r="F10256" s="29" t="s">
        <v>4360</v>
      </c>
      <c r="G10256" s="29"/>
      <c r="H10256" s="29" t="s">
        <v>4361</v>
      </c>
      <c r="I10256" s="29"/>
      <c r="J10256" s="29" t="s">
        <v>2660</v>
      </c>
      <c r="K10256" s="29"/>
      <c r="L10256" s="29" t="s">
        <v>1584</v>
      </c>
      <c r="M10256" s="29"/>
      <c r="N10256" s="29"/>
      <c r="O10256" s="29"/>
      <c r="P10256" s="29" t="s">
        <v>1293</v>
      </c>
      <c r="Q10256" t="s">
        <v>2043</v>
      </c>
      <c r="R10256" t="s">
        <v>2634</v>
      </c>
      <c r="S10256">
        <v>35</v>
      </c>
      <c r="T10256" s="43" t="str">
        <f>HYPERLINK("https://ictv.global/ictv/proposals/2019.006G.zip","2019.006G.zip")</f>
        <v>2019.006G.zip</v>
      </c>
      <c r="U10256" s="43" t="str">
        <f>HYPERLINK("https://ictv.global/taxonomy/taxondetails?taxnode_id=202204866","ictv.global=202204866")</f>
        <v>ictv.global=202204866</v>
      </c>
    </row>
    <row r="10257" spans="1:21">
      <c r="A10257">
        <v>10256</v>
      </c>
      <c r="B10257" s="29" t="s">
        <v>3223</v>
      </c>
      <c r="C10257" s="29"/>
      <c r="D10257" s="29" t="s">
        <v>4359</v>
      </c>
      <c r="E10257" s="29"/>
      <c r="F10257" s="29" t="s">
        <v>4360</v>
      </c>
      <c r="G10257" s="29"/>
      <c r="H10257" s="29" t="s">
        <v>4361</v>
      </c>
      <c r="I10257" s="29"/>
      <c r="J10257" s="29" t="s">
        <v>2660</v>
      </c>
      <c r="K10257" s="29"/>
      <c r="L10257" s="29" t="s">
        <v>285</v>
      </c>
      <c r="M10257" s="29" t="s">
        <v>286</v>
      </c>
      <c r="N10257" s="29" t="s">
        <v>287</v>
      </c>
      <c r="O10257" s="29"/>
      <c r="P10257" s="29" t="s">
        <v>195</v>
      </c>
      <c r="Q10257" t="s">
        <v>2043</v>
      </c>
      <c r="R10257" t="s">
        <v>2634</v>
      </c>
      <c r="S10257">
        <v>35</v>
      </c>
      <c r="T10257" s="43" t="str">
        <f>HYPERLINK("https://ictv.global/ictv/proposals/2019.006G.zip","2019.006G.zip")</f>
        <v>2019.006G.zip</v>
      </c>
      <c r="U10257" s="43" t="str">
        <f>HYPERLINK("https://ictv.global/taxonomy/taxondetails?taxnode_id=202204982","ictv.global=202204982")</f>
        <v>ictv.global=202204982</v>
      </c>
    </row>
    <row r="10258" spans="1:21">
      <c r="A10258">
        <v>10257</v>
      </c>
      <c r="B10258" s="29" t="s">
        <v>3223</v>
      </c>
      <c r="C10258" s="29"/>
      <c r="D10258" s="29" t="s">
        <v>4359</v>
      </c>
      <c r="E10258" s="29"/>
      <c r="F10258" s="29" t="s">
        <v>4360</v>
      </c>
      <c r="G10258" s="29"/>
      <c r="H10258" s="29" t="s">
        <v>4361</v>
      </c>
      <c r="I10258" s="29"/>
      <c r="J10258" s="29" t="s">
        <v>2660</v>
      </c>
      <c r="K10258" s="29"/>
      <c r="L10258" s="29" t="s">
        <v>285</v>
      </c>
      <c r="M10258" s="29" t="s">
        <v>286</v>
      </c>
      <c r="N10258" s="29" t="s">
        <v>287</v>
      </c>
      <c r="O10258" s="29"/>
      <c r="P10258" s="29" t="s">
        <v>288</v>
      </c>
      <c r="Q10258" t="s">
        <v>2043</v>
      </c>
      <c r="R10258" t="s">
        <v>6901</v>
      </c>
      <c r="S10258">
        <v>36</v>
      </c>
      <c r="T10258" s="43" t="str">
        <f>HYPERLINK("https://ictv.global/ictv/proposals/2020.001G.R.Abolish_type_species.pdf","2020.001G.R.Abolish_type_species.pdf")</f>
        <v>2020.001G.R.Abolish_type_species.pdf</v>
      </c>
      <c r="U10258" s="43" t="str">
        <f>HYPERLINK("https://ictv.global/taxonomy/taxondetails?taxnode_id=202204983","ictv.global=202204983")</f>
        <v>ictv.global=202204983</v>
      </c>
    </row>
    <row r="10259" spans="1:21">
      <c r="A10259">
        <v>10258</v>
      </c>
      <c r="B10259" s="29" t="s">
        <v>3223</v>
      </c>
      <c r="C10259" s="29"/>
      <c r="D10259" s="29" t="s">
        <v>4359</v>
      </c>
      <c r="E10259" s="29"/>
      <c r="F10259" s="29" t="s">
        <v>4360</v>
      </c>
      <c r="G10259" s="29"/>
      <c r="H10259" s="29" t="s">
        <v>4361</v>
      </c>
      <c r="I10259" s="29"/>
      <c r="J10259" s="29" t="s">
        <v>2660</v>
      </c>
      <c r="K10259" s="29"/>
      <c r="L10259" s="29" t="s">
        <v>285</v>
      </c>
      <c r="M10259" s="29" t="s">
        <v>286</v>
      </c>
      <c r="N10259" s="29" t="s">
        <v>287</v>
      </c>
      <c r="O10259" s="29"/>
      <c r="P10259" s="29" t="s">
        <v>196</v>
      </c>
      <c r="Q10259" t="s">
        <v>2043</v>
      </c>
      <c r="R10259" t="s">
        <v>2634</v>
      </c>
      <c r="S10259">
        <v>35</v>
      </c>
      <c r="T10259" s="43" t="str">
        <f t="shared" ref="T10259:T10268" si="440">HYPERLINK("https://ictv.global/ictv/proposals/2019.006G.zip","2019.006G.zip")</f>
        <v>2019.006G.zip</v>
      </c>
      <c r="U10259" s="43" t="str">
        <f>HYPERLINK("https://ictv.global/taxonomy/taxondetails?taxnode_id=202204984","ictv.global=202204984")</f>
        <v>ictv.global=202204984</v>
      </c>
    </row>
    <row r="10260" spans="1:21">
      <c r="A10260">
        <v>10259</v>
      </c>
      <c r="B10260" s="29" t="s">
        <v>3223</v>
      </c>
      <c r="C10260" s="29"/>
      <c r="D10260" s="29" t="s">
        <v>4359</v>
      </c>
      <c r="E10260" s="29"/>
      <c r="F10260" s="29" t="s">
        <v>4360</v>
      </c>
      <c r="G10260" s="29"/>
      <c r="H10260" s="29" t="s">
        <v>4361</v>
      </c>
      <c r="I10260" s="29"/>
      <c r="J10260" s="29" t="s">
        <v>2660</v>
      </c>
      <c r="K10260" s="29"/>
      <c r="L10260" s="29" t="s">
        <v>285</v>
      </c>
      <c r="M10260" s="29" t="s">
        <v>286</v>
      </c>
      <c r="N10260" s="29" t="s">
        <v>287</v>
      </c>
      <c r="O10260" s="29"/>
      <c r="P10260" s="29" t="s">
        <v>197</v>
      </c>
      <c r="Q10260" t="s">
        <v>2043</v>
      </c>
      <c r="R10260" t="s">
        <v>2634</v>
      </c>
      <c r="S10260">
        <v>35</v>
      </c>
      <c r="T10260" s="43" t="str">
        <f t="shared" si="440"/>
        <v>2019.006G.zip</v>
      </c>
      <c r="U10260" s="43" t="str">
        <f>HYPERLINK("https://ictv.global/taxonomy/taxondetails?taxnode_id=202204985","ictv.global=202204985")</f>
        <v>ictv.global=202204985</v>
      </c>
    </row>
    <row r="10261" spans="1:21">
      <c r="A10261">
        <v>10260</v>
      </c>
      <c r="B10261" s="29" t="s">
        <v>3223</v>
      </c>
      <c r="C10261" s="29"/>
      <c r="D10261" s="29" t="s">
        <v>4359</v>
      </c>
      <c r="E10261" s="29"/>
      <c r="F10261" s="29" t="s">
        <v>4360</v>
      </c>
      <c r="G10261" s="29"/>
      <c r="H10261" s="29" t="s">
        <v>4361</v>
      </c>
      <c r="I10261" s="29"/>
      <c r="J10261" s="29" t="s">
        <v>2660</v>
      </c>
      <c r="K10261" s="29"/>
      <c r="L10261" s="29" t="s">
        <v>285</v>
      </c>
      <c r="M10261" s="29" t="s">
        <v>286</v>
      </c>
      <c r="N10261" s="29" t="s">
        <v>287</v>
      </c>
      <c r="O10261" s="29"/>
      <c r="P10261" s="29" t="s">
        <v>198</v>
      </c>
      <c r="Q10261" t="s">
        <v>2043</v>
      </c>
      <c r="R10261" t="s">
        <v>2634</v>
      </c>
      <c r="S10261">
        <v>35</v>
      </c>
      <c r="T10261" s="43" t="str">
        <f t="shared" si="440"/>
        <v>2019.006G.zip</v>
      </c>
      <c r="U10261" s="43" t="str">
        <f>HYPERLINK("https://ictv.global/taxonomy/taxondetails?taxnode_id=202204986","ictv.global=202204986")</f>
        <v>ictv.global=202204986</v>
      </c>
    </row>
    <row r="10262" spans="1:21">
      <c r="A10262">
        <v>10261</v>
      </c>
      <c r="B10262" s="29" t="s">
        <v>3223</v>
      </c>
      <c r="C10262" s="29"/>
      <c r="D10262" s="29" t="s">
        <v>4359</v>
      </c>
      <c r="E10262" s="29"/>
      <c r="F10262" s="29" t="s">
        <v>4360</v>
      </c>
      <c r="G10262" s="29"/>
      <c r="H10262" s="29" t="s">
        <v>4361</v>
      </c>
      <c r="I10262" s="29"/>
      <c r="J10262" s="29" t="s">
        <v>2660</v>
      </c>
      <c r="K10262" s="29"/>
      <c r="L10262" s="29" t="s">
        <v>285</v>
      </c>
      <c r="M10262" s="29" t="s">
        <v>286</v>
      </c>
      <c r="N10262" s="29" t="s">
        <v>287</v>
      </c>
      <c r="O10262" s="29"/>
      <c r="P10262" s="29" t="s">
        <v>1327</v>
      </c>
      <c r="Q10262" t="s">
        <v>2043</v>
      </c>
      <c r="R10262" t="s">
        <v>2634</v>
      </c>
      <c r="S10262">
        <v>35</v>
      </c>
      <c r="T10262" s="43" t="str">
        <f t="shared" si="440"/>
        <v>2019.006G.zip</v>
      </c>
      <c r="U10262" s="43" t="str">
        <f>HYPERLINK("https://ictv.global/taxonomy/taxondetails?taxnode_id=202204987","ictv.global=202204987")</f>
        <v>ictv.global=202204987</v>
      </c>
    </row>
    <row r="10263" spans="1:21">
      <c r="A10263">
        <v>10262</v>
      </c>
      <c r="B10263" s="29" t="s">
        <v>3223</v>
      </c>
      <c r="C10263" s="29"/>
      <c r="D10263" s="29" t="s">
        <v>4359</v>
      </c>
      <c r="E10263" s="29"/>
      <c r="F10263" s="29" t="s">
        <v>4360</v>
      </c>
      <c r="G10263" s="29"/>
      <c r="H10263" s="29" t="s">
        <v>4361</v>
      </c>
      <c r="I10263" s="29"/>
      <c r="J10263" s="29" t="s">
        <v>2660</v>
      </c>
      <c r="K10263" s="29"/>
      <c r="L10263" s="29" t="s">
        <v>285</v>
      </c>
      <c r="M10263" s="29" t="s">
        <v>286</v>
      </c>
      <c r="N10263" s="29" t="s">
        <v>287</v>
      </c>
      <c r="O10263" s="29"/>
      <c r="P10263" s="29" t="s">
        <v>1328</v>
      </c>
      <c r="Q10263" t="s">
        <v>2043</v>
      </c>
      <c r="R10263" t="s">
        <v>2634</v>
      </c>
      <c r="S10263">
        <v>35</v>
      </c>
      <c r="T10263" s="43" t="str">
        <f t="shared" si="440"/>
        <v>2019.006G.zip</v>
      </c>
      <c r="U10263" s="43" t="str">
        <f>HYPERLINK("https://ictv.global/taxonomy/taxondetails?taxnode_id=202204988","ictv.global=202204988")</f>
        <v>ictv.global=202204988</v>
      </c>
    </row>
    <row r="10264" spans="1:21">
      <c r="A10264">
        <v>10263</v>
      </c>
      <c r="B10264" s="29" t="s">
        <v>3223</v>
      </c>
      <c r="C10264" s="29"/>
      <c r="D10264" s="29" t="s">
        <v>4359</v>
      </c>
      <c r="E10264" s="29"/>
      <c r="F10264" s="29" t="s">
        <v>4360</v>
      </c>
      <c r="G10264" s="29"/>
      <c r="H10264" s="29" t="s">
        <v>4361</v>
      </c>
      <c r="I10264" s="29"/>
      <c r="J10264" s="29" t="s">
        <v>2660</v>
      </c>
      <c r="K10264" s="29"/>
      <c r="L10264" s="29" t="s">
        <v>285</v>
      </c>
      <c r="M10264" s="29" t="s">
        <v>286</v>
      </c>
      <c r="N10264" s="29" t="s">
        <v>287</v>
      </c>
      <c r="O10264" s="29"/>
      <c r="P10264" s="29" t="s">
        <v>548</v>
      </c>
      <c r="Q10264" t="s">
        <v>2043</v>
      </c>
      <c r="R10264" t="s">
        <v>2634</v>
      </c>
      <c r="S10264">
        <v>35</v>
      </c>
      <c r="T10264" s="43" t="str">
        <f t="shared" si="440"/>
        <v>2019.006G.zip</v>
      </c>
      <c r="U10264" s="43" t="str">
        <f>HYPERLINK("https://ictv.global/taxonomy/taxondetails?taxnode_id=202204989","ictv.global=202204989")</f>
        <v>ictv.global=202204989</v>
      </c>
    </row>
    <row r="10265" spans="1:21">
      <c r="A10265">
        <v>10264</v>
      </c>
      <c r="B10265" s="29" t="s">
        <v>3223</v>
      </c>
      <c r="C10265" s="29"/>
      <c r="D10265" s="29" t="s">
        <v>4359</v>
      </c>
      <c r="E10265" s="29"/>
      <c r="F10265" s="29" t="s">
        <v>4360</v>
      </c>
      <c r="G10265" s="29"/>
      <c r="H10265" s="29" t="s">
        <v>4361</v>
      </c>
      <c r="I10265" s="29"/>
      <c r="J10265" s="29" t="s">
        <v>2660</v>
      </c>
      <c r="K10265" s="29"/>
      <c r="L10265" s="29" t="s">
        <v>285</v>
      </c>
      <c r="M10265" s="29" t="s">
        <v>286</v>
      </c>
      <c r="N10265" s="29" t="s">
        <v>287</v>
      </c>
      <c r="O10265" s="29"/>
      <c r="P10265" s="29" t="s">
        <v>549</v>
      </c>
      <c r="Q10265" t="s">
        <v>2043</v>
      </c>
      <c r="R10265" t="s">
        <v>2634</v>
      </c>
      <c r="S10265">
        <v>35</v>
      </c>
      <c r="T10265" s="43" t="str">
        <f t="shared" si="440"/>
        <v>2019.006G.zip</v>
      </c>
      <c r="U10265" s="43" t="str">
        <f>HYPERLINK("https://ictv.global/taxonomy/taxondetails?taxnode_id=202204990","ictv.global=202204990")</f>
        <v>ictv.global=202204990</v>
      </c>
    </row>
    <row r="10266" spans="1:21">
      <c r="A10266">
        <v>10265</v>
      </c>
      <c r="B10266" s="29" t="s">
        <v>3223</v>
      </c>
      <c r="C10266" s="29"/>
      <c r="D10266" s="29" t="s">
        <v>4359</v>
      </c>
      <c r="E10266" s="29"/>
      <c r="F10266" s="29" t="s">
        <v>4360</v>
      </c>
      <c r="G10266" s="29"/>
      <c r="H10266" s="29" t="s">
        <v>4361</v>
      </c>
      <c r="I10266" s="29"/>
      <c r="J10266" s="29" t="s">
        <v>2660</v>
      </c>
      <c r="K10266" s="29"/>
      <c r="L10266" s="29" t="s">
        <v>285</v>
      </c>
      <c r="M10266" s="29" t="s">
        <v>286</v>
      </c>
      <c r="N10266" s="29" t="s">
        <v>550</v>
      </c>
      <c r="O10266" s="29"/>
      <c r="P10266" s="29" t="s">
        <v>611</v>
      </c>
      <c r="Q10266" t="s">
        <v>2043</v>
      </c>
      <c r="R10266" t="s">
        <v>2634</v>
      </c>
      <c r="S10266">
        <v>35</v>
      </c>
      <c r="T10266" s="43" t="str">
        <f t="shared" si="440"/>
        <v>2019.006G.zip</v>
      </c>
      <c r="U10266" s="43" t="str">
        <f>HYPERLINK("https://ictv.global/taxonomy/taxondetails?taxnode_id=202204992","ictv.global=202204992")</f>
        <v>ictv.global=202204992</v>
      </c>
    </row>
    <row r="10267" spans="1:21">
      <c r="A10267">
        <v>10266</v>
      </c>
      <c r="B10267" s="29" t="s">
        <v>3223</v>
      </c>
      <c r="C10267" s="29"/>
      <c r="D10267" s="29" t="s">
        <v>4359</v>
      </c>
      <c r="E10267" s="29"/>
      <c r="F10267" s="29" t="s">
        <v>4360</v>
      </c>
      <c r="G10267" s="29"/>
      <c r="H10267" s="29" t="s">
        <v>4361</v>
      </c>
      <c r="I10267" s="29"/>
      <c r="J10267" s="29" t="s">
        <v>2660</v>
      </c>
      <c r="K10267" s="29"/>
      <c r="L10267" s="29" t="s">
        <v>285</v>
      </c>
      <c r="M10267" s="29" t="s">
        <v>286</v>
      </c>
      <c r="N10267" s="29" t="s">
        <v>550</v>
      </c>
      <c r="O10267" s="29"/>
      <c r="P10267" s="29" t="s">
        <v>612</v>
      </c>
      <c r="Q10267" t="s">
        <v>2043</v>
      </c>
      <c r="R10267" t="s">
        <v>2634</v>
      </c>
      <c r="S10267">
        <v>35</v>
      </c>
      <c r="T10267" s="43" t="str">
        <f t="shared" si="440"/>
        <v>2019.006G.zip</v>
      </c>
      <c r="U10267" s="43" t="str">
        <f>HYPERLINK("https://ictv.global/taxonomy/taxondetails?taxnode_id=202204993","ictv.global=202204993")</f>
        <v>ictv.global=202204993</v>
      </c>
    </row>
    <row r="10268" spans="1:21">
      <c r="A10268">
        <v>10267</v>
      </c>
      <c r="B10268" s="29" t="s">
        <v>3223</v>
      </c>
      <c r="C10268" s="29"/>
      <c r="D10268" s="29" t="s">
        <v>4359</v>
      </c>
      <c r="E10268" s="29"/>
      <c r="F10268" s="29" t="s">
        <v>4360</v>
      </c>
      <c r="G10268" s="29"/>
      <c r="H10268" s="29" t="s">
        <v>4361</v>
      </c>
      <c r="I10268" s="29"/>
      <c r="J10268" s="29" t="s">
        <v>2660</v>
      </c>
      <c r="K10268" s="29"/>
      <c r="L10268" s="29" t="s">
        <v>285</v>
      </c>
      <c r="M10268" s="29" t="s">
        <v>286</v>
      </c>
      <c r="N10268" s="29" t="s">
        <v>550</v>
      </c>
      <c r="O10268" s="29"/>
      <c r="P10268" s="29" t="s">
        <v>613</v>
      </c>
      <c r="Q10268" t="s">
        <v>2043</v>
      </c>
      <c r="R10268" t="s">
        <v>2634</v>
      </c>
      <c r="S10268">
        <v>35</v>
      </c>
      <c r="T10268" s="43" t="str">
        <f t="shared" si="440"/>
        <v>2019.006G.zip</v>
      </c>
      <c r="U10268" s="43" t="str">
        <f>HYPERLINK("https://ictv.global/taxonomy/taxondetails?taxnode_id=202204994","ictv.global=202204994")</f>
        <v>ictv.global=202204994</v>
      </c>
    </row>
    <row r="10269" spans="1:21">
      <c r="A10269">
        <v>10268</v>
      </c>
      <c r="B10269" s="29" t="s">
        <v>3223</v>
      </c>
      <c r="C10269" s="29"/>
      <c r="D10269" s="29" t="s">
        <v>4359</v>
      </c>
      <c r="E10269" s="29"/>
      <c r="F10269" s="29" t="s">
        <v>4360</v>
      </c>
      <c r="G10269" s="29"/>
      <c r="H10269" s="29" t="s">
        <v>4361</v>
      </c>
      <c r="I10269" s="29"/>
      <c r="J10269" s="29" t="s">
        <v>2660</v>
      </c>
      <c r="K10269" s="29"/>
      <c r="L10269" s="29" t="s">
        <v>285</v>
      </c>
      <c r="M10269" s="29" t="s">
        <v>286</v>
      </c>
      <c r="N10269" s="29" t="s">
        <v>550</v>
      </c>
      <c r="O10269" s="29"/>
      <c r="P10269" s="29" t="s">
        <v>608</v>
      </c>
      <c r="Q10269" t="s">
        <v>2043</v>
      </c>
      <c r="R10269" t="s">
        <v>6901</v>
      </c>
      <c r="S10269">
        <v>36</v>
      </c>
      <c r="T10269" s="43" t="str">
        <f>HYPERLINK("https://ictv.global/ictv/proposals/2020.001G.R.Abolish_type_species.pdf","2020.001G.R.Abolish_type_species.pdf")</f>
        <v>2020.001G.R.Abolish_type_species.pdf</v>
      </c>
      <c r="U10269" s="43" t="str">
        <f>HYPERLINK("https://ictv.global/taxonomy/taxondetails?taxnode_id=202204995","ictv.global=202204995")</f>
        <v>ictv.global=202204995</v>
      </c>
    </row>
    <row r="10270" spans="1:21">
      <c r="A10270">
        <v>10269</v>
      </c>
      <c r="B10270" s="29" t="s">
        <v>3223</v>
      </c>
      <c r="C10270" s="29"/>
      <c r="D10270" s="29" t="s">
        <v>4359</v>
      </c>
      <c r="E10270" s="29"/>
      <c r="F10270" s="29" t="s">
        <v>4360</v>
      </c>
      <c r="G10270" s="29"/>
      <c r="H10270" s="29" t="s">
        <v>4361</v>
      </c>
      <c r="I10270" s="29"/>
      <c r="J10270" s="29" t="s">
        <v>2660</v>
      </c>
      <c r="K10270" s="29"/>
      <c r="L10270" s="29" t="s">
        <v>285</v>
      </c>
      <c r="M10270" s="29" t="s">
        <v>286</v>
      </c>
      <c r="N10270" s="29" t="s">
        <v>550</v>
      </c>
      <c r="O10270" s="29"/>
      <c r="P10270" s="29" t="s">
        <v>609</v>
      </c>
      <c r="Q10270" t="s">
        <v>2043</v>
      </c>
      <c r="R10270" t="s">
        <v>2634</v>
      </c>
      <c r="S10270">
        <v>35</v>
      </c>
      <c r="T10270" s="43" t="str">
        <f>HYPERLINK("https://ictv.global/ictv/proposals/2019.006G.zip","2019.006G.zip")</f>
        <v>2019.006G.zip</v>
      </c>
      <c r="U10270" s="43" t="str">
        <f>HYPERLINK("https://ictv.global/taxonomy/taxondetails?taxnode_id=202204996","ictv.global=202204996")</f>
        <v>ictv.global=202204996</v>
      </c>
    </row>
    <row r="10271" spans="1:21">
      <c r="A10271">
        <v>10270</v>
      </c>
      <c r="B10271" s="29" t="s">
        <v>3223</v>
      </c>
      <c r="C10271" s="29"/>
      <c r="D10271" s="29" t="s">
        <v>4359</v>
      </c>
      <c r="E10271" s="29"/>
      <c r="F10271" s="29" t="s">
        <v>4360</v>
      </c>
      <c r="G10271" s="29"/>
      <c r="H10271" s="29" t="s">
        <v>4361</v>
      </c>
      <c r="I10271" s="29"/>
      <c r="J10271" s="29" t="s">
        <v>2660</v>
      </c>
      <c r="K10271" s="29"/>
      <c r="L10271" s="29" t="s">
        <v>285</v>
      </c>
      <c r="M10271" s="29" t="s">
        <v>286</v>
      </c>
      <c r="N10271" s="29" t="s">
        <v>610</v>
      </c>
      <c r="O10271" s="29"/>
      <c r="P10271" s="29" t="s">
        <v>939</v>
      </c>
      <c r="Q10271" t="s">
        <v>2043</v>
      </c>
      <c r="R10271" t="s">
        <v>6901</v>
      </c>
      <c r="S10271">
        <v>36</v>
      </c>
      <c r="T10271" s="43" t="str">
        <f>HYPERLINK("https://ictv.global/ictv/proposals/2020.001G.R.Abolish_type_species.pdf","2020.001G.R.Abolish_type_species.pdf")</f>
        <v>2020.001G.R.Abolish_type_species.pdf</v>
      </c>
      <c r="U10271" s="43" t="str">
        <f>HYPERLINK("https://ictv.global/taxonomy/taxondetails?taxnode_id=202204998","ictv.global=202204998")</f>
        <v>ictv.global=202204998</v>
      </c>
    </row>
    <row r="10272" spans="1:21">
      <c r="A10272">
        <v>10271</v>
      </c>
      <c r="B10272" s="29" t="s">
        <v>3223</v>
      </c>
      <c r="C10272" s="29"/>
      <c r="D10272" s="29" t="s">
        <v>4359</v>
      </c>
      <c r="E10272" s="29"/>
      <c r="F10272" s="29" t="s">
        <v>4360</v>
      </c>
      <c r="G10272" s="29"/>
      <c r="H10272" s="29" t="s">
        <v>4361</v>
      </c>
      <c r="I10272" s="29"/>
      <c r="J10272" s="29" t="s">
        <v>2660</v>
      </c>
      <c r="K10272" s="29"/>
      <c r="L10272" s="29" t="s">
        <v>285</v>
      </c>
      <c r="M10272" s="29" t="s">
        <v>286</v>
      </c>
      <c r="N10272" s="29" t="s">
        <v>610</v>
      </c>
      <c r="O10272" s="29"/>
      <c r="P10272" s="29" t="s">
        <v>940</v>
      </c>
      <c r="Q10272" t="s">
        <v>2043</v>
      </c>
      <c r="R10272" t="s">
        <v>2634</v>
      </c>
      <c r="S10272">
        <v>35</v>
      </c>
      <c r="T10272" s="43" t="str">
        <f>HYPERLINK("https://ictv.global/ictv/proposals/2019.006G.zip","2019.006G.zip")</f>
        <v>2019.006G.zip</v>
      </c>
      <c r="U10272" s="43" t="str">
        <f>HYPERLINK("https://ictv.global/taxonomy/taxondetails?taxnode_id=202204999","ictv.global=202204999")</f>
        <v>ictv.global=202204999</v>
      </c>
    </row>
    <row r="10273" spans="1:21">
      <c r="A10273">
        <v>10272</v>
      </c>
      <c r="B10273" s="29" t="s">
        <v>3223</v>
      </c>
      <c r="C10273" s="29"/>
      <c r="D10273" s="29" t="s">
        <v>4359</v>
      </c>
      <c r="E10273" s="29"/>
      <c r="F10273" s="29" t="s">
        <v>4360</v>
      </c>
      <c r="G10273" s="29"/>
      <c r="H10273" s="29" t="s">
        <v>4361</v>
      </c>
      <c r="I10273" s="29"/>
      <c r="J10273" s="29" t="s">
        <v>2660</v>
      </c>
      <c r="K10273" s="29"/>
      <c r="L10273" s="29" t="s">
        <v>285</v>
      </c>
      <c r="M10273" s="29" t="s">
        <v>286</v>
      </c>
      <c r="N10273" s="29" t="s">
        <v>610</v>
      </c>
      <c r="O10273" s="29"/>
      <c r="P10273" s="29" t="s">
        <v>941</v>
      </c>
      <c r="Q10273" t="s">
        <v>2043</v>
      </c>
      <c r="R10273" t="s">
        <v>2634</v>
      </c>
      <c r="S10273">
        <v>35</v>
      </c>
      <c r="T10273" s="43" t="str">
        <f>HYPERLINK("https://ictv.global/ictv/proposals/2019.006G.zip","2019.006G.zip")</f>
        <v>2019.006G.zip</v>
      </c>
      <c r="U10273" s="43" t="str">
        <f>HYPERLINK("https://ictv.global/taxonomy/taxondetails?taxnode_id=202205000","ictv.global=202205000")</f>
        <v>ictv.global=202205000</v>
      </c>
    </row>
    <row r="10274" spans="1:21">
      <c r="A10274">
        <v>10273</v>
      </c>
      <c r="B10274" s="29" t="s">
        <v>3223</v>
      </c>
      <c r="C10274" s="29"/>
      <c r="D10274" s="29" t="s">
        <v>4359</v>
      </c>
      <c r="E10274" s="29"/>
      <c r="F10274" s="29" t="s">
        <v>4360</v>
      </c>
      <c r="G10274" s="29"/>
      <c r="H10274" s="29" t="s">
        <v>4361</v>
      </c>
      <c r="I10274" s="29"/>
      <c r="J10274" s="29" t="s">
        <v>2660</v>
      </c>
      <c r="K10274" s="29"/>
      <c r="L10274" s="29" t="s">
        <v>285</v>
      </c>
      <c r="M10274" s="29" t="s">
        <v>286</v>
      </c>
      <c r="N10274" s="29" t="s">
        <v>610</v>
      </c>
      <c r="O10274" s="29"/>
      <c r="P10274" s="29" t="s">
        <v>614</v>
      </c>
      <c r="Q10274" t="s">
        <v>2043</v>
      </c>
      <c r="R10274" t="s">
        <v>2634</v>
      </c>
      <c r="S10274">
        <v>35</v>
      </c>
      <c r="T10274" s="43" t="str">
        <f>HYPERLINK("https://ictv.global/ictv/proposals/2019.006G.zip","2019.006G.zip")</f>
        <v>2019.006G.zip</v>
      </c>
      <c r="U10274" s="43" t="str">
        <f>HYPERLINK("https://ictv.global/taxonomy/taxondetails?taxnode_id=202205001","ictv.global=202205001")</f>
        <v>ictv.global=202205001</v>
      </c>
    </row>
    <row r="10275" spans="1:21">
      <c r="A10275">
        <v>10274</v>
      </c>
      <c r="B10275" s="29" t="s">
        <v>3223</v>
      </c>
      <c r="C10275" s="29"/>
      <c r="D10275" s="29" t="s">
        <v>4359</v>
      </c>
      <c r="E10275" s="29"/>
      <c r="F10275" s="29" t="s">
        <v>4360</v>
      </c>
      <c r="G10275" s="29"/>
      <c r="H10275" s="29" t="s">
        <v>4361</v>
      </c>
      <c r="I10275" s="29"/>
      <c r="J10275" s="29" t="s">
        <v>2660</v>
      </c>
      <c r="K10275" s="29"/>
      <c r="L10275" s="29" t="s">
        <v>285</v>
      </c>
      <c r="M10275" s="29" t="s">
        <v>286</v>
      </c>
      <c r="N10275" s="29" t="s">
        <v>615</v>
      </c>
      <c r="O10275" s="29"/>
      <c r="P10275" s="29" t="s">
        <v>616</v>
      </c>
      <c r="Q10275" t="s">
        <v>2043</v>
      </c>
      <c r="R10275" t="s">
        <v>6901</v>
      </c>
      <c r="S10275">
        <v>36</v>
      </c>
      <c r="T10275" s="43" t="str">
        <f>HYPERLINK("https://ictv.global/ictv/proposals/2020.001G.R.Abolish_type_species.pdf","2020.001G.R.Abolish_type_species.pdf")</f>
        <v>2020.001G.R.Abolish_type_species.pdf</v>
      </c>
      <c r="U10275" s="43" t="str">
        <f>HYPERLINK("https://ictv.global/taxonomy/taxondetails?taxnode_id=202205003","ictv.global=202205003")</f>
        <v>ictv.global=202205003</v>
      </c>
    </row>
    <row r="10276" spans="1:21">
      <c r="A10276">
        <v>10275</v>
      </c>
      <c r="B10276" s="29" t="s">
        <v>3223</v>
      </c>
      <c r="C10276" s="29"/>
      <c r="D10276" s="29" t="s">
        <v>4359</v>
      </c>
      <c r="E10276" s="29"/>
      <c r="F10276" s="29" t="s">
        <v>4360</v>
      </c>
      <c r="G10276" s="29"/>
      <c r="H10276" s="29" t="s">
        <v>4361</v>
      </c>
      <c r="I10276" s="29"/>
      <c r="J10276" s="29" t="s">
        <v>2660</v>
      </c>
      <c r="K10276" s="29"/>
      <c r="L10276" s="29" t="s">
        <v>285</v>
      </c>
      <c r="M10276" s="29" t="s">
        <v>286</v>
      </c>
      <c r="N10276" s="29" t="s">
        <v>615</v>
      </c>
      <c r="O10276" s="29"/>
      <c r="P10276" s="29" t="s">
        <v>617</v>
      </c>
      <c r="Q10276" t="s">
        <v>2043</v>
      </c>
      <c r="R10276" t="s">
        <v>2634</v>
      </c>
      <c r="S10276">
        <v>35</v>
      </c>
      <c r="T10276" s="43" t="str">
        <f t="shared" ref="T10276:T10288" si="441">HYPERLINK("https://ictv.global/ictv/proposals/2019.006G.zip","2019.006G.zip")</f>
        <v>2019.006G.zip</v>
      </c>
      <c r="U10276" s="43" t="str">
        <f>HYPERLINK("https://ictv.global/taxonomy/taxondetails?taxnode_id=202205004","ictv.global=202205004")</f>
        <v>ictv.global=202205004</v>
      </c>
    </row>
    <row r="10277" spans="1:21">
      <c r="A10277">
        <v>10276</v>
      </c>
      <c r="B10277" s="29" t="s">
        <v>3223</v>
      </c>
      <c r="C10277" s="29"/>
      <c r="D10277" s="29" t="s">
        <v>4359</v>
      </c>
      <c r="E10277" s="29"/>
      <c r="F10277" s="29" t="s">
        <v>4360</v>
      </c>
      <c r="G10277" s="29"/>
      <c r="H10277" s="29" t="s">
        <v>4361</v>
      </c>
      <c r="I10277" s="29"/>
      <c r="J10277" s="29" t="s">
        <v>2660</v>
      </c>
      <c r="K10277" s="29"/>
      <c r="L10277" s="29" t="s">
        <v>285</v>
      </c>
      <c r="M10277" s="29" t="s">
        <v>286</v>
      </c>
      <c r="N10277" s="29" t="s">
        <v>615</v>
      </c>
      <c r="O10277" s="29"/>
      <c r="P10277" s="29" t="s">
        <v>618</v>
      </c>
      <c r="Q10277" t="s">
        <v>2043</v>
      </c>
      <c r="R10277" t="s">
        <v>2634</v>
      </c>
      <c r="S10277">
        <v>35</v>
      </c>
      <c r="T10277" s="43" t="str">
        <f t="shared" si="441"/>
        <v>2019.006G.zip</v>
      </c>
      <c r="U10277" s="43" t="str">
        <f>HYPERLINK("https://ictv.global/taxonomy/taxondetails?taxnode_id=202205005","ictv.global=202205005")</f>
        <v>ictv.global=202205005</v>
      </c>
    </row>
    <row r="10278" spans="1:21">
      <c r="A10278">
        <v>10277</v>
      </c>
      <c r="B10278" s="29" t="s">
        <v>3223</v>
      </c>
      <c r="C10278" s="29"/>
      <c r="D10278" s="29" t="s">
        <v>4359</v>
      </c>
      <c r="E10278" s="29"/>
      <c r="F10278" s="29" t="s">
        <v>4360</v>
      </c>
      <c r="G10278" s="29"/>
      <c r="H10278" s="29" t="s">
        <v>4361</v>
      </c>
      <c r="I10278" s="29"/>
      <c r="J10278" s="29" t="s">
        <v>2660</v>
      </c>
      <c r="K10278" s="29"/>
      <c r="L10278" s="29" t="s">
        <v>285</v>
      </c>
      <c r="M10278" s="29" t="s">
        <v>286</v>
      </c>
      <c r="N10278" s="29" t="s">
        <v>619</v>
      </c>
      <c r="O10278" s="29"/>
      <c r="P10278" s="29" t="s">
        <v>620</v>
      </c>
      <c r="Q10278" t="s">
        <v>2043</v>
      </c>
      <c r="R10278" t="s">
        <v>2634</v>
      </c>
      <c r="S10278">
        <v>35</v>
      </c>
      <c r="T10278" s="43" t="str">
        <f t="shared" si="441"/>
        <v>2019.006G.zip</v>
      </c>
      <c r="U10278" s="43" t="str">
        <f>HYPERLINK("https://ictv.global/taxonomy/taxondetails?taxnode_id=202205007","ictv.global=202205007")</f>
        <v>ictv.global=202205007</v>
      </c>
    </row>
    <row r="10279" spans="1:21">
      <c r="A10279">
        <v>10278</v>
      </c>
      <c r="B10279" s="29" t="s">
        <v>3223</v>
      </c>
      <c r="C10279" s="29"/>
      <c r="D10279" s="29" t="s">
        <v>4359</v>
      </c>
      <c r="E10279" s="29"/>
      <c r="F10279" s="29" t="s">
        <v>4360</v>
      </c>
      <c r="G10279" s="29"/>
      <c r="H10279" s="29" t="s">
        <v>4361</v>
      </c>
      <c r="I10279" s="29"/>
      <c r="J10279" s="29" t="s">
        <v>2660</v>
      </c>
      <c r="K10279" s="29"/>
      <c r="L10279" s="29" t="s">
        <v>285</v>
      </c>
      <c r="M10279" s="29" t="s">
        <v>286</v>
      </c>
      <c r="N10279" s="29" t="s">
        <v>619</v>
      </c>
      <c r="O10279" s="29"/>
      <c r="P10279" s="29" t="s">
        <v>621</v>
      </c>
      <c r="Q10279" t="s">
        <v>2043</v>
      </c>
      <c r="R10279" t="s">
        <v>2634</v>
      </c>
      <c r="S10279">
        <v>35</v>
      </c>
      <c r="T10279" s="43" t="str">
        <f t="shared" si="441"/>
        <v>2019.006G.zip</v>
      </c>
      <c r="U10279" s="43" t="str">
        <f>HYPERLINK("https://ictv.global/taxonomy/taxondetails?taxnode_id=202205008","ictv.global=202205008")</f>
        <v>ictv.global=202205008</v>
      </c>
    </row>
    <row r="10280" spans="1:21">
      <c r="A10280">
        <v>10279</v>
      </c>
      <c r="B10280" s="29" t="s">
        <v>3223</v>
      </c>
      <c r="C10280" s="29"/>
      <c r="D10280" s="29" t="s">
        <v>4359</v>
      </c>
      <c r="E10280" s="29"/>
      <c r="F10280" s="29" t="s">
        <v>4360</v>
      </c>
      <c r="G10280" s="29"/>
      <c r="H10280" s="29" t="s">
        <v>4361</v>
      </c>
      <c r="I10280" s="29"/>
      <c r="J10280" s="29" t="s">
        <v>2660</v>
      </c>
      <c r="K10280" s="29"/>
      <c r="L10280" s="29" t="s">
        <v>285</v>
      </c>
      <c r="M10280" s="29" t="s">
        <v>286</v>
      </c>
      <c r="N10280" s="29" t="s">
        <v>619</v>
      </c>
      <c r="O10280" s="29"/>
      <c r="P10280" s="29" t="s">
        <v>622</v>
      </c>
      <c r="Q10280" t="s">
        <v>2043</v>
      </c>
      <c r="R10280" t="s">
        <v>2634</v>
      </c>
      <c r="S10280">
        <v>35</v>
      </c>
      <c r="T10280" s="43" t="str">
        <f t="shared" si="441"/>
        <v>2019.006G.zip</v>
      </c>
      <c r="U10280" s="43" t="str">
        <f>HYPERLINK("https://ictv.global/taxonomy/taxondetails?taxnode_id=202205009","ictv.global=202205009")</f>
        <v>ictv.global=202205009</v>
      </c>
    </row>
    <row r="10281" spans="1:21">
      <c r="A10281">
        <v>10280</v>
      </c>
      <c r="B10281" s="29" t="s">
        <v>3223</v>
      </c>
      <c r="C10281" s="29"/>
      <c r="D10281" s="29" t="s">
        <v>4359</v>
      </c>
      <c r="E10281" s="29"/>
      <c r="F10281" s="29" t="s">
        <v>4360</v>
      </c>
      <c r="G10281" s="29"/>
      <c r="H10281" s="29" t="s">
        <v>4361</v>
      </c>
      <c r="I10281" s="29"/>
      <c r="J10281" s="29" t="s">
        <v>2660</v>
      </c>
      <c r="K10281" s="29"/>
      <c r="L10281" s="29" t="s">
        <v>285</v>
      </c>
      <c r="M10281" s="29" t="s">
        <v>286</v>
      </c>
      <c r="N10281" s="29" t="s">
        <v>619</v>
      </c>
      <c r="O10281" s="29"/>
      <c r="P10281" s="29" t="s">
        <v>945</v>
      </c>
      <c r="Q10281" t="s">
        <v>2043</v>
      </c>
      <c r="R10281" t="s">
        <v>2634</v>
      </c>
      <c r="S10281">
        <v>35</v>
      </c>
      <c r="T10281" s="43" t="str">
        <f t="shared" si="441"/>
        <v>2019.006G.zip</v>
      </c>
      <c r="U10281" s="43" t="str">
        <f>HYPERLINK("https://ictv.global/taxonomy/taxondetails?taxnode_id=202205010","ictv.global=202205010")</f>
        <v>ictv.global=202205010</v>
      </c>
    </row>
    <row r="10282" spans="1:21">
      <c r="A10282">
        <v>10281</v>
      </c>
      <c r="B10282" s="29" t="s">
        <v>3223</v>
      </c>
      <c r="C10282" s="29"/>
      <c r="D10282" s="29" t="s">
        <v>4359</v>
      </c>
      <c r="E10282" s="29"/>
      <c r="F10282" s="29" t="s">
        <v>4360</v>
      </c>
      <c r="G10282" s="29"/>
      <c r="H10282" s="29" t="s">
        <v>4361</v>
      </c>
      <c r="I10282" s="29"/>
      <c r="J10282" s="29" t="s">
        <v>2660</v>
      </c>
      <c r="K10282" s="29"/>
      <c r="L10282" s="29" t="s">
        <v>285</v>
      </c>
      <c r="M10282" s="29" t="s">
        <v>286</v>
      </c>
      <c r="N10282" s="29" t="s">
        <v>619</v>
      </c>
      <c r="O10282" s="29"/>
      <c r="P10282" s="29" t="s">
        <v>946</v>
      </c>
      <c r="Q10282" t="s">
        <v>2043</v>
      </c>
      <c r="R10282" t="s">
        <v>2634</v>
      </c>
      <c r="S10282">
        <v>35</v>
      </c>
      <c r="T10282" s="43" t="str">
        <f t="shared" si="441"/>
        <v>2019.006G.zip</v>
      </c>
      <c r="U10282" s="43" t="str">
        <f>HYPERLINK("https://ictv.global/taxonomy/taxondetails?taxnode_id=202205011","ictv.global=202205011")</f>
        <v>ictv.global=202205011</v>
      </c>
    </row>
    <row r="10283" spans="1:21">
      <c r="A10283">
        <v>10282</v>
      </c>
      <c r="B10283" s="29" t="s">
        <v>3223</v>
      </c>
      <c r="C10283" s="29"/>
      <c r="D10283" s="29" t="s">
        <v>4359</v>
      </c>
      <c r="E10283" s="29"/>
      <c r="F10283" s="29" t="s">
        <v>4360</v>
      </c>
      <c r="G10283" s="29"/>
      <c r="H10283" s="29" t="s">
        <v>4361</v>
      </c>
      <c r="I10283" s="29"/>
      <c r="J10283" s="29" t="s">
        <v>2660</v>
      </c>
      <c r="K10283" s="29"/>
      <c r="L10283" s="29" t="s">
        <v>285</v>
      </c>
      <c r="M10283" s="29" t="s">
        <v>286</v>
      </c>
      <c r="N10283" s="29" t="s">
        <v>619</v>
      </c>
      <c r="O10283" s="29"/>
      <c r="P10283" s="29" t="s">
        <v>947</v>
      </c>
      <c r="Q10283" t="s">
        <v>2043</v>
      </c>
      <c r="R10283" t="s">
        <v>2634</v>
      </c>
      <c r="S10283">
        <v>35</v>
      </c>
      <c r="T10283" s="43" t="str">
        <f t="shared" si="441"/>
        <v>2019.006G.zip</v>
      </c>
      <c r="U10283" s="43" t="str">
        <f>HYPERLINK("https://ictv.global/taxonomy/taxondetails?taxnode_id=202205012","ictv.global=202205012")</f>
        <v>ictv.global=202205012</v>
      </c>
    </row>
    <row r="10284" spans="1:21">
      <c r="A10284">
        <v>10283</v>
      </c>
      <c r="B10284" s="29" t="s">
        <v>3223</v>
      </c>
      <c r="C10284" s="29"/>
      <c r="D10284" s="29" t="s">
        <v>4359</v>
      </c>
      <c r="E10284" s="29"/>
      <c r="F10284" s="29" t="s">
        <v>4360</v>
      </c>
      <c r="G10284" s="29"/>
      <c r="H10284" s="29" t="s">
        <v>4361</v>
      </c>
      <c r="I10284" s="29"/>
      <c r="J10284" s="29" t="s">
        <v>2660</v>
      </c>
      <c r="K10284" s="29"/>
      <c r="L10284" s="29" t="s">
        <v>285</v>
      </c>
      <c r="M10284" s="29" t="s">
        <v>286</v>
      </c>
      <c r="N10284" s="29" t="s">
        <v>619</v>
      </c>
      <c r="O10284" s="29"/>
      <c r="P10284" s="29" t="s">
        <v>948</v>
      </c>
      <c r="Q10284" t="s">
        <v>2043</v>
      </c>
      <c r="R10284" t="s">
        <v>2634</v>
      </c>
      <c r="S10284">
        <v>35</v>
      </c>
      <c r="T10284" s="43" t="str">
        <f t="shared" si="441"/>
        <v>2019.006G.zip</v>
      </c>
      <c r="U10284" s="43" t="str">
        <f>HYPERLINK("https://ictv.global/taxonomy/taxondetails?taxnode_id=202205013","ictv.global=202205013")</f>
        <v>ictv.global=202205013</v>
      </c>
    </row>
    <row r="10285" spans="1:21">
      <c r="A10285">
        <v>10284</v>
      </c>
      <c r="B10285" s="29" t="s">
        <v>3223</v>
      </c>
      <c r="C10285" s="29"/>
      <c r="D10285" s="29" t="s">
        <v>4359</v>
      </c>
      <c r="E10285" s="29"/>
      <c r="F10285" s="29" t="s">
        <v>4360</v>
      </c>
      <c r="G10285" s="29"/>
      <c r="H10285" s="29" t="s">
        <v>4361</v>
      </c>
      <c r="I10285" s="29"/>
      <c r="J10285" s="29" t="s">
        <v>2660</v>
      </c>
      <c r="K10285" s="29"/>
      <c r="L10285" s="29" t="s">
        <v>285</v>
      </c>
      <c r="M10285" s="29" t="s">
        <v>286</v>
      </c>
      <c r="N10285" s="29" t="s">
        <v>619</v>
      </c>
      <c r="O10285" s="29"/>
      <c r="P10285" s="29" t="s">
        <v>949</v>
      </c>
      <c r="Q10285" t="s">
        <v>2043</v>
      </c>
      <c r="R10285" t="s">
        <v>2634</v>
      </c>
      <c r="S10285">
        <v>35</v>
      </c>
      <c r="T10285" s="43" t="str">
        <f t="shared" si="441"/>
        <v>2019.006G.zip</v>
      </c>
      <c r="U10285" s="43" t="str">
        <f>HYPERLINK("https://ictv.global/taxonomy/taxondetails?taxnode_id=202205014","ictv.global=202205014")</f>
        <v>ictv.global=202205014</v>
      </c>
    </row>
    <row r="10286" spans="1:21">
      <c r="A10286">
        <v>10285</v>
      </c>
      <c r="B10286" s="29" t="s">
        <v>3223</v>
      </c>
      <c r="C10286" s="29"/>
      <c r="D10286" s="29" t="s">
        <v>4359</v>
      </c>
      <c r="E10286" s="29"/>
      <c r="F10286" s="29" t="s">
        <v>4360</v>
      </c>
      <c r="G10286" s="29"/>
      <c r="H10286" s="29" t="s">
        <v>4361</v>
      </c>
      <c r="I10286" s="29"/>
      <c r="J10286" s="29" t="s">
        <v>2660</v>
      </c>
      <c r="K10286" s="29"/>
      <c r="L10286" s="29" t="s">
        <v>285</v>
      </c>
      <c r="M10286" s="29" t="s">
        <v>286</v>
      </c>
      <c r="N10286" s="29" t="s">
        <v>619</v>
      </c>
      <c r="O10286" s="29"/>
      <c r="P10286" s="29" t="s">
        <v>571</v>
      </c>
      <c r="Q10286" t="s">
        <v>2043</v>
      </c>
      <c r="R10286" t="s">
        <v>2634</v>
      </c>
      <c r="S10286">
        <v>35</v>
      </c>
      <c r="T10286" s="43" t="str">
        <f t="shared" si="441"/>
        <v>2019.006G.zip</v>
      </c>
      <c r="U10286" s="43" t="str">
        <f>HYPERLINK("https://ictv.global/taxonomy/taxondetails?taxnode_id=202205015","ictv.global=202205015")</f>
        <v>ictv.global=202205015</v>
      </c>
    </row>
    <row r="10287" spans="1:21">
      <c r="A10287">
        <v>10286</v>
      </c>
      <c r="B10287" s="29" t="s">
        <v>3223</v>
      </c>
      <c r="C10287" s="29"/>
      <c r="D10287" s="29" t="s">
        <v>4359</v>
      </c>
      <c r="E10287" s="29"/>
      <c r="F10287" s="29" t="s">
        <v>4360</v>
      </c>
      <c r="G10287" s="29"/>
      <c r="H10287" s="29" t="s">
        <v>4361</v>
      </c>
      <c r="I10287" s="29"/>
      <c r="J10287" s="29" t="s">
        <v>2660</v>
      </c>
      <c r="K10287" s="29"/>
      <c r="L10287" s="29" t="s">
        <v>285</v>
      </c>
      <c r="M10287" s="29" t="s">
        <v>286</v>
      </c>
      <c r="N10287" s="29" t="s">
        <v>619</v>
      </c>
      <c r="O10287" s="29"/>
      <c r="P10287" s="29" t="s">
        <v>2549</v>
      </c>
      <c r="Q10287" t="s">
        <v>2043</v>
      </c>
      <c r="R10287" t="s">
        <v>2634</v>
      </c>
      <c r="S10287">
        <v>35</v>
      </c>
      <c r="T10287" s="43" t="str">
        <f t="shared" si="441"/>
        <v>2019.006G.zip</v>
      </c>
      <c r="U10287" s="43" t="str">
        <f>HYPERLINK("https://ictv.global/taxonomy/taxondetails?taxnode_id=202205016","ictv.global=202205016")</f>
        <v>ictv.global=202205016</v>
      </c>
    </row>
    <row r="10288" spans="1:21">
      <c r="A10288">
        <v>10287</v>
      </c>
      <c r="B10288" s="29" t="s">
        <v>3223</v>
      </c>
      <c r="C10288" s="29"/>
      <c r="D10288" s="29" t="s">
        <v>4359</v>
      </c>
      <c r="E10288" s="29"/>
      <c r="F10288" s="29" t="s">
        <v>4360</v>
      </c>
      <c r="G10288" s="29"/>
      <c r="H10288" s="29" t="s">
        <v>4361</v>
      </c>
      <c r="I10288" s="29"/>
      <c r="J10288" s="29" t="s">
        <v>2660</v>
      </c>
      <c r="K10288" s="29"/>
      <c r="L10288" s="29" t="s">
        <v>285</v>
      </c>
      <c r="M10288" s="29" t="s">
        <v>286</v>
      </c>
      <c r="N10288" s="29" t="s">
        <v>619</v>
      </c>
      <c r="O10288" s="29"/>
      <c r="P10288" s="29" t="s">
        <v>882</v>
      </c>
      <c r="Q10288" t="s">
        <v>2043</v>
      </c>
      <c r="R10288" t="s">
        <v>2634</v>
      </c>
      <c r="S10288">
        <v>35</v>
      </c>
      <c r="T10288" s="43" t="str">
        <f t="shared" si="441"/>
        <v>2019.006G.zip</v>
      </c>
      <c r="U10288" s="43" t="str">
        <f>HYPERLINK("https://ictv.global/taxonomy/taxondetails?taxnode_id=202205017","ictv.global=202205017")</f>
        <v>ictv.global=202205017</v>
      </c>
    </row>
    <row r="10289" spans="1:21">
      <c r="A10289">
        <v>10288</v>
      </c>
      <c r="B10289" s="29" t="s">
        <v>3223</v>
      </c>
      <c r="C10289" s="29"/>
      <c r="D10289" s="29" t="s">
        <v>4359</v>
      </c>
      <c r="E10289" s="29"/>
      <c r="F10289" s="29" t="s">
        <v>4360</v>
      </c>
      <c r="G10289" s="29"/>
      <c r="H10289" s="29" t="s">
        <v>4361</v>
      </c>
      <c r="I10289" s="29"/>
      <c r="J10289" s="29" t="s">
        <v>2660</v>
      </c>
      <c r="K10289" s="29"/>
      <c r="L10289" s="29" t="s">
        <v>285</v>
      </c>
      <c r="M10289" s="29" t="s">
        <v>286</v>
      </c>
      <c r="N10289" s="29" t="s">
        <v>619</v>
      </c>
      <c r="O10289" s="29"/>
      <c r="P10289" s="29" t="s">
        <v>883</v>
      </c>
      <c r="Q10289" t="s">
        <v>2043</v>
      </c>
      <c r="R10289" t="s">
        <v>6901</v>
      </c>
      <c r="S10289">
        <v>36</v>
      </c>
      <c r="T10289" s="43" t="str">
        <f>HYPERLINK("https://ictv.global/ictv/proposals/2020.001G.R.Abolish_type_species.pdf","2020.001G.R.Abolish_type_species.pdf")</f>
        <v>2020.001G.R.Abolish_type_species.pdf</v>
      </c>
      <c r="U10289" s="43" t="str">
        <f>HYPERLINK("https://ictv.global/taxonomy/taxondetails?taxnode_id=202205018","ictv.global=202205018")</f>
        <v>ictv.global=202205018</v>
      </c>
    </row>
    <row r="10290" spans="1:21">
      <c r="A10290">
        <v>10289</v>
      </c>
      <c r="B10290" s="29" t="s">
        <v>3223</v>
      </c>
      <c r="C10290" s="29"/>
      <c r="D10290" s="29" t="s">
        <v>4359</v>
      </c>
      <c r="E10290" s="29"/>
      <c r="F10290" s="29" t="s">
        <v>4360</v>
      </c>
      <c r="G10290" s="29"/>
      <c r="H10290" s="29" t="s">
        <v>4361</v>
      </c>
      <c r="I10290" s="29"/>
      <c r="J10290" s="29" t="s">
        <v>2660</v>
      </c>
      <c r="K10290" s="29"/>
      <c r="L10290" s="29" t="s">
        <v>285</v>
      </c>
      <c r="M10290" s="29" t="s">
        <v>286</v>
      </c>
      <c r="N10290" s="29" t="s">
        <v>619</v>
      </c>
      <c r="O10290" s="29"/>
      <c r="P10290" s="29" t="s">
        <v>884</v>
      </c>
      <c r="Q10290" t="s">
        <v>2043</v>
      </c>
      <c r="R10290" t="s">
        <v>2634</v>
      </c>
      <c r="S10290">
        <v>35</v>
      </c>
      <c r="T10290" s="43" t="str">
        <f t="shared" ref="T10290:T10299" si="442">HYPERLINK("https://ictv.global/ictv/proposals/2019.006G.zip","2019.006G.zip")</f>
        <v>2019.006G.zip</v>
      </c>
      <c r="U10290" s="43" t="str">
        <f>HYPERLINK("https://ictv.global/taxonomy/taxondetails?taxnode_id=202205019","ictv.global=202205019")</f>
        <v>ictv.global=202205019</v>
      </c>
    </row>
    <row r="10291" spans="1:21">
      <c r="A10291">
        <v>10290</v>
      </c>
      <c r="B10291" s="29" t="s">
        <v>3223</v>
      </c>
      <c r="C10291" s="29"/>
      <c r="D10291" s="29" t="s">
        <v>4359</v>
      </c>
      <c r="E10291" s="29"/>
      <c r="F10291" s="29" t="s">
        <v>4360</v>
      </c>
      <c r="G10291" s="29"/>
      <c r="H10291" s="29" t="s">
        <v>4361</v>
      </c>
      <c r="I10291" s="29"/>
      <c r="J10291" s="29" t="s">
        <v>2660</v>
      </c>
      <c r="K10291" s="29"/>
      <c r="L10291" s="29" t="s">
        <v>285</v>
      </c>
      <c r="M10291" s="29" t="s">
        <v>286</v>
      </c>
      <c r="N10291" s="29" t="s">
        <v>619</v>
      </c>
      <c r="O10291" s="29"/>
      <c r="P10291" s="29" t="s">
        <v>885</v>
      </c>
      <c r="Q10291" t="s">
        <v>2043</v>
      </c>
      <c r="R10291" t="s">
        <v>2634</v>
      </c>
      <c r="S10291">
        <v>35</v>
      </c>
      <c r="T10291" s="43" t="str">
        <f t="shared" si="442"/>
        <v>2019.006G.zip</v>
      </c>
      <c r="U10291" s="43" t="str">
        <f>HYPERLINK("https://ictv.global/taxonomy/taxondetails?taxnode_id=202205020","ictv.global=202205020")</f>
        <v>ictv.global=202205020</v>
      </c>
    </row>
    <row r="10292" spans="1:21">
      <c r="A10292">
        <v>10291</v>
      </c>
      <c r="B10292" s="29" t="s">
        <v>3223</v>
      </c>
      <c r="C10292" s="29"/>
      <c r="D10292" s="29" t="s">
        <v>4359</v>
      </c>
      <c r="E10292" s="29"/>
      <c r="F10292" s="29" t="s">
        <v>4360</v>
      </c>
      <c r="G10292" s="29"/>
      <c r="H10292" s="29" t="s">
        <v>4361</v>
      </c>
      <c r="I10292" s="29"/>
      <c r="J10292" s="29" t="s">
        <v>2660</v>
      </c>
      <c r="K10292" s="29"/>
      <c r="L10292" s="29" t="s">
        <v>285</v>
      </c>
      <c r="M10292" s="29" t="s">
        <v>286</v>
      </c>
      <c r="N10292" s="29" t="s">
        <v>619</v>
      </c>
      <c r="O10292" s="29"/>
      <c r="P10292" s="29" t="s">
        <v>1057</v>
      </c>
      <c r="Q10292" t="s">
        <v>2043</v>
      </c>
      <c r="R10292" t="s">
        <v>2634</v>
      </c>
      <c r="S10292">
        <v>35</v>
      </c>
      <c r="T10292" s="43" t="str">
        <f t="shared" si="442"/>
        <v>2019.006G.zip</v>
      </c>
      <c r="U10292" s="43" t="str">
        <f>HYPERLINK("https://ictv.global/taxonomy/taxondetails?taxnode_id=202205021","ictv.global=202205021")</f>
        <v>ictv.global=202205021</v>
      </c>
    </row>
    <row r="10293" spans="1:21">
      <c r="A10293">
        <v>10292</v>
      </c>
      <c r="B10293" s="29" t="s">
        <v>3223</v>
      </c>
      <c r="C10293" s="29"/>
      <c r="D10293" s="29" t="s">
        <v>4359</v>
      </c>
      <c r="E10293" s="29"/>
      <c r="F10293" s="29" t="s">
        <v>4360</v>
      </c>
      <c r="G10293" s="29"/>
      <c r="H10293" s="29" t="s">
        <v>4361</v>
      </c>
      <c r="I10293" s="29"/>
      <c r="J10293" s="29" t="s">
        <v>2660</v>
      </c>
      <c r="K10293" s="29"/>
      <c r="L10293" s="29" t="s">
        <v>285</v>
      </c>
      <c r="M10293" s="29" t="s">
        <v>286</v>
      </c>
      <c r="N10293" s="29" t="s">
        <v>619</v>
      </c>
      <c r="O10293" s="29"/>
      <c r="P10293" s="29" t="s">
        <v>1058</v>
      </c>
      <c r="Q10293" t="s">
        <v>2043</v>
      </c>
      <c r="R10293" t="s">
        <v>2634</v>
      </c>
      <c r="S10293">
        <v>35</v>
      </c>
      <c r="T10293" s="43" t="str">
        <f t="shared" si="442"/>
        <v>2019.006G.zip</v>
      </c>
      <c r="U10293" s="43" t="str">
        <f>HYPERLINK("https://ictv.global/taxonomy/taxondetails?taxnode_id=202205022","ictv.global=202205022")</f>
        <v>ictv.global=202205022</v>
      </c>
    </row>
    <row r="10294" spans="1:21">
      <c r="A10294">
        <v>10293</v>
      </c>
      <c r="B10294" s="29" t="s">
        <v>3223</v>
      </c>
      <c r="C10294" s="29"/>
      <c r="D10294" s="29" t="s">
        <v>4359</v>
      </c>
      <c r="E10294" s="29"/>
      <c r="F10294" s="29" t="s">
        <v>4360</v>
      </c>
      <c r="G10294" s="29"/>
      <c r="H10294" s="29" t="s">
        <v>4361</v>
      </c>
      <c r="I10294" s="29"/>
      <c r="J10294" s="29" t="s">
        <v>2660</v>
      </c>
      <c r="K10294" s="29"/>
      <c r="L10294" s="29" t="s">
        <v>285</v>
      </c>
      <c r="M10294" s="29" t="s">
        <v>286</v>
      </c>
      <c r="N10294" s="29" t="s">
        <v>619</v>
      </c>
      <c r="O10294" s="29"/>
      <c r="P10294" s="29" t="s">
        <v>1059</v>
      </c>
      <c r="Q10294" t="s">
        <v>2043</v>
      </c>
      <c r="R10294" t="s">
        <v>2634</v>
      </c>
      <c r="S10294">
        <v>35</v>
      </c>
      <c r="T10294" s="43" t="str">
        <f t="shared" si="442"/>
        <v>2019.006G.zip</v>
      </c>
      <c r="U10294" s="43" t="str">
        <f>HYPERLINK("https://ictv.global/taxonomy/taxondetails?taxnode_id=202205023","ictv.global=202205023")</f>
        <v>ictv.global=202205023</v>
      </c>
    </row>
    <row r="10295" spans="1:21">
      <c r="A10295">
        <v>10294</v>
      </c>
      <c r="B10295" s="29" t="s">
        <v>3223</v>
      </c>
      <c r="C10295" s="29"/>
      <c r="D10295" s="29" t="s">
        <v>4359</v>
      </c>
      <c r="E10295" s="29"/>
      <c r="F10295" s="29" t="s">
        <v>4360</v>
      </c>
      <c r="G10295" s="29"/>
      <c r="H10295" s="29" t="s">
        <v>4361</v>
      </c>
      <c r="I10295" s="29"/>
      <c r="J10295" s="29" t="s">
        <v>2660</v>
      </c>
      <c r="K10295" s="29"/>
      <c r="L10295" s="29" t="s">
        <v>285</v>
      </c>
      <c r="M10295" s="29" t="s">
        <v>286</v>
      </c>
      <c r="N10295" s="29" t="s">
        <v>619</v>
      </c>
      <c r="O10295" s="29"/>
      <c r="P10295" s="29" t="s">
        <v>1060</v>
      </c>
      <c r="Q10295" t="s">
        <v>2043</v>
      </c>
      <c r="R10295" t="s">
        <v>2634</v>
      </c>
      <c r="S10295">
        <v>35</v>
      </c>
      <c r="T10295" s="43" t="str">
        <f t="shared" si="442"/>
        <v>2019.006G.zip</v>
      </c>
      <c r="U10295" s="43" t="str">
        <f>HYPERLINK("https://ictv.global/taxonomy/taxondetails?taxnode_id=202205024","ictv.global=202205024")</f>
        <v>ictv.global=202205024</v>
      </c>
    </row>
    <row r="10296" spans="1:21">
      <c r="A10296">
        <v>10295</v>
      </c>
      <c r="B10296" s="29" t="s">
        <v>3223</v>
      </c>
      <c r="C10296" s="29"/>
      <c r="D10296" s="29" t="s">
        <v>4359</v>
      </c>
      <c r="E10296" s="29"/>
      <c r="F10296" s="29" t="s">
        <v>4360</v>
      </c>
      <c r="G10296" s="29"/>
      <c r="H10296" s="29" t="s">
        <v>4361</v>
      </c>
      <c r="I10296" s="29"/>
      <c r="J10296" s="29" t="s">
        <v>2660</v>
      </c>
      <c r="K10296" s="29"/>
      <c r="L10296" s="29" t="s">
        <v>285</v>
      </c>
      <c r="M10296" s="29" t="s">
        <v>286</v>
      </c>
      <c r="N10296" s="29" t="s">
        <v>1061</v>
      </c>
      <c r="O10296" s="29"/>
      <c r="P10296" s="29" t="s">
        <v>1016</v>
      </c>
      <c r="Q10296" t="s">
        <v>2043</v>
      </c>
      <c r="R10296" t="s">
        <v>2634</v>
      </c>
      <c r="S10296">
        <v>35</v>
      </c>
      <c r="T10296" s="43" t="str">
        <f t="shared" si="442"/>
        <v>2019.006G.zip</v>
      </c>
      <c r="U10296" s="43" t="str">
        <f>HYPERLINK("https://ictv.global/taxonomy/taxondetails?taxnode_id=202205026","ictv.global=202205026")</f>
        <v>ictv.global=202205026</v>
      </c>
    </row>
    <row r="10297" spans="1:21">
      <c r="A10297">
        <v>10296</v>
      </c>
      <c r="B10297" s="29" t="s">
        <v>3223</v>
      </c>
      <c r="C10297" s="29"/>
      <c r="D10297" s="29" t="s">
        <v>4359</v>
      </c>
      <c r="E10297" s="29"/>
      <c r="F10297" s="29" t="s">
        <v>4360</v>
      </c>
      <c r="G10297" s="29"/>
      <c r="H10297" s="29" t="s">
        <v>4361</v>
      </c>
      <c r="I10297" s="29"/>
      <c r="J10297" s="29" t="s">
        <v>2660</v>
      </c>
      <c r="K10297" s="29"/>
      <c r="L10297" s="29" t="s">
        <v>285</v>
      </c>
      <c r="M10297" s="29" t="s">
        <v>286</v>
      </c>
      <c r="N10297" s="29" t="s">
        <v>1061</v>
      </c>
      <c r="O10297" s="29"/>
      <c r="P10297" s="29" t="s">
        <v>888</v>
      </c>
      <c r="Q10297" t="s">
        <v>2043</v>
      </c>
      <c r="R10297" t="s">
        <v>2634</v>
      </c>
      <c r="S10297">
        <v>35</v>
      </c>
      <c r="T10297" s="43" t="str">
        <f t="shared" si="442"/>
        <v>2019.006G.zip</v>
      </c>
      <c r="U10297" s="43" t="str">
        <f>HYPERLINK("https://ictv.global/taxonomy/taxondetails?taxnode_id=202205027","ictv.global=202205027")</f>
        <v>ictv.global=202205027</v>
      </c>
    </row>
    <row r="10298" spans="1:21">
      <c r="A10298">
        <v>10297</v>
      </c>
      <c r="B10298" s="29" t="s">
        <v>3223</v>
      </c>
      <c r="C10298" s="29"/>
      <c r="D10298" s="29" t="s">
        <v>4359</v>
      </c>
      <c r="E10298" s="29"/>
      <c r="F10298" s="29" t="s">
        <v>4360</v>
      </c>
      <c r="G10298" s="29"/>
      <c r="H10298" s="29" t="s">
        <v>4361</v>
      </c>
      <c r="I10298" s="29"/>
      <c r="J10298" s="29" t="s">
        <v>2660</v>
      </c>
      <c r="K10298" s="29"/>
      <c r="L10298" s="29" t="s">
        <v>285</v>
      </c>
      <c r="M10298" s="29" t="s">
        <v>286</v>
      </c>
      <c r="N10298" s="29" t="s">
        <v>1061</v>
      </c>
      <c r="O10298" s="29"/>
      <c r="P10298" s="29" t="s">
        <v>889</v>
      </c>
      <c r="Q10298" t="s">
        <v>2043</v>
      </c>
      <c r="R10298" t="s">
        <v>2634</v>
      </c>
      <c r="S10298">
        <v>35</v>
      </c>
      <c r="T10298" s="43" t="str">
        <f t="shared" si="442"/>
        <v>2019.006G.zip</v>
      </c>
      <c r="U10298" s="43" t="str">
        <f>HYPERLINK("https://ictv.global/taxonomy/taxondetails?taxnode_id=202205028","ictv.global=202205028")</f>
        <v>ictv.global=202205028</v>
      </c>
    </row>
    <row r="10299" spans="1:21">
      <c r="A10299">
        <v>10298</v>
      </c>
      <c r="B10299" s="29" t="s">
        <v>3223</v>
      </c>
      <c r="C10299" s="29"/>
      <c r="D10299" s="29" t="s">
        <v>4359</v>
      </c>
      <c r="E10299" s="29"/>
      <c r="F10299" s="29" t="s">
        <v>4360</v>
      </c>
      <c r="G10299" s="29"/>
      <c r="H10299" s="29" t="s">
        <v>4361</v>
      </c>
      <c r="I10299" s="29"/>
      <c r="J10299" s="29" t="s">
        <v>2660</v>
      </c>
      <c r="K10299" s="29"/>
      <c r="L10299" s="29" t="s">
        <v>285</v>
      </c>
      <c r="M10299" s="29" t="s">
        <v>286</v>
      </c>
      <c r="N10299" s="29" t="s">
        <v>1061</v>
      </c>
      <c r="O10299" s="29"/>
      <c r="P10299" s="29" t="s">
        <v>890</v>
      </c>
      <c r="Q10299" t="s">
        <v>2043</v>
      </c>
      <c r="R10299" t="s">
        <v>2634</v>
      </c>
      <c r="S10299">
        <v>35</v>
      </c>
      <c r="T10299" s="43" t="str">
        <f t="shared" si="442"/>
        <v>2019.006G.zip</v>
      </c>
      <c r="U10299" s="43" t="str">
        <f>HYPERLINK("https://ictv.global/taxonomy/taxondetails?taxnode_id=202205029","ictv.global=202205029")</f>
        <v>ictv.global=202205029</v>
      </c>
    </row>
    <row r="10300" spans="1:21">
      <c r="A10300">
        <v>10299</v>
      </c>
      <c r="B10300" s="29" t="s">
        <v>3223</v>
      </c>
      <c r="C10300" s="29"/>
      <c r="D10300" s="29" t="s">
        <v>4359</v>
      </c>
      <c r="E10300" s="29"/>
      <c r="F10300" s="29" t="s">
        <v>4360</v>
      </c>
      <c r="G10300" s="29"/>
      <c r="H10300" s="29" t="s">
        <v>4361</v>
      </c>
      <c r="I10300" s="29"/>
      <c r="J10300" s="29" t="s">
        <v>2660</v>
      </c>
      <c r="K10300" s="29"/>
      <c r="L10300" s="29" t="s">
        <v>285</v>
      </c>
      <c r="M10300" s="29" t="s">
        <v>286</v>
      </c>
      <c r="N10300" s="29" t="s">
        <v>1061</v>
      </c>
      <c r="O10300" s="29"/>
      <c r="P10300" s="29" t="s">
        <v>891</v>
      </c>
      <c r="Q10300" t="s">
        <v>2043</v>
      </c>
      <c r="R10300" t="s">
        <v>6901</v>
      </c>
      <c r="S10300">
        <v>36</v>
      </c>
      <c r="T10300" s="43" t="str">
        <f>HYPERLINK("https://ictv.global/ictv/proposals/2020.001G.R.Abolish_type_species.pdf","2020.001G.R.Abolish_type_species.pdf")</f>
        <v>2020.001G.R.Abolish_type_species.pdf</v>
      </c>
      <c r="U10300" s="43" t="str">
        <f>HYPERLINK("https://ictv.global/taxonomy/taxondetails?taxnode_id=202205030","ictv.global=202205030")</f>
        <v>ictv.global=202205030</v>
      </c>
    </row>
    <row r="10301" spans="1:21">
      <c r="A10301">
        <v>10300</v>
      </c>
      <c r="B10301" s="29" t="s">
        <v>3223</v>
      </c>
      <c r="C10301" s="29"/>
      <c r="D10301" s="29" t="s">
        <v>4359</v>
      </c>
      <c r="E10301" s="29"/>
      <c r="F10301" s="29" t="s">
        <v>4360</v>
      </c>
      <c r="G10301" s="29"/>
      <c r="H10301" s="29" t="s">
        <v>4361</v>
      </c>
      <c r="I10301" s="29"/>
      <c r="J10301" s="29" t="s">
        <v>2660</v>
      </c>
      <c r="K10301" s="29"/>
      <c r="L10301" s="29" t="s">
        <v>285</v>
      </c>
      <c r="M10301" s="29" t="s">
        <v>286</v>
      </c>
      <c r="N10301" s="29" t="s">
        <v>1061</v>
      </c>
      <c r="O10301" s="29"/>
      <c r="P10301" s="29" t="s">
        <v>892</v>
      </c>
      <c r="Q10301" t="s">
        <v>2043</v>
      </c>
      <c r="R10301" t="s">
        <v>2634</v>
      </c>
      <c r="S10301">
        <v>35</v>
      </c>
      <c r="T10301" s="43" t="str">
        <f>HYPERLINK("https://ictv.global/ictv/proposals/2019.006G.zip","2019.006G.zip")</f>
        <v>2019.006G.zip</v>
      </c>
      <c r="U10301" s="43" t="str">
        <f>HYPERLINK("https://ictv.global/taxonomy/taxondetails?taxnode_id=202205031","ictv.global=202205031")</f>
        <v>ictv.global=202205031</v>
      </c>
    </row>
    <row r="10302" spans="1:21">
      <c r="A10302">
        <v>10301</v>
      </c>
      <c r="B10302" s="29" t="s">
        <v>3223</v>
      </c>
      <c r="C10302" s="29"/>
      <c r="D10302" s="29" t="s">
        <v>4359</v>
      </c>
      <c r="E10302" s="29"/>
      <c r="F10302" s="29" t="s">
        <v>4360</v>
      </c>
      <c r="G10302" s="29"/>
      <c r="H10302" s="29" t="s">
        <v>4361</v>
      </c>
      <c r="I10302" s="29"/>
      <c r="J10302" s="29" t="s">
        <v>2660</v>
      </c>
      <c r="K10302" s="29"/>
      <c r="L10302" s="29" t="s">
        <v>285</v>
      </c>
      <c r="M10302" s="29" t="s">
        <v>286</v>
      </c>
      <c r="N10302" s="29" t="s">
        <v>1061</v>
      </c>
      <c r="O10302" s="29"/>
      <c r="P10302" s="29" t="s">
        <v>2550</v>
      </c>
      <c r="Q10302" t="s">
        <v>2043</v>
      </c>
      <c r="R10302" t="s">
        <v>2634</v>
      </c>
      <c r="S10302">
        <v>35</v>
      </c>
      <c r="T10302" s="43" t="str">
        <f>HYPERLINK("https://ictv.global/ictv/proposals/2019.006G.zip","2019.006G.zip")</f>
        <v>2019.006G.zip</v>
      </c>
      <c r="U10302" s="43" t="str">
        <f>HYPERLINK("https://ictv.global/taxonomy/taxondetails?taxnode_id=202205032","ictv.global=202205032")</f>
        <v>ictv.global=202205032</v>
      </c>
    </row>
    <row r="10303" spans="1:21">
      <c r="A10303">
        <v>10302</v>
      </c>
      <c r="B10303" s="29" t="s">
        <v>3223</v>
      </c>
      <c r="C10303" s="29"/>
      <c r="D10303" s="29" t="s">
        <v>4359</v>
      </c>
      <c r="E10303" s="29"/>
      <c r="F10303" s="29" t="s">
        <v>4360</v>
      </c>
      <c r="G10303" s="29"/>
      <c r="H10303" s="29" t="s">
        <v>4361</v>
      </c>
      <c r="I10303" s="29"/>
      <c r="J10303" s="29" t="s">
        <v>2660</v>
      </c>
      <c r="K10303" s="29"/>
      <c r="L10303" s="29" t="s">
        <v>285</v>
      </c>
      <c r="M10303" s="29" t="s">
        <v>286</v>
      </c>
      <c r="N10303" s="29" t="s">
        <v>1061</v>
      </c>
      <c r="O10303" s="29"/>
      <c r="P10303" s="29" t="s">
        <v>893</v>
      </c>
      <c r="Q10303" t="s">
        <v>2043</v>
      </c>
      <c r="R10303" t="s">
        <v>2634</v>
      </c>
      <c r="S10303">
        <v>35</v>
      </c>
      <c r="T10303" s="43" t="str">
        <f>HYPERLINK("https://ictv.global/ictv/proposals/2019.006G.zip","2019.006G.zip")</f>
        <v>2019.006G.zip</v>
      </c>
      <c r="U10303" s="43" t="str">
        <f>HYPERLINK("https://ictv.global/taxonomy/taxondetails?taxnode_id=202205033","ictv.global=202205033")</f>
        <v>ictv.global=202205033</v>
      </c>
    </row>
    <row r="10304" spans="1:21">
      <c r="A10304">
        <v>10303</v>
      </c>
      <c r="B10304" s="29" t="s">
        <v>3223</v>
      </c>
      <c r="C10304" s="29"/>
      <c r="D10304" s="29" t="s">
        <v>4359</v>
      </c>
      <c r="E10304" s="29"/>
      <c r="F10304" s="29" t="s">
        <v>4360</v>
      </c>
      <c r="G10304" s="29"/>
      <c r="H10304" s="29" t="s">
        <v>4361</v>
      </c>
      <c r="I10304" s="29"/>
      <c r="J10304" s="29" t="s">
        <v>2660</v>
      </c>
      <c r="K10304" s="29"/>
      <c r="L10304" s="29" t="s">
        <v>285</v>
      </c>
      <c r="M10304" s="29" t="s">
        <v>286</v>
      </c>
      <c r="N10304" s="29" t="s">
        <v>1061</v>
      </c>
      <c r="O10304" s="29"/>
      <c r="P10304" s="29" t="s">
        <v>894</v>
      </c>
      <c r="Q10304" t="s">
        <v>2043</v>
      </c>
      <c r="R10304" t="s">
        <v>2634</v>
      </c>
      <c r="S10304">
        <v>35</v>
      </c>
      <c r="T10304" s="43" t="str">
        <f>HYPERLINK("https://ictv.global/ictv/proposals/2019.006G.zip","2019.006G.zip")</f>
        <v>2019.006G.zip</v>
      </c>
      <c r="U10304" s="43" t="str">
        <f>HYPERLINK("https://ictv.global/taxonomy/taxondetails?taxnode_id=202205034","ictv.global=202205034")</f>
        <v>ictv.global=202205034</v>
      </c>
    </row>
    <row r="10305" spans="1:21">
      <c r="A10305">
        <v>10304</v>
      </c>
      <c r="B10305" s="29" t="s">
        <v>3223</v>
      </c>
      <c r="C10305" s="29"/>
      <c r="D10305" s="29" t="s">
        <v>4359</v>
      </c>
      <c r="E10305" s="29"/>
      <c r="F10305" s="29" t="s">
        <v>4360</v>
      </c>
      <c r="G10305" s="29"/>
      <c r="H10305" s="29" t="s">
        <v>4361</v>
      </c>
      <c r="I10305" s="29"/>
      <c r="J10305" s="29" t="s">
        <v>2660</v>
      </c>
      <c r="K10305" s="29"/>
      <c r="L10305" s="29" t="s">
        <v>285</v>
      </c>
      <c r="M10305" s="29" t="s">
        <v>286</v>
      </c>
      <c r="N10305" s="29" t="s">
        <v>1061</v>
      </c>
      <c r="O10305" s="29"/>
      <c r="P10305" s="29" t="s">
        <v>2672</v>
      </c>
      <c r="Q10305" t="s">
        <v>2043</v>
      </c>
      <c r="R10305" t="s">
        <v>2634</v>
      </c>
      <c r="S10305">
        <v>35</v>
      </c>
      <c r="T10305" s="43" t="str">
        <f>HYPERLINK("https://ictv.global/ictv/proposals/2019.006G.zip","2019.006G.zip")</f>
        <v>2019.006G.zip</v>
      </c>
      <c r="U10305" s="43" t="str">
        <f>HYPERLINK("https://ictv.global/taxonomy/taxondetails?taxnode_id=202205035","ictv.global=202205035")</f>
        <v>ictv.global=202205035</v>
      </c>
    </row>
    <row r="10306" spans="1:21">
      <c r="A10306">
        <v>10305</v>
      </c>
      <c r="B10306" s="29" t="s">
        <v>3223</v>
      </c>
      <c r="C10306" s="29"/>
      <c r="D10306" s="29" t="s">
        <v>4359</v>
      </c>
      <c r="E10306" s="29"/>
      <c r="F10306" s="29" t="s">
        <v>4360</v>
      </c>
      <c r="G10306" s="29"/>
      <c r="H10306" s="29" t="s">
        <v>4361</v>
      </c>
      <c r="I10306" s="29"/>
      <c r="J10306" s="29" t="s">
        <v>2660</v>
      </c>
      <c r="K10306" s="29"/>
      <c r="L10306" s="29" t="s">
        <v>285</v>
      </c>
      <c r="M10306" s="29" t="s">
        <v>895</v>
      </c>
      <c r="N10306" s="29" t="s">
        <v>2673</v>
      </c>
      <c r="O10306" s="29"/>
      <c r="P10306" s="29" t="s">
        <v>1017</v>
      </c>
      <c r="Q10306" t="s">
        <v>2043</v>
      </c>
      <c r="R10306" t="s">
        <v>6901</v>
      </c>
      <c r="S10306">
        <v>36</v>
      </c>
      <c r="T10306" s="43" t="str">
        <f>HYPERLINK("https://ictv.global/ictv/proposals/2020.001G.R.Abolish_type_species.pdf","2020.001G.R.Abolish_type_species.pdf")</f>
        <v>2020.001G.R.Abolish_type_species.pdf</v>
      </c>
      <c r="U10306" s="43" t="str">
        <f>HYPERLINK("https://ictv.global/taxonomy/taxondetails?taxnode_id=202205039","ictv.global=202205039")</f>
        <v>ictv.global=202205039</v>
      </c>
    </row>
    <row r="10307" spans="1:21">
      <c r="A10307">
        <v>10306</v>
      </c>
      <c r="B10307" s="29" t="s">
        <v>3223</v>
      </c>
      <c r="C10307" s="29"/>
      <c r="D10307" s="29" t="s">
        <v>4359</v>
      </c>
      <c r="E10307" s="29"/>
      <c r="F10307" s="29" t="s">
        <v>4360</v>
      </c>
      <c r="G10307" s="29"/>
      <c r="H10307" s="29" t="s">
        <v>4361</v>
      </c>
      <c r="I10307" s="29"/>
      <c r="J10307" s="29" t="s">
        <v>2660</v>
      </c>
      <c r="K10307" s="29"/>
      <c r="L10307" s="29" t="s">
        <v>285</v>
      </c>
      <c r="M10307" s="29" t="s">
        <v>895</v>
      </c>
      <c r="N10307" s="29" t="s">
        <v>2674</v>
      </c>
      <c r="O10307" s="29"/>
      <c r="P10307" s="29" t="s">
        <v>1018</v>
      </c>
      <c r="Q10307" t="s">
        <v>2043</v>
      </c>
      <c r="R10307" t="s">
        <v>6901</v>
      </c>
      <c r="S10307">
        <v>36</v>
      </c>
      <c r="T10307" s="43" t="str">
        <f>HYPERLINK("https://ictv.global/ictv/proposals/2020.001G.R.Abolish_type_species.pdf","2020.001G.R.Abolish_type_species.pdf")</f>
        <v>2020.001G.R.Abolish_type_species.pdf</v>
      </c>
      <c r="U10307" s="43" t="str">
        <f>HYPERLINK("https://ictv.global/taxonomy/taxondetails?taxnode_id=202205040","ictv.global=202205040")</f>
        <v>ictv.global=202205040</v>
      </c>
    </row>
    <row r="10308" spans="1:21">
      <c r="A10308">
        <v>10307</v>
      </c>
      <c r="B10308" s="29" t="s">
        <v>3223</v>
      </c>
      <c r="C10308" s="29"/>
      <c r="D10308" s="29" t="s">
        <v>4359</v>
      </c>
      <c r="E10308" s="29"/>
      <c r="F10308" s="29" t="s">
        <v>4360</v>
      </c>
      <c r="G10308" s="29"/>
      <c r="H10308" s="29" t="s">
        <v>4361</v>
      </c>
      <c r="I10308" s="29"/>
      <c r="J10308" s="29" t="s">
        <v>2660</v>
      </c>
      <c r="K10308" s="29"/>
      <c r="L10308" s="29" t="s">
        <v>285</v>
      </c>
      <c r="M10308" s="29" t="s">
        <v>895</v>
      </c>
      <c r="N10308" s="29" t="s">
        <v>2675</v>
      </c>
      <c r="O10308" s="29"/>
      <c r="P10308" s="29" t="s">
        <v>1019</v>
      </c>
      <c r="Q10308" t="s">
        <v>2043</v>
      </c>
      <c r="R10308" t="s">
        <v>6901</v>
      </c>
      <c r="S10308">
        <v>36</v>
      </c>
      <c r="T10308" s="43" t="str">
        <f>HYPERLINK("https://ictv.global/ictv/proposals/2020.001G.R.Abolish_type_species.pdf","2020.001G.R.Abolish_type_species.pdf")</f>
        <v>2020.001G.R.Abolish_type_species.pdf</v>
      </c>
      <c r="U10308" s="43" t="str">
        <f>HYPERLINK("https://ictv.global/taxonomy/taxondetails?taxnode_id=202205041","ictv.global=202205041")</f>
        <v>ictv.global=202205041</v>
      </c>
    </row>
    <row r="10309" spans="1:21">
      <c r="A10309">
        <v>10308</v>
      </c>
      <c r="B10309" s="29" t="s">
        <v>3223</v>
      </c>
      <c r="C10309" s="29"/>
      <c r="D10309" s="29" t="s">
        <v>4359</v>
      </c>
      <c r="E10309" s="29"/>
      <c r="F10309" s="29" t="s">
        <v>4360</v>
      </c>
      <c r="G10309" s="29"/>
      <c r="H10309" s="29" t="s">
        <v>4361</v>
      </c>
      <c r="I10309" s="29"/>
      <c r="J10309" s="29" t="s">
        <v>2660</v>
      </c>
      <c r="K10309" s="29"/>
      <c r="L10309" s="29" t="s">
        <v>285</v>
      </c>
      <c r="M10309" s="29" t="s">
        <v>895</v>
      </c>
      <c r="N10309" s="29" t="s">
        <v>2676</v>
      </c>
      <c r="O10309" s="29"/>
      <c r="P10309" s="29" t="s">
        <v>2677</v>
      </c>
      <c r="Q10309" t="s">
        <v>2043</v>
      </c>
      <c r="R10309" t="s">
        <v>6901</v>
      </c>
      <c r="S10309">
        <v>36</v>
      </c>
      <c r="T10309" s="43" t="str">
        <f>HYPERLINK("https://ictv.global/ictv/proposals/2020.001G.R.Abolish_type_species.pdf","2020.001G.R.Abolish_type_species.pdf")</f>
        <v>2020.001G.R.Abolish_type_species.pdf</v>
      </c>
      <c r="U10309" s="43" t="str">
        <f>HYPERLINK("https://ictv.global/taxonomy/taxondetails?taxnode_id=202205932","ictv.global=202205932")</f>
        <v>ictv.global=202205932</v>
      </c>
    </row>
    <row r="10310" spans="1:21">
      <c r="A10310">
        <v>10309</v>
      </c>
      <c r="B10310" s="29" t="s">
        <v>3223</v>
      </c>
      <c r="C10310" s="29"/>
      <c r="D10310" s="29" t="s">
        <v>4359</v>
      </c>
      <c r="E10310" s="29"/>
      <c r="F10310" s="29" t="s">
        <v>4360</v>
      </c>
      <c r="G10310" s="29"/>
      <c r="H10310" s="29" t="s">
        <v>4361</v>
      </c>
      <c r="I10310" s="29"/>
      <c r="J10310" s="29" t="s">
        <v>2660</v>
      </c>
      <c r="K10310" s="29"/>
      <c r="L10310" s="29" t="s">
        <v>285</v>
      </c>
      <c r="M10310" s="29" t="s">
        <v>895</v>
      </c>
      <c r="N10310" s="29" t="s">
        <v>2678</v>
      </c>
      <c r="O10310" s="29"/>
      <c r="P10310" s="29" t="s">
        <v>2679</v>
      </c>
      <c r="Q10310" t="s">
        <v>2043</v>
      </c>
      <c r="R10310" t="s">
        <v>2634</v>
      </c>
      <c r="S10310">
        <v>35</v>
      </c>
      <c r="T10310" s="43" t="str">
        <f>HYPERLINK("https://ictv.global/ictv/proposals/2019.006G.zip","2019.006G.zip")</f>
        <v>2019.006G.zip</v>
      </c>
      <c r="U10310" s="43" t="str">
        <f>HYPERLINK("https://ictv.global/taxonomy/taxondetails?taxnode_id=202205934","ictv.global=202205934")</f>
        <v>ictv.global=202205934</v>
      </c>
    </row>
    <row r="10311" spans="1:21">
      <c r="A10311">
        <v>10310</v>
      </c>
      <c r="B10311" s="29" t="s">
        <v>3223</v>
      </c>
      <c r="C10311" s="29"/>
      <c r="D10311" s="29" t="s">
        <v>4359</v>
      </c>
      <c r="E10311" s="29"/>
      <c r="F10311" s="29" t="s">
        <v>4360</v>
      </c>
      <c r="G10311" s="29"/>
      <c r="H10311" s="29" t="s">
        <v>4361</v>
      </c>
      <c r="I10311" s="29"/>
      <c r="J10311" s="29" t="s">
        <v>2660</v>
      </c>
      <c r="K10311" s="29"/>
      <c r="L10311" s="29" t="s">
        <v>285</v>
      </c>
      <c r="M10311" s="29" t="s">
        <v>895</v>
      </c>
      <c r="N10311" s="29" t="s">
        <v>2678</v>
      </c>
      <c r="O10311" s="29"/>
      <c r="P10311" s="29" t="s">
        <v>3625</v>
      </c>
      <c r="Q10311" t="s">
        <v>2043</v>
      </c>
      <c r="R10311" t="s">
        <v>2634</v>
      </c>
      <c r="S10311">
        <v>35</v>
      </c>
      <c r="T10311" s="43" t="str">
        <f>HYPERLINK("https://ictv.global/ictv/proposals/2019.006G.zip","2019.006G.zip")</f>
        <v>2019.006G.zip</v>
      </c>
      <c r="U10311" s="43" t="str">
        <f>HYPERLINK("https://ictv.global/taxonomy/taxondetails?taxnode_id=202205935","ictv.global=202205935")</f>
        <v>ictv.global=202205935</v>
      </c>
    </row>
    <row r="10312" spans="1:21">
      <c r="A10312">
        <v>10311</v>
      </c>
      <c r="B10312" s="29" t="s">
        <v>3223</v>
      </c>
      <c r="C10312" s="29"/>
      <c r="D10312" s="29" t="s">
        <v>4359</v>
      </c>
      <c r="E10312" s="29"/>
      <c r="F10312" s="29" t="s">
        <v>4360</v>
      </c>
      <c r="G10312" s="29"/>
      <c r="H10312" s="29" t="s">
        <v>4361</v>
      </c>
      <c r="I10312" s="29"/>
      <c r="J10312" s="29" t="s">
        <v>2660</v>
      </c>
      <c r="K10312" s="29"/>
      <c r="L10312" s="29" t="s">
        <v>285</v>
      </c>
      <c r="M10312" s="29" t="s">
        <v>895</v>
      </c>
      <c r="N10312" s="29" t="s">
        <v>2678</v>
      </c>
      <c r="O10312" s="29"/>
      <c r="P10312" s="29" t="s">
        <v>3626</v>
      </c>
      <c r="Q10312" t="s">
        <v>2043</v>
      </c>
      <c r="R10312" t="s">
        <v>2634</v>
      </c>
      <c r="S10312">
        <v>35</v>
      </c>
      <c r="T10312" s="43" t="str">
        <f>HYPERLINK("https://ictv.global/ictv/proposals/2019.006G.zip","2019.006G.zip")</f>
        <v>2019.006G.zip</v>
      </c>
      <c r="U10312" s="43" t="str">
        <f>HYPERLINK("https://ictv.global/taxonomy/taxondetails?taxnode_id=202206445","ictv.global=202206445")</f>
        <v>ictv.global=202206445</v>
      </c>
    </row>
    <row r="10313" spans="1:21">
      <c r="A10313">
        <v>10312</v>
      </c>
      <c r="B10313" s="29" t="s">
        <v>3223</v>
      </c>
      <c r="C10313" s="29"/>
      <c r="D10313" s="29" t="s">
        <v>4359</v>
      </c>
      <c r="E10313" s="29"/>
      <c r="F10313" s="29" t="s">
        <v>4360</v>
      </c>
      <c r="G10313" s="29"/>
      <c r="H10313" s="29" t="s">
        <v>4361</v>
      </c>
      <c r="I10313" s="29"/>
      <c r="J10313" s="29" t="s">
        <v>2660</v>
      </c>
      <c r="K10313" s="29"/>
      <c r="L10313" s="29" t="s">
        <v>285</v>
      </c>
      <c r="M10313" s="29" t="s">
        <v>895</v>
      </c>
      <c r="N10313" s="29" t="s">
        <v>2678</v>
      </c>
      <c r="O10313" s="29"/>
      <c r="P10313" s="29" t="s">
        <v>2680</v>
      </c>
      <c r="Q10313" t="s">
        <v>2043</v>
      </c>
      <c r="R10313" t="s">
        <v>6901</v>
      </c>
      <c r="S10313">
        <v>36</v>
      </c>
      <c r="T10313" s="43" t="str">
        <f>HYPERLINK("https://ictv.global/ictv/proposals/2020.001G.R.Abolish_type_species.pdf","2020.001G.R.Abolish_type_species.pdf")</f>
        <v>2020.001G.R.Abolish_type_species.pdf</v>
      </c>
      <c r="U10313" s="43" t="str">
        <f>HYPERLINK("https://ictv.global/taxonomy/taxondetails?taxnode_id=202205043","ictv.global=202205043")</f>
        <v>ictv.global=202205043</v>
      </c>
    </row>
    <row r="10314" spans="1:21">
      <c r="A10314">
        <v>10313</v>
      </c>
      <c r="B10314" s="29" t="s">
        <v>3223</v>
      </c>
      <c r="C10314" s="29"/>
      <c r="D10314" s="29" t="s">
        <v>4359</v>
      </c>
      <c r="E10314" s="29"/>
      <c r="F10314" s="29" t="s">
        <v>4360</v>
      </c>
      <c r="G10314" s="29"/>
      <c r="H10314" s="29" t="s">
        <v>4361</v>
      </c>
      <c r="I10314" s="29"/>
      <c r="J10314" s="29" t="s">
        <v>2660</v>
      </c>
      <c r="K10314" s="29"/>
      <c r="L10314" s="29" t="s">
        <v>285</v>
      </c>
      <c r="M10314" s="29" t="s">
        <v>895</v>
      </c>
      <c r="N10314" s="29" t="s">
        <v>2678</v>
      </c>
      <c r="O10314" s="29"/>
      <c r="P10314" s="29" t="s">
        <v>2681</v>
      </c>
      <c r="Q10314" t="s">
        <v>2043</v>
      </c>
      <c r="R10314" t="s">
        <v>2634</v>
      </c>
      <c r="S10314">
        <v>35</v>
      </c>
      <c r="T10314" s="43" t="str">
        <f t="shared" ref="T10314:T10324" si="443">HYPERLINK("https://ictv.global/ictv/proposals/2019.006G.zip","2019.006G.zip")</f>
        <v>2019.006G.zip</v>
      </c>
      <c r="U10314" s="43" t="str">
        <f>HYPERLINK("https://ictv.global/taxonomy/taxondetails?taxnode_id=202205038","ictv.global=202205038")</f>
        <v>ictv.global=202205038</v>
      </c>
    </row>
    <row r="10315" spans="1:21">
      <c r="A10315">
        <v>10314</v>
      </c>
      <c r="B10315" s="29" t="s">
        <v>3223</v>
      </c>
      <c r="C10315" s="29"/>
      <c r="D10315" s="29" t="s">
        <v>4359</v>
      </c>
      <c r="E10315" s="29"/>
      <c r="F10315" s="29" t="s">
        <v>4360</v>
      </c>
      <c r="G10315" s="29"/>
      <c r="H10315" s="29" t="s">
        <v>4361</v>
      </c>
      <c r="I10315" s="29"/>
      <c r="J10315" s="29" t="s">
        <v>2660</v>
      </c>
      <c r="K10315" s="29"/>
      <c r="L10315" s="29" t="s">
        <v>285</v>
      </c>
      <c r="M10315" s="29" t="s">
        <v>895</v>
      </c>
      <c r="N10315" s="29" t="s">
        <v>2678</v>
      </c>
      <c r="O10315" s="29"/>
      <c r="P10315" s="29" t="s">
        <v>2682</v>
      </c>
      <c r="Q10315" t="s">
        <v>2043</v>
      </c>
      <c r="R10315" t="s">
        <v>2634</v>
      </c>
      <c r="S10315">
        <v>35</v>
      </c>
      <c r="T10315" s="43" t="str">
        <f t="shared" si="443"/>
        <v>2019.006G.zip</v>
      </c>
      <c r="U10315" s="43" t="str">
        <f>HYPERLINK("https://ictv.global/taxonomy/taxondetails?taxnode_id=202205936","ictv.global=202205936")</f>
        <v>ictv.global=202205936</v>
      </c>
    </row>
    <row r="10316" spans="1:21">
      <c r="A10316">
        <v>10315</v>
      </c>
      <c r="B10316" s="29" t="s">
        <v>3223</v>
      </c>
      <c r="C10316" s="29"/>
      <c r="D10316" s="29" t="s">
        <v>4359</v>
      </c>
      <c r="E10316" s="29"/>
      <c r="F10316" s="29" t="s">
        <v>4360</v>
      </c>
      <c r="G10316" s="29"/>
      <c r="H10316" s="29" t="s">
        <v>4361</v>
      </c>
      <c r="I10316" s="29"/>
      <c r="J10316" s="29" t="s">
        <v>2660</v>
      </c>
      <c r="K10316" s="29"/>
      <c r="L10316" s="29" t="s">
        <v>285</v>
      </c>
      <c r="M10316" s="29" t="s">
        <v>895</v>
      </c>
      <c r="N10316" s="29" t="s">
        <v>2678</v>
      </c>
      <c r="O10316" s="29"/>
      <c r="P10316" s="29" t="s">
        <v>2683</v>
      </c>
      <c r="Q10316" t="s">
        <v>2043</v>
      </c>
      <c r="R10316" t="s">
        <v>2634</v>
      </c>
      <c r="S10316">
        <v>35</v>
      </c>
      <c r="T10316" s="43" t="str">
        <f t="shared" si="443"/>
        <v>2019.006G.zip</v>
      </c>
      <c r="U10316" s="43" t="str">
        <f>HYPERLINK("https://ictv.global/taxonomy/taxondetails?taxnode_id=202205937","ictv.global=202205937")</f>
        <v>ictv.global=202205937</v>
      </c>
    </row>
    <row r="10317" spans="1:21">
      <c r="A10317">
        <v>10316</v>
      </c>
      <c r="B10317" s="29" t="s">
        <v>3223</v>
      </c>
      <c r="C10317" s="29"/>
      <c r="D10317" s="29" t="s">
        <v>4359</v>
      </c>
      <c r="E10317" s="29"/>
      <c r="F10317" s="29" t="s">
        <v>4360</v>
      </c>
      <c r="G10317" s="29"/>
      <c r="H10317" s="29" t="s">
        <v>4361</v>
      </c>
      <c r="I10317" s="29"/>
      <c r="J10317" s="29" t="s">
        <v>2660</v>
      </c>
      <c r="K10317" s="29"/>
      <c r="L10317" s="29" t="s">
        <v>285</v>
      </c>
      <c r="M10317" s="29" t="s">
        <v>895</v>
      </c>
      <c r="N10317" s="29" t="s">
        <v>2678</v>
      </c>
      <c r="O10317" s="29"/>
      <c r="P10317" s="29" t="s">
        <v>2684</v>
      </c>
      <c r="Q10317" t="s">
        <v>2043</v>
      </c>
      <c r="R10317" t="s">
        <v>2634</v>
      </c>
      <c r="S10317">
        <v>35</v>
      </c>
      <c r="T10317" s="43" t="str">
        <f t="shared" si="443"/>
        <v>2019.006G.zip</v>
      </c>
      <c r="U10317" s="43" t="str">
        <f>HYPERLINK("https://ictv.global/taxonomy/taxondetails?taxnode_id=202205938","ictv.global=202205938")</f>
        <v>ictv.global=202205938</v>
      </c>
    </row>
    <row r="10318" spans="1:21">
      <c r="A10318">
        <v>10317</v>
      </c>
      <c r="B10318" s="29" t="s">
        <v>3223</v>
      </c>
      <c r="C10318" s="29"/>
      <c r="D10318" s="29" t="s">
        <v>4359</v>
      </c>
      <c r="E10318" s="29"/>
      <c r="F10318" s="29" t="s">
        <v>4360</v>
      </c>
      <c r="G10318" s="29"/>
      <c r="H10318" s="29" t="s">
        <v>4361</v>
      </c>
      <c r="I10318" s="29"/>
      <c r="J10318" s="29" t="s">
        <v>2660</v>
      </c>
      <c r="K10318" s="29"/>
      <c r="L10318" s="29" t="s">
        <v>285</v>
      </c>
      <c r="M10318" s="29" t="s">
        <v>895</v>
      </c>
      <c r="N10318" s="29" t="s">
        <v>2678</v>
      </c>
      <c r="O10318" s="29"/>
      <c r="P10318" s="29" t="s">
        <v>2685</v>
      </c>
      <c r="Q10318" t="s">
        <v>2043</v>
      </c>
      <c r="R10318" t="s">
        <v>2634</v>
      </c>
      <c r="S10318">
        <v>35</v>
      </c>
      <c r="T10318" s="43" t="str">
        <f t="shared" si="443"/>
        <v>2019.006G.zip</v>
      </c>
      <c r="U10318" s="43" t="str">
        <f>HYPERLINK("https://ictv.global/taxonomy/taxondetails?taxnode_id=202205939","ictv.global=202205939")</f>
        <v>ictv.global=202205939</v>
      </c>
    </row>
    <row r="10319" spans="1:21">
      <c r="A10319">
        <v>10318</v>
      </c>
      <c r="B10319" s="29" t="s">
        <v>3223</v>
      </c>
      <c r="C10319" s="29"/>
      <c r="D10319" s="29" t="s">
        <v>4359</v>
      </c>
      <c r="E10319" s="29"/>
      <c r="F10319" s="29" t="s">
        <v>4360</v>
      </c>
      <c r="G10319" s="29"/>
      <c r="H10319" s="29" t="s">
        <v>4361</v>
      </c>
      <c r="I10319" s="29"/>
      <c r="J10319" s="29" t="s">
        <v>2660</v>
      </c>
      <c r="K10319" s="29"/>
      <c r="L10319" s="29" t="s">
        <v>285</v>
      </c>
      <c r="M10319" s="29" t="s">
        <v>895</v>
      </c>
      <c r="N10319" s="29" t="s">
        <v>2678</v>
      </c>
      <c r="O10319" s="29"/>
      <c r="P10319" s="29" t="s">
        <v>2686</v>
      </c>
      <c r="Q10319" t="s">
        <v>2043</v>
      </c>
      <c r="R10319" t="s">
        <v>2634</v>
      </c>
      <c r="S10319">
        <v>35</v>
      </c>
      <c r="T10319" s="43" t="str">
        <f t="shared" si="443"/>
        <v>2019.006G.zip</v>
      </c>
      <c r="U10319" s="43" t="str">
        <f>HYPERLINK("https://ictv.global/taxonomy/taxondetails?taxnode_id=202205940","ictv.global=202205940")</f>
        <v>ictv.global=202205940</v>
      </c>
    </row>
    <row r="10320" spans="1:21">
      <c r="A10320">
        <v>10319</v>
      </c>
      <c r="B10320" s="29" t="s">
        <v>3223</v>
      </c>
      <c r="C10320" s="29"/>
      <c r="D10320" s="29" t="s">
        <v>4359</v>
      </c>
      <c r="E10320" s="29"/>
      <c r="F10320" s="29" t="s">
        <v>4360</v>
      </c>
      <c r="G10320" s="29"/>
      <c r="H10320" s="29" t="s">
        <v>4361</v>
      </c>
      <c r="I10320" s="29"/>
      <c r="J10320" s="29" t="s">
        <v>2660</v>
      </c>
      <c r="K10320" s="29"/>
      <c r="L10320" s="29" t="s">
        <v>285</v>
      </c>
      <c r="M10320" s="29" t="s">
        <v>895</v>
      </c>
      <c r="N10320" s="29" t="s">
        <v>2678</v>
      </c>
      <c r="O10320" s="29"/>
      <c r="P10320" s="29" t="s">
        <v>2687</v>
      </c>
      <c r="Q10320" t="s">
        <v>2043</v>
      </c>
      <c r="R10320" t="s">
        <v>2634</v>
      </c>
      <c r="S10320">
        <v>35</v>
      </c>
      <c r="T10320" s="43" t="str">
        <f t="shared" si="443"/>
        <v>2019.006G.zip</v>
      </c>
      <c r="U10320" s="43" t="str">
        <f>HYPERLINK("https://ictv.global/taxonomy/taxondetails?taxnode_id=202205042","ictv.global=202205042")</f>
        <v>ictv.global=202205042</v>
      </c>
    </row>
    <row r="10321" spans="1:21">
      <c r="A10321">
        <v>10320</v>
      </c>
      <c r="B10321" s="29" t="s">
        <v>3223</v>
      </c>
      <c r="C10321" s="29"/>
      <c r="D10321" s="29" t="s">
        <v>4359</v>
      </c>
      <c r="E10321" s="29"/>
      <c r="F10321" s="29" t="s">
        <v>4360</v>
      </c>
      <c r="G10321" s="29"/>
      <c r="H10321" s="29" t="s">
        <v>4361</v>
      </c>
      <c r="I10321" s="29"/>
      <c r="J10321" s="29" t="s">
        <v>2660</v>
      </c>
      <c r="K10321" s="29"/>
      <c r="L10321" s="29" t="s">
        <v>285</v>
      </c>
      <c r="M10321" s="29" t="s">
        <v>895</v>
      </c>
      <c r="N10321" s="29" t="s">
        <v>2678</v>
      </c>
      <c r="O10321" s="29"/>
      <c r="P10321" s="29" t="s">
        <v>2688</v>
      </c>
      <c r="Q10321" t="s">
        <v>2043</v>
      </c>
      <c r="R10321" t="s">
        <v>2634</v>
      </c>
      <c r="S10321">
        <v>35</v>
      </c>
      <c r="T10321" s="43" t="str">
        <f t="shared" si="443"/>
        <v>2019.006G.zip</v>
      </c>
      <c r="U10321" s="43" t="str">
        <f>HYPERLINK("https://ictv.global/taxonomy/taxondetails?taxnode_id=202205941","ictv.global=202205941")</f>
        <v>ictv.global=202205941</v>
      </c>
    </row>
    <row r="10322" spans="1:21">
      <c r="A10322">
        <v>10321</v>
      </c>
      <c r="B10322" s="29" t="s">
        <v>3223</v>
      </c>
      <c r="C10322" s="29"/>
      <c r="D10322" s="29" t="s">
        <v>4359</v>
      </c>
      <c r="E10322" s="29"/>
      <c r="F10322" s="29" t="s">
        <v>4360</v>
      </c>
      <c r="G10322" s="29"/>
      <c r="H10322" s="29" t="s">
        <v>4361</v>
      </c>
      <c r="I10322" s="29"/>
      <c r="J10322" s="29" t="s">
        <v>2660</v>
      </c>
      <c r="K10322" s="29"/>
      <c r="L10322" s="29" t="s">
        <v>285</v>
      </c>
      <c r="M10322" s="29" t="s">
        <v>895</v>
      </c>
      <c r="N10322" s="29" t="s">
        <v>2678</v>
      </c>
      <c r="O10322" s="29"/>
      <c r="P10322" s="29" t="s">
        <v>2689</v>
      </c>
      <c r="Q10322" t="s">
        <v>2043</v>
      </c>
      <c r="R10322" t="s">
        <v>2634</v>
      </c>
      <c r="S10322">
        <v>35</v>
      </c>
      <c r="T10322" s="43" t="str">
        <f t="shared" si="443"/>
        <v>2019.006G.zip</v>
      </c>
      <c r="U10322" s="43" t="str">
        <f>HYPERLINK("https://ictv.global/taxonomy/taxondetails?taxnode_id=202205942","ictv.global=202205942")</f>
        <v>ictv.global=202205942</v>
      </c>
    </row>
    <row r="10323" spans="1:21">
      <c r="A10323">
        <v>10322</v>
      </c>
      <c r="B10323" s="29" t="s">
        <v>3223</v>
      </c>
      <c r="C10323" s="29"/>
      <c r="D10323" s="29" t="s">
        <v>4359</v>
      </c>
      <c r="E10323" s="29"/>
      <c r="F10323" s="29" t="s">
        <v>4360</v>
      </c>
      <c r="G10323" s="29"/>
      <c r="H10323" s="29" t="s">
        <v>4361</v>
      </c>
      <c r="I10323" s="29"/>
      <c r="J10323" s="29" t="s">
        <v>2660</v>
      </c>
      <c r="K10323" s="29"/>
      <c r="L10323" s="29" t="s">
        <v>285</v>
      </c>
      <c r="M10323" s="29" t="s">
        <v>895</v>
      </c>
      <c r="N10323" s="29" t="s">
        <v>2678</v>
      </c>
      <c r="O10323" s="29"/>
      <c r="P10323" s="29" t="s">
        <v>2690</v>
      </c>
      <c r="Q10323" t="s">
        <v>2043</v>
      </c>
      <c r="R10323" t="s">
        <v>2634</v>
      </c>
      <c r="S10323">
        <v>35</v>
      </c>
      <c r="T10323" s="43" t="str">
        <f t="shared" si="443"/>
        <v>2019.006G.zip</v>
      </c>
      <c r="U10323" s="43" t="str">
        <f>HYPERLINK("https://ictv.global/taxonomy/taxondetails?taxnode_id=202205943","ictv.global=202205943")</f>
        <v>ictv.global=202205943</v>
      </c>
    </row>
    <row r="10324" spans="1:21">
      <c r="A10324">
        <v>10323</v>
      </c>
      <c r="B10324" s="29" t="s">
        <v>3223</v>
      </c>
      <c r="C10324" s="29"/>
      <c r="D10324" s="29" t="s">
        <v>4359</v>
      </c>
      <c r="E10324" s="29"/>
      <c r="F10324" s="29" t="s">
        <v>4360</v>
      </c>
      <c r="G10324" s="29"/>
      <c r="H10324" s="29" t="s">
        <v>4361</v>
      </c>
      <c r="I10324" s="29"/>
      <c r="J10324" s="29" t="s">
        <v>2660</v>
      </c>
      <c r="K10324" s="29"/>
      <c r="L10324" s="29" t="s">
        <v>285</v>
      </c>
      <c r="M10324" s="29" t="s">
        <v>895</v>
      </c>
      <c r="N10324" s="29" t="s">
        <v>2678</v>
      </c>
      <c r="O10324" s="29"/>
      <c r="P10324" s="29" t="s">
        <v>2691</v>
      </c>
      <c r="Q10324" t="s">
        <v>2043</v>
      </c>
      <c r="R10324" t="s">
        <v>2634</v>
      </c>
      <c r="S10324">
        <v>35</v>
      </c>
      <c r="T10324" s="43" t="str">
        <f t="shared" si="443"/>
        <v>2019.006G.zip</v>
      </c>
      <c r="U10324" s="43" t="str">
        <f>HYPERLINK("https://ictv.global/taxonomy/taxondetails?taxnode_id=202205944","ictv.global=202205944")</f>
        <v>ictv.global=202205944</v>
      </c>
    </row>
    <row r="10325" spans="1:21">
      <c r="A10325">
        <v>10324</v>
      </c>
      <c r="B10325" s="29" t="s">
        <v>3223</v>
      </c>
      <c r="C10325" s="29"/>
      <c r="D10325" s="29"/>
      <c r="E10325" s="29"/>
      <c r="F10325" s="29"/>
      <c r="G10325" s="29"/>
      <c r="H10325" s="29"/>
      <c r="I10325" s="29"/>
      <c r="J10325" s="29"/>
      <c r="K10325" s="29"/>
      <c r="L10325" s="29" t="s">
        <v>4371</v>
      </c>
      <c r="M10325" s="29"/>
      <c r="N10325" s="29" t="s">
        <v>4372</v>
      </c>
      <c r="O10325" s="29"/>
      <c r="P10325" s="29" t="s">
        <v>4373</v>
      </c>
      <c r="Q10325" t="s">
        <v>2042</v>
      </c>
      <c r="R10325" t="s">
        <v>6901</v>
      </c>
      <c r="S10325">
        <v>36</v>
      </c>
      <c r="T10325" s="43" t="str">
        <f>HYPERLINK("https://ictv.global/ictv/proposals/2020.001G.R.Abolish_type_species.pdf","2020.001G.R.Abolish_type_species.pdf")</f>
        <v>2020.001G.R.Abolish_type_species.pdf</v>
      </c>
      <c r="U10325" s="43" t="str">
        <f>HYPERLINK("https://ictv.global/taxonomy/taxondetails?taxnode_id=202208685","ictv.global=202208685")</f>
        <v>ictv.global=202208685</v>
      </c>
    </row>
    <row r="10326" spans="1:21">
      <c r="A10326">
        <v>10325</v>
      </c>
      <c r="B10326" s="29" t="s">
        <v>3223</v>
      </c>
      <c r="C10326" s="29"/>
      <c r="D10326" s="29"/>
      <c r="E10326" s="29"/>
      <c r="F10326" s="29"/>
      <c r="G10326" s="29"/>
      <c r="H10326" s="29"/>
      <c r="I10326" s="29"/>
      <c r="J10326" s="29"/>
      <c r="K10326" s="29"/>
      <c r="L10326" s="29" t="s">
        <v>4371</v>
      </c>
      <c r="M10326" s="29"/>
      <c r="N10326" s="29" t="s">
        <v>4372</v>
      </c>
      <c r="O10326" s="29"/>
      <c r="P10326" s="29" t="s">
        <v>4374</v>
      </c>
      <c r="Q10326" t="s">
        <v>2042</v>
      </c>
      <c r="R10326" t="s">
        <v>2632</v>
      </c>
      <c r="S10326">
        <v>35</v>
      </c>
      <c r="T10326" s="43" t="str">
        <f t="shared" ref="T10326:T10334" si="444">HYPERLINK("https://ictv.global/ictv/proposals/2019.002F.zip","2019.002F.zip")</f>
        <v>2019.002F.zip</v>
      </c>
      <c r="U10326" s="43" t="str">
        <f>HYPERLINK("https://ictv.global/taxonomy/taxondetails?taxnode_id=202208686","ictv.global=202208686")</f>
        <v>ictv.global=202208686</v>
      </c>
    </row>
    <row r="10327" spans="1:21">
      <c r="A10327">
        <v>10326</v>
      </c>
      <c r="B10327" s="29" t="s">
        <v>3223</v>
      </c>
      <c r="C10327" s="29"/>
      <c r="D10327" s="29"/>
      <c r="E10327" s="29"/>
      <c r="F10327" s="29"/>
      <c r="G10327" s="29"/>
      <c r="H10327" s="29"/>
      <c r="I10327" s="29"/>
      <c r="J10327" s="29"/>
      <c r="K10327" s="29"/>
      <c r="L10327" s="29" t="s">
        <v>4371</v>
      </c>
      <c r="M10327" s="29"/>
      <c r="N10327" s="29" t="s">
        <v>4372</v>
      </c>
      <c r="O10327" s="29"/>
      <c r="P10327" s="29" t="s">
        <v>4375</v>
      </c>
      <c r="Q10327" t="s">
        <v>2042</v>
      </c>
      <c r="R10327" t="s">
        <v>2632</v>
      </c>
      <c r="S10327">
        <v>35</v>
      </c>
      <c r="T10327" s="43" t="str">
        <f t="shared" si="444"/>
        <v>2019.002F.zip</v>
      </c>
      <c r="U10327" s="43" t="str">
        <f>HYPERLINK("https://ictv.global/taxonomy/taxondetails?taxnode_id=202208687","ictv.global=202208687")</f>
        <v>ictv.global=202208687</v>
      </c>
    </row>
    <row r="10328" spans="1:21">
      <c r="A10328">
        <v>10327</v>
      </c>
      <c r="B10328" s="29" t="s">
        <v>3223</v>
      </c>
      <c r="C10328" s="29"/>
      <c r="D10328" s="29"/>
      <c r="E10328" s="29"/>
      <c r="F10328" s="29"/>
      <c r="G10328" s="29"/>
      <c r="H10328" s="29"/>
      <c r="I10328" s="29"/>
      <c r="J10328" s="29"/>
      <c r="K10328" s="29"/>
      <c r="L10328" s="29" t="s">
        <v>4371</v>
      </c>
      <c r="M10328" s="29"/>
      <c r="N10328" s="29" t="s">
        <v>4372</v>
      </c>
      <c r="O10328" s="29"/>
      <c r="P10328" s="29" t="s">
        <v>4376</v>
      </c>
      <c r="Q10328" t="s">
        <v>2042</v>
      </c>
      <c r="R10328" t="s">
        <v>2632</v>
      </c>
      <c r="S10328">
        <v>35</v>
      </c>
      <c r="T10328" s="43" t="str">
        <f t="shared" si="444"/>
        <v>2019.002F.zip</v>
      </c>
      <c r="U10328" s="43" t="str">
        <f>HYPERLINK("https://ictv.global/taxonomy/taxondetails?taxnode_id=202208688","ictv.global=202208688")</f>
        <v>ictv.global=202208688</v>
      </c>
    </row>
    <row r="10329" spans="1:21">
      <c r="A10329">
        <v>10328</v>
      </c>
      <c r="B10329" s="29" t="s">
        <v>3223</v>
      </c>
      <c r="C10329" s="29"/>
      <c r="D10329" s="29"/>
      <c r="E10329" s="29"/>
      <c r="F10329" s="29"/>
      <c r="G10329" s="29"/>
      <c r="H10329" s="29"/>
      <c r="I10329" s="29"/>
      <c r="J10329" s="29"/>
      <c r="K10329" s="29"/>
      <c r="L10329" s="29" t="s">
        <v>4371</v>
      </c>
      <c r="M10329" s="29"/>
      <c r="N10329" s="29" t="s">
        <v>4372</v>
      </c>
      <c r="O10329" s="29"/>
      <c r="P10329" s="29" t="s">
        <v>4377</v>
      </c>
      <c r="Q10329" t="s">
        <v>2042</v>
      </c>
      <c r="R10329" t="s">
        <v>2632</v>
      </c>
      <c r="S10329">
        <v>35</v>
      </c>
      <c r="T10329" s="43" t="str">
        <f t="shared" si="444"/>
        <v>2019.002F.zip</v>
      </c>
      <c r="U10329" s="43" t="str">
        <f>HYPERLINK("https://ictv.global/taxonomy/taxondetails?taxnode_id=202208689","ictv.global=202208689")</f>
        <v>ictv.global=202208689</v>
      </c>
    </row>
    <row r="10330" spans="1:21">
      <c r="A10330">
        <v>10329</v>
      </c>
      <c r="B10330" s="29" t="s">
        <v>3223</v>
      </c>
      <c r="C10330" s="29"/>
      <c r="D10330" s="29"/>
      <c r="E10330" s="29"/>
      <c r="F10330" s="29"/>
      <c r="G10330" s="29"/>
      <c r="H10330" s="29"/>
      <c r="I10330" s="29"/>
      <c r="J10330" s="29"/>
      <c r="K10330" s="29"/>
      <c r="L10330" s="29" t="s">
        <v>4371</v>
      </c>
      <c r="M10330" s="29"/>
      <c r="N10330" s="29" t="s">
        <v>4372</v>
      </c>
      <c r="O10330" s="29"/>
      <c r="P10330" s="29" t="s">
        <v>4378</v>
      </c>
      <c r="Q10330" t="s">
        <v>2042</v>
      </c>
      <c r="R10330" t="s">
        <v>2632</v>
      </c>
      <c r="S10330">
        <v>35</v>
      </c>
      <c r="T10330" s="43" t="str">
        <f t="shared" si="444"/>
        <v>2019.002F.zip</v>
      </c>
      <c r="U10330" s="43" t="str">
        <f>HYPERLINK("https://ictv.global/taxonomy/taxondetails?taxnode_id=202208690","ictv.global=202208690")</f>
        <v>ictv.global=202208690</v>
      </c>
    </row>
    <row r="10331" spans="1:21">
      <c r="A10331">
        <v>10330</v>
      </c>
      <c r="B10331" s="29" t="s">
        <v>3223</v>
      </c>
      <c r="C10331" s="29"/>
      <c r="D10331" s="29"/>
      <c r="E10331" s="29"/>
      <c r="F10331" s="29"/>
      <c r="G10331" s="29"/>
      <c r="H10331" s="29"/>
      <c r="I10331" s="29"/>
      <c r="J10331" s="29"/>
      <c r="K10331" s="29"/>
      <c r="L10331" s="29" t="s">
        <v>4371</v>
      </c>
      <c r="M10331" s="29"/>
      <c r="N10331" s="29" t="s">
        <v>4372</v>
      </c>
      <c r="O10331" s="29"/>
      <c r="P10331" s="29" t="s">
        <v>4379</v>
      </c>
      <c r="Q10331" t="s">
        <v>2042</v>
      </c>
      <c r="R10331" t="s">
        <v>2632</v>
      </c>
      <c r="S10331">
        <v>35</v>
      </c>
      <c r="T10331" s="43" t="str">
        <f t="shared" si="444"/>
        <v>2019.002F.zip</v>
      </c>
      <c r="U10331" s="43" t="str">
        <f>HYPERLINK("https://ictv.global/taxonomy/taxondetails?taxnode_id=202208691","ictv.global=202208691")</f>
        <v>ictv.global=202208691</v>
      </c>
    </row>
    <row r="10332" spans="1:21">
      <c r="A10332">
        <v>10331</v>
      </c>
      <c r="B10332" s="29" t="s">
        <v>3223</v>
      </c>
      <c r="C10332" s="29"/>
      <c r="D10332" s="29"/>
      <c r="E10332" s="29"/>
      <c r="F10332" s="29"/>
      <c r="G10332" s="29"/>
      <c r="H10332" s="29"/>
      <c r="I10332" s="29"/>
      <c r="J10332" s="29"/>
      <c r="K10332" s="29"/>
      <c r="L10332" s="29" t="s">
        <v>4371</v>
      </c>
      <c r="M10332" s="29"/>
      <c r="N10332" s="29" t="s">
        <v>4372</v>
      </c>
      <c r="O10332" s="29"/>
      <c r="P10332" s="29" t="s">
        <v>4380</v>
      </c>
      <c r="Q10332" t="s">
        <v>2042</v>
      </c>
      <c r="R10332" t="s">
        <v>2632</v>
      </c>
      <c r="S10332">
        <v>35</v>
      </c>
      <c r="T10332" s="43" t="str">
        <f t="shared" si="444"/>
        <v>2019.002F.zip</v>
      </c>
      <c r="U10332" s="43" t="str">
        <f>HYPERLINK("https://ictv.global/taxonomy/taxondetails?taxnode_id=202208692","ictv.global=202208692")</f>
        <v>ictv.global=202208692</v>
      </c>
    </row>
    <row r="10333" spans="1:21">
      <c r="A10333">
        <v>10332</v>
      </c>
      <c r="B10333" s="29" t="s">
        <v>3223</v>
      </c>
      <c r="C10333" s="29"/>
      <c r="D10333" s="29"/>
      <c r="E10333" s="29"/>
      <c r="F10333" s="29"/>
      <c r="G10333" s="29"/>
      <c r="H10333" s="29"/>
      <c r="I10333" s="29"/>
      <c r="J10333" s="29"/>
      <c r="K10333" s="29"/>
      <c r="L10333" s="29" t="s">
        <v>4371</v>
      </c>
      <c r="M10333" s="29"/>
      <c r="N10333" s="29" t="s">
        <v>4372</v>
      </c>
      <c r="O10333" s="29"/>
      <c r="P10333" s="29" t="s">
        <v>4381</v>
      </c>
      <c r="Q10333" t="s">
        <v>2042</v>
      </c>
      <c r="R10333" t="s">
        <v>2632</v>
      </c>
      <c r="S10333">
        <v>35</v>
      </c>
      <c r="T10333" s="43" t="str">
        <f t="shared" si="444"/>
        <v>2019.002F.zip</v>
      </c>
      <c r="U10333" s="43" t="str">
        <f>HYPERLINK("https://ictv.global/taxonomy/taxondetails?taxnode_id=202208694","ictv.global=202208694")</f>
        <v>ictv.global=202208694</v>
      </c>
    </row>
    <row r="10334" spans="1:21">
      <c r="A10334">
        <v>10333</v>
      </c>
      <c r="B10334" s="29" t="s">
        <v>3223</v>
      </c>
      <c r="C10334" s="29"/>
      <c r="D10334" s="29"/>
      <c r="E10334" s="29"/>
      <c r="F10334" s="29"/>
      <c r="G10334" s="29"/>
      <c r="H10334" s="29"/>
      <c r="I10334" s="29"/>
      <c r="J10334" s="29"/>
      <c r="K10334" s="29"/>
      <c r="L10334" s="29" t="s">
        <v>4371</v>
      </c>
      <c r="M10334" s="29"/>
      <c r="N10334" s="29" t="s">
        <v>4372</v>
      </c>
      <c r="O10334" s="29"/>
      <c r="P10334" s="29" t="s">
        <v>4382</v>
      </c>
      <c r="Q10334" t="s">
        <v>2042</v>
      </c>
      <c r="R10334" t="s">
        <v>2632</v>
      </c>
      <c r="S10334">
        <v>35</v>
      </c>
      <c r="T10334" s="43" t="str">
        <f t="shared" si="444"/>
        <v>2019.002F.zip</v>
      </c>
      <c r="U10334" s="43" t="str">
        <f>HYPERLINK("https://ictv.global/taxonomy/taxondetails?taxnode_id=202208693","ictv.global=202208693")</f>
        <v>ictv.global=202208693</v>
      </c>
    </row>
    <row r="10335" spans="1:21">
      <c r="A10335">
        <v>10334</v>
      </c>
      <c r="B10335" s="29" t="s">
        <v>3223</v>
      </c>
      <c r="C10335" s="29"/>
      <c r="D10335" s="29"/>
      <c r="E10335" s="29"/>
      <c r="F10335" s="29"/>
      <c r="G10335" s="29"/>
      <c r="H10335" s="29"/>
      <c r="I10335" s="29"/>
      <c r="J10335" s="29"/>
      <c r="K10335" s="29"/>
      <c r="L10335" s="29" t="s">
        <v>2326</v>
      </c>
      <c r="M10335" s="29"/>
      <c r="N10335" s="29" t="s">
        <v>2327</v>
      </c>
      <c r="O10335" s="29"/>
      <c r="P10335" s="29" t="s">
        <v>2328</v>
      </c>
      <c r="Q10335" t="s">
        <v>2040</v>
      </c>
      <c r="R10335" t="s">
        <v>6901</v>
      </c>
      <c r="S10335">
        <v>36</v>
      </c>
      <c r="T10335" s="43" t="str">
        <f>HYPERLINK("https://ictv.global/ictv/proposals/2020.001G.R.Abolish_type_species.pdf","2020.001G.R.Abolish_type_species.pdf")</f>
        <v>2020.001G.R.Abolish_type_species.pdf</v>
      </c>
      <c r="U10335" s="43" t="str">
        <f>HYPERLINK("https://ictv.global/taxonomy/taxondetails?taxnode_id=202205047","ictv.global=202205047")</f>
        <v>ictv.global=202205047</v>
      </c>
    </row>
    <row r="10336" spans="1:21">
      <c r="A10336">
        <v>10335</v>
      </c>
      <c r="B10336" s="29" t="s">
        <v>3223</v>
      </c>
      <c r="C10336" s="29"/>
      <c r="D10336" s="29"/>
      <c r="E10336" s="29"/>
      <c r="F10336" s="29"/>
      <c r="G10336" s="29"/>
      <c r="H10336" s="29"/>
      <c r="I10336" s="29"/>
      <c r="J10336" s="29"/>
      <c r="K10336" s="29"/>
      <c r="L10336" s="29"/>
      <c r="M10336" s="29"/>
      <c r="N10336" s="29" t="s">
        <v>2333</v>
      </c>
      <c r="O10336" s="29"/>
      <c r="P10336" s="29" t="s">
        <v>2334</v>
      </c>
      <c r="Q10336" t="s">
        <v>2040</v>
      </c>
      <c r="R10336" t="s">
        <v>6901</v>
      </c>
      <c r="S10336">
        <v>36</v>
      </c>
      <c r="T10336" s="43" t="str">
        <f>HYPERLINK("https://ictv.global/ictv/proposals/2020.001G.R.Abolish_type_species.pdf","2020.001G.R.Abolish_type_species.pdf")</f>
        <v>2020.001G.R.Abolish_type_species.pdf</v>
      </c>
      <c r="U10336" s="43" t="str">
        <f>HYPERLINK("https://ictv.global/taxonomy/taxondetails?taxnode_id=202205333","ictv.global=202205333")</f>
        <v>ictv.global=202205333</v>
      </c>
    </row>
    <row r="10337" spans="1:21">
      <c r="A10337">
        <v>10336</v>
      </c>
      <c r="B10337" s="29" t="s">
        <v>3223</v>
      </c>
      <c r="C10337" s="29"/>
      <c r="D10337" s="29"/>
      <c r="E10337" s="29"/>
      <c r="F10337" s="29"/>
      <c r="G10337" s="29"/>
      <c r="H10337" s="29"/>
      <c r="I10337" s="29"/>
      <c r="J10337" s="29"/>
      <c r="K10337" s="29"/>
      <c r="L10337" s="29"/>
      <c r="M10337" s="29"/>
      <c r="N10337" s="29" t="s">
        <v>2333</v>
      </c>
      <c r="O10337" s="29"/>
      <c r="P10337" s="29" t="s">
        <v>2335</v>
      </c>
      <c r="Q10337" t="s">
        <v>2040</v>
      </c>
      <c r="R10337" t="s">
        <v>2634</v>
      </c>
      <c r="S10337">
        <v>34</v>
      </c>
      <c r="T10337" s="43" t="str">
        <f>HYPERLINK("https://ictv.global/ictv/proposals/2017.006G.A.v3.Riboviria.zip","2017.006G.A.v3.Riboviria.zip")</f>
        <v>2017.006G.A.v3.Riboviria.zip</v>
      </c>
      <c r="U10337" s="43" t="str">
        <f>HYPERLINK("https://ictv.global/taxonomy/taxondetails?taxnode_id=202205334","ictv.global=202205334")</f>
        <v>ictv.global=202205334</v>
      </c>
    </row>
    <row r="10338" spans="1:21">
      <c r="A10338">
        <v>10337</v>
      </c>
      <c r="B10338" s="29" t="s">
        <v>3223</v>
      </c>
      <c r="C10338" s="29"/>
      <c r="D10338" s="29"/>
      <c r="E10338" s="29"/>
      <c r="F10338" s="29"/>
      <c r="G10338" s="29"/>
      <c r="H10338" s="29"/>
      <c r="I10338" s="29"/>
      <c r="J10338" s="29"/>
      <c r="K10338" s="29"/>
      <c r="L10338" s="29"/>
      <c r="M10338" s="29"/>
      <c r="N10338" s="29" t="s">
        <v>2333</v>
      </c>
      <c r="O10338" s="29"/>
      <c r="P10338" s="29" t="s">
        <v>2336</v>
      </c>
      <c r="Q10338" t="s">
        <v>2040</v>
      </c>
      <c r="R10338" t="s">
        <v>2634</v>
      </c>
      <c r="S10338">
        <v>34</v>
      </c>
      <c r="T10338" s="43" t="str">
        <f>HYPERLINK("https://ictv.global/ictv/proposals/2017.006G.A.v3.Riboviria.zip","2017.006G.A.v3.Riboviria.zip")</f>
        <v>2017.006G.A.v3.Riboviria.zip</v>
      </c>
      <c r="U10338" s="43" t="str">
        <f>HYPERLINK("https://ictv.global/taxonomy/taxondetails?taxnode_id=202205335","ictv.global=202205335")</f>
        <v>ictv.global=202205335</v>
      </c>
    </row>
    <row r="10339" spans="1:21">
      <c r="A10339">
        <v>10338</v>
      </c>
      <c r="B10339" s="29" t="s">
        <v>3223</v>
      </c>
      <c r="C10339" s="29"/>
      <c r="D10339" s="29"/>
      <c r="E10339" s="29"/>
      <c r="F10339" s="29"/>
      <c r="G10339" s="29"/>
      <c r="H10339" s="29"/>
      <c r="I10339" s="29"/>
      <c r="J10339" s="29"/>
      <c r="K10339" s="29"/>
      <c r="L10339" s="29"/>
      <c r="M10339" s="29"/>
      <c r="N10339" s="29" t="s">
        <v>2337</v>
      </c>
      <c r="O10339" s="29"/>
      <c r="P10339" s="29" t="s">
        <v>2338</v>
      </c>
      <c r="Q10339" t="s">
        <v>2040</v>
      </c>
      <c r="R10339" t="s">
        <v>6901</v>
      </c>
      <c r="S10339">
        <v>36</v>
      </c>
      <c r="T10339" s="43" t="str">
        <f>HYPERLINK("https://ictv.global/ictv/proposals/2020.001G.R.Abolish_type_species.pdf","2020.001G.R.Abolish_type_species.pdf")</f>
        <v>2020.001G.R.Abolish_type_species.pdf</v>
      </c>
      <c r="U10339" s="43" t="str">
        <f>HYPERLINK("https://ictv.global/taxonomy/taxondetails?taxnode_id=202205337","ictv.global=202205337")</f>
        <v>ictv.global=202205337</v>
      </c>
    </row>
    <row r="10340" spans="1:21">
      <c r="A10340">
        <v>10339</v>
      </c>
      <c r="B10340" s="29" t="s">
        <v>3223</v>
      </c>
      <c r="C10340" s="29"/>
      <c r="D10340" s="29"/>
      <c r="E10340" s="29"/>
      <c r="F10340" s="29"/>
      <c r="G10340" s="29"/>
      <c r="H10340" s="29"/>
      <c r="I10340" s="29"/>
      <c r="J10340" s="29"/>
      <c r="K10340" s="29"/>
      <c r="L10340" s="29"/>
      <c r="M10340" s="29"/>
      <c r="N10340" s="29" t="s">
        <v>2341</v>
      </c>
      <c r="O10340" s="29"/>
      <c r="P10340" s="29" t="s">
        <v>2342</v>
      </c>
      <c r="Q10340" t="s">
        <v>2040</v>
      </c>
      <c r="R10340" t="s">
        <v>6901</v>
      </c>
      <c r="S10340">
        <v>36</v>
      </c>
      <c r="T10340" s="43" t="str">
        <f>HYPERLINK("https://ictv.global/ictv/proposals/2020.001G.R.Abolish_type_species.pdf","2020.001G.R.Abolish_type_species.pdf")</f>
        <v>2020.001G.R.Abolish_type_species.pdf</v>
      </c>
      <c r="U10340" s="43" t="str">
        <f>HYPERLINK("https://ictv.global/taxonomy/taxondetails?taxnode_id=202205360","ictv.global=202205360")</f>
        <v>ictv.global=202205360</v>
      </c>
    </row>
    <row r="10341" spans="1:21">
      <c r="A10341">
        <v>10340</v>
      </c>
      <c r="B10341" s="29" t="s">
        <v>3223</v>
      </c>
      <c r="C10341" s="29"/>
      <c r="D10341" s="29"/>
      <c r="E10341" s="29"/>
      <c r="F10341" s="29"/>
      <c r="G10341" s="29"/>
      <c r="H10341" s="29"/>
      <c r="I10341" s="29"/>
      <c r="J10341" s="29"/>
      <c r="K10341" s="29"/>
      <c r="L10341" s="29"/>
      <c r="M10341" s="29"/>
      <c r="N10341" s="29" t="s">
        <v>2351</v>
      </c>
      <c r="O10341" s="29"/>
      <c r="P10341" s="29" t="s">
        <v>2352</v>
      </c>
      <c r="Q10341" t="s">
        <v>2040</v>
      </c>
      <c r="R10341" t="s">
        <v>6901</v>
      </c>
      <c r="S10341">
        <v>36</v>
      </c>
      <c r="T10341" s="43" t="str">
        <f>HYPERLINK("https://ictv.global/ictv/proposals/2020.001G.R.Abolish_type_species.pdf","2020.001G.R.Abolish_type_species.pdf")</f>
        <v>2020.001G.R.Abolish_type_species.pdf</v>
      </c>
      <c r="U10341" s="43" t="str">
        <f>HYPERLINK("https://ictv.global/taxonomy/taxondetails?taxnode_id=202205393","ictv.global=202205393")</f>
        <v>ictv.global=202205393</v>
      </c>
    </row>
    <row r="10342" spans="1:21">
      <c r="A10342">
        <v>10341</v>
      </c>
      <c r="B10342" s="29" t="s">
        <v>6716</v>
      </c>
      <c r="C10342" s="29"/>
      <c r="D10342" s="29"/>
      <c r="E10342" s="29"/>
      <c r="F10342" s="29"/>
      <c r="G10342" s="29"/>
      <c r="H10342" s="29"/>
      <c r="I10342" s="29"/>
      <c r="J10342" s="29"/>
      <c r="K10342" s="29"/>
      <c r="L10342" s="29" t="s">
        <v>6717</v>
      </c>
      <c r="M10342" s="29"/>
      <c r="N10342" s="29" t="s">
        <v>6718</v>
      </c>
      <c r="O10342" s="29"/>
      <c r="P10342" s="29" t="s">
        <v>6719</v>
      </c>
      <c r="Q10342" t="s">
        <v>2039</v>
      </c>
      <c r="R10342" t="s">
        <v>2632</v>
      </c>
      <c r="S10342">
        <v>36</v>
      </c>
      <c r="T10342" s="43" t="str">
        <f t="shared" ref="T10342:T10348" si="445">HYPERLINK("https://ictv.global/ictv/proposals/2020.012D.R.Ribozyviria.zip","2020.012D.R.Ribozyviria.zip")</f>
        <v>2020.012D.R.Ribozyviria.zip</v>
      </c>
      <c r="U10342" s="43" t="str">
        <f>HYPERLINK("https://ictv.global/taxonomy/taxondetails?taxnode_id=202209310","ictv.global=202209310")</f>
        <v>ictv.global=202209310</v>
      </c>
    </row>
    <row r="10343" spans="1:21">
      <c r="A10343">
        <v>10342</v>
      </c>
      <c r="B10343" s="29" t="s">
        <v>6716</v>
      </c>
      <c r="C10343" s="29"/>
      <c r="D10343" s="29"/>
      <c r="E10343" s="29"/>
      <c r="F10343" s="29"/>
      <c r="G10343" s="29"/>
      <c r="H10343" s="29"/>
      <c r="I10343" s="29"/>
      <c r="J10343" s="29"/>
      <c r="K10343" s="29"/>
      <c r="L10343" s="29" t="s">
        <v>6717</v>
      </c>
      <c r="M10343" s="29"/>
      <c r="N10343" s="29" t="s">
        <v>6720</v>
      </c>
      <c r="O10343" s="29"/>
      <c r="P10343" s="29" t="s">
        <v>6721</v>
      </c>
      <c r="Q10343" t="s">
        <v>2039</v>
      </c>
      <c r="R10343" t="s">
        <v>2632</v>
      </c>
      <c r="S10343">
        <v>36</v>
      </c>
      <c r="T10343" s="43" t="str">
        <f t="shared" si="445"/>
        <v>2020.012D.R.Ribozyviria.zip</v>
      </c>
      <c r="U10343" s="43" t="str">
        <f>HYPERLINK("https://ictv.global/taxonomy/taxondetails?taxnode_id=202209312","ictv.global=202209312")</f>
        <v>ictv.global=202209312</v>
      </c>
    </row>
    <row r="10344" spans="1:21">
      <c r="A10344">
        <v>10343</v>
      </c>
      <c r="B10344" s="29" t="s">
        <v>6716</v>
      </c>
      <c r="C10344" s="29"/>
      <c r="D10344" s="29"/>
      <c r="E10344" s="29"/>
      <c r="F10344" s="29"/>
      <c r="G10344" s="29"/>
      <c r="H10344" s="29"/>
      <c r="I10344" s="29"/>
      <c r="J10344" s="29"/>
      <c r="K10344" s="29"/>
      <c r="L10344" s="29" t="s">
        <v>6717</v>
      </c>
      <c r="M10344" s="29"/>
      <c r="N10344" s="29" t="s">
        <v>6722</v>
      </c>
      <c r="O10344" s="29"/>
      <c r="P10344" s="29" t="s">
        <v>6723</v>
      </c>
      <c r="Q10344" t="s">
        <v>2039</v>
      </c>
      <c r="R10344" t="s">
        <v>2632</v>
      </c>
      <c r="S10344">
        <v>36</v>
      </c>
      <c r="T10344" s="43" t="str">
        <f t="shared" si="445"/>
        <v>2020.012D.R.Ribozyviria.zip</v>
      </c>
      <c r="U10344" s="43" t="str">
        <f>HYPERLINK("https://ictv.global/taxonomy/taxondetails?taxnode_id=202209304","ictv.global=202209304")</f>
        <v>ictv.global=202209304</v>
      </c>
    </row>
    <row r="10345" spans="1:21">
      <c r="A10345">
        <v>10344</v>
      </c>
      <c r="B10345" s="29" t="s">
        <v>6716</v>
      </c>
      <c r="C10345" s="29"/>
      <c r="D10345" s="29"/>
      <c r="E10345" s="29"/>
      <c r="F10345" s="29"/>
      <c r="G10345" s="29"/>
      <c r="H10345" s="29"/>
      <c r="I10345" s="29"/>
      <c r="J10345" s="29"/>
      <c r="K10345" s="29"/>
      <c r="L10345" s="29" t="s">
        <v>6717</v>
      </c>
      <c r="M10345" s="29"/>
      <c r="N10345" s="29" t="s">
        <v>6724</v>
      </c>
      <c r="O10345" s="29"/>
      <c r="P10345" s="29" t="s">
        <v>6725</v>
      </c>
      <c r="Q10345" t="s">
        <v>2039</v>
      </c>
      <c r="R10345" t="s">
        <v>2632</v>
      </c>
      <c r="S10345">
        <v>36</v>
      </c>
      <c r="T10345" s="43" t="str">
        <f t="shared" si="445"/>
        <v>2020.012D.R.Ribozyviria.zip</v>
      </c>
      <c r="U10345" s="43" t="str">
        <f>HYPERLINK("https://ictv.global/taxonomy/taxondetails?taxnode_id=202209302","ictv.global=202209302")</f>
        <v>ictv.global=202209302</v>
      </c>
    </row>
    <row r="10346" spans="1:21">
      <c r="A10346">
        <v>10345</v>
      </c>
      <c r="B10346" s="29" t="s">
        <v>6716</v>
      </c>
      <c r="C10346" s="29"/>
      <c r="D10346" s="29"/>
      <c r="E10346" s="29"/>
      <c r="F10346" s="29"/>
      <c r="G10346" s="29"/>
      <c r="H10346" s="29"/>
      <c r="I10346" s="29"/>
      <c r="J10346" s="29"/>
      <c r="K10346" s="29"/>
      <c r="L10346" s="29" t="s">
        <v>6717</v>
      </c>
      <c r="M10346" s="29"/>
      <c r="N10346" s="29" t="s">
        <v>6726</v>
      </c>
      <c r="O10346" s="29"/>
      <c r="P10346" s="29" t="s">
        <v>6727</v>
      </c>
      <c r="Q10346" t="s">
        <v>2039</v>
      </c>
      <c r="R10346" t="s">
        <v>2632</v>
      </c>
      <c r="S10346">
        <v>36</v>
      </c>
      <c r="T10346" s="43" t="str">
        <f t="shared" si="445"/>
        <v>2020.012D.R.Ribozyviria.zip</v>
      </c>
      <c r="U10346" s="43" t="str">
        <f>HYPERLINK("https://ictv.global/taxonomy/taxondetails?taxnode_id=202209306","ictv.global=202209306")</f>
        <v>ictv.global=202209306</v>
      </c>
    </row>
    <row r="10347" spans="1:21">
      <c r="A10347">
        <v>10346</v>
      </c>
      <c r="B10347" s="29" t="s">
        <v>6716</v>
      </c>
      <c r="C10347" s="29"/>
      <c r="D10347" s="29"/>
      <c r="E10347" s="29"/>
      <c r="F10347" s="29"/>
      <c r="G10347" s="29"/>
      <c r="H10347" s="29"/>
      <c r="I10347" s="29"/>
      <c r="J10347" s="29"/>
      <c r="K10347" s="29"/>
      <c r="L10347" s="29" t="s">
        <v>6717</v>
      </c>
      <c r="M10347" s="29"/>
      <c r="N10347" s="29" t="s">
        <v>933</v>
      </c>
      <c r="O10347" s="29"/>
      <c r="P10347" s="29" t="s">
        <v>6728</v>
      </c>
      <c r="Q10347" t="s">
        <v>2039</v>
      </c>
      <c r="R10347" t="s">
        <v>2632</v>
      </c>
      <c r="S10347">
        <v>36</v>
      </c>
      <c r="T10347" s="43" t="str">
        <f t="shared" si="445"/>
        <v>2020.012D.R.Ribozyviria.zip</v>
      </c>
      <c r="U10347" s="43" t="str">
        <f>HYPERLINK("https://ictv.global/taxonomy/taxondetails?taxnode_id=202209299","ictv.global=202209299")</f>
        <v>ictv.global=202209299</v>
      </c>
    </row>
    <row r="10348" spans="1:21">
      <c r="A10348">
        <v>10347</v>
      </c>
      <c r="B10348" s="29" t="s">
        <v>6716</v>
      </c>
      <c r="C10348" s="29"/>
      <c r="D10348" s="29"/>
      <c r="E10348" s="29"/>
      <c r="F10348" s="29"/>
      <c r="G10348" s="29"/>
      <c r="H10348" s="29"/>
      <c r="I10348" s="29"/>
      <c r="J10348" s="29"/>
      <c r="K10348" s="29"/>
      <c r="L10348" s="29" t="s">
        <v>6717</v>
      </c>
      <c r="M10348" s="29"/>
      <c r="N10348" s="29" t="s">
        <v>933</v>
      </c>
      <c r="O10348" s="29"/>
      <c r="P10348" s="29" t="s">
        <v>6729</v>
      </c>
      <c r="Q10348" t="s">
        <v>2039</v>
      </c>
      <c r="R10348" t="s">
        <v>2632</v>
      </c>
      <c r="S10348">
        <v>36</v>
      </c>
      <c r="T10348" s="43" t="str">
        <f t="shared" si="445"/>
        <v>2020.012D.R.Ribozyviria.zip</v>
      </c>
      <c r="U10348" s="43" t="str">
        <f>HYPERLINK("https://ictv.global/taxonomy/taxondetails?taxnode_id=202209298","ictv.global=202209298")</f>
        <v>ictv.global=202209298</v>
      </c>
    </row>
    <row r="10349" spans="1:21">
      <c r="A10349">
        <v>10348</v>
      </c>
      <c r="B10349" s="29" t="s">
        <v>6716</v>
      </c>
      <c r="C10349" s="29"/>
      <c r="D10349" s="29"/>
      <c r="E10349" s="29"/>
      <c r="F10349" s="29"/>
      <c r="G10349" s="29"/>
      <c r="H10349" s="29"/>
      <c r="I10349" s="29"/>
      <c r="J10349" s="29"/>
      <c r="K10349" s="29"/>
      <c r="L10349" s="29" t="s">
        <v>6717</v>
      </c>
      <c r="M10349" s="29"/>
      <c r="N10349" s="29" t="s">
        <v>933</v>
      </c>
      <c r="O10349" s="29"/>
      <c r="P10349" s="29" t="s">
        <v>6730</v>
      </c>
      <c r="Q10349" t="s">
        <v>2039</v>
      </c>
      <c r="R10349" t="s">
        <v>6900</v>
      </c>
      <c r="S10349">
        <v>36</v>
      </c>
      <c r="T10349" s="43" t="str">
        <f>HYPERLINK("https://ictv.global/ictv/proposals/2020.012D.R.Ribozyviria.zip","2020.012D.R.Ribozyviria.zip;2020.001G.R.Abolish_type_species.pdf")</f>
        <v>2020.012D.R.Ribozyviria.zip;2020.001G.R.Abolish_type_species.pdf</v>
      </c>
      <c r="U10349" s="43" t="str">
        <f>HYPERLINK("https://ictv.global/taxonomy/taxondetails?taxnode_id=202205348","ictv.global=202205348")</f>
        <v>ictv.global=202205348</v>
      </c>
    </row>
    <row r="10350" spans="1:21">
      <c r="A10350">
        <v>10349</v>
      </c>
      <c r="B10350" s="29" t="s">
        <v>6716</v>
      </c>
      <c r="C10350" s="29"/>
      <c r="D10350" s="29"/>
      <c r="E10350" s="29"/>
      <c r="F10350" s="29"/>
      <c r="G10350" s="29"/>
      <c r="H10350" s="29"/>
      <c r="I10350" s="29"/>
      <c r="J10350" s="29"/>
      <c r="K10350" s="29"/>
      <c r="L10350" s="29" t="s">
        <v>6717</v>
      </c>
      <c r="M10350" s="29"/>
      <c r="N10350" s="29" t="s">
        <v>933</v>
      </c>
      <c r="O10350" s="29"/>
      <c r="P10350" s="29" t="s">
        <v>6731</v>
      </c>
      <c r="Q10350" t="s">
        <v>2039</v>
      </c>
      <c r="R10350" t="s">
        <v>2632</v>
      </c>
      <c r="S10350">
        <v>36</v>
      </c>
      <c r="T10350" s="43" t="str">
        <f t="shared" ref="T10350:T10356" si="446">HYPERLINK("https://ictv.global/ictv/proposals/2020.012D.R.Ribozyviria.zip","2020.012D.R.Ribozyviria.zip")</f>
        <v>2020.012D.R.Ribozyviria.zip</v>
      </c>
      <c r="U10350" s="43" t="str">
        <f>HYPERLINK("https://ictv.global/taxonomy/taxondetails?taxnode_id=202209294","ictv.global=202209294")</f>
        <v>ictv.global=202209294</v>
      </c>
    </row>
    <row r="10351" spans="1:21">
      <c r="A10351">
        <v>10350</v>
      </c>
      <c r="B10351" s="29" t="s">
        <v>6716</v>
      </c>
      <c r="C10351" s="29"/>
      <c r="D10351" s="29"/>
      <c r="E10351" s="29"/>
      <c r="F10351" s="29"/>
      <c r="G10351" s="29"/>
      <c r="H10351" s="29"/>
      <c r="I10351" s="29"/>
      <c r="J10351" s="29"/>
      <c r="K10351" s="29"/>
      <c r="L10351" s="29" t="s">
        <v>6717</v>
      </c>
      <c r="M10351" s="29"/>
      <c r="N10351" s="29" t="s">
        <v>933</v>
      </c>
      <c r="O10351" s="29"/>
      <c r="P10351" s="29" t="s">
        <v>6732</v>
      </c>
      <c r="Q10351" t="s">
        <v>2039</v>
      </c>
      <c r="R10351" t="s">
        <v>2632</v>
      </c>
      <c r="S10351">
        <v>36</v>
      </c>
      <c r="T10351" s="43" t="str">
        <f t="shared" si="446"/>
        <v>2020.012D.R.Ribozyviria.zip</v>
      </c>
      <c r="U10351" s="43" t="str">
        <f>HYPERLINK("https://ictv.global/taxonomy/taxondetails?taxnode_id=202209295","ictv.global=202209295")</f>
        <v>ictv.global=202209295</v>
      </c>
    </row>
    <row r="10352" spans="1:21">
      <c r="A10352">
        <v>10351</v>
      </c>
      <c r="B10352" s="29" t="s">
        <v>6716</v>
      </c>
      <c r="C10352" s="29"/>
      <c r="D10352" s="29"/>
      <c r="E10352" s="29"/>
      <c r="F10352" s="29"/>
      <c r="G10352" s="29"/>
      <c r="H10352" s="29"/>
      <c r="I10352" s="29"/>
      <c r="J10352" s="29"/>
      <c r="K10352" s="29"/>
      <c r="L10352" s="29" t="s">
        <v>6717</v>
      </c>
      <c r="M10352" s="29"/>
      <c r="N10352" s="29" t="s">
        <v>933</v>
      </c>
      <c r="O10352" s="29"/>
      <c r="P10352" s="29" t="s">
        <v>6733</v>
      </c>
      <c r="Q10352" t="s">
        <v>2039</v>
      </c>
      <c r="R10352" t="s">
        <v>2632</v>
      </c>
      <c r="S10352">
        <v>36</v>
      </c>
      <c r="T10352" s="43" t="str">
        <f t="shared" si="446"/>
        <v>2020.012D.R.Ribozyviria.zip</v>
      </c>
      <c r="U10352" s="43" t="str">
        <f>HYPERLINK("https://ictv.global/taxonomy/taxondetails?taxnode_id=202209300","ictv.global=202209300")</f>
        <v>ictv.global=202209300</v>
      </c>
    </row>
    <row r="10353" spans="1:21">
      <c r="A10353">
        <v>10352</v>
      </c>
      <c r="B10353" s="29" t="s">
        <v>6716</v>
      </c>
      <c r="C10353" s="29"/>
      <c r="D10353" s="29"/>
      <c r="E10353" s="29"/>
      <c r="F10353" s="29"/>
      <c r="G10353" s="29"/>
      <c r="H10353" s="29"/>
      <c r="I10353" s="29"/>
      <c r="J10353" s="29"/>
      <c r="K10353" s="29"/>
      <c r="L10353" s="29" t="s">
        <v>6717</v>
      </c>
      <c r="M10353" s="29"/>
      <c r="N10353" s="29" t="s">
        <v>933</v>
      </c>
      <c r="O10353" s="29"/>
      <c r="P10353" s="29" t="s">
        <v>6734</v>
      </c>
      <c r="Q10353" t="s">
        <v>2039</v>
      </c>
      <c r="R10353" t="s">
        <v>2632</v>
      </c>
      <c r="S10353">
        <v>36</v>
      </c>
      <c r="T10353" s="43" t="str">
        <f t="shared" si="446"/>
        <v>2020.012D.R.Ribozyviria.zip</v>
      </c>
      <c r="U10353" s="43" t="str">
        <f>HYPERLINK("https://ictv.global/taxonomy/taxondetails?taxnode_id=202209296","ictv.global=202209296")</f>
        <v>ictv.global=202209296</v>
      </c>
    </row>
    <row r="10354" spans="1:21">
      <c r="A10354">
        <v>10353</v>
      </c>
      <c r="B10354" s="29" t="s">
        <v>6716</v>
      </c>
      <c r="C10354" s="29"/>
      <c r="D10354" s="29"/>
      <c r="E10354" s="29"/>
      <c r="F10354" s="29"/>
      <c r="G10354" s="29"/>
      <c r="H10354" s="29"/>
      <c r="I10354" s="29"/>
      <c r="J10354" s="29"/>
      <c r="K10354" s="29"/>
      <c r="L10354" s="29" t="s">
        <v>6717</v>
      </c>
      <c r="M10354" s="29"/>
      <c r="N10354" s="29" t="s">
        <v>933</v>
      </c>
      <c r="O10354" s="29"/>
      <c r="P10354" s="29" t="s">
        <v>6735</v>
      </c>
      <c r="Q10354" t="s">
        <v>2039</v>
      </c>
      <c r="R10354" t="s">
        <v>2632</v>
      </c>
      <c r="S10354">
        <v>36</v>
      </c>
      <c r="T10354" s="43" t="str">
        <f t="shared" si="446"/>
        <v>2020.012D.R.Ribozyviria.zip</v>
      </c>
      <c r="U10354" s="43" t="str">
        <f>HYPERLINK("https://ictv.global/taxonomy/taxondetails?taxnode_id=202209297","ictv.global=202209297")</f>
        <v>ictv.global=202209297</v>
      </c>
    </row>
    <row r="10355" spans="1:21">
      <c r="A10355">
        <v>10354</v>
      </c>
      <c r="B10355" s="29" t="s">
        <v>6716</v>
      </c>
      <c r="C10355" s="29"/>
      <c r="D10355" s="29"/>
      <c r="E10355" s="29"/>
      <c r="F10355" s="29"/>
      <c r="G10355" s="29"/>
      <c r="H10355" s="29"/>
      <c r="I10355" s="29"/>
      <c r="J10355" s="29"/>
      <c r="K10355" s="29"/>
      <c r="L10355" s="29" t="s">
        <v>6717</v>
      </c>
      <c r="M10355" s="29"/>
      <c r="N10355" s="29" t="s">
        <v>6736</v>
      </c>
      <c r="O10355" s="29"/>
      <c r="P10355" s="29" t="s">
        <v>6737</v>
      </c>
      <c r="Q10355" t="s">
        <v>2039</v>
      </c>
      <c r="R10355" t="s">
        <v>2632</v>
      </c>
      <c r="S10355">
        <v>36</v>
      </c>
      <c r="T10355" s="43" t="str">
        <f t="shared" si="446"/>
        <v>2020.012D.R.Ribozyviria.zip</v>
      </c>
      <c r="U10355" s="43" t="str">
        <f>HYPERLINK("https://ictv.global/taxonomy/taxondetails?taxnode_id=202209308","ictv.global=202209308")</f>
        <v>ictv.global=202209308</v>
      </c>
    </row>
    <row r="10356" spans="1:21">
      <c r="A10356">
        <v>10355</v>
      </c>
      <c r="B10356" s="29" t="s">
        <v>6716</v>
      </c>
      <c r="C10356" s="29"/>
      <c r="D10356" s="29"/>
      <c r="E10356" s="29"/>
      <c r="F10356" s="29"/>
      <c r="G10356" s="29"/>
      <c r="H10356" s="29"/>
      <c r="I10356" s="29"/>
      <c r="J10356" s="29"/>
      <c r="K10356" s="29"/>
      <c r="L10356" s="29" t="s">
        <v>6717</v>
      </c>
      <c r="M10356" s="29"/>
      <c r="N10356" s="29" t="s">
        <v>6738</v>
      </c>
      <c r="O10356" s="29"/>
      <c r="P10356" s="29" t="s">
        <v>6739</v>
      </c>
      <c r="Q10356" t="s">
        <v>2039</v>
      </c>
      <c r="R10356" t="s">
        <v>2632</v>
      </c>
      <c r="S10356">
        <v>36</v>
      </c>
      <c r="T10356" s="43" t="str">
        <f t="shared" si="446"/>
        <v>2020.012D.R.Ribozyviria.zip</v>
      </c>
      <c r="U10356" s="43" t="str">
        <f>HYPERLINK("https://ictv.global/taxonomy/taxondetails?taxnode_id=202209314","ictv.global=202209314")</f>
        <v>ictv.global=202209314</v>
      </c>
    </row>
    <row r="10357" spans="1:21">
      <c r="A10357">
        <v>10356</v>
      </c>
      <c r="B10357" s="29" t="s">
        <v>4383</v>
      </c>
      <c r="C10357" s="29"/>
      <c r="D10357" s="29" t="s">
        <v>4384</v>
      </c>
      <c r="E10357" s="29"/>
      <c r="F10357" s="29" t="s">
        <v>4385</v>
      </c>
      <c r="G10357" s="29"/>
      <c r="H10357" s="29" t="s">
        <v>4386</v>
      </c>
      <c r="I10357" s="29"/>
      <c r="J10357" s="29" t="s">
        <v>4387</v>
      </c>
      <c r="K10357" s="29"/>
      <c r="L10357" s="29" t="s">
        <v>1003</v>
      </c>
      <c r="M10357" s="29"/>
      <c r="N10357" s="29" t="s">
        <v>1004</v>
      </c>
      <c r="O10357" s="29"/>
      <c r="P10357" s="29" t="s">
        <v>149</v>
      </c>
      <c r="Q10357" t="s">
        <v>2038</v>
      </c>
      <c r="R10357" t="s">
        <v>2634</v>
      </c>
      <c r="S10357">
        <v>35</v>
      </c>
      <c r="T10357" s="43" t="str">
        <f>HYPERLINK("https://ictv.global/ictv/proposals/2019.003G.zip","2019.003G.zip")</f>
        <v>2019.003G.zip</v>
      </c>
      <c r="U10357" s="43" t="str">
        <f>HYPERLINK("https://ictv.global/taxonomy/taxondetails?taxnode_id=202204293","ictv.global=202204293")</f>
        <v>ictv.global=202204293</v>
      </c>
    </row>
    <row r="10358" spans="1:21">
      <c r="A10358">
        <v>10357</v>
      </c>
      <c r="B10358" s="29" t="s">
        <v>4383</v>
      </c>
      <c r="C10358" s="29"/>
      <c r="D10358" s="29" t="s">
        <v>4384</v>
      </c>
      <c r="E10358" s="29"/>
      <c r="F10358" s="29" t="s">
        <v>4385</v>
      </c>
      <c r="G10358" s="29"/>
      <c r="H10358" s="29" t="s">
        <v>4386</v>
      </c>
      <c r="I10358" s="29"/>
      <c r="J10358" s="29" t="s">
        <v>4387</v>
      </c>
      <c r="K10358" s="29"/>
      <c r="L10358" s="29" t="s">
        <v>1003</v>
      </c>
      <c r="M10358" s="29"/>
      <c r="N10358" s="29" t="s">
        <v>1004</v>
      </c>
      <c r="O10358" s="29"/>
      <c r="P10358" s="29" t="s">
        <v>1005</v>
      </c>
      <c r="Q10358" t="s">
        <v>2038</v>
      </c>
      <c r="R10358" t="s">
        <v>2634</v>
      </c>
      <c r="S10358">
        <v>35</v>
      </c>
      <c r="T10358" s="43" t="str">
        <f>HYPERLINK("https://ictv.global/ictv/proposals/2019.003G.zip","2019.003G.zip")</f>
        <v>2019.003G.zip</v>
      </c>
      <c r="U10358" s="43" t="str">
        <f>HYPERLINK("https://ictv.global/taxonomy/taxondetails?taxnode_id=202204294","ictv.global=202204294")</f>
        <v>ictv.global=202204294</v>
      </c>
    </row>
    <row r="10359" spans="1:21">
      <c r="A10359">
        <v>10358</v>
      </c>
      <c r="B10359" s="29" t="s">
        <v>4383</v>
      </c>
      <c r="C10359" s="29"/>
      <c r="D10359" s="29" t="s">
        <v>4384</v>
      </c>
      <c r="E10359" s="29"/>
      <c r="F10359" s="29" t="s">
        <v>4385</v>
      </c>
      <c r="G10359" s="29"/>
      <c r="H10359" s="29" t="s">
        <v>4386</v>
      </c>
      <c r="I10359" s="29"/>
      <c r="J10359" s="29" t="s">
        <v>4387</v>
      </c>
      <c r="K10359" s="29"/>
      <c r="L10359" s="29" t="s">
        <v>1003</v>
      </c>
      <c r="M10359" s="29"/>
      <c r="N10359" s="29" t="s">
        <v>1004</v>
      </c>
      <c r="O10359" s="29"/>
      <c r="P10359" s="29" t="s">
        <v>1006</v>
      </c>
      <c r="Q10359" t="s">
        <v>2038</v>
      </c>
      <c r="R10359" t="s">
        <v>6901</v>
      </c>
      <c r="S10359">
        <v>36</v>
      </c>
      <c r="T10359" s="43" t="str">
        <f>HYPERLINK("https://ictv.global/ictv/proposals/2020.001G.R.Abolish_type_species.pdf","2020.001G.R.Abolish_type_species.pdf")</f>
        <v>2020.001G.R.Abolish_type_species.pdf</v>
      </c>
      <c r="U10359" s="43" t="str">
        <f>HYPERLINK("https://ictv.global/taxonomy/taxondetails?taxnode_id=202204295","ictv.global=202204295")</f>
        <v>ictv.global=202204295</v>
      </c>
    </row>
    <row r="10360" spans="1:21">
      <c r="A10360">
        <v>10359</v>
      </c>
      <c r="B10360" s="29" t="s">
        <v>4383</v>
      </c>
      <c r="C10360" s="29"/>
      <c r="D10360" s="29" t="s">
        <v>4384</v>
      </c>
      <c r="E10360" s="29"/>
      <c r="F10360" s="29" t="s">
        <v>4385</v>
      </c>
      <c r="G10360" s="29"/>
      <c r="H10360" s="29" t="s">
        <v>4386</v>
      </c>
      <c r="I10360" s="29"/>
      <c r="J10360" s="29" t="s">
        <v>4387</v>
      </c>
      <c r="K10360" s="29"/>
      <c r="L10360" s="29" t="s">
        <v>1003</v>
      </c>
      <c r="M10360" s="29"/>
      <c r="N10360" s="29" t="s">
        <v>1004</v>
      </c>
      <c r="O10360" s="29"/>
      <c r="P10360" s="29" t="s">
        <v>1007</v>
      </c>
      <c r="Q10360" t="s">
        <v>2038</v>
      </c>
      <c r="R10360" t="s">
        <v>2634</v>
      </c>
      <c r="S10360">
        <v>35</v>
      </c>
      <c r="T10360" s="43" t="str">
        <f t="shared" ref="T10360:T10375" si="447">HYPERLINK("https://ictv.global/ictv/proposals/2019.003G.zip","2019.003G.zip")</f>
        <v>2019.003G.zip</v>
      </c>
      <c r="U10360" s="43" t="str">
        <f>HYPERLINK("https://ictv.global/taxonomy/taxondetails?taxnode_id=202204296","ictv.global=202204296")</f>
        <v>ictv.global=202204296</v>
      </c>
    </row>
    <row r="10361" spans="1:21">
      <c r="A10361">
        <v>10360</v>
      </c>
      <c r="B10361" s="29" t="s">
        <v>4383</v>
      </c>
      <c r="C10361" s="29"/>
      <c r="D10361" s="29" t="s">
        <v>4384</v>
      </c>
      <c r="E10361" s="29"/>
      <c r="F10361" s="29" t="s">
        <v>4385</v>
      </c>
      <c r="G10361" s="29"/>
      <c r="H10361" s="29" t="s">
        <v>4386</v>
      </c>
      <c r="I10361" s="29"/>
      <c r="J10361" s="29" t="s">
        <v>4387</v>
      </c>
      <c r="K10361" s="29"/>
      <c r="L10361" s="29" t="s">
        <v>1003</v>
      </c>
      <c r="M10361" s="29"/>
      <c r="N10361" s="29" t="s">
        <v>1004</v>
      </c>
      <c r="O10361" s="29"/>
      <c r="P10361" s="29" t="s">
        <v>1008</v>
      </c>
      <c r="Q10361" t="s">
        <v>2038</v>
      </c>
      <c r="R10361" t="s">
        <v>2634</v>
      </c>
      <c r="S10361">
        <v>35</v>
      </c>
      <c r="T10361" s="43" t="str">
        <f t="shared" si="447"/>
        <v>2019.003G.zip</v>
      </c>
      <c r="U10361" s="43" t="str">
        <f>HYPERLINK("https://ictv.global/taxonomy/taxondetails?taxnode_id=202204297","ictv.global=202204297")</f>
        <v>ictv.global=202204297</v>
      </c>
    </row>
    <row r="10362" spans="1:21">
      <c r="A10362">
        <v>10361</v>
      </c>
      <c r="B10362" s="29" t="s">
        <v>4383</v>
      </c>
      <c r="C10362" s="29"/>
      <c r="D10362" s="29" t="s">
        <v>4384</v>
      </c>
      <c r="E10362" s="29"/>
      <c r="F10362" s="29" t="s">
        <v>4385</v>
      </c>
      <c r="G10362" s="29"/>
      <c r="H10362" s="29" t="s">
        <v>4386</v>
      </c>
      <c r="I10362" s="29"/>
      <c r="J10362" s="29" t="s">
        <v>4387</v>
      </c>
      <c r="K10362" s="29"/>
      <c r="L10362" s="29" t="s">
        <v>1003</v>
      </c>
      <c r="M10362" s="29"/>
      <c r="N10362" s="29" t="s">
        <v>1004</v>
      </c>
      <c r="O10362" s="29"/>
      <c r="P10362" s="29" t="s">
        <v>752</v>
      </c>
      <c r="Q10362" t="s">
        <v>2038</v>
      </c>
      <c r="R10362" t="s">
        <v>2634</v>
      </c>
      <c r="S10362">
        <v>35</v>
      </c>
      <c r="T10362" s="43" t="str">
        <f t="shared" si="447"/>
        <v>2019.003G.zip</v>
      </c>
      <c r="U10362" s="43" t="str">
        <f>HYPERLINK("https://ictv.global/taxonomy/taxondetails?taxnode_id=202204298","ictv.global=202204298")</f>
        <v>ictv.global=202204298</v>
      </c>
    </row>
    <row r="10363" spans="1:21">
      <c r="A10363">
        <v>10362</v>
      </c>
      <c r="B10363" s="29" t="s">
        <v>4383</v>
      </c>
      <c r="C10363" s="29"/>
      <c r="D10363" s="29" t="s">
        <v>4384</v>
      </c>
      <c r="E10363" s="29"/>
      <c r="F10363" s="29" t="s">
        <v>4385</v>
      </c>
      <c r="G10363" s="29"/>
      <c r="H10363" s="29" t="s">
        <v>4386</v>
      </c>
      <c r="I10363" s="29"/>
      <c r="J10363" s="29" t="s">
        <v>4387</v>
      </c>
      <c r="K10363" s="29"/>
      <c r="L10363" s="29" t="s">
        <v>1003</v>
      </c>
      <c r="M10363" s="29"/>
      <c r="N10363" s="29" t="s">
        <v>1004</v>
      </c>
      <c r="O10363" s="29"/>
      <c r="P10363" s="29" t="s">
        <v>753</v>
      </c>
      <c r="Q10363" t="s">
        <v>2038</v>
      </c>
      <c r="R10363" t="s">
        <v>2634</v>
      </c>
      <c r="S10363">
        <v>35</v>
      </c>
      <c r="T10363" s="43" t="str">
        <f t="shared" si="447"/>
        <v>2019.003G.zip</v>
      </c>
      <c r="U10363" s="43" t="str">
        <f>HYPERLINK("https://ictv.global/taxonomy/taxondetails?taxnode_id=202204299","ictv.global=202204299")</f>
        <v>ictv.global=202204299</v>
      </c>
    </row>
    <row r="10364" spans="1:21">
      <c r="A10364">
        <v>10363</v>
      </c>
      <c r="B10364" s="29" t="s">
        <v>4383</v>
      </c>
      <c r="C10364" s="29"/>
      <c r="D10364" s="29" t="s">
        <v>4384</v>
      </c>
      <c r="E10364" s="29"/>
      <c r="F10364" s="29" t="s">
        <v>4385</v>
      </c>
      <c r="G10364" s="29"/>
      <c r="H10364" s="29" t="s">
        <v>4386</v>
      </c>
      <c r="I10364" s="29"/>
      <c r="J10364" s="29" t="s">
        <v>4387</v>
      </c>
      <c r="K10364" s="29"/>
      <c r="L10364" s="29" t="s">
        <v>1003</v>
      </c>
      <c r="M10364" s="29"/>
      <c r="N10364" s="29" t="s">
        <v>1004</v>
      </c>
      <c r="O10364" s="29"/>
      <c r="P10364" s="29" t="s">
        <v>521</v>
      </c>
      <c r="Q10364" t="s">
        <v>2038</v>
      </c>
      <c r="R10364" t="s">
        <v>2634</v>
      </c>
      <c r="S10364">
        <v>35</v>
      </c>
      <c r="T10364" s="43" t="str">
        <f t="shared" si="447"/>
        <v>2019.003G.zip</v>
      </c>
      <c r="U10364" s="43" t="str">
        <f>HYPERLINK("https://ictv.global/taxonomy/taxondetails?taxnode_id=202204300","ictv.global=202204300")</f>
        <v>ictv.global=202204300</v>
      </c>
    </row>
    <row r="10365" spans="1:21">
      <c r="A10365">
        <v>10364</v>
      </c>
      <c r="B10365" s="29" t="s">
        <v>4383</v>
      </c>
      <c r="C10365" s="29"/>
      <c r="D10365" s="29" t="s">
        <v>4384</v>
      </c>
      <c r="E10365" s="29"/>
      <c r="F10365" s="29" t="s">
        <v>4385</v>
      </c>
      <c r="G10365" s="29"/>
      <c r="H10365" s="29" t="s">
        <v>4386</v>
      </c>
      <c r="I10365" s="29"/>
      <c r="J10365" s="29" t="s">
        <v>4387</v>
      </c>
      <c r="K10365" s="29"/>
      <c r="L10365" s="29" t="s">
        <v>1003</v>
      </c>
      <c r="M10365" s="29"/>
      <c r="N10365" s="29" t="s">
        <v>1004</v>
      </c>
      <c r="O10365" s="29"/>
      <c r="P10365" s="29" t="s">
        <v>522</v>
      </c>
      <c r="Q10365" t="s">
        <v>2038</v>
      </c>
      <c r="R10365" t="s">
        <v>2634</v>
      </c>
      <c r="S10365">
        <v>35</v>
      </c>
      <c r="T10365" s="43" t="str">
        <f t="shared" si="447"/>
        <v>2019.003G.zip</v>
      </c>
      <c r="U10365" s="43" t="str">
        <f>HYPERLINK("https://ictv.global/taxonomy/taxondetails?taxnode_id=202204301","ictv.global=202204301")</f>
        <v>ictv.global=202204301</v>
      </c>
    </row>
    <row r="10366" spans="1:21">
      <c r="A10366">
        <v>10365</v>
      </c>
      <c r="B10366" s="29" t="s">
        <v>4383</v>
      </c>
      <c r="C10366" s="29"/>
      <c r="D10366" s="29" t="s">
        <v>4384</v>
      </c>
      <c r="E10366" s="29"/>
      <c r="F10366" s="29" t="s">
        <v>4385</v>
      </c>
      <c r="G10366" s="29"/>
      <c r="H10366" s="29" t="s">
        <v>4386</v>
      </c>
      <c r="I10366" s="29"/>
      <c r="J10366" s="29" t="s">
        <v>4387</v>
      </c>
      <c r="K10366" s="29"/>
      <c r="L10366" s="29" t="s">
        <v>1003</v>
      </c>
      <c r="M10366" s="29"/>
      <c r="N10366" s="29" t="s">
        <v>1004</v>
      </c>
      <c r="O10366" s="29"/>
      <c r="P10366" s="29" t="s">
        <v>523</v>
      </c>
      <c r="Q10366" t="s">
        <v>2038</v>
      </c>
      <c r="R10366" t="s">
        <v>2634</v>
      </c>
      <c r="S10366">
        <v>35</v>
      </c>
      <c r="T10366" s="43" t="str">
        <f t="shared" si="447"/>
        <v>2019.003G.zip</v>
      </c>
      <c r="U10366" s="43" t="str">
        <f>HYPERLINK("https://ictv.global/taxonomy/taxondetails?taxnode_id=202204302","ictv.global=202204302")</f>
        <v>ictv.global=202204302</v>
      </c>
    </row>
    <row r="10367" spans="1:21">
      <c r="A10367">
        <v>10366</v>
      </c>
      <c r="B10367" s="29" t="s">
        <v>4383</v>
      </c>
      <c r="C10367" s="29"/>
      <c r="D10367" s="29" t="s">
        <v>4384</v>
      </c>
      <c r="E10367" s="29"/>
      <c r="F10367" s="29" t="s">
        <v>4385</v>
      </c>
      <c r="G10367" s="29"/>
      <c r="H10367" s="29" t="s">
        <v>4386</v>
      </c>
      <c r="I10367" s="29"/>
      <c r="J10367" s="29" t="s">
        <v>4387</v>
      </c>
      <c r="K10367" s="29"/>
      <c r="L10367" s="29" t="s">
        <v>1003</v>
      </c>
      <c r="M10367" s="29"/>
      <c r="N10367" s="29" t="s">
        <v>1004</v>
      </c>
      <c r="O10367" s="29"/>
      <c r="P10367" s="29" t="s">
        <v>640</v>
      </c>
      <c r="Q10367" t="s">
        <v>2038</v>
      </c>
      <c r="R10367" t="s">
        <v>2634</v>
      </c>
      <c r="S10367">
        <v>35</v>
      </c>
      <c r="T10367" s="43" t="str">
        <f t="shared" si="447"/>
        <v>2019.003G.zip</v>
      </c>
      <c r="U10367" s="43" t="str">
        <f>HYPERLINK("https://ictv.global/taxonomy/taxondetails?taxnode_id=202204303","ictv.global=202204303")</f>
        <v>ictv.global=202204303</v>
      </c>
    </row>
    <row r="10368" spans="1:21">
      <c r="A10368">
        <v>10367</v>
      </c>
      <c r="B10368" s="29" t="s">
        <v>4383</v>
      </c>
      <c r="C10368" s="29"/>
      <c r="D10368" s="29" t="s">
        <v>4384</v>
      </c>
      <c r="E10368" s="29"/>
      <c r="F10368" s="29" t="s">
        <v>4385</v>
      </c>
      <c r="G10368" s="29"/>
      <c r="H10368" s="29" t="s">
        <v>4386</v>
      </c>
      <c r="I10368" s="29"/>
      <c r="J10368" s="29" t="s">
        <v>4387</v>
      </c>
      <c r="K10368" s="29"/>
      <c r="L10368" s="29" t="s">
        <v>1003</v>
      </c>
      <c r="M10368" s="29"/>
      <c r="N10368" s="29" t="s">
        <v>1004</v>
      </c>
      <c r="O10368" s="29"/>
      <c r="P10368" s="29" t="s">
        <v>1360</v>
      </c>
      <c r="Q10368" t="s">
        <v>2038</v>
      </c>
      <c r="R10368" t="s">
        <v>2634</v>
      </c>
      <c r="S10368">
        <v>35</v>
      </c>
      <c r="T10368" s="43" t="str">
        <f t="shared" si="447"/>
        <v>2019.003G.zip</v>
      </c>
      <c r="U10368" s="43" t="str">
        <f>HYPERLINK("https://ictv.global/taxonomy/taxondetails?taxnode_id=202204304","ictv.global=202204304")</f>
        <v>ictv.global=202204304</v>
      </c>
    </row>
    <row r="10369" spans="1:21">
      <c r="A10369">
        <v>10368</v>
      </c>
      <c r="B10369" s="29" t="s">
        <v>4383</v>
      </c>
      <c r="C10369" s="29"/>
      <c r="D10369" s="29" t="s">
        <v>4384</v>
      </c>
      <c r="E10369" s="29"/>
      <c r="F10369" s="29" t="s">
        <v>4385</v>
      </c>
      <c r="G10369" s="29"/>
      <c r="H10369" s="29" t="s">
        <v>4386</v>
      </c>
      <c r="I10369" s="29"/>
      <c r="J10369" s="29" t="s">
        <v>4387</v>
      </c>
      <c r="K10369" s="29"/>
      <c r="L10369" s="29" t="s">
        <v>1003</v>
      </c>
      <c r="M10369" s="29"/>
      <c r="N10369" s="29" t="s">
        <v>1004</v>
      </c>
      <c r="O10369" s="29"/>
      <c r="P10369" s="29" t="s">
        <v>1361</v>
      </c>
      <c r="Q10369" t="s">
        <v>2038</v>
      </c>
      <c r="R10369" t="s">
        <v>2634</v>
      </c>
      <c r="S10369">
        <v>35</v>
      </c>
      <c r="T10369" s="43" t="str">
        <f t="shared" si="447"/>
        <v>2019.003G.zip</v>
      </c>
      <c r="U10369" s="43" t="str">
        <f>HYPERLINK("https://ictv.global/taxonomy/taxondetails?taxnode_id=202204305","ictv.global=202204305")</f>
        <v>ictv.global=202204305</v>
      </c>
    </row>
    <row r="10370" spans="1:21">
      <c r="A10370">
        <v>10369</v>
      </c>
      <c r="B10370" s="29" t="s">
        <v>4383</v>
      </c>
      <c r="C10370" s="29"/>
      <c r="D10370" s="29" t="s">
        <v>4384</v>
      </c>
      <c r="E10370" s="29"/>
      <c r="F10370" s="29" t="s">
        <v>4385</v>
      </c>
      <c r="G10370" s="29"/>
      <c r="H10370" s="29" t="s">
        <v>4386</v>
      </c>
      <c r="I10370" s="29"/>
      <c r="J10370" s="29" t="s">
        <v>4387</v>
      </c>
      <c r="K10370" s="29"/>
      <c r="L10370" s="29" t="s">
        <v>1003</v>
      </c>
      <c r="M10370" s="29"/>
      <c r="N10370" s="29" t="s">
        <v>1004</v>
      </c>
      <c r="O10370" s="29"/>
      <c r="P10370" s="29" t="s">
        <v>1362</v>
      </c>
      <c r="Q10370" t="s">
        <v>2038</v>
      </c>
      <c r="R10370" t="s">
        <v>2634</v>
      </c>
      <c r="S10370">
        <v>35</v>
      </c>
      <c r="T10370" s="43" t="str">
        <f t="shared" si="447"/>
        <v>2019.003G.zip</v>
      </c>
      <c r="U10370" s="43" t="str">
        <f>HYPERLINK("https://ictv.global/taxonomy/taxondetails?taxnode_id=202204306","ictv.global=202204306")</f>
        <v>ictv.global=202204306</v>
      </c>
    </row>
    <row r="10371" spans="1:21">
      <c r="A10371">
        <v>10370</v>
      </c>
      <c r="B10371" s="29" t="s">
        <v>4383</v>
      </c>
      <c r="C10371" s="29"/>
      <c r="D10371" s="29" t="s">
        <v>4384</v>
      </c>
      <c r="E10371" s="29"/>
      <c r="F10371" s="29" t="s">
        <v>4385</v>
      </c>
      <c r="G10371" s="29"/>
      <c r="H10371" s="29" t="s">
        <v>4386</v>
      </c>
      <c r="I10371" s="29"/>
      <c r="J10371" s="29" t="s">
        <v>4387</v>
      </c>
      <c r="K10371" s="29"/>
      <c r="L10371" s="29" t="s">
        <v>1003</v>
      </c>
      <c r="M10371" s="29"/>
      <c r="N10371" s="29" t="s">
        <v>1004</v>
      </c>
      <c r="O10371" s="29"/>
      <c r="P10371" s="29" t="s">
        <v>644</v>
      </c>
      <c r="Q10371" t="s">
        <v>2038</v>
      </c>
      <c r="R10371" t="s">
        <v>2634</v>
      </c>
      <c r="S10371">
        <v>35</v>
      </c>
      <c r="T10371" s="43" t="str">
        <f t="shared" si="447"/>
        <v>2019.003G.zip</v>
      </c>
      <c r="U10371" s="43" t="str">
        <f>HYPERLINK("https://ictv.global/taxonomy/taxondetails?taxnode_id=202204307","ictv.global=202204307")</f>
        <v>ictv.global=202204307</v>
      </c>
    </row>
    <row r="10372" spans="1:21">
      <c r="A10372">
        <v>10371</v>
      </c>
      <c r="B10372" s="29" t="s">
        <v>4383</v>
      </c>
      <c r="C10372" s="29"/>
      <c r="D10372" s="29" t="s">
        <v>4384</v>
      </c>
      <c r="E10372" s="29"/>
      <c r="F10372" s="29" t="s">
        <v>4385</v>
      </c>
      <c r="G10372" s="29"/>
      <c r="H10372" s="29" t="s">
        <v>4386</v>
      </c>
      <c r="I10372" s="29"/>
      <c r="J10372" s="29" t="s">
        <v>4387</v>
      </c>
      <c r="K10372" s="29"/>
      <c r="L10372" s="29" t="s">
        <v>1003</v>
      </c>
      <c r="M10372" s="29"/>
      <c r="N10372" s="29" t="s">
        <v>1004</v>
      </c>
      <c r="O10372" s="29"/>
      <c r="P10372" s="29" t="s">
        <v>645</v>
      </c>
      <c r="Q10372" t="s">
        <v>2038</v>
      </c>
      <c r="R10372" t="s">
        <v>2634</v>
      </c>
      <c r="S10372">
        <v>35</v>
      </c>
      <c r="T10372" s="43" t="str">
        <f t="shared" si="447"/>
        <v>2019.003G.zip</v>
      </c>
      <c r="U10372" s="43" t="str">
        <f>HYPERLINK("https://ictv.global/taxonomy/taxondetails?taxnode_id=202204308","ictv.global=202204308")</f>
        <v>ictv.global=202204308</v>
      </c>
    </row>
    <row r="10373" spans="1:21">
      <c r="A10373">
        <v>10372</v>
      </c>
      <c r="B10373" s="29" t="s">
        <v>4383</v>
      </c>
      <c r="C10373" s="29"/>
      <c r="D10373" s="29" t="s">
        <v>4384</v>
      </c>
      <c r="E10373" s="29"/>
      <c r="F10373" s="29" t="s">
        <v>4385</v>
      </c>
      <c r="G10373" s="29"/>
      <c r="H10373" s="29" t="s">
        <v>4386</v>
      </c>
      <c r="I10373" s="29"/>
      <c r="J10373" s="29" t="s">
        <v>4387</v>
      </c>
      <c r="K10373" s="29"/>
      <c r="L10373" s="29" t="s">
        <v>1003</v>
      </c>
      <c r="M10373" s="29"/>
      <c r="N10373" s="29" t="s">
        <v>1004</v>
      </c>
      <c r="O10373" s="29"/>
      <c r="P10373" s="29" t="s">
        <v>1366</v>
      </c>
      <c r="Q10373" t="s">
        <v>2038</v>
      </c>
      <c r="R10373" t="s">
        <v>2634</v>
      </c>
      <c r="S10373">
        <v>35</v>
      </c>
      <c r="T10373" s="43" t="str">
        <f t="shared" si="447"/>
        <v>2019.003G.zip</v>
      </c>
      <c r="U10373" s="43" t="str">
        <f>HYPERLINK("https://ictv.global/taxonomy/taxondetails?taxnode_id=202204309","ictv.global=202204309")</f>
        <v>ictv.global=202204309</v>
      </c>
    </row>
    <row r="10374" spans="1:21">
      <c r="A10374">
        <v>10373</v>
      </c>
      <c r="B10374" s="29" t="s">
        <v>4383</v>
      </c>
      <c r="C10374" s="29"/>
      <c r="D10374" s="29" t="s">
        <v>4384</v>
      </c>
      <c r="E10374" s="29"/>
      <c r="F10374" s="29" t="s">
        <v>4385</v>
      </c>
      <c r="G10374" s="29"/>
      <c r="H10374" s="29" t="s">
        <v>4386</v>
      </c>
      <c r="I10374" s="29"/>
      <c r="J10374" s="29" t="s">
        <v>4387</v>
      </c>
      <c r="K10374" s="29"/>
      <c r="L10374" s="29" t="s">
        <v>1003</v>
      </c>
      <c r="M10374" s="29"/>
      <c r="N10374" s="29" t="s">
        <v>1004</v>
      </c>
      <c r="O10374" s="29"/>
      <c r="P10374" s="29" t="s">
        <v>641</v>
      </c>
      <c r="Q10374" t="s">
        <v>2038</v>
      </c>
      <c r="R10374" t="s">
        <v>2634</v>
      </c>
      <c r="S10374">
        <v>35</v>
      </c>
      <c r="T10374" s="43" t="str">
        <f t="shared" si="447"/>
        <v>2019.003G.zip</v>
      </c>
      <c r="U10374" s="43" t="str">
        <f>HYPERLINK("https://ictv.global/taxonomy/taxondetails?taxnode_id=202204310","ictv.global=202204310")</f>
        <v>ictv.global=202204310</v>
      </c>
    </row>
    <row r="10375" spans="1:21">
      <c r="A10375">
        <v>10374</v>
      </c>
      <c r="B10375" s="29" t="s">
        <v>4383</v>
      </c>
      <c r="C10375" s="29"/>
      <c r="D10375" s="29" t="s">
        <v>4384</v>
      </c>
      <c r="E10375" s="29"/>
      <c r="F10375" s="29" t="s">
        <v>4385</v>
      </c>
      <c r="G10375" s="29"/>
      <c r="H10375" s="29" t="s">
        <v>4386</v>
      </c>
      <c r="I10375" s="29"/>
      <c r="J10375" s="29" t="s">
        <v>4387</v>
      </c>
      <c r="K10375" s="29"/>
      <c r="L10375" s="29" t="s">
        <v>1003</v>
      </c>
      <c r="M10375" s="29"/>
      <c r="N10375" s="29" t="s">
        <v>1004</v>
      </c>
      <c r="O10375" s="29"/>
      <c r="P10375" s="29" t="s">
        <v>642</v>
      </c>
      <c r="Q10375" t="s">
        <v>2038</v>
      </c>
      <c r="R10375" t="s">
        <v>2634</v>
      </c>
      <c r="S10375">
        <v>35</v>
      </c>
      <c r="T10375" s="43" t="str">
        <f t="shared" si="447"/>
        <v>2019.003G.zip</v>
      </c>
      <c r="U10375" s="43" t="str">
        <f>HYPERLINK("https://ictv.global/taxonomy/taxondetails?taxnode_id=202204311","ictv.global=202204311")</f>
        <v>ictv.global=202204311</v>
      </c>
    </row>
    <row r="10376" spans="1:21">
      <c r="A10376">
        <v>10375</v>
      </c>
      <c r="B10376" s="29" t="s">
        <v>4383</v>
      </c>
      <c r="C10376" s="29"/>
      <c r="D10376" s="29" t="s">
        <v>4384</v>
      </c>
      <c r="E10376" s="29"/>
      <c r="F10376" s="29" t="s">
        <v>4385</v>
      </c>
      <c r="G10376" s="29"/>
      <c r="H10376" s="29" t="s">
        <v>4386</v>
      </c>
      <c r="I10376" s="29"/>
      <c r="J10376" s="29" t="s">
        <v>4387</v>
      </c>
      <c r="K10376" s="29"/>
      <c r="L10376" s="29" t="s">
        <v>1003</v>
      </c>
      <c r="M10376" s="29"/>
      <c r="N10376" s="29" t="s">
        <v>643</v>
      </c>
      <c r="O10376" s="29"/>
      <c r="P10376" s="29" t="s">
        <v>698</v>
      </c>
      <c r="Q10376" t="s">
        <v>2038</v>
      </c>
      <c r="R10376" t="s">
        <v>6901</v>
      </c>
      <c r="S10376">
        <v>36</v>
      </c>
      <c r="T10376" s="43" t="str">
        <f>HYPERLINK("https://ictv.global/ictv/proposals/2020.001G.R.Abolish_type_species.pdf","2020.001G.R.Abolish_type_species.pdf")</f>
        <v>2020.001G.R.Abolish_type_species.pdf</v>
      </c>
      <c r="U10376" s="43" t="str">
        <f>HYPERLINK("https://ictv.global/taxonomy/taxondetails?taxnode_id=202204313","ictv.global=202204313")</f>
        <v>ictv.global=202204313</v>
      </c>
    </row>
    <row r="10377" spans="1:21">
      <c r="A10377">
        <v>10376</v>
      </c>
      <c r="B10377" s="29" t="s">
        <v>4383</v>
      </c>
      <c r="C10377" s="29"/>
      <c r="D10377" s="29" t="s">
        <v>4384</v>
      </c>
      <c r="E10377" s="29"/>
      <c r="F10377" s="29" t="s">
        <v>4385</v>
      </c>
      <c r="G10377" s="29"/>
      <c r="H10377" s="29" t="s">
        <v>4386</v>
      </c>
      <c r="I10377" s="29"/>
      <c r="J10377" s="29" t="s">
        <v>4387</v>
      </c>
      <c r="K10377" s="29"/>
      <c r="L10377" s="29" t="s">
        <v>1003</v>
      </c>
      <c r="M10377" s="29"/>
      <c r="N10377" s="29" t="s">
        <v>699</v>
      </c>
      <c r="O10377" s="29"/>
      <c r="P10377" s="29" t="s">
        <v>700</v>
      </c>
      <c r="Q10377" t="s">
        <v>2038</v>
      </c>
      <c r="R10377" t="s">
        <v>2634</v>
      </c>
      <c r="S10377">
        <v>35</v>
      </c>
      <c r="T10377" s="43" t="str">
        <f>HYPERLINK("https://ictv.global/ictv/proposals/2019.003G.zip","2019.003G.zip")</f>
        <v>2019.003G.zip</v>
      </c>
      <c r="U10377" s="43" t="str">
        <f>HYPERLINK("https://ictv.global/taxonomy/taxondetails?taxnode_id=202204315","ictv.global=202204315")</f>
        <v>ictv.global=202204315</v>
      </c>
    </row>
    <row r="10378" spans="1:21">
      <c r="A10378">
        <v>10377</v>
      </c>
      <c r="B10378" s="29" t="s">
        <v>4383</v>
      </c>
      <c r="C10378" s="29"/>
      <c r="D10378" s="29" t="s">
        <v>4384</v>
      </c>
      <c r="E10378" s="29"/>
      <c r="F10378" s="29" t="s">
        <v>4385</v>
      </c>
      <c r="G10378" s="29"/>
      <c r="H10378" s="29" t="s">
        <v>4386</v>
      </c>
      <c r="I10378" s="29"/>
      <c r="J10378" s="29" t="s">
        <v>4387</v>
      </c>
      <c r="K10378" s="29"/>
      <c r="L10378" s="29" t="s">
        <v>1003</v>
      </c>
      <c r="M10378" s="29"/>
      <c r="N10378" s="29" t="s">
        <v>699</v>
      </c>
      <c r="O10378" s="29"/>
      <c r="P10378" s="29" t="s">
        <v>712</v>
      </c>
      <c r="Q10378" t="s">
        <v>2038</v>
      </c>
      <c r="R10378" t="s">
        <v>6901</v>
      </c>
      <c r="S10378">
        <v>36</v>
      </c>
      <c r="T10378" s="43" t="str">
        <f>HYPERLINK("https://ictv.global/ictv/proposals/2020.001G.R.Abolish_type_species.pdf","2020.001G.R.Abolish_type_species.pdf")</f>
        <v>2020.001G.R.Abolish_type_species.pdf</v>
      </c>
      <c r="U10378" s="43" t="str">
        <f>HYPERLINK("https://ictv.global/taxonomy/taxondetails?taxnode_id=202204316","ictv.global=202204316")</f>
        <v>ictv.global=202204316</v>
      </c>
    </row>
    <row r="10379" spans="1:21">
      <c r="A10379">
        <v>10378</v>
      </c>
      <c r="B10379" s="29" t="s">
        <v>4383</v>
      </c>
      <c r="C10379" s="29"/>
      <c r="D10379" s="29" t="s">
        <v>4384</v>
      </c>
      <c r="E10379" s="29"/>
      <c r="F10379" s="29" t="s">
        <v>4385</v>
      </c>
      <c r="G10379" s="29"/>
      <c r="H10379" s="29" t="s">
        <v>4386</v>
      </c>
      <c r="I10379" s="29"/>
      <c r="J10379" s="29" t="s">
        <v>4387</v>
      </c>
      <c r="K10379" s="29"/>
      <c r="L10379" s="29" t="s">
        <v>1003</v>
      </c>
      <c r="M10379" s="29"/>
      <c r="N10379" s="29" t="s">
        <v>699</v>
      </c>
      <c r="O10379" s="29"/>
      <c r="P10379" s="29" t="s">
        <v>713</v>
      </c>
      <c r="Q10379" t="s">
        <v>2038</v>
      </c>
      <c r="R10379" t="s">
        <v>2634</v>
      </c>
      <c r="S10379">
        <v>35</v>
      </c>
      <c r="T10379" s="43" t="str">
        <f t="shared" ref="T10379:T10385" si="448">HYPERLINK("https://ictv.global/ictv/proposals/2019.003G.zip","2019.003G.zip")</f>
        <v>2019.003G.zip</v>
      </c>
      <c r="U10379" s="43" t="str">
        <f>HYPERLINK("https://ictv.global/taxonomy/taxondetails?taxnode_id=202204317","ictv.global=202204317")</f>
        <v>ictv.global=202204317</v>
      </c>
    </row>
    <row r="10380" spans="1:21">
      <c r="A10380">
        <v>10379</v>
      </c>
      <c r="B10380" s="29" t="s">
        <v>4383</v>
      </c>
      <c r="C10380" s="29"/>
      <c r="D10380" s="29" t="s">
        <v>4384</v>
      </c>
      <c r="E10380" s="29"/>
      <c r="F10380" s="29" t="s">
        <v>4385</v>
      </c>
      <c r="G10380" s="29"/>
      <c r="H10380" s="29" t="s">
        <v>4386</v>
      </c>
      <c r="I10380" s="29"/>
      <c r="J10380" s="29" t="s">
        <v>4387</v>
      </c>
      <c r="K10380" s="29"/>
      <c r="L10380" s="29" t="s">
        <v>1003</v>
      </c>
      <c r="M10380" s="29"/>
      <c r="N10380" s="29" t="s">
        <v>699</v>
      </c>
      <c r="O10380" s="29"/>
      <c r="P10380" s="29" t="s">
        <v>714</v>
      </c>
      <c r="Q10380" t="s">
        <v>2038</v>
      </c>
      <c r="R10380" t="s">
        <v>2634</v>
      </c>
      <c r="S10380">
        <v>35</v>
      </c>
      <c r="T10380" s="43" t="str">
        <f t="shared" si="448"/>
        <v>2019.003G.zip</v>
      </c>
      <c r="U10380" s="43" t="str">
        <f>HYPERLINK("https://ictv.global/taxonomy/taxondetails?taxnode_id=202204318","ictv.global=202204318")</f>
        <v>ictv.global=202204318</v>
      </c>
    </row>
    <row r="10381" spans="1:21">
      <c r="A10381">
        <v>10380</v>
      </c>
      <c r="B10381" s="29" t="s">
        <v>4383</v>
      </c>
      <c r="C10381" s="29"/>
      <c r="D10381" s="29" t="s">
        <v>4384</v>
      </c>
      <c r="E10381" s="29"/>
      <c r="F10381" s="29" t="s">
        <v>4385</v>
      </c>
      <c r="G10381" s="29"/>
      <c r="H10381" s="29" t="s">
        <v>4386</v>
      </c>
      <c r="I10381" s="29"/>
      <c r="J10381" s="29" t="s">
        <v>4387</v>
      </c>
      <c r="K10381" s="29"/>
      <c r="L10381" s="29" t="s">
        <v>1003</v>
      </c>
      <c r="M10381" s="29"/>
      <c r="N10381" s="29" t="s">
        <v>699</v>
      </c>
      <c r="O10381" s="29"/>
      <c r="P10381" s="29" t="s">
        <v>715</v>
      </c>
      <c r="Q10381" t="s">
        <v>2038</v>
      </c>
      <c r="R10381" t="s">
        <v>2634</v>
      </c>
      <c r="S10381">
        <v>35</v>
      </c>
      <c r="T10381" s="43" t="str">
        <f t="shared" si="448"/>
        <v>2019.003G.zip</v>
      </c>
      <c r="U10381" s="43" t="str">
        <f>HYPERLINK("https://ictv.global/taxonomy/taxondetails?taxnode_id=202204319","ictv.global=202204319")</f>
        <v>ictv.global=202204319</v>
      </c>
    </row>
    <row r="10382" spans="1:21">
      <c r="A10382">
        <v>10381</v>
      </c>
      <c r="B10382" s="29" t="s">
        <v>4383</v>
      </c>
      <c r="C10382" s="29"/>
      <c r="D10382" s="29" t="s">
        <v>4384</v>
      </c>
      <c r="E10382" s="29"/>
      <c r="F10382" s="29" t="s">
        <v>4385</v>
      </c>
      <c r="G10382" s="29"/>
      <c r="H10382" s="29" t="s">
        <v>4386</v>
      </c>
      <c r="I10382" s="29"/>
      <c r="J10382" s="29" t="s">
        <v>4387</v>
      </c>
      <c r="K10382" s="29"/>
      <c r="L10382" s="29" t="s">
        <v>1003</v>
      </c>
      <c r="M10382" s="29"/>
      <c r="N10382" s="29" t="s">
        <v>699</v>
      </c>
      <c r="O10382" s="29"/>
      <c r="P10382" s="29" t="s">
        <v>716</v>
      </c>
      <c r="Q10382" t="s">
        <v>2038</v>
      </c>
      <c r="R10382" t="s">
        <v>2634</v>
      </c>
      <c r="S10382">
        <v>35</v>
      </c>
      <c r="T10382" s="43" t="str">
        <f t="shared" si="448"/>
        <v>2019.003G.zip</v>
      </c>
      <c r="U10382" s="43" t="str">
        <f>HYPERLINK("https://ictv.global/taxonomy/taxondetails?taxnode_id=202204320","ictv.global=202204320")</f>
        <v>ictv.global=202204320</v>
      </c>
    </row>
    <row r="10383" spans="1:21">
      <c r="A10383">
        <v>10382</v>
      </c>
      <c r="B10383" s="29" t="s">
        <v>4383</v>
      </c>
      <c r="C10383" s="29"/>
      <c r="D10383" s="29" t="s">
        <v>4384</v>
      </c>
      <c r="E10383" s="29"/>
      <c r="F10383" s="29" t="s">
        <v>4385</v>
      </c>
      <c r="G10383" s="29"/>
      <c r="H10383" s="29" t="s">
        <v>4386</v>
      </c>
      <c r="I10383" s="29"/>
      <c r="J10383" s="29" t="s">
        <v>4387</v>
      </c>
      <c r="K10383" s="29"/>
      <c r="L10383" s="29" t="s">
        <v>1003</v>
      </c>
      <c r="M10383" s="29"/>
      <c r="N10383" s="29" t="s">
        <v>699</v>
      </c>
      <c r="O10383" s="29"/>
      <c r="P10383" s="29" t="s">
        <v>717</v>
      </c>
      <c r="Q10383" t="s">
        <v>2038</v>
      </c>
      <c r="R10383" t="s">
        <v>2634</v>
      </c>
      <c r="S10383">
        <v>35</v>
      </c>
      <c r="T10383" s="43" t="str">
        <f t="shared" si="448"/>
        <v>2019.003G.zip</v>
      </c>
      <c r="U10383" s="43" t="str">
        <f>HYPERLINK("https://ictv.global/taxonomy/taxondetails?taxnode_id=202204321","ictv.global=202204321")</f>
        <v>ictv.global=202204321</v>
      </c>
    </row>
    <row r="10384" spans="1:21">
      <c r="A10384">
        <v>10383</v>
      </c>
      <c r="B10384" s="29" t="s">
        <v>4383</v>
      </c>
      <c r="C10384" s="29"/>
      <c r="D10384" s="29" t="s">
        <v>4384</v>
      </c>
      <c r="E10384" s="29"/>
      <c r="F10384" s="29" t="s">
        <v>4385</v>
      </c>
      <c r="G10384" s="29"/>
      <c r="H10384" s="29" t="s">
        <v>4386</v>
      </c>
      <c r="I10384" s="29"/>
      <c r="J10384" s="29" t="s">
        <v>4387</v>
      </c>
      <c r="K10384" s="29"/>
      <c r="L10384" s="29" t="s">
        <v>1003</v>
      </c>
      <c r="M10384" s="29"/>
      <c r="N10384" s="29" t="s">
        <v>699</v>
      </c>
      <c r="O10384" s="29"/>
      <c r="P10384" s="29" t="s">
        <v>718</v>
      </c>
      <c r="Q10384" t="s">
        <v>2038</v>
      </c>
      <c r="R10384" t="s">
        <v>2634</v>
      </c>
      <c r="S10384">
        <v>35</v>
      </c>
      <c r="T10384" s="43" t="str">
        <f t="shared" si="448"/>
        <v>2019.003G.zip</v>
      </c>
      <c r="U10384" s="43" t="str">
        <f>HYPERLINK("https://ictv.global/taxonomy/taxondetails?taxnode_id=202204322","ictv.global=202204322")</f>
        <v>ictv.global=202204322</v>
      </c>
    </row>
    <row r="10385" spans="1:21">
      <c r="A10385">
        <v>10384</v>
      </c>
      <c r="B10385" s="29" t="s">
        <v>4383</v>
      </c>
      <c r="C10385" s="29"/>
      <c r="D10385" s="29" t="s">
        <v>4384</v>
      </c>
      <c r="E10385" s="29"/>
      <c r="F10385" s="29" t="s">
        <v>4385</v>
      </c>
      <c r="G10385" s="29"/>
      <c r="H10385" s="29" t="s">
        <v>4386</v>
      </c>
      <c r="I10385" s="29"/>
      <c r="J10385" s="29" t="s">
        <v>4387</v>
      </c>
      <c r="K10385" s="29"/>
      <c r="L10385" s="29" t="s">
        <v>1003</v>
      </c>
      <c r="M10385" s="29"/>
      <c r="N10385" s="29" t="s">
        <v>699</v>
      </c>
      <c r="O10385" s="29"/>
      <c r="P10385" s="29" t="s">
        <v>719</v>
      </c>
      <c r="Q10385" t="s">
        <v>2038</v>
      </c>
      <c r="R10385" t="s">
        <v>2634</v>
      </c>
      <c r="S10385">
        <v>35</v>
      </c>
      <c r="T10385" s="43" t="str">
        <f t="shared" si="448"/>
        <v>2019.003G.zip</v>
      </c>
      <c r="U10385" s="43" t="str">
        <f>HYPERLINK("https://ictv.global/taxonomy/taxondetails?taxnode_id=202204323","ictv.global=202204323")</f>
        <v>ictv.global=202204323</v>
      </c>
    </row>
    <row r="10386" spans="1:21">
      <c r="A10386">
        <v>10385</v>
      </c>
      <c r="B10386" s="29" t="s">
        <v>4383</v>
      </c>
      <c r="C10386" s="29"/>
      <c r="D10386" s="29" t="s">
        <v>4384</v>
      </c>
      <c r="E10386" s="29"/>
      <c r="F10386" s="29" t="s">
        <v>4385</v>
      </c>
      <c r="G10386" s="29"/>
      <c r="H10386" s="29" t="s">
        <v>4386</v>
      </c>
      <c r="I10386" s="29"/>
      <c r="J10386" s="29" t="s">
        <v>4387</v>
      </c>
      <c r="K10386" s="29"/>
      <c r="L10386" s="29" t="s">
        <v>1003</v>
      </c>
      <c r="M10386" s="29"/>
      <c r="N10386" s="29" t="s">
        <v>720</v>
      </c>
      <c r="O10386" s="29"/>
      <c r="P10386" s="29" t="s">
        <v>721</v>
      </c>
      <c r="Q10386" t="s">
        <v>2038</v>
      </c>
      <c r="R10386" t="s">
        <v>6901</v>
      </c>
      <c r="S10386">
        <v>36</v>
      </c>
      <c r="T10386" s="43" t="str">
        <f>HYPERLINK("https://ictv.global/ictv/proposals/2020.001G.R.Abolish_type_species.pdf","2020.001G.R.Abolish_type_species.pdf")</f>
        <v>2020.001G.R.Abolish_type_species.pdf</v>
      </c>
      <c r="U10386" s="43" t="str">
        <f>HYPERLINK("https://ictv.global/taxonomy/taxondetails?taxnode_id=202204325","ictv.global=202204325")</f>
        <v>ictv.global=202204325</v>
      </c>
    </row>
    <row r="10387" spans="1:21">
      <c r="A10387">
        <v>10386</v>
      </c>
      <c r="B10387" s="29" t="s">
        <v>4383</v>
      </c>
      <c r="C10387" s="29"/>
      <c r="D10387" s="29" t="s">
        <v>4384</v>
      </c>
      <c r="E10387" s="29"/>
      <c r="F10387" s="29" t="s">
        <v>4385</v>
      </c>
      <c r="G10387" s="29"/>
      <c r="H10387" s="29" t="s">
        <v>4386</v>
      </c>
      <c r="I10387" s="29"/>
      <c r="J10387" s="29" t="s">
        <v>4387</v>
      </c>
      <c r="K10387" s="29"/>
      <c r="L10387" s="29" t="s">
        <v>1003</v>
      </c>
      <c r="M10387" s="29"/>
      <c r="N10387" s="29" t="s">
        <v>720</v>
      </c>
      <c r="O10387" s="29"/>
      <c r="P10387" s="29" t="s">
        <v>150</v>
      </c>
      <c r="Q10387" t="s">
        <v>2038</v>
      </c>
      <c r="R10387" t="s">
        <v>2634</v>
      </c>
      <c r="S10387">
        <v>35</v>
      </c>
      <c r="T10387" s="43" t="str">
        <f>HYPERLINK("https://ictv.global/ictv/proposals/2019.003G.zip","2019.003G.zip")</f>
        <v>2019.003G.zip</v>
      </c>
      <c r="U10387" s="43" t="str">
        <f>HYPERLINK("https://ictv.global/taxonomy/taxondetails?taxnode_id=202204326","ictv.global=202204326")</f>
        <v>ictv.global=202204326</v>
      </c>
    </row>
    <row r="10388" spans="1:21">
      <c r="A10388">
        <v>10387</v>
      </c>
      <c r="B10388" s="29" t="s">
        <v>4383</v>
      </c>
      <c r="C10388" s="29"/>
      <c r="D10388" s="29" t="s">
        <v>4384</v>
      </c>
      <c r="E10388" s="29"/>
      <c r="F10388" s="29" t="s">
        <v>4385</v>
      </c>
      <c r="G10388" s="29"/>
      <c r="H10388" s="29" t="s">
        <v>4386</v>
      </c>
      <c r="I10388" s="29"/>
      <c r="J10388" s="29" t="s">
        <v>4387</v>
      </c>
      <c r="K10388" s="29"/>
      <c r="L10388" s="29" t="s">
        <v>1003</v>
      </c>
      <c r="M10388" s="29"/>
      <c r="N10388" s="29" t="s">
        <v>722</v>
      </c>
      <c r="O10388" s="29"/>
      <c r="P10388" s="29" t="s">
        <v>723</v>
      </c>
      <c r="Q10388" t="s">
        <v>2038</v>
      </c>
      <c r="R10388" t="s">
        <v>6901</v>
      </c>
      <c r="S10388">
        <v>36</v>
      </c>
      <c r="T10388" s="43" t="str">
        <f>HYPERLINK("https://ictv.global/ictv/proposals/2020.001G.R.Abolish_type_species.pdf","2020.001G.R.Abolish_type_species.pdf")</f>
        <v>2020.001G.R.Abolish_type_species.pdf</v>
      </c>
      <c r="U10388" s="43" t="str">
        <f>HYPERLINK("https://ictv.global/taxonomy/taxondetails?taxnode_id=202204328","ictv.global=202204328")</f>
        <v>ictv.global=202204328</v>
      </c>
    </row>
    <row r="10389" spans="1:21">
      <c r="A10389">
        <v>10388</v>
      </c>
      <c r="B10389" s="29" t="s">
        <v>4383</v>
      </c>
      <c r="C10389" s="29"/>
      <c r="D10389" s="29" t="s">
        <v>4384</v>
      </c>
      <c r="E10389" s="29"/>
      <c r="F10389" s="29" t="s">
        <v>4385</v>
      </c>
      <c r="G10389" s="29"/>
      <c r="H10389" s="29" t="s">
        <v>4386</v>
      </c>
      <c r="I10389" s="29"/>
      <c r="J10389" s="29" t="s">
        <v>4387</v>
      </c>
      <c r="K10389" s="29"/>
      <c r="L10389" s="29" t="s">
        <v>1003</v>
      </c>
      <c r="M10389" s="29"/>
      <c r="N10389" s="29" t="s">
        <v>724</v>
      </c>
      <c r="O10389" s="29"/>
      <c r="P10389" s="29" t="s">
        <v>725</v>
      </c>
      <c r="Q10389" t="s">
        <v>2038</v>
      </c>
      <c r="R10389" t="s">
        <v>6901</v>
      </c>
      <c r="S10389">
        <v>36</v>
      </c>
      <c r="T10389" s="43" t="str">
        <f>HYPERLINK("https://ictv.global/ictv/proposals/2020.001G.R.Abolish_type_species.pdf","2020.001G.R.Abolish_type_species.pdf")</f>
        <v>2020.001G.R.Abolish_type_species.pdf</v>
      </c>
      <c r="U10389" s="43" t="str">
        <f>HYPERLINK("https://ictv.global/taxonomy/taxondetails?taxnode_id=202204330","ictv.global=202204330")</f>
        <v>ictv.global=202204330</v>
      </c>
    </row>
    <row r="10390" spans="1:21">
      <c r="A10390">
        <v>10389</v>
      </c>
      <c r="B10390" s="29" t="s">
        <v>4383</v>
      </c>
      <c r="C10390" s="29"/>
      <c r="D10390" s="29" t="s">
        <v>4384</v>
      </c>
      <c r="E10390" s="29"/>
      <c r="F10390" s="29" t="s">
        <v>4385</v>
      </c>
      <c r="G10390" s="29"/>
      <c r="H10390" s="29" t="s">
        <v>4386</v>
      </c>
      <c r="I10390" s="29"/>
      <c r="J10390" s="29" t="s">
        <v>4388</v>
      </c>
      <c r="K10390" s="29"/>
      <c r="L10390" s="29" t="s">
        <v>14407</v>
      </c>
      <c r="M10390" s="29"/>
      <c r="N10390" s="29" t="s">
        <v>14408</v>
      </c>
      <c r="O10390" s="29"/>
      <c r="P10390" s="29" t="s">
        <v>14409</v>
      </c>
      <c r="Q10390" t="s">
        <v>2038</v>
      </c>
      <c r="R10390" t="s">
        <v>2632</v>
      </c>
      <c r="S10390">
        <v>38</v>
      </c>
      <c r="T10390" s="43" t="str">
        <f t="shared" ref="T10390:T10411" si="449">HYPERLINK("https://ictv.global/ictv/proposals/2022.004F.Imitervirales_reorg.zip","2022.004F.Imitervirales_reorg.zip")</f>
        <v>2022.004F.Imitervirales_reorg.zip</v>
      </c>
      <c r="U10390" s="43" t="str">
        <f>HYPERLINK("https://ictv.global/taxonomy/taxondetails?taxnode_id=202215039","ictv.global=202215039")</f>
        <v>ictv.global=202215039</v>
      </c>
    </row>
    <row r="10391" spans="1:21">
      <c r="A10391">
        <v>10390</v>
      </c>
      <c r="B10391" s="29" t="s">
        <v>4383</v>
      </c>
      <c r="C10391" s="29"/>
      <c r="D10391" s="29" t="s">
        <v>4384</v>
      </c>
      <c r="E10391" s="29"/>
      <c r="F10391" s="29" t="s">
        <v>4385</v>
      </c>
      <c r="G10391" s="29"/>
      <c r="H10391" s="29" t="s">
        <v>4386</v>
      </c>
      <c r="I10391" s="29"/>
      <c r="J10391" s="29" t="s">
        <v>4388</v>
      </c>
      <c r="K10391" s="29"/>
      <c r="L10391" s="29" t="s">
        <v>14407</v>
      </c>
      <c r="M10391" s="29"/>
      <c r="N10391" s="29" t="s">
        <v>14410</v>
      </c>
      <c r="O10391" s="29"/>
      <c r="P10391" s="29" t="s">
        <v>14411</v>
      </c>
      <c r="Q10391" t="s">
        <v>2038</v>
      </c>
      <c r="R10391" t="s">
        <v>2632</v>
      </c>
      <c r="S10391">
        <v>38</v>
      </c>
      <c r="T10391" s="43" t="str">
        <f t="shared" si="449"/>
        <v>2022.004F.Imitervirales_reorg.zip</v>
      </c>
      <c r="U10391" s="43" t="str">
        <f>HYPERLINK("https://ictv.global/taxonomy/taxondetails?taxnode_id=202215040","ictv.global=202215040")</f>
        <v>ictv.global=202215040</v>
      </c>
    </row>
    <row r="10392" spans="1:21">
      <c r="A10392">
        <v>10391</v>
      </c>
      <c r="B10392" s="29" t="s">
        <v>4383</v>
      </c>
      <c r="C10392" s="29"/>
      <c r="D10392" s="29" t="s">
        <v>4384</v>
      </c>
      <c r="E10392" s="29"/>
      <c r="F10392" s="29" t="s">
        <v>4385</v>
      </c>
      <c r="G10392" s="29"/>
      <c r="H10392" s="29" t="s">
        <v>4386</v>
      </c>
      <c r="I10392" s="29"/>
      <c r="J10392" s="29" t="s">
        <v>4388</v>
      </c>
      <c r="K10392" s="29"/>
      <c r="L10392" s="29" t="s">
        <v>14412</v>
      </c>
      <c r="M10392" s="29"/>
      <c r="N10392" s="29" t="s">
        <v>14413</v>
      </c>
      <c r="O10392" s="29"/>
      <c r="P10392" s="29" t="s">
        <v>14414</v>
      </c>
      <c r="Q10392" t="s">
        <v>2038</v>
      </c>
      <c r="R10392" t="s">
        <v>2632</v>
      </c>
      <c r="S10392">
        <v>38</v>
      </c>
      <c r="T10392" s="43" t="str">
        <f t="shared" si="449"/>
        <v>2022.004F.Imitervirales_reorg.zip</v>
      </c>
      <c r="U10392" s="43" t="str">
        <f>HYPERLINK("https://ictv.global/taxonomy/taxondetails?taxnode_id=202215041","ictv.global=202215041")</f>
        <v>ictv.global=202215041</v>
      </c>
    </row>
    <row r="10393" spans="1:21">
      <c r="A10393">
        <v>10392</v>
      </c>
      <c r="B10393" s="29" t="s">
        <v>4383</v>
      </c>
      <c r="C10393" s="29"/>
      <c r="D10393" s="29" t="s">
        <v>4384</v>
      </c>
      <c r="E10393" s="29"/>
      <c r="F10393" s="29" t="s">
        <v>4385</v>
      </c>
      <c r="G10393" s="29"/>
      <c r="H10393" s="29" t="s">
        <v>4386</v>
      </c>
      <c r="I10393" s="29"/>
      <c r="J10393" s="29" t="s">
        <v>4388</v>
      </c>
      <c r="K10393" s="29"/>
      <c r="L10393" s="29" t="s">
        <v>14412</v>
      </c>
      <c r="M10393" s="29"/>
      <c r="N10393" s="29" t="s">
        <v>14413</v>
      </c>
      <c r="O10393" s="29"/>
      <c r="P10393" s="29" t="s">
        <v>14415</v>
      </c>
      <c r="Q10393" t="s">
        <v>2038</v>
      </c>
      <c r="R10393" t="s">
        <v>2632</v>
      </c>
      <c r="S10393">
        <v>38</v>
      </c>
      <c r="T10393" s="43" t="str">
        <f t="shared" si="449"/>
        <v>2022.004F.Imitervirales_reorg.zip</v>
      </c>
      <c r="U10393" s="43" t="str">
        <f>HYPERLINK("https://ictv.global/taxonomy/taxondetails?taxnode_id=202215042","ictv.global=202215042")</f>
        <v>ictv.global=202215042</v>
      </c>
    </row>
    <row r="10394" spans="1:21">
      <c r="A10394">
        <v>10393</v>
      </c>
      <c r="B10394" s="29" t="s">
        <v>4383</v>
      </c>
      <c r="C10394" s="29"/>
      <c r="D10394" s="29" t="s">
        <v>4384</v>
      </c>
      <c r="E10394" s="29"/>
      <c r="F10394" s="29" t="s">
        <v>4385</v>
      </c>
      <c r="G10394" s="29"/>
      <c r="H10394" s="29" t="s">
        <v>4386</v>
      </c>
      <c r="I10394" s="29"/>
      <c r="J10394" s="29" t="s">
        <v>4388</v>
      </c>
      <c r="K10394" s="29"/>
      <c r="L10394" s="29" t="s">
        <v>14412</v>
      </c>
      <c r="M10394" s="29"/>
      <c r="N10394" s="29" t="s">
        <v>14413</v>
      </c>
      <c r="O10394" s="29"/>
      <c r="P10394" s="29" t="s">
        <v>14416</v>
      </c>
      <c r="Q10394" t="s">
        <v>2038</v>
      </c>
      <c r="R10394" t="s">
        <v>2632</v>
      </c>
      <c r="S10394">
        <v>38</v>
      </c>
      <c r="T10394" s="43" t="str">
        <f t="shared" si="449"/>
        <v>2022.004F.Imitervirales_reorg.zip</v>
      </c>
      <c r="U10394" s="43" t="str">
        <f>HYPERLINK("https://ictv.global/taxonomy/taxondetails?taxnode_id=202215043","ictv.global=202215043")</f>
        <v>ictv.global=202215043</v>
      </c>
    </row>
    <row r="10395" spans="1:21">
      <c r="A10395">
        <v>10394</v>
      </c>
      <c r="B10395" s="29" t="s">
        <v>4383</v>
      </c>
      <c r="C10395" s="29"/>
      <c r="D10395" s="29" t="s">
        <v>4384</v>
      </c>
      <c r="E10395" s="29"/>
      <c r="F10395" s="29" t="s">
        <v>4385</v>
      </c>
      <c r="G10395" s="29"/>
      <c r="H10395" s="29" t="s">
        <v>4386</v>
      </c>
      <c r="I10395" s="29"/>
      <c r="J10395" s="29" t="s">
        <v>4388</v>
      </c>
      <c r="K10395" s="29"/>
      <c r="L10395" s="29" t="s">
        <v>1487</v>
      </c>
      <c r="M10395" s="29" t="s">
        <v>14417</v>
      </c>
      <c r="N10395" s="29" t="s">
        <v>14418</v>
      </c>
      <c r="O10395" s="29"/>
      <c r="P10395" s="29" t="s">
        <v>14419</v>
      </c>
      <c r="Q10395" t="s">
        <v>2038</v>
      </c>
      <c r="R10395" t="s">
        <v>2633</v>
      </c>
      <c r="S10395">
        <v>38</v>
      </c>
      <c r="T10395" s="43" t="str">
        <f t="shared" si="449"/>
        <v>2022.004F.Imitervirales_reorg.zip</v>
      </c>
      <c r="U10395" s="43" t="str">
        <f>HYPERLINK("https://ictv.global/taxonomy/taxondetails?taxnode_id=202203888","ictv.global=202203888")</f>
        <v>ictv.global=202203888</v>
      </c>
    </row>
    <row r="10396" spans="1:21">
      <c r="A10396">
        <v>10395</v>
      </c>
      <c r="B10396" s="29" t="s">
        <v>4383</v>
      </c>
      <c r="C10396" s="29"/>
      <c r="D10396" s="29" t="s">
        <v>4384</v>
      </c>
      <c r="E10396" s="29"/>
      <c r="F10396" s="29" t="s">
        <v>4385</v>
      </c>
      <c r="G10396" s="29"/>
      <c r="H10396" s="29" t="s">
        <v>4386</v>
      </c>
      <c r="I10396" s="29"/>
      <c r="J10396" s="29" t="s">
        <v>4388</v>
      </c>
      <c r="K10396" s="29"/>
      <c r="L10396" s="29" t="s">
        <v>1487</v>
      </c>
      <c r="M10396" s="29" t="s">
        <v>14420</v>
      </c>
      <c r="N10396" s="29" t="s">
        <v>14421</v>
      </c>
      <c r="O10396" s="29"/>
      <c r="P10396" s="29" t="s">
        <v>14422</v>
      </c>
      <c r="Q10396" t="s">
        <v>2038</v>
      </c>
      <c r="R10396" t="s">
        <v>2632</v>
      </c>
      <c r="S10396">
        <v>38</v>
      </c>
      <c r="T10396" s="43" t="str">
        <f t="shared" si="449"/>
        <v>2022.004F.Imitervirales_reorg.zip</v>
      </c>
      <c r="U10396" s="43" t="str">
        <f>HYPERLINK("https://ictv.global/taxonomy/taxondetails?taxnode_id=202215044","ictv.global=202215044")</f>
        <v>ictv.global=202215044</v>
      </c>
    </row>
    <row r="10397" spans="1:21">
      <c r="A10397">
        <v>10396</v>
      </c>
      <c r="B10397" s="29" t="s">
        <v>4383</v>
      </c>
      <c r="C10397" s="29"/>
      <c r="D10397" s="29" t="s">
        <v>4384</v>
      </c>
      <c r="E10397" s="29"/>
      <c r="F10397" s="29" t="s">
        <v>4385</v>
      </c>
      <c r="G10397" s="29"/>
      <c r="H10397" s="29" t="s">
        <v>4386</v>
      </c>
      <c r="I10397" s="29"/>
      <c r="J10397" s="29" t="s">
        <v>4388</v>
      </c>
      <c r="K10397" s="29"/>
      <c r="L10397" s="29" t="s">
        <v>1487</v>
      </c>
      <c r="M10397" s="29" t="s">
        <v>14420</v>
      </c>
      <c r="N10397" s="29" t="s">
        <v>14423</v>
      </c>
      <c r="O10397" s="29"/>
      <c r="P10397" s="29" t="s">
        <v>14424</v>
      </c>
      <c r="Q10397" t="s">
        <v>2038</v>
      </c>
      <c r="R10397" t="s">
        <v>2632</v>
      </c>
      <c r="S10397">
        <v>38</v>
      </c>
      <c r="T10397" s="43" t="str">
        <f t="shared" si="449"/>
        <v>2022.004F.Imitervirales_reorg.zip</v>
      </c>
      <c r="U10397" s="43" t="str">
        <f>HYPERLINK("https://ictv.global/taxonomy/taxondetails?taxnode_id=202215045","ictv.global=202215045")</f>
        <v>ictv.global=202215045</v>
      </c>
    </row>
    <row r="10398" spans="1:21">
      <c r="A10398">
        <v>10397</v>
      </c>
      <c r="B10398" s="29" t="s">
        <v>4383</v>
      </c>
      <c r="C10398" s="29"/>
      <c r="D10398" s="29" t="s">
        <v>4384</v>
      </c>
      <c r="E10398" s="29"/>
      <c r="F10398" s="29" t="s">
        <v>4385</v>
      </c>
      <c r="G10398" s="29"/>
      <c r="H10398" s="29" t="s">
        <v>4386</v>
      </c>
      <c r="I10398" s="29"/>
      <c r="J10398" s="29" t="s">
        <v>4388</v>
      </c>
      <c r="K10398" s="29"/>
      <c r="L10398" s="29" t="s">
        <v>1487</v>
      </c>
      <c r="M10398" s="29" t="s">
        <v>14420</v>
      </c>
      <c r="N10398" s="29" t="s">
        <v>14425</v>
      </c>
      <c r="O10398" s="29"/>
      <c r="P10398" s="29" t="s">
        <v>14426</v>
      </c>
      <c r="Q10398" t="s">
        <v>2038</v>
      </c>
      <c r="R10398" t="s">
        <v>2632</v>
      </c>
      <c r="S10398">
        <v>38</v>
      </c>
      <c r="T10398" s="43" t="str">
        <f t="shared" si="449"/>
        <v>2022.004F.Imitervirales_reorg.zip</v>
      </c>
      <c r="U10398" s="43" t="str">
        <f>HYPERLINK("https://ictv.global/taxonomy/taxondetails?taxnode_id=202215046","ictv.global=202215046")</f>
        <v>ictv.global=202215046</v>
      </c>
    </row>
    <row r="10399" spans="1:21">
      <c r="A10399">
        <v>10398</v>
      </c>
      <c r="B10399" s="29" t="s">
        <v>4383</v>
      </c>
      <c r="C10399" s="29"/>
      <c r="D10399" s="29" t="s">
        <v>4384</v>
      </c>
      <c r="E10399" s="29"/>
      <c r="F10399" s="29" t="s">
        <v>4385</v>
      </c>
      <c r="G10399" s="29"/>
      <c r="H10399" s="29" t="s">
        <v>4386</v>
      </c>
      <c r="I10399" s="29"/>
      <c r="J10399" s="29" t="s">
        <v>4388</v>
      </c>
      <c r="K10399" s="29"/>
      <c r="L10399" s="29" t="s">
        <v>1487</v>
      </c>
      <c r="M10399" s="29" t="s">
        <v>14427</v>
      </c>
      <c r="N10399" s="29" t="s">
        <v>14428</v>
      </c>
      <c r="O10399" s="29"/>
      <c r="P10399" s="29" t="s">
        <v>14429</v>
      </c>
      <c r="Q10399" t="s">
        <v>2038</v>
      </c>
      <c r="R10399" t="s">
        <v>2632</v>
      </c>
      <c r="S10399">
        <v>38</v>
      </c>
      <c r="T10399" s="43" t="str">
        <f t="shared" si="449"/>
        <v>2022.004F.Imitervirales_reorg.zip</v>
      </c>
      <c r="U10399" s="43" t="str">
        <f>HYPERLINK("https://ictv.global/taxonomy/taxondetails?taxnode_id=202215047","ictv.global=202215047")</f>
        <v>ictv.global=202215047</v>
      </c>
    </row>
    <row r="10400" spans="1:21">
      <c r="A10400">
        <v>10399</v>
      </c>
      <c r="B10400" s="29" t="s">
        <v>4383</v>
      </c>
      <c r="C10400" s="29"/>
      <c r="D10400" s="29" t="s">
        <v>4384</v>
      </c>
      <c r="E10400" s="29"/>
      <c r="F10400" s="29" t="s">
        <v>4385</v>
      </c>
      <c r="G10400" s="29"/>
      <c r="H10400" s="29" t="s">
        <v>4386</v>
      </c>
      <c r="I10400" s="29"/>
      <c r="J10400" s="29" t="s">
        <v>4388</v>
      </c>
      <c r="K10400" s="29"/>
      <c r="L10400" s="29" t="s">
        <v>1487</v>
      </c>
      <c r="M10400" s="29" t="s">
        <v>14427</v>
      </c>
      <c r="N10400" s="29" t="s">
        <v>14430</v>
      </c>
      <c r="O10400" s="29"/>
      <c r="P10400" s="29" t="s">
        <v>14431</v>
      </c>
      <c r="Q10400" t="s">
        <v>2038</v>
      </c>
      <c r="R10400" t="s">
        <v>2632</v>
      </c>
      <c r="S10400">
        <v>38</v>
      </c>
      <c r="T10400" s="43" t="str">
        <f t="shared" si="449"/>
        <v>2022.004F.Imitervirales_reorg.zip</v>
      </c>
      <c r="U10400" s="43" t="str">
        <f>HYPERLINK("https://ictv.global/taxonomy/taxondetails?taxnode_id=202215048","ictv.global=202215048")</f>
        <v>ictv.global=202215048</v>
      </c>
    </row>
    <row r="10401" spans="1:21">
      <c r="A10401">
        <v>10400</v>
      </c>
      <c r="B10401" s="29" t="s">
        <v>4383</v>
      </c>
      <c r="C10401" s="29"/>
      <c r="D10401" s="29" t="s">
        <v>4384</v>
      </c>
      <c r="E10401" s="29"/>
      <c r="F10401" s="29" t="s">
        <v>4385</v>
      </c>
      <c r="G10401" s="29"/>
      <c r="H10401" s="29" t="s">
        <v>4386</v>
      </c>
      <c r="I10401" s="29"/>
      <c r="J10401" s="29" t="s">
        <v>4388</v>
      </c>
      <c r="K10401" s="29"/>
      <c r="L10401" s="29" t="s">
        <v>1487</v>
      </c>
      <c r="M10401" s="29" t="s">
        <v>14427</v>
      </c>
      <c r="N10401" s="29" t="s">
        <v>14430</v>
      </c>
      <c r="O10401" s="29"/>
      <c r="P10401" s="29" t="s">
        <v>14432</v>
      </c>
      <c r="Q10401" t="s">
        <v>2038</v>
      </c>
      <c r="R10401" t="s">
        <v>2632</v>
      </c>
      <c r="S10401">
        <v>38</v>
      </c>
      <c r="T10401" s="43" t="str">
        <f t="shared" si="449"/>
        <v>2022.004F.Imitervirales_reorg.zip</v>
      </c>
      <c r="U10401" s="43" t="str">
        <f>HYPERLINK("https://ictv.global/taxonomy/taxondetails?taxnode_id=202215049","ictv.global=202215049")</f>
        <v>ictv.global=202215049</v>
      </c>
    </row>
    <row r="10402" spans="1:21">
      <c r="A10402">
        <v>10401</v>
      </c>
      <c r="B10402" s="29" t="s">
        <v>4383</v>
      </c>
      <c r="C10402" s="29"/>
      <c r="D10402" s="29" t="s">
        <v>4384</v>
      </c>
      <c r="E10402" s="29"/>
      <c r="F10402" s="29" t="s">
        <v>4385</v>
      </c>
      <c r="G10402" s="29"/>
      <c r="H10402" s="29" t="s">
        <v>4386</v>
      </c>
      <c r="I10402" s="29"/>
      <c r="J10402" s="29" t="s">
        <v>4388</v>
      </c>
      <c r="K10402" s="29"/>
      <c r="L10402" s="29" t="s">
        <v>1487</v>
      </c>
      <c r="M10402" s="29" t="s">
        <v>14427</v>
      </c>
      <c r="N10402" s="29" t="s">
        <v>14430</v>
      </c>
      <c r="O10402" s="29"/>
      <c r="P10402" s="29" t="s">
        <v>14433</v>
      </c>
      <c r="Q10402" t="s">
        <v>2038</v>
      </c>
      <c r="R10402" t="s">
        <v>2632</v>
      </c>
      <c r="S10402">
        <v>38</v>
      </c>
      <c r="T10402" s="43" t="str">
        <f t="shared" si="449"/>
        <v>2022.004F.Imitervirales_reorg.zip</v>
      </c>
      <c r="U10402" s="43" t="str">
        <f>HYPERLINK("https://ictv.global/taxonomy/taxondetails?taxnode_id=202215050","ictv.global=202215050")</f>
        <v>ictv.global=202215050</v>
      </c>
    </row>
    <row r="10403" spans="1:21">
      <c r="A10403">
        <v>10402</v>
      </c>
      <c r="B10403" s="29" t="s">
        <v>4383</v>
      </c>
      <c r="C10403" s="29"/>
      <c r="D10403" s="29" t="s">
        <v>4384</v>
      </c>
      <c r="E10403" s="29"/>
      <c r="F10403" s="29" t="s">
        <v>4385</v>
      </c>
      <c r="G10403" s="29"/>
      <c r="H10403" s="29" t="s">
        <v>4386</v>
      </c>
      <c r="I10403" s="29"/>
      <c r="J10403" s="29" t="s">
        <v>4388</v>
      </c>
      <c r="K10403" s="29"/>
      <c r="L10403" s="29" t="s">
        <v>1487</v>
      </c>
      <c r="M10403" s="29" t="s">
        <v>14427</v>
      </c>
      <c r="N10403" s="29" t="s">
        <v>14434</v>
      </c>
      <c r="O10403" s="29"/>
      <c r="P10403" s="29" t="s">
        <v>14435</v>
      </c>
      <c r="Q10403" t="s">
        <v>2038</v>
      </c>
      <c r="R10403" t="s">
        <v>2632</v>
      </c>
      <c r="S10403">
        <v>38</v>
      </c>
      <c r="T10403" s="43" t="str">
        <f t="shared" si="449"/>
        <v>2022.004F.Imitervirales_reorg.zip</v>
      </c>
      <c r="U10403" s="43" t="str">
        <f>HYPERLINK("https://ictv.global/taxonomy/taxondetails?taxnode_id=202215052","ictv.global=202215052")</f>
        <v>ictv.global=202215052</v>
      </c>
    </row>
    <row r="10404" spans="1:21">
      <c r="A10404">
        <v>10403</v>
      </c>
      <c r="B10404" s="29" t="s">
        <v>4383</v>
      </c>
      <c r="C10404" s="29"/>
      <c r="D10404" s="29" t="s">
        <v>4384</v>
      </c>
      <c r="E10404" s="29"/>
      <c r="F10404" s="29" t="s">
        <v>4385</v>
      </c>
      <c r="G10404" s="29"/>
      <c r="H10404" s="29" t="s">
        <v>4386</v>
      </c>
      <c r="I10404" s="29"/>
      <c r="J10404" s="29" t="s">
        <v>4388</v>
      </c>
      <c r="K10404" s="29"/>
      <c r="L10404" s="29" t="s">
        <v>1487</v>
      </c>
      <c r="M10404" s="29" t="s">
        <v>14427</v>
      </c>
      <c r="N10404" s="29" t="s">
        <v>14434</v>
      </c>
      <c r="O10404" s="29"/>
      <c r="P10404" s="29" t="s">
        <v>14436</v>
      </c>
      <c r="Q10404" t="s">
        <v>2038</v>
      </c>
      <c r="R10404" t="s">
        <v>2632</v>
      </c>
      <c r="S10404">
        <v>38</v>
      </c>
      <c r="T10404" s="43" t="str">
        <f t="shared" si="449"/>
        <v>2022.004F.Imitervirales_reorg.zip</v>
      </c>
      <c r="U10404" s="43" t="str">
        <f>HYPERLINK("https://ictv.global/taxonomy/taxondetails?taxnode_id=202215053","ictv.global=202215053")</f>
        <v>ictv.global=202215053</v>
      </c>
    </row>
    <row r="10405" spans="1:21">
      <c r="A10405">
        <v>10404</v>
      </c>
      <c r="B10405" s="29" t="s">
        <v>4383</v>
      </c>
      <c r="C10405" s="29"/>
      <c r="D10405" s="29" t="s">
        <v>4384</v>
      </c>
      <c r="E10405" s="29"/>
      <c r="F10405" s="29" t="s">
        <v>4385</v>
      </c>
      <c r="G10405" s="29"/>
      <c r="H10405" s="29" t="s">
        <v>4386</v>
      </c>
      <c r="I10405" s="29"/>
      <c r="J10405" s="29" t="s">
        <v>4388</v>
      </c>
      <c r="K10405" s="29"/>
      <c r="L10405" s="29" t="s">
        <v>1487</v>
      </c>
      <c r="M10405" s="29" t="s">
        <v>14427</v>
      </c>
      <c r="N10405" s="29" t="s">
        <v>14434</v>
      </c>
      <c r="O10405" s="29"/>
      <c r="P10405" s="29" t="s">
        <v>14437</v>
      </c>
      <c r="Q10405" t="s">
        <v>2038</v>
      </c>
      <c r="R10405" t="s">
        <v>2632</v>
      </c>
      <c r="S10405">
        <v>38</v>
      </c>
      <c r="T10405" s="43" t="str">
        <f t="shared" si="449"/>
        <v>2022.004F.Imitervirales_reorg.zip</v>
      </c>
      <c r="U10405" s="43" t="str">
        <f>HYPERLINK("https://ictv.global/taxonomy/taxondetails?taxnode_id=202215054","ictv.global=202215054")</f>
        <v>ictv.global=202215054</v>
      </c>
    </row>
    <row r="10406" spans="1:21">
      <c r="A10406">
        <v>10405</v>
      </c>
      <c r="B10406" s="29" t="s">
        <v>4383</v>
      </c>
      <c r="C10406" s="29"/>
      <c r="D10406" s="29" t="s">
        <v>4384</v>
      </c>
      <c r="E10406" s="29"/>
      <c r="F10406" s="29" t="s">
        <v>4385</v>
      </c>
      <c r="G10406" s="29"/>
      <c r="H10406" s="29" t="s">
        <v>4386</v>
      </c>
      <c r="I10406" s="29"/>
      <c r="J10406" s="29" t="s">
        <v>4388</v>
      </c>
      <c r="K10406" s="29"/>
      <c r="L10406" s="29" t="s">
        <v>1487</v>
      </c>
      <c r="M10406" s="29" t="s">
        <v>14427</v>
      </c>
      <c r="N10406" s="29" t="s">
        <v>14438</v>
      </c>
      <c r="O10406" s="29"/>
      <c r="P10406" s="29" t="s">
        <v>14439</v>
      </c>
      <c r="Q10406" t="s">
        <v>2038</v>
      </c>
      <c r="R10406" t="s">
        <v>2632</v>
      </c>
      <c r="S10406">
        <v>38</v>
      </c>
      <c r="T10406" s="43" t="str">
        <f t="shared" si="449"/>
        <v>2022.004F.Imitervirales_reorg.zip</v>
      </c>
      <c r="U10406" s="43" t="str">
        <f>HYPERLINK("https://ictv.global/taxonomy/taxondetails?taxnode_id=202215055","ictv.global=202215055")</f>
        <v>ictv.global=202215055</v>
      </c>
    </row>
    <row r="10407" spans="1:21">
      <c r="A10407">
        <v>10406</v>
      </c>
      <c r="B10407" s="29" t="s">
        <v>4383</v>
      </c>
      <c r="C10407" s="29"/>
      <c r="D10407" s="29" t="s">
        <v>4384</v>
      </c>
      <c r="E10407" s="29"/>
      <c r="F10407" s="29" t="s">
        <v>4385</v>
      </c>
      <c r="G10407" s="29"/>
      <c r="H10407" s="29" t="s">
        <v>4386</v>
      </c>
      <c r="I10407" s="29"/>
      <c r="J10407" s="29" t="s">
        <v>4388</v>
      </c>
      <c r="K10407" s="29"/>
      <c r="L10407" s="29" t="s">
        <v>1487</v>
      </c>
      <c r="M10407" s="29" t="s">
        <v>14427</v>
      </c>
      <c r="N10407" s="29" t="s">
        <v>14438</v>
      </c>
      <c r="O10407" s="29"/>
      <c r="P10407" s="29" t="s">
        <v>14440</v>
      </c>
      <c r="Q10407" t="s">
        <v>2038</v>
      </c>
      <c r="R10407" t="s">
        <v>2632</v>
      </c>
      <c r="S10407">
        <v>38</v>
      </c>
      <c r="T10407" s="43" t="str">
        <f t="shared" si="449"/>
        <v>2022.004F.Imitervirales_reorg.zip</v>
      </c>
      <c r="U10407" s="43" t="str">
        <f>HYPERLINK("https://ictv.global/taxonomy/taxondetails?taxnode_id=202215056","ictv.global=202215056")</f>
        <v>ictv.global=202215056</v>
      </c>
    </row>
    <row r="10408" spans="1:21">
      <c r="A10408">
        <v>10407</v>
      </c>
      <c r="B10408" s="29" t="s">
        <v>4383</v>
      </c>
      <c r="C10408" s="29"/>
      <c r="D10408" s="29" t="s">
        <v>4384</v>
      </c>
      <c r="E10408" s="29"/>
      <c r="F10408" s="29" t="s">
        <v>4385</v>
      </c>
      <c r="G10408" s="29"/>
      <c r="H10408" s="29" t="s">
        <v>4386</v>
      </c>
      <c r="I10408" s="29"/>
      <c r="J10408" s="29" t="s">
        <v>4388</v>
      </c>
      <c r="K10408" s="29"/>
      <c r="L10408" s="29" t="s">
        <v>1487</v>
      </c>
      <c r="M10408" s="29"/>
      <c r="N10408" s="29" t="s">
        <v>1488</v>
      </c>
      <c r="O10408" s="29"/>
      <c r="P10408" s="29" t="s">
        <v>14441</v>
      </c>
      <c r="Q10408" t="s">
        <v>2038</v>
      </c>
      <c r="R10408" t="s">
        <v>2635</v>
      </c>
      <c r="S10408">
        <v>38</v>
      </c>
      <c r="T10408" s="43" t="str">
        <f t="shared" si="449"/>
        <v>2022.004F.Imitervirales_reorg.zip</v>
      </c>
      <c r="U10408" s="43" t="str">
        <f>HYPERLINK("https://ictv.global/taxonomy/taxondetails?taxnode_id=202203890","ictv.global=202203890")</f>
        <v>ictv.global=202203890</v>
      </c>
    </row>
    <row r="10409" spans="1:21">
      <c r="A10409">
        <v>10408</v>
      </c>
      <c r="B10409" s="29" t="s">
        <v>4383</v>
      </c>
      <c r="C10409" s="29"/>
      <c r="D10409" s="29" t="s">
        <v>4384</v>
      </c>
      <c r="E10409" s="29"/>
      <c r="F10409" s="29" t="s">
        <v>4385</v>
      </c>
      <c r="G10409" s="29"/>
      <c r="H10409" s="29" t="s">
        <v>4386</v>
      </c>
      <c r="I10409" s="29"/>
      <c r="J10409" s="29" t="s">
        <v>4388</v>
      </c>
      <c r="K10409" s="29"/>
      <c r="L10409" s="29" t="s">
        <v>1487</v>
      </c>
      <c r="M10409" s="29"/>
      <c r="N10409" s="29" t="s">
        <v>1488</v>
      </c>
      <c r="O10409" s="29"/>
      <c r="P10409" s="29" t="s">
        <v>14442</v>
      </c>
      <c r="Q10409" t="s">
        <v>2038</v>
      </c>
      <c r="R10409" t="s">
        <v>2632</v>
      </c>
      <c r="S10409">
        <v>38</v>
      </c>
      <c r="T10409" s="43" t="str">
        <f t="shared" si="449"/>
        <v>2022.004F.Imitervirales_reorg.zip</v>
      </c>
      <c r="U10409" s="43" t="str">
        <f>HYPERLINK("https://ictv.global/taxonomy/taxondetails?taxnode_id=202215051","ictv.global=202215051")</f>
        <v>ictv.global=202215051</v>
      </c>
    </row>
    <row r="10410" spans="1:21">
      <c r="A10410">
        <v>10409</v>
      </c>
      <c r="B10410" s="29" t="s">
        <v>4383</v>
      </c>
      <c r="C10410" s="29"/>
      <c r="D10410" s="29" t="s">
        <v>4384</v>
      </c>
      <c r="E10410" s="29"/>
      <c r="F10410" s="29" t="s">
        <v>4385</v>
      </c>
      <c r="G10410" s="29"/>
      <c r="H10410" s="29" t="s">
        <v>4386</v>
      </c>
      <c r="I10410" s="29"/>
      <c r="J10410" s="29" t="s">
        <v>4388</v>
      </c>
      <c r="K10410" s="29"/>
      <c r="L10410" s="29" t="s">
        <v>14443</v>
      </c>
      <c r="M10410" s="29"/>
      <c r="N10410" s="29" t="s">
        <v>14444</v>
      </c>
      <c r="O10410" s="29"/>
      <c r="P10410" s="29" t="s">
        <v>14445</v>
      </c>
      <c r="Q10410" t="s">
        <v>2038</v>
      </c>
      <c r="R10410" t="s">
        <v>2632</v>
      </c>
      <c r="S10410">
        <v>38</v>
      </c>
      <c r="T10410" s="43" t="str">
        <f t="shared" si="449"/>
        <v>2022.004F.Imitervirales_reorg.zip</v>
      </c>
      <c r="U10410" s="43" t="str">
        <f>HYPERLINK("https://ictv.global/taxonomy/taxondetails?taxnode_id=202215057","ictv.global=202215057")</f>
        <v>ictv.global=202215057</v>
      </c>
    </row>
    <row r="10411" spans="1:21">
      <c r="A10411">
        <v>10410</v>
      </c>
      <c r="B10411" s="29" t="s">
        <v>4383</v>
      </c>
      <c r="C10411" s="29"/>
      <c r="D10411" s="29" t="s">
        <v>4384</v>
      </c>
      <c r="E10411" s="29"/>
      <c r="F10411" s="29" t="s">
        <v>4385</v>
      </c>
      <c r="G10411" s="29"/>
      <c r="H10411" s="29" t="s">
        <v>4386</v>
      </c>
      <c r="I10411" s="29"/>
      <c r="J10411" s="29" t="s">
        <v>4388</v>
      </c>
      <c r="K10411" s="29"/>
      <c r="L10411" s="29" t="s">
        <v>14443</v>
      </c>
      <c r="M10411" s="29"/>
      <c r="N10411" s="29" t="s">
        <v>14446</v>
      </c>
      <c r="O10411" s="29"/>
      <c r="P10411" s="29" t="s">
        <v>14447</v>
      </c>
      <c r="Q10411" t="s">
        <v>2038</v>
      </c>
      <c r="R10411" t="s">
        <v>2632</v>
      </c>
      <c r="S10411">
        <v>38</v>
      </c>
      <c r="T10411" s="43" t="str">
        <f t="shared" si="449"/>
        <v>2022.004F.Imitervirales_reorg.zip</v>
      </c>
      <c r="U10411" s="43" t="str">
        <f>HYPERLINK("https://ictv.global/taxonomy/taxondetails?taxnode_id=202215058","ictv.global=202215058")</f>
        <v>ictv.global=202215058</v>
      </c>
    </row>
    <row r="10412" spans="1:21">
      <c r="A10412">
        <v>10411</v>
      </c>
      <c r="B10412" s="29" t="s">
        <v>4383</v>
      </c>
      <c r="C10412" s="29"/>
      <c r="D10412" s="29" t="s">
        <v>4384</v>
      </c>
      <c r="E10412" s="29"/>
      <c r="F10412" s="29" t="s">
        <v>4385</v>
      </c>
      <c r="G10412" s="29"/>
      <c r="H10412" s="29" t="s">
        <v>4386</v>
      </c>
      <c r="I10412" s="29"/>
      <c r="J10412" s="29" t="s">
        <v>4389</v>
      </c>
      <c r="K10412" s="29"/>
      <c r="L10412" s="29" t="s">
        <v>1318</v>
      </c>
      <c r="M10412" s="29"/>
      <c r="N10412" s="29" t="s">
        <v>1319</v>
      </c>
      <c r="O10412" s="29"/>
      <c r="P10412" s="29" t="s">
        <v>14448</v>
      </c>
      <c r="Q10412" t="s">
        <v>2038</v>
      </c>
      <c r="R10412" t="s">
        <v>2635</v>
      </c>
      <c r="S10412">
        <v>38</v>
      </c>
      <c r="T10412" s="43" t="str">
        <f>HYPERLINK("https://ictv.global/ictv/proposals/2022.007D.Ascoviridae_4rensp.zip","2022.007D.Ascoviridae_4rensp.zip")</f>
        <v>2022.007D.Ascoviridae_4rensp.zip</v>
      </c>
      <c r="U10412" s="43" t="str">
        <f>HYPERLINK("https://ictv.global/taxonomy/taxondetails?taxnode_id=202202612","ictv.global=202202612")</f>
        <v>ictv.global=202202612</v>
      </c>
    </row>
    <row r="10413" spans="1:21">
      <c r="A10413">
        <v>10412</v>
      </c>
      <c r="B10413" s="29" t="s">
        <v>4383</v>
      </c>
      <c r="C10413" s="29"/>
      <c r="D10413" s="29" t="s">
        <v>4384</v>
      </c>
      <c r="E10413" s="29"/>
      <c r="F10413" s="29" t="s">
        <v>4385</v>
      </c>
      <c r="G10413" s="29"/>
      <c r="H10413" s="29" t="s">
        <v>4386</v>
      </c>
      <c r="I10413" s="29"/>
      <c r="J10413" s="29" t="s">
        <v>4389</v>
      </c>
      <c r="K10413" s="29"/>
      <c r="L10413" s="29" t="s">
        <v>1318</v>
      </c>
      <c r="M10413" s="29"/>
      <c r="N10413" s="29" t="s">
        <v>1319</v>
      </c>
      <c r="O10413" s="29"/>
      <c r="P10413" s="29" t="s">
        <v>14449</v>
      </c>
      <c r="Q10413" t="s">
        <v>2038</v>
      </c>
      <c r="R10413" t="s">
        <v>2635</v>
      </c>
      <c r="S10413">
        <v>38</v>
      </c>
      <c r="T10413" s="43" t="str">
        <f>HYPERLINK("https://ictv.global/ictv/proposals/2022.007D.Ascoviridae_4rensp.zip","2022.007D.Ascoviridae_4rensp.zip")</f>
        <v>2022.007D.Ascoviridae_4rensp.zip</v>
      </c>
      <c r="U10413" s="43" t="str">
        <f>HYPERLINK("https://ictv.global/taxonomy/taxondetails?taxnode_id=202202611","ictv.global=202202611")</f>
        <v>ictv.global=202202611</v>
      </c>
    </row>
    <row r="10414" spans="1:21">
      <c r="A10414">
        <v>10413</v>
      </c>
      <c r="B10414" s="29" t="s">
        <v>4383</v>
      </c>
      <c r="C10414" s="29"/>
      <c r="D10414" s="29" t="s">
        <v>4384</v>
      </c>
      <c r="E10414" s="29"/>
      <c r="F10414" s="29" t="s">
        <v>4385</v>
      </c>
      <c r="G10414" s="29"/>
      <c r="H10414" s="29" t="s">
        <v>4386</v>
      </c>
      <c r="I10414" s="29"/>
      <c r="J10414" s="29" t="s">
        <v>4389</v>
      </c>
      <c r="K10414" s="29"/>
      <c r="L10414" s="29" t="s">
        <v>1318</v>
      </c>
      <c r="M10414" s="29"/>
      <c r="N10414" s="29" t="s">
        <v>1319</v>
      </c>
      <c r="O10414" s="29"/>
      <c r="P10414" s="29" t="s">
        <v>14450</v>
      </c>
      <c r="Q10414" t="s">
        <v>2038</v>
      </c>
      <c r="R10414" t="s">
        <v>2635</v>
      </c>
      <c r="S10414">
        <v>38</v>
      </c>
      <c r="T10414" s="43" t="str">
        <f>HYPERLINK("https://ictv.global/ictv/proposals/2022.007D.Ascoviridae_4rensp.zip","2022.007D.Ascoviridae_4rensp.zip")</f>
        <v>2022.007D.Ascoviridae_4rensp.zip</v>
      </c>
      <c r="U10414" s="43" t="str">
        <f>HYPERLINK("https://ictv.global/taxonomy/taxondetails?taxnode_id=202202610","ictv.global=202202610")</f>
        <v>ictv.global=202202610</v>
      </c>
    </row>
    <row r="10415" spans="1:21">
      <c r="A10415">
        <v>10414</v>
      </c>
      <c r="B10415" s="29" t="s">
        <v>4383</v>
      </c>
      <c r="C10415" s="29"/>
      <c r="D10415" s="29" t="s">
        <v>4384</v>
      </c>
      <c r="E10415" s="29"/>
      <c r="F10415" s="29" t="s">
        <v>4385</v>
      </c>
      <c r="G10415" s="29"/>
      <c r="H10415" s="29" t="s">
        <v>4386</v>
      </c>
      <c r="I10415" s="29"/>
      <c r="J10415" s="29" t="s">
        <v>4389</v>
      </c>
      <c r="K10415" s="29"/>
      <c r="L10415" s="29" t="s">
        <v>1318</v>
      </c>
      <c r="M10415" s="29"/>
      <c r="N10415" s="29" t="s">
        <v>2191</v>
      </c>
      <c r="O10415" s="29"/>
      <c r="P10415" s="29" t="s">
        <v>14451</v>
      </c>
      <c r="Q10415" t="s">
        <v>2038</v>
      </c>
      <c r="R10415" t="s">
        <v>2635</v>
      </c>
      <c r="S10415">
        <v>38</v>
      </c>
      <c r="T10415" s="43" t="str">
        <f>HYPERLINK("https://ictv.global/ictv/proposals/2022.007D.Ascoviridae_4rensp.zip","2022.007D.Ascoviridae_4rensp.zip")</f>
        <v>2022.007D.Ascoviridae_4rensp.zip</v>
      </c>
      <c r="U10415" s="43" t="str">
        <f>HYPERLINK("https://ictv.global/taxonomy/taxondetails?taxnode_id=202202614","ictv.global=202202614")</f>
        <v>ictv.global=202202614</v>
      </c>
    </row>
    <row r="10416" spans="1:21">
      <c r="A10416">
        <v>10415</v>
      </c>
      <c r="B10416" s="29" t="s">
        <v>4383</v>
      </c>
      <c r="C10416" s="29"/>
      <c r="D10416" s="29" t="s">
        <v>4384</v>
      </c>
      <c r="E10416" s="29"/>
      <c r="F10416" s="29" t="s">
        <v>4385</v>
      </c>
      <c r="G10416" s="29"/>
      <c r="H10416" s="29" t="s">
        <v>4386</v>
      </c>
      <c r="I10416" s="29"/>
      <c r="J10416" s="29" t="s">
        <v>4389</v>
      </c>
      <c r="K10416" s="29"/>
      <c r="L10416" s="29" t="s">
        <v>1054</v>
      </c>
      <c r="M10416" s="29" t="s">
        <v>2401</v>
      </c>
      <c r="N10416" s="29" t="s">
        <v>770</v>
      </c>
      <c r="O10416" s="29"/>
      <c r="P10416" s="29" t="s">
        <v>771</v>
      </c>
      <c r="Q10416" t="s">
        <v>2038</v>
      </c>
      <c r="R10416" t="s">
        <v>6901</v>
      </c>
      <c r="S10416">
        <v>36</v>
      </c>
      <c r="T10416" s="43" t="str">
        <f>HYPERLINK("https://ictv.global/ictv/proposals/2020.001G.R.Abolish_type_species.pdf","2020.001G.R.Abolish_type_species.pdf")</f>
        <v>2020.001G.R.Abolish_type_species.pdf</v>
      </c>
      <c r="U10416" s="43" t="str">
        <f>HYPERLINK("https://ictv.global/taxonomy/taxondetails?taxnode_id=202203728","ictv.global=202203728")</f>
        <v>ictv.global=202203728</v>
      </c>
    </row>
    <row r="10417" spans="1:21">
      <c r="A10417">
        <v>10416</v>
      </c>
      <c r="B10417" s="29" t="s">
        <v>4383</v>
      </c>
      <c r="C10417" s="29"/>
      <c r="D10417" s="29" t="s">
        <v>4384</v>
      </c>
      <c r="E10417" s="29"/>
      <c r="F10417" s="29" t="s">
        <v>4385</v>
      </c>
      <c r="G10417" s="29"/>
      <c r="H10417" s="29" t="s">
        <v>4386</v>
      </c>
      <c r="I10417" s="29"/>
      <c r="J10417" s="29" t="s">
        <v>4389</v>
      </c>
      <c r="K10417" s="29"/>
      <c r="L10417" s="29" t="s">
        <v>1054</v>
      </c>
      <c r="M10417" s="29" t="s">
        <v>2401</v>
      </c>
      <c r="N10417" s="29" t="s">
        <v>770</v>
      </c>
      <c r="O10417" s="29"/>
      <c r="P10417" s="29" t="s">
        <v>3664</v>
      </c>
      <c r="Q10417" t="s">
        <v>2038</v>
      </c>
      <c r="R10417" t="s">
        <v>2634</v>
      </c>
      <c r="S10417">
        <v>35</v>
      </c>
      <c r="T10417" s="43" t="str">
        <f>HYPERLINK("https://ictv.global/ictv/proposals/2019.003G.zip","2019.003G.zip")</f>
        <v>2019.003G.zip</v>
      </c>
      <c r="U10417" s="43" t="str">
        <f>HYPERLINK("https://ictv.global/taxonomy/taxondetails?taxnode_id=202206332","ictv.global=202206332")</f>
        <v>ictv.global=202206332</v>
      </c>
    </row>
    <row r="10418" spans="1:21">
      <c r="A10418">
        <v>10417</v>
      </c>
      <c r="B10418" s="29" t="s">
        <v>4383</v>
      </c>
      <c r="C10418" s="29"/>
      <c r="D10418" s="29" t="s">
        <v>4384</v>
      </c>
      <c r="E10418" s="29"/>
      <c r="F10418" s="29" t="s">
        <v>4385</v>
      </c>
      <c r="G10418" s="29"/>
      <c r="H10418" s="29" t="s">
        <v>4386</v>
      </c>
      <c r="I10418" s="29"/>
      <c r="J10418" s="29" t="s">
        <v>4389</v>
      </c>
      <c r="K10418" s="29"/>
      <c r="L10418" s="29" t="s">
        <v>1054</v>
      </c>
      <c r="M10418" s="29" t="s">
        <v>2401</v>
      </c>
      <c r="N10418" s="29" t="s">
        <v>770</v>
      </c>
      <c r="O10418" s="29"/>
      <c r="P10418" s="29" t="s">
        <v>3665</v>
      </c>
      <c r="Q10418" t="s">
        <v>2038</v>
      </c>
      <c r="R10418" t="s">
        <v>2634</v>
      </c>
      <c r="S10418">
        <v>35</v>
      </c>
      <c r="T10418" s="43" t="str">
        <f>HYPERLINK("https://ictv.global/ictv/proposals/2019.003G.zip","2019.003G.zip")</f>
        <v>2019.003G.zip</v>
      </c>
      <c r="U10418" s="43" t="str">
        <f>HYPERLINK("https://ictv.global/taxonomy/taxondetails?taxnode_id=202206333","ictv.global=202206333")</f>
        <v>ictv.global=202206333</v>
      </c>
    </row>
    <row r="10419" spans="1:21">
      <c r="A10419">
        <v>10418</v>
      </c>
      <c r="B10419" s="29" t="s">
        <v>4383</v>
      </c>
      <c r="C10419" s="29"/>
      <c r="D10419" s="29" t="s">
        <v>4384</v>
      </c>
      <c r="E10419" s="29"/>
      <c r="F10419" s="29" t="s">
        <v>4385</v>
      </c>
      <c r="G10419" s="29"/>
      <c r="H10419" s="29" t="s">
        <v>4386</v>
      </c>
      <c r="I10419" s="29"/>
      <c r="J10419" s="29" t="s">
        <v>4389</v>
      </c>
      <c r="K10419" s="29"/>
      <c r="L10419" s="29" t="s">
        <v>1054</v>
      </c>
      <c r="M10419" s="29" t="s">
        <v>2401</v>
      </c>
      <c r="N10419" s="29" t="s">
        <v>770</v>
      </c>
      <c r="O10419" s="29"/>
      <c r="P10419" s="29" t="s">
        <v>6740</v>
      </c>
      <c r="Q10419" t="s">
        <v>2038</v>
      </c>
      <c r="R10419" t="s">
        <v>2632</v>
      </c>
      <c r="S10419">
        <v>36</v>
      </c>
      <c r="T10419" s="43" t="str">
        <f>HYPERLINK("https://ictv.global/ictv/proposals/2020.004D.R.Iridoviridae_1nsp.zip","2020.004D.R.Iridoviridae_1nsp.zip")</f>
        <v>2020.004D.R.Iridoviridae_1nsp.zip</v>
      </c>
      <c r="U10419" s="43" t="str">
        <f>HYPERLINK("https://ictv.global/taxonomy/taxondetails?taxnode_id=202208875","ictv.global=202208875")</f>
        <v>ictv.global=202208875</v>
      </c>
    </row>
    <row r="10420" spans="1:21">
      <c r="A10420">
        <v>10419</v>
      </c>
      <c r="B10420" s="29" t="s">
        <v>4383</v>
      </c>
      <c r="C10420" s="29"/>
      <c r="D10420" s="29" t="s">
        <v>4384</v>
      </c>
      <c r="E10420" s="29"/>
      <c r="F10420" s="29" t="s">
        <v>4385</v>
      </c>
      <c r="G10420" s="29"/>
      <c r="H10420" s="29" t="s">
        <v>4386</v>
      </c>
      <c r="I10420" s="29"/>
      <c r="J10420" s="29" t="s">
        <v>4389</v>
      </c>
      <c r="K10420" s="29"/>
      <c r="L10420" s="29" t="s">
        <v>1054</v>
      </c>
      <c r="M10420" s="29" t="s">
        <v>2401</v>
      </c>
      <c r="N10420" s="29" t="s">
        <v>772</v>
      </c>
      <c r="O10420" s="29"/>
      <c r="P10420" s="29" t="s">
        <v>773</v>
      </c>
      <c r="Q10420" t="s">
        <v>2038</v>
      </c>
      <c r="R10420" t="s">
        <v>6901</v>
      </c>
      <c r="S10420">
        <v>36</v>
      </c>
      <c r="T10420" s="43" t="str">
        <f>HYPERLINK("https://ictv.global/ictv/proposals/2020.001G.R.Abolish_type_species.pdf","2020.001G.R.Abolish_type_species.pdf")</f>
        <v>2020.001G.R.Abolish_type_species.pdf</v>
      </c>
      <c r="U10420" s="43" t="str">
        <f>HYPERLINK("https://ictv.global/taxonomy/taxondetails?taxnode_id=202203730","ictv.global=202203730")</f>
        <v>ictv.global=202203730</v>
      </c>
    </row>
    <row r="10421" spans="1:21">
      <c r="A10421">
        <v>10420</v>
      </c>
      <c r="B10421" s="29" t="s">
        <v>4383</v>
      </c>
      <c r="C10421" s="29"/>
      <c r="D10421" s="29" t="s">
        <v>4384</v>
      </c>
      <c r="E10421" s="29"/>
      <c r="F10421" s="29" t="s">
        <v>4385</v>
      </c>
      <c r="G10421" s="29"/>
      <c r="H10421" s="29" t="s">
        <v>4386</v>
      </c>
      <c r="I10421" s="29"/>
      <c r="J10421" s="29" t="s">
        <v>4389</v>
      </c>
      <c r="K10421" s="29"/>
      <c r="L10421" s="29" t="s">
        <v>1054</v>
      </c>
      <c r="M10421" s="29" t="s">
        <v>2401</v>
      </c>
      <c r="N10421" s="29" t="s">
        <v>772</v>
      </c>
      <c r="O10421" s="29"/>
      <c r="P10421" s="29" t="s">
        <v>3666</v>
      </c>
      <c r="Q10421" t="s">
        <v>2038</v>
      </c>
      <c r="R10421" t="s">
        <v>2634</v>
      </c>
      <c r="S10421">
        <v>35</v>
      </c>
      <c r="T10421" s="43" t="str">
        <f>HYPERLINK("https://ictv.global/ictv/proposals/2019.003G.zip","2019.003G.zip")</f>
        <v>2019.003G.zip</v>
      </c>
      <c r="U10421" s="43" t="str">
        <f>HYPERLINK("https://ictv.global/taxonomy/taxondetails?taxnode_id=202206331","ictv.global=202206331")</f>
        <v>ictv.global=202206331</v>
      </c>
    </row>
    <row r="10422" spans="1:21">
      <c r="A10422">
        <v>10421</v>
      </c>
      <c r="B10422" s="29" t="s">
        <v>4383</v>
      </c>
      <c r="C10422" s="29"/>
      <c r="D10422" s="29" t="s">
        <v>4384</v>
      </c>
      <c r="E10422" s="29"/>
      <c r="F10422" s="29" t="s">
        <v>4385</v>
      </c>
      <c r="G10422" s="29"/>
      <c r="H10422" s="29" t="s">
        <v>4386</v>
      </c>
      <c r="I10422" s="29"/>
      <c r="J10422" s="29" t="s">
        <v>4389</v>
      </c>
      <c r="K10422" s="29"/>
      <c r="L10422" s="29" t="s">
        <v>1054</v>
      </c>
      <c r="M10422" s="29" t="s">
        <v>2401</v>
      </c>
      <c r="N10422" s="29" t="s">
        <v>774</v>
      </c>
      <c r="O10422" s="29"/>
      <c r="P10422" s="29" t="s">
        <v>775</v>
      </c>
      <c r="Q10422" t="s">
        <v>2038</v>
      </c>
      <c r="R10422" t="s">
        <v>2634</v>
      </c>
      <c r="S10422">
        <v>35</v>
      </c>
      <c r="T10422" s="43" t="str">
        <f>HYPERLINK("https://ictv.global/ictv/proposals/2019.003G.zip","2019.003G.zip")</f>
        <v>2019.003G.zip</v>
      </c>
      <c r="U10422" s="43" t="str">
        <f>HYPERLINK("https://ictv.global/taxonomy/taxondetails?taxnode_id=202203732","ictv.global=202203732")</f>
        <v>ictv.global=202203732</v>
      </c>
    </row>
    <row r="10423" spans="1:21">
      <c r="A10423">
        <v>10422</v>
      </c>
      <c r="B10423" s="29" t="s">
        <v>4383</v>
      </c>
      <c r="C10423" s="29"/>
      <c r="D10423" s="29" t="s">
        <v>4384</v>
      </c>
      <c r="E10423" s="29"/>
      <c r="F10423" s="29" t="s">
        <v>4385</v>
      </c>
      <c r="G10423" s="29"/>
      <c r="H10423" s="29" t="s">
        <v>4386</v>
      </c>
      <c r="I10423" s="29"/>
      <c r="J10423" s="29" t="s">
        <v>4389</v>
      </c>
      <c r="K10423" s="29"/>
      <c r="L10423" s="29" t="s">
        <v>1054</v>
      </c>
      <c r="M10423" s="29" t="s">
        <v>2401</v>
      </c>
      <c r="N10423" s="29" t="s">
        <v>774</v>
      </c>
      <c r="O10423" s="29"/>
      <c r="P10423" s="29" t="s">
        <v>2918</v>
      </c>
      <c r="Q10423" t="s">
        <v>2038</v>
      </c>
      <c r="R10423" t="s">
        <v>2634</v>
      </c>
      <c r="S10423">
        <v>35</v>
      </c>
      <c r="T10423" s="43" t="str">
        <f>HYPERLINK("https://ictv.global/ictv/proposals/2019.003G.zip","2019.003G.zip")</f>
        <v>2019.003G.zip</v>
      </c>
      <c r="U10423" s="43" t="str">
        <f>HYPERLINK("https://ictv.global/taxonomy/taxondetails?taxnode_id=202205861","ictv.global=202205861")</f>
        <v>ictv.global=202205861</v>
      </c>
    </row>
    <row r="10424" spans="1:21">
      <c r="A10424">
        <v>10423</v>
      </c>
      <c r="B10424" s="29" t="s">
        <v>4383</v>
      </c>
      <c r="C10424" s="29"/>
      <c r="D10424" s="29" t="s">
        <v>4384</v>
      </c>
      <c r="E10424" s="29"/>
      <c r="F10424" s="29" t="s">
        <v>4385</v>
      </c>
      <c r="G10424" s="29"/>
      <c r="H10424" s="29" t="s">
        <v>4386</v>
      </c>
      <c r="I10424" s="29"/>
      <c r="J10424" s="29" t="s">
        <v>4389</v>
      </c>
      <c r="K10424" s="29"/>
      <c r="L10424" s="29" t="s">
        <v>1054</v>
      </c>
      <c r="M10424" s="29" t="s">
        <v>2401</v>
      </c>
      <c r="N10424" s="29" t="s">
        <v>774</v>
      </c>
      <c r="O10424" s="29"/>
      <c r="P10424" s="29" t="s">
        <v>833</v>
      </c>
      <c r="Q10424" t="s">
        <v>2038</v>
      </c>
      <c r="R10424" t="s">
        <v>2634</v>
      </c>
      <c r="S10424">
        <v>35</v>
      </c>
      <c r="T10424" s="43" t="str">
        <f>HYPERLINK("https://ictv.global/ictv/proposals/2019.003G.zip","2019.003G.zip")</f>
        <v>2019.003G.zip</v>
      </c>
      <c r="U10424" s="43" t="str">
        <f>HYPERLINK("https://ictv.global/taxonomy/taxondetails?taxnode_id=202203734","ictv.global=202203734")</f>
        <v>ictv.global=202203734</v>
      </c>
    </row>
    <row r="10425" spans="1:21">
      <c r="A10425">
        <v>10424</v>
      </c>
      <c r="B10425" s="29" t="s">
        <v>4383</v>
      </c>
      <c r="C10425" s="29"/>
      <c r="D10425" s="29" t="s">
        <v>4384</v>
      </c>
      <c r="E10425" s="29"/>
      <c r="F10425" s="29" t="s">
        <v>4385</v>
      </c>
      <c r="G10425" s="29"/>
      <c r="H10425" s="29" t="s">
        <v>4386</v>
      </c>
      <c r="I10425" s="29"/>
      <c r="J10425" s="29" t="s">
        <v>4389</v>
      </c>
      <c r="K10425" s="29"/>
      <c r="L10425" s="29" t="s">
        <v>1054</v>
      </c>
      <c r="M10425" s="29" t="s">
        <v>2401</v>
      </c>
      <c r="N10425" s="29" t="s">
        <v>774</v>
      </c>
      <c r="O10425" s="29"/>
      <c r="P10425" s="29" t="s">
        <v>6741</v>
      </c>
      <c r="Q10425" t="s">
        <v>2038</v>
      </c>
      <c r="R10425" t="s">
        <v>2632</v>
      </c>
      <c r="S10425">
        <v>36</v>
      </c>
      <c r="T10425" s="43" t="str">
        <f>HYPERLINK("https://ictv.global/ictv/proposals/2020.017D.R.Ranavirus_1nsp.zip","2020.017D.R.Ranavirus_1nsp.zip")</f>
        <v>2020.017D.R.Ranavirus_1nsp.zip</v>
      </c>
      <c r="U10425" s="43" t="str">
        <f>HYPERLINK("https://ictv.global/taxonomy/taxondetails?taxnode_id=202209549","ictv.global=202209549")</f>
        <v>ictv.global=202209549</v>
      </c>
    </row>
    <row r="10426" spans="1:21">
      <c r="A10426">
        <v>10425</v>
      </c>
      <c r="B10426" s="29" t="s">
        <v>4383</v>
      </c>
      <c r="C10426" s="29"/>
      <c r="D10426" s="29" t="s">
        <v>4384</v>
      </c>
      <c r="E10426" s="29"/>
      <c r="F10426" s="29" t="s">
        <v>4385</v>
      </c>
      <c r="G10426" s="29"/>
      <c r="H10426" s="29" t="s">
        <v>4386</v>
      </c>
      <c r="I10426" s="29"/>
      <c r="J10426" s="29" t="s">
        <v>4389</v>
      </c>
      <c r="K10426" s="29"/>
      <c r="L10426" s="29" t="s">
        <v>1054</v>
      </c>
      <c r="M10426" s="29" t="s">
        <v>2401</v>
      </c>
      <c r="N10426" s="29" t="s">
        <v>774</v>
      </c>
      <c r="O10426" s="29"/>
      <c r="P10426" s="29" t="s">
        <v>834</v>
      </c>
      <c r="Q10426" t="s">
        <v>2038</v>
      </c>
      <c r="R10426" t="s">
        <v>6901</v>
      </c>
      <c r="S10426">
        <v>36</v>
      </c>
      <c r="T10426" s="43" t="str">
        <f>HYPERLINK("https://ictv.global/ictv/proposals/2020.001G.R.Abolish_type_species.pdf","2020.001G.R.Abolish_type_species.pdf")</f>
        <v>2020.001G.R.Abolish_type_species.pdf</v>
      </c>
      <c r="U10426" s="43" t="str">
        <f>HYPERLINK("https://ictv.global/taxonomy/taxondetails?taxnode_id=202203736","ictv.global=202203736")</f>
        <v>ictv.global=202203736</v>
      </c>
    </row>
    <row r="10427" spans="1:21">
      <c r="A10427">
        <v>10426</v>
      </c>
      <c r="B10427" s="29" t="s">
        <v>4383</v>
      </c>
      <c r="C10427" s="29"/>
      <c r="D10427" s="29" t="s">
        <v>4384</v>
      </c>
      <c r="E10427" s="29"/>
      <c r="F10427" s="29" t="s">
        <v>4385</v>
      </c>
      <c r="G10427" s="29"/>
      <c r="H10427" s="29" t="s">
        <v>4386</v>
      </c>
      <c r="I10427" s="29"/>
      <c r="J10427" s="29" t="s">
        <v>4389</v>
      </c>
      <c r="K10427" s="29"/>
      <c r="L10427" s="29" t="s">
        <v>1054</v>
      </c>
      <c r="M10427" s="29" t="s">
        <v>2401</v>
      </c>
      <c r="N10427" s="29" t="s">
        <v>774</v>
      </c>
      <c r="O10427" s="29"/>
      <c r="P10427" s="29" t="s">
        <v>835</v>
      </c>
      <c r="Q10427" t="s">
        <v>2038</v>
      </c>
      <c r="R10427" t="s">
        <v>2634</v>
      </c>
      <c r="S10427">
        <v>35</v>
      </c>
      <c r="T10427" s="43" t="str">
        <f>HYPERLINK("https://ictv.global/ictv/proposals/2019.003G.zip","2019.003G.zip")</f>
        <v>2019.003G.zip</v>
      </c>
      <c r="U10427" s="43" t="str">
        <f>HYPERLINK("https://ictv.global/taxonomy/taxondetails?taxnode_id=202203737","ictv.global=202203737")</f>
        <v>ictv.global=202203737</v>
      </c>
    </row>
    <row r="10428" spans="1:21">
      <c r="A10428">
        <v>10427</v>
      </c>
      <c r="B10428" s="29" t="s">
        <v>4383</v>
      </c>
      <c r="C10428" s="29"/>
      <c r="D10428" s="29" t="s">
        <v>4384</v>
      </c>
      <c r="E10428" s="29"/>
      <c r="F10428" s="29" t="s">
        <v>4385</v>
      </c>
      <c r="G10428" s="29"/>
      <c r="H10428" s="29" t="s">
        <v>4386</v>
      </c>
      <c r="I10428" s="29"/>
      <c r="J10428" s="29" t="s">
        <v>4389</v>
      </c>
      <c r="K10428" s="29"/>
      <c r="L10428" s="29" t="s">
        <v>1054</v>
      </c>
      <c r="M10428" s="29" t="s">
        <v>2401</v>
      </c>
      <c r="N10428" s="29" t="s">
        <v>774</v>
      </c>
      <c r="O10428" s="29"/>
      <c r="P10428" s="29" t="s">
        <v>2538</v>
      </c>
      <c r="Q10428" t="s">
        <v>2038</v>
      </c>
      <c r="R10428" t="s">
        <v>2634</v>
      </c>
      <c r="S10428">
        <v>35</v>
      </c>
      <c r="T10428" s="43" t="str">
        <f>HYPERLINK("https://ictv.global/ictv/proposals/2019.003G.zip","2019.003G.zip")</f>
        <v>2019.003G.zip</v>
      </c>
      <c r="U10428" s="43" t="str">
        <f>HYPERLINK("https://ictv.global/taxonomy/taxondetails?taxnode_id=202203738","ictv.global=202203738")</f>
        <v>ictv.global=202203738</v>
      </c>
    </row>
    <row r="10429" spans="1:21">
      <c r="A10429">
        <v>10428</v>
      </c>
      <c r="B10429" s="29" t="s">
        <v>4383</v>
      </c>
      <c r="C10429" s="29"/>
      <c r="D10429" s="29" t="s">
        <v>4384</v>
      </c>
      <c r="E10429" s="29"/>
      <c r="F10429" s="29" t="s">
        <v>4385</v>
      </c>
      <c r="G10429" s="29"/>
      <c r="H10429" s="29" t="s">
        <v>4386</v>
      </c>
      <c r="I10429" s="29"/>
      <c r="J10429" s="29" t="s">
        <v>4389</v>
      </c>
      <c r="K10429" s="29"/>
      <c r="L10429" s="29" t="s">
        <v>1054</v>
      </c>
      <c r="M10429" s="29" t="s">
        <v>2402</v>
      </c>
      <c r="N10429" s="29" t="s">
        <v>1055</v>
      </c>
      <c r="O10429" s="29"/>
      <c r="P10429" s="29" t="s">
        <v>3667</v>
      </c>
      <c r="Q10429" t="s">
        <v>2038</v>
      </c>
      <c r="R10429" t="s">
        <v>2634</v>
      </c>
      <c r="S10429">
        <v>35</v>
      </c>
      <c r="T10429" s="43" t="str">
        <f>HYPERLINK("https://ictv.global/ictv/proposals/2019.003G.zip","2019.003G.zip")</f>
        <v>2019.003G.zip</v>
      </c>
      <c r="U10429" s="43" t="str">
        <f>HYPERLINK("https://ictv.global/taxonomy/taxondetails?taxnode_id=202206338","ictv.global=202206338")</f>
        <v>ictv.global=202206338</v>
      </c>
    </row>
    <row r="10430" spans="1:21">
      <c r="A10430">
        <v>10429</v>
      </c>
      <c r="B10430" s="29" t="s">
        <v>4383</v>
      </c>
      <c r="C10430" s="29"/>
      <c r="D10430" s="29" t="s">
        <v>4384</v>
      </c>
      <c r="E10430" s="29"/>
      <c r="F10430" s="29" t="s">
        <v>4385</v>
      </c>
      <c r="G10430" s="29"/>
      <c r="H10430" s="29" t="s">
        <v>4386</v>
      </c>
      <c r="I10430" s="29"/>
      <c r="J10430" s="29" t="s">
        <v>4389</v>
      </c>
      <c r="K10430" s="29"/>
      <c r="L10430" s="29" t="s">
        <v>1054</v>
      </c>
      <c r="M10430" s="29" t="s">
        <v>2402</v>
      </c>
      <c r="N10430" s="29" t="s">
        <v>1055</v>
      </c>
      <c r="O10430" s="29"/>
      <c r="P10430" s="29" t="s">
        <v>1056</v>
      </c>
      <c r="Q10430" t="s">
        <v>2038</v>
      </c>
      <c r="R10430" t="s">
        <v>6901</v>
      </c>
      <c r="S10430">
        <v>36</v>
      </c>
      <c r="T10430" s="43" t="str">
        <f>HYPERLINK("https://ictv.global/ictv/proposals/2020.001G.R.Abolish_type_species.pdf","2020.001G.R.Abolish_type_species.pdf")</f>
        <v>2020.001G.R.Abolish_type_species.pdf</v>
      </c>
      <c r="U10430" s="43" t="str">
        <f>HYPERLINK("https://ictv.global/taxonomy/taxondetails?taxnode_id=202203741","ictv.global=202203741")</f>
        <v>ictv.global=202203741</v>
      </c>
    </row>
    <row r="10431" spans="1:21">
      <c r="A10431">
        <v>10430</v>
      </c>
      <c r="B10431" s="29" t="s">
        <v>4383</v>
      </c>
      <c r="C10431" s="29"/>
      <c r="D10431" s="29" t="s">
        <v>4384</v>
      </c>
      <c r="E10431" s="29"/>
      <c r="F10431" s="29" t="s">
        <v>4385</v>
      </c>
      <c r="G10431" s="29"/>
      <c r="H10431" s="29" t="s">
        <v>4386</v>
      </c>
      <c r="I10431" s="29"/>
      <c r="J10431" s="29" t="s">
        <v>4389</v>
      </c>
      <c r="K10431" s="29"/>
      <c r="L10431" s="29" t="s">
        <v>1054</v>
      </c>
      <c r="M10431" s="29" t="s">
        <v>2402</v>
      </c>
      <c r="N10431" s="29" t="s">
        <v>1055</v>
      </c>
      <c r="O10431" s="29"/>
      <c r="P10431" s="29" t="s">
        <v>3668</v>
      </c>
      <c r="Q10431" t="s">
        <v>2038</v>
      </c>
      <c r="R10431" t="s">
        <v>2634</v>
      </c>
      <c r="S10431">
        <v>35</v>
      </c>
      <c r="T10431" s="43" t="str">
        <f>HYPERLINK("https://ictv.global/ictv/proposals/2019.003G.zip","2019.003G.zip")</f>
        <v>2019.003G.zip</v>
      </c>
      <c r="U10431" s="43" t="str">
        <f>HYPERLINK("https://ictv.global/taxonomy/taxondetails?taxnode_id=202206336","ictv.global=202206336")</f>
        <v>ictv.global=202206336</v>
      </c>
    </row>
    <row r="10432" spans="1:21">
      <c r="A10432">
        <v>10431</v>
      </c>
      <c r="B10432" s="29" t="s">
        <v>4383</v>
      </c>
      <c r="C10432" s="29"/>
      <c r="D10432" s="29" t="s">
        <v>4384</v>
      </c>
      <c r="E10432" s="29"/>
      <c r="F10432" s="29" t="s">
        <v>4385</v>
      </c>
      <c r="G10432" s="29"/>
      <c r="H10432" s="29" t="s">
        <v>4386</v>
      </c>
      <c r="I10432" s="29"/>
      <c r="J10432" s="29" t="s">
        <v>4389</v>
      </c>
      <c r="K10432" s="29"/>
      <c r="L10432" s="29" t="s">
        <v>1054</v>
      </c>
      <c r="M10432" s="29" t="s">
        <v>2402</v>
      </c>
      <c r="N10432" s="29" t="s">
        <v>1055</v>
      </c>
      <c r="O10432" s="29"/>
      <c r="P10432" s="29" t="s">
        <v>3669</v>
      </c>
      <c r="Q10432" t="s">
        <v>2038</v>
      </c>
      <c r="R10432" t="s">
        <v>2634</v>
      </c>
      <c r="S10432">
        <v>35</v>
      </c>
      <c r="T10432" s="43" t="str">
        <f>HYPERLINK("https://ictv.global/ictv/proposals/2019.003G.zip","2019.003G.zip")</f>
        <v>2019.003G.zip</v>
      </c>
      <c r="U10432" s="43" t="str">
        <f>HYPERLINK("https://ictv.global/taxonomy/taxondetails?taxnode_id=202206335","ictv.global=202206335")</f>
        <v>ictv.global=202206335</v>
      </c>
    </row>
    <row r="10433" spans="1:21">
      <c r="A10433">
        <v>10432</v>
      </c>
      <c r="B10433" s="29" t="s">
        <v>4383</v>
      </c>
      <c r="C10433" s="29"/>
      <c r="D10433" s="29" t="s">
        <v>4384</v>
      </c>
      <c r="E10433" s="29"/>
      <c r="F10433" s="29" t="s">
        <v>4385</v>
      </c>
      <c r="G10433" s="29"/>
      <c r="H10433" s="29" t="s">
        <v>4386</v>
      </c>
      <c r="I10433" s="29"/>
      <c r="J10433" s="29" t="s">
        <v>4389</v>
      </c>
      <c r="K10433" s="29"/>
      <c r="L10433" s="29" t="s">
        <v>1054</v>
      </c>
      <c r="M10433" s="29" t="s">
        <v>2402</v>
      </c>
      <c r="N10433" s="29" t="s">
        <v>1055</v>
      </c>
      <c r="O10433" s="29"/>
      <c r="P10433" s="29" t="s">
        <v>3670</v>
      </c>
      <c r="Q10433" t="s">
        <v>2038</v>
      </c>
      <c r="R10433" t="s">
        <v>2634</v>
      </c>
      <c r="S10433">
        <v>35</v>
      </c>
      <c r="T10433" s="43" t="str">
        <f>HYPERLINK("https://ictv.global/ictv/proposals/2019.003G.zip","2019.003G.zip")</f>
        <v>2019.003G.zip</v>
      </c>
      <c r="U10433" s="43" t="str">
        <f>HYPERLINK("https://ictv.global/taxonomy/taxondetails?taxnode_id=202206337","ictv.global=202206337")</f>
        <v>ictv.global=202206337</v>
      </c>
    </row>
    <row r="10434" spans="1:21">
      <c r="A10434">
        <v>10433</v>
      </c>
      <c r="B10434" s="29" t="s">
        <v>4383</v>
      </c>
      <c r="C10434" s="29"/>
      <c r="D10434" s="29" t="s">
        <v>4384</v>
      </c>
      <c r="E10434" s="29"/>
      <c r="F10434" s="29" t="s">
        <v>4385</v>
      </c>
      <c r="G10434" s="29"/>
      <c r="H10434" s="29" t="s">
        <v>4386</v>
      </c>
      <c r="I10434" s="29"/>
      <c r="J10434" s="29" t="s">
        <v>4389</v>
      </c>
      <c r="K10434" s="29"/>
      <c r="L10434" s="29" t="s">
        <v>1054</v>
      </c>
      <c r="M10434" s="29" t="s">
        <v>2402</v>
      </c>
      <c r="N10434" s="29" t="s">
        <v>6742</v>
      </c>
      <c r="O10434" s="29"/>
      <c r="P10434" s="29" t="s">
        <v>6743</v>
      </c>
      <c r="Q10434" t="s">
        <v>2038</v>
      </c>
      <c r="R10434" t="s">
        <v>2632</v>
      </c>
      <c r="S10434">
        <v>36</v>
      </c>
      <c r="T10434" s="43" t="str">
        <f>HYPERLINK("https://ictv.global/ictv/proposals/2020.018D.R.Betairidovirinae_1ngen_1nsp.zip","2020.018D.R.Betairidovirinae_1ngen_1nsp.zip")</f>
        <v>2020.018D.R.Betairidovirinae_1ngen_1nsp.zip</v>
      </c>
      <c r="U10434" s="43" t="str">
        <f>HYPERLINK("https://ictv.global/taxonomy/taxondetails?taxnode_id=202209576","ictv.global=202209576")</f>
        <v>ictv.global=202209576</v>
      </c>
    </row>
    <row r="10435" spans="1:21">
      <c r="A10435">
        <v>10434</v>
      </c>
      <c r="B10435" s="29" t="s">
        <v>4383</v>
      </c>
      <c r="C10435" s="29"/>
      <c r="D10435" s="29" t="s">
        <v>4384</v>
      </c>
      <c r="E10435" s="29"/>
      <c r="F10435" s="29" t="s">
        <v>4385</v>
      </c>
      <c r="G10435" s="29"/>
      <c r="H10435" s="29" t="s">
        <v>4386</v>
      </c>
      <c r="I10435" s="29"/>
      <c r="J10435" s="29" t="s">
        <v>4389</v>
      </c>
      <c r="K10435" s="29"/>
      <c r="L10435" s="29" t="s">
        <v>1054</v>
      </c>
      <c r="M10435" s="29" t="s">
        <v>2402</v>
      </c>
      <c r="N10435" s="29" t="s">
        <v>3671</v>
      </c>
      <c r="O10435" s="29"/>
      <c r="P10435" s="29" t="s">
        <v>3672</v>
      </c>
      <c r="Q10435" t="s">
        <v>2038</v>
      </c>
      <c r="R10435" t="s">
        <v>6901</v>
      </c>
      <c r="S10435">
        <v>36</v>
      </c>
      <c r="T10435" s="43" t="str">
        <f>HYPERLINK("https://ictv.global/ictv/proposals/2020.001G.R.Abolish_type_species.pdf","2020.001G.R.Abolish_type_species.pdf")</f>
        <v>2020.001G.R.Abolish_type_species.pdf</v>
      </c>
      <c r="U10435" s="43" t="str">
        <f>HYPERLINK("https://ictv.global/taxonomy/taxondetails?taxnode_id=202206295","ictv.global=202206295")</f>
        <v>ictv.global=202206295</v>
      </c>
    </row>
    <row r="10436" spans="1:21">
      <c r="A10436">
        <v>10435</v>
      </c>
      <c r="B10436" s="29" t="s">
        <v>4383</v>
      </c>
      <c r="C10436" s="29"/>
      <c r="D10436" s="29" t="s">
        <v>4384</v>
      </c>
      <c r="E10436" s="29"/>
      <c r="F10436" s="29" t="s">
        <v>4385</v>
      </c>
      <c r="G10436" s="29"/>
      <c r="H10436" s="29" t="s">
        <v>4386</v>
      </c>
      <c r="I10436" s="29"/>
      <c r="J10436" s="29" t="s">
        <v>4389</v>
      </c>
      <c r="K10436" s="29"/>
      <c r="L10436" s="29" t="s">
        <v>1054</v>
      </c>
      <c r="M10436" s="29" t="s">
        <v>2402</v>
      </c>
      <c r="N10436" s="29" t="s">
        <v>776</v>
      </c>
      <c r="O10436" s="29"/>
      <c r="P10436" s="29" t="s">
        <v>769</v>
      </c>
      <c r="Q10436" t="s">
        <v>2038</v>
      </c>
      <c r="R10436" t="s">
        <v>6901</v>
      </c>
      <c r="S10436">
        <v>36</v>
      </c>
      <c r="T10436" s="43" t="str">
        <f>HYPERLINK("https://ictv.global/ictv/proposals/2020.001G.R.Abolish_type_species.pdf","2020.001G.R.Abolish_type_species.pdf")</f>
        <v>2020.001G.R.Abolish_type_species.pdf</v>
      </c>
      <c r="U10436" s="43" t="str">
        <f>HYPERLINK("https://ictv.global/taxonomy/taxondetails?taxnode_id=202203744","ictv.global=202203744")</f>
        <v>ictv.global=202203744</v>
      </c>
    </row>
    <row r="10437" spans="1:21">
      <c r="A10437">
        <v>10436</v>
      </c>
      <c r="B10437" s="29" t="s">
        <v>4383</v>
      </c>
      <c r="C10437" s="29"/>
      <c r="D10437" s="29" t="s">
        <v>4384</v>
      </c>
      <c r="E10437" s="29"/>
      <c r="F10437" s="29" t="s">
        <v>4385</v>
      </c>
      <c r="G10437" s="29"/>
      <c r="H10437" s="29" t="s">
        <v>4386</v>
      </c>
      <c r="I10437" s="29"/>
      <c r="J10437" s="29" t="s">
        <v>4389</v>
      </c>
      <c r="K10437" s="29"/>
      <c r="L10437" s="29" t="s">
        <v>1054</v>
      </c>
      <c r="M10437" s="29" t="s">
        <v>2402</v>
      </c>
      <c r="N10437" s="29" t="s">
        <v>776</v>
      </c>
      <c r="O10437" s="29"/>
      <c r="P10437" s="29" t="s">
        <v>3673</v>
      </c>
      <c r="Q10437" t="s">
        <v>2038</v>
      </c>
      <c r="R10437" t="s">
        <v>2634</v>
      </c>
      <c r="S10437">
        <v>35</v>
      </c>
      <c r="T10437" s="43" t="str">
        <f>HYPERLINK("https://ictv.global/ictv/proposals/2019.003G.zip","2019.003G.zip")</f>
        <v>2019.003G.zip</v>
      </c>
      <c r="U10437" s="43" t="str">
        <f>HYPERLINK("https://ictv.global/taxonomy/taxondetails?taxnode_id=202206334","ictv.global=202206334")</f>
        <v>ictv.global=202206334</v>
      </c>
    </row>
    <row r="10438" spans="1:21">
      <c r="A10438">
        <v>10437</v>
      </c>
      <c r="B10438" s="29" t="s">
        <v>4383</v>
      </c>
      <c r="C10438" s="29"/>
      <c r="D10438" s="29" t="s">
        <v>4384</v>
      </c>
      <c r="E10438" s="29"/>
      <c r="F10438" s="29" t="s">
        <v>4385</v>
      </c>
      <c r="G10438" s="29"/>
      <c r="H10438" s="29" t="s">
        <v>4386</v>
      </c>
      <c r="I10438" s="29"/>
      <c r="J10438" s="29" t="s">
        <v>4389</v>
      </c>
      <c r="K10438" s="29"/>
      <c r="L10438" s="29" t="s">
        <v>1877</v>
      </c>
      <c r="M10438" s="29"/>
      <c r="N10438" s="29" t="s">
        <v>1878</v>
      </c>
      <c r="O10438" s="29"/>
      <c r="P10438" s="29" t="s">
        <v>1879</v>
      </c>
      <c r="Q10438" t="s">
        <v>2038</v>
      </c>
      <c r="R10438" t="s">
        <v>6901</v>
      </c>
      <c r="S10438">
        <v>36</v>
      </c>
      <c r="T10438" s="43" t="str">
        <f>HYPERLINK("https://ictv.global/ictv/proposals/2020.001G.R.Abolish_type_species.pdf","2020.001G.R.Abolish_type_species.pdf")</f>
        <v>2020.001G.R.Abolish_type_species.pdf</v>
      </c>
      <c r="U10438" s="43" t="str">
        <f>HYPERLINK("https://ictv.global/taxonomy/taxondetails?taxnode_id=202203802","ictv.global=202203802")</f>
        <v>ictv.global=202203802</v>
      </c>
    </row>
    <row r="10439" spans="1:21">
      <c r="A10439">
        <v>10438</v>
      </c>
      <c r="B10439" s="29" t="s">
        <v>4383</v>
      </c>
      <c r="C10439" s="29"/>
      <c r="D10439" s="29" t="s">
        <v>4384</v>
      </c>
      <c r="E10439" s="29"/>
      <c r="F10439" s="29" t="s">
        <v>4385</v>
      </c>
      <c r="G10439" s="29"/>
      <c r="H10439" s="29" t="s">
        <v>4386</v>
      </c>
      <c r="I10439" s="29"/>
      <c r="J10439" s="29" t="s">
        <v>4389</v>
      </c>
      <c r="K10439" s="29"/>
      <c r="L10439" s="29" t="s">
        <v>1877</v>
      </c>
      <c r="M10439" s="29"/>
      <c r="N10439" s="29" t="s">
        <v>1878</v>
      </c>
      <c r="O10439" s="29"/>
      <c r="P10439" s="29" t="s">
        <v>1880</v>
      </c>
      <c r="Q10439" t="s">
        <v>2038</v>
      </c>
      <c r="R10439" t="s">
        <v>2634</v>
      </c>
      <c r="S10439">
        <v>35</v>
      </c>
      <c r="T10439" s="43" t="str">
        <f>HYPERLINK("https://ictv.global/ictv/proposals/2019.003G.zip","2019.003G.zip")</f>
        <v>2019.003G.zip</v>
      </c>
      <c r="U10439" s="43" t="str">
        <f>HYPERLINK("https://ictv.global/taxonomy/taxondetails?taxnode_id=202203803","ictv.global=202203803")</f>
        <v>ictv.global=202203803</v>
      </c>
    </row>
    <row r="10440" spans="1:21">
      <c r="A10440">
        <v>10439</v>
      </c>
      <c r="B10440" s="29" t="s">
        <v>4383</v>
      </c>
      <c r="C10440" s="29"/>
      <c r="D10440" s="29" t="s">
        <v>4384</v>
      </c>
      <c r="E10440" s="29"/>
      <c r="F10440" s="29" t="s">
        <v>4385</v>
      </c>
      <c r="G10440" s="29"/>
      <c r="H10440" s="29" t="s">
        <v>4386</v>
      </c>
      <c r="I10440" s="29"/>
      <c r="J10440" s="29" t="s">
        <v>4389</v>
      </c>
      <c r="K10440" s="29"/>
      <c r="L10440" s="29" t="s">
        <v>1877</v>
      </c>
      <c r="M10440" s="29"/>
      <c r="N10440" s="29"/>
      <c r="O10440" s="29"/>
      <c r="P10440" s="29" t="s">
        <v>1881</v>
      </c>
      <c r="Q10440" t="s">
        <v>2038</v>
      </c>
      <c r="R10440" t="s">
        <v>2634</v>
      </c>
      <c r="S10440">
        <v>35</v>
      </c>
      <c r="T10440" s="43" t="str">
        <f>HYPERLINK("https://ictv.global/ictv/proposals/2019.003G.zip","2019.003G.zip")</f>
        <v>2019.003G.zip</v>
      </c>
      <c r="U10440" s="43" t="str">
        <f>HYPERLINK("https://ictv.global/taxonomy/taxondetails?taxnode_id=202203805","ictv.global=202203805")</f>
        <v>ictv.global=202203805</v>
      </c>
    </row>
    <row r="10441" spans="1:21">
      <c r="A10441">
        <v>10440</v>
      </c>
      <c r="B10441" s="29" t="s">
        <v>4383</v>
      </c>
      <c r="C10441" s="29"/>
      <c r="D10441" s="29" t="s">
        <v>4384</v>
      </c>
      <c r="E10441" s="29"/>
      <c r="F10441" s="29" t="s">
        <v>4385</v>
      </c>
      <c r="G10441" s="29"/>
      <c r="H10441" s="29" t="s">
        <v>4386</v>
      </c>
      <c r="I10441" s="29"/>
      <c r="J10441" s="29" t="s">
        <v>4389</v>
      </c>
      <c r="K10441" s="29"/>
      <c r="L10441" s="29" t="s">
        <v>1877</v>
      </c>
      <c r="M10441" s="29"/>
      <c r="N10441" s="29"/>
      <c r="O10441" s="29"/>
      <c r="P10441" s="29" t="s">
        <v>1882</v>
      </c>
      <c r="Q10441" t="s">
        <v>2038</v>
      </c>
      <c r="R10441" t="s">
        <v>2634</v>
      </c>
      <c r="S10441">
        <v>35</v>
      </c>
      <c r="T10441" s="43" t="str">
        <f>HYPERLINK("https://ictv.global/ictv/proposals/2019.003G.zip","2019.003G.zip")</f>
        <v>2019.003G.zip</v>
      </c>
      <c r="U10441" s="43" t="str">
        <f>HYPERLINK("https://ictv.global/taxonomy/taxondetails?taxnode_id=202203806","ictv.global=202203806")</f>
        <v>ictv.global=202203806</v>
      </c>
    </row>
    <row r="10442" spans="1:21">
      <c r="A10442">
        <v>10441</v>
      </c>
      <c r="B10442" s="29" t="s">
        <v>4383</v>
      </c>
      <c r="C10442" s="29"/>
      <c r="D10442" s="29" t="s">
        <v>4384</v>
      </c>
      <c r="E10442" s="29"/>
      <c r="F10442" s="29" t="s">
        <v>4385</v>
      </c>
      <c r="G10442" s="29"/>
      <c r="H10442" s="29" t="s">
        <v>4386</v>
      </c>
      <c r="I10442" s="29"/>
      <c r="J10442" s="29"/>
      <c r="K10442" s="29"/>
      <c r="L10442" s="29" t="s">
        <v>14452</v>
      </c>
      <c r="M10442" s="29"/>
      <c r="N10442" s="29" t="s">
        <v>14453</v>
      </c>
      <c r="O10442" s="29"/>
      <c r="P10442" s="29" t="s">
        <v>14454</v>
      </c>
      <c r="Q10442" t="s">
        <v>2038</v>
      </c>
      <c r="R10442" t="s">
        <v>2632</v>
      </c>
      <c r="S10442">
        <v>38</v>
      </c>
      <c r="T10442" s="43" t="str">
        <f>HYPERLINK("https://ictv.global/ictv/proposals/2022.005F.Mamonoviridae_newfam.zip","2022.005F.Mamonoviridae_newfam.zip")</f>
        <v>2022.005F.Mamonoviridae_newfam.zip</v>
      </c>
      <c r="U10442" s="43" t="str">
        <f>HYPERLINK("https://ictv.global/taxonomy/taxondetails?taxnode_id=202215061","ictv.global=202215061")</f>
        <v>ictv.global=202215061</v>
      </c>
    </row>
    <row r="10443" spans="1:21">
      <c r="A10443">
        <v>10442</v>
      </c>
      <c r="B10443" s="29" t="s">
        <v>4383</v>
      </c>
      <c r="C10443" s="29"/>
      <c r="D10443" s="29" t="s">
        <v>4384</v>
      </c>
      <c r="E10443" s="29"/>
      <c r="F10443" s="29" t="s">
        <v>4385</v>
      </c>
      <c r="G10443" s="29"/>
      <c r="H10443" s="29" t="s">
        <v>4386</v>
      </c>
      <c r="I10443" s="29"/>
      <c r="J10443" s="29"/>
      <c r="K10443" s="29"/>
      <c r="L10443" s="29" t="s">
        <v>14452</v>
      </c>
      <c r="M10443" s="29"/>
      <c r="N10443" s="29" t="s">
        <v>14453</v>
      </c>
      <c r="O10443" s="29"/>
      <c r="P10443" s="29" t="s">
        <v>14455</v>
      </c>
      <c r="Q10443" t="s">
        <v>2038</v>
      </c>
      <c r="R10443" t="s">
        <v>2632</v>
      </c>
      <c r="S10443">
        <v>38</v>
      </c>
      <c r="T10443" s="43" t="str">
        <f>HYPERLINK("https://ictv.global/ictv/proposals/2022.005F.Mamonoviridae_newfam.zip","2022.005F.Mamonoviridae_newfam.zip")</f>
        <v>2022.005F.Mamonoviridae_newfam.zip</v>
      </c>
      <c r="U10443" s="43" t="str">
        <f>HYPERLINK("https://ictv.global/taxonomy/taxondetails?taxnode_id=202215062","ictv.global=202215062")</f>
        <v>ictv.global=202215062</v>
      </c>
    </row>
    <row r="10444" spans="1:21">
      <c r="A10444">
        <v>10443</v>
      </c>
      <c r="B10444" s="29" t="s">
        <v>4383</v>
      </c>
      <c r="C10444" s="29"/>
      <c r="D10444" s="29" t="s">
        <v>4384</v>
      </c>
      <c r="E10444" s="29"/>
      <c r="F10444" s="29" t="s">
        <v>4385</v>
      </c>
      <c r="G10444" s="29"/>
      <c r="H10444" s="29" t="s">
        <v>4390</v>
      </c>
      <c r="I10444" s="29"/>
      <c r="J10444" s="29" t="s">
        <v>4391</v>
      </c>
      <c r="K10444" s="29"/>
      <c r="L10444" s="29" t="s">
        <v>530</v>
      </c>
      <c r="M10444" s="29"/>
      <c r="N10444" s="29" t="s">
        <v>531</v>
      </c>
      <c r="O10444" s="29"/>
      <c r="P10444" s="29" t="s">
        <v>532</v>
      </c>
      <c r="Q10444" t="s">
        <v>2038</v>
      </c>
      <c r="R10444" t="s">
        <v>6901</v>
      </c>
      <c r="S10444">
        <v>36</v>
      </c>
      <c r="T10444" s="43" t="str">
        <f>HYPERLINK("https://ictv.global/ictv/proposals/2020.001G.R.Abolish_type_species.pdf","2020.001G.R.Abolish_type_species.pdf")</f>
        <v>2020.001G.R.Abolish_type_species.pdf</v>
      </c>
      <c r="U10444" s="43" t="str">
        <f>HYPERLINK("https://ictv.global/taxonomy/taxondetails?taxnode_id=202202618","ictv.global=202202618")</f>
        <v>ictv.global=202202618</v>
      </c>
    </row>
    <row r="10445" spans="1:21">
      <c r="A10445">
        <v>10444</v>
      </c>
      <c r="B10445" s="29" t="s">
        <v>4383</v>
      </c>
      <c r="C10445" s="29"/>
      <c r="D10445" s="29" t="s">
        <v>4384</v>
      </c>
      <c r="E10445" s="29"/>
      <c r="F10445" s="29" t="s">
        <v>4385</v>
      </c>
      <c r="G10445" s="29"/>
      <c r="H10445" s="29" t="s">
        <v>4390</v>
      </c>
      <c r="I10445" s="29"/>
      <c r="J10445" s="29" t="s">
        <v>4392</v>
      </c>
      <c r="K10445" s="29"/>
      <c r="L10445" s="29" t="s">
        <v>1535</v>
      </c>
      <c r="M10445" s="29" t="s">
        <v>1536</v>
      </c>
      <c r="N10445" s="29" t="s">
        <v>1537</v>
      </c>
      <c r="O10445" s="29"/>
      <c r="P10445" s="29" t="s">
        <v>406</v>
      </c>
      <c r="Q10445" t="s">
        <v>2038</v>
      </c>
      <c r="R10445" t="s">
        <v>2634</v>
      </c>
      <c r="S10445">
        <v>35</v>
      </c>
      <c r="T10445" s="43" t="str">
        <f>HYPERLINK("https://ictv.global/ictv/proposals/2019.003G.zip","2019.003G.zip")</f>
        <v>2019.003G.zip</v>
      </c>
      <c r="U10445" s="43" t="str">
        <f>HYPERLINK("https://ictv.global/taxonomy/taxondetails?taxnode_id=202204740","ictv.global=202204740")</f>
        <v>ictv.global=202204740</v>
      </c>
    </row>
    <row r="10446" spans="1:21">
      <c r="A10446">
        <v>10445</v>
      </c>
      <c r="B10446" s="29" t="s">
        <v>4383</v>
      </c>
      <c r="C10446" s="29"/>
      <c r="D10446" s="29" t="s">
        <v>4384</v>
      </c>
      <c r="E10446" s="29"/>
      <c r="F10446" s="29" t="s">
        <v>4385</v>
      </c>
      <c r="G10446" s="29"/>
      <c r="H10446" s="29" t="s">
        <v>4390</v>
      </c>
      <c r="I10446" s="29"/>
      <c r="J10446" s="29" t="s">
        <v>4392</v>
      </c>
      <c r="K10446" s="29"/>
      <c r="L10446" s="29" t="s">
        <v>1535</v>
      </c>
      <c r="M10446" s="29" t="s">
        <v>1536</v>
      </c>
      <c r="N10446" s="29" t="s">
        <v>1537</v>
      </c>
      <c r="O10446" s="29"/>
      <c r="P10446" s="29" t="s">
        <v>4393</v>
      </c>
      <c r="Q10446" t="s">
        <v>2038</v>
      </c>
      <c r="R10446" t="s">
        <v>2632</v>
      </c>
      <c r="S10446">
        <v>35</v>
      </c>
      <c r="T10446" s="43" t="str">
        <f>HYPERLINK("https://ictv.global/ictv/proposals/2019.005D.zip","2019.005D.zip")</f>
        <v>2019.005D.zip</v>
      </c>
      <c r="U10446" s="43" t="str">
        <f>HYPERLINK("https://ictv.global/taxonomy/taxondetails?taxnode_id=202207141","ictv.global=202207141")</f>
        <v>ictv.global=202207141</v>
      </c>
    </row>
    <row r="10447" spans="1:21">
      <c r="A10447">
        <v>10446</v>
      </c>
      <c r="B10447" s="29" t="s">
        <v>4383</v>
      </c>
      <c r="C10447" s="29"/>
      <c r="D10447" s="29" t="s">
        <v>4384</v>
      </c>
      <c r="E10447" s="29"/>
      <c r="F10447" s="29" t="s">
        <v>4385</v>
      </c>
      <c r="G10447" s="29"/>
      <c r="H10447" s="29" t="s">
        <v>4390</v>
      </c>
      <c r="I10447" s="29"/>
      <c r="J10447" s="29" t="s">
        <v>4392</v>
      </c>
      <c r="K10447" s="29"/>
      <c r="L10447" s="29" t="s">
        <v>1535</v>
      </c>
      <c r="M10447" s="29" t="s">
        <v>1536</v>
      </c>
      <c r="N10447" s="29" t="s">
        <v>1537</v>
      </c>
      <c r="O10447" s="29"/>
      <c r="P10447" s="29" t="s">
        <v>407</v>
      </c>
      <c r="Q10447" t="s">
        <v>2038</v>
      </c>
      <c r="R10447" t="s">
        <v>6901</v>
      </c>
      <c r="S10447">
        <v>36</v>
      </c>
      <c r="T10447" s="43" t="str">
        <f>HYPERLINK("https://ictv.global/ictv/proposals/2020.001G.R.Abolish_type_species.pdf","2020.001G.R.Abolish_type_species.pdf")</f>
        <v>2020.001G.R.Abolish_type_species.pdf</v>
      </c>
      <c r="U10447" s="43" t="str">
        <f>HYPERLINK("https://ictv.global/taxonomy/taxondetails?taxnode_id=202204741","ictv.global=202204741")</f>
        <v>ictv.global=202204741</v>
      </c>
    </row>
    <row r="10448" spans="1:21">
      <c r="A10448">
        <v>10447</v>
      </c>
      <c r="B10448" s="29" t="s">
        <v>4383</v>
      </c>
      <c r="C10448" s="29"/>
      <c r="D10448" s="29" t="s">
        <v>4384</v>
      </c>
      <c r="E10448" s="29"/>
      <c r="F10448" s="29" t="s">
        <v>4385</v>
      </c>
      <c r="G10448" s="29"/>
      <c r="H10448" s="29" t="s">
        <v>4390</v>
      </c>
      <c r="I10448" s="29"/>
      <c r="J10448" s="29" t="s">
        <v>4392</v>
      </c>
      <c r="K10448" s="29"/>
      <c r="L10448" s="29" t="s">
        <v>1535</v>
      </c>
      <c r="M10448" s="29" t="s">
        <v>1536</v>
      </c>
      <c r="N10448" s="29" t="s">
        <v>1537</v>
      </c>
      <c r="O10448" s="29"/>
      <c r="P10448" s="29" t="s">
        <v>408</v>
      </c>
      <c r="Q10448" t="s">
        <v>2038</v>
      </c>
      <c r="R10448" t="s">
        <v>2634</v>
      </c>
      <c r="S10448">
        <v>35</v>
      </c>
      <c r="T10448" s="43" t="str">
        <f>HYPERLINK("https://ictv.global/ictv/proposals/2019.003G.zip","2019.003G.zip")</f>
        <v>2019.003G.zip</v>
      </c>
      <c r="U10448" s="43" t="str">
        <f>HYPERLINK("https://ictv.global/taxonomy/taxondetails?taxnode_id=202204742","ictv.global=202204742")</f>
        <v>ictv.global=202204742</v>
      </c>
    </row>
    <row r="10449" spans="1:21">
      <c r="A10449">
        <v>10448</v>
      </c>
      <c r="B10449" s="29" t="s">
        <v>4383</v>
      </c>
      <c r="C10449" s="29"/>
      <c r="D10449" s="29" t="s">
        <v>4384</v>
      </c>
      <c r="E10449" s="29"/>
      <c r="F10449" s="29" t="s">
        <v>4385</v>
      </c>
      <c r="G10449" s="29"/>
      <c r="H10449" s="29" t="s">
        <v>4390</v>
      </c>
      <c r="I10449" s="29"/>
      <c r="J10449" s="29" t="s">
        <v>4392</v>
      </c>
      <c r="K10449" s="29"/>
      <c r="L10449" s="29" t="s">
        <v>1535</v>
      </c>
      <c r="M10449" s="29" t="s">
        <v>1536</v>
      </c>
      <c r="N10449" s="29" t="s">
        <v>1537</v>
      </c>
      <c r="O10449" s="29"/>
      <c r="P10449" s="29" t="s">
        <v>409</v>
      </c>
      <c r="Q10449" t="s">
        <v>2038</v>
      </c>
      <c r="R10449" t="s">
        <v>2634</v>
      </c>
      <c r="S10449">
        <v>35</v>
      </c>
      <c r="T10449" s="43" t="str">
        <f>HYPERLINK("https://ictv.global/ictv/proposals/2019.003G.zip","2019.003G.zip")</f>
        <v>2019.003G.zip</v>
      </c>
      <c r="U10449" s="43" t="str">
        <f>HYPERLINK("https://ictv.global/taxonomy/taxondetails?taxnode_id=202204743","ictv.global=202204743")</f>
        <v>ictv.global=202204743</v>
      </c>
    </row>
    <row r="10450" spans="1:21">
      <c r="A10450">
        <v>10449</v>
      </c>
      <c r="B10450" s="29" t="s">
        <v>4383</v>
      </c>
      <c r="C10450" s="29"/>
      <c r="D10450" s="29" t="s">
        <v>4384</v>
      </c>
      <c r="E10450" s="29"/>
      <c r="F10450" s="29" t="s">
        <v>4385</v>
      </c>
      <c r="G10450" s="29"/>
      <c r="H10450" s="29" t="s">
        <v>4390</v>
      </c>
      <c r="I10450" s="29"/>
      <c r="J10450" s="29" t="s">
        <v>4392</v>
      </c>
      <c r="K10450" s="29"/>
      <c r="L10450" s="29" t="s">
        <v>1535</v>
      </c>
      <c r="M10450" s="29" t="s">
        <v>1536</v>
      </c>
      <c r="N10450" s="29" t="s">
        <v>1537</v>
      </c>
      <c r="O10450" s="29"/>
      <c r="P10450" s="29" t="s">
        <v>4394</v>
      </c>
      <c r="Q10450" t="s">
        <v>2038</v>
      </c>
      <c r="R10450" t="s">
        <v>2632</v>
      </c>
      <c r="S10450">
        <v>35</v>
      </c>
      <c r="T10450" s="43" t="str">
        <f>HYPERLINK("https://ictv.global/ictv/proposals/2019.005D.zip","2019.005D.zip")</f>
        <v>2019.005D.zip</v>
      </c>
      <c r="U10450" s="43" t="str">
        <f>HYPERLINK("https://ictv.global/taxonomy/taxondetails?taxnode_id=202207142","ictv.global=202207142")</f>
        <v>ictv.global=202207142</v>
      </c>
    </row>
    <row r="10451" spans="1:21">
      <c r="A10451">
        <v>10450</v>
      </c>
      <c r="B10451" s="29" t="s">
        <v>4383</v>
      </c>
      <c r="C10451" s="29"/>
      <c r="D10451" s="29" t="s">
        <v>4384</v>
      </c>
      <c r="E10451" s="29"/>
      <c r="F10451" s="29" t="s">
        <v>4385</v>
      </c>
      <c r="G10451" s="29"/>
      <c r="H10451" s="29" t="s">
        <v>4390</v>
      </c>
      <c r="I10451" s="29"/>
      <c r="J10451" s="29" t="s">
        <v>4392</v>
      </c>
      <c r="K10451" s="29"/>
      <c r="L10451" s="29" t="s">
        <v>1535</v>
      </c>
      <c r="M10451" s="29" t="s">
        <v>1536</v>
      </c>
      <c r="N10451" s="29" t="s">
        <v>1537</v>
      </c>
      <c r="O10451" s="29"/>
      <c r="P10451" s="29" t="s">
        <v>410</v>
      </c>
      <c r="Q10451" t="s">
        <v>2038</v>
      </c>
      <c r="R10451" t="s">
        <v>2634</v>
      </c>
      <c r="S10451">
        <v>35</v>
      </c>
      <c r="T10451" s="43" t="str">
        <f t="shared" ref="T10451:T10458" si="450">HYPERLINK("https://ictv.global/ictv/proposals/2019.003G.zip","2019.003G.zip")</f>
        <v>2019.003G.zip</v>
      </c>
      <c r="U10451" s="43" t="str">
        <f>HYPERLINK("https://ictv.global/taxonomy/taxondetails?taxnode_id=202204744","ictv.global=202204744")</f>
        <v>ictv.global=202204744</v>
      </c>
    </row>
    <row r="10452" spans="1:21">
      <c r="A10452">
        <v>10451</v>
      </c>
      <c r="B10452" s="29" t="s">
        <v>4383</v>
      </c>
      <c r="C10452" s="29"/>
      <c r="D10452" s="29" t="s">
        <v>4384</v>
      </c>
      <c r="E10452" s="29"/>
      <c r="F10452" s="29" t="s">
        <v>4385</v>
      </c>
      <c r="G10452" s="29"/>
      <c r="H10452" s="29" t="s">
        <v>4390</v>
      </c>
      <c r="I10452" s="29"/>
      <c r="J10452" s="29" t="s">
        <v>4392</v>
      </c>
      <c r="K10452" s="29"/>
      <c r="L10452" s="29" t="s">
        <v>1535</v>
      </c>
      <c r="M10452" s="29" t="s">
        <v>1536</v>
      </c>
      <c r="N10452" s="29" t="s">
        <v>1537</v>
      </c>
      <c r="O10452" s="29"/>
      <c r="P10452" s="29" t="s">
        <v>411</v>
      </c>
      <c r="Q10452" t="s">
        <v>2038</v>
      </c>
      <c r="R10452" t="s">
        <v>2634</v>
      </c>
      <c r="S10452">
        <v>35</v>
      </c>
      <c r="T10452" s="43" t="str">
        <f t="shared" si="450"/>
        <v>2019.003G.zip</v>
      </c>
      <c r="U10452" s="43" t="str">
        <f>HYPERLINK("https://ictv.global/taxonomy/taxondetails?taxnode_id=202204745","ictv.global=202204745")</f>
        <v>ictv.global=202204745</v>
      </c>
    </row>
    <row r="10453" spans="1:21">
      <c r="A10453">
        <v>10452</v>
      </c>
      <c r="B10453" s="29" t="s">
        <v>4383</v>
      </c>
      <c r="C10453" s="29"/>
      <c r="D10453" s="29" t="s">
        <v>4384</v>
      </c>
      <c r="E10453" s="29"/>
      <c r="F10453" s="29" t="s">
        <v>4385</v>
      </c>
      <c r="G10453" s="29"/>
      <c r="H10453" s="29" t="s">
        <v>4390</v>
      </c>
      <c r="I10453" s="29"/>
      <c r="J10453" s="29" t="s">
        <v>4392</v>
      </c>
      <c r="K10453" s="29"/>
      <c r="L10453" s="29" t="s">
        <v>1535</v>
      </c>
      <c r="M10453" s="29" t="s">
        <v>1536</v>
      </c>
      <c r="N10453" s="29" t="s">
        <v>1537</v>
      </c>
      <c r="O10453" s="29"/>
      <c r="P10453" s="29" t="s">
        <v>412</v>
      </c>
      <c r="Q10453" t="s">
        <v>2038</v>
      </c>
      <c r="R10453" t="s">
        <v>2634</v>
      </c>
      <c r="S10453">
        <v>35</v>
      </c>
      <c r="T10453" s="43" t="str">
        <f t="shared" si="450"/>
        <v>2019.003G.zip</v>
      </c>
      <c r="U10453" s="43" t="str">
        <f>HYPERLINK("https://ictv.global/taxonomy/taxondetails?taxnode_id=202204746","ictv.global=202204746")</f>
        <v>ictv.global=202204746</v>
      </c>
    </row>
    <row r="10454" spans="1:21">
      <c r="A10454">
        <v>10453</v>
      </c>
      <c r="B10454" s="29" t="s">
        <v>4383</v>
      </c>
      <c r="C10454" s="29"/>
      <c r="D10454" s="29" t="s">
        <v>4384</v>
      </c>
      <c r="E10454" s="29"/>
      <c r="F10454" s="29" t="s">
        <v>4385</v>
      </c>
      <c r="G10454" s="29"/>
      <c r="H10454" s="29" t="s">
        <v>4390</v>
      </c>
      <c r="I10454" s="29"/>
      <c r="J10454" s="29" t="s">
        <v>4392</v>
      </c>
      <c r="K10454" s="29"/>
      <c r="L10454" s="29" t="s">
        <v>1535</v>
      </c>
      <c r="M10454" s="29" t="s">
        <v>1536</v>
      </c>
      <c r="N10454" s="29" t="s">
        <v>1537</v>
      </c>
      <c r="O10454" s="29"/>
      <c r="P10454" s="29" t="s">
        <v>413</v>
      </c>
      <c r="Q10454" t="s">
        <v>2038</v>
      </c>
      <c r="R10454" t="s">
        <v>2634</v>
      </c>
      <c r="S10454">
        <v>35</v>
      </c>
      <c r="T10454" s="43" t="str">
        <f t="shared" si="450"/>
        <v>2019.003G.zip</v>
      </c>
      <c r="U10454" s="43" t="str">
        <f>HYPERLINK("https://ictv.global/taxonomy/taxondetails?taxnode_id=202204747","ictv.global=202204747")</f>
        <v>ictv.global=202204747</v>
      </c>
    </row>
    <row r="10455" spans="1:21">
      <c r="A10455">
        <v>10454</v>
      </c>
      <c r="B10455" s="29" t="s">
        <v>4383</v>
      </c>
      <c r="C10455" s="29"/>
      <c r="D10455" s="29" t="s">
        <v>4384</v>
      </c>
      <c r="E10455" s="29"/>
      <c r="F10455" s="29" t="s">
        <v>4385</v>
      </c>
      <c r="G10455" s="29"/>
      <c r="H10455" s="29" t="s">
        <v>4390</v>
      </c>
      <c r="I10455" s="29"/>
      <c r="J10455" s="29" t="s">
        <v>4392</v>
      </c>
      <c r="K10455" s="29"/>
      <c r="L10455" s="29" t="s">
        <v>1535</v>
      </c>
      <c r="M10455" s="29" t="s">
        <v>1536</v>
      </c>
      <c r="N10455" s="29" t="s">
        <v>1537</v>
      </c>
      <c r="O10455" s="29"/>
      <c r="P10455" s="29" t="s">
        <v>414</v>
      </c>
      <c r="Q10455" t="s">
        <v>2038</v>
      </c>
      <c r="R10455" t="s">
        <v>2634</v>
      </c>
      <c r="S10455">
        <v>35</v>
      </c>
      <c r="T10455" s="43" t="str">
        <f t="shared" si="450"/>
        <v>2019.003G.zip</v>
      </c>
      <c r="U10455" s="43" t="str">
        <f>HYPERLINK("https://ictv.global/taxonomy/taxondetails?taxnode_id=202204748","ictv.global=202204748")</f>
        <v>ictv.global=202204748</v>
      </c>
    </row>
    <row r="10456" spans="1:21">
      <c r="A10456">
        <v>10455</v>
      </c>
      <c r="B10456" s="29" t="s">
        <v>4383</v>
      </c>
      <c r="C10456" s="29"/>
      <c r="D10456" s="29" t="s">
        <v>4384</v>
      </c>
      <c r="E10456" s="29"/>
      <c r="F10456" s="29" t="s">
        <v>4385</v>
      </c>
      <c r="G10456" s="29"/>
      <c r="H10456" s="29" t="s">
        <v>4390</v>
      </c>
      <c r="I10456" s="29"/>
      <c r="J10456" s="29" t="s">
        <v>4392</v>
      </c>
      <c r="K10456" s="29"/>
      <c r="L10456" s="29" t="s">
        <v>1535</v>
      </c>
      <c r="M10456" s="29" t="s">
        <v>1536</v>
      </c>
      <c r="N10456" s="29" t="s">
        <v>1537</v>
      </c>
      <c r="O10456" s="29"/>
      <c r="P10456" s="29" t="s">
        <v>415</v>
      </c>
      <c r="Q10456" t="s">
        <v>2038</v>
      </c>
      <c r="R10456" t="s">
        <v>2634</v>
      </c>
      <c r="S10456">
        <v>35</v>
      </c>
      <c r="T10456" s="43" t="str">
        <f t="shared" si="450"/>
        <v>2019.003G.zip</v>
      </c>
      <c r="U10456" s="43" t="str">
        <f>HYPERLINK("https://ictv.global/taxonomy/taxondetails?taxnode_id=202204749","ictv.global=202204749")</f>
        <v>ictv.global=202204749</v>
      </c>
    </row>
    <row r="10457" spans="1:21">
      <c r="A10457">
        <v>10456</v>
      </c>
      <c r="B10457" s="29" t="s">
        <v>4383</v>
      </c>
      <c r="C10457" s="29"/>
      <c r="D10457" s="29" t="s">
        <v>4384</v>
      </c>
      <c r="E10457" s="29"/>
      <c r="F10457" s="29" t="s">
        <v>4385</v>
      </c>
      <c r="G10457" s="29"/>
      <c r="H10457" s="29" t="s">
        <v>4390</v>
      </c>
      <c r="I10457" s="29"/>
      <c r="J10457" s="29" t="s">
        <v>4392</v>
      </c>
      <c r="K10457" s="29"/>
      <c r="L10457" s="29" t="s">
        <v>1535</v>
      </c>
      <c r="M10457" s="29" t="s">
        <v>1536</v>
      </c>
      <c r="N10457" s="29" t="s">
        <v>416</v>
      </c>
      <c r="O10457" s="29"/>
      <c r="P10457" s="29" t="s">
        <v>1163</v>
      </c>
      <c r="Q10457" t="s">
        <v>2038</v>
      </c>
      <c r="R10457" t="s">
        <v>2634</v>
      </c>
      <c r="S10457">
        <v>35</v>
      </c>
      <c r="T10457" s="43" t="str">
        <f t="shared" si="450"/>
        <v>2019.003G.zip</v>
      </c>
      <c r="U10457" s="43" t="str">
        <f>HYPERLINK("https://ictv.global/taxonomy/taxondetails?taxnode_id=202204751","ictv.global=202204751")</f>
        <v>ictv.global=202204751</v>
      </c>
    </row>
    <row r="10458" spans="1:21">
      <c r="A10458">
        <v>10457</v>
      </c>
      <c r="B10458" s="29" t="s">
        <v>4383</v>
      </c>
      <c r="C10458" s="29"/>
      <c r="D10458" s="29" t="s">
        <v>4384</v>
      </c>
      <c r="E10458" s="29"/>
      <c r="F10458" s="29" t="s">
        <v>4385</v>
      </c>
      <c r="G10458" s="29"/>
      <c r="H10458" s="29" t="s">
        <v>4390</v>
      </c>
      <c r="I10458" s="29"/>
      <c r="J10458" s="29" t="s">
        <v>4392</v>
      </c>
      <c r="K10458" s="29"/>
      <c r="L10458" s="29" t="s">
        <v>1535</v>
      </c>
      <c r="M10458" s="29" t="s">
        <v>1536</v>
      </c>
      <c r="N10458" s="29" t="s">
        <v>416</v>
      </c>
      <c r="O10458" s="29"/>
      <c r="P10458" s="29" t="s">
        <v>1164</v>
      </c>
      <c r="Q10458" t="s">
        <v>2038</v>
      </c>
      <c r="R10458" t="s">
        <v>2634</v>
      </c>
      <c r="S10458">
        <v>35</v>
      </c>
      <c r="T10458" s="43" t="str">
        <f t="shared" si="450"/>
        <v>2019.003G.zip</v>
      </c>
      <c r="U10458" s="43" t="str">
        <f>HYPERLINK("https://ictv.global/taxonomy/taxondetails?taxnode_id=202204752","ictv.global=202204752")</f>
        <v>ictv.global=202204752</v>
      </c>
    </row>
    <row r="10459" spans="1:21">
      <c r="A10459">
        <v>10458</v>
      </c>
      <c r="B10459" s="29" t="s">
        <v>4383</v>
      </c>
      <c r="C10459" s="29"/>
      <c r="D10459" s="29" t="s">
        <v>4384</v>
      </c>
      <c r="E10459" s="29"/>
      <c r="F10459" s="29" t="s">
        <v>4385</v>
      </c>
      <c r="G10459" s="29"/>
      <c r="H10459" s="29" t="s">
        <v>4390</v>
      </c>
      <c r="I10459" s="29"/>
      <c r="J10459" s="29" t="s">
        <v>4392</v>
      </c>
      <c r="K10459" s="29"/>
      <c r="L10459" s="29" t="s">
        <v>1535</v>
      </c>
      <c r="M10459" s="29" t="s">
        <v>1536</v>
      </c>
      <c r="N10459" s="29" t="s">
        <v>416</v>
      </c>
      <c r="O10459" s="29"/>
      <c r="P10459" s="29" t="s">
        <v>1165</v>
      </c>
      <c r="Q10459" t="s">
        <v>2038</v>
      </c>
      <c r="R10459" t="s">
        <v>6901</v>
      </c>
      <c r="S10459">
        <v>36</v>
      </c>
      <c r="T10459" s="43" t="str">
        <f>HYPERLINK("https://ictv.global/ictv/proposals/2020.001G.R.Abolish_type_species.pdf","2020.001G.R.Abolish_type_species.pdf")</f>
        <v>2020.001G.R.Abolish_type_species.pdf</v>
      </c>
      <c r="U10459" s="43" t="str">
        <f>HYPERLINK("https://ictv.global/taxonomy/taxondetails?taxnode_id=202204753","ictv.global=202204753")</f>
        <v>ictv.global=202204753</v>
      </c>
    </row>
    <row r="10460" spans="1:21">
      <c r="A10460">
        <v>10459</v>
      </c>
      <c r="B10460" s="29" t="s">
        <v>4383</v>
      </c>
      <c r="C10460" s="29"/>
      <c r="D10460" s="29" t="s">
        <v>4384</v>
      </c>
      <c r="E10460" s="29"/>
      <c r="F10460" s="29" t="s">
        <v>4385</v>
      </c>
      <c r="G10460" s="29"/>
      <c r="H10460" s="29" t="s">
        <v>4390</v>
      </c>
      <c r="I10460" s="29"/>
      <c r="J10460" s="29" t="s">
        <v>4392</v>
      </c>
      <c r="K10460" s="29"/>
      <c r="L10460" s="29" t="s">
        <v>1535</v>
      </c>
      <c r="M10460" s="29" t="s">
        <v>1536</v>
      </c>
      <c r="N10460" s="29" t="s">
        <v>2545</v>
      </c>
      <c r="O10460" s="29"/>
      <c r="P10460" s="29" t="s">
        <v>4395</v>
      </c>
      <c r="Q10460" t="s">
        <v>2038</v>
      </c>
      <c r="R10460" t="s">
        <v>2632</v>
      </c>
      <c r="S10460">
        <v>35</v>
      </c>
      <c r="T10460" s="43" t="str">
        <f>HYPERLINK("https://ictv.global/ictv/proposals/2019.005D.zip","2019.005D.zip")</f>
        <v>2019.005D.zip</v>
      </c>
      <c r="U10460" s="43" t="str">
        <f>HYPERLINK("https://ictv.global/taxonomy/taxondetails?taxnode_id=202207143","ictv.global=202207143")</f>
        <v>ictv.global=202207143</v>
      </c>
    </row>
    <row r="10461" spans="1:21">
      <c r="A10461">
        <v>10460</v>
      </c>
      <c r="B10461" s="29" t="s">
        <v>4383</v>
      </c>
      <c r="C10461" s="29"/>
      <c r="D10461" s="29" t="s">
        <v>4384</v>
      </c>
      <c r="E10461" s="29"/>
      <c r="F10461" s="29" t="s">
        <v>4385</v>
      </c>
      <c r="G10461" s="29"/>
      <c r="H10461" s="29" t="s">
        <v>4390</v>
      </c>
      <c r="I10461" s="29"/>
      <c r="J10461" s="29" t="s">
        <v>4392</v>
      </c>
      <c r="K10461" s="29"/>
      <c r="L10461" s="29" t="s">
        <v>1535</v>
      </c>
      <c r="M10461" s="29" t="s">
        <v>1536</v>
      </c>
      <c r="N10461" s="29" t="s">
        <v>2545</v>
      </c>
      <c r="O10461" s="29"/>
      <c r="P10461" s="29" t="s">
        <v>2546</v>
      </c>
      <c r="Q10461" t="s">
        <v>2038</v>
      </c>
      <c r="R10461" t="s">
        <v>6901</v>
      </c>
      <c r="S10461">
        <v>36</v>
      </c>
      <c r="T10461" s="43" t="str">
        <f>HYPERLINK("https://ictv.global/ictv/proposals/2020.001G.R.Abolish_type_species.pdf","2020.001G.R.Abolish_type_species.pdf")</f>
        <v>2020.001G.R.Abolish_type_species.pdf</v>
      </c>
      <c r="U10461" s="43" t="str">
        <f>HYPERLINK("https://ictv.global/taxonomy/taxondetails?taxnode_id=202204755","ictv.global=202204755")</f>
        <v>ictv.global=202204755</v>
      </c>
    </row>
    <row r="10462" spans="1:21">
      <c r="A10462">
        <v>10461</v>
      </c>
      <c r="B10462" s="29" t="s">
        <v>4383</v>
      </c>
      <c r="C10462" s="29"/>
      <c r="D10462" s="29" t="s">
        <v>4384</v>
      </c>
      <c r="E10462" s="29"/>
      <c r="F10462" s="29" t="s">
        <v>4385</v>
      </c>
      <c r="G10462" s="29"/>
      <c r="H10462" s="29" t="s">
        <v>4390</v>
      </c>
      <c r="I10462" s="29"/>
      <c r="J10462" s="29" t="s">
        <v>4392</v>
      </c>
      <c r="K10462" s="29"/>
      <c r="L10462" s="29" t="s">
        <v>1535</v>
      </c>
      <c r="M10462" s="29" t="s">
        <v>1536</v>
      </c>
      <c r="N10462" s="29" t="s">
        <v>1166</v>
      </c>
      <c r="O10462" s="29"/>
      <c r="P10462" s="29" t="s">
        <v>158</v>
      </c>
      <c r="Q10462" t="s">
        <v>2038</v>
      </c>
      <c r="R10462" t="s">
        <v>6901</v>
      </c>
      <c r="S10462">
        <v>36</v>
      </c>
      <c r="T10462" s="43" t="str">
        <f>HYPERLINK("https://ictv.global/ictv/proposals/2020.001G.R.Abolish_type_species.pdf","2020.001G.R.Abolish_type_species.pdf")</f>
        <v>2020.001G.R.Abolish_type_species.pdf</v>
      </c>
      <c r="U10462" s="43" t="str">
        <f>HYPERLINK("https://ictv.global/taxonomy/taxondetails?taxnode_id=202204757","ictv.global=202204757")</f>
        <v>ictv.global=202204757</v>
      </c>
    </row>
    <row r="10463" spans="1:21">
      <c r="A10463">
        <v>10462</v>
      </c>
      <c r="B10463" s="29" t="s">
        <v>4383</v>
      </c>
      <c r="C10463" s="29"/>
      <c r="D10463" s="29" t="s">
        <v>4384</v>
      </c>
      <c r="E10463" s="29"/>
      <c r="F10463" s="29" t="s">
        <v>4385</v>
      </c>
      <c r="G10463" s="29"/>
      <c r="H10463" s="29" t="s">
        <v>4390</v>
      </c>
      <c r="I10463" s="29"/>
      <c r="J10463" s="29" t="s">
        <v>4392</v>
      </c>
      <c r="K10463" s="29"/>
      <c r="L10463" s="29" t="s">
        <v>1535</v>
      </c>
      <c r="M10463" s="29" t="s">
        <v>1536</v>
      </c>
      <c r="N10463" s="29" t="s">
        <v>159</v>
      </c>
      <c r="O10463" s="29"/>
      <c r="P10463" s="29" t="s">
        <v>160</v>
      </c>
      <c r="Q10463" t="s">
        <v>2038</v>
      </c>
      <c r="R10463" t="s">
        <v>6901</v>
      </c>
      <c r="S10463">
        <v>36</v>
      </c>
      <c r="T10463" s="43" t="str">
        <f>HYPERLINK("https://ictv.global/ictv/proposals/2020.001G.R.Abolish_type_species.pdf","2020.001G.R.Abolish_type_species.pdf")</f>
        <v>2020.001G.R.Abolish_type_species.pdf</v>
      </c>
      <c r="U10463" s="43" t="str">
        <f>HYPERLINK("https://ictv.global/taxonomy/taxondetails?taxnode_id=202204759","ictv.global=202204759")</f>
        <v>ictv.global=202204759</v>
      </c>
    </row>
    <row r="10464" spans="1:21">
      <c r="A10464">
        <v>10463</v>
      </c>
      <c r="B10464" s="29" t="s">
        <v>4383</v>
      </c>
      <c r="C10464" s="29"/>
      <c r="D10464" s="29" t="s">
        <v>4384</v>
      </c>
      <c r="E10464" s="29"/>
      <c r="F10464" s="29" t="s">
        <v>4385</v>
      </c>
      <c r="G10464" s="29"/>
      <c r="H10464" s="29" t="s">
        <v>4390</v>
      </c>
      <c r="I10464" s="29"/>
      <c r="J10464" s="29" t="s">
        <v>4392</v>
      </c>
      <c r="K10464" s="29"/>
      <c r="L10464" s="29" t="s">
        <v>1535</v>
      </c>
      <c r="M10464" s="29" t="s">
        <v>1536</v>
      </c>
      <c r="N10464" s="29" t="s">
        <v>403</v>
      </c>
      <c r="O10464" s="29"/>
      <c r="P10464" s="29" t="s">
        <v>404</v>
      </c>
      <c r="Q10464" t="s">
        <v>2038</v>
      </c>
      <c r="R10464" t="s">
        <v>2634</v>
      </c>
      <c r="S10464">
        <v>35</v>
      </c>
      <c r="T10464" s="43" t="str">
        <f>HYPERLINK("https://ictv.global/ictv/proposals/2019.003G.zip","2019.003G.zip")</f>
        <v>2019.003G.zip</v>
      </c>
      <c r="U10464" s="43" t="str">
        <f>HYPERLINK("https://ictv.global/taxonomy/taxondetails?taxnode_id=202204761","ictv.global=202204761")</f>
        <v>ictv.global=202204761</v>
      </c>
    </row>
    <row r="10465" spans="1:21">
      <c r="A10465">
        <v>10464</v>
      </c>
      <c r="B10465" s="29" t="s">
        <v>4383</v>
      </c>
      <c r="C10465" s="29"/>
      <c r="D10465" s="29" t="s">
        <v>4384</v>
      </c>
      <c r="E10465" s="29"/>
      <c r="F10465" s="29" t="s">
        <v>4385</v>
      </c>
      <c r="G10465" s="29"/>
      <c r="H10465" s="29" t="s">
        <v>4390</v>
      </c>
      <c r="I10465" s="29"/>
      <c r="J10465" s="29" t="s">
        <v>4392</v>
      </c>
      <c r="K10465" s="29"/>
      <c r="L10465" s="29" t="s">
        <v>1535</v>
      </c>
      <c r="M10465" s="29" t="s">
        <v>1536</v>
      </c>
      <c r="N10465" s="29" t="s">
        <v>403</v>
      </c>
      <c r="O10465" s="29"/>
      <c r="P10465" s="29" t="s">
        <v>405</v>
      </c>
      <c r="Q10465" t="s">
        <v>2038</v>
      </c>
      <c r="R10465" t="s">
        <v>6901</v>
      </c>
      <c r="S10465">
        <v>36</v>
      </c>
      <c r="T10465" s="43" t="str">
        <f>HYPERLINK("https://ictv.global/ictv/proposals/2020.001G.R.Abolish_type_species.pdf","2020.001G.R.Abolish_type_species.pdf")</f>
        <v>2020.001G.R.Abolish_type_species.pdf</v>
      </c>
      <c r="U10465" s="43" t="str">
        <f>HYPERLINK("https://ictv.global/taxonomy/taxondetails?taxnode_id=202204762","ictv.global=202204762")</f>
        <v>ictv.global=202204762</v>
      </c>
    </row>
    <row r="10466" spans="1:21">
      <c r="A10466">
        <v>10465</v>
      </c>
      <c r="B10466" s="29" t="s">
        <v>4383</v>
      </c>
      <c r="C10466" s="29"/>
      <c r="D10466" s="29" t="s">
        <v>4384</v>
      </c>
      <c r="E10466" s="29"/>
      <c r="F10466" s="29" t="s">
        <v>4385</v>
      </c>
      <c r="G10466" s="29"/>
      <c r="H10466" s="29" t="s">
        <v>4390</v>
      </c>
      <c r="I10466" s="29"/>
      <c r="J10466" s="29" t="s">
        <v>4392</v>
      </c>
      <c r="K10466" s="29"/>
      <c r="L10466" s="29" t="s">
        <v>1535</v>
      </c>
      <c r="M10466" s="29" t="s">
        <v>1536</v>
      </c>
      <c r="N10466" s="29" t="s">
        <v>403</v>
      </c>
      <c r="O10466" s="29"/>
      <c r="P10466" s="29" t="s">
        <v>399</v>
      </c>
      <c r="Q10466" t="s">
        <v>2038</v>
      </c>
      <c r="R10466" t="s">
        <v>2634</v>
      </c>
      <c r="S10466">
        <v>35</v>
      </c>
      <c r="T10466" s="43" t="str">
        <f>HYPERLINK("https://ictv.global/ictv/proposals/2019.003G.zip","2019.003G.zip")</f>
        <v>2019.003G.zip</v>
      </c>
      <c r="U10466" s="43" t="str">
        <f>HYPERLINK("https://ictv.global/taxonomy/taxondetails?taxnode_id=202204763","ictv.global=202204763")</f>
        <v>ictv.global=202204763</v>
      </c>
    </row>
    <row r="10467" spans="1:21">
      <c r="A10467">
        <v>10466</v>
      </c>
      <c r="B10467" s="29" t="s">
        <v>4383</v>
      </c>
      <c r="C10467" s="29"/>
      <c r="D10467" s="29" t="s">
        <v>4384</v>
      </c>
      <c r="E10467" s="29"/>
      <c r="F10467" s="29" t="s">
        <v>4385</v>
      </c>
      <c r="G10467" s="29"/>
      <c r="H10467" s="29" t="s">
        <v>4390</v>
      </c>
      <c r="I10467" s="29"/>
      <c r="J10467" s="29" t="s">
        <v>4392</v>
      </c>
      <c r="K10467" s="29"/>
      <c r="L10467" s="29" t="s">
        <v>1535</v>
      </c>
      <c r="M10467" s="29" t="s">
        <v>1536</v>
      </c>
      <c r="N10467" s="29" t="s">
        <v>403</v>
      </c>
      <c r="O10467" s="29"/>
      <c r="P10467" s="29" t="s">
        <v>400</v>
      </c>
      <c r="Q10467" t="s">
        <v>2038</v>
      </c>
      <c r="R10467" t="s">
        <v>2634</v>
      </c>
      <c r="S10467">
        <v>35</v>
      </c>
      <c r="T10467" s="43" t="str">
        <f>HYPERLINK("https://ictv.global/ictv/proposals/2019.003G.zip","2019.003G.zip")</f>
        <v>2019.003G.zip</v>
      </c>
      <c r="U10467" s="43" t="str">
        <f>HYPERLINK("https://ictv.global/taxonomy/taxondetails?taxnode_id=202204764","ictv.global=202204764")</f>
        <v>ictv.global=202204764</v>
      </c>
    </row>
    <row r="10468" spans="1:21">
      <c r="A10468">
        <v>10467</v>
      </c>
      <c r="B10468" s="29" t="s">
        <v>4383</v>
      </c>
      <c r="C10468" s="29"/>
      <c r="D10468" s="29" t="s">
        <v>4384</v>
      </c>
      <c r="E10468" s="29"/>
      <c r="F10468" s="29" t="s">
        <v>4385</v>
      </c>
      <c r="G10468" s="29"/>
      <c r="H10468" s="29" t="s">
        <v>4390</v>
      </c>
      <c r="I10468" s="29"/>
      <c r="J10468" s="29" t="s">
        <v>4392</v>
      </c>
      <c r="K10468" s="29"/>
      <c r="L10468" s="29" t="s">
        <v>1535</v>
      </c>
      <c r="M10468" s="29" t="s">
        <v>1536</v>
      </c>
      <c r="N10468" s="29" t="s">
        <v>4396</v>
      </c>
      <c r="O10468" s="29"/>
      <c r="P10468" s="29" t="s">
        <v>4397</v>
      </c>
      <c r="Q10468" t="s">
        <v>2038</v>
      </c>
      <c r="R10468" t="s">
        <v>6901</v>
      </c>
      <c r="S10468">
        <v>36</v>
      </c>
      <c r="T10468" s="43" t="str">
        <f>HYPERLINK("https://ictv.global/ictv/proposals/2020.001G.R.Abolish_type_species.pdf","2020.001G.R.Abolish_type_species.pdf")</f>
        <v>2020.001G.R.Abolish_type_species.pdf</v>
      </c>
      <c r="U10468" s="43" t="str">
        <f>HYPERLINK("https://ictv.global/taxonomy/taxondetails?taxnode_id=202207145","ictv.global=202207145")</f>
        <v>ictv.global=202207145</v>
      </c>
    </row>
    <row r="10469" spans="1:21">
      <c r="A10469">
        <v>10468</v>
      </c>
      <c r="B10469" s="29" t="s">
        <v>4383</v>
      </c>
      <c r="C10469" s="29"/>
      <c r="D10469" s="29" t="s">
        <v>4384</v>
      </c>
      <c r="E10469" s="29"/>
      <c r="F10469" s="29" t="s">
        <v>4385</v>
      </c>
      <c r="G10469" s="29"/>
      <c r="H10469" s="29" t="s">
        <v>4390</v>
      </c>
      <c r="I10469" s="29"/>
      <c r="J10469" s="29" t="s">
        <v>4392</v>
      </c>
      <c r="K10469" s="29"/>
      <c r="L10469" s="29" t="s">
        <v>1535</v>
      </c>
      <c r="M10469" s="29" t="s">
        <v>1536</v>
      </c>
      <c r="N10469" s="29" t="s">
        <v>4396</v>
      </c>
      <c r="O10469" s="29"/>
      <c r="P10469" s="29" t="s">
        <v>4398</v>
      </c>
      <c r="Q10469" t="s">
        <v>2038</v>
      </c>
      <c r="R10469" t="s">
        <v>2632</v>
      </c>
      <c r="S10469">
        <v>35</v>
      </c>
      <c r="T10469" s="43" t="str">
        <f>HYPERLINK("https://ictv.global/ictv/proposals/2019.005D.zip","2019.005D.zip")</f>
        <v>2019.005D.zip</v>
      </c>
      <c r="U10469" s="43" t="str">
        <f>HYPERLINK("https://ictv.global/taxonomy/taxondetails?taxnode_id=202207146","ictv.global=202207146")</f>
        <v>ictv.global=202207146</v>
      </c>
    </row>
    <row r="10470" spans="1:21">
      <c r="A10470">
        <v>10469</v>
      </c>
      <c r="B10470" s="29" t="s">
        <v>4383</v>
      </c>
      <c r="C10470" s="29"/>
      <c r="D10470" s="29" t="s">
        <v>4384</v>
      </c>
      <c r="E10470" s="29"/>
      <c r="F10470" s="29" t="s">
        <v>4385</v>
      </c>
      <c r="G10470" s="29"/>
      <c r="H10470" s="29" t="s">
        <v>4390</v>
      </c>
      <c r="I10470" s="29"/>
      <c r="J10470" s="29" t="s">
        <v>4392</v>
      </c>
      <c r="K10470" s="29"/>
      <c r="L10470" s="29" t="s">
        <v>1535</v>
      </c>
      <c r="M10470" s="29" t="s">
        <v>1536</v>
      </c>
      <c r="N10470" s="29" t="s">
        <v>401</v>
      </c>
      <c r="O10470" s="29"/>
      <c r="P10470" s="29" t="s">
        <v>1415</v>
      </c>
      <c r="Q10470" t="s">
        <v>2038</v>
      </c>
      <c r="R10470" t="s">
        <v>6901</v>
      </c>
      <c r="S10470">
        <v>36</v>
      </c>
      <c r="T10470" s="43" t="str">
        <f>HYPERLINK("https://ictv.global/ictv/proposals/2020.001G.R.Abolish_type_species.pdf","2020.001G.R.Abolish_type_species.pdf")</f>
        <v>2020.001G.R.Abolish_type_species.pdf</v>
      </c>
      <c r="U10470" s="43" t="str">
        <f>HYPERLINK("https://ictv.global/taxonomy/taxondetails?taxnode_id=202204766","ictv.global=202204766")</f>
        <v>ictv.global=202204766</v>
      </c>
    </row>
    <row r="10471" spans="1:21">
      <c r="A10471">
        <v>10470</v>
      </c>
      <c r="B10471" s="29" t="s">
        <v>4383</v>
      </c>
      <c r="C10471" s="29"/>
      <c r="D10471" s="29" t="s">
        <v>4384</v>
      </c>
      <c r="E10471" s="29"/>
      <c r="F10471" s="29" t="s">
        <v>4385</v>
      </c>
      <c r="G10471" s="29"/>
      <c r="H10471" s="29" t="s">
        <v>4390</v>
      </c>
      <c r="I10471" s="29"/>
      <c r="J10471" s="29" t="s">
        <v>4392</v>
      </c>
      <c r="K10471" s="29"/>
      <c r="L10471" s="29" t="s">
        <v>1535</v>
      </c>
      <c r="M10471" s="29" t="s">
        <v>1536</v>
      </c>
      <c r="N10471" s="29" t="s">
        <v>4399</v>
      </c>
      <c r="O10471" s="29"/>
      <c r="P10471" s="29" t="s">
        <v>4400</v>
      </c>
      <c r="Q10471" t="s">
        <v>2038</v>
      </c>
      <c r="R10471" t="s">
        <v>6901</v>
      </c>
      <c r="S10471">
        <v>36</v>
      </c>
      <c r="T10471" s="43" t="str">
        <f>HYPERLINK("https://ictv.global/ictv/proposals/2020.001G.R.Abolish_type_species.pdf","2020.001G.R.Abolish_type_species.pdf")</f>
        <v>2020.001G.R.Abolish_type_species.pdf</v>
      </c>
      <c r="U10471" s="43" t="str">
        <f>HYPERLINK("https://ictv.global/taxonomy/taxondetails?taxnode_id=202207148","ictv.global=202207148")</f>
        <v>ictv.global=202207148</v>
      </c>
    </row>
    <row r="10472" spans="1:21">
      <c r="A10472">
        <v>10471</v>
      </c>
      <c r="B10472" s="29" t="s">
        <v>4383</v>
      </c>
      <c r="C10472" s="29"/>
      <c r="D10472" s="29" t="s">
        <v>4384</v>
      </c>
      <c r="E10472" s="29"/>
      <c r="F10472" s="29" t="s">
        <v>4385</v>
      </c>
      <c r="G10472" s="29"/>
      <c r="H10472" s="29" t="s">
        <v>4390</v>
      </c>
      <c r="I10472" s="29"/>
      <c r="J10472" s="29" t="s">
        <v>4392</v>
      </c>
      <c r="K10472" s="29"/>
      <c r="L10472" s="29" t="s">
        <v>1535</v>
      </c>
      <c r="M10472" s="29" t="s">
        <v>1536</v>
      </c>
      <c r="N10472" s="29" t="s">
        <v>899</v>
      </c>
      <c r="O10472" s="29"/>
      <c r="P10472" s="29" t="s">
        <v>4401</v>
      </c>
      <c r="Q10472" t="s">
        <v>2038</v>
      </c>
      <c r="R10472" t="s">
        <v>2632</v>
      </c>
      <c r="S10472">
        <v>35</v>
      </c>
      <c r="T10472" s="43" t="str">
        <f>HYPERLINK("https://ictv.global/ictv/proposals/2019.005D.zip","2019.005D.zip")</f>
        <v>2019.005D.zip</v>
      </c>
      <c r="U10472" s="43" t="str">
        <f>HYPERLINK("https://ictv.global/taxonomy/taxondetails?taxnode_id=202207149","ictv.global=202207149")</f>
        <v>ictv.global=202207149</v>
      </c>
    </row>
    <row r="10473" spans="1:21">
      <c r="A10473">
        <v>10472</v>
      </c>
      <c r="B10473" s="29" t="s">
        <v>4383</v>
      </c>
      <c r="C10473" s="29"/>
      <c r="D10473" s="29" t="s">
        <v>4384</v>
      </c>
      <c r="E10473" s="29"/>
      <c r="F10473" s="29" t="s">
        <v>4385</v>
      </c>
      <c r="G10473" s="29"/>
      <c r="H10473" s="29" t="s">
        <v>4390</v>
      </c>
      <c r="I10473" s="29"/>
      <c r="J10473" s="29" t="s">
        <v>4392</v>
      </c>
      <c r="K10473" s="29"/>
      <c r="L10473" s="29" t="s">
        <v>1535</v>
      </c>
      <c r="M10473" s="29" t="s">
        <v>1536</v>
      </c>
      <c r="N10473" s="29" t="s">
        <v>899</v>
      </c>
      <c r="O10473" s="29"/>
      <c r="P10473" s="29" t="s">
        <v>4402</v>
      </c>
      <c r="Q10473" t="s">
        <v>2038</v>
      </c>
      <c r="R10473" t="s">
        <v>2632</v>
      </c>
      <c r="S10473">
        <v>35</v>
      </c>
      <c r="T10473" s="43" t="str">
        <f>HYPERLINK("https://ictv.global/ictv/proposals/2019.005D.zip","2019.005D.zip")</f>
        <v>2019.005D.zip</v>
      </c>
      <c r="U10473" s="43" t="str">
        <f>HYPERLINK("https://ictv.global/taxonomy/taxondetails?taxnode_id=202207150","ictv.global=202207150")</f>
        <v>ictv.global=202207150</v>
      </c>
    </row>
    <row r="10474" spans="1:21">
      <c r="A10474">
        <v>10473</v>
      </c>
      <c r="B10474" s="29" t="s">
        <v>4383</v>
      </c>
      <c r="C10474" s="29"/>
      <c r="D10474" s="29" t="s">
        <v>4384</v>
      </c>
      <c r="E10474" s="29"/>
      <c r="F10474" s="29" t="s">
        <v>4385</v>
      </c>
      <c r="G10474" s="29"/>
      <c r="H10474" s="29" t="s">
        <v>4390</v>
      </c>
      <c r="I10474" s="29"/>
      <c r="J10474" s="29" t="s">
        <v>4392</v>
      </c>
      <c r="K10474" s="29"/>
      <c r="L10474" s="29" t="s">
        <v>1535</v>
      </c>
      <c r="M10474" s="29" t="s">
        <v>1536</v>
      </c>
      <c r="N10474" s="29" t="s">
        <v>899</v>
      </c>
      <c r="O10474" s="29"/>
      <c r="P10474" s="29" t="s">
        <v>900</v>
      </c>
      <c r="Q10474" t="s">
        <v>2038</v>
      </c>
      <c r="R10474" t="s">
        <v>2634</v>
      </c>
      <c r="S10474">
        <v>35</v>
      </c>
      <c r="T10474" s="43" t="str">
        <f t="shared" ref="T10474:T10480" si="451">HYPERLINK("https://ictv.global/ictv/proposals/2019.003G.zip","2019.003G.zip")</f>
        <v>2019.003G.zip</v>
      </c>
      <c r="U10474" s="43" t="str">
        <f>HYPERLINK("https://ictv.global/taxonomy/taxondetails?taxnode_id=202204768","ictv.global=202204768")</f>
        <v>ictv.global=202204768</v>
      </c>
    </row>
    <row r="10475" spans="1:21">
      <c r="A10475">
        <v>10474</v>
      </c>
      <c r="B10475" s="29" t="s">
        <v>4383</v>
      </c>
      <c r="C10475" s="29"/>
      <c r="D10475" s="29" t="s">
        <v>4384</v>
      </c>
      <c r="E10475" s="29"/>
      <c r="F10475" s="29" t="s">
        <v>4385</v>
      </c>
      <c r="G10475" s="29"/>
      <c r="H10475" s="29" t="s">
        <v>4390</v>
      </c>
      <c r="I10475" s="29"/>
      <c r="J10475" s="29" t="s">
        <v>4392</v>
      </c>
      <c r="K10475" s="29"/>
      <c r="L10475" s="29" t="s">
        <v>1535</v>
      </c>
      <c r="M10475" s="29" t="s">
        <v>1536</v>
      </c>
      <c r="N10475" s="29" t="s">
        <v>899</v>
      </c>
      <c r="O10475" s="29"/>
      <c r="P10475" s="29" t="s">
        <v>901</v>
      </c>
      <c r="Q10475" t="s">
        <v>2038</v>
      </c>
      <c r="R10475" t="s">
        <v>2634</v>
      </c>
      <c r="S10475">
        <v>35</v>
      </c>
      <c r="T10475" s="43" t="str">
        <f t="shared" si="451"/>
        <v>2019.003G.zip</v>
      </c>
      <c r="U10475" s="43" t="str">
        <f>HYPERLINK("https://ictv.global/taxonomy/taxondetails?taxnode_id=202204769","ictv.global=202204769")</f>
        <v>ictv.global=202204769</v>
      </c>
    </row>
    <row r="10476" spans="1:21">
      <c r="A10476">
        <v>10475</v>
      </c>
      <c r="B10476" s="29" t="s">
        <v>4383</v>
      </c>
      <c r="C10476" s="29"/>
      <c r="D10476" s="29" t="s">
        <v>4384</v>
      </c>
      <c r="E10476" s="29"/>
      <c r="F10476" s="29" t="s">
        <v>4385</v>
      </c>
      <c r="G10476" s="29"/>
      <c r="H10476" s="29" t="s">
        <v>4390</v>
      </c>
      <c r="I10476" s="29"/>
      <c r="J10476" s="29" t="s">
        <v>4392</v>
      </c>
      <c r="K10476" s="29"/>
      <c r="L10476" s="29" t="s">
        <v>1535</v>
      </c>
      <c r="M10476" s="29" t="s">
        <v>1536</v>
      </c>
      <c r="N10476" s="29" t="s">
        <v>899</v>
      </c>
      <c r="O10476" s="29"/>
      <c r="P10476" s="29" t="s">
        <v>902</v>
      </c>
      <c r="Q10476" t="s">
        <v>2038</v>
      </c>
      <c r="R10476" t="s">
        <v>2634</v>
      </c>
      <c r="S10476">
        <v>35</v>
      </c>
      <c r="T10476" s="43" t="str">
        <f t="shared" si="451"/>
        <v>2019.003G.zip</v>
      </c>
      <c r="U10476" s="43" t="str">
        <f>HYPERLINK("https://ictv.global/taxonomy/taxondetails?taxnode_id=202204770","ictv.global=202204770")</f>
        <v>ictv.global=202204770</v>
      </c>
    </row>
    <row r="10477" spans="1:21">
      <c r="A10477">
        <v>10476</v>
      </c>
      <c r="B10477" s="29" t="s">
        <v>4383</v>
      </c>
      <c r="C10477" s="29"/>
      <c r="D10477" s="29" t="s">
        <v>4384</v>
      </c>
      <c r="E10477" s="29"/>
      <c r="F10477" s="29" t="s">
        <v>4385</v>
      </c>
      <c r="G10477" s="29"/>
      <c r="H10477" s="29" t="s">
        <v>4390</v>
      </c>
      <c r="I10477" s="29"/>
      <c r="J10477" s="29" t="s">
        <v>4392</v>
      </c>
      <c r="K10477" s="29"/>
      <c r="L10477" s="29" t="s">
        <v>1535</v>
      </c>
      <c r="M10477" s="29" t="s">
        <v>1536</v>
      </c>
      <c r="N10477" s="29" t="s">
        <v>899</v>
      </c>
      <c r="O10477" s="29"/>
      <c r="P10477" s="29" t="s">
        <v>903</v>
      </c>
      <c r="Q10477" t="s">
        <v>2038</v>
      </c>
      <c r="R10477" t="s">
        <v>2634</v>
      </c>
      <c r="S10477">
        <v>35</v>
      </c>
      <c r="T10477" s="43" t="str">
        <f t="shared" si="451"/>
        <v>2019.003G.zip</v>
      </c>
      <c r="U10477" s="43" t="str">
        <f>HYPERLINK("https://ictv.global/taxonomy/taxondetails?taxnode_id=202204771","ictv.global=202204771")</f>
        <v>ictv.global=202204771</v>
      </c>
    </row>
    <row r="10478" spans="1:21">
      <c r="A10478">
        <v>10477</v>
      </c>
      <c r="B10478" s="29" t="s">
        <v>4383</v>
      </c>
      <c r="C10478" s="29"/>
      <c r="D10478" s="29" t="s">
        <v>4384</v>
      </c>
      <c r="E10478" s="29"/>
      <c r="F10478" s="29" t="s">
        <v>4385</v>
      </c>
      <c r="G10478" s="29"/>
      <c r="H10478" s="29" t="s">
        <v>4390</v>
      </c>
      <c r="I10478" s="29"/>
      <c r="J10478" s="29" t="s">
        <v>4392</v>
      </c>
      <c r="K10478" s="29"/>
      <c r="L10478" s="29" t="s">
        <v>1535</v>
      </c>
      <c r="M10478" s="29" t="s">
        <v>1536</v>
      </c>
      <c r="N10478" s="29" t="s">
        <v>899</v>
      </c>
      <c r="O10478" s="29"/>
      <c r="P10478" s="29" t="s">
        <v>904</v>
      </c>
      <c r="Q10478" t="s">
        <v>2038</v>
      </c>
      <c r="R10478" t="s">
        <v>2634</v>
      </c>
      <c r="S10478">
        <v>35</v>
      </c>
      <c r="T10478" s="43" t="str">
        <f t="shared" si="451"/>
        <v>2019.003G.zip</v>
      </c>
      <c r="U10478" s="43" t="str">
        <f>HYPERLINK("https://ictv.global/taxonomy/taxondetails?taxnode_id=202204772","ictv.global=202204772")</f>
        <v>ictv.global=202204772</v>
      </c>
    </row>
    <row r="10479" spans="1:21">
      <c r="A10479">
        <v>10478</v>
      </c>
      <c r="B10479" s="29" t="s">
        <v>4383</v>
      </c>
      <c r="C10479" s="29"/>
      <c r="D10479" s="29" t="s">
        <v>4384</v>
      </c>
      <c r="E10479" s="29"/>
      <c r="F10479" s="29" t="s">
        <v>4385</v>
      </c>
      <c r="G10479" s="29"/>
      <c r="H10479" s="29" t="s">
        <v>4390</v>
      </c>
      <c r="I10479" s="29"/>
      <c r="J10479" s="29" t="s">
        <v>4392</v>
      </c>
      <c r="K10479" s="29"/>
      <c r="L10479" s="29" t="s">
        <v>1535</v>
      </c>
      <c r="M10479" s="29" t="s">
        <v>1536</v>
      </c>
      <c r="N10479" s="29" t="s">
        <v>899</v>
      </c>
      <c r="O10479" s="29"/>
      <c r="P10479" s="29" t="s">
        <v>161</v>
      </c>
      <c r="Q10479" t="s">
        <v>2038</v>
      </c>
      <c r="R10479" t="s">
        <v>2634</v>
      </c>
      <c r="S10479">
        <v>35</v>
      </c>
      <c r="T10479" s="43" t="str">
        <f t="shared" si="451"/>
        <v>2019.003G.zip</v>
      </c>
      <c r="U10479" s="43" t="str">
        <f>HYPERLINK("https://ictv.global/taxonomy/taxondetails?taxnode_id=202204773","ictv.global=202204773")</f>
        <v>ictv.global=202204773</v>
      </c>
    </row>
    <row r="10480" spans="1:21">
      <c r="A10480">
        <v>10479</v>
      </c>
      <c r="B10480" s="29" t="s">
        <v>4383</v>
      </c>
      <c r="C10480" s="29"/>
      <c r="D10480" s="29" t="s">
        <v>4384</v>
      </c>
      <c r="E10480" s="29"/>
      <c r="F10480" s="29" t="s">
        <v>4385</v>
      </c>
      <c r="G10480" s="29"/>
      <c r="H10480" s="29" t="s">
        <v>4390</v>
      </c>
      <c r="I10480" s="29"/>
      <c r="J10480" s="29" t="s">
        <v>4392</v>
      </c>
      <c r="K10480" s="29"/>
      <c r="L10480" s="29" t="s">
        <v>1535</v>
      </c>
      <c r="M10480" s="29" t="s">
        <v>1536</v>
      </c>
      <c r="N10480" s="29" t="s">
        <v>899</v>
      </c>
      <c r="O10480" s="29"/>
      <c r="P10480" s="29" t="s">
        <v>905</v>
      </c>
      <c r="Q10480" t="s">
        <v>2038</v>
      </c>
      <c r="R10480" t="s">
        <v>2634</v>
      </c>
      <c r="S10480">
        <v>35</v>
      </c>
      <c r="T10480" s="43" t="str">
        <f t="shared" si="451"/>
        <v>2019.003G.zip</v>
      </c>
      <c r="U10480" s="43" t="str">
        <f>HYPERLINK("https://ictv.global/taxonomy/taxondetails?taxnode_id=202204774","ictv.global=202204774")</f>
        <v>ictv.global=202204774</v>
      </c>
    </row>
    <row r="10481" spans="1:21">
      <c r="A10481">
        <v>10480</v>
      </c>
      <c r="B10481" s="29" t="s">
        <v>4383</v>
      </c>
      <c r="C10481" s="29"/>
      <c r="D10481" s="29" t="s">
        <v>4384</v>
      </c>
      <c r="E10481" s="29"/>
      <c r="F10481" s="29" t="s">
        <v>4385</v>
      </c>
      <c r="G10481" s="29"/>
      <c r="H10481" s="29" t="s">
        <v>4390</v>
      </c>
      <c r="I10481" s="29"/>
      <c r="J10481" s="29" t="s">
        <v>4392</v>
      </c>
      <c r="K10481" s="29"/>
      <c r="L10481" s="29" t="s">
        <v>1535</v>
      </c>
      <c r="M10481" s="29" t="s">
        <v>1536</v>
      </c>
      <c r="N10481" s="29" t="s">
        <v>899</v>
      </c>
      <c r="O10481" s="29"/>
      <c r="P10481" s="29" t="s">
        <v>906</v>
      </c>
      <c r="Q10481" t="s">
        <v>2038</v>
      </c>
      <c r="R10481" t="s">
        <v>6901</v>
      </c>
      <c r="S10481">
        <v>36</v>
      </c>
      <c r="T10481" s="43" t="str">
        <f>HYPERLINK("https://ictv.global/ictv/proposals/2020.001G.R.Abolish_type_species.pdf","2020.001G.R.Abolish_type_species.pdf")</f>
        <v>2020.001G.R.Abolish_type_species.pdf</v>
      </c>
      <c r="U10481" s="43" t="str">
        <f>HYPERLINK("https://ictv.global/taxonomy/taxondetails?taxnode_id=202204775","ictv.global=202204775")</f>
        <v>ictv.global=202204775</v>
      </c>
    </row>
    <row r="10482" spans="1:21">
      <c r="A10482">
        <v>10481</v>
      </c>
      <c r="B10482" s="29" t="s">
        <v>4383</v>
      </c>
      <c r="C10482" s="29"/>
      <c r="D10482" s="29" t="s">
        <v>4384</v>
      </c>
      <c r="E10482" s="29"/>
      <c r="F10482" s="29" t="s">
        <v>4385</v>
      </c>
      <c r="G10482" s="29"/>
      <c r="H10482" s="29" t="s">
        <v>4390</v>
      </c>
      <c r="I10482" s="29"/>
      <c r="J10482" s="29" t="s">
        <v>4392</v>
      </c>
      <c r="K10482" s="29"/>
      <c r="L10482" s="29" t="s">
        <v>1535</v>
      </c>
      <c r="M10482" s="29" t="s">
        <v>1536</v>
      </c>
      <c r="N10482" s="29" t="s">
        <v>899</v>
      </c>
      <c r="O10482" s="29"/>
      <c r="P10482" s="29" t="s">
        <v>907</v>
      </c>
      <c r="Q10482" t="s">
        <v>2038</v>
      </c>
      <c r="R10482" t="s">
        <v>2634</v>
      </c>
      <c r="S10482">
        <v>35</v>
      </c>
      <c r="T10482" s="43" t="str">
        <f>HYPERLINK("https://ictv.global/ictv/proposals/2019.003G.zip","2019.003G.zip")</f>
        <v>2019.003G.zip</v>
      </c>
      <c r="U10482" s="43" t="str">
        <f>HYPERLINK("https://ictv.global/taxonomy/taxondetails?taxnode_id=202204776","ictv.global=202204776")</f>
        <v>ictv.global=202204776</v>
      </c>
    </row>
    <row r="10483" spans="1:21">
      <c r="A10483">
        <v>10482</v>
      </c>
      <c r="B10483" s="29" t="s">
        <v>4383</v>
      </c>
      <c r="C10483" s="29"/>
      <c r="D10483" s="29" t="s">
        <v>4384</v>
      </c>
      <c r="E10483" s="29"/>
      <c r="F10483" s="29" t="s">
        <v>4385</v>
      </c>
      <c r="G10483" s="29"/>
      <c r="H10483" s="29" t="s">
        <v>4390</v>
      </c>
      <c r="I10483" s="29"/>
      <c r="J10483" s="29" t="s">
        <v>4392</v>
      </c>
      <c r="K10483" s="29"/>
      <c r="L10483" s="29" t="s">
        <v>1535</v>
      </c>
      <c r="M10483" s="29" t="s">
        <v>1536</v>
      </c>
      <c r="N10483" s="29" t="s">
        <v>899</v>
      </c>
      <c r="O10483" s="29"/>
      <c r="P10483" s="29" t="s">
        <v>908</v>
      </c>
      <c r="Q10483" t="s">
        <v>2038</v>
      </c>
      <c r="R10483" t="s">
        <v>2634</v>
      </c>
      <c r="S10483">
        <v>35</v>
      </c>
      <c r="T10483" s="43" t="str">
        <f>HYPERLINK("https://ictv.global/ictv/proposals/2019.003G.zip","2019.003G.zip")</f>
        <v>2019.003G.zip</v>
      </c>
      <c r="U10483" s="43" t="str">
        <f>HYPERLINK("https://ictv.global/taxonomy/taxondetails?taxnode_id=202204777","ictv.global=202204777")</f>
        <v>ictv.global=202204777</v>
      </c>
    </row>
    <row r="10484" spans="1:21">
      <c r="A10484">
        <v>10483</v>
      </c>
      <c r="B10484" s="29" t="s">
        <v>4383</v>
      </c>
      <c r="C10484" s="29"/>
      <c r="D10484" s="29" t="s">
        <v>4384</v>
      </c>
      <c r="E10484" s="29"/>
      <c r="F10484" s="29" t="s">
        <v>4385</v>
      </c>
      <c r="G10484" s="29"/>
      <c r="H10484" s="29" t="s">
        <v>4390</v>
      </c>
      <c r="I10484" s="29"/>
      <c r="J10484" s="29" t="s">
        <v>4392</v>
      </c>
      <c r="K10484" s="29"/>
      <c r="L10484" s="29" t="s">
        <v>1535</v>
      </c>
      <c r="M10484" s="29" t="s">
        <v>1536</v>
      </c>
      <c r="N10484" s="29" t="s">
        <v>4403</v>
      </c>
      <c r="O10484" s="29"/>
      <c r="P10484" s="29" t="s">
        <v>4404</v>
      </c>
      <c r="Q10484" t="s">
        <v>2038</v>
      </c>
      <c r="R10484" t="s">
        <v>6901</v>
      </c>
      <c r="S10484">
        <v>36</v>
      </c>
      <c r="T10484" s="43" t="str">
        <f>HYPERLINK("https://ictv.global/ictv/proposals/2020.001G.R.Abolish_type_species.pdf","2020.001G.R.Abolish_type_species.pdf")</f>
        <v>2020.001G.R.Abolish_type_species.pdf</v>
      </c>
      <c r="U10484" s="43" t="str">
        <f>HYPERLINK("https://ictv.global/taxonomy/taxondetails?taxnode_id=202207152","ictv.global=202207152")</f>
        <v>ictv.global=202207152</v>
      </c>
    </row>
    <row r="10485" spans="1:21">
      <c r="A10485">
        <v>10484</v>
      </c>
      <c r="B10485" s="29" t="s">
        <v>4383</v>
      </c>
      <c r="C10485" s="29"/>
      <c r="D10485" s="29" t="s">
        <v>4384</v>
      </c>
      <c r="E10485" s="29"/>
      <c r="F10485" s="29" t="s">
        <v>4385</v>
      </c>
      <c r="G10485" s="29"/>
      <c r="H10485" s="29" t="s">
        <v>4390</v>
      </c>
      <c r="I10485" s="29"/>
      <c r="J10485" s="29" t="s">
        <v>4392</v>
      </c>
      <c r="K10485" s="29"/>
      <c r="L10485" s="29" t="s">
        <v>1535</v>
      </c>
      <c r="M10485" s="29" t="s">
        <v>1536</v>
      </c>
      <c r="N10485" s="29" t="s">
        <v>909</v>
      </c>
      <c r="O10485" s="29"/>
      <c r="P10485" s="29" t="s">
        <v>910</v>
      </c>
      <c r="Q10485" t="s">
        <v>2038</v>
      </c>
      <c r="R10485" t="s">
        <v>2634</v>
      </c>
      <c r="S10485">
        <v>35</v>
      </c>
      <c r="T10485" s="43" t="str">
        <f>HYPERLINK("https://ictv.global/ictv/proposals/2019.003G.zip","2019.003G.zip")</f>
        <v>2019.003G.zip</v>
      </c>
      <c r="U10485" s="43" t="str">
        <f>HYPERLINK("https://ictv.global/taxonomy/taxondetails?taxnode_id=202204779","ictv.global=202204779")</f>
        <v>ictv.global=202204779</v>
      </c>
    </row>
    <row r="10486" spans="1:21">
      <c r="A10486">
        <v>10485</v>
      </c>
      <c r="B10486" s="29" t="s">
        <v>4383</v>
      </c>
      <c r="C10486" s="29"/>
      <c r="D10486" s="29" t="s">
        <v>4384</v>
      </c>
      <c r="E10486" s="29"/>
      <c r="F10486" s="29" t="s">
        <v>4385</v>
      </c>
      <c r="G10486" s="29"/>
      <c r="H10486" s="29" t="s">
        <v>4390</v>
      </c>
      <c r="I10486" s="29"/>
      <c r="J10486" s="29" t="s">
        <v>4392</v>
      </c>
      <c r="K10486" s="29"/>
      <c r="L10486" s="29" t="s">
        <v>1535</v>
      </c>
      <c r="M10486" s="29" t="s">
        <v>1536</v>
      </c>
      <c r="N10486" s="29" t="s">
        <v>909</v>
      </c>
      <c r="O10486" s="29"/>
      <c r="P10486" s="29" t="s">
        <v>4405</v>
      </c>
      <c r="Q10486" t="s">
        <v>2038</v>
      </c>
      <c r="R10486" t="s">
        <v>2632</v>
      </c>
      <c r="S10486">
        <v>35</v>
      </c>
      <c r="T10486" s="43" t="str">
        <f>HYPERLINK("https://ictv.global/ictv/proposals/2019.005D.zip","2019.005D.zip")</f>
        <v>2019.005D.zip</v>
      </c>
      <c r="U10486" s="43" t="str">
        <f>HYPERLINK("https://ictv.global/taxonomy/taxondetails?taxnode_id=202207153","ictv.global=202207153")</f>
        <v>ictv.global=202207153</v>
      </c>
    </row>
    <row r="10487" spans="1:21">
      <c r="A10487">
        <v>10486</v>
      </c>
      <c r="B10487" s="29" t="s">
        <v>4383</v>
      </c>
      <c r="C10487" s="29"/>
      <c r="D10487" s="29" t="s">
        <v>4384</v>
      </c>
      <c r="E10487" s="29"/>
      <c r="F10487" s="29" t="s">
        <v>4385</v>
      </c>
      <c r="G10487" s="29"/>
      <c r="H10487" s="29" t="s">
        <v>4390</v>
      </c>
      <c r="I10487" s="29"/>
      <c r="J10487" s="29" t="s">
        <v>4392</v>
      </c>
      <c r="K10487" s="29"/>
      <c r="L10487" s="29" t="s">
        <v>1535</v>
      </c>
      <c r="M10487" s="29" t="s">
        <v>1536</v>
      </c>
      <c r="N10487" s="29" t="s">
        <v>909</v>
      </c>
      <c r="O10487" s="29"/>
      <c r="P10487" s="29" t="s">
        <v>911</v>
      </c>
      <c r="Q10487" t="s">
        <v>2038</v>
      </c>
      <c r="R10487" t="s">
        <v>6901</v>
      </c>
      <c r="S10487">
        <v>36</v>
      </c>
      <c r="T10487" s="43" t="str">
        <f>HYPERLINK("https://ictv.global/ictv/proposals/2020.001G.R.Abolish_type_species.pdf","2020.001G.R.Abolish_type_species.pdf")</f>
        <v>2020.001G.R.Abolish_type_species.pdf</v>
      </c>
      <c r="U10487" s="43" t="str">
        <f>HYPERLINK("https://ictv.global/taxonomy/taxondetails?taxnode_id=202204780","ictv.global=202204780")</f>
        <v>ictv.global=202204780</v>
      </c>
    </row>
    <row r="10488" spans="1:21">
      <c r="A10488">
        <v>10487</v>
      </c>
      <c r="B10488" s="29" t="s">
        <v>4383</v>
      </c>
      <c r="C10488" s="29"/>
      <c r="D10488" s="29" t="s">
        <v>4384</v>
      </c>
      <c r="E10488" s="29"/>
      <c r="F10488" s="29" t="s">
        <v>4385</v>
      </c>
      <c r="G10488" s="29"/>
      <c r="H10488" s="29" t="s">
        <v>4390</v>
      </c>
      <c r="I10488" s="29"/>
      <c r="J10488" s="29" t="s">
        <v>4392</v>
      </c>
      <c r="K10488" s="29"/>
      <c r="L10488" s="29" t="s">
        <v>1535</v>
      </c>
      <c r="M10488" s="29" t="s">
        <v>1536</v>
      </c>
      <c r="N10488" s="29" t="s">
        <v>909</v>
      </c>
      <c r="O10488" s="29"/>
      <c r="P10488" s="29" t="s">
        <v>912</v>
      </c>
      <c r="Q10488" t="s">
        <v>2038</v>
      </c>
      <c r="R10488" t="s">
        <v>2634</v>
      </c>
      <c r="S10488">
        <v>35</v>
      </c>
      <c r="T10488" s="43" t="str">
        <f>HYPERLINK("https://ictv.global/ictv/proposals/2019.003G.zip","2019.003G.zip")</f>
        <v>2019.003G.zip</v>
      </c>
      <c r="U10488" s="43" t="str">
        <f>HYPERLINK("https://ictv.global/taxonomy/taxondetails?taxnode_id=202204782","ictv.global=202204782")</f>
        <v>ictv.global=202204782</v>
      </c>
    </row>
    <row r="10489" spans="1:21">
      <c r="A10489">
        <v>10488</v>
      </c>
      <c r="B10489" s="29" t="s">
        <v>4383</v>
      </c>
      <c r="C10489" s="29"/>
      <c r="D10489" s="29" t="s">
        <v>4384</v>
      </c>
      <c r="E10489" s="29"/>
      <c r="F10489" s="29" t="s">
        <v>4385</v>
      </c>
      <c r="G10489" s="29"/>
      <c r="H10489" s="29" t="s">
        <v>4390</v>
      </c>
      <c r="I10489" s="29"/>
      <c r="J10489" s="29" t="s">
        <v>4392</v>
      </c>
      <c r="K10489" s="29"/>
      <c r="L10489" s="29" t="s">
        <v>1535</v>
      </c>
      <c r="M10489" s="29" t="s">
        <v>1536</v>
      </c>
      <c r="N10489" s="29" t="s">
        <v>909</v>
      </c>
      <c r="O10489" s="29"/>
      <c r="P10489" s="29" t="s">
        <v>4406</v>
      </c>
      <c r="Q10489" t="s">
        <v>2038</v>
      </c>
      <c r="R10489" t="s">
        <v>2633</v>
      </c>
      <c r="S10489">
        <v>35</v>
      </c>
      <c r="T10489" s="43" t="str">
        <f>HYPERLINK("https://ictv.global/ictv/proposals/2019.005D.zip","2019.005D.zip")</f>
        <v>2019.005D.zip</v>
      </c>
      <c r="U10489" s="43" t="str">
        <f>HYPERLINK("https://ictv.global/taxonomy/taxondetails?taxnode_id=202204781","ictv.global=202204781")</f>
        <v>ictv.global=202204781</v>
      </c>
    </row>
    <row r="10490" spans="1:21">
      <c r="A10490">
        <v>10489</v>
      </c>
      <c r="B10490" s="29" t="s">
        <v>4383</v>
      </c>
      <c r="C10490" s="29"/>
      <c r="D10490" s="29" t="s">
        <v>4384</v>
      </c>
      <c r="E10490" s="29"/>
      <c r="F10490" s="29" t="s">
        <v>4385</v>
      </c>
      <c r="G10490" s="29"/>
      <c r="H10490" s="29" t="s">
        <v>4390</v>
      </c>
      <c r="I10490" s="29"/>
      <c r="J10490" s="29" t="s">
        <v>4392</v>
      </c>
      <c r="K10490" s="29"/>
      <c r="L10490" s="29" t="s">
        <v>1535</v>
      </c>
      <c r="M10490" s="29" t="s">
        <v>1536</v>
      </c>
      <c r="N10490" s="29" t="s">
        <v>4407</v>
      </c>
      <c r="O10490" s="29"/>
      <c r="P10490" s="29" t="s">
        <v>2547</v>
      </c>
      <c r="Q10490" t="s">
        <v>2038</v>
      </c>
      <c r="R10490" t="s">
        <v>6901</v>
      </c>
      <c r="S10490">
        <v>36</v>
      </c>
      <c r="T10490" s="43" t="str">
        <f>HYPERLINK("https://ictv.global/ictv/proposals/2020.001G.R.Abolish_type_species.pdf","2020.001G.R.Abolish_type_species.pdf")</f>
        <v>2020.001G.R.Abolish_type_species.pdf</v>
      </c>
      <c r="U10490" s="43" t="str">
        <f>HYPERLINK("https://ictv.global/taxonomy/taxondetails?taxnode_id=202204786","ictv.global=202204786")</f>
        <v>ictv.global=202204786</v>
      </c>
    </row>
    <row r="10491" spans="1:21">
      <c r="A10491">
        <v>10490</v>
      </c>
      <c r="B10491" s="29" t="s">
        <v>4383</v>
      </c>
      <c r="C10491" s="29"/>
      <c r="D10491" s="29" t="s">
        <v>4384</v>
      </c>
      <c r="E10491" s="29"/>
      <c r="F10491" s="29" t="s">
        <v>4385</v>
      </c>
      <c r="G10491" s="29"/>
      <c r="H10491" s="29" t="s">
        <v>4390</v>
      </c>
      <c r="I10491" s="29"/>
      <c r="J10491" s="29" t="s">
        <v>4392</v>
      </c>
      <c r="K10491" s="29"/>
      <c r="L10491" s="29" t="s">
        <v>1535</v>
      </c>
      <c r="M10491" s="29" t="s">
        <v>1536</v>
      </c>
      <c r="N10491" s="29" t="s">
        <v>4408</v>
      </c>
      <c r="O10491" s="29"/>
      <c r="P10491" s="29" t="s">
        <v>4409</v>
      </c>
      <c r="Q10491" t="s">
        <v>2038</v>
      </c>
      <c r="R10491" t="s">
        <v>6901</v>
      </c>
      <c r="S10491">
        <v>36</v>
      </c>
      <c r="T10491" s="43" t="str">
        <f>HYPERLINK("https://ictv.global/ictv/proposals/2020.001G.R.Abolish_type_species.pdf","2020.001G.R.Abolish_type_species.pdf")</f>
        <v>2020.001G.R.Abolish_type_species.pdf</v>
      </c>
      <c r="U10491" s="43" t="str">
        <f>HYPERLINK("https://ictv.global/taxonomy/taxondetails?taxnode_id=202207156","ictv.global=202207156")</f>
        <v>ictv.global=202207156</v>
      </c>
    </row>
    <row r="10492" spans="1:21">
      <c r="A10492">
        <v>10491</v>
      </c>
      <c r="B10492" s="29" t="s">
        <v>4383</v>
      </c>
      <c r="C10492" s="29"/>
      <c r="D10492" s="29" t="s">
        <v>4384</v>
      </c>
      <c r="E10492" s="29"/>
      <c r="F10492" s="29" t="s">
        <v>4385</v>
      </c>
      <c r="G10492" s="29"/>
      <c r="H10492" s="29" t="s">
        <v>4390</v>
      </c>
      <c r="I10492" s="29"/>
      <c r="J10492" s="29" t="s">
        <v>4392</v>
      </c>
      <c r="K10492" s="29"/>
      <c r="L10492" s="29" t="s">
        <v>1535</v>
      </c>
      <c r="M10492" s="29" t="s">
        <v>1536</v>
      </c>
      <c r="N10492" s="29" t="s">
        <v>4410</v>
      </c>
      <c r="O10492" s="29"/>
      <c r="P10492" s="29" t="s">
        <v>162</v>
      </c>
      <c r="Q10492" t="s">
        <v>2038</v>
      </c>
      <c r="R10492" t="s">
        <v>6901</v>
      </c>
      <c r="S10492">
        <v>36</v>
      </c>
      <c r="T10492" s="43" t="str">
        <f>HYPERLINK("https://ictv.global/ictv/proposals/2020.001G.R.Abolish_type_species.pdf","2020.001G.R.Abolish_type_species.pdf")</f>
        <v>2020.001G.R.Abolish_type_species.pdf</v>
      </c>
      <c r="U10492" s="43" t="str">
        <f>HYPERLINK("https://ictv.global/taxonomy/taxondetails?taxnode_id=202204787","ictv.global=202204787")</f>
        <v>ictv.global=202204787</v>
      </c>
    </row>
    <row r="10493" spans="1:21">
      <c r="A10493">
        <v>10492</v>
      </c>
      <c r="B10493" s="29" t="s">
        <v>4383</v>
      </c>
      <c r="C10493" s="29"/>
      <c r="D10493" s="29" t="s">
        <v>4384</v>
      </c>
      <c r="E10493" s="29"/>
      <c r="F10493" s="29" t="s">
        <v>4385</v>
      </c>
      <c r="G10493" s="29"/>
      <c r="H10493" s="29" t="s">
        <v>4390</v>
      </c>
      <c r="I10493" s="29"/>
      <c r="J10493" s="29" t="s">
        <v>4392</v>
      </c>
      <c r="K10493" s="29"/>
      <c r="L10493" s="29" t="s">
        <v>1535</v>
      </c>
      <c r="M10493" s="29" t="s">
        <v>1536</v>
      </c>
      <c r="N10493" s="29" t="s">
        <v>913</v>
      </c>
      <c r="O10493" s="29"/>
      <c r="P10493" s="29" t="s">
        <v>914</v>
      </c>
      <c r="Q10493" t="s">
        <v>2038</v>
      </c>
      <c r="R10493" t="s">
        <v>6901</v>
      </c>
      <c r="S10493">
        <v>36</v>
      </c>
      <c r="T10493" s="43" t="str">
        <f>HYPERLINK("https://ictv.global/ictv/proposals/2020.001G.R.Abolish_type_species.pdf","2020.001G.R.Abolish_type_species.pdf")</f>
        <v>2020.001G.R.Abolish_type_species.pdf</v>
      </c>
      <c r="U10493" s="43" t="str">
        <f>HYPERLINK("https://ictv.global/taxonomy/taxondetails?taxnode_id=202204784","ictv.global=202204784")</f>
        <v>ictv.global=202204784</v>
      </c>
    </row>
    <row r="10494" spans="1:21">
      <c r="A10494">
        <v>10493</v>
      </c>
      <c r="B10494" s="29" t="s">
        <v>4383</v>
      </c>
      <c r="C10494" s="29"/>
      <c r="D10494" s="29" t="s">
        <v>4384</v>
      </c>
      <c r="E10494" s="29"/>
      <c r="F10494" s="29" t="s">
        <v>4385</v>
      </c>
      <c r="G10494" s="29"/>
      <c r="H10494" s="29" t="s">
        <v>4390</v>
      </c>
      <c r="I10494" s="29"/>
      <c r="J10494" s="29" t="s">
        <v>4392</v>
      </c>
      <c r="K10494" s="29"/>
      <c r="L10494" s="29" t="s">
        <v>1535</v>
      </c>
      <c r="M10494" s="29" t="s">
        <v>1536</v>
      </c>
      <c r="N10494" s="29" t="s">
        <v>4411</v>
      </c>
      <c r="O10494" s="29"/>
      <c r="P10494" s="29" t="s">
        <v>4412</v>
      </c>
      <c r="Q10494" t="s">
        <v>2038</v>
      </c>
      <c r="R10494" t="s">
        <v>6901</v>
      </c>
      <c r="S10494">
        <v>36</v>
      </c>
      <c r="T10494" s="43" t="str">
        <f>HYPERLINK("https://ictv.global/ictv/proposals/2020.001G.R.Abolish_type_species.pdf","2020.001G.R.Abolish_type_species.pdf")</f>
        <v>2020.001G.R.Abolish_type_species.pdf</v>
      </c>
      <c r="U10494" s="43" t="str">
        <f>HYPERLINK("https://ictv.global/taxonomy/taxondetails?taxnode_id=202207159","ictv.global=202207159")</f>
        <v>ictv.global=202207159</v>
      </c>
    </row>
    <row r="10495" spans="1:21">
      <c r="A10495">
        <v>10494</v>
      </c>
      <c r="B10495" s="29" t="s">
        <v>4383</v>
      </c>
      <c r="C10495" s="29"/>
      <c r="D10495" s="29" t="s">
        <v>4384</v>
      </c>
      <c r="E10495" s="29"/>
      <c r="F10495" s="29" t="s">
        <v>4385</v>
      </c>
      <c r="G10495" s="29"/>
      <c r="H10495" s="29" t="s">
        <v>4390</v>
      </c>
      <c r="I10495" s="29"/>
      <c r="J10495" s="29" t="s">
        <v>4392</v>
      </c>
      <c r="K10495" s="29"/>
      <c r="L10495" s="29" t="s">
        <v>1535</v>
      </c>
      <c r="M10495" s="29" t="s">
        <v>1536</v>
      </c>
      <c r="N10495" s="29" t="s">
        <v>591</v>
      </c>
      <c r="O10495" s="29"/>
      <c r="P10495" s="29" t="s">
        <v>592</v>
      </c>
      <c r="Q10495" t="s">
        <v>2038</v>
      </c>
      <c r="R10495" t="s">
        <v>2634</v>
      </c>
      <c r="S10495">
        <v>35</v>
      </c>
      <c r="T10495" s="43" t="str">
        <f>HYPERLINK("https://ictv.global/ictv/proposals/2019.003G.zip","2019.003G.zip")</f>
        <v>2019.003G.zip</v>
      </c>
      <c r="U10495" s="43" t="str">
        <f>HYPERLINK("https://ictv.global/taxonomy/taxondetails?taxnode_id=202204789","ictv.global=202204789")</f>
        <v>ictv.global=202204789</v>
      </c>
    </row>
    <row r="10496" spans="1:21">
      <c r="A10496">
        <v>10495</v>
      </c>
      <c r="B10496" s="29" t="s">
        <v>4383</v>
      </c>
      <c r="C10496" s="29"/>
      <c r="D10496" s="29" t="s">
        <v>4384</v>
      </c>
      <c r="E10496" s="29"/>
      <c r="F10496" s="29" t="s">
        <v>4385</v>
      </c>
      <c r="G10496" s="29"/>
      <c r="H10496" s="29" t="s">
        <v>4390</v>
      </c>
      <c r="I10496" s="29"/>
      <c r="J10496" s="29" t="s">
        <v>4392</v>
      </c>
      <c r="K10496" s="29"/>
      <c r="L10496" s="29" t="s">
        <v>1535</v>
      </c>
      <c r="M10496" s="29" t="s">
        <v>1536</v>
      </c>
      <c r="N10496" s="29" t="s">
        <v>591</v>
      </c>
      <c r="O10496" s="29"/>
      <c r="P10496" s="29" t="s">
        <v>590</v>
      </c>
      <c r="Q10496" t="s">
        <v>2038</v>
      </c>
      <c r="R10496" t="s">
        <v>6901</v>
      </c>
      <c r="S10496">
        <v>36</v>
      </c>
      <c r="T10496" s="43" t="str">
        <f>HYPERLINK("https://ictv.global/ictv/proposals/2020.001G.R.Abolish_type_species.pdf","2020.001G.R.Abolish_type_species.pdf")</f>
        <v>2020.001G.R.Abolish_type_species.pdf</v>
      </c>
      <c r="U10496" s="43" t="str">
        <f>HYPERLINK("https://ictv.global/taxonomy/taxondetails?taxnode_id=202204790","ictv.global=202204790")</f>
        <v>ictv.global=202204790</v>
      </c>
    </row>
    <row r="10497" spans="1:21">
      <c r="A10497">
        <v>10496</v>
      </c>
      <c r="B10497" s="29" t="s">
        <v>4383</v>
      </c>
      <c r="C10497" s="29"/>
      <c r="D10497" s="29" t="s">
        <v>4384</v>
      </c>
      <c r="E10497" s="29"/>
      <c r="F10497" s="29" t="s">
        <v>4385</v>
      </c>
      <c r="G10497" s="29"/>
      <c r="H10497" s="29" t="s">
        <v>4390</v>
      </c>
      <c r="I10497" s="29"/>
      <c r="J10497" s="29" t="s">
        <v>4392</v>
      </c>
      <c r="K10497" s="29"/>
      <c r="L10497" s="29" t="s">
        <v>1535</v>
      </c>
      <c r="M10497" s="29" t="s">
        <v>593</v>
      </c>
      <c r="N10497" s="29" t="s">
        <v>1320</v>
      </c>
      <c r="O10497" s="29"/>
      <c r="P10497" s="29" t="s">
        <v>528</v>
      </c>
      <c r="Q10497" t="s">
        <v>2038</v>
      </c>
      <c r="R10497" t="s">
        <v>2634</v>
      </c>
      <c r="S10497">
        <v>35</v>
      </c>
      <c r="T10497" s="43" t="str">
        <f t="shared" ref="T10497:T10502" si="452">HYPERLINK("https://ictv.global/ictv/proposals/2019.003G.zip","2019.003G.zip")</f>
        <v>2019.003G.zip</v>
      </c>
      <c r="U10497" s="43" t="str">
        <f>HYPERLINK("https://ictv.global/taxonomy/taxondetails?taxnode_id=202204793","ictv.global=202204793")</f>
        <v>ictv.global=202204793</v>
      </c>
    </row>
    <row r="10498" spans="1:21">
      <c r="A10498">
        <v>10497</v>
      </c>
      <c r="B10498" s="29" t="s">
        <v>4383</v>
      </c>
      <c r="C10498" s="29"/>
      <c r="D10498" s="29" t="s">
        <v>4384</v>
      </c>
      <c r="E10498" s="29"/>
      <c r="F10498" s="29" t="s">
        <v>4385</v>
      </c>
      <c r="G10498" s="29"/>
      <c r="H10498" s="29" t="s">
        <v>4390</v>
      </c>
      <c r="I10498" s="29"/>
      <c r="J10498" s="29" t="s">
        <v>4392</v>
      </c>
      <c r="K10498" s="29"/>
      <c r="L10498" s="29" t="s">
        <v>1535</v>
      </c>
      <c r="M10498" s="29" t="s">
        <v>593</v>
      </c>
      <c r="N10498" s="29" t="s">
        <v>1320</v>
      </c>
      <c r="O10498" s="29"/>
      <c r="P10498" s="29" t="s">
        <v>529</v>
      </c>
      <c r="Q10498" t="s">
        <v>2038</v>
      </c>
      <c r="R10498" t="s">
        <v>2634</v>
      </c>
      <c r="S10498">
        <v>35</v>
      </c>
      <c r="T10498" s="43" t="str">
        <f t="shared" si="452"/>
        <v>2019.003G.zip</v>
      </c>
      <c r="U10498" s="43" t="str">
        <f>HYPERLINK("https://ictv.global/taxonomy/taxondetails?taxnode_id=202204794","ictv.global=202204794")</f>
        <v>ictv.global=202204794</v>
      </c>
    </row>
    <row r="10499" spans="1:21">
      <c r="A10499">
        <v>10498</v>
      </c>
      <c r="B10499" s="29" t="s">
        <v>4383</v>
      </c>
      <c r="C10499" s="29"/>
      <c r="D10499" s="29" t="s">
        <v>4384</v>
      </c>
      <c r="E10499" s="29"/>
      <c r="F10499" s="29" t="s">
        <v>4385</v>
      </c>
      <c r="G10499" s="29"/>
      <c r="H10499" s="29" t="s">
        <v>4390</v>
      </c>
      <c r="I10499" s="29"/>
      <c r="J10499" s="29" t="s">
        <v>4392</v>
      </c>
      <c r="K10499" s="29"/>
      <c r="L10499" s="29" t="s">
        <v>1535</v>
      </c>
      <c r="M10499" s="29" t="s">
        <v>593</v>
      </c>
      <c r="N10499" s="29" t="s">
        <v>1320</v>
      </c>
      <c r="O10499" s="29"/>
      <c r="P10499" s="29" t="s">
        <v>2012</v>
      </c>
      <c r="Q10499" t="s">
        <v>2038</v>
      </c>
      <c r="R10499" t="s">
        <v>2634</v>
      </c>
      <c r="S10499">
        <v>35</v>
      </c>
      <c r="T10499" s="43" t="str">
        <f t="shared" si="452"/>
        <v>2019.003G.zip</v>
      </c>
      <c r="U10499" s="43" t="str">
        <f>HYPERLINK("https://ictv.global/taxonomy/taxondetails?taxnode_id=202204795","ictv.global=202204795")</f>
        <v>ictv.global=202204795</v>
      </c>
    </row>
    <row r="10500" spans="1:21">
      <c r="A10500">
        <v>10499</v>
      </c>
      <c r="B10500" s="29" t="s">
        <v>4383</v>
      </c>
      <c r="C10500" s="29"/>
      <c r="D10500" s="29" t="s">
        <v>4384</v>
      </c>
      <c r="E10500" s="29"/>
      <c r="F10500" s="29" t="s">
        <v>4385</v>
      </c>
      <c r="G10500" s="29"/>
      <c r="H10500" s="29" t="s">
        <v>4390</v>
      </c>
      <c r="I10500" s="29"/>
      <c r="J10500" s="29" t="s">
        <v>4392</v>
      </c>
      <c r="K10500" s="29"/>
      <c r="L10500" s="29" t="s">
        <v>1535</v>
      </c>
      <c r="M10500" s="29" t="s">
        <v>593</v>
      </c>
      <c r="N10500" s="29" t="s">
        <v>1320</v>
      </c>
      <c r="O10500" s="29"/>
      <c r="P10500" s="29" t="s">
        <v>1321</v>
      </c>
      <c r="Q10500" t="s">
        <v>2038</v>
      </c>
      <c r="R10500" t="s">
        <v>2634</v>
      </c>
      <c r="S10500">
        <v>35</v>
      </c>
      <c r="T10500" s="43" t="str">
        <f t="shared" si="452"/>
        <v>2019.003G.zip</v>
      </c>
      <c r="U10500" s="43" t="str">
        <f>HYPERLINK("https://ictv.global/taxonomy/taxondetails?taxnode_id=202204796","ictv.global=202204796")</f>
        <v>ictv.global=202204796</v>
      </c>
    </row>
    <row r="10501" spans="1:21">
      <c r="A10501">
        <v>10500</v>
      </c>
      <c r="B10501" s="29" t="s">
        <v>4383</v>
      </c>
      <c r="C10501" s="29"/>
      <c r="D10501" s="29" t="s">
        <v>4384</v>
      </c>
      <c r="E10501" s="29"/>
      <c r="F10501" s="29" t="s">
        <v>4385</v>
      </c>
      <c r="G10501" s="29"/>
      <c r="H10501" s="29" t="s">
        <v>4390</v>
      </c>
      <c r="I10501" s="29"/>
      <c r="J10501" s="29" t="s">
        <v>4392</v>
      </c>
      <c r="K10501" s="29"/>
      <c r="L10501" s="29" t="s">
        <v>1535</v>
      </c>
      <c r="M10501" s="29" t="s">
        <v>593</v>
      </c>
      <c r="N10501" s="29" t="s">
        <v>1320</v>
      </c>
      <c r="O10501" s="29"/>
      <c r="P10501" s="29" t="s">
        <v>2013</v>
      </c>
      <c r="Q10501" t="s">
        <v>2038</v>
      </c>
      <c r="R10501" t="s">
        <v>2634</v>
      </c>
      <c r="S10501">
        <v>35</v>
      </c>
      <c r="T10501" s="43" t="str">
        <f t="shared" si="452"/>
        <v>2019.003G.zip</v>
      </c>
      <c r="U10501" s="43" t="str">
        <f>HYPERLINK("https://ictv.global/taxonomy/taxondetails?taxnode_id=202204797","ictv.global=202204797")</f>
        <v>ictv.global=202204797</v>
      </c>
    </row>
    <row r="10502" spans="1:21">
      <c r="A10502">
        <v>10501</v>
      </c>
      <c r="B10502" s="29" t="s">
        <v>4383</v>
      </c>
      <c r="C10502" s="29"/>
      <c r="D10502" s="29" t="s">
        <v>4384</v>
      </c>
      <c r="E10502" s="29"/>
      <c r="F10502" s="29" t="s">
        <v>4385</v>
      </c>
      <c r="G10502" s="29"/>
      <c r="H10502" s="29" t="s">
        <v>4390</v>
      </c>
      <c r="I10502" s="29"/>
      <c r="J10502" s="29" t="s">
        <v>4392</v>
      </c>
      <c r="K10502" s="29"/>
      <c r="L10502" s="29" t="s">
        <v>1535</v>
      </c>
      <c r="M10502" s="29" t="s">
        <v>593</v>
      </c>
      <c r="N10502" s="29" t="s">
        <v>1320</v>
      </c>
      <c r="O10502" s="29"/>
      <c r="P10502" s="29" t="s">
        <v>1322</v>
      </c>
      <c r="Q10502" t="s">
        <v>2038</v>
      </c>
      <c r="R10502" t="s">
        <v>2634</v>
      </c>
      <c r="S10502">
        <v>35</v>
      </c>
      <c r="T10502" s="43" t="str">
        <f t="shared" si="452"/>
        <v>2019.003G.zip</v>
      </c>
      <c r="U10502" s="43" t="str">
        <f>HYPERLINK("https://ictv.global/taxonomy/taxondetails?taxnode_id=202204798","ictv.global=202204798")</f>
        <v>ictv.global=202204798</v>
      </c>
    </row>
    <row r="10503" spans="1:21">
      <c r="A10503">
        <v>10502</v>
      </c>
      <c r="B10503" s="29" t="s">
        <v>4383</v>
      </c>
      <c r="C10503" s="29"/>
      <c r="D10503" s="29" t="s">
        <v>4384</v>
      </c>
      <c r="E10503" s="29"/>
      <c r="F10503" s="29" t="s">
        <v>4385</v>
      </c>
      <c r="G10503" s="29"/>
      <c r="H10503" s="29" t="s">
        <v>4390</v>
      </c>
      <c r="I10503" s="29"/>
      <c r="J10503" s="29" t="s">
        <v>4392</v>
      </c>
      <c r="K10503" s="29"/>
      <c r="L10503" s="29" t="s">
        <v>1535</v>
      </c>
      <c r="M10503" s="29" t="s">
        <v>593</v>
      </c>
      <c r="N10503" s="29" t="s">
        <v>1320</v>
      </c>
      <c r="O10503" s="29"/>
      <c r="P10503" s="29" t="s">
        <v>535</v>
      </c>
      <c r="Q10503" t="s">
        <v>2038</v>
      </c>
      <c r="R10503" t="s">
        <v>6901</v>
      </c>
      <c r="S10503">
        <v>36</v>
      </c>
      <c r="T10503" s="43" t="str">
        <f>HYPERLINK("https://ictv.global/ictv/proposals/2020.001G.R.Abolish_type_species.pdf","2020.001G.R.Abolish_type_species.pdf")</f>
        <v>2020.001G.R.Abolish_type_species.pdf</v>
      </c>
      <c r="U10503" s="43" t="str">
        <f>HYPERLINK("https://ictv.global/taxonomy/taxondetails?taxnode_id=202204799","ictv.global=202204799")</f>
        <v>ictv.global=202204799</v>
      </c>
    </row>
    <row r="10504" spans="1:21">
      <c r="A10504">
        <v>10503</v>
      </c>
      <c r="B10504" s="29" t="s">
        <v>4383</v>
      </c>
      <c r="C10504" s="29"/>
      <c r="D10504" s="29" t="s">
        <v>4384</v>
      </c>
      <c r="E10504" s="29"/>
      <c r="F10504" s="29" t="s">
        <v>4385</v>
      </c>
      <c r="G10504" s="29"/>
      <c r="H10504" s="29" t="s">
        <v>4390</v>
      </c>
      <c r="I10504" s="29"/>
      <c r="J10504" s="29" t="s">
        <v>4392</v>
      </c>
      <c r="K10504" s="29"/>
      <c r="L10504" s="29" t="s">
        <v>1535</v>
      </c>
      <c r="M10504" s="29" t="s">
        <v>593</v>
      </c>
      <c r="N10504" s="29" t="s">
        <v>536</v>
      </c>
      <c r="O10504" s="29"/>
      <c r="P10504" s="29" t="s">
        <v>2014</v>
      </c>
      <c r="Q10504" t="s">
        <v>2038</v>
      </c>
      <c r="R10504" t="s">
        <v>2634</v>
      </c>
      <c r="S10504">
        <v>35</v>
      </c>
      <c r="T10504" s="43" t="str">
        <f>HYPERLINK("https://ictv.global/ictv/proposals/2019.003G.zip","2019.003G.zip")</f>
        <v>2019.003G.zip</v>
      </c>
      <c r="U10504" s="43" t="str">
        <f>HYPERLINK("https://ictv.global/taxonomy/taxondetails?taxnode_id=202204801","ictv.global=202204801")</f>
        <v>ictv.global=202204801</v>
      </c>
    </row>
    <row r="10505" spans="1:21">
      <c r="A10505">
        <v>10504</v>
      </c>
      <c r="B10505" s="29" t="s">
        <v>4383</v>
      </c>
      <c r="C10505" s="29"/>
      <c r="D10505" s="29" t="s">
        <v>4384</v>
      </c>
      <c r="E10505" s="29"/>
      <c r="F10505" s="29" t="s">
        <v>4385</v>
      </c>
      <c r="G10505" s="29"/>
      <c r="H10505" s="29" t="s">
        <v>4390</v>
      </c>
      <c r="I10505" s="29"/>
      <c r="J10505" s="29" t="s">
        <v>4392</v>
      </c>
      <c r="K10505" s="29"/>
      <c r="L10505" s="29" t="s">
        <v>1535</v>
      </c>
      <c r="M10505" s="29" t="s">
        <v>593</v>
      </c>
      <c r="N10505" s="29" t="s">
        <v>536</v>
      </c>
      <c r="O10505" s="29"/>
      <c r="P10505" s="29" t="s">
        <v>2015</v>
      </c>
      <c r="Q10505" t="s">
        <v>2038</v>
      </c>
      <c r="R10505" t="s">
        <v>2634</v>
      </c>
      <c r="S10505">
        <v>35</v>
      </c>
      <c r="T10505" s="43" t="str">
        <f>HYPERLINK("https://ictv.global/ictv/proposals/2019.003G.zip","2019.003G.zip")</f>
        <v>2019.003G.zip</v>
      </c>
      <c r="U10505" s="43" t="str">
        <f>HYPERLINK("https://ictv.global/taxonomy/taxondetails?taxnode_id=202204802","ictv.global=202204802")</f>
        <v>ictv.global=202204802</v>
      </c>
    </row>
    <row r="10506" spans="1:21">
      <c r="A10506">
        <v>10505</v>
      </c>
      <c r="B10506" s="29" t="s">
        <v>4383</v>
      </c>
      <c r="C10506" s="29"/>
      <c r="D10506" s="29" t="s">
        <v>4384</v>
      </c>
      <c r="E10506" s="29"/>
      <c r="F10506" s="29" t="s">
        <v>4385</v>
      </c>
      <c r="G10506" s="29"/>
      <c r="H10506" s="29" t="s">
        <v>4390</v>
      </c>
      <c r="I10506" s="29"/>
      <c r="J10506" s="29" t="s">
        <v>4392</v>
      </c>
      <c r="K10506" s="29"/>
      <c r="L10506" s="29" t="s">
        <v>1535</v>
      </c>
      <c r="M10506" s="29" t="s">
        <v>593</v>
      </c>
      <c r="N10506" s="29" t="s">
        <v>536</v>
      </c>
      <c r="O10506" s="29"/>
      <c r="P10506" s="29" t="s">
        <v>2016</v>
      </c>
      <c r="Q10506" t="s">
        <v>2038</v>
      </c>
      <c r="R10506" t="s">
        <v>6901</v>
      </c>
      <c r="S10506">
        <v>36</v>
      </c>
      <c r="T10506" s="43" t="str">
        <f>HYPERLINK("https://ictv.global/ictv/proposals/2020.001G.R.Abolish_type_species.pdf","2020.001G.R.Abolish_type_species.pdf")</f>
        <v>2020.001G.R.Abolish_type_species.pdf</v>
      </c>
      <c r="U10506" s="43" t="str">
        <f>HYPERLINK("https://ictv.global/taxonomy/taxondetails?taxnode_id=202204803","ictv.global=202204803")</f>
        <v>ictv.global=202204803</v>
      </c>
    </row>
    <row r="10507" spans="1:21">
      <c r="A10507">
        <v>10506</v>
      </c>
      <c r="B10507" s="29" t="s">
        <v>4383</v>
      </c>
      <c r="C10507" s="29"/>
      <c r="D10507" s="29" t="s">
        <v>4384</v>
      </c>
      <c r="E10507" s="29"/>
      <c r="F10507" s="29" t="s">
        <v>4385</v>
      </c>
      <c r="G10507" s="29"/>
      <c r="H10507" s="29" t="s">
        <v>4390</v>
      </c>
      <c r="I10507" s="29"/>
      <c r="J10507" s="29" t="s">
        <v>4392</v>
      </c>
      <c r="K10507" s="29"/>
      <c r="L10507" s="29" t="s">
        <v>1535</v>
      </c>
      <c r="M10507" s="29" t="s">
        <v>593</v>
      </c>
      <c r="N10507" s="29" t="s">
        <v>536</v>
      </c>
      <c r="O10507" s="29"/>
      <c r="P10507" s="29" t="s">
        <v>2017</v>
      </c>
      <c r="Q10507" t="s">
        <v>2038</v>
      </c>
      <c r="R10507" t="s">
        <v>2634</v>
      </c>
      <c r="S10507">
        <v>35</v>
      </c>
      <c r="T10507" s="43" t="str">
        <f t="shared" ref="T10507:T10519" si="453">HYPERLINK("https://ictv.global/ictv/proposals/2019.003G.zip","2019.003G.zip")</f>
        <v>2019.003G.zip</v>
      </c>
      <c r="U10507" s="43" t="str">
        <f>HYPERLINK("https://ictv.global/taxonomy/taxondetails?taxnode_id=202204804","ictv.global=202204804")</f>
        <v>ictv.global=202204804</v>
      </c>
    </row>
    <row r="10508" spans="1:21">
      <c r="A10508">
        <v>10507</v>
      </c>
      <c r="B10508" s="29" t="s">
        <v>4383</v>
      </c>
      <c r="C10508" s="29"/>
      <c r="D10508" s="29" t="s">
        <v>4384</v>
      </c>
      <c r="E10508" s="29"/>
      <c r="F10508" s="29" t="s">
        <v>4385</v>
      </c>
      <c r="G10508" s="29"/>
      <c r="H10508" s="29" t="s">
        <v>4390</v>
      </c>
      <c r="I10508" s="29"/>
      <c r="J10508" s="29" t="s">
        <v>4392</v>
      </c>
      <c r="K10508" s="29"/>
      <c r="L10508" s="29" t="s">
        <v>1535</v>
      </c>
      <c r="M10508" s="29" t="s">
        <v>593</v>
      </c>
      <c r="N10508" s="29" t="s">
        <v>536</v>
      </c>
      <c r="O10508" s="29"/>
      <c r="P10508" s="29" t="s">
        <v>2018</v>
      </c>
      <c r="Q10508" t="s">
        <v>2038</v>
      </c>
      <c r="R10508" t="s">
        <v>2634</v>
      </c>
      <c r="S10508">
        <v>35</v>
      </c>
      <c r="T10508" s="43" t="str">
        <f t="shared" si="453"/>
        <v>2019.003G.zip</v>
      </c>
      <c r="U10508" s="43" t="str">
        <f>HYPERLINK("https://ictv.global/taxonomy/taxondetails?taxnode_id=202204805","ictv.global=202204805")</f>
        <v>ictv.global=202204805</v>
      </c>
    </row>
    <row r="10509" spans="1:21">
      <c r="A10509">
        <v>10508</v>
      </c>
      <c r="B10509" s="29" t="s">
        <v>4383</v>
      </c>
      <c r="C10509" s="29"/>
      <c r="D10509" s="29" t="s">
        <v>4384</v>
      </c>
      <c r="E10509" s="29"/>
      <c r="F10509" s="29" t="s">
        <v>4385</v>
      </c>
      <c r="G10509" s="29"/>
      <c r="H10509" s="29" t="s">
        <v>4390</v>
      </c>
      <c r="I10509" s="29"/>
      <c r="J10509" s="29" t="s">
        <v>4392</v>
      </c>
      <c r="K10509" s="29"/>
      <c r="L10509" s="29" t="s">
        <v>1535</v>
      </c>
      <c r="M10509" s="29" t="s">
        <v>593</v>
      </c>
      <c r="N10509" s="29" t="s">
        <v>536</v>
      </c>
      <c r="O10509" s="29"/>
      <c r="P10509" s="29" t="s">
        <v>2019</v>
      </c>
      <c r="Q10509" t="s">
        <v>2038</v>
      </c>
      <c r="R10509" t="s">
        <v>2634</v>
      </c>
      <c r="S10509">
        <v>35</v>
      </c>
      <c r="T10509" s="43" t="str">
        <f t="shared" si="453"/>
        <v>2019.003G.zip</v>
      </c>
      <c r="U10509" s="43" t="str">
        <f>HYPERLINK("https://ictv.global/taxonomy/taxondetails?taxnode_id=202204806","ictv.global=202204806")</f>
        <v>ictv.global=202204806</v>
      </c>
    </row>
    <row r="10510" spans="1:21">
      <c r="A10510">
        <v>10509</v>
      </c>
      <c r="B10510" s="29" t="s">
        <v>4383</v>
      </c>
      <c r="C10510" s="29"/>
      <c r="D10510" s="29" t="s">
        <v>4384</v>
      </c>
      <c r="E10510" s="29"/>
      <c r="F10510" s="29" t="s">
        <v>4385</v>
      </c>
      <c r="G10510" s="29"/>
      <c r="H10510" s="29" t="s">
        <v>4390</v>
      </c>
      <c r="I10510" s="29"/>
      <c r="J10510" s="29" t="s">
        <v>4392</v>
      </c>
      <c r="K10510" s="29"/>
      <c r="L10510" s="29" t="s">
        <v>1535</v>
      </c>
      <c r="M10510" s="29" t="s">
        <v>593</v>
      </c>
      <c r="N10510" s="29" t="s">
        <v>536</v>
      </c>
      <c r="O10510" s="29"/>
      <c r="P10510" s="29" t="s">
        <v>2020</v>
      </c>
      <c r="Q10510" t="s">
        <v>2038</v>
      </c>
      <c r="R10510" t="s">
        <v>2634</v>
      </c>
      <c r="S10510">
        <v>35</v>
      </c>
      <c r="T10510" s="43" t="str">
        <f t="shared" si="453"/>
        <v>2019.003G.zip</v>
      </c>
      <c r="U10510" s="43" t="str">
        <f>HYPERLINK("https://ictv.global/taxonomy/taxondetails?taxnode_id=202204807","ictv.global=202204807")</f>
        <v>ictv.global=202204807</v>
      </c>
    </row>
    <row r="10511" spans="1:21">
      <c r="A10511">
        <v>10510</v>
      </c>
      <c r="B10511" s="29" t="s">
        <v>4383</v>
      </c>
      <c r="C10511" s="29"/>
      <c r="D10511" s="29" t="s">
        <v>4384</v>
      </c>
      <c r="E10511" s="29"/>
      <c r="F10511" s="29" t="s">
        <v>4385</v>
      </c>
      <c r="G10511" s="29"/>
      <c r="H10511" s="29" t="s">
        <v>4390</v>
      </c>
      <c r="I10511" s="29"/>
      <c r="J10511" s="29" t="s">
        <v>4392</v>
      </c>
      <c r="K10511" s="29"/>
      <c r="L10511" s="29" t="s">
        <v>1535</v>
      </c>
      <c r="M10511" s="29" t="s">
        <v>593</v>
      </c>
      <c r="N10511" s="29" t="s">
        <v>536</v>
      </c>
      <c r="O10511" s="29"/>
      <c r="P10511" s="29" t="s">
        <v>2021</v>
      </c>
      <c r="Q10511" t="s">
        <v>2038</v>
      </c>
      <c r="R10511" t="s">
        <v>2634</v>
      </c>
      <c r="S10511">
        <v>35</v>
      </c>
      <c r="T10511" s="43" t="str">
        <f t="shared" si="453"/>
        <v>2019.003G.zip</v>
      </c>
      <c r="U10511" s="43" t="str">
        <f>HYPERLINK("https://ictv.global/taxonomy/taxondetails?taxnode_id=202204808","ictv.global=202204808")</f>
        <v>ictv.global=202204808</v>
      </c>
    </row>
    <row r="10512" spans="1:21">
      <c r="A10512">
        <v>10511</v>
      </c>
      <c r="B10512" s="29" t="s">
        <v>4383</v>
      </c>
      <c r="C10512" s="29"/>
      <c r="D10512" s="29" t="s">
        <v>4384</v>
      </c>
      <c r="E10512" s="29"/>
      <c r="F10512" s="29" t="s">
        <v>4385</v>
      </c>
      <c r="G10512" s="29"/>
      <c r="H10512" s="29" t="s">
        <v>4390</v>
      </c>
      <c r="I10512" s="29"/>
      <c r="J10512" s="29" t="s">
        <v>4392</v>
      </c>
      <c r="K10512" s="29"/>
      <c r="L10512" s="29" t="s">
        <v>1535</v>
      </c>
      <c r="M10512" s="29" t="s">
        <v>593</v>
      </c>
      <c r="N10512" s="29" t="s">
        <v>536</v>
      </c>
      <c r="O10512" s="29"/>
      <c r="P10512" s="29" t="s">
        <v>2022</v>
      </c>
      <c r="Q10512" t="s">
        <v>2038</v>
      </c>
      <c r="R10512" t="s">
        <v>2634</v>
      </c>
      <c r="S10512">
        <v>35</v>
      </c>
      <c r="T10512" s="43" t="str">
        <f t="shared" si="453"/>
        <v>2019.003G.zip</v>
      </c>
      <c r="U10512" s="43" t="str">
        <f>HYPERLINK("https://ictv.global/taxonomy/taxondetails?taxnode_id=202204809","ictv.global=202204809")</f>
        <v>ictv.global=202204809</v>
      </c>
    </row>
    <row r="10513" spans="1:21">
      <c r="A10513">
        <v>10512</v>
      </c>
      <c r="B10513" s="29" t="s">
        <v>4383</v>
      </c>
      <c r="C10513" s="29"/>
      <c r="D10513" s="29" t="s">
        <v>4384</v>
      </c>
      <c r="E10513" s="29"/>
      <c r="F10513" s="29" t="s">
        <v>4385</v>
      </c>
      <c r="G10513" s="29"/>
      <c r="H10513" s="29" t="s">
        <v>4390</v>
      </c>
      <c r="I10513" s="29"/>
      <c r="J10513" s="29" t="s">
        <v>4392</v>
      </c>
      <c r="K10513" s="29"/>
      <c r="L10513" s="29" t="s">
        <v>1535</v>
      </c>
      <c r="M10513" s="29" t="s">
        <v>593</v>
      </c>
      <c r="N10513" s="29" t="s">
        <v>536</v>
      </c>
      <c r="O10513" s="29"/>
      <c r="P10513" s="29" t="s">
        <v>2023</v>
      </c>
      <c r="Q10513" t="s">
        <v>2038</v>
      </c>
      <c r="R10513" t="s">
        <v>2634</v>
      </c>
      <c r="S10513">
        <v>35</v>
      </c>
      <c r="T10513" s="43" t="str">
        <f t="shared" si="453"/>
        <v>2019.003G.zip</v>
      </c>
      <c r="U10513" s="43" t="str">
        <f>HYPERLINK("https://ictv.global/taxonomy/taxondetails?taxnode_id=202204810","ictv.global=202204810")</f>
        <v>ictv.global=202204810</v>
      </c>
    </row>
    <row r="10514" spans="1:21">
      <c r="A10514">
        <v>10513</v>
      </c>
      <c r="B10514" s="29" t="s">
        <v>4383</v>
      </c>
      <c r="C10514" s="29"/>
      <c r="D10514" s="29" t="s">
        <v>4384</v>
      </c>
      <c r="E10514" s="29"/>
      <c r="F10514" s="29" t="s">
        <v>4385</v>
      </c>
      <c r="G10514" s="29"/>
      <c r="H10514" s="29" t="s">
        <v>4390</v>
      </c>
      <c r="I10514" s="29"/>
      <c r="J10514" s="29" t="s">
        <v>4392</v>
      </c>
      <c r="K10514" s="29"/>
      <c r="L10514" s="29" t="s">
        <v>1535</v>
      </c>
      <c r="M10514" s="29" t="s">
        <v>593</v>
      </c>
      <c r="N10514" s="29" t="s">
        <v>536</v>
      </c>
      <c r="O10514" s="29"/>
      <c r="P10514" s="29" t="s">
        <v>2024</v>
      </c>
      <c r="Q10514" t="s">
        <v>2038</v>
      </c>
      <c r="R10514" t="s">
        <v>2634</v>
      </c>
      <c r="S10514">
        <v>35</v>
      </c>
      <c r="T10514" s="43" t="str">
        <f t="shared" si="453"/>
        <v>2019.003G.zip</v>
      </c>
      <c r="U10514" s="43" t="str">
        <f>HYPERLINK("https://ictv.global/taxonomy/taxondetails?taxnode_id=202204811","ictv.global=202204811")</f>
        <v>ictv.global=202204811</v>
      </c>
    </row>
    <row r="10515" spans="1:21">
      <c r="A10515">
        <v>10514</v>
      </c>
      <c r="B10515" s="29" t="s">
        <v>4383</v>
      </c>
      <c r="C10515" s="29"/>
      <c r="D10515" s="29" t="s">
        <v>4384</v>
      </c>
      <c r="E10515" s="29"/>
      <c r="F10515" s="29" t="s">
        <v>4385</v>
      </c>
      <c r="G10515" s="29"/>
      <c r="H10515" s="29" t="s">
        <v>4390</v>
      </c>
      <c r="I10515" s="29"/>
      <c r="J10515" s="29" t="s">
        <v>4392</v>
      </c>
      <c r="K10515" s="29"/>
      <c r="L10515" s="29" t="s">
        <v>1535</v>
      </c>
      <c r="M10515" s="29" t="s">
        <v>593</v>
      </c>
      <c r="N10515" s="29" t="s">
        <v>536</v>
      </c>
      <c r="O10515" s="29"/>
      <c r="P10515" s="29" t="s">
        <v>2025</v>
      </c>
      <c r="Q10515" t="s">
        <v>2038</v>
      </c>
      <c r="R10515" t="s">
        <v>2634</v>
      </c>
      <c r="S10515">
        <v>35</v>
      </c>
      <c r="T10515" s="43" t="str">
        <f t="shared" si="453"/>
        <v>2019.003G.zip</v>
      </c>
      <c r="U10515" s="43" t="str">
        <f>HYPERLINK("https://ictv.global/taxonomy/taxondetails?taxnode_id=202204812","ictv.global=202204812")</f>
        <v>ictv.global=202204812</v>
      </c>
    </row>
    <row r="10516" spans="1:21">
      <c r="A10516">
        <v>10515</v>
      </c>
      <c r="B10516" s="29" t="s">
        <v>4383</v>
      </c>
      <c r="C10516" s="29"/>
      <c r="D10516" s="29" t="s">
        <v>4384</v>
      </c>
      <c r="E10516" s="29"/>
      <c r="F10516" s="29" t="s">
        <v>4385</v>
      </c>
      <c r="G10516" s="29"/>
      <c r="H10516" s="29" t="s">
        <v>4390</v>
      </c>
      <c r="I10516" s="29"/>
      <c r="J10516" s="29" t="s">
        <v>4392</v>
      </c>
      <c r="K10516" s="29"/>
      <c r="L10516" s="29" t="s">
        <v>1535</v>
      </c>
      <c r="M10516" s="29" t="s">
        <v>593</v>
      </c>
      <c r="N10516" s="29" t="s">
        <v>536</v>
      </c>
      <c r="O10516" s="29"/>
      <c r="P10516" s="29" t="s">
        <v>2026</v>
      </c>
      <c r="Q10516" t="s">
        <v>2038</v>
      </c>
      <c r="R10516" t="s">
        <v>2634</v>
      </c>
      <c r="S10516">
        <v>35</v>
      </c>
      <c r="T10516" s="43" t="str">
        <f t="shared" si="453"/>
        <v>2019.003G.zip</v>
      </c>
      <c r="U10516" s="43" t="str">
        <f>HYPERLINK("https://ictv.global/taxonomy/taxondetails?taxnode_id=202204813","ictv.global=202204813")</f>
        <v>ictv.global=202204813</v>
      </c>
    </row>
    <row r="10517" spans="1:21">
      <c r="A10517">
        <v>10516</v>
      </c>
      <c r="B10517" s="29" t="s">
        <v>4383</v>
      </c>
      <c r="C10517" s="29"/>
      <c r="D10517" s="29" t="s">
        <v>4384</v>
      </c>
      <c r="E10517" s="29"/>
      <c r="F10517" s="29" t="s">
        <v>4385</v>
      </c>
      <c r="G10517" s="29"/>
      <c r="H10517" s="29" t="s">
        <v>4390</v>
      </c>
      <c r="I10517" s="29"/>
      <c r="J10517" s="29" t="s">
        <v>4392</v>
      </c>
      <c r="K10517" s="29"/>
      <c r="L10517" s="29" t="s">
        <v>1535</v>
      </c>
      <c r="M10517" s="29" t="s">
        <v>593</v>
      </c>
      <c r="N10517" s="29" t="s">
        <v>536</v>
      </c>
      <c r="O10517" s="29"/>
      <c r="P10517" s="29" t="s">
        <v>2027</v>
      </c>
      <c r="Q10517" t="s">
        <v>2038</v>
      </c>
      <c r="R10517" t="s">
        <v>2634</v>
      </c>
      <c r="S10517">
        <v>35</v>
      </c>
      <c r="T10517" s="43" t="str">
        <f t="shared" si="453"/>
        <v>2019.003G.zip</v>
      </c>
      <c r="U10517" s="43" t="str">
        <f>HYPERLINK("https://ictv.global/taxonomy/taxondetails?taxnode_id=202204814","ictv.global=202204814")</f>
        <v>ictv.global=202204814</v>
      </c>
    </row>
    <row r="10518" spans="1:21">
      <c r="A10518">
        <v>10517</v>
      </c>
      <c r="B10518" s="29" t="s">
        <v>4383</v>
      </c>
      <c r="C10518" s="29"/>
      <c r="D10518" s="29" t="s">
        <v>4384</v>
      </c>
      <c r="E10518" s="29"/>
      <c r="F10518" s="29" t="s">
        <v>4385</v>
      </c>
      <c r="G10518" s="29"/>
      <c r="H10518" s="29" t="s">
        <v>4390</v>
      </c>
      <c r="I10518" s="29"/>
      <c r="J10518" s="29" t="s">
        <v>4392</v>
      </c>
      <c r="K10518" s="29"/>
      <c r="L10518" s="29" t="s">
        <v>1535</v>
      </c>
      <c r="M10518" s="29" t="s">
        <v>593</v>
      </c>
      <c r="N10518" s="29" t="s">
        <v>536</v>
      </c>
      <c r="O10518" s="29"/>
      <c r="P10518" s="29" t="s">
        <v>2028</v>
      </c>
      <c r="Q10518" t="s">
        <v>2038</v>
      </c>
      <c r="R10518" t="s">
        <v>2634</v>
      </c>
      <c r="S10518">
        <v>35</v>
      </c>
      <c r="T10518" s="43" t="str">
        <f t="shared" si="453"/>
        <v>2019.003G.zip</v>
      </c>
      <c r="U10518" s="43" t="str">
        <f>HYPERLINK("https://ictv.global/taxonomy/taxondetails?taxnode_id=202204815","ictv.global=202204815")</f>
        <v>ictv.global=202204815</v>
      </c>
    </row>
    <row r="10519" spans="1:21">
      <c r="A10519">
        <v>10518</v>
      </c>
      <c r="B10519" s="29" t="s">
        <v>4383</v>
      </c>
      <c r="C10519" s="29"/>
      <c r="D10519" s="29" t="s">
        <v>4384</v>
      </c>
      <c r="E10519" s="29"/>
      <c r="F10519" s="29" t="s">
        <v>4385</v>
      </c>
      <c r="G10519" s="29"/>
      <c r="H10519" s="29" t="s">
        <v>4390</v>
      </c>
      <c r="I10519" s="29"/>
      <c r="J10519" s="29" t="s">
        <v>4392</v>
      </c>
      <c r="K10519" s="29"/>
      <c r="L10519" s="29" t="s">
        <v>1535</v>
      </c>
      <c r="M10519" s="29" t="s">
        <v>593</v>
      </c>
      <c r="N10519" s="29" t="s">
        <v>536</v>
      </c>
      <c r="O10519" s="29"/>
      <c r="P10519" s="29" t="s">
        <v>2029</v>
      </c>
      <c r="Q10519" t="s">
        <v>2038</v>
      </c>
      <c r="R10519" t="s">
        <v>2634</v>
      </c>
      <c r="S10519">
        <v>35</v>
      </c>
      <c r="T10519" s="43" t="str">
        <f t="shared" si="453"/>
        <v>2019.003G.zip</v>
      </c>
      <c r="U10519" s="43" t="str">
        <f>HYPERLINK("https://ictv.global/taxonomy/taxondetails?taxnode_id=202204816","ictv.global=202204816")</f>
        <v>ictv.global=202204816</v>
      </c>
    </row>
    <row r="10520" spans="1:21">
      <c r="A10520">
        <v>10519</v>
      </c>
      <c r="B10520" s="29" t="s">
        <v>4383</v>
      </c>
      <c r="C10520" s="29"/>
      <c r="D10520" s="29" t="s">
        <v>4384</v>
      </c>
      <c r="E10520" s="29"/>
      <c r="F10520" s="29" t="s">
        <v>4385</v>
      </c>
      <c r="G10520" s="29"/>
      <c r="H10520" s="29" t="s">
        <v>4390</v>
      </c>
      <c r="I10520" s="29"/>
      <c r="J10520" s="29" t="s">
        <v>4392</v>
      </c>
      <c r="K10520" s="29"/>
      <c r="L10520" s="29" t="s">
        <v>1535</v>
      </c>
      <c r="M10520" s="29" t="s">
        <v>593</v>
      </c>
      <c r="N10520" s="29" t="s">
        <v>4413</v>
      </c>
      <c r="O10520" s="29"/>
      <c r="P10520" s="29" t="s">
        <v>2972</v>
      </c>
      <c r="Q10520" t="s">
        <v>2038</v>
      </c>
      <c r="R10520" t="s">
        <v>6901</v>
      </c>
      <c r="S10520">
        <v>36</v>
      </c>
      <c r="T10520" s="43" t="str">
        <f>HYPERLINK("https://ictv.global/ictv/proposals/2020.001G.R.Abolish_type_species.pdf","2020.001G.R.Abolish_type_species.pdf")</f>
        <v>2020.001G.R.Abolish_type_species.pdf</v>
      </c>
      <c r="U10520" s="43" t="str">
        <f>HYPERLINK("https://ictv.global/taxonomy/taxondetails?taxnode_id=202204826","ictv.global=202204826")</f>
        <v>ictv.global=202204826</v>
      </c>
    </row>
    <row r="10521" spans="1:21">
      <c r="A10521">
        <v>10520</v>
      </c>
      <c r="B10521" s="29" t="s">
        <v>4383</v>
      </c>
      <c r="C10521" s="29"/>
      <c r="D10521" s="29" t="s">
        <v>4384</v>
      </c>
      <c r="E10521" s="29"/>
      <c r="F10521" s="29" t="s">
        <v>4385</v>
      </c>
      <c r="G10521" s="29"/>
      <c r="H10521" s="29" t="s">
        <v>4390</v>
      </c>
      <c r="I10521" s="29"/>
      <c r="J10521" s="29" t="s">
        <v>4392</v>
      </c>
      <c r="K10521" s="29"/>
      <c r="L10521" s="29" t="s">
        <v>1535</v>
      </c>
      <c r="M10521" s="29" t="s">
        <v>593</v>
      </c>
      <c r="N10521" s="29" t="s">
        <v>1148</v>
      </c>
      <c r="O10521" s="29"/>
      <c r="P10521" s="29" t="s">
        <v>1149</v>
      </c>
      <c r="Q10521" t="s">
        <v>2038</v>
      </c>
      <c r="R10521" t="s">
        <v>2634</v>
      </c>
      <c r="S10521">
        <v>35</v>
      </c>
      <c r="T10521" s="43" t="str">
        <f>HYPERLINK("https://ictv.global/ictv/proposals/2019.003G.zip","2019.003G.zip")</f>
        <v>2019.003G.zip</v>
      </c>
      <c r="U10521" s="43" t="str">
        <f>HYPERLINK("https://ictv.global/taxonomy/taxondetails?taxnode_id=202204818","ictv.global=202204818")</f>
        <v>ictv.global=202204818</v>
      </c>
    </row>
    <row r="10522" spans="1:21">
      <c r="A10522">
        <v>10521</v>
      </c>
      <c r="B10522" s="29" t="s">
        <v>4383</v>
      </c>
      <c r="C10522" s="29"/>
      <c r="D10522" s="29" t="s">
        <v>4384</v>
      </c>
      <c r="E10522" s="29"/>
      <c r="F10522" s="29" t="s">
        <v>4385</v>
      </c>
      <c r="G10522" s="29"/>
      <c r="H10522" s="29" t="s">
        <v>4390</v>
      </c>
      <c r="I10522" s="29"/>
      <c r="J10522" s="29" t="s">
        <v>4392</v>
      </c>
      <c r="K10522" s="29"/>
      <c r="L10522" s="29" t="s">
        <v>1535</v>
      </c>
      <c r="M10522" s="29" t="s">
        <v>593</v>
      </c>
      <c r="N10522" s="29" t="s">
        <v>1148</v>
      </c>
      <c r="O10522" s="29"/>
      <c r="P10522" s="29" t="s">
        <v>1336</v>
      </c>
      <c r="Q10522" t="s">
        <v>2038</v>
      </c>
      <c r="R10522" t="s">
        <v>2634</v>
      </c>
      <c r="S10522">
        <v>35</v>
      </c>
      <c r="T10522" s="43" t="str">
        <f>HYPERLINK("https://ictv.global/ictv/proposals/2019.003G.zip","2019.003G.zip")</f>
        <v>2019.003G.zip</v>
      </c>
      <c r="U10522" s="43" t="str">
        <f>HYPERLINK("https://ictv.global/taxonomy/taxondetails?taxnode_id=202204819","ictv.global=202204819")</f>
        <v>ictv.global=202204819</v>
      </c>
    </row>
    <row r="10523" spans="1:21">
      <c r="A10523">
        <v>10522</v>
      </c>
      <c r="B10523" s="29" t="s">
        <v>4383</v>
      </c>
      <c r="C10523" s="29"/>
      <c r="D10523" s="29" t="s">
        <v>4384</v>
      </c>
      <c r="E10523" s="29"/>
      <c r="F10523" s="29" t="s">
        <v>4385</v>
      </c>
      <c r="G10523" s="29"/>
      <c r="H10523" s="29" t="s">
        <v>4390</v>
      </c>
      <c r="I10523" s="29"/>
      <c r="J10523" s="29" t="s">
        <v>4392</v>
      </c>
      <c r="K10523" s="29"/>
      <c r="L10523" s="29" t="s">
        <v>1535</v>
      </c>
      <c r="M10523" s="29" t="s">
        <v>593</v>
      </c>
      <c r="N10523" s="29" t="s">
        <v>1148</v>
      </c>
      <c r="O10523" s="29"/>
      <c r="P10523" s="29" t="s">
        <v>1484</v>
      </c>
      <c r="Q10523" t="s">
        <v>2038</v>
      </c>
      <c r="R10523" t="s">
        <v>2634</v>
      </c>
      <c r="S10523">
        <v>35</v>
      </c>
      <c r="T10523" s="43" t="str">
        <f>HYPERLINK("https://ictv.global/ictv/proposals/2019.003G.zip","2019.003G.zip")</f>
        <v>2019.003G.zip</v>
      </c>
      <c r="U10523" s="43" t="str">
        <f>HYPERLINK("https://ictv.global/taxonomy/taxondetails?taxnode_id=202204820","ictv.global=202204820")</f>
        <v>ictv.global=202204820</v>
      </c>
    </row>
    <row r="10524" spans="1:21">
      <c r="A10524">
        <v>10523</v>
      </c>
      <c r="B10524" s="29" t="s">
        <v>4383</v>
      </c>
      <c r="C10524" s="29"/>
      <c r="D10524" s="29" t="s">
        <v>4384</v>
      </c>
      <c r="E10524" s="29"/>
      <c r="F10524" s="29" t="s">
        <v>4385</v>
      </c>
      <c r="G10524" s="29"/>
      <c r="H10524" s="29" t="s">
        <v>4390</v>
      </c>
      <c r="I10524" s="29"/>
      <c r="J10524" s="29" t="s">
        <v>4392</v>
      </c>
      <c r="K10524" s="29"/>
      <c r="L10524" s="29" t="s">
        <v>1535</v>
      </c>
      <c r="M10524" s="29" t="s">
        <v>593</v>
      </c>
      <c r="N10524" s="29" t="s">
        <v>1148</v>
      </c>
      <c r="O10524" s="29"/>
      <c r="P10524" s="29" t="s">
        <v>1581</v>
      </c>
      <c r="Q10524" t="s">
        <v>2038</v>
      </c>
      <c r="R10524" t="s">
        <v>6901</v>
      </c>
      <c r="S10524">
        <v>36</v>
      </c>
      <c r="T10524" s="43" t="str">
        <f>HYPERLINK("https://ictv.global/ictv/proposals/2020.001G.R.Abolish_type_species.pdf","2020.001G.R.Abolish_type_species.pdf")</f>
        <v>2020.001G.R.Abolish_type_species.pdf</v>
      </c>
      <c r="U10524" s="43" t="str">
        <f>HYPERLINK("https://ictv.global/taxonomy/taxondetails?taxnode_id=202204821","ictv.global=202204821")</f>
        <v>ictv.global=202204821</v>
      </c>
    </row>
    <row r="10525" spans="1:21">
      <c r="A10525">
        <v>10524</v>
      </c>
      <c r="B10525" s="29" t="s">
        <v>4383</v>
      </c>
      <c r="C10525" s="29"/>
      <c r="D10525" s="29" t="s">
        <v>4384</v>
      </c>
      <c r="E10525" s="29"/>
      <c r="F10525" s="29" t="s">
        <v>4385</v>
      </c>
      <c r="G10525" s="29"/>
      <c r="H10525" s="29" t="s">
        <v>4390</v>
      </c>
      <c r="I10525" s="29"/>
      <c r="J10525" s="29" t="s">
        <v>4392</v>
      </c>
      <c r="K10525" s="29"/>
      <c r="L10525" s="29" t="s">
        <v>1535</v>
      </c>
      <c r="M10525" s="29" t="s">
        <v>593</v>
      </c>
      <c r="N10525" s="29" t="s">
        <v>1148</v>
      </c>
      <c r="O10525" s="29"/>
      <c r="P10525" s="29" t="s">
        <v>1122</v>
      </c>
      <c r="Q10525" t="s">
        <v>2038</v>
      </c>
      <c r="R10525" t="s">
        <v>2634</v>
      </c>
      <c r="S10525">
        <v>35</v>
      </c>
      <c r="T10525" s="43" t="str">
        <f>HYPERLINK("https://ictv.global/ictv/proposals/2019.003G.zip","2019.003G.zip")</f>
        <v>2019.003G.zip</v>
      </c>
      <c r="U10525" s="43" t="str">
        <f>HYPERLINK("https://ictv.global/taxonomy/taxondetails?taxnode_id=202204822","ictv.global=202204822")</f>
        <v>ictv.global=202204822</v>
      </c>
    </row>
    <row r="10526" spans="1:21">
      <c r="A10526">
        <v>10525</v>
      </c>
      <c r="B10526" s="29" t="s">
        <v>4383</v>
      </c>
      <c r="C10526" s="29"/>
      <c r="D10526" s="29" t="s">
        <v>4384</v>
      </c>
      <c r="E10526" s="29"/>
      <c r="F10526" s="29" t="s">
        <v>4385</v>
      </c>
      <c r="G10526" s="29"/>
      <c r="H10526" s="29" t="s">
        <v>4390</v>
      </c>
      <c r="I10526" s="29"/>
      <c r="J10526" s="29" t="s">
        <v>4392</v>
      </c>
      <c r="K10526" s="29"/>
      <c r="L10526" s="29" t="s">
        <v>1535</v>
      </c>
      <c r="M10526" s="29" t="s">
        <v>593</v>
      </c>
      <c r="N10526" s="29" t="s">
        <v>1148</v>
      </c>
      <c r="O10526" s="29"/>
      <c r="P10526" s="29" t="s">
        <v>2030</v>
      </c>
      <c r="Q10526" t="s">
        <v>2038</v>
      </c>
      <c r="R10526" t="s">
        <v>2634</v>
      </c>
      <c r="S10526">
        <v>35</v>
      </c>
      <c r="T10526" s="43" t="str">
        <f>HYPERLINK("https://ictv.global/ictv/proposals/2019.003G.zip","2019.003G.zip")</f>
        <v>2019.003G.zip</v>
      </c>
      <c r="U10526" s="43" t="str">
        <f>HYPERLINK("https://ictv.global/taxonomy/taxondetails?taxnode_id=202204823","ictv.global=202204823")</f>
        <v>ictv.global=202204823</v>
      </c>
    </row>
    <row r="10527" spans="1:21">
      <c r="A10527">
        <v>10526</v>
      </c>
      <c r="B10527" s="29" t="s">
        <v>4383</v>
      </c>
      <c r="C10527" s="29"/>
      <c r="D10527" s="29" t="s">
        <v>4384</v>
      </c>
      <c r="E10527" s="29"/>
      <c r="F10527" s="29" t="s">
        <v>4385</v>
      </c>
      <c r="G10527" s="29"/>
      <c r="H10527" s="29" t="s">
        <v>4390</v>
      </c>
      <c r="I10527" s="29"/>
      <c r="J10527" s="29" t="s">
        <v>4392</v>
      </c>
      <c r="K10527" s="29"/>
      <c r="L10527" s="29" t="s">
        <v>1535</v>
      </c>
      <c r="M10527" s="29" t="s">
        <v>593</v>
      </c>
      <c r="N10527" s="29"/>
      <c r="O10527" s="29"/>
      <c r="P10527" s="29" t="s">
        <v>1583</v>
      </c>
      <c r="Q10527" t="s">
        <v>2038</v>
      </c>
      <c r="R10527" t="s">
        <v>2634</v>
      </c>
      <c r="S10527">
        <v>35</v>
      </c>
      <c r="T10527" s="43" t="str">
        <f>HYPERLINK("https://ictv.global/ictv/proposals/2019.003G.zip","2019.003G.zip")</f>
        <v>2019.003G.zip</v>
      </c>
      <c r="U10527" s="43" t="str">
        <f>HYPERLINK("https://ictv.global/taxonomy/taxondetails?taxnode_id=202204825","ictv.global=202204825")</f>
        <v>ictv.global=202204825</v>
      </c>
    </row>
    <row r="10528" spans="1:21">
      <c r="A10528">
        <v>10527</v>
      </c>
      <c r="B10528" s="29" t="s">
        <v>4383</v>
      </c>
      <c r="C10528" s="29"/>
      <c r="D10528" s="29" t="s">
        <v>4384</v>
      </c>
      <c r="E10528" s="29"/>
      <c r="F10528" s="29" t="s">
        <v>4414</v>
      </c>
      <c r="G10528" s="29"/>
      <c r="H10528" s="29" t="s">
        <v>14456</v>
      </c>
      <c r="I10528" s="29"/>
      <c r="J10528" s="29" t="s">
        <v>14457</v>
      </c>
      <c r="K10528" s="29"/>
      <c r="L10528" s="29" t="s">
        <v>4445</v>
      </c>
      <c r="M10528" s="29"/>
      <c r="N10528" s="29" t="s">
        <v>4446</v>
      </c>
      <c r="O10528" s="29"/>
      <c r="P10528" s="29" t="s">
        <v>14458</v>
      </c>
      <c r="Q10528" t="s">
        <v>2041</v>
      </c>
      <c r="R10528" t="s">
        <v>2634</v>
      </c>
      <c r="S10528">
        <v>38</v>
      </c>
      <c r="T10528" s="43" t="str">
        <f>HYPERLINK("https://ictv.global/ictv/proposals/2022.002B.Ainoaviricetes_Finnlakeviridae_nc.zip","2022.002B.Ainoaviricetes_Finnlakeviridae_nc.zip")</f>
        <v>2022.002B.Ainoaviricetes_Finnlakeviridae_nc.zip</v>
      </c>
      <c r="U10528" s="43" t="str">
        <f>HYPERLINK("https://ictv.global/taxonomy/taxondetails?taxnode_id=202207848","ictv.global=202207848")</f>
        <v>ictv.global=202207848</v>
      </c>
    </row>
    <row r="10529" spans="1:21">
      <c r="A10529">
        <v>10528</v>
      </c>
      <c r="B10529" s="29" t="s">
        <v>4383</v>
      </c>
      <c r="C10529" s="29"/>
      <c r="D10529" s="29" t="s">
        <v>4384</v>
      </c>
      <c r="E10529" s="29"/>
      <c r="F10529" s="29" t="s">
        <v>4414</v>
      </c>
      <c r="G10529" s="29"/>
      <c r="H10529" s="29" t="s">
        <v>4415</v>
      </c>
      <c r="I10529" s="29"/>
      <c r="J10529" s="29" t="s">
        <v>4416</v>
      </c>
      <c r="K10529" s="29"/>
      <c r="L10529" s="29" t="s">
        <v>2266</v>
      </c>
      <c r="M10529" s="29"/>
      <c r="N10529" s="29" t="s">
        <v>2267</v>
      </c>
      <c r="O10529" s="29"/>
      <c r="P10529" s="29" t="s">
        <v>2268</v>
      </c>
      <c r="Q10529" t="s">
        <v>2038</v>
      </c>
      <c r="R10529" t="s">
        <v>6901</v>
      </c>
      <c r="S10529">
        <v>36</v>
      </c>
      <c r="T10529" s="43" t="str">
        <f>HYPERLINK("https://ictv.global/ictv/proposals/2020.001G.R.Abolish_type_species.pdf","2020.001G.R.Abolish_type_species.pdf")</f>
        <v>2020.001G.R.Abolish_type_species.pdf</v>
      </c>
      <c r="U10529" s="43" t="str">
        <f>HYPERLINK("https://ictv.global/taxonomy/taxondetails?taxnode_id=202203747","ictv.global=202203747")</f>
        <v>ictv.global=202203747</v>
      </c>
    </row>
    <row r="10530" spans="1:21">
      <c r="A10530">
        <v>10529</v>
      </c>
      <c r="B10530" s="29" t="s">
        <v>4383</v>
      </c>
      <c r="C10530" s="29"/>
      <c r="D10530" s="29" t="s">
        <v>4384</v>
      </c>
      <c r="E10530" s="29"/>
      <c r="F10530" s="29" t="s">
        <v>4414</v>
      </c>
      <c r="G10530" s="29"/>
      <c r="H10530" s="29" t="s">
        <v>4415</v>
      </c>
      <c r="I10530" s="29"/>
      <c r="J10530" s="29" t="s">
        <v>4416</v>
      </c>
      <c r="K10530" s="29"/>
      <c r="L10530" s="29" t="s">
        <v>2266</v>
      </c>
      <c r="M10530" s="29"/>
      <c r="N10530" s="29" t="s">
        <v>2269</v>
      </c>
      <c r="O10530" s="29"/>
      <c r="P10530" s="29" t="s">
        <v>2270</v>
      </c>
      <c r="Q10530" t="s">
        <v>2038</v>
      </c>
      <c r="R10530" t="s">
        <v>6901</v>
      </c>
      <c r="S10530">
        <v>36</v>
      </c>
      <c r="T10530" s="43" t="str">
        <f>HYPERLINK("https://ictv.global/ictv/proposals/2020.001G.R.Abolish_type_species.pdf","2020.001G.R.Abolish_type_species.pdf")</f>
        <v>2020.001G.R.Abolish_type_species.pdf</v>
      </c>
      <c r="U10530" s="43" t="str">
        <f>HYPERLINK("https://ictv.global/taxonomy/taxondetails?taxnode_id=202203749","ictv.global=202203749")</f>
        <v>ictv.global=202203749</v>
      </c>
    </row>
    <row r="10531" spans="1:21">
      <c r="A10531">
        <v>10530</v>
      </c>
      <c r="B10531" s="29" t="s">
        <v>4383</v>
      </c>
      <c r="C10531" s="29"/>
      <c r="D10531" s="29" t="s">
        <v>4384</v>
      </c>
      <c r="E10531" s="29"/>
      <c r="F10531" s="29" t="s">
        <v>4414</v>
      </c>
      <c r="G10531" s="29"/>
      <c r="H10531" s="29" t="s">
        <v>4415</v>
      </c>
      <c r="I10531" s="29"/>
      <c r="J10531" s="29" t="s">
        <v>4416</v>
      </c>
      <c r="K10531" s="29"/>
      <c r="L10531" s="29" t="s">
        <v>2266</v>
      </c>
      <c r="M10531" s="29"/>
      <c r="N10531" s="29" t="s">
        <v>2269</v>
      </c>
      <c r="O10531" s="29"/>
      <c r="P10531" s="29" t="s">
        <v>2271</v>
      </c>
      <c r="Q10531" t="s">
        <v>2038</v>
      </c>
      <c r="R10531" t="s">
        <v>2634</v>
      </c>
      <c r="S10531">
        <v>35</v>
      </c>
      <c r="T10531" s="43" t="str">
        <f>HYPERLINK("https://ictv.global/ictv/proposals/2019.003G.zip","2019.003G.zip")</f>
        <v>2019.003G.zip</v>
      </c>
      <c r="U10531" s="43" t="str">
        <f>HYPERLINK("https://ictv.global/taxonomy/taxondetails?taxnode_id=202203750","ictv.global=202203750")</f>
        <v>ictv.global=202203750</v>
      </c>
    </row>
    <row r="10532" spans="1:21">
      <c r="A10532">
        <v>10531</v>
      </c>
      <c r="B10532" s="29" t="s">
        <v>4383</v>
      </c>
      <c r="C10532" s="29"/>
      <c r="D10532" s="29" t="s">
        <v>4384</v>
      </c>
      <c r="E10532" s="29"/>
      <c r="F10532" s="29" t="s">
        <v>4414</v>
      </c>
      <c r="G10532" s="29"/>
      <c r="H10532" s="29" t="s">
        <v>6744</v>
      </c>
      <c r="I10532" s="29"/>
      <c r="J10532" s="29" t="s">
        <v>6745</v>
      </c>
      <c r="K10532" s="29"/>
      <c r="L10532" s="29" t="s">
        <v>6746</v>
      </c>
      <c r="M10532" s="29"/>
      <c r="N10532" s="29" t="s">
        <v>6747</v>
      </c>
      <c r="O10532" s="29"/>
      <c r="P10532" s="29" t="s">
        <v>6748</v>
      </c>
      <c r="Q10532" t="s">
        <v>2038</v>
      </c>
      <c r="R10532" t="s">
        <v>2632</v>
      </c>
      <c r="S10532">
        <v>36</v>
      </c>
      <c r="T10532" s="43" t="str">
        <f>HYPERLINK("https://ictv.global/ictv/proposals/2020.003D.R.Adintoviridae.zip","2020.003D.R.Adintoviridae.zip")</f>
        <v>2020.003D.R.Adintoviridae.zip</v>
      </c>
      <c r="U10532" s="43" t="str">
        <f>HYPERLINK("https://ictv.global/taxonomy/taxondetails?taxnode_id=202208815","ictv.global=202208815")</f>
        <v>ictv.global=202208815</v>
      </c>
    </row>
    <row r="10533" spans="1:21">
      <c r="A10533">
        <v>10532</v>
      </c>
      <c r="B10533" s="29" t="s">
        <v>4383</v>
      </c>
      <c r="C10533" s="29"/>
      <c r="D10533" s="29" t="s">
        <v>4384</v>
      </c>
      <c r="E10533" s="29"/>
      <c r="F10533" s="29" t="s">
        <v>4414</v>
      </c>
      <c r="G10533" s="29"/>
      <c r="H10533" s="29" t="s">
        <v>6744</v>
      </c>
      <c r="I10533" s="29"/>
      <c r="J10533" s="29" t="s">
        <v>6745</v>
      </c>
      <c r="K10533" s="29"/>
      <c r="L10533" s="29" t="s">
        <v>6746</v>
      </c>
      <c r="M10533" s="29"/>
      <c r="N10533" s="29" t="s">
        <v>6749</v>
      </c>
      <c r="O10533" s="29"/>
      <c r="P10533" s="29" t="s">
        <v>6750</v>
      </c>
      <c r="Q10533" t="s">
        <v>2038</v>
      </c>
      <c r="R10533" t="s">
        <v>2632</v>
      </c>
      <c r="S10533">
        <v>36</v>
      </c>
      <c r="T10533" s="43" t="str">
        <f>HYPERLINK("https://ictv.global/ictv/proposals/2020.003D.R.Adintoviridae.zip","2020.003D.R.Adintoviridae.zip")</f>
        <v>2020.003D.R.Adintoviridae.zip</v>
      </c>
      <c r="U10533" s="43" t="str">
        <f>HYPERLINK("https://ictv.global/taxonomy/taxondetails?taxnode_id=202208817","ictv.global=202208817")</f>
        <v>ictv.global=202208817</v>
      </c>
    </row>
    <row r="10534" spans="1:21">
      <c r="A10534">
        <v>10533</v>
      </c>
      <c r="B10534" s="29" t="s">
        <v>4383</v>
      </c>
      <c r="C10534" s="29"/>
      <c r="D10534" s="29" t="s">
        <v>4384</v>
      </c>
      <c r="E10534" s="29"/>
      <c r="F10534" s="29" t="s">
        <v>4414</v>
      </c>
      <c r="G10534" s="29"/>
      <c r="H10534" s="29" t="s">
        <v>4417</v>
      </c>
      <c r="I10534" s="29"/>
      <c r="J10534" s="29" t="s">
        <v>14459</v>
      </c>
      <c r="K10534" s="29"/>
      <c r="L10534" s="29" t="s">
        <v>14460</v>
      </c>
      <c r="M10534" s="29"/>
      <c r="N10534" s="29" t="s">
        <v>14461</v>
      </c>
      <c r="O10534" s="29"/>
      <c r="P10534" s="29" t="s">
        <v>14462</v>
      </c>
      <c r="Q10534" t="s">
        <v>2038</v>
      </c>
      <c r="R10534" t="s">
        <v>2632</v>
      </c>
      <c r="S10534">
        <v>38</v>
      </c>
      <c r="T10534" s="43" t="str">
        <f>HYPERLINK("https://ictv.global/ictv/proposals/2022.002A.Verdandiviridae_nf_Atrospovirales_no.zip","2022.002A.Verdandiviridae_nf_Atrospovirales_no.zip")</f>
        <v>2022.002A.Verdandiviridae_nf_Atrospovirales_no.zip</v>
      </c>
      <c r="U10534" s="43" t="str">
        <f>HYPERLINK("https://ictv.global/taxonomy/taxondetails?taxnode_id=202214311","ictv.global=202214311")</f>
        <v>ictv.global=202214311</v>
      </c>
    </row>
    <row r="10535" spans="1:21">
      <c r="A10535">
        <v>10534</v>
      </c>
      <c r="B10535" s="29" t="s">
        <v>4383</v>
      </c>
      <c r="C10535" s="29"/>
      <c r="D10535" s="29" t="s">
        <v>4384</v>
      </c>
      <c r="E10535" s="29"/>
      <c r="F10535" s="29" t="s">
        <v>4414</v>
      </c>
      <c r="G10535" s="29"/>
      <c r="H10535" s="29" t="s">
        <v>4417</v>
      </c>
      <c r="I10535" s="29"/>
      <c r="J10535" s="29" t="s">
        <v>14459</v>
      </c>
      <c r="K10535" s="29"/>
      <c r="L10535" s="29" t="s">
        <v>14460</v>
      </c>
      <c r="M10535" s="29"/>
      <c r="N10535" s="29" t="s">
        <v>14461</v>
      </c>
      <c r="O10535" s="29"/>
      <c r="P10535" s="29" t="s">
        <v>14463</v>
      </c>
      <c r="Q10535" t="s">
        <v>2038</v>
      </c>
      <c r="R10535" t="s">
        <v>2632</v>
      </c>
      <c r="S10535">
        <v>38</v>
      </c>
      <c r="T10535" s="43" t="str">
        <f>HYPERLINK("https://ictv.global/ictv/proposals/2022.002A.Verdandiviridae_nf_Atrospovirales_no.zip","2022.002A.Verdandiviridae_nf_Atrospovirales_no.zip")</f>
        <v>2022.002A.Verdandiviridae_nf_Atrospovirales_no.zip</v>
      </c>
      <c r="U10535" s="43" t="str">
        <f>HYPERLINK("https://ictv.global/taxonomy/taxondetails?taxnode_id=202214310","ictv.global=202214310")</f>
        <v>ictv.global=202214310</v>
      </c>
    </row>
    <row r="10536" spans="1:21">
      <c r="A10536">
        <v>10535</v>
      </c>
      <c r="B10536" s="29" t="s">
        <v>4383</v>
      </c>
      <c r="C10536" s="29"/>
      <c r="D10536" s="29" t="s">
        <v>4384</v>
      </c>
      <c r="E10536" s="29"/>
      <c r="F10536" s="29" t="s">
        <v>4414</v>
      </c>
      <c r="G10536" s="29"/>
      <c r="H10536" s="29" t="s">
        <v>4417</v>
      </c>
      <c r="I10536" s="29"/>
      <c r="J10536" s="29" t="s">
        <v>4418</v>
      </c>
      <c r="K10536" s="29"/>
      <c r="L10536" s="29" t="s">
        <v>1963</v>
      </c>
      <c r="M10536" s="29"/>
      <c r="N10536" s="29" t="s">
        <v>1964</v>
      </c>
      <c r="O10536" s="29"/>
      <c r="P10536" s="29" t="s">
        <v>1965</v>
      </c>
      <c r="Q10536" t="s">
        <v>2038</v>
      </c>
      <c r="R10536" t="s">
        <v>6901</v>
      </c>
      <c r="S10536">
        <v>36</v>
      </c>
      <c r="T10536" s="43" t="str">
        <f>HYPERLINK("https://ictv.global/ictv/proposals/2020.001G.R.Abolish_type_species.pdf","2020.001G.R.Abolish_type_species.pdf")</f>
        <v>2020.001G.R.Abolish_type_species.pdf</v>
      </c>
      <c r="U10536" s="43" t="str">
        <f>HYPERLINK("https://ictv.global/taxonomy/taxondetails?taxnode_id=202205328","ictv.global=202205328")</f>
        <v>ictv.global=202205328</v>
      </c>
    </row>
    <row r="10537" spans="1:21">
      <c r="A10537">
        <v>10536</v>
      </c>
      <c r="B10537" s="29" t="s">
        <v>4383</v>
      </c>
      <c r="C10537" s="29"/>
      <c r="D10537" s="29" t="s">
        <v>4384</v>
      </c>
      <c r="E10537" s="29"/>
      <c r="F10537" s="29" t="s">
        <v>4414</v>
      </c>
      <c r="G10537" s="29"/>
      <c r="H10537" s="29" t="s">
        <v>4417</v>
      </c>
      <c r="I10537" s="29"/>
      <c r="J10537" s="29" t="s">
        <v>4418</v>
      </c>
      <c r="K10537" s="29"/>
      <c r="L10537" s="29" t="s">
        <v>1963</v>
      </c>
      <c r="M10537" s="29"/>
      <c r="N10537" s="29" t="s">
        <v>1964</v>
      </c>
      <c r="O10537" s="29"/>
      <c r="P10537" s="29" t="s">
        <v>1966</v>
      </c>
      <c r="Q10537" t="s">
        <v>2038</v>
      </c>
      <c r="R10537" t="s">
        <v>2634</v>
      </c>
      <c r="S10537">
        <v>35</v>
      </c>
      <c r="T10537" s="43" t="str">
        <f>HYPERLINK("https://ictv.global/ictv/proposals/2019.003G.zip","2019.003G.zip")</f>
        <v>2019.003G.zip</v>
      </c>
      <c r="U10537" s="43" t="str">
        <f>HYPERLINK("https://ictv.global/taxonomy/taxondetails?taxnode_id=202205329","ictv.global=202205329")</f>
        <v>ictv.global=202205329</v>
      </c>
    </row>
    <row r="10538" spans="1:21">
      <c r="A10538">
        <v>10537</v>
      </c>
      <c r="B10538" s="29" t="s">
        <v>4383</v>
      </c>
      <c r="C10538" s="29"/>
      <c r="D10538" s="29" t="s">
        <v>4384</v>
      </c>
      <c r="E10538" s="29"/>
      <c r="F10538" s="29" t="s">
        <v>4414</v>
      </c>
      <c r="G10538" s="29"/>
      <c r="H10538" s="29" t="s">
        <v>4417</v>
      </c>
      <c r="I10538" s="29"/>
      <c r="J10538" s="29" t="s">
        <v>14464</v>
      </c>
      <c r="K10538" s="29"/>
      <c r="L10538" s="29" t="s">
        <v>14465</v>
      </c>
      <c r="M10538" s="29"/>
      <c r="N10538" s="29" t="s">
        <v>14466</v>
      </c>
      <c r="O10538" s="29"/>
      <c r="P10538" s="29" t="s">
        <v>14467</v>
      </c>
      <c r="Q10538" t="s">
        <v>2038</v>
      </c>
      <c r="R10538" t="s">
        <v>2632</v>
      </c>
      <c r="S10538">
        <v>38</v>
      </c>
      <c r="T10538" s="43" t="str">
        <f>HYPERLINK("https://ictv.global/ictv/proposals/2022.001A.Nakonvirales_Maximonvirales_Coyopavirales_3no.zip","2022.001A.Nakonvirales_Maximonvirales_Coyopavirales_3no.zip")</f>
        <v>2022.001A.Nakonvirales_Maximonvirales_Coyopavirales_3no.zip</v>
      </c>
      <c r="U10538" s="43" t="str">
        <f>HYPERLINK("https://ictv.global/taxonomy/taxondetails?taxnode_id=202214298","ictv.global=202214298")</f>
        <v>ictv.global=202214298</v>
      </c>
    </row>
    <row r="10539" spans="1:21">
      <c r="A10539">
        <v>10538</v>
      </c>
      <c r="B10539" s="29" t="s">
        <v>4383</v>
      </c>
      <c r="C10539" s="29"/>
      <c r="D10539" s="29" t="s">
        <v>4384</v>
      </c>
      <c r="E10539" s="29"/>
      <c r="F10539" s="29" t="s">
        <v>4414</v>
      </c>
      <c r="G10539" s="29"/>
      <c r="H10539" s="29" t="s">
        <v>4417</v>
      </c>
      <c r="I10539" s="29"/>
      <c r="J10539" s="29" t="s">
        <v>14464</v>
      </c>
      <c r="K10539" s="29"/>
      <c r="L10539" s="29" t="s">
        <v>14465</v>
      </c>
      <c r="M10539" s="29"/>
      <c r="N10539" s="29" t="s">
        <v>14468</v>
      </c>
      <c r="O10539" s="29"/>
      <c r="P10539" s="29" t="s">
        <v>14469</v>
      </c>
      <c r="Q10539" t="s">
        <v>2038</v>
      </c>
      <c r="R10539" t="s">
        <v>2632</v>
      </c>
      <c r="S10539">
        <v>38</v>
      </c>
      <c r="T10539" s="43" t="str">
        <f>HYPERLINK("https://ictv.global/ictv/proposals/2022.001A.Nakonvirales_Maximonvirales_Coyopavirales_3no.zip","2022.001A.Nakonvirales_Maximonvirales_Coyopavirales_3no.zip")</f>
        <v>2022.001A.Nakonvirales_Maximonvirales_Coyopavirales_3no.zip</v>
      </c>
      <c r="U10539" s="43" t="str">
        <f>HYPERLINK("https://ictv.global/taxonomy/taxondetails?taxnode_id=202214300","ictv.global=202214300")</f>
        <v>ictv.global=202214300</v>
      </c>
    </row>
    <row r="10540" spans="1:21">
      <c r="A10540">
        <v>10539</v>
      </c>
      <c r="B10540" s="29" t="s">
        <v>4383</v>
      </c>
      <c r="C10540" s="29"/>
      <c r="D10540" s="29" t="s">
        <v>4384</v>
      </c>
      <c r="E10540" s="29"/>
      <c r="F10540" s="29" t="s">
        <v>4414</v>
      </c>
      <c r="G10540" s="29"/>
      <c r="H10540" s="29" t="s">
        <v>4417</v>
      </c>
      <c r="I10540" s="29"/>
      <c r="J10540" s="29" t="s">
        <v>14464</v>
      </c>
      <c r="K10540" s="29"/>
      <c r="L10540" s="29" t="s">
        <v>14465</v>
      </c>
      <c r="M10540" s="29"/>
      <c r="N10540" s="29" t="s">
        <v>14468</v>
      </c>
      <c r="O10540" s="29"/>
      <c r="P10540" s="29" t="s">
        <v>14470</v>
      </c>
      <c r="Q10540" t="s">
        <v>2038</v>
      </c>
      <c r="R10540" t="s">
        <v>2632</v>
      </c>
      <c r="S10540">
        <v>38</v>
      </c>
      <c r="T10540" s="43" t="str">
        <f>HYPERLINK("https://ictv.global/ictv/proposals/2022.001A.Nakonvirales_Maximonvirales_Coyopavirales_3no.zip","2022.001A.Nakonvirales_Maximonvirales_Coyopavirales_3no.zip")</f>
        <v>2022.001A.Nakonvirales_Maximonvirales_Coyopavirales_3no.zip</v>
      </c>
      <c r="U10540" s="43" t="str">
        <f>HYPERLINK("https://ictv.global/taxonomy/taxondetails?taxnode_id=202214299","ictv.global=202214299")</f>
        <v>ictv.global=202214299</v>
      </c>
    </row>
    <row r="10541" spans="1:21">
      <c r="A10541">
        <v>10540</v>
      </c>
      <c r="B10541" s="29" t="s">
        <v>4383</v>
      </c>
      <c r="C10541" s="29"/>
      <c r="D10541" s="29" t="s">
        <v>4384</v>
      </c>
      <c r="E10541" s="29"/>
      <c r="F10541" s="29" t="s">
        <v>4414</v>
      </c>
      <c r="G10541" s="29"/>
      <c r="H10541" s="29" t="s">
        <v>4417</v>
      </c>
      <c r="I10541" s="29"/>
      <c r="J10541" s="29" t="s">
        <v>4419</v>
      </c>
      <c r="K10541" s="29"/>
      <c r="L10541" s="29" t="s">
        <v>1181</v>
      </c>
      <c r="M10541" s="29"/>
      <c r="N10541" s="29" t="s">
        <v>2982</v>
      </c>
      <c r="O10541" s="29"/>
      <c r="P10541" s="29" t="s">
        <v>14471</v>
      </c>
      <c r="Q10541" t="s">
        <v>2038</v>
      </c>
      <c r="R10541" t="s">
        <v>2635</v>
      </c>
      <c r="S10541">
        <v>37</v>
      </c>
      <c r="T10541" s="43" t="str">
        <f>HYPERLINK("https://ictv.global/ictv/proposals/2021.010B.R.Binomial_names.zip","2021.010B.R.Binomial_names.zip")</f>
        <v>2021.010B.R.Binomial_names.zip</v>
      </c>
      <c r="U10541" s="43" t="str">
        <f>HYPERLINK("https://ictv.global/taxonomy/taxondetails?taxnode_id=202205994","ictv.global=202205994")</f>
        <v>ictv.global=202205994</v>
      </c>
    </row>
    <row r="10542" spans="1:21">
      <c r="A10542">
        <v>10541</v>
      </c>
      <c r="B10542" s="29" t="s">
        <v>4383</v>
      </c>
      <c r="C10542" s="29"/>
      <c r="D10542" s="29" t="s">
        <v>4384</v>
      </c>
      <c r="E10542" s="29"/>
      <c r="F10542" s="29" t="s">
        <v>4414</v>
      </c>
      <c r="G10542" s="29"/>
      <c r="H10542" s="29" t="s">
        <v>4417</v>
      </c>
      <c r="I10542" s="29"/>
      <c r="J10542" s="29" t="s">
        <v>4419</v>
      </c>
      <c r="K10542" s="29"/>
      <c r="L10542" s="29" t="s">
        <v>1181</v>
      </c>
      <c r="M10542" s="29"/>
      <c r="N10542" s="29" t="s">
        <v>2982</v>
      </c>
      <c r="O10542" s="29"/>
      <c r="P10542" s="29" t="s">
        <v>14472</v>
      </c>
      <c r="Q10542" t="s">
        <v>2038</v>
      </c>
      <c r="R10542" t="s">
        <v>2635</v>
      </c>
      <c r="S10542">
        <v>37</v>
      </c>
      <c r="T10542" s="43" t="str">
        <f>HYPERLINK("https://ictv.global/ictv/proposals/2021.010B.R.Binomial_names.zip","2021.010B.R.Binomial_names.zip")</f>
        <v>2021.010B.R.Binomial_names.zip</v>
      </c>
      <c r="U10542" s="43" t="str">
        <f>HYPERLINK("https://ictv.global/taxonomy/taxondetails?taxnode_id=202205076","ictv.global=202205076")</f>
        <v>ictv.global=202205076</v>
      </c>
    </row>
    <row r="10543" spans="1:21">
      <c r="A10543">
        <v>10542</v>
      </c>
      <c r="B10543" s="29" t="s">
        <v>4383</v>
      </c>
      <c r="C10543" s="29"/>
      <c r="D10543" s="29" t="s">
        <v>4384</v>
      </c>
      <c r="E10543" s="29"/>
      <c r="F10543" s="29" t="s">
        <v>4414</v>
      </c>
      <c r="G10543" s="29"/>
      <c r="H10543" s="29" t="s">
        <v>4417</v>
      </c>
      <c r="I10543" s="29"/>
      <c r="J10543" s="29" t="s">
        <v>4419</v>
      </c>
      <c r="K10543" s="29"/>
      <c r="L10543" s="29" t="s">
        <v>1181</v>
      </c>
      <c r="M10543" s="29"/>
      <c r="N10543" s="29" t="s">
        <v>2983</v>
      </c>
      <c r="O10543" s="29"/>
      <c r="P10543" s="29" t="s">
        <v>14473</v>
      </c>
      <c r="Q10543" t="s">
        <v>2038</v>
      </c>
      <c r="R10543" t="s">
        <v>2635</v>
      </c>
      <c r="S10543">
        <v>37</v>
      </c>
      <c r="T10543" s="43" t="str">
        <f>HYPERLINK("https://ictv.global/ictv/proposals/2021.010B.R.Binomial_names.zip","2021.010B.R.Binomial_names.zip")</f>
        <v>2021.010B.R.Binomial_names.zip</v>
      </c>
      <c r="U10543" s="43" t="str">
        <f>HYPERLINK("https://ictv.global/taxonomy/taxondetails?taxnode_id=202205074","ictv.global=202205074")</f>
        <v>ictv.global=202205074</v>
      </c>
    </row>
    <row r="10544" spans="1:21">
      <c r="A10544">
        <v>10543</v>
      </c>
      <c r="B10544" s="29" t="s">
        <v>4383</v>
      </c>
      <c r="C10544" s="29"/>
      <c r="D10544" s="29" t="s">
        <v>4384</v>
      </c>
      <c r="E10544" s="29"/>
      <c r="F10544" s="29" t="s">
        <v>4414</v>
      </c>
      <c r="G10544" s="29"/>
      <c r="H10544" s="29" t="s">
        <v>4417</v>
      </c>
      <c r="I10544" s="29"/>
      <c r="J10544" s="29" t="s">
        <v>4419</v>
      </c>
      <c r="K10544" s="29"/>
      <c r="L10544" s="29" t="s">
        <v>1181</v>
      </c>
      <c r="M10544" s="29"/>
      <c r="N10544" s="29" t="s">
        <v>2983</v>
      </c>
      <c r="O10544" s="29"/>
      <c r="P10544" s="29" t="s">
        <v>14474</v>
      </c>
      <c r="Q10544" t="s">
        <v>2038</v>
      </c>
      <c r="R10544" t="s">
        <v>2635</v>
      </c>
      <c r="S10544">
        <v>37</v>
      </c>
      <c r="T10544" s="43" t="str">
        <f>HYPERLINK("https://ictv.global/ictv/proposals/2021.010B.R.Binomial_names.zip","2021.010B.R.Binomial_names.zip")</f>
        <v>2021.010B.R.Binomial_names.zip</v>
      </c>
      <c r="U10544" s="43" t="str">
        <f>HYPERLINK("https://ictv.global/taxonomy/taxondetails?taxnode_id=202205075","ictv.global=202205075")</f>
        <v>ictv.global=202205075</v>
      </c>
    </row>
    <row r="10545" spans="1:21">
      <c r="A10545">
        <v>10544</v>
      </c>
      <c r="B10545" s="29" t="s">
        <v>4383</v>
      </c>
      <c r="C10545" s="29"/>
      <c r="D10545" s="29" t="s">
        <v>4384</v>
      </c>
      <c r="E10545" s="29"/>
      <c r="F10545" s="29" t="s">
        <v>4414</v>
      </c>
      <c r="G10545" s="29"/>
      <c r="H10545" s="29" t="s">
        <v>4417</v>
      </c>
      <c r="I10545" s="29"/>
      <c r="J10545" s="29" t="s">
        <v>4419</v>
      </c>
      <c r="K10545" s="29"/>
      <c r="L10545" s="29" t="s">
        <v>1181</v>
      </c>
      <c r="M10545" s="29"/>
      <c r="N10545" s="29" t="s">
        <v>2983</v>
      </c>
      <c r="O10545" s="29"/>
      <c r="P10545" s="29" t="s">
        <v>14475</v>
      </c>
      <c r="Q10545" t="s">
        <v>2038</v>
      </c>
      <c r="R10545" t="s">
        <v>2635</v>
      </c>
      <c r="S10545">
        <v>37</v>
      </c>
      <c r="T10545" s="43" t="str">
        <f>HYPERLINK("https://ictv.global/ictv/proposals/2021.010B.R.Binomial_names.zip","2021.010B.R.Binomial_names.zip")</f>
        <v>2021.010B.R.Binomial_names.zip</v>
      </c>
      <c r="U10545" s="43" t="str">
        <f>HYPERLINK("https://ictv.global/taxonomy/taxondetails?taxnode_id=202205995","ictv.global=202205995")</f>
        <v>ictv.global=202205995</v>
      </c>
    </row>
    <row r="10546" spans="1:21">
      <c r="A10546">
        <v>10545</v>
      </c>
      <c r="B10546" s="29" t="s">
        <v>4383</v>
      </c>
      <c r="C10546" s="29"/>
      <c r="D10546" s="29" t="s">
        <v>4384</v>
      </c>
      <c r="E10546" s="29"/>
      <c r="F10546" s="29" t="s">
        <v>4414</v>
      </c>
      <c r="G10546" s="29"/>
      <c r="H10546" s="29" t="s">
        <v>4417</v>
      </c>
      <c r="I10546" s="29"/>
      <c r="J10546" s="29" t="s">
        <v>4419</v>
      </c>
      <c r="K10546" s="29"/>
      <c r="L10546" s="29" t="s">
        <v>1181</v>
      </c>
      <c r="M10546" s="29"/>
      <c r="N10546" s="29" t="s">
        <v>2983</v>
      </c>
      <c r="O10546" s="29"/>
      <c r="P10546" s="29" t="s">
        <v>14476</v>
      </c>
      <c r="Q10546" t="s">
        <v>2038</v>
      </c>
      <c r="R10546" t="s">
        <v>2632</v>
      </c>
      <c r="S10546">
        <v>37</v>
      </c>
      <c r="T10546" s="43" t="str">
        <f>HYPERLINK("https://ictv.global/ictv/proposals/2021.009B.R.Betatectivirus_new species.zip","2021.009B.R.Betatectivirus_new species.zip")</f>
        <v>2021.009B.R.Betatectivirus_new species.zip</v>
      </c>
      <c r="U10546" s="43" t="str">
        <f>HYPERLINK("https://ictv.global/taxonomy/taxondetails?taxnode_id=202213210","ictv.global=202213210")</f>
        <v>ictv.global=202213210</v>
      </c>
    </row>
    <row r="10547" spans="1:21">
      <c r="A10547">
        <v>10546</v>
      </c>
      <c r="B10547" s="29" t="s">
        <v>4383</v>
      </c>
      <c r="C10547" s="29"/>
      <c r="D10547" s="29" t="s">
        <v>4384</v>
      </c>
      <c r="E10547" s="29"/>
      <c r="F10547" s="29" t="s">
        <v>4414</v>
      </c>
      <c r="G10547" s="29"/>
      <c r="H10547" s="29" t="s">
        <v>4417</v>
      </c>
      <c r="I10547" s="29"/>
      <c r="J10547" s="29" t="s">
        <v>4419</v>
      </c>
      <c r="K10547" s="29"/>
      <c r="L10547" s="29" t="s">
        <v>1181</v>
      </c>
      <c r="M10547" s="29"/>
      <c r="N10547" s="29" t="s">
        <v>2983</v>
      </c>
      <c r="O10547" s="29"/>
      <c r="P10547" s="29" t="s">
        <v>14477</v>
      </c>
      <c r="Q10547" t="s">
        <v>2038</v>
      </c>
      <c r="R10547" t="s">
        <v>2632</v>
      </c>
      <c r="S10547">
        <v>37</v>
      </c>
      <c r="T10547" s="43" t="str">
        <f>HYPERLINK("https://ictv.global/ictv/proposals/2021.009B.R.Betatectivirus_new species.zip","2021.009B.R.Betatectivirus_new species.zip")</f>
        <v>2021.009B.R.Betatectivirus_new species.zip</v>
      </c>
      <c r="U10547" s="43" t="str">
        <f>HYPERLINK("https://ictv.global/taxonomy/taxondetails?taxnode_id=202213211","ictv.global=202213211")</f>
        <v>ictv.global=202213211</v>
      </c>
    </row>
    <row r="10548" spans="1:21">
      <c r="A10548">
        <v>10547</v>
      </c>
      <c r="B10548" s="29" t="s">
        <v>4383</v>
      </c>
      <c r="C10548" s="29"/>
      <c r="D10548" s="29" t="s">
        <v>4384</v>
      </c>
      <c r="E10548" s="29"/>
      <c r="F10548" s="29" t="s">
        <v>4414</v>
      </c>
      <c r="G10548" s="29"/>
      <c r="H10548" s="29" t="s">
        <v>4417</v>
      </c>
      <c r="I10548" s="29"/>
      <c r="J10548" s="29" t="s">
        <v>4419</v>
      </c>
      <c r="K10548" s="29"/>
      <c r="L10548" s="29" t="s">
        <v>1181</v>
      </c>
      <c r="M10548" s="29"/>
      <c r="N10548" s="29" t="s">
        <v>2983</v>
      </c>
      <c r="O10548" s="29"/>
      <c r="P10548" s="29" t="s">
        <v>14478</v>
      </c>
      <c r="Q10548" t="s">
        <v>2038</v>
      </c>
      <c r="R10548" t="s">
        <v>2635</v>
      </c>
      <c r="S10548">
        <v>37</v>
      </c>
      <c r="T10548" s="43" t="str">
        <f>HYPERLINK("https://ictv.global/ictv/proposals/2021.010B.R.Binomial_names.zip","2021.010B.R.Binomial_names.zip")</f>
        <v>2021.010B.R.Binomial_names.zip</v>
      </c>
      <c r="U10548" s="43" t="str">
        <f>HYPERLINK("https://ictv.global/taxonomy/taxondetails?taxnode_id=202205996","ictv.global=202205996")</f>
        <v>ictv.global=202205996</v>
      </c>
    </row>
    <row r="10549" spans="1:21">
      <c r="A10549">
        <v>10548</v>
      </c>
      <c r="B10549" s="29" t="s">
        <v>4383</v>
      </c>
      <c r="C10549" s="29"/>
      <c r="D10549" s="29" t="s">
        <v>4384</v>
      </c>
      <c r="E10549" s="29"/>
      <c r="F10549" s="29" t="s">
        <v>4414</v>
      </c>
      <c r="G10549" s="29"/>
      <c r="H10549" s="29" t="s">
        <v>4417</v>
      </c>
      <c r="I10549" s="29"/>
      <c r="J10549" s="29" t="s">
        <v>4419</v>
      </c>
      <c r="K10549" s="29"/>
      <c r="L10549" s="29" t="s">
        <v>1181</v>
      </c>
      <c r="M10549" s="29"/>
      <c r="N10549" s="29" t="s">
        <v>6751</v>
      </c>
      <c r="O10549" s="29"/>
      <c r="P10549" s="29" t="s">
        <v>14479</v>
      </c>
      <c r="Q10549" t="s">
        <v>2038</v>
      </c>
      <c r="R10549" t="s">
        <v>2635</v>
      </c>
      <c r="S10549">
        <v>37</v>
      </c>
      <c r="T10549" s="43" t="str">
        <f>HYPERLINK("https://ictv.global/ictv/proposals/2021.010B.R.Binomial_names.zip","2021.010B.R.Binomial_names.zip")</f>
        <v>2021.010B.R.Binomial_names.zip</v>
      </c>
      <c r="U10549" s="43" t="str">
        <f>HYPERLINK("https://ictv.global/taxonomy/taxondetails?taxnode_id=202209932","ictv.global=202209932")</f>
        <v>ictv.global=202209932</v>
      </c>
    </row>
    <row r="10550" spans="1:21">
      <c r="A10550">
        <v>10549</v>
      </c>
      <c r="B10550" s="29" t="s">
        <v>4383</v>
      </c>
      <c r="C10550" s="29"/>
      <c r="D10550" s="29" t="s">
        <v>4384</v>
      </c>
      <c r="E10550" s="29"/>
      <c r="F10550" s="29" t="s">
        <v>4414</v>
      </c>
      <c r="G10550" s="29"/>
      <c r="H10550" s="29" t="s">
        <v>4417</v>
      </c>
      <c r="I10550" s="29"/>
      <c r="J10550" s="29" t="s">
        <v>4419</v>
      </c>
      <c r="K10550" s="29"/>
      <c r="L10550" s="29" t="s">
        <v>1181</v>
      </c>
      <c r="M10550" s="29"/>
      <c r="N10550" s="29" t="s">
        <v>6751</v>
      </c>
      <c r="O10550" s="29"/>
      <c r="P10550" s="29" t="s">
        <v>14480</v>
      </c>
      <c r="Q10550" t="s">
        <v>2038</v>
      </c>
      <c r="R10550" t="s">
        <v>2635</v>
      </c>
      <c r="S10550">
        <v>37</v>
      </c>
      <c r="T10550" s="43" t="str">
        <f>HYPERLINK("https://ictv.global/ictv/proposals/2021.010B.R.Binomial_names.zip","2021.010B.R.Binomial_names.zip")</f>
        <v>2021.010B.R.Binomial_names.zip</v>
      </c>
      <c r="U10550" s="43" t="str">
        <f>HYPERLINK("https://ictv.global/taxonomy/taxondetails?taxnode_id=202209931","ictv.global=202209931")</f>
        <v>ictv.global=202209931</v>
      </c>
    </row>
    <row r="10551" spans="1:21">
      <c r="A10551">
        <v>10550</v>
      </c>
      <c r="B10551" s="29" t="s">
        <v>4383</v>
      </c>
      <c r="C10551" s="29"/>
      <c r="D10551" s="29" t="s">
        <v>4384</v>
      </c>
      <c r="E10551" s="29"/>
      <c r="F10551" s="29" t="s">
        <v>4414</v>
      </c>
      <c r="G10551" s="29"/>
      <c r="H10551" s="29" t="s">
        <v>4417</v>
      </c>
      <c r="I10551" s="29"/>
      <c r="J10551" s="29" t="s">
        <v>4419</v>
      </c>
      <c r="K10551" s="29"/>
      <c r="L10551" s="29" t="s">
        <v>1181</v>
      </c>
      <c r="M10551" s="29"/>
      <c r="N10551" s="29" t="s">
        <v>6752</v>
      </c>
      <c r="O10551" s="29"/>
      <c r="P10551" s="29" t="s">
        <v>14481</v>
      </c>
      <c r="Q10551" t="s">
        <v>2038</v>
      </c>
      <c r="R10551" t="s">
        <v>2635</v>
      </c>
      <c r="S10551">
        <v>37</v>
      </c>
      <c r="T10551" s="43" t="str">
        <f>HYPERLINK("https://ictv.global/ictv/proposals/2021.010B.R.Binomial_names.zip","2021.010B.R.Binomial_names.zip")</f>
        <v>2021.010B.R.Binomial_names.zip</v>
      </c>
      <c r="U10551" s="43" t="str">
        <f>HYPERLINK("https://ictv.global/taxonomy/taxondetails?taxnode_id=202209934","ictv.global=202209934")</f>
        <v>ictv.global=202209934</v>
      </c>
    </row>
    <row r="10552" spans="1:21">
      <c r="A10552">
        <v>10551</v>
      </c>
      <c r="B10552" s="29" t="s">
        <v>4383</v>
      </c>
      <c r="C10552" s="29"/>
      <c r="D10552" s="29" t="s">
        <v>4384</v>
      </c>
      <c r="E10552" s="29"/>
      <c r="F10552" s="29" t="s">
        <v>4414</v>
      </c>
      <c r="G10552" s="29"/>
      <c r="H10552" s="29" t="s">
        <v>4417</v>
      </c>
      <c r="I10552" s="29"/>
      <c r="J10552" s="29" t="s">
        <v>4419</v>
      </c>
      <c r="K10552" s="29"/>
      <c r="L10552" s="29" t="s">
        <v>1181</v>
      </c>
      <c r="M10552" s="29"/>
      <c r="N10552" s="29" t="s">
        <v>3680</v>
      </c>
      <c r="O10552" s="29"/>
      <c r="P10552" s="29" t="s">
        <v>14482</v>
      </c>
      <c r="Q10552" t="s">
        <v>2038</v>
      </c>
      <c r="R10552" t="s">
        <v>2635</v>
      </c>
      <c r="S10552">
        <v>37</v>
      </c>
      <c r="T10552" s="43" t="str">
        <f>HYPERLINK("https://ictv.global/ictv/proposals/2021.010B.R.Binomial_names.zip","2021.010B.R.Binomial_names.zip")</f>
        <v>2021.010B.R.Binomial_names.zip</v>
      </c>
      <c r="U10552" s="43" t="str">
        <f>HYPERLINK("https://ictv.global/taxonomy/taxondetails?taxnode_id=202206875","ictv.global=202206875")</f>
        <v>ictv.global=202206875</v>
      </c>
    </row>
    <row r="10553" spans="1:21">
      <c r="A10553">
        <v>10552</v>
      </c>
      <c r="B10553" s="29" t="s">
        <v>4383</v>
      </c>
      <c r="C10553" s="29"/>
      <c r="D10553" s="29" t="s">
        <v>4384</v>
      </c>
      <c r="E10553" s="29"/>
      <c r="F10553" s="29" t="s">
        <v>4414</v>
      </c>
      <c r="G10553" s="29"/>
      <c r="H10553" s="29" t="s">
        <v>4417</v>
      </c>
      <c r="I10553" s="29"/>
      <c r="J10553" s="29" t="s">
        <v>4420</v>
      </c>
      <c r="K10553" s="29"/>
      <c r="L10553" s="29" t="s">
        <v>1301</v>
      </c>
      <c r="M10553" s="29"/>
      <c r="N10553" s="29" t="s">
        <v>1302</v>
      </c>
      <c r="O10553" s="29"/>
      <c r="P10553" s="29" t="s">
        <v>1738</v>
      </c>
      <c r="Q10553" t="s">
        <v>2038</v>
      </c>
      <c r="R10553" t="s">
        <v>2634</v>
      </c>
      <c r="S10553">
        <v>35</v>
      </c>
      <c r="T10553" s="43" t="str">
        <f>HYPERLINK("https://ictv.global/ictv/proposals/2019.003G.zip","2019.003G.zip")</f>
        <v>2019.003G.zip</v>
      </c>
      <c r="U10553" s="43" t="str">
        <f>HYPERLINK("https://ictv.global/taxonomy/taxondetails?taxnode_id=202202390","ictv.global=202202390")</f>
        <v>ictv.global=202202390</v>
      </c>
    </row>
    <row r="10554" spans="1:21">
      <c r="A10554">
        <v>10553</v>
      </c>
      <c r="B10554" s="29" t="s">
        <v>4383</v>
      </c>
      <c r="C10554" s="29"/>
      <c r="D10554" s="29" t="s">
        <v>4384</v>
      </c>
      <c r="E10554" s="29"/>
      <c r="F10554" s="29" t="s">
        <v>4414</v>
      </c>
      <c r="G10554" s="29"/>
      <c r="H10554" s="29" t="s">
        <v>4417</v>
      </c>
      <c r="I10554" s="29"/>
      <c r="J10554" s="29" t="s">
        <v>4420</v>
      </c>
      <c r="K10554" s="29"/>
      <c r="L10554" s="29" t="s">
        <v>1301</v>
      </c>
      <c r="M10554" s="29"/>
      <c r="N10554" s="29" t="s">
        <v>1302</v>
      </c>
      <c r="O10554" s="29"/>
      <c r="P10554" s="29" t="s">
        <v>6753</v>
      </c>
      <c r="Q10554" t="s">
        <v>2038</v>
      </c>
      <c r="R10554" t="s">
        <v>2632</v>
      </c>
      <c r="S10554">
        <v>36</v>
      </c>
      <c r="T10554" s="43" t="str">
        <f>HYPERLINK("https://ictv.global/ictv/proposals/2020.008D.R.Adenoviridae_1ngen_6nsp.zip","2020.008D.R.Adenoviridae_1ngen_6nsp.zip")</f>
        <v>2020.008D.R.Adenoviridae_1ngen_6nsp.zip</v>
      </c>
      <c r="U10554" s="43" t="str">
        <f>HYPERLINK("https://ictv.global/taxonomy/taxondetails?taxnode_id=202209160","ictv.global=202209160")</f>
        <v>ictv.global=202209160</v>
      </c>
    </row>
    <row r="10555" spans="1:21">
      <c r="A10555">
        <v>10554</v>
      </c>
      <c r="B10555" s="29" t="s">
        <v>4383</v>
      </c>
      <c r="C10555" s="29"/>
      <c r="D10555" s="29" t="s">
        <v>4384</v>
      </c>
      <c r="E10555" s="29"/>
      <c r="F10555" s="29" t="s">
        <v>4414</v>
      </c>
      <c r="G10555" s="29"/>
      <c r="H10555" s="29" t="s">
        <v>4417</v>
      </c>
      <c r="I10555" s="29"/>
      <c r="J10555" s="29" t="s">
        <v>4420</v>
      </c>
      <c r="K10555" s="29"/>
      <c r="L10555" s="29" t="s">
        <v>1301</v>
      </c>
      <c r="M10555" s="29"/>
      <c r="N10555" s="29" t="s">
        <v>1302</v>
      </c>
      <c r="O10555" s="29"/>
      <c r="P10555" s="29" t="s">
        <v>2751</v>
      </c>
      <c r="Q10555" t="s">
        <v>2038</v>
      </c>
      <c r="R10555" t="s">
        <v>2634</v>
      </c>
      <c r="S10555">
        <v>35</v>
      </c>
      <c r="T10555" s="43" t="str">
        <f>HYPERLINK("https://ictv.global/ictv/proposals/2019.003G.zip","2019.003G.zip")</f>
        <v>2019.003G.zip</v>
      </c>
      <c r="U10555" s="43" t="str">
        <f>HYPERLINK("https://ictv.global/taxonomy/taxondetails?taxnode_id=202205652","ictv.global=202205652")</f>
        <v>ictv.global=202205652</v>
      </c>
    </row>
    <row r="10556" spans="1:21">
      <c r="A10556">
        <v>10555</v>
      </c>
      <c r="B10556" s="29" t="s">
        <v>4383</v>
      </c>
      <c r="C10556" s="29"/>
      <c r="D10556" s="29" t="s">
        <v>4384</v>
      </c>
      <c r="E10556" s="29"/>
      <c r="F10556" s="29" t="s">
        <v>4414</v>
      </c>
      <c r="G10556" s="29"/>
      <c r="H10556" s="29" t="s">
        <v>4417</v>
      </c>
      <c r="I10556" s="29"/>
      <c r="J10556" s="29" t="s">
        <v>4420</v>
      </c>
      <c r="K10556" s="29"/>
      <c r="L10556" s="29" t="s">
        <v>1301</v>
      </c>
      <c r="M10556" s="29"/>
      <c r="N10556" s="29" t="s">
        <v>1302</v>
      </c>
      <c r="O10556" s="29"/>
      <c r="P10556" s="29" t="s">
        <v>1739</v>
      </c>
      <c r="Q10556" t="s">
        <v>2038</v>
      </c>
      <c r="R10556" t="s">
        <v>2634</v>
      </c>
      <c r="S10556">
        <v>35</v>
      </c>
      <c r="T10556" s="43" t="str">
        <f>HYPERLINK("https://ictv.global/ictv/proposals/2019.003G.zip","2019.003G.zip")</f>
        <v>2019.003G.zip</v>
      </c>
      <c r="U10556" s="43" t="str">
        <f>HYPERLINK("https://ictv.global/taxonomy/taxondetails?taxnode_id=202202391","ictv.global=202202391")</f>
        <v>ictv.global=202202391</v>
      </c>
    </row>
    <row r="10557" spans="1:21">
      <c r="A10557">
        <v>10556</v>
      </c>
      <c r="B10557" s="29" t="s">
        <v>4383</v>
      </c>
      <c r="C10557" s="29"/>
      <c r="D10557" s="29" t="s">
        <v>4384</v>
      </c>
      <c r="E10557" s="29"/>
      <c r="F10557" s="29" t="s">
        <v>4414</v>
      </c>
      <c r="G10557" s="29"/>
      <c r="H10557" s="29" t="s">
        <v>4417</v>
      </c>
      <c r="I10557" s="29"/>
      <c r="J10557" s="29" t="s">
        <v>4420</v>
      </c>
      <c r="K10557" s="29"/>
      <c r="L10557" s="29" t="s">
        <v>1301</v>
      </c>
      <c r="M10557" s="29"/>
      <c r="N10557" s="29" t="s">
        <v>1302</v>
      </c>
      <c r="O10557" s="29"/>
      <c r="P10557" s="29" t="s">
        <v>2491</v>
      </c>
      <c r="Q10557" t="s">
        <v>2038</v>
      </c>
      <c r="R10557" t="s">
        <v>2634</v>
      </c>
      <c r="S10557">
        <v>35</v>
      </c>
      <c r="T10557" s="43" t="str">
        <f>HYPERLINK("https://ictv.global/ictv/proposals/2019.003G.zip","2019.003G.zip")</f>
        <v>2019.003G.zip</v>
      </c>
      <c r="U10557" s="43" t="str">
        <f>HYPERLINK("https://ictv.global/taxonomy/taxondetails?taxnode_id=202202392","ictv.global=202202392")</f>
        <v>ictv.global=202202392</v>
      </c>
    </row>
    <row r="10558" spans="1:21">
      <c r="A10558">
        <v>10557</v>
      </c>
      <c r="B10558" s="29" t="s">
        <v>4383</v>
      </c>
      <c r="C10558" s="29"/>
      <c r="D10558" s="29" t="s">
        <v>4384</v>
      </c>
      <c r="E10558" s="29"/>
      <c r="F10558" s="29" t="s">
        <v>4414</v>
      </c>
      <c r="G10558" s="29"/>
      <c r="H10558" s="29" t="s">
        <v>4417</v>
      </c>
      <c r="I10558" s="29"/>
      <c r="J10558" s="29" t="s">
        <v>4420</v>
      </c>
      <c r="K10558" s="29"/>
      <c r="L10558" s="29" t="s">
        <v>1301</v>
      </c>
      <c r="M10558" s="29"/>
      <c r="N10558" s="29" t="s">
        <v>1302</v>
      </c>
      <c r="O10558" s="29"/>
      <c r="P10558" s="29" t="s">
        <v>6754</v>
      </c>
      <c r="Q10558" t="s">
        <v>2038</v>
      </c>
      <c r="R10558" t="s">
        <v>2632</v>
      </c>
      <c r="S10558">
        <v>36</v>
      </c>
      <c r="T10558" s="43" t="str">
        <f>HYPERLINK("https://ictv.global/ictv/proposals/2020.008D.R.Adenoviridae_1ngen_6nsp.zip","2020.008D.R.Adenoviridae_1ngen_6nsp.zip")</f>
        <v>2020.008D.R.Adenoviridae_1ngen_6nsp.zip</v>
      </c>
      <c r="U10558" s="43" t="str">
        <f>HYPERLINK("https://ictv.global/taxonomy/taxondetails?taxnode_id=202209161","ictv.global=202209161")</f>
        <v>ictv.global=202209161</v>
      </c>
    </row>
    <row r="10559" spans="1:21">
      <c r="A10559">
        <v>10558</v>
      </c>
      <c r="B10559" s="29" t="s">
        <v>4383</v>
      </c>
      <c r="C10559" s="29"/>
      <c r="D10559" s="29" t="s">
        <v>4384</v>
      </c>
      <c r="E10559" s="29"/>
      <c r="F10559" s="29" t="s">
        <v>4414</v>
      </c>
      <c r="G10559" s="29"/>
      <c r="H10559" s="29" t="s">
        <v>4417</v>
      </c>
      <c r="I10559" s="29"/>
      <c r="J10559" s="29" t="s">
        <v>4420</v>
      </c>
      <c r="K10559" s="29"/>
      <c r="L10559" s="29" t="s">
        <v>1301</v>
      </c>
      <c r="M10559" s="29"/>
      <c r="N10559" s="29" t="s">
        <v>1302</v>
      </c>
      <c r="O10559" s="29"/>
      <c r="P10559" s="29" t="s">
        <v>1740</v>
      </c>
      <c r="Q10559" t="s">
        <v>2038</v>
      </c>
      <c r="R10559" t="s">
        <v>6901</v>
      </c>
      <c r="S10559">
        <v>36</v>
      </c>
      <c r="T10559" s="43" t="str">
        <f>HYPERLINK("https://ictv.global/ictv/proposals/2020.001G.R.Abolish_type_species.pdf","2020.001G.R.Abolish_type_species.pdf")</f>
        <v>2020.001G.R.Abolish_type_species.pdf</v>
      </c>
      <c r="U10559" s="43" t="str">
        <f>HYPERLINK("https://ictv.global/taxonomy/taxondetails?taxnode_id=202202393","ictv.global=202202393")</f>
        <v>ictv.global=202202393</v>
      </c>
    </row>
    <row r="10560" spans="1:21">
      <c r="A10560">
        <v>10559</v>
      </c>
      <c r="B10560" s="29" t="s">
        <v>4383</v>
      </c>
      <c r="C10560" s="29"/>
      <c r="D10560" s="29" t="s">
        <v>4384</v>
      </c>
      <c r="E10560" s="29"/>
      <c r="F10560" s="29" t="s">
        <v>4414</v>
      </c>
      <c r="G10560" s="29"/>
      <c r="H10560" s="29" t="s">
        <v>4417</v>
      </c>
      <c r="I10560" s="29"/>
      <c r="J10560" s="29" t="s">
        <v>4420</v>
      </c>
      <c r="K10560" s="29"/>
      <c r="L10560" s="29" t="s">
        <v>1301</v>
      </c>
      <c r="M10560" s="29"/>
      <c r="N10560" s="29" t="s">
        <v>1302</v>
      </c>
      <c r="O10560" s="29"/>
      <c r="P10560" s="29" t="s">
        <v>1741</v>
      </c>
      <c r="Q10560" t="s">
        <v>2038</v>
      </c>
      <c r="R10560" t="s">
        <v>2634</v>
      </c>
      <c r="S10560">
        <v>35</v>
      </c>
      <c r="T10560" s="43" t="str">
        <f>HYPERLINK("https://ictv.global/ictv/proposals/2019.003G.zip","2019.003G.zip")</f>
        <v>2019.003G.zip</v>
      </c>
      <c r="U10560" s="43" t="str">
        <f>HYPERLINK("https://ictv.global/taxonomy/taxondetails?taxnode_id=202202394","ictv.global=202202394")</f>
        <v>ictv.global=202202394</v>
      </c>
    </row>
    <row r="10561" spans="1:21">
      <c r="A10561">
        <v>10560</v>
      </c>
      <c r="B10561" s="29" t="s">
        <v>4383</v>
      </c>
      <c r="C10561" s="29"/>
      <c r="D10561" s="29" t="s">
        <v>4384</v>
      </c>
      <c r="E10561" s="29"/>
      <c r="F10561" s="29" t="s">
        <v>4414</v>
      </c>
      <c r="G10561" s="29"/>
      <c r="H10561" s="29" t="s">
        <v>4417</v>
      </c>
      <c r="I10561" s="29"/>
      <c r="J10561" s="29" t="s">
        <v>4420</v>
      </c>
      <c r="K10561" s="29"/>
      <c r="L10561" s="29" t="s">
        <v>1301</v>
      </c>
      <c r="M10561" s="29"/>
      <c r="N10561" s="29" t="s">
        <v>1302</v>
      </c>
      <c r="O10561" s="29"/>
      <c r="P10561" s="29" t="s">
        <v>2492</v>
      </c>
      <c r="Q10561" t="s">
        <v>2038</v>
      </c>
      <c r="R10561" t="s">
        <v>2634</v>
      </c>
      <c r="S10561">
        <v>35</v>
      </c>
      <c r="T10561" s="43" t="str">
        <f>HYPERLINK("https://ictv.global/ictv/proposals/2019.003G.zip","2019.003G.zip")</f>
        <v>2019.003G.zip</v>
      </c>
      <c r="U10561" s="43" t="str">
        <f>HYPERLINK("https://ictv.global/taxonomy/taxondetails?taxnode_id=202202395","ictv.global=202202395")</f>
        <v>ictv.global=202202395</v>
      </c>
    </row>
    <row r="10562" spans="1:21">
      <c r="A10562">
        <v>10561</v>
      </c>
      <c r="B10562" s="29" t="s">
        <v>4383</v>
      </c>
      <c r="C10562" s="29"/>
      <c r="D10562" s="29" t="s">
        <v>4384</v>
      </c>
      <c r="E10562" s="29"/>
      <c r="F10562" s="29" t="s">
        <v>4414</v>
      </c>
      <c r="G10562" s="29"/>
      <c r="H10562" s="29" t="s">
        <v>4417</v>
      </c>
      <c r="I10562" s="29"/>
      <c r="J10562" s="29" t="s">
        <v>4420</v>
      </c>
      <c r="K10562" s="29"/>
      <c r="L10562" s="29" t="s">
        <v>1301</v>
      </c>
      <c r="M10562" s="29"/>
      <c r="N10562" s="29" t="s">
        <v>1302</v>
      </c>
      <c r="O10562" s="29"/>
      <c r="P10562" s="29" t="s">
        <v>1742</v>
      </c>
      <c r="Q10562" t="s">
        <v>2038</v>
      </c>
      <c r="R10562" t="s">
        <v>2634</v>
      </c>
      <c r="S10562">
        <v>35</v>
      </c>
      <c r="T10562" s="43" t="str">
        <f>HYPERLINK("https://ictv.global/ictv/proposals/2019.003G.zip","2019.003G.zip")</f>
        <v>2019.003G.zip</v>
      </c>
      <c r="U10562" s="43" t="str">
        <f>HYPERLINK("https://ictv.global/taxonomy/taxondetails?taxnode_id=202202396","ictv.global=202202396")</f>
        <v>ictv.global=202202396</v>
      </c>
    </row>
    <row r="10563" spans="1:21">
      <c r="A10563">
        <v>10562</v>
      </c>
      <c r="B10563" s="29" t="s">
        <v>4383</v>
      </c>
      <c r="C10563" s="29"/>
      <c r="D10563" s="29" t="s">
        <v>4384</v>
      </c>
      <c r="E10563" s="29"/>
      <c r="F10563" s="29" t="s">
        <v>4414</v>
      </c>
      <c r="G10563" s="29"/>
      <c r="H10563" s="29" t="s">
        <v>4417</v>
      </c>
      <c r="I10563" s="29"/>
      <c r="J10563" s="29" t="s">
        <v>4420</v>
      </c>
      <c r="K10563" s="29"/>
      <c r="L10563" s="29" t="s">
        <v>1301</v>
      </c>
      <c r="M10563" s="29"/>
      <c r="N10563" s="29" t="s">
        <v>1031</v>
      </c>
      <c r="O10563" s="29"/>
      <c r="P10563" s="29" t="s">
        <v>14483</v>
      </c>
      <c r="Q10563" t="s">
        <v>2038</v>
      </c>
      <c r="R10563" t="s">
        <v>2632</v>
      </c>
      <c r="S10563">
        <v>37</v>
      </c>
      <c r="T10563" s="43" t="str">
        <f>HYPERLINK("https://ictv.global/ictv/proposals/2021.001D.R.Adenoviridae_1nsp.zip","2021.001D.R.Adenoviridae_1nsp.zip")</f>
        <v>2021.001D.R.Adenoviridae_1nsp.zip</v>
      </c>
      <c r="U10563" s="43" t="str">
        <f>HYPERLINK("https://ictv.global/taxonomy/taxondetails?taxnode_id=202213423","ictv.global=202213423")</f>
        <v>ictv.global=202213423</v>
      </c>
    </row>
    <row r="10564" spans="1:21">
      <c r="A10564">
        <v>10563</v>
      </c>
      <c r="B10564" s="29" t="s">
        <v>4383</v>
      </c>
      <c r="C10564" s="29"/>
      <c r="D10564" s="29" t="s">
        <v>4384</v>
      </c>
      <c r="E10564" s="29"/>
      <c r="F10564" s="29" t="s">
        <v>4414</v>
      </c>
      <c r="G10564" s="29"/>
      <c r="H10564" s="29" t="s">
        <v>4417</v>
      </c>
      <c r="I10564" s="29"/>
      <c r="J10564" s="29" t="s">
        <v>4420</v>
      </c>
      <c r="K10564" s="29"/>
      <c r="L10564" s="29" t="s">
        <v>1301</v>
      </c>
      <c r="M10564" s="29"/>
      <c r="N10564" s="29" t="s">
        <v>1031</v>
      </c>
      <c r="O10564" s="29"/>
      <c r="P10564" s="29" t="s">
        <v>2183</v>
      </c>
      <c r="Q10564" t="s">
        <v>2038</v>
      </c>
      <c r="R10564" t="s">
        <v>2634</v>
      </c>
      <c r="S10564">
        <v>35</v>
      </c>
      <c r="T10564" s="43" t="str">
        <f>HYPERLINK("https://ictv.global/ictv/proposals/2019.003G.zip","2019.003G.zip")</f>
        <v>2019.003G.zip</v>
      </c>
      <c r="U10564" s="43" t="str">
        <f>HYPERLINK("https://ictv.global/taxonomy/taxondetails?taxnode_id=202202398","ictv.global=202202398")</f>
        <v>ictv.global=202202398</v>
      </c>
    </row>
    <row r="10565" spans="1:21">
      <c r="A10565">
        <v>10564</v>
      </c>
      <c r="B10565" s="29" t="s">
        <v>4383</v>
      </c>
      <c r="C10565" s="29"/>
      <c r="D10565" s="29" t="s">
        <v>4384</v>
      </c>
      <c r="E10565" s="29"/>
      <c r="F10565" s="29" t="s">
        <v>4414</v>
      </c>
      <c r="G10565" s="29"/>
      <c r="H10565" s="29" t="s">
        <v>4417</v>
      </c>
      <c r="I10565" s="29"/>
      <c r="J10565" s="29" t="s">
        <v>4420</v>
      </c>
      <c r="K10565" s="29"/>
      <c r="L10565" s="29" t="s">
        <v>1301</v>
      </c>
      <c r="M10565" s="29"/>
      <c r="N10565" s="29" t="s">
        <v>1031</v>
      </c>
      <c r="O10565" s="29"/>
      <c r="P10565" s="29" t="s">
        <v>1743</v>
      </c>
      <c r="Q10565" t="s">
        <v>2038</v>
      </c>
      <c r="R10565" t="s">
        <v>2634</v>
      </c>
      <c r="S10565">
        <v>35</v>
      </c>
      <c r="T10565" s="43" t="str">
        <f>HYPERLINK("https://ictv.global/ictv/proposals/2019.003G.zip","2019.003G.zip")</f>
        <v>2019.003G.zip</v>
      </c>
      <c r="U10565" s="43" t="str">
        <f>HYPERLINK("https://ictv.global/taxonomy/taxondetails?taxnode_id=202202399","ictv.global=202202399")</f>
        <v>ictv.global=202202399</v>
      </c>
    </row>
    <row r="10566" spans="1:21">
      <c r="A10566">
        <v>10565</v>
      </c>
      <c r="B10566" s="29" t="s">
        <v>4383</v>
      </c>
      <c r="C10566" s="29"/>
      <c r="D10566" s="29" t="s">
        <v>4384</v>
      </c>
      <c r="E10566" s="29"/>
      <c r="F10566" s="29" t="s">
        <v>4414</v>
      </c>
      <c r="G10566" s="29"/>
      <c r="H10566" s="29" t="s">
        <v>4417</v>
      </c>
      <c r="I10566" s="29"/>
      <c r="J10566" s="29" t="s">
        <v>4420</v>
      </c>
      <c r="K10566" s="29"/>
      <c r="L10566" s="29" t="s">
        <v>1301</v>
      </c>
      <c r="M10566" s="29"/>
      <c r="N10566" s="29" t="s">
        <v>1031</v>
      </c>
      <c r="O10566" s="29"/>
      <c r="P10566" s="29" t="s">
        <v>1744</v>
      </c>
      <c r="Q10566" t="s">
        <v>2038</v>
      </c>
      <c r="R10566" t="s">
        <v>6901</v>
      </c>
      <c r="S10566">
        <v>36</v>
      </c>
      <c r="T10566" s="43" t="str">
        <f>HYPERLINK("https://ictv.global/ictv/proposals/2020.001G.R.Abolish_type_species.pdf","2020.001G.R.Abolish_type_species.pdf")</f>
        <v>2020.001G.R.Abolish_type_species.pdf</v>
      </c>
      <c r="U10566" s="43" t="str">
        <f>HYPERLINK("https://ictv.global/taxonomy/taxondetails?taxnode_id=202202400","ictv.global=202202400")</f>
        <v>ictv.global=202202400</v>
      </c>
    </row>
    <row r="10567" spans="1:21">
      <c r="A10567">
        <v>10566</v>
      </c>
      <c r="B10567" s="29" t="s">
        <v>4383</v>
      </c>
      <c r="C10567" s="29"/>
      <c r="D10567" s="29" t="s">
        <v>4384</v>
      </c>
      <c r="E10567" s="29"/>
      <c r="F10567" s="29" t="s">
        <v>4414</v>
      </c>
      <c r="G10567" s="29"/>
      <c r="H10567" s="29" t="s">
        <v>4417</v>
      </c>
      <c r="I10567" s="29"/>
      <c r="J10567" s="29" t="s">
        <v>4420</v>
      </c>
      <c r="K10567" s="29"/>
      <c r="L10567" s="29" t="s">
        <v>1301</v>
      </c>
      <c r="M10567" s="29"/>
      <c r="N10567" s="29" t="s">
        <v>1031</v>
      </c>
      <c r="O10567" s="29"/>
      <c r="P10567" s="29" t="s">
        <v>1745</v>
      </c>
      <c r="Q10567" t="s">
        <v>2038</v>
      </c>
      <c r="R10567" t="s">
        <v>2634</v>
      </c>
      <c r="S10567">
        <v>35</v>
      </c>
      <c r="T10567" s="43" t="str">
        <f t="shared" ref="T10567:T10574" si="454">HYPERLINK("https://ictv.global/ictv/proposals/2019.003G.zip","2019.003G.zip")</f>
        <v>2019.003G.zip</v>
      </c>
      <c r="U10567" s="43" t="str">
        <f>HYPERLINK("https://ictv.global/taxonomy/taxondetails?taxnode_id=202202401","ictv.global=202202401")</f>
        <v>ictv.global=202202401</v>
      </c>
    </row>
    <row r="10568" spans="1:21">
      <c r="A10568">
        <v>10567</v>
      </c>
      <c r="B10568" s="29" t="s">
        <v>4383</v>
      </c>
      <c r="C10568" s="29"/>
      <c r="D10568" s="29" t="s">
        <v>4384</v>
      </c>
      <c r="E10568" s="29"/>
      <c r="F10568" s="29" t="s">
        <v>4414</v>
      </c>
      <c r="G10568" s="29"/>
      <c r="H10568" s="29" t="s">
        <v>4417</v>
      </c>
      <c r="I10568" s="29"/>
      <c r="J10568" s="29" t="s">
        <v>4420</v>
      </c>
      <c r="K10568" s="29"/>
      <c r="L10568" s="29" t="s">
        <v>1301</v>
      </c>
      <c r="M10568" s="29"/>
      <c r="N10568" s="29" t="s">
        <v>1031</v>
      </c>
      <c r="O10568" s="29"/>
      <c r="P10568" s="29" t="s">
        <v>1746</v>
      </c>
      <c r="Q10568" t="s">
        <v>2038</v>
      </c>
      <c r="R10568" t="s">
        <v>2634</v>
      </c>
      <c r="S10568">
        <v>35</v>
      </c>
      <c r="T10568" s="43" t="str">
        <f t="shared" si="454"/>
        <v>2019.003G.zip</v>
      </c>
      <c r="U10568" s="43" t="str">
        <f>HYPERLINK("https://ictv.global/taxonomy/taxondetails?taxnode_id=202202402","ictv.global=202202402")</f>
        <v>ictv.global=202202402</v>
      </c>
    </row>
    <row r="10569" spans="1:21">
      <c r="A10569">
        <v>10568</v>
      </c>
      <c r="B10569" s="29" t="s">
        <v>4383</v>
      </c>
      <c r="C10569" s="29"/>
      <c r="D10569" s="29" t="s">
        <v>4384</v>
      </c>
      <c r="E10569" s="29"/>
      <c r="F10569" s="29" t="s">
        <v>4414</v>
      </c>
      <c r="G10569" s="29"/>
      <c r="H10569" s="29" t="s">
        <v>4417</v>
      </c>
      <c r="I10569" s="29"/>
      <c r="J10569" s="29" t="s">
        <v>4420</v>
      </c>
      <c r="K10569" s="29"/>
      <c r="L10569" s="29" t="s">
        <v>1301</v>
      </c>
      <c r="M10569" s="29"/>
      <c r="N10569" s="29" t="s">
        <v>1031</v>
      </c>
      <c r="O10569" s="29"/>
      <c r="P10569" s="29" t="s">
        <v>1747</v>
      </c>
      <c r="Q10569" t="s">
        <v>2038</v>
      </c>
      <c r="R10569" t="s">
        <v>2634</v>
      </c>
      <c r="S10569">
        <v>35</v>
      </c>
      <c r="T10569" s="43" t="str">
        <f t="shared" si="454"/>
        <v>2019.003G.zip</v>
      </c>
      <c r="U10569" s="43" t="str">
        <f>HYPERLINK("https://ictv.global/taxonomy/taxondetails?taxnode_id=202202403","ictv.global=202202403")</f>
        <v>ictv.global=202202403</v>
      </c>
    </row>
    <row r="10570" spans="1:21">
      <c r="A10570">
        <v>10569</v>
      </c>
      <c r="B10570" s="29" t="s">
        <v>4383</v>
      </c>
      <c r="C10570" s="29"/>
      <c r="D10570" s="29" t="s">
        <v>4384</v>
      </c>
      <c r="E10570" s="29"/>
      <c r="F10570" s="29" t="s">
        <v>4414</v>
      </c>
      <c r="G10570" s="29"/>
      <c r="H10570" s="29" t="s">
        <v>4417</v>
      </c>
      <c r="I10570" s="29"/>
      <c r="J10570" s="29" t="s">
        <v>4420</v>
      </c>
      <c r="K10570" s="29"/>
      <c r="L10570" s="29" t="s">
        <v>1301</v>
      </c>
      <c r="M10570" s="29"/>
      <c r="N10570" s="29" t="s">
        <v>1031</v>
      </c>
      <c r="O10570" s="29"/>
      <c r="P10570" s="29" t="s">
        <v>1748</v>
      </c>
      <c r="Q10570" t="s">
        <v>2038</v>
      </c>
      <c r="R10570" t="s">
        <v>2634</v>
      </c>
      <c r="S10570">
        <v>35</v>
      </c>
      <c r="T10570" s="43" t="str">
        <f t="shared" si="454"/>
        <v>2019.003G.zip</v>
      </c>
      <c r="U10570" s="43" t="str">
        <f>HYPERLINK("https://ictv.global/taxonomy/taxondetails?taxnode_id=202202404","ictv.global=202202404")</f>
        <v>ictv.global=202202404</v>
      </c>
    </row>
    <row r="10571" spans="1:21">
      <c r="A10571">
        <v>10570</v>
      </c>
      <c r="B10571" s="29" t="s">
        <v>4383</v>
      </c>
      <c r="C10571" s="29"/>
      <c r="D10571" s="29" t="s">
        <v>4384</v>
      </c>
      <c r="E10571" s="29"/>
      <c r="F10571" s="29" t="s">
        <v>4414</v>
      </c>
      <c r="G10571" s="29"/>
      <c r="H10571" s="29" t="s">
        <v>4417</v>
      </c>
      <c r="I10571" s="29"/>
      <c r="J10571" s="29" t="s">
        <v>4420</v>
      </c>
      <c r="K10571" s="29"/>
      <c r="L10571" s="29" t="s">
        <v>1301</v>
      </c>
      <c r="M10571" s="29"/>
      <c r="N10571" s="29" t="s">
        <v>1031</v>
      </c>
      <c r="O10571" s="29"/>
      <c r="P10571" s="29" t="s">
        <v>1749</v>
      </c>
      <c r="Q10571" t="s">
        <v>2038</v>
      </c>
      <c r="R10571" t="s">
        <v>2634</v>
      </c>
      <c r="S10571">
        <v>35</v>
      </c>
      <c r="T10571" s="43" t="str">
        <f t="shared" si="454"/>
        <v>2019.003G.zip</v>
      </c>
      <c r="U10571" s="43" t="str">
        <f>HYPERLINK("https://ictv.global/taxonomy/taxondetails?taxnode_id=202202405","ictv.global=202202405")</f>
        <v>ictv.global=202202405</v>
      </c>
    </row>
    <row r="10572" spans="1:21">
      <c r="A10572">
        <v>10571</v>
      </c>
      <c r="B10572" s="29" t="s">
        <v>4383</v>
      </c>
      <c r="C10572" s="29"/>
      <c r="D10572" s="29" t="s">
        <v>4384</v>
      </c>
      <c r="E10572" s="29"/>
      <c r="F10572" s="29" t="s">
        <v>4414</v>
      </c>
      <c r="G10572" s="29"/>
      <c r="H10572" s="29" t="s">
        <v>4417</v>
      </c>
      <c r="I10572" s="29"/>
      <c r="J10572" s="29" t="s">
        <v>4420</v>
      </c>
      <c r="K10572" s="29"/>
      <c r="L10572" s="29" t="s">
        <v>1301</v>
      </c>
      <c r="M10572" s="29"/>
      <c r="N10572" s="29" t="s">
        <v>1031</v>
      </c>
      <c r="O10572" s="29"/>
      <c r="P10572" s="29" t="s">
        <v>2184</v>
      </c>
      <c r="Q10572" t="s">
        <v>2038</v>
      </c>
      <c r="R10572" t="s">
        <v>2634</v>
      </c>
      <c r="S10572">
        <v>35</v>
      </c>
      <c r="T10572" s="43" t="str">
        <f t="shared" si="454"/>
        <v>2019.003G.zip</v>
      </c>
      <c r="U10572" s="43" t="str">
        <f>HYPERLINK("https://ictv.global/taxonomy/taxondetails?taxnode_id=202202406","ictv.global=202202406")</f>
        <v>ictv.global=202202406</v>
      </c>
    </row>
    <row r="10573" spans="1:21">
      <c r="A10573">
        <v>10572</v>
      </c>
      <c r="B10573" s="29" t="s">
        <v>4383</v>
      </c>
      <c r="C10573" s="29"/>
      <c r="D10573" s="29" t="s">
        <v>4384</v>
      </c>
      <c r="E10573" s="29"/>
      <c r="F10573" s="29" t="s">
        <v>4414</v>
      </c>
      <c r="G10573" s="29"/>
      <c r="H10573" s="29" t="s">
        <v>4417</v>
      </c>
      <c r="I10573" s="29"/>
      <c r="J10573" s="29" t="s">
        <v>4420</v>
      </c>
      <c r="K10573" s="29"/>
      <c r="L10573" s="29" t="s">
        <v>1301</v>
      </c>
      <c r="M10573" s="29"/>
      <c r="N10573" s="29" t="s">
        <v>1031</v>
      </c>
      <c r="O10573" s="29"/>
      <c r="P10573" s="29" t="s">
        <v>2752</v>
      </c>
      <c r="Q10573" t="s">
        <v>2038</v>
      </c>
      <c r="R10573" t="s">
        <v>2634</v>
      </c>
      <c r="S10573">
        <v>35</v>
      </c>
      <c r="T10573" s="43" t="str">
        <f t="shared" si="454"/>
        <v>2019.003G.zip</v>
      </c>
      <c r="U10573" s="43" t="str">
        <f>HYPERLINK("https://ictv.global/taxonomy/taxondetails?taxnode_id=202205653","ictv.global=202205653")</f>
        <v>ictv.global=202205653</v>
      </c>
    </row>
    <row r="10574" spans="1:21">
      <c r="A10574">
        <v>10573</v>
      </c>
      <c r="B10574" s="29" t="s">
        <v>4383</v>
      </c>
      <c r="C10574" s="29"/>
      <c r="D10574" s="29" t="s">
        <v>4384</v>
      </c>
      <c r="E10574" s="29"/>
      <c r="F10574" s="29" t="s">
        <v>4414</v>
      </c>
      <c r="G10574" s="29"/>
      <c r="H10574" s="29" t="s">
        <v>4417</v>
      </c>
      <c r="I10574" s="29"/>
      <c r="J10574" s="29" t="s">
        <v>4420</v>
      </c>
      <c r="K10574" s="29"/>
      <c r="L10574" s="29" t="s">
        <v>1301</v>
      </c>
      <c r="M10574" s="29"/>
      <c r="N10574" s="29" t="s">
        <v>1031</v>
      </c>
      <c r="O10574" s="29"/>
      <c r="P10574" s="29" t="s">
        <v>2753</v>
      </c>
      <c r="Q10574" t="s">
        <v>2038</v>
      </c>
      <c r="R10574" t="s">
        <v>2634</v>
      </c>
      <c r="S10574">
        <v>35</v>
      </c>
      <c r="T10574" s="43" t="str">
        <f t="shared" si="454"/>
        <v>2019.003G.zip</v>
      </c>
      <c r="U10574" s="43" t="str">
        <f>HYPERLINK("https://ictv.global/taxonomy/taxondetails?taxnode_id=202205654","ictv.global=202205654")</f>
        <v>ictv.global=202205654</v>
      </c>
    </row>
    <row r="10575" spans="1:21">
      <c r="A10575">
        <v>10574</v>
      </c>
      <c r="B10575" s="29" t="s">
        <v>4383</v>
      </c>
      <c r="C10575" s="29"/>
      <c r="D10575" s="29" t="s">
        <v>4384</v>
      </c>
      <c r="E10575" s="29"/>
      <c r="F10575" s="29" t="s">
        <v>4414</v>
      </c>
      <c r="G10575" s="29"/>
      <c r="H10575" s="29" t="s">
        <v>4417</v>
      </c>
      <c r="I10575" s="29"/>
      <c r="J10575" s="29" t="s">
        <v>4420</v>
      </c>
      <c r="K10575" s="29"/>
      <c r="L10575" s="29" t="s">
        <v>1301</v>
      </c>
      <c r="M10575" s="29"/>
      <c r="N10575" s="29" t="s">
        <v>1031</v>
      </c>
      <c r="O10575" s="29"/>
      <c r="P10575" s="29" t="s">
        <v>4421</v>
      </c>
      <c r="Q10575" t="s">
        <v>2038</v>
      </c>
      <c r="R10575" t="s">
        <v>2632</v>
      </c>
      <c r="S10575">
        <v>35</v>
      </c>
      <c r="T10575" s="43" t="str">
        <f>HYPERLINK("https://ictv.global/ictv/proposals/2019.006D.zip","2019.006D.zip")</f>
        <v>2019.006D.zip</v>
      </c>
      <c r="U10575" s="43" t="str">
        <f>HYPERLINK("https://ictv.global/taxonomy/taxondetails?taxnode_id=202207192","ictv.global=202207192")</f>
        <v>ictv.global=202207192</v>
      </c>
    </row>
    <row r="10576" spans="1:21">
      <c r="A10576">
        <v>10575</v>
      </c>
      <c r="B10576" s="29" t="s">
        <v>4383</v>
      </c>
      <c r="C10576" s="29"/>
      <c r="D10576" s="29" t="s">
        <v>4384</v>
      </c>
      <c r="E10576" s="29"/>
      <c r="F10576" s="29" t="s">
        <v>4414</v>
      </c>
      <c r="G10576" s="29"/>
      <c r="H10576" s="29" t="s">
        <v>4417</v>
      </c>
      <c r="I10576" s="29"/>
      <c r="J10576" s="29" t="s">
        <v>4420</v>
      </c>
      <c r="K10576" s="29"/>
      <c r="L10576" s="29" t="s">
        <v>1301</v>
      </c>
      <c r="M10576" s="29"/>
      <c r="N10576" s="29" t="s">
        <v>1031</v>
      </c>
      <c r="O10576" s="29"/>
      <c r="P10576" s="29" t="s">
        <v>1750</v>
      </c>
      <c r="Q10576" t="s">
        <v>2038</v>
      </c>
      <c r="R10576" t="s">
        <v>2634</v>
      </c>
      <c r="S10576">
        <v>35</v>
      </c>
      <c r="T10576" s="43" t="str">
        <f>HYPERLINK("https://ictv.global/ictv/proposals/2019.003G.zip","2019.003G.zip")</f>
        <v>2019.003G.zip</v>
      </c>
      <c r="U10576" s="43" t="str">
        <f>HYPERLINK("https://ictv.global/taxonomy/taxondetails?taxnode_id=202202407","ictv.global=202202407")</f>
        <v>ictv.global=202202407</v>
      </c>
    </row>
    <row r="10577" spans="1:21">
      <c r="A10577">
        <v>10576</v>
      </c>
      <c r="B10577" s="29" t="s">
        <v>4383</v>
      </c>
      <c r="C10577" s="29"/>
      <c r="D10577" s="29" t="s">
        <v>4384</v>
      </c>
      <c r="E10577" s="29"/>
      <c r="F10577" s="29" t="s">
        <v>4414</v>
      </c>
      <c r="G10577" s="29"/>
      <c r="H10577" s="29" t="s">
        <v>4417</v>
      </c>
      <c r="I10577" s="29"/>
      <c r="J10577" s="29" t="s">
        <v>4420</v>
      </c>
      <c r="K10577" s="29"/>
      <c r="L10577" s="29" t="s">
        <v>1301</v>
      </c>
      <c r="M10577" s="29"/>
      <c r="N10577" s="29" t="s">
        <v>1031</v>
      </c>
      <c r="O10577" s="29"/>
      <c r="P10577" s="29" t="s">
        <v>2185</v>
      </c>
      <c r="Q10577" t="s">
        <v>2038</v>
      </c>
      <c r="R10577" t="s">
        <v>2634</v>
      </c>
      <c r="S10577">
        <v>35</v>
      </c>
      <c r="T10577" s="43" t="str">
        <f>HYPERLINK("https://ictv.global/ictv/proposals/2019.003G.zip","2019.003G.zip")</f>
        <v>2019.003G.zip</v>
      </c>
      <c r="U10577" s="43" t="str">
        <f>HYPERLINK("https://ictv.global/taxonomy/taxondetails?taxnode_id=202202408","ictv.global=202202408")</f>
        <v>ictv.global=202202408</v>
      </c>
    </row>
    <row r="10578" spans="1:21">
      <c r="A10578">
        <v>10577</v>
      </c>
      <c r="B10578" s="29" t="s">
        <v>4383</v>
      </c>
      <c r="C10578" s="29"/>
      <c r="D10578" s="29" t="s">
        <v>4384</v>
      </c>
      <c r="E10578" s="29"/>
      <c r="F10578" s="29" t="s">
        <v>4414</v>
      </c>
      <c r="G10578" s="29"/>
      <c r="H10578" s="29" t="s">
        <v>4417</v>
      </c>
      <c r="I10578" s="29"/>
      <c r="J10578" s="29" t="s">
        <v>4420</v>
      </c>
      <c r="K10578" s="29"/>
      <c r="L10578" s="29" t="s">
        <v>1301</v>
      </c>
      <c r="M10578" s="29"/>
      <c r="N10578" s="29" t="s">
        <v>1031</v>
      </c>
      <c r="O10578" s="29"/>
      <c r="P10578" s="29" t="s">
        <v>2186</v>
      </c>
      <c r="Q10578" t="s">
        <v>2038</v>
      </c>
      <c r="R10578" t="s">
        <v>2634</v>
      </c>
      <c r="S10578">
        <v>35</v>
      </c>
      <c r="T10578" s="43" t="str">
        <f>HYPERLINK("https://ictv.global/ictv/proposals/2019.003G.zip","2019.003G.zip")</f>
        <v>2019.003G.zip</v>
      </c>
      <c r="U10578" s="43" t="str">
        <f>HYPERLINK("https://ictv.global/taxonomy/taxondetails?taxnode_id=202202409","ictv.global=202202409")</f>
        <v>ictv.global=202202409</v>
      </c>
    </row>
    <row r="10579" spans="1:21">
      <c r="A10579">
        <v>10578</v>
      </c>
      <c r="B10579" s="29" t="s">
        <v>4383</v>
      </c>
      <c r="C10579" s="29"/>
      <c r="D10579" s="29" t="s">
        <v>4384</v>
      </c>
      <c r="E10579" s="29"/>
      <c r="F10579" s="29" t="s">
        <v>4414</v>
      </c>
      <c r="G10579" s="29"/>
      <c r="H10579" s="29" t="s">
        <v>4417</v>
      </c>
      <c r="I10579" s="29"/>
      <c r="J10579" s="29" t="s">
        <v>4420</v>
      </c>
      <c r="K10579" s="29"/>
      <c r="L10579" s="29" t="s">
        <v>1301</v>
      </c>
      <c r="M10579" s="29"/>
      <c r="N10579" s="29" t="s">
        <v>758</v>
      </c>
      <c r="O10579" s="29"/>
      <c r="P10579" s="29" t="s">
        <v>1751</v>
      </c>
      <c r="Q10579" t="s">
        <v>2038</v>
      </c>
      <c r="R10579" t="s">
        <v>6901</v>
      </c>
      <c r="S10579">
        <v>36</v>
      </c>
      <c r="T10579" s="43" t="str">
        <f>HYPERLINK("https://ictv.global/ictv/proposals/2020.001G.R.Abolish_type_species.pdf","2020.001G.R.Abolish_type_species.pdf")</f>
        <v>2020.001G.R.Abolish_type_species.pdf</v>
      </c>
      <c r="U10579" s="43" t="str">
        <f>HYPERLINK("https://ictv.global/taxonomy/taxondetails?taxnode_id=202202411","ictv.global=202202411")</f>
        <v>ictv.global=202202411</v>
      </c>
    </row>
    <row r="10580" spans="1:21">
      <c r="A10580">
        <v>10579</v>
      </c>
      <c r="B10580" s="29" t="s">
        <v>4383</v>
      </c>
      <c r="C10580" s="29"/>
      <c r="D10580" s="29" t="s">
        <v>4384</v>
      </c>
      <c r="E10580" s="29"/>
      <c r="F10580" s="29" t="s">
        <v>4414</v>
      </c>
      <c r="G10580" s="29"/>
      <c r="H10580" s="29" t="s">
        <v>4417</v>
      </c>
      <c r="I10580" s="29"/>
      <c r="J10580" s="29" t="s">
        <v>4420</v>
      </c>
      <c r="K10580" s="29"/>
      <c r="L10580" s="29" t="s">
        <v>1301</v>
      </c>
      <c r="M10580" s="29"/>
      <c r="N10580" s="29" t="s">
        <v>1067</v>
      </c>
      <c r="O10580" s="29"/>
      <c r="P10580" s="29" t="s">
        <v>1752</v>
      </c>
      <c r="Q10580" t="s">
        <v>2038</v>
      </c>
      <c r="R10580" t="s">
        <v>2634</v>
      </c>
      <c r="S10580">
        <v>35</v>
      </c>
      <c r="T10580" s="43" t="str">
        <f t="shared" ref="T10580:T10586" si="455">HYPERLINK("https://ictv.global/ictv/proposals/2019.003G.zip","2019.003G.zip")</f>
        <v>2019.003G.zip</v>
      </c>
      <c r="U10580" s="43" t="str">
        <f>HYPERLINK("https://ictv.global/taxonomy/taxondetails?taxnode_id=202202413","ictv.global=202202413")</f>
        <v>ictv.global=202202413</v>
      </c>
    </row>
    <row r="10581" spans="1:21">
      <c r="A10581">
        <v>10580</v>
      </c>
      <c r="B10581" s="29" t="s">
        <v>4383</v>
      </c>
      <c r="C10581" s="29"/>
      <c r="D10581" s="29" t="s">
        <v>4384</v>
      </c>
      <c r="E10581" s="29"/>
      <c r="F10581" s="29" t="s">
        <v>4414</v>
      </c>
      <c r="G10581" s="29"/>
      <c r="H10581" s="29" t="s">
        <v>4417</v>
      </c>
      <c r="I10581" s="29"/>
      <c r="J10581" s="29" t="s">
        <v>4420</v>
      </c>
      <c r="K10581" s="29"/>
      <c r="L10581" s="29" t="s">
        <v>1301</v>
      </c>
      <c r="M10581" s="29"/>
      <c r="N10581" s="29" t="s">
        <v>1067</v>
      </c>
      <c r="O10581" s="29"/>
      <c r="P10581" s="29" t="s">
        <v>1753</v>
      </c>
      <c r="Q10581" t="s">
        <v>2038</v>
      </c>
      <c r="R10581" t="s">
        <v>2634</v>
      </c>
      <c r="S10581">
        <v>35</v>
      </c>
      <c r="T10581" s="43" t="str">
        <f t="shared" si="455"/>
        <v>2019.003G.zip</v>
      </c>
      <c r="U10581" s="43" t="str">
        <f>HYPERLINK("https://ictv.global/taxonomy/taxondetails?taxnode_id=202202414","ictv.global=202202414")</f>
        <v>ictv.global=202202414</v>
      </c>
    </row>
    <row r="10582" spans="1:21">
      <c r="A10582">
        <v>10581</v>
      </c>
      <c r="B10582" s="29" t="s">
        <v>4383</v>
      </c>
      <c r="C10582" s="29"/>
      <c r="D10582" s="29" t="s">
        <v>4384</v>
      </c>
      <c r="E10582" s="29"/>
      <c r="F10582" s="29" t="s">
        <v>4414</v>
      </c>
      <c r="G10582" s="29"/>
      <c r="H10582" s="29" t="s">
        <v>4417</v>
      </c>
      <c r="I10582" s="29"/>
      <c r="J10582" s="29" t="s">
        <v>4420</v>
      </c>
      <c r="K10582" s="29"/>
      <c r="L10582" s="29" t="s">
        <v>1301</v>
      </c>
      <c r="M10582" s="29"/>
      <c r="N10582" s="29" t="s">
        <v>1067</v>
      </c>
      <c r="O10582" s="29"/>
      <c r="P10582" s="29" t="s">
        <v>2754</v>
      </c>
      <c r="Q10582" t="s">
        <v>2038</v>
      </c>
      <c r="R10582" t="s">
        <v>2634</v>
      </c>
      <c r="S10582">
        <v>35</v>
      </c>
      <c r="T10582" s="43" t="str">
        <f t="shared" si="455"/>
        <v>2019.003G.zip</v>
      </c>
      <c r="U10582" s="43" t="str">
        <f>HYPERLINK("https://ictv.global/taxonomy/taxondetails?taxnode_id=202205655","ictv.global=202205655")</f>
        <v>ictv.global=202205655</v>
      </c>
    </row>
    <row r="10583" spans="1:21">
      <c r="A10583">
        <v>10582</v>
      </c>
      <c r="B10583" s="29" t="s">
        <v>4383</v>
      </c>
      <c r="C10583" s="29"/>
      <c r="D10583" s="29" t="s">
        <v>4384</v>
      </c>
      <c r="E10583" s="29"/>
      <c r="F10583" s="29" t="s">
        <v>4414</v>
      </c>
      <c r="G10583" s="29"/>
      <c r="H10583" s="29" t="s">
        <v>4417</v>
      </c>
      <c r="I10583" s="29"/>
      <c r="J10583" s="29" t="s">
        <v>4420</v>
      </c>
      <c r="K10583" s="29"/>
      <c r="L10583" s="29" t="s">
        <v>1301</v>
      </c>
      <c r="M10583" s="29"/>
      <c r="N10583" s="29" t="s">
        <v>1067</v>
      </c>
      <c r="O10583" s="29"/>
      <c r="P10583" s="29" t="s">
        <v>2755</v>
      </c>
      <c r="Q10583" t="s">
        <v>2038</v>
      </c>
      <c r="R10583" t="s">
        <v>2634</v>
      </c>
      <c r="S10583">
        <v>35</v>
      </c>
      <c r="T10583" s="43" t="str">
        <f t="shared" si="455"/>
        <v>2019.003G.zip</v>
      </c>
      <c r="U10583" s="43" t="str">
        <f>HYPERLINK("https://ictv.global/taxonomy/taxondetails?taxnode_id=202205656","ictv.global=202205656")</f>
        <v>ictv.global=202205656</v>
      </c>
    </row>
    <row r="10584" spans="1:21">
      <c r="A10584">
        <v>10583</v>
      </c>
      <c r="B10584" s="29" t="s">
        <v>4383</v>
      </c>
      <c r="C10584" s="29"/>
      <c r="D10584" s="29" t="s">
        <v>4384</v>
      </c>
      <c r="E10584" s="29"/>
      <c r="F10584" s="29" t="s">
        <v>4414</v>
      </c>
      <c r="G10584" s="29"/>
      <c r="H10584" s="29" t="s">
        <v>4417</v>
      </c>
      <c r="I10584" s="29"/>
      <c r="J10584" s="29" t="s">
        <v>4420</v>
      </c>
      <c r="K10584" s="29"/>
      <c r="L10584" s="29" t="s">
        <v>1301</v>
      </c>
      <c r="M10584" s="29"/>
      <c r="N10584" s="29" t="s">
        <v>1067</v>
      </c>
      <c r="O10584" s="29"/>
      <c r="P10584" s="29" t="s">
        <v>2756</v>
      </c>
      <c r="Q10584" t="s">
        <v>2038</v>
      </c>
      <c r="R10584" t="s">
        <v>2634</v>
      </c>
      <c r="S10584">
        <v>35</v>
      </c>
      <c r="T10584" s="43" t="str">
        <f t="shared" si="455"/>
        <v>2019.003G.zip</v>
      </c>
      <c r="U10584" s="43" t="str">
        <f>HYPERLINK("https://ictv.global/taxonomy/taxondetails?taxnode_id=202205657","ictv.global=202205657")</f>
        <v>ictv.global=202205657</v>
      </c>
    </row>
    <row r="10585" spans="1:21">
      <c r="A10585">
        <v>10584</v>
      </c>
      <c r="B10585" s="29" t="s">
        <v>4383</v>
      </c>
      <c r="C10585" s="29"/>
      <c r="D10585" s="29" t="s">
        <v>4384</v>
      </c>
      <c r="E10585" s="29"/>
      <c r="F10585" s="29" t="s">
        <v>4414</v>
      </c>
      <c r="G10585" s="29"/>
      <c r="H10585" s="29" t="s">
        <v>4417</v>
      </c>
      <c r="I10585" s="29"/>
      <c r="J10585" s="29" t="s">
        <v>4420</v>
      </c>
      <c r="K10585" s="29"/>
      <c r="L10585" s="29" t="s">
        <v>1301</v>
      </c>
      <c r="M10585" s="29"/>
      <c r="N10585" s="29" t="s">
        <v>1067</v>
      </c>
      <c r="O10585" s="29"/>
      <c r="P10585" s="29" t="s">
        <v>2757</v>
      </c>
      <c r="Q10585" t="s">
        <v>2038</v>
      </c>
      <c r="R10585" t="s">
        <v>2634</v>
      </c>
      <c r="S10585">
        <v>35</v>
      </c>
      <c r="T10585" s="43" t="str">
        <f t="shared" si="455"/>
        <v>2019.003G.zip</v>
      </c>
      <c r="U10585" s="43" t="str">
        <f>HYPERLINK("https://ictv.global/taxonomy/taxondetails?taxnode_id=202205658","ictv.global=202205658")</f>
        <v>ictv.global=202205658</v>
      </c>
    </row>
    <row r="10586" spans="1:21">
      <c r="A10586">
        <v>10585</v>
      </c>
      <c r="B10586" s="29" t="s">
        <v>4383</v>
      </c>
      <c r="C10586" s="29"/>
      <c r="D10586" s="29" t="s">
        <v>4384</v>
      </c>
      <c r="E10586" s="29"/>
      <c r="F10586" s="29" t="s">
        <v>4414</v>
      </c>
      <c r="G10586" s="29"/>
      <c r="H10586" s="29" t="s">
        <v>4417</v>
      </c>
      <c r="I10586" s="29"/>
      <c r="J10586" s="29" t="s">
        <v>4420</v>
      </c>
      <c r="K10586" s="29"/>
      <c r="L10586" s="29" t="s">
        <v>1301</v>
      </c>
      <c r="M10586" s="29"/>
      <c r="N10586" s="29" t="s">
        <v>1067</v>
      </c>
      <c r="O10586" s="29"/>
      <c r="P10586" s="29" t="s">
        <v>2758</v>
      </c>
      <c r="Q10586" t="s">
        <v>2038</v>
      </c>
      <c r="R10586" t="s">
        <v>2634</v>
      </c>
      <c r="S10586">
        <v>35</v>
      </c>
      <c r="T10586" s="43" t="str">
        <f t="shared" si="455"/>
        <v>2019.003G.zip</v>
      </c>
      <c r="U10586" s="43" t="str">
        <f>HYPERLINK("https://ictv.global/taxonomy/taxondetails?taxnode_id=202205659","ictv.global=202205659")</f>
        <v>ictv.global=202205659</v>
      </c>
    </row>
    <row r="10587" spans="1:21">
      <c r="A10587">
        <v>10586</v>
      </c>
      <c r="B10587" s="29" t="s">
        <v>4383</v>
      </c>
      <c r="C10587" s="29"/>
      <c r="D10587" s="29" t="s">
        <v>4384</v>
      </c>
      <c r="E10587" s="29"/>
      <c r="F10587" s="29" t="s">
        <v>4414</v>
      </c>
      <c r="G10587" s="29"/>
      <c r="H10587" s="29" t="s">
        <v>4417</v>
      </c>
      <c r="I10587" s="29"/>
      <c r="J10587" s="29" t="s">
        <v>4420</v>
      </c>
      <c r="K10587" s="29"/>
      <c r="L10587" s="29" t="s">
        <v>1301</v>
      </c>
      <c r="M10587" s="29"/>
      <c r="N10587" s="29" t="s">
        <v>1067</v>
      </c>
      <c r="O10587" s="29"/>
      <c r="P10587" s="29" t="s">
        <v>4422</v>
      </c>
      <c r="Q10587" t="s">
        <v>2038</v>
      </c>
      <c r="R10587" t="s">
        <v>2632</v>
      </c>
      <c r="S10587">
        <v>35</v>
      </c>
      <c r="T10587" s="43" t="str">
        <f>HYPERLINK("https://ictv.global/ictv/proposals/2019.006D.zip","2019.006D.zip")</f>
        <v>2019.006D.zip</v>
      </c>
      <c r="U10587" s="43" t="str">
        <f>HYPERLINK("https://ictv.global/taxonomy/taxondetails?taxnode_id=202207193","ictv.global=202207193")</f>
        <v>ictv.global=202207193</v>
      </c>
    </row>
    <row r="10588" spans="1:21">
      <c r="A10588">
        <v>10587</v>
      </c>
      <c r="B10588" s="29" t="s">
        <v>4383</v>
      </c>
      <c r="C10588" s="29"/>
      <c r="D10588" s="29" t="s">
        <v>4384</v>
      </c>
      <c r="E10588" s="29"/>
      <c r="F10588" s="29" t="s">
        <v>4414</v>
      </c>
      <c r="G10588" s="29"/>
      <c r="H10588" s="29" t="s">
        <v>4417</v>
      </c>
      <c r="I10588" s="29"/>
      <c r="J10588" s="29" t="s">
        <v>4420</v>
      </c>
      <c r="K10588" s="29"/>
      <c r="L10588" s="29" t="s">
        <v>1301</v>
      </c>
      <c r="M10588" s="29"/>
      <c r="N10588" s="29" t="s">
        <v>1067</v>
      </c>
      <c r="O10588" s="29"/>
      <c r="P10588" s="29" t="s">
        <v>4423</v>
      </c>
      <c r="Q10588" t="s">
        <v>2038</v>
      </c>
      <c r="R10588" t="s">
        <v>2632</v>
      </c>
      <c r="S10588">
        <v>35</v>
      </c>
      <c r="T10588" s="43" t="str">
        <f>HYPERLINK("https://ictv.global/ictv/proposals/2019.006D.zip","2019.006D.zip")</f>
        <v>2019.006D.zip</v>
      </c>
      <c r="U10588" s="43" t="str">
        <f>HYPERLINK("https://ictv.global/taxonomy/taxondetails?taxnode_id=202207194","ictv.global=202207194")</f>
        <v>ictv.global=202207194</v>
      </c>
    </row>
    <row r="10589" spans="1:21">
      <c r="A10589">
        <v>10588</v>
      </c>
      <c r="B10589" s="29" t="s">
        <v>4383</v>
      </c>
      <c r="C10589" s="29"/>
      <c r="D10589" s="29" t="s">
        <v>4384</v>
      </c>
      <c r="E10589" s="29"/>
      <c r="F10589" s="29" t="s">
        <v>4414</v>
      </c>
      <c r="G10589" s="29"/>
      <c r="H10589" s="29" t="s">
        <v>4417</v>
      </c>
      <c r="I10589" s="29"/>
      <c r="J10589" s="29" t="s">
        <v>4420</v>
      </c>
      <c r="K10589" s="29"/>
      <c r="L10589" s="29" t="s">
        <v>1301</v>
      </c>
      <c r="M10589" s="29"/>
      <c r="N10589" s="29" t="s">
        <v>1067</v>
      </c>
      <c r="O10589" s="29"/>
      <c r="P10589" s="29" t="s">
        <v>4424</v>
      </c>
      <c r="Q10589" t="s">
        <v>2038</v>
      </c>
      <c r="R10589" t="s">
        <v>2632</v>
      </c>
      <c r="S10589">
        <v>35</v>
      </c>
      <c r="T10589" s="43" t="str">
        <f>HYPERLINK("https://ictv.global/ictv/proposals/2019.006D.zip","2019.006D.zip")</f>
        <v>2019.006D.zip</v>
      </c>
      <c r="U10589" s="43" t="str">
        <f>HYPERLINK("https://ictv.global/taxonomy/taxondetails?taxnode_id=202207195","ictv.global=202207195")</f>
        <v>ictv.global=202207195</v>
      </c>
    </row>
    <row r="10590" spans="1:21">
      <c r="A10590">
        <v>10589</v>
      </c>
      <c r="B10590" s="29" t="s">
        <v>4383</v>
      </c>
      <c r="C10590" s="29"/>
      <c r="D10590" s="29" t="s">
        <v>4384</v>
      </c>
      <c r="E10590" s="29"/>
      <c r="F10590" s="29" t="s">
        <v>4414</v>
      </c>
      <c r="G10590" s="29"/>
      <c r="H10590" s="29" t="s">
        <v>4417</v>
      </c>
      <c r="I10590" s="29"/>
      <c r="J10590" s="29" t="s">
        <v>4420</v>
      </c>
      <c r="K10590" s="29"/>
      <c r="L10590" s="29" t="s">
        <v>1301</v>
      </c>
      <c r="M10590" s="29"/>
      <c r="N10590" s="29" t="s">
        <v>1067</v>
      </c>
      <c r="O10590" s="29"/>
      <c r="P10590" s="29" t="s">
        <v>1754</v>
      </c>
      <c r="Q10590" t="s">
        <v>2038</v>
      </c>
      <c r="R10590" t="s">
        <v>6901</v>
      </c>
      <c r="S10590">
        <v>36</v>
      </c>
      <c r="T10590" s="43" t="str">
        <f>HYPERLINK("https://ictv.global/ictv/proposals/2020.001G.R.Abolish_type_species.pdf","2020.001G.R.Abolish_type_species.pdf")</f>
        <v>2020.001G.R.Abolish_type_species.pdf</v>
      </c>
      <c r="U10590" s="43" t="str">
        <f>HYPERLINK("https://ictv.global/taxonomy/taxondetails?taxnode_id=202202415","ictv.global=202202415")</f>
        <v>ictv.global=202202415</v>
      </c>
    </row>
    <row r="10591" spans="1:21">
      <c r="A10591">
        <v>10590</v>
      </c>
      <c r="B10591" s="29" t="s">
        <v>4383</v>
      </c>
      <c r="C10591" s="29"/>
      <c r="D10591" s="29" t="s">
        <v>4384</v>
      </c>
      <c r="E10591" s="29"/>
      <c r="F10591" s="29" t="s">
        <v>4414</v>
      </c>
      <c r="G10591" s="29"/>
      <c r="H10591" s="29" t="s">
        <v>4417</v>
      </c>
      <c r="I10591" s="29"/>
      <c r="J10591" s="29" t="s">
        <v>4420</v>
      </c>
      <c r="K10591" s="29"/>
      <c r="L10591" s="29" t="s">
        <v>1301</v>
      </c>
      <c r="M10591" s="29"/>
      <c r="N10591" s="29" t="s">
        <v>1067</v>
      </c>
      <c r="O10591" s="29"/>
      <c r="P10591" s="29" t="s">
        <v>1755</v>
      </c>
      <c r="Q10591" t="s">
        <v>2038</v>
      </c>
      <c r="R10591" t="s">
        <v>6901</v>
      </c>
      <c r="S10591">
        <v>36</v>
      </c>
      <c r="T10591" s="43" t="str">
        <f>HYPERLINK("https://ictv.global/ictv/proposals/2020.001G.R.Abolish_type_species.pdf","2020.001G.R.Abolish_type_species.pdf")</f>
        <v>2020.001G.R.Abolish_type_species.pdf</v>
      </c>
      <c r="U10591" s="43" t="str">
        <f>HYPERLINK("https://ictv.global/taxonomy/taxondetails?taxnode_id=202202416","ictv.global=202202416")</f>
        <v>ictv.global=202202416</v>
      </c>
    </row>
    <row r="10592" spans="1:21">
      <c r="A10592">
        <v>10591</v>
      </c>
      <c r="B10592" s="29" t="s">
        <v>4383</v>
      </c>
      <c r="C10592" s="29"/>
      <c r="D10592" s="29" t="s">
        <v>4384</v>
      </c>
      <c r="E10592" s="29"/>
      <c r="F10592" s="29" t="s">
        <v>4414</v>
      </c>
      <c r="G10592" s="29"/>
      <c r="H10592" s="29" t="s">
        <v>4417</v>
      </c>
      <c r="I10592" s="29"/>
      <c r="J10592" s="29" t="s">
        <v>4420</v>
      </c>
      <c r="K10592" s="29"/>
      <c r="L10592" s="29" t="s">
        <v>1301</v>
      </c>
      <c r="M10592" s="29"/>
      <c r="N10592" s="29" t="s">
        <v>1067</v>
      </c>
      <c r="O10592" s="29"/>
      <c r="P10592" s="29" t="s">
        <v>1756</v>
      </c>
      <c r="Q10592" t="s">
        <v>2038</v>
      </c>
      <c r="R10592" t="s">
        <v>2634</v>
      </c>
      <c r="S10592">
        <v>35</v>
      </c>
      <c r="T10592" s="43" t="str">
        <f t="shared" ref="T10592:T10598" si="456">HYPERLINK("https://ictv.global/ictv/proposals/2019.003G.zip","2019.003G.zip")</f>
        <v>2019.003G.zip</v>
      </c>
      <c r="U10592" s="43" t="str">
        <f>HYPERLINK("https://ictv.global/taxonomy/taxondetails?taxnode_id=202202417","ictv.global=202202417")</f>
        <v>ictv.global=202202417</v>
      </c>
    </row>
    <row r="10593" spans="1:21">
      <c r="A10593">
        <v>10592</v>
      </c>
      <c r="B10593" s="29" t="s">
        <v>4383</v>
      </c>
      <c r="C10593" s="29"/>
      <c r="D10593" s="29" t="s">
        <v>4384</v>
      </c>
      <c r="E10593" s="29"/>
      <c r="F10593" s="29" t="s">
        <v>4414</v>
      </c>
      <c r="G10593" s="29"/>
      <c r="H10593" s="29" t="s">
        <v>4417</v>
      </c>
      <c r="I10593" s="29"/>
      <c r="J10593" s="29" t="s">
        <v>4420</v>
      </c>
      <c r="K10593" s="29"/>
      <c r="L10593" s="29" t="s">
        <v>1301</v>
      </c>
      <c r="M10593" s="29"/>
      <c r="N10593" s="29" t="s">
        <v>1067</v>
      </c>
      <c r="O10593" s="29"/>
      <c r="P10593" s="29" t="s">
        <v>1757</v>
      </c>
      <c r="Q10593" t="s">
        <v>2038</v>
      </c>
      <c r="R10593" t="s">
        <v>2634</v>
      </c>
      <c r="S10593">
        <v>35</v>
      </c>
      <c r="T10593" s="43" t="str">
        <f t="shared" si="456"/>
        <v>2019.003G.zip</v>
      </c>
      <c r="U10593" s="43" t="str">
        <f>HYPERLINK("https://ictv.global/taxonomy/taxondetails?taxnode_id=202202418","ictv.global=202202418")</f>
        <v>ictv.global=202202418</v>
      </c>
    </row>
    <row r="10594" spans="1:21">
      <c r="A10594">
        <v>10593</v>
      </c>
      <c r="B10594" s="29" t="s">
        <v>4383</v>
      </c>
      <c r="C10594" s="29"/>
      <c r="D10594" s="29" t="s">
        <v>4384</v>
      </c>
      <c r="E10594" s="29"/>
      <c r="F10594" s="29" t="s">
        <v>4414</v>
      </c>
      <c r="G10594" s="29"/>
      <c r="H10594" s="29" t="s">
        <v>4417</v>
      </c>
      <c r="I10594" s="29"/>
      <c r="J10594" s="29" t="s">
        <v>4420</v>
      </c>
      <c r="K10594" s="29"/>
      <c r="L10594" s="29" t="s">
        <v>1301</v>
      </c>
      <c r="M10594" s="29"/>
      <c r="N10594" s="29" t="s">
        <v>1067</v>
      </c>
      <c r="O10594" s="29"/>
      <c r="P10594" s="29" t="s">
        <v>2759</v>
      </c>
      <c r="Q10594" t="s">
        <v>2038</v>
      </c>
      <c r="R10594" t="s">
        <v>2634</v>
      </c>
      <c r="S10594">
        <v>35</v>
      </c>
      <c r="T10594" s="43" t="str">
        <f t="shared" si="456"/>
        <v>2019.003G.zip</v>
      </c>
      <c r="U10594" s="43" t="str">
        <f>HYPERLINK("https://ictv.global/taxonomy/taxondetails?taxnode_id=202205660","ictv.global=202205660")</f>
        <v>ictv.global=202205660</v>
      </c>
    </row>
    <row r="10595" spans="1:21">
      <c r="A10595">
        <v>10594</v>
      </c>
      <c r="B10595" s="29" t="s">
        <v>4383</v>
      </c>
      <c r="C10595" s="29"/>
      <c r="D10595" s="29" t="s">
        <v>4384</v>
      </c>
      <c r="E10595" s="29"/>
      <c r="F10595" s="29" t="s">
        <v>4414</v>
      </c>
      <c r="G10595" s="29"/>
      <c r="H10595" s="29" t="s">
        <v>4417</v>
      </c>
      <c r="I10595" s="29"/>
      <c r="J10595" s="29" t="s">
        <v>4420</v>
      </c>
      <c r="K10595" s="29"/>
      <c r="L10595" s="29" t="s">
        <v>1301</v>
      </c>
      <c r="M10595" s="29"/>
      <c r="N10595" s="29" t="s">
        <v>1067</v>
      </c>
      <c r="O10595" s="29"/>
      <c r="P10595" s="29" t="s">
        <v>2493</v>
      </c>
      <c r="Q10595" t="s">
        <v>2038</v>
      </c>
      <c r="R10595" t="s">
        <v>2634</v>
      </c>
      <c r="S10595">
        <v>35</v>
      </c>
      <c r="T10595" s="43" t="str">
        <f t="shared" si="456"/>
        <v>2019.003G.zip</v>
      </c>
      <c r="U10595" s="43" t="str">
        <f>HYPERLINK("https://ictv.global/taxonomy/taxondetails?taxnode_id=202202419","ictv.global=202202419")</f>
        <v>ictv.global=202202419</v>
      </c>
    </row>
    <row r="10596" spans="1:21">
      <c r="A10596">
        <v>10595</v>
      </c>
      <c r="B10596" s="29" t="s">
        <v>4383</v>
      </c>
      <c r="C10596" s="29"/>
      <c r="D10596" s="29" t="s">
        <v>4384</v>
      </c>
      <c r="E10596" s="29"/>
      <c r="F10596" s="29" t="s">
        <v>4414</v>
      </c>
      <c r="G10596" s="29"/>
      <c r="H10596" s="29" t="s">
        <v>4417</v>
      </c>
      <c r="I10596" s="29"/>
      <c r="J10596" s="29" t="s">
        <v>4420</v>
      </c>
      <c r="K10596" s="29"/>
      <c r="L10596" s="29" t="s">
        <v>1301</v>
      </c>
      <c r="M10596" s="29"/>
      <c r="N10596" s="29" t="s">
        <v>1067</v>
      </c>
      <c r="O10596" s="29"/>
      <c r="P10596" s="29" t="s">
        <v>2760</v>
      </c>
      <c r="Q10596" t="s">
        <v>2038</v>
      </c>
      <c r="R10596" t="s">
        <v>2634</v>
      </c>
      <c r="S10596">
        <v>35</v>
      </c>
      <c r="T10596" s="43" t="str">
        <f t="shared" si="456"/>
        <v>2019.003G.zip</v>
      </c>
      <c r="U10596" s="43" t="str">
        <f>HYPERLINK("https://ictv.global/taxonomy/taxondetails?taxnode_id=202205661","ictv.global=202205661")</f>
        <v>ictv.global=202205661</v>
      </c>
    </row>
    <row r="10597" spans="1:21">
      <c r="A10597">
        <v>10596</v>
      </c>
      <c r="B10597" s="29" t="s">
        <v>4383</v>
      </c>
      <c r="C10597" s="29"/>
      <c r="D10597" s="29" t="s">
        <v>4384</v>
      </c>
      <c r="E10597" s="29"/>
      <c r="F10597" s="29" t="s">
        <v>4414</v>
      </c>
      <c r="G10597" s="29"/>
      <c r="H10597" s="29" t="s">
        <v>4417</v>
      </c>
      <c r="I10597" s="29"/>
      <c r="J10597" s="29" t="s">
        <v>4420</v>
      </c>
      <c r="K10597" s="29"/>
      <c r="L10597" s="29" t="s">
        <v>1301</v>
      </c>
      <c r="M10597" s="29"/>
      <c r="N10597" s="29" t="s">
        <v>1067</v>
      </c>
      <c r="O10597" s="29"/>
      <c r="P10597" s="29" t="s">
        <v>1758</v>
      </c>
      <c r="Q10597" t="s">
        <v>2038</v>
      </c>
      <c r="R10597" t="s">
        <v>2634</v>
      </c>
      <c r="S10597">
        <v>35</v>
      </c>
      <c r="T10597" s="43" t="str">
        <f t="shared" si="456"/>
        <v>2019.003G.zip</v>
      </c>
      <c r="U10597" s="43" t="str">
        <f>HYPERLINK("https://ictv.global/taxonomy/taxondetails?taxnode_id=202202420","ictv.global=202202420")</f>
        <v>ictv.global=202202420</v>
      </c>
    </row>
    <row r="10598" spans="1:21">
      <c r="A10598">
        <v>10597</v>
      </c>
      <c r="B10598" s="29" t="s">
        <v>4383</v>
      </c>
      <c r="C10598" s="29"/>
      <c r="D10598" s="29" t="s">
        <v>4384</v>
      </c>
      <c r="E10598" s="29"/>
      <c r="F10598" s="29" t="s">
        <v>4414</v>
      </c>
      <c r="G10598" s="29"/>
      <c r="H10598" s="29" t="s">
        <v>4417</v>
      </c>
      <c r="I10598" s="29"/>
      <c r="J10598" s="29" t="s">
        <v>4420</v>
      </c>
      <c r="K10598" s="29"/>
      <c r="L10598" s="29" t="s">
        <v>1301</v>
      </c>
      <c r="M10598" s="29"/>
      <c r="N10598" s="29" t="s">
        <v>1067</v>
      </c>
      <c r="O10598" s="29"/>
      <c r="P10598" s="29" t="s">
        <v>1759</v>
      </c>
      <c r="Q10598" t="s">
        <v>2038</v>
      </c>
      <c r="R10598" t="s">
        <v>2634</v>
      </c>
      <c r="S10598">
        <v>35</v>
      </c>
      <c r="T10598" s="43" t="str">
        <f t="shared" si="456"/>
        <v>2019.003G.zip</v>
      </c>
      <c r="U10598" s="43" t="str">
        <f>HYPERLINK("https://ictv.global/taxonomy/taxondetails?taxnode_id=202202421","ictv.global=202202421")</f>
        <v>ictv.global=202202421</v>
      </c>
    </row>
    <row r="10599" spans="1:21">
      <c r="A10599">
        <v>10598</v>
      </c>
      <c r="B10599" s="29" t="s">
        <v>4383</v>
      </c>
      <c r="C10599" s="29"/>
      <c r="D10599" s="29" t="s">
        <v>4384</v>
      </c>
      <c r="E10599" s="29"/>
      <c r="F10599" s="29" t="s">
        <v>4414</v>
      </c>
      <c r="G10599" s="29"/>
      <c r="H10599" s="29" t="s">
        <v>4417</v>
      </c>
      <c r="I10599" s="29"/>
      <c r="J10599" s="29" t="s">
        <v>4420</v>
      </c>
      <c r="K10599" s="29"/>
      <c r="L10599" s="29" t="s">
        <v>1301</v>
      </c>
      <c r="M10599" s="29"/>
      <c r="N10599" s="29" t="s">
        <v>1067</v>
      </c>
      <c r="O10599" s="29"/>
      <c r="P10599" s="29" t="s">
        <v>6755</v>
      </c>
      <c r="Q10599" t="s">
        <v>2038</v>
      </c>
      <c r="R10599" t="s">
        <v>2632</v>
      </c>
      <c r="S10599">
        <v>36</v>
      </c>
      <c r="T10599" s="43" t="str">
        <f>HYPERLINK("https://ictv.global/ictv/proposals/2020.008D.R.Adenoviridae_1ngen_6nsp.zip","2020.008D.R.Adenoviridae_1ngen_6nsp.zip")</f>
        <v>2020.008D.R.Adenoviridae_1ngen_6nsp.zip</v>
      </c>
      <c r="U10599" s="43" t="str">
        <f>HYPERLINK("https://ictv.global/taxonomy/taxondetails?taxnode_id=202209162","ictv.global=202209162")</f>
        <v>ictv.global=202209162</v>
      </c>
    </row>
    <row r="10600" spans="1:21">
      <c r="A10600">
        <v>10599</v>
      </c>
      <c r="B10600" s="29" t="s">
        <v>4383</v>
      </c>
      <c r="C10600" s="29"/>
      <c r="D10600" s="29" t="s">
        <v>4384</v>
      </c>
      <c r="E10600" s="29"/>
      <c r="F10600" s="29" t="s">
        <v>4414</v>
      </c>
      <c r="G10600" s="29"/>
      <c r="H10600" s="29" t="s">
        <v>4417</v>
      </c>
      <c r="I10600" s="29"/>
      <c r="J10600" s="29" t="s">
        <v>4420</v>
      </c>
      <c r="K10600" s="29"/>
      <c r="L10600" s="29" t="s">
        <v>1301</v>
      </c>
      <c r="M10600" s="29"/>
      <c r="N10600" s="29" t="s">
        <v>1067</v>
      </c>
      <c r="O10600" s="29"/>
      <c r="P10600" s="29" t="s">
        <v>1760</v>
      </c>
      <c r="Q10600" t="s">
        <v>2038</v>
      </c>
      <c r="R10600" t="s">
        <v>6901</v>
      </c>
      <c r="S10600">
        <v>36</v>
      </c>
      <c r="T10600" s="43" t="str">
        <f>HYPERLINK("https://ictv.global/ictv/proposals/2020.001G.R.Abolish_type_species.pdf","2020.001G.R.Abolish_type_species.pdf")</f>
        <v>2020.001G.R.Abolish_type_species.pdf</v>
      </c>
      <c r="U10600" s="43" t="str">
        <f>HYPERLINK("https://ictv.global/taxonomy/taxondetails?taxnode_id=202202422","ictv.global=202202422")</f>
        <v>ictv.global=202202422</v>
      </c>
    </row>
    <row r="10601" spans="1:21">
      <c r="A10601">
        <v>10600</v>
      </c>
      <c r="B10601" s="29" t="s">
        <v>4383</v>
      </c>
      <c r="C10601" s="29"/>
      <c r="D10601" s="29" t="s">
        <v>4384</v>
      </c>
      <c r="E10601" s="29"/>
      <c r="F10601" s="29" t="s">
        <v>4414</v>
      </c>
      <c r="G10601" s="29"/>
      <c r="H10601" s="29" t="s">
        <v>4417</v>
      </c>
      <c r="I10601" s="29"/>
      <c r="J10601" s="29" t="s">
        <v>4420</v>
      </c>
      <c r="K10601" s="29"/>
      <c r="L10601" s="29" t="s">
        <v>1301</v>
      </c>
      <c r="M10601" s="29"/>
      <c r="N10601" s="29" t="s">
        <v>1067</v>
      </c>
      <c r="O10601" s="29"/>
      <c r="P10601" s="29" t="s">
        <v>1761</v>
      </c>
      <c r="Q10601" t="s">
        <v>2038</v>
      </c>
      <c r="R10601" t="s">
        <v>6901</v>
      </c>
      <c r="S10601">
        <v>36</v>
      </c>
      <c r="T10601" s="43" t="str">
        <f>HYPERLINK("https://ictv.global/ictv/proposals/2020.001G.R.Abolish_type_species.pdf","2020.001G.R.Abolish_type_species.pdf")</f>
        <v>2020.001G.R.Abolish_type_species.pdf</v>
      </c>
      <c r="U10601" s="43" t="str">
        <f>HYPERLINK("https://ictv.global/taxonomy/taxondetails?taxnode_id=202202423","ictv.global=202202423")</f>
        <v>ictv.global=202202423</v>
      </c>
    </row>
    <row r="10602" spans="1:21">
      <c r="A10602">
        <v>10601</v>
      </c>
      <c r="B10602" s="29" t="s">
        <v>4383</v>
      </c>
      <c r="C10602" s="29"/>
      <c r="D10602" s="29" t="s">
        <v>4384</v>
      </c>
      <c r="E10602" s="29"/>
      <c r="F10602" s="29" t="s">
        <v>4414</v>
      </c>
      <c r="G10602" s="29"/>
      <c r="H10602" s="29" t="s">
        <v>4417</v>
      </c>
      <c r="I10602" s="29"/>
      <c r="J10602" s="29" t="s">
        <v>4420</v>
      </c>
      <c r="K10602" s="29"/>
      <c r="L10602" s="29" t="s">
        <v>1301</v>
      </c>
      <c r="M10602" s="29"/>
      <c r="N10602" s="29" t="s">
        <v>1067</v>
      </c>
      <c r="O10602" s="29"/>
      <c r="P10602" s="29" t="s">
        <v>1762</v>
      </c>
      <c r="Q10602" t="s">
        <v>2038</v>
      </c>
      <c r="R10602" t="s">
        <v>6901</v>
      </c>
      <c r="S10602">
        <v>36</v>
      </c>
      <c r="T10602" s="43" t="str">
        <f>HYPERLINK("https://ictv.global/ictv/proposals/2020.001G.R.Abolish_type_species.pdf","2020.001G.R.Abolish_type_species.pdf")</f>
        <v>2020.001G.R.Abolish_type_species.pdf</v>
      </c>
      <c r="U10602" s="43" t="str">
        <f>HYPERLINK("https://ictv.global/taxonomy/taxondetails?taxnode_id=202202424","ictv.global=202202424")</f>
        <v>ictv.global=202202424</v>
      </c>
    </row>
    <row r="10603" spans="1:21">
      <c r="A10603">
        <v>10602</v>
      </c>
      <c r="B10603" s="29" t="s">
        <v>4383</v>
      </c>
      <c r="C10603" s="29"/>
      <c r="D10603" s="29" t="s">
        <v>4384</v>
      </c>
      <c r="E10603" s="29"/>
      <c r="F10603" s="29" t="s">
        <v>4414</v>
      </c>
      <c r="G10603" s="29"/>
      <c r="H10603" s="29" t="s">
        <v>4417</v>
      </c>
      <c r="I10603" s="29"/>
      <c r="J10603" s="29" t="s">
        <v>4420</v>
      </c>
      <c r="K10603" s="29"/>
      <c r="L10603" s="29" t="s">
        <v>1301</v>
      </c>
      <c r="M10603" s="29"/>
      <c r="N10603" s="29" t="s">
        <v>1067</v>
      </c>
      <c r="O10603" s="29"/>
      <c r="P10603" s="29" t="s">
        <v>1763</v>
      </c>
      <c r="Q10603" t="s">
        <v>2038</v>
      </c>
      <c r="R10603" t="s">
        <v>6901</v>
      </c>
      <c r="S10603">
        <v>36</v>
      </c>
      <c r="T10603" s="43" t="str">
        <f>HYPERLINK("https://ictv.global/ictv/proposals/2020.001G.R.Abolish_type_species.pdf","2020.001G.R.Abolish_type_species.pdf")</f>
        <v>2020.001G.R.Abolish_type_species.pdf</v>
      </c>
      <c r="U10603" s="43" t="str">
        <f>HYPERLINK("https://ictv.global/taxonomy/taxondetails?taxnode_id=202202425","ictv.global=202202425")</f>
        <v>ictv.global=202202425</v>
      </c>
    </row>
    <row r="10604" spans="1:21">
      <c r="A10604">
        <v>10603</v>
      </c>
      <c r="B10604" s="29" t="s">
        <v>4383</v>
      </c>
      <c r="C10604" s="29"/>
      <c r="D10604" s="29" t="s">
        <v>4384</v>
      </c>
      <c r="E10604" s="29"/>
      <c r="F10604" s="29" t="s">
        <v>4414</v>
      </c>
      <c r="G10604" s="29"/>
      <c r="H10604" s="29" t="s">
        <v>4417</v>
      </c>
      <c r="I10604" s="29"/>
      <c r="J10604" s="29" t="s">
        <v>4420</v>
      </c>
      <c r="K10604" s="29"/>
      <c r="L10604" s="29" t="s">
        <v>1301</v>
      </c>
      <c r="M10604" s="29"/>
      <c r="N10604" s="29" t="s">
        <v>1067</v>
      </c>
      <c r="O10604" s="29"/>
      <c r="P10604" s="29" t="s">
        <v>1764</v>
      </c>
      <c r="Q10604" t="s">
        <v>2038</v>
      </c>
      <c r="R10604" t="s">
        <v>6901</v>
      </c>
      <c r="S10604">
        <v>36</v>
      </c>
      <c r="T10604" s="43" t="str">
        <f>HYPERLINK("https://ictv.global/ictv/proposals/2020.001G.R.Abolish_type_species.pdf","2020.001G.R.Abolish_type_species.pdf")</f>
        <v>2020.001G.R.Abolish_type_species.pdf</v>
      </c>
      <c r="U10604" s="43" t="str">
        <f>HYPERLINK("https://ictv.global/taxonomy/taxondetails?taxnode_id=202202426","ictv.global=202202426")</f>
        <v>ictv.global=202202426</v>
      </c>
    </row>
    <row r="10605" spans="1:21">
      <c r="A10605">
        <v>10604</v>
      </c>
      <c r="B10605" s="29" t="s">
        <v>4383</v>
      </c>
      <c r="C10605" s="29"/>
      <c r="D10605" s="29" t="s">
        <v>4384</v>
      </c>
      <c r="E10605" s="29"/>
      <c r="F10605" s="29" t="s">
        <v>4414</v>
      </c>
      <c r="G10605" s="29"/>
      <c r="H10605" s="29" t="s">
        <v>4417</v>
      </c>
      <c r="I10605" s="29"/>
      <c r="J10605" s="29" t="s">
        <v>4420</v>
      </c>
      <c r="K10605" s="29"/>
      <c r="L10605" s="29" t="s">
        <v>1301</v>
      </c>
      <c r="M10605" s="29"/>
      <c r="N10605" s="29" t="s">
        <v>1067</v>
      </c>
      <c r="O10605" s="29"/>
      <c r="P10605" s="29" t="s">
        <v>1765</v>
      </c>
      <c r="Q10605" t="s">
        <v>2038</v>
      </c>
      <c r="R10605" t="s">
        <v>2634</v>
      </c>
      <c r="S10605">
        <v>35</v>
      </c>
      <c r="T10605" s="43" t="str">
        <f>HYPERLINK("https://ictv.global/ictv/proposals/2019.003G.zip","2019.003G.zip")</f>
        <v>2019.003G.zip</v>
      </c>
      <c r="U10605" s="43" t="str">
        <f>HYPERLINK("https://ictv.global/taxonomy/taxondetails?taxnode_id=202202427","ictv.global=202202427")</f>
        <v>ictv.global=202202427</v>
      </c>
    </row>
    <row r="10606" spans="1:21">
      <c r="A10606">
        <v>10605</v>
      </c>
      <c r="B10606" s="29" t="s">
        <v>4383</v>
      </c>
      <c r="C10606" s="29"/>
      <c r="D10606" s="29" t="s">
        <v>4384</v>
      </c>
      <c r="E10606" s="29"/>
      <c r="F10606" s="29" t="s">
        <v>4414</v>
      </c>
      <c r="G10606" s="29"/>
      <c r="H10606" s="29" t="s">
        <v>4417</v>
      </c>
      <c r="I10606" s="29"/>
      <c r="J10606" s="29" t="s">
        <v>4420</v>
      </c>
      <c r="K10606" s="29"/>
      <c r="L10606" s="29" t="s">
        <v>1301</v>
      </c>
      <c r="M10606" s="29"/>
      <c r="N10606" s="29" t="s">
        <v>1067</v>
      </c>
      <c r="O10606" s="29"/>
      <c r="P10606" s="29" t="s">
        <v>1766</v>
      </c>
      <c r="Q10606" t="s">
        <v>2038</v>
      </c>
      <c r="R10606" t="s">
        <v>2634</v>
      </c>
      <c r="S10606">
        <v>35</v>
      </c>
      <c r="T10606" s="43" t="str">
        <f>HYPERLINK("https://ictv.global/ictv/proposals/2019.003G.zip","2019.003G.zip")</f>
        <v>2019.003G.zip</v>
      </c>
      <c r="U10606" s="43" t="str">
        <f>HYPERLINK("https://ictv.global/taxonomy/taxondetails?taxnode_id=202202428","ictv.global=202202428")</f>
        <v>ictv.global=202202428</v>
      </c>
    </row>
    <row r="10607" spans="1:21">
      <c r="A10607">
        <v>10606</v>
      </c>
      <c r="B10607" s="29" t="s">
        <v>4383</v>
      </c>
      <c r="C10607" s="29"/>
      <c r="D10607" s="29" t="s">
        <v>4384</v>
      </c>
      <c r="E10607" s="29"/>
      <c r="F10607" s="29" t="s">
        <v>4414</v>
      </c>
      <c r="G10607" s="29"/>
      <c r="H10607" s="29" t="s">
        <v>4417</v>
      </c>
      <c r="I10607" s="29"/>
      <c r="J10607" s="29" t="s">
        <v>4420</v>
      </c>
      <c r="K10607" s="29"/>
      <c r="L10607" s="29" t="s">
        <v>1301</v>
      </c>
      <c r="M10607" s="29"/>
      <c r="N10607" s="29" t="s">
        <v>1067</v>
      </c>
      <c r="O10607" s="29"/>
      <c r="P10607" s="29" t="s">
        <v>1767</v>
      </c>
      <c r="Q10607" t="s">
        <v>2038</v>
      </c>
      <c r="R10607" t="s">
        <v>2634</v>
      </c>
      <c r="S10607">
        <v>35</v>
      </c>
      <c r="T10607" s="43" t="str">
        <f>HYPERLINK("https://ictv.global/ictv/proposals/2019.003G.zip","2019.003G.zip")</f>
        <v>2019.003G.zip</v>
      </c>
      <c r="U10607" s="43" t="str">
        <f>HYPERLINK("https://ictv.global/taxonomy/taxondetails?taxnode_id=202202429","ictv.global=202202429")</f>
        <v>ictv.global=202202429</v>
      </c>
    </row>
    <row r="10608" spans="1:21">
      <c r="A10608">
        <v>10607</v>
      </c>
      <c r="B10608" s="29" t="s">
        <v>4383</v>
      </c>
      <c r="C10608" s="29"/>
      <c r="D10608" s="29" t="s">
        <v>4384</v>
      </c>
      <c r="E10608" s="29"/>
      <c r="F10608" s="29" t="s">
        <v>4414</v>
      </c>
      <c r="G10608" s="29"/>
      <c r="H10608" s="29" t="s">
        <v>4417</v>
      </c>
      <c r="I10608" s="29"/>
      <c r="J10608" s="29" t="s">
        <v>4420</v>
      </c>
      <c r="K10608" s="29"/>
      <c r="L10608" s="29" t="s">
        <v>1301</v>
      </c>
      <c r="M10608" s="29"/>
      <c r="N10608" s="29" t="s">
        <v>1067</v>
      </c>
      <c r="O10608" s="29"/>
      <c r="P10608" s="29" t="s">
        <v>1768</v>
      </c>
      <c r="Q10608" t="s">
        <v>2038</v>
      </c>
      <c r="R10608" t="s">
        <v>2634</v>
      </c>
      <c r="S10608">
        <v>35</v>
      </c>
      <c r="T10608" s="43" t="str">
        <f>HYPERLINK("https://ictv.global/ictv/proposals/2019.003G.zip","2019.003G.zip")</f>
        <v>2019.003G.zip</v>
      </c>
      <c r="U10608" s="43" t="str">
        <f>HYPERLINK("https://ictv.global/taxonomy/taxondetails?taxnode_id=202202430","ictv.global=202202430")</f>
        <v>ictv.global=202202430</v>
      </c>
    </row>
    <row r="10609" spans="1:21">
      <c r="A10609">
        <v>10608</v>
      </c>
      <c r="B10609" s="29" t="s">
        <v>4383</v>
      </c>
      <c r="C10609" s="29"/>
      <c r="D10609" s="29" t="s">
        <v>4384</v>
      </c>
      <c r="E10609" s="29"/>
      <c r="F10609" s="29" t="s">
        <v>4414</v>
      </c>
      <c r="G10609" s="29"/>
      <c r="H10609" s="29" t="s">
        <v>4417</v>
      </c>
      <c r="I10609" s="29"/>
      <c r="J10609" s="29" t="s">
        <v>4420</v>
      </c>
      <c r="K10609" s="29"/>
      <c r="L10609" s="29" t="s">
        <v>1301</v>
      </c>
      <c r="M10609" s="29"/>
      <c r="N10609" s="29" t="s">
        <v>1067</v>
      </c>
      <c r="O10609" s="29"/>
      <c r="P10609" s="29" t="s">
        <v>1769</v>
      </c>
      <c r="Q10609" t="s">
        <v>2038</v>
      </c>
      <c r="R10609" t="s">
        <v>2634</v>
      </c>
      <c r="S10609">
        <v>35</v>
      </c>
      <c r="T10609" s="43" t="str">
        <f>HYPERLINK("https://ictv.global/ictv/proposals/2019.003G.zip","2019.003G.zip")</f>
        <v>2019.003G.zip</v>
      </c>
      <c r="U10609" s="43" t="str">
        <f>HYPERLINK("https://ictv.global/taxonomy/taxondetails?taxnode_id=202202431","ictv.global=202202431")</f>
        <v>ictv.global=202202431</v>
      </c>
    </row>
    <row r="10610" spans="1:21">
      <c r="A10610">
        <v>10609</v>
      </c>
      <c r="B10610" s="29" t="s">
        <v>4383</v>
      </c>
      <c r="C10610" s="29"/>
      <c r="D10610" s="29" t="s">
        <v>4384</v>
      </c>
      <c r="E10610" s="29"/>
      <c r="F10610" s="29" t="s">
        <v>4414</v>
      </c>
      <c r="G10610" s="29"/>
      <c r="H10610" s="29" t="s">
        <v>4417</v>
      </c>
      <c r="I10610" s="29"/>
      <c r="J10610" s="29" t="s">
        <v>4420</v>
      </c>
      <c r="K10610" s="29"/>
      <c r="L10610" s="29" t="s">
        <v>1301</v>
      </c>
      <c r="M10610" s="29"/>
      <c r="N10610" s="29" t="s">
        <v>1067</v>
      </c>
      <c r="O10610" s="29"/>
      <c r="P10610" s="29" t="s">
        <v>1770</v>
      </c>
      <c r="Q10610" t="s">
        <v>2038</v>
      </c>
      <c r="R10610" t="s">
        <v>6901</v>
      </c>
      <c r="S10610">
        <v>36</v>
      </c>
      <c r="T10610" s="43" t="str">
        <f>HYPERLINK("https://ictv.global/ictv/proposals/2020.001G.R.Abolish_type_species.pdf","2020.001G.R.Abolish_type_species.pdf")</f>
        <v>2020.001G.R.Abolish_type_species.pdf</v>
      </c>
      <c r="U10610" s="43" t="str">
        <f>HYPERLINK("https://ictv.global/taxonomy/taxondetails?taxnode_id=202202432","ictv.global=202202432")</f>
        <v>ictv.global=202202432</v>
      </c>
    </row>
    <row r="10611" spans="1:21">
      <c r="A10611">
        <v>10610</v>
      </c>
      <c r="B10611" s="29" t="s">
        <v>4383</v>
      </c>
      <c r="C10611" s="29"/>
      <c r="D10611" s="29" t="s">
        <v>4384</v>
      </c>
      <c r="E10611" s="29"/>
      <c r="F10611" s="29" t="s">
        <v>4414</v>
      </c>
      <c r="G10611" s="29"/>
      <c r="H10611" s="29" t="s">
        <v>4417</v>
      </c>
      <c r="I10611" s="29"/>
      <c r="J10611" s="29" t="s">
        <v>4420</v>
      </c>
      <c r="K10611" s="29"/>
      <c r="L10611" s="29" t="s">
        <v>1301</v>
      </c>
      <c r="M10611" s="29"/>
      <c r="N10611" s="29" t="s">
        <v>1067</v>
      </c>
      <c r="O10611" s="29"/>
      <c r="P10611" s="29" t="s">
        <v>1771</v>
      </c>
      <c r="Q10611" t="s">
        <v>2038</v>
      </c>
      <c r="R10611" t="s">
        <v>6901</v>
      </c>
      <c r="S10611">
        <v>36</v>
      </c>
      <c r="T10611" s="43" t="str">
        <f>HYPERLINK("https://ictv.global/ictv/proposals/2020.001G.R.Abolish_type_species.pdf","2020.001G.R.Abolish_type_species.pdf")</f>
        <v>2020.001G.R.Abolish_type_species.pdf</v>
      </c>
      <c r="U10611" s="43" t="str">
        <f>HYPERLINK("https://ictv.global/taxonomy/taxondetails?taxnode_id=202202433","ictv.global=202202433")</f>
        <v>ictv.global=202202433</v>
      </c>
    </row>
    <row r="10612" spans="1:21">
      <c r="A10612">
        <v>10611</v>
      </c>
      <c r="B10612" s="29" t="s">
        <v>4383</v>
      </c>
      <c r="C10612" s="29"/>
      <c r="D10612" s="29" t="s">
        <v>4384</v>
      </c>
      <c r="E10612" s="29"/>
      <c r="F10612" s="29" t="s">
        <v>4414</v>
      </c>
      <c r="G10612" s="29"/>
      <c r="H10612" s="29" t="s">
        <v>4417</v>
      </c>
      <c r="I10612" s="29"/>
      <c r="J10612" s="29" t="s">
        <v>4420</v>
      </c>
      <c r="K10612" s="29"/>
      <c r="L10612" s="29" t="s">
        <v>1301</v>
      </c>
      <c r="M10612" s="29"/>
      <c r="N10612" s="29" t="s">
        <v>1067</v>
      </c>
      <c r="O10612" s="29"/>
      <c r="P10612" s="29" t="s">
        <v>4425</v>
      </c>
      <c r="Q10612" t="s">
        <v>2038</v>
      </c>
      <c r="R10612" t="s">
        <v>2632</v>
      </c>
      <c r="S10612">
        <v>35</v>
      </c>
      <c r="T10612" s="43" t="str">
        <f>HYPERLINK("https://ictv.global/ictv/proposals/2019.006D.zip","2019.006D.zip")</f>
        <v>2019.006D.zip</v>
      </c>
      <c r="U10612" s="43" t="str">
        <f>HYPERLINK("https://ictv.global/taxonomy/taxondetails?taxnode_id=202207196","ictv.global=202207196")</f>
        <v>ictv.global=202207196</v>
      </c>
    </row>
    <row r="10613" spans="1:21">
      <c r="A10613">
        <v>10612</v>
      </c>
      <c r="B10613" s="29" t="s">
        <v>4383</v>
      </c>
      <c r="C10613" s="29"/>
      <c r="D10613" s="29" t="s">
        <v>4384</v>
      </c>
      <c r="E10613" s="29"/>
      <c r="F10613" s="29" t="s">
        <v>4414</v>
      </c>
      <c r="G10613" s="29"/>
      <c r="H10613" s="29" t="s">
        <v>4417</v>
      </c>
      <c r="I10613" s="29"/>
      <c r="J10613" s="29" t="s">
        <v>4420</v>
      </c>
      <c r="K10613" s="29"/>
      <c r="L10613" s="29" t="s">
        <v>1301</v>
      </c>
      <c r="M10613" s="29"/>
      <c r="N10613" s="29" t="s">
        <v>1067</v>
      </c>
      <c r="O10613" s="29"/>
      <c r="P10613" s="29" t="s">
        <v>2494</v>
      </c>
      <c r="Q10613" t="s">
        <v>2038</v>
      </c>
      <c r="R10613" t="s">
        <v>2634</v>
      </c>
      <c r="S10613">
        <v>35</v>
      </c>
      <c r="T10613" s="43" t="str">
        <f>HYPERLINK("https://ictv.global/ictv/proposals/2019.003G.zip","2019.003G.zip")</f>
        <v>2019.003G.zip</v>
      </c>
      <c r="U10613" s="43" t="str">
        <f>HYPERLINK("https://ictv.global/taxonomy/taxondetails?taxnode_id=202202434","ictv.global=202202434")</f>
        <v>ictv.global=202202434</v>
      </c>
    </row>
    <row r="10614" spans="1:21">
      <c r="A10614">
        <v>10613</v>
      </c>
      <c r="B10614" s="29" t="s">
        <v>4383</v>
      </c>
      <c r="C10614" s="29"/>
      <c r="D10614" s="29" t="s">
        <v>4384</v>
      </c>
      <c r="E10614" s="29"/>
      <c r="F10614" s="29" t="s">
        <v>4414</v>
      </c>
      <c r="G10614" s="29"/>
      <c r="H10614" s="29" t="s">
        <v>4417</v>
      </c>
      <c r="I10614" s="29"/>
      <c r="J10614" s="29" t="s">
        <v>4420</v>
      </c>
      <c r="K10614" s="29"/>
      <c r="L10614" s="29" t="s">
        <v>1301</v>
      </c>
      <c r="M10614" s="29"/>
      <c r="N10614" s="29" t="s">
        <v>1067</v>
      </c>
      <c r="O10614" s="29"/>
      <c r="P10614" s="29" t="s">
        <v>4426</v>
      </c>
      <c r="Q10614" t="s">
        <v>2038</v>
      </c>
      <c r="R10614" t="s">
        <v>2632</v>
      </c>
      <c r="S10614">
        <v>35</v>
      </c>
      <c r="T10614" s="43" t="str">
        <f>HYPERLINK("https://ictv.global/ictv/proposals/2019.006D.zip","2019.006D.zip")</f>
        <v>2019.006D.zip</v>
      </c>
      <c r="U10614" s="43" t="str">
        <f>HYPERLINK("https://ictv.global/taxonomy/taxondetails?taxnode_id=202207197","ictv.global=202207197")</f>
        <v>ictv.global=202207197</v>
      </c>
    </row>
    <row r="10615" spans="1:21">
      <c r="A10615">
        <v>10614</v>
      </c>
      <c r="B10615" s="29" t="s">
        <v>4383</v>
      </c>
      <c r="C10615" s="29"/>
      <c r="D10615" s="29" t="s">
        <v>4384</v>
      </c>
      <c r="E10615" s="29"/>
      <c r="F10615" s="29" t="s">
        <v>4414</v>
      </c>
      <c r="G10615" s="29"/>
      <c r="H10615" s="29" t="s">
        <v>4417</v>
      </c>
      <c r="I10615" s="29"/>
      <c r="J10615" s="29" t="s">
        <v>4420</v>
      </c>
      <c r="K10615" s="29"/>
      <c r="L10615" s="29" t="s">
        <v>1301</v>
      </c>
      <c r="M10615" s="29"/>
      <c r="N10615" s="29" t="s">
        <v>1067</v>
      </c>
      <c r="O10615" s="29"/>
      <c r="P10615" s="29" t="s">
        <v>1772</v>
      </c>
      <c r="Q10615" t="s">
        <v>2038</v>
      </c>
      <c r="R10615" t="s">
        <v>2634</v>
      </c>
      <c r="S10615">
        <v>35</v>
      </c>
      <c r="T10615" s="43" t="str">
        <f t="shared" ref="T10615:T10630" si="457">HYPERLINK("https://ictv.global/ictv/proposals/2019.003G.zip","2019.003G.zip")</f>
        <v>2019.003G.zip</v>
      </c>
      <c r="U10615" s="43" t="str">
        <f>HYPERLINK("https://ictv.global/taxonomy/taxondetails?taxnode_id=202202435","ictv.global=202202435")</f>
        <v>ictv.global=202202435</v>
      </c>
    </row>
    <row r="10616" spans="1:21">
      <c r="A10616">
        <v>10615</v>
      </c>
      <c r="B10616" s="29" t="s">
        <v>4383</v>
      </c>
      <c r="C10616" s="29"/>
      <c r="D10616" s="29" t="s">
        <v>4384</v>
      </c>
      <c r="E10616" s="29"/>
      <c r="F10616" s="29" t="s">
        <v>4414</v>
      </c>
      <c r="G10616" s="29"/>
      <c r="H10616" s="29" t="s">
        <v>4417</v>
      </c>
      <c r="I10616" s="29"/>
      <c r="J10616" s="29" t="s">
        <v>4420</v>
      </c>
      <c r="K10616" s="29"/>
      <c r="L10616" s="29" t="s">
        <v>1301</v>
      </c>
      <c r="M10616" s="29"/>
      <c r="N10616" s="29" t="s">
        <v>1067</v>
      </c>
      <c r="O10616" s="29"/>
      <c r="P10616" s="29" t="s">
        <v>1773</v>
      </c>
      <c r="Q10616" t="s">
        <v>2038</v>
      </c>
      <c r="R10616" t="s">
        <v>2634</v>
      </c>
      <c r="S10616">
        <v>35</v>
      </c>
      <c r="T10616" s="43" t="str">
        <f t="shared" si="457"/>
        <v>2019.003G.zip</v>
      </c>
      <c r="U10616" s="43" t="str">
        <f>HYPERLINK("https://ictv.global/taxonomy/taxondetails?taxnode_id=202202436","ictv.global=202202436")</f>
        <v>ictv.global=202202436</v>
      </c>
    </row>
    <row r="10617" spans="1:21">
      <c r="A10617">
        <v>10616</v>
      </c>
      <c r="B10617" s="29" t="s">
        <v>4383</v>
      </c>
      <c r="C10617" s="29"/>
      <c r="D10617" s="29" t="s">
        <v>4384</v>
      </c>
      <c r="E10617" s="29"/>
      <c r="F10617" s="29" t="s">
        <v>4414</v>
      </c>
      <c r="G10617" s="29"/>
      <c r="H10617" s="29" t="s">
        <v>4417</v>
      </c>
      <c r="I10617" s="29"/>
      <c r="J10617" s="29" t="s">
        <v>4420</v>
      </c>
      <c r="K10617" s="29"/>
      <c r="L10617" s="29" t="s">
        <v>1301</v>
      </c>
      <c r="M10617" s="29"/>
      <c r="N10617" s="29" t="s">
        <v>1067</v>
      </c>
      <c r="O10617" s="29"/>
      <c r="P10617" s="29" t="s">
        <v>1774</v>
      </c>
      <c r="Q10617" t="s">
        <v>2038</v>
      </c>
      <c r="R10617" t="s">
        <v>2634</v>
      </c>
      <c r="S10617">
        <v>35</v>
      </c>
      <c r="T10617" s="43" t="str">
        <f t="shared" si="457"/>
        <v>2019.003G.zip</v>
      </c>
      <c r="U10617" s="43" t="str">
        <f>HYPERLINK("https://ictv.global/taxonomy/taxondetails?taxnode_id=202202437","ictv.global=202202437")</f>
        <v>ictv.global=202202437</v>
      </c>
    </row>
    <row r="10618" spans="1:21">
      <c r="A10618">
        <v>10617</v>
      </c>
      <c r="B10618" s="29" t="s">
        <v>4383</v>
      </c>
      <c r="C10618" s="29"/>
      <c r="D10618" s="29" t="s">
        <v>4384</v>
      </c>
      <c r="E10618" s="29"/>
      <c r="F10618" s="29" t="s">
        <v>4414</v>
      </c>
      <c r="G10618" s="29"/>
      <c r="H10618" s="29" t="s">
        <v>4417</v>
      </c>
      <c r="I10618" s="29"/>
      <c r="J10618" s="29" t="s">
        <v>4420</v>
      </c>
      <c r="K10618" s="29"/>
      <c r="L10618" s="29" t="s">
        <v>1301</v>
      </c>
      <c r="M10618" s="29"/>
      <c r="N10618" s="29" t="s">
        <v>1067</v>
      </c>
      <c r="O10618" s="29"/>
      <c r="P10618" s="29" t="s">
        <v>2495</v>
      </c>
      <c r="Q10618" t="s">
        <v>2038</v>
      </c>
      <c r="R10618" t="s">
        <v>2634</v>
      </c>
      <c r="S10618">
        <v>35</v>
      </c>
      <c r="T10618" s="43" t="str">
        <f t="shared" si="457"/>
        <v>2019.003G.zip</v>
      </c>
      <c r="U10618" s="43" t="str">
        <f>HYPERLINK("https://ictv.global/taxonomy/taxondetails?taxnode_id=202202438","ictv.global=202202438")</f>
        <v>ictv.global=202202438</v>
      </c>
    </row>
    <row r="10619" spans="1:21">
      <c r="A10619">
        <v>10618</v>
      </c>
      <c r="B10619" s="29" t="s">
        <v>4383</v>
      </c>
      <c r="C10619" s="29"/>
      <c r="D10619" s="29" t="s">
        <v>4384</v>
      </c>
      <c r="E10619" s="29"/>
      <c r="F10619" s="29" t="s">
        <v>4414</v>
      </c>
      <c r="G10619" s="29"/>
      <c r="H10619" s="29" t="s">
        <v>4417</v>
      </c>
      <c r="I10619" s="29"/>
      <c r="J10619" s="29" t="s">
        <v>4420</v>
      </c>
      <c r="K10619" s="29"/>
      <c r="L10619" s="29" t="s">
        <v>1301</v>
      </c>
      <c r="M10619" s="29"/>
      <c r="N10619" s="29" t="s">
        <v>1067</v>
      </c>
      <c r="O10619" s="29"/>
      <c r="P10619" s="29" t="s">
        <v>1775</v>
      </c>
      <c r="Q10619" t="s">
        <v>2038</v>
      </c>
      <c r="R10619" t="s">
        <v>2634</v>
      </c>
      <c r="S10619">
        <v>35</v>
      </c>
      <c r="T10619" s="43" t="str">
        <f t="shared" si="457"/>
        <v>2019.003G.zip</v>
      </c>
      <c r="U10619" s="43" t="str">
        <f>HYPERLINK("https://ictv.global/taxonomy/taxondetails?taxnode_id=202202439","ictv.global=202202439")</f>
        <v>ictv.global=202202439</v>
      </c>
    </row>
    <row r="10620" spans="1:21">
      <c r="A10620">
        <v>10619</v>
      </c>
      <c r="B10620" s="29" t="s">
        <v>4383</v>
      </c>
      <c r="C10620" s="29"/>
      <c r="D10620" s="29" t="s">
        <v>4384</v>
      </c>
      <c r="E10620" s="29"/>
      <c r="F10620" s="29" t="s">
        <v>4414</v>
      </c>
      <c r="G10620" s="29"/>
      <c r="H10620" s="29" t="s">
        <v>4417</v>
      </c>
      <c r="I10620" s="29"/>
      <c r="J10620" s="29" t="s">
        <v>4420</v>
      </c>
      <c r="K10620" s="29"/>
      <c r="L10620" s="29" t="s">
        <v>1301</v>
      </c>
      <c r="M10620" s="29"/>
      <c r="N10620" s="29" t="s">
        <v>1067</v>
      </c>
      <c r="O10620" s="29"/>
      <c r="P10620" s="29" t="s">
        <v>2187</v>
      </c>
      <c r="Q10620" t="s">
        <v>2038</v>
      </c>
      <c r="R10620" t="s">
        <v>2634</v>
      </c>
      <c r="S10620">
        <v>35</v>
      </c>
      <c r="T10620" s="43" t="str">
        <f t="shared" si="457"/>
        <v>2019.003G.zip</v>
      </c>
      <c r="U10620" s="43" t="str">
        <f>HYPERLINK("https://ictv.global/taxonomy/taxondetails?taxnode_id=202202440","ictv.global=202202440")</f>
        <v>ictv.global=202202440</v>
      </c>
    </row>
    <row r="10621" spans="1:21">
      <c r="A10621">
        <v>10620</v>
      </c>
      <c r="B10621" s="29" t="s">
        <v>4383</v>
      </c>
      <c r="C10621" s="29"/>
      <c r="D10621" s="29" t="s">
        <v>4384</v>
      </c>
      <c r="E10621" s="29"/>
      <c r="F10621" s="29" t="s">
        <v>4414</v>
      </c>
      <c r="G10621" s="29"/>
      <c r="H10621" s="29" t="s">
        <v>4417</v>
      </c>
      <c r="I10621" s="29"/>
      <c r="J10621" s="29" t="s">
        <v>4420</v>
      </c>
      <c r="K10621" s="29"/>
      <c r="L10621" s="29" t="s">
        <v>1301</v>
      </c>
      <c r="M10621" s="29"/>
      <c r="N10621" s="29" t="s">
        <v>1067</v>
      </c>
      <c r="O10621" s="29"/>
      <c r="P10621" s="29" t="s">
        <v>2188</v>
      </c>
      <c r="Q10621" t="s">
        <v>2038</v>
      </c>
      <c r="R10621" t="s">
        <v>2634</v>
      </c>
      <c r="S10621">
        <v>35</v>
      </c>
      <c r="T10621" s="43" t="str">
        <f t="shared" si="457"/>
        <v>2019.003G.zip</v>
      </c>
      <c r="U10621" s="43" t="str">
        <f>HYPERLINK("https://ictv.global/taxonomy/taxondetails?taxnode_id=202202441","ictv.global=202202441")</f>
        <v>ictv.global=202202441</v>
      </c>
    </row>
    <row r="10622" spans="1:21">
      <c r="A10622">
        <v>10621</v>
      </c>
      <c r="B10622" s="29" t="s">
        <v>4383</v>
      </c>
      <c r="C10622" s="29"/>
      <c r="D10622" s="29" t="s">
        <v>4384</v>
      </c>
      <c r="E10622" s="29"/>
      <c r="F10622" s="29" t="s">
        <v>4414</v>
      </c>
      <c r="G10622" s="29"/>
      <c r="H10622" s="29" t="s">
        <v>4417</v>
      </c>
      <c r="I10622" s="29"/>
      <c r="J10622" s="29" t="s">
        <v>4420</v>
      </c>
      <c r="K10622" s="29"/>
      <c r="L10622" s="29" t="s">
        <v>1301</v>
      </c>
      <c r="M10622" s="29"/>
      <c r="N10622" s="29" t="s">
        <v>1067</v>
      </c>
      <c r="O10622" s="29"/>
      <c r="P10622" s="29" t="s">
        <v>2496</v>
      </c>
      <c r="Q10622" t="s">
        <v>2038</v>
      </c>
      <c r="R10622" t="s">
        <v>2634</v>
      </c>
      <c r="S10622">
        <v>35</v>
      </c>
      <c r="T10622" s="43" t="str">
        <f t="shared" si="457"/>
        <v>2019.003G.zip</v>
      </c>
      <c r="U10622" s="43" t="str">
        <f>HYPERLINK("https://ictv.global/taxonomy/taxondetails?taxnode_id=202202442","ictv.global=202202442")</f>
        <v>ictv.global=202202442</v>
      </c>
    </row>
    <row r="10623" spans="1:21">
      <c r="A10623">
        <v>10622</v>
      </c>
      <c r="B10623" s="29" t="s">
        <v>4383</v>
      </c>
      <c r="C10623" s="29"/>
      <c r="D10623" s="29" t="s">
        <v>4384</v>
      </c>
      <c r="E10623" s="29"/>
      <c r="F10623" s="29" t="s">
        <v>4414</v>
      </c>
      <c r="G10623" s="29"/>
      <c r="H10623" s="29" t="s">
        <v>4417</v>
      </c>
      <c r="I10623" s="29"/>
      <c r="J10623" s="29" t="s">
        <v>4420</v>
      </c>
      <c r="K10623" s="29"/>
      <c r="L10623" s="29" t="s">
        <v>1301</v>
      </c>
      <c r="M10623" s="29"/>
      <c r="N10623" s="29" t="s">
        <v>1067</v>
      </c>
      <c r="O10623" s="29"/>
      <c r="P10623" s="29" t="s">
        <v>2497</v>
      </c>
      <c r="Q10623" t="s">
        <v>2038</v>
      </c>
      <c r="R10623" t="s">
        <v>2634</v>
      </c>
      <c r="S10623">
        <v>35</v>
      </c>
      <c r="T10623" s="43" t="str">
        <f t="shared" si="457"/>
        <v>2019.003G.zip</v>
      </c>
      <c r="U10623" s="43" t="str">
        <f>HYPERLINK("https://ictv.global/taxonomy/taxondetails?taxnode_id=202202443","ictv.global=202202443")</f>
        <v>ictv.global=202202443</v>
      </c>
    </row>
    <row r="10624" spans="1:21">
      <c r="A10624">
        <v>10623</v>
      </c>
      <c r="B10624" s="29" t="s">
        <v>4383</v>
      </c>
      <c r="C10624" s="29"/>
      <c r="D10624" s="29" t="s">
        <v>4384</v>
      </c>
      <c r="E10624" s="29"/>
      <c r="F10624" s="29" t="s">
        <v>4414</v>
      </c>
      <c r="G10624" s="29"/>
      <c r="H10624" s="29" t="s">
        <v>4417</v>
      </c>
      <c r="I10624" s="29"/>
      <c r="J10624" s="29" t="s">
        <v>4420</v>
      </c>
      <c r="K10624" s="29"/>
      <c r="L10624" s="29" t="s">
        <v>1301</v>
      </c>
      <c r="M10624" s="29"/>
      <c r="N10624" s="29" t="s">
        <v>1067</v>
      </c>
      <c r="O10624" s="29"/>
      <c r="P10624" s="29" t="s">
        <v>2498</v>
      </c>
      <c r="Q10624" t="s">
        <v>2038</v>
      </c>
      <c r="R10624" t="s">
        <v>2634</v>
      </c>
      <c r="S10624">
        <v>35</v>
      </c>
      <c r="T10624" s="43" t="str">
        <f t="shared" si="457"/>
        <v>2019.003G.zip</v>
      </c>
      <c r="U10624" s="43" t="str">
        <f>HYPERLINK("https://ictv.global/taxonomy/taxondetails?taxnode_id=202202444","ictv.global=202202444")</f>
        <v>ictv.global=202202444</v>
      </c>
    </row>
    <row r="10625" spans="1:21">
      <c r="A10625">
        <v>10624</v>
      </c>
      <c r="B10625" s="29" t="s">
        <v>4383</v>
      </c>
      <c r="C10625" s="29"/>
      <c r="D10625" s="29" t="s">
        <v>4384</v>
      </c>
      <c r="E10625" s="29"/>
      <c r="F10625" s="29" t="s">
        <v>4414</v>
      </c>
      <c r="G10625" s="29"/>
      <c r="H10625" s="29" t="s">
        <v>4417</v>
      </c>
      <c r="I10625" s="29"/>
      <c r="J10625" s="29" t="s">
        <v>4420</v>
      </c>
      <c r="K10625" s="29"/>
      <c r="L10625" s="29" t="s">
        <v>1301</v>
      </c>
      <c r="M10625" s="29"/>
      <c r="N10625" s="29" t="s">
        <v>1067</v>
      </c>
      <c r="O10625" s="29"/>
      <c r="P10625" s="29" t="s">
        <v>2499</v>
      </c>
      <c r="Q10625" t="s">
        <v>2038</v>
      </c>
      <c r="R10625" t="s">
        <v>2634</v>
      </c>
      <c r="S10625">
        <v>35</v>
      </c>
      <c r="T10625" s="43" t="str">
        <f t="shared" si="457"/>
        <v>2019.003G.zip</v>
      </c>
      <c r="U10625" s="43" t="str">
        <f>HYPERLINK("https://ictv.global/taxonomy/taxondetails?taxnode_id=202202445","ictv.global=202202445")</f>
        <v>ictv.global=202202445</v>
      </c>
    </row>
    <row r="10626" spans="1:21">
      <c r="A10626">
        <v>10625</v>
      </c>
      <c r="B10626" s="29" t="s">
        <v>4383</v>
      </c>
      <c r="C10626" s="29"/>
      <c r="D10626" s="29" t="s">
        <v>4384</v>
      </c>
      <c r="E10626" s="29"/>
      <c r="F10626" s="29" t="s">
        <v>4414</v>
      </c>
      <c r="G10626" s="29"/>
      <c r="H10626" s="29" t="s">
        <v>4417</v>
      </c>
      <c r="I10626" s="29"/>
      <c r="J10626" s="29" t="s">
        <v>4420</v>
      </c>
      <c r="K10626" s="29"/>
      <c r="L10626" s="29" t="s">
        <v>1301</v>
      </c>
      <c r="M10626" s="29"/>
      <c r="N10626" s="29" t="s">
        <v>1067</v>
      </c>
      <c r="O10626" s="29"/>
      <c r="P10626" s="29" t="s">
        <v>2500</v>
      </c>
      <c r="Q10626" t="s">
        <v>2038</v>
      </c>
      <c r="R10626" t="s">
        <v>2634</v>
      </c>
      <c r="S10626">
        <v>35</v>
      </c>
      <c r="T10626" s="43" t="str">
        <f t="shared" si="457"/>
        <v>2019.003G.zip</v>
      </c>
      <c r="U10626" s="43" t="str">
        <f>HYPERLINK("https://ictv.global/taxonomy/taxondetails?taxnode_id=202202446","ictv.global=202202446")</f>
        <v>ictv.global=202202446</v>
      </c>
    </row>
    <row r="10627" spans="1:21">
      <c r="A10627">
        <v>10626</v>
      </c>
      <c r="B10627" s="29" t="s">
        <v>4383</v>
      </c>
      <c r="C10627" s="29"/>
      <c r="D10627" s="29" t="s">
        <v>4384</v>
      </c>
      <c r="E10627" s="29"/>
      <c r="F10627" s="29" t="s">
        <v>4414</v>
      </c>
      <c r="G10627" s="29"/>
      <c r="H10627" s="29" t="s">
        <v>4417</v>
      </c>
      <c r="I10627" s="29"/>
      <c r="J10627" s="29" t="s">
        <v>4420</v>
      </c>
      <c r="K10627" s="29"/>
      <c r="L10627" s="29" t="s">
        <v>1301</v>
      </c>
      <c r="M10627" s="29"/>
      <c r="N10627" s="29" t="s">
        <v>1067</v>
      </c>
      <c r="O10627" s="29"/>
      <c r="P10627" s="29" t="s">
        <v>2761</v>
      </c>
      <c r="Q10627" t="s">
        <v>2038</v>
      </c>
      <c r="R10627" t="s">
        <v>2634</v>
      </c>
      <c r="S10627">
        <v>35</v>
      </c>
      <c r="T10627" s="43" t="str">
        <f t="shared" si="457"/>
        <v>2019.003G.zip</v>
      </c>
      <c r="U10627" s="43" t="str">
        <f>HYPERLINK("https://ictv.global/taxonomy/taxondetails?taxnode_id=202205662","ictv.global=202205662")</f>
        <v>ictv.global=202205662</v>
      </c>
    </row>
    <row r="10628" spans="1:21">
      <c r="A10628">
        <v>10627</v>
      </c>
      <c r="B10628" s="29" t="s">
        <v>4383</v>
      </c>
      <c r="C10628" s="29"/>
      <c r="D10628" s="29" t="s">
        <v>4384</v>
      </c>
      <c r="E10628" s="29"/>
      <c r="F10628" s="29" t="s">
        <v>4414</v>
      </c>
      <c r="G10628" s="29"/>
      <c r="H10628" s="29" t="s">
        <v>4417</v>
      </c>
      <c r="I10628" s="29"/>
      <c r="J10628" s="29" t="s">
        <v>4420</v>
      </c>
      <c r="K10628" s="29"/>
      <c r="L10628" s="29" t="s">
        <v>1301</v>
      </c>
      <c r="M10628" s="29"/>
      <c r="N10628" s="29" t="s">
        <v>1067</v>
      </c>
      <c r="O10628" s="29"/>
      <c r="P10628" s="29" t="s">
        <v>2501</v>
      </c>
      <c r="Q10628" t="s">
        <v>2038</v>
      </c>
      <c r="R10628" t="s">
        <v>2634</v>
      </c>
      <c r="S10628">
        <v>35</v>
      </c>
      <c r="T10628" s="43" t="str">
        <f t="shared" si="457"/>
        <v>2019.003G.zip</v>
      </c>
      <c r="U10628" s="43" t="str">
        <f>HYPERLINK("https://ictv.global/taxonomy/taxondetails?taxnode_id=202202447","ictv.global=202202447")</f>
        <v>ictv.global=202202447</v>
      </c>
    </row>
    <row r="10629" spans="1:21">
      <c r="A10629">
        <v>10628</v>
      </c>
      <c r="B10629" s="29" t="s">
        <v>4383</v>
      </c>
      <c r="C10629" s="29"/>
      <c r="D10629" s="29" t="s">
        <v>4384</v>
      </c>
      <c r="E10629" s="29"/>
      <c r="F10629" s="29" t="s">
        <v>4414</v>
      </c>
      <c r="G10629" s="29"/>
      <c r="H10629" s="29" t="s">
        <v>4417</v>
      </c>
      <c r="I10629" s="29"/>
      <c r="J10629" s="29" t="s">
        <v>4420</v>
      </c>
      <c r="K10629" s="29"/>
      <c r="L10629" s="29" t="s">
        <v>1301</v>
      </c>
      <c r="M10629" s="29"/>
      <c r="N10629" s="29" t="s">
        <v>1067</v>
      </c>
      <c r="O10629" s="29"/>
      <c r="P10629" s="29" t="s">
        <v>2762</v>
      </c>
      <c r="Q10629" t="s">
        <v>2038</v>
      </c>
      <c r="R10629" t="s">
        <v>2634</v>
      </c>
      <c r="S10629">
        <v>35</v>
      </c>
      <c r="T10629" s="43" t="str">
        <f t="shared" si="457"/>
        <v>2019.003G.zip</v>
      </c>
      <c r="U10629" s="43" t="str">
        <f>HYPERLINK("https://ictv.global/taxonomy/taxondetails?taxnode_id=202205663","ictv.global=202205663")</f>
        <v>ictv.global=202205663</v>
      </c>
    </row>
    <row r="10630" spans="1:21">
      <c r="A10630">
        <v>10629</v>
      </c>
      <c r="B10630" s="29" t="s">
        <v>4383</v>
      </c>
      <c r="C10630" s="29"/>
      <c r="D10630" s="29" t="s">
        <v>4384</v>
      </c>
      <c r="E10630" s="29"/>
      <c r="F10630" s="29" t="s">
        <v>4414</v>
      </c>
      <c r="G10630" s="29"/>
      <c r="H10630" s="29" t="s">
        <v>4417</v>
      </c>
      <c r="I10630" s="29"/>
      <c r="J10630" s="29" t="s">
        <v>4420</v>
      </c>
      <c r="K10630" s="29"/>
      <c r="L10630" s="29" t="s">
        <v>1301</v>
      </c>
      <c r="M10630" s="29"/>
      <c r="N10630" s="29" t="s">
        <v>1067</v>
      </c>
      <c r="O10630" s="29"/>
      <c r="P10630" s="29" t="s">
        <v>1776</v>
      </c>
      <c r="Q10630" t="s">
        <v>2038</v>
      </c>
      <c r="R10630" t="s">
        <v>2634</v>
      </c>
      <c r="S10630">
        <v>35</v>
      </c>
      <c r="T10630" s="43" t="str">
        <f t="shared" si="457"/>
        <v>2019.003G.zip</v>
      </c>
      <c r="U10630" s="43" t="str">
        <f>HYPERLINK("https://ictv.global/taxonomy/taxondetails?taxnode_id=202202448","ictv.global=202202448")</f>
        <v>ictv.global=202202448</v>
      </c>
    </row>
    <row r="10631" spans="1:21">
      <c r="A10631">
        <v>10630</v>
      </c>
      <c r="B10631" s="29" t="s">
        <v>4383</v>
      </c>
      <c r="C10631" s="29"/>
      <c r="D10631" s="29" t="s">
        <v>4384</v>
      </c>
      <c r="E10631" s="29"/>
      <c r="F10631" s="29" t="s">
        <v>4414</v>
      </c>
      <c r="G10631" s="29"/>
      <c r="H10631" s="29" t="s">
        <v>4417</v>
      </c>
      <c r="I10631" s="29"/>
      <c r="J10631" s="29" t="s">
        <v>4420</v>
      </c>
      <c r="K10631" s="29"/>
      <c r="L10631" s="29" t="s">
        <v>1301</v>
      </c>
      <c r="M10631" s="29"/>
      <c r="N10631" s="29" t="s">
        <v>544</v>
      </c>
      <c r="O10631" s="29"/>
      <c r="P10631" s="29" t="s">
        <v>1777</v>
      </c>
      <c r="Q10631" t="s">
        <v>2038</v>
      </c>
      <c r="R10631" t="s">
        <v>6901</v>
      </c>
      <c r="S10631">
        <v>36</v>
      </c>
      <c r="T10631" s="43" t="str">
        <f>HYPERLINK("https://ictv.global/ictv/proposals/2020.001G.R.Abolish_type_species.pdf","2020.001G.R.Abolish_type_species.pdf")</f>
        <v>2020.001G.R.Abolish_type_species.pdf</v>
      </c>
      <c r="U10631" s="43" t="str">
        <f>HYPERLINK("https://ictv.global/taxonomy/taxondetails?taxnode_id=202202450","ictv.global=202202450")</f>
        <v>ictv.global=202202450</v>
      </c>
    </row>
    <row r="10632" spans="1:21">
      <c r="A10632">
        <v>10631</v>
      </c>
      <c r="B10632" s="29" t="s">
        <v>4383</v>
      </c>
      <c r="C10632" s="29"/>
      <c r="D10632" s="29" t="s">
        <v>4384</v>
      </c>
      <c r="E10632" s="29"/>
      <c r="F10632" s="29" t="s">
        <v>4414</v>
      </c>
      <c r="G10632" s="29"/>
      <c r="H10632" s="29" t="s">
        <v>4417</v>
      </c>
      <c r="I10632" s="29"/>
      <c r="J10632" s="29" t="s">
        <v>4420</v>
      </c>
      <c r="K10632" s="29"/>
      <c r="L10632" s="29" t="s">
        <v>1301</v>
      </c>
      <c r="M10632" s="29"/>
      <c r="N10632" s="29" t="s">
        <v>544</v>
      </c>
      <c r="O10632" s="29"/>
      <c r="P10632" s="29" t="s">
        <v>1778</v>
      </c>
      <c r="Q10632" t="s">
        <v>2038</v>
      </c>
      <c r="R10632" t="s">
        <v>2634</v>
      </c>
      <c r="S10632">
        <v>35</v>
      </c>
      <c r="T10632" s="43" t="str">
        <f>HYPERLINK("https://ictv.global/ictv/proposals/2019.003G.zip","2019.003G.zip")</f>
        <v>2019.003G.zip</v>
      </c>
      <c r="U10632" s="43" t="str">
        <f>HYPERLINK("https://ictv.global/taxonomy/taxondetails?taxnode_id=202202451","ictv.global=202202451")</f>
        <v>ictv.global=202202451</v>
      </c>
    </row>
    <row r="10633" spans="1:21">
      <c r="A10633">
        <v>10632</v>
      </c>
      <c r="B10633" s="29" t="s">
        <v>4383</v>
      </c>
      <c r="C10633" s="29"/>
      <c r="D10633" s="29" t="s">
        <v>4384</v>
      </c>
      <c r="E10633" s="29"/>
      <c r="F10633" s="29" t="s">
        <v>4414</v>
      </c>
      <c r="G10633" s="29"/>
      <c r="H10633" s="29" t="s">
        <v>4417</v>
      </c>
      <c r="I10633" s="29"/>
      <c r="J10633" s="29" t="s">
        <v>4420</v>
      </c>
      <c r="K10633" s="29"/>
      <c r="L10633" s="29" t="s">
        <v>1301</v>
      </c>
      <c r="M10633" s="29"/>
      <c r="N10633" s="29" t="s">
        <v>544</v>
      </c>
      <c r="O10633" s="29"/>
      <c r="P10633" s="29" t="s">
        <v>2502</v>
      </c>
      <c r="Q10633" t="s">
        <v>2038</v>
      </c>
      <c r="R10633" t="s">
        <v>2634</v>
      </c>
      <c r="S10633">
        <v>35</v>
      </c>
      <c r="T10633" s="43" t="str">
        <f>HYPERLINK("https://ictv.global/ictv/proposals/2019.003G.zip","2019.003G.zip")</f>
        <v>2019.003G.zip</v>
      </c>
      <c r="U10633" s="43" t="str">
        <f>HYPERLINK("https://ictv.global/taxonomy/taxondetails?taxnode_id=202202452","ictv.global=202202452")</f>
        <v>ictv.global=202202452</v>
      </c>
    </row>
    <row r="10634" spans="1:21">
      <c r="A10634">
        <v>10633</v>
      </c>
      <c r="B10634" s="29" t="s">
        <v>4383</v>
      </c>
      <c r="C10634" s="29"/>
      <c r="D10634" s="29" t="s">
        <v>4384</v>
      </c>
      <c r="E10634" s="29"/>
      <c r="F10634" s="29" t="s">
        <v>4414</v>
      </c>
      <c r="G10634" s="29"/>
      <c r="H10634" s="29" t="s">
        <v>4417</v>
      </c>
      <c r="I10634" s="29"/>
      <c r="J10634" s="29" t="s">
        <v>4420</v>
      </c>
      <c r="K10634" s="29"/>
      <c r="L10634" s="29" t="s">
        <v>1301</v>
      </c>
      <c r="M10634" s="29"/>
      <c r="N10634" s="29" t="s">
        <v>544</v>
      </c>
      <c r="O10634" s="29"/>
      <c r="P10634" s="29" t="s">
        <v>6756</v>
      </c>
      <c r="Q10634" t="s">
        <v>2038</v>
      </c>
      <c r="R10634" t="s">
        <v>2632</v>
      </c>
      <c r="S10634">
        <v>36</v>
      </c>
      <c r="T10634" s="43" t="str">
        <f>HYPERLINK("https://ictv.global/ictv/proposals/2020.008D.R.Adenoviridae_1ngen_6nsp.zip","2020.008D.R.Adenoviridae_1ngen_6nsp.zip")</f>
        <v>2020.008D.R.Adenoviridae_1ngen_6nsp.zip</v>
      </c>
      <c r="U10634" s="43" t="str">
        <f>HYPERLINK("https://ictv.global/taxonomy/taxondetails?taxnode_id=202209163","ictv.global=202209163")</f>
        <v>ictv.global=202209163</v>
      </c>
    </row>
    <row r="10635" spans="1:21">
      <c r="A10635">
        <v>10634</v>
      </c>
      <c r="B10635" s="29" t="s">
        <v>4383</v>
      </c>
      <c r="C10635" s="29"/>
      <c r="D10635" s="29" t="s">
        <v>4384</v>
      </c>
      <c r="E10635" s="29"/>
      <c r="F10635" s="29" t="s">
        <v>4414</v>
      </c>
      <c r="G10635" s="29"/>
      <c r="H10635" s="29" t="s">
        <v>4417</v>
      </c>
      <c r="I10635" s="29"/>
      <c r="J10635" s="29" t="s">
        <v>4420</v>
      </c>
      <c r="K10635" s="29"/>
      <c r="L10635" s="29" t="s">
        <v>1301</v>
      </c>
      <c r="M10635" s="29"/>
      <c r="N10635" s="29" t="s">
        <v>544</v>
      </c>
      <c r="O10635" s="29"/>
      <c r="P10635" s="29" t="s">
        <v>6757</v>
      </c>
      <c r="Q10635" t="s">
        <v>2038</v>
      </c>
      <c r="R10635" t="s">
        <v>2632</v>
      </c>
      <c r="S10635">
        <v>36</v>
      </c>
      <c r="T10635" s="43" t="str">
        <f>HYPERLINK("https://ictv.global/ictv/proposals/2020.008D.R.Adenoviridae_1ngen_6nsp.zip","2020.008D.R.Adenoviridae_1ngen_6nsp.zip")</f>
        <v>2020.008D.R.Adenoviridae_1ngen_6nsp.zip</v>
      </c>
      <c r="U10635" s="43" t="str">
        <f>HYPERLINK("https://ictv.global/taxonomy/taxondetails?taxnode_id=202209164","ictv.global=202209164")</f>
        <v>ictv.global=202209164</v>
      </c>
    </row>
    <row r="10636" spans="1:21">
      <c r="A10636">
        <v>10635</v>
      </c>
      <c r="B10636" s="29" t="s">
        <v>4383</v>
      </c>
      <c r="C10636" s="29"/>
      <c r="D10636" s="29" t="s">
        <v>4384</v>
      </c>
      <c r="E10636" s="29"/>
      <c r="F10636" s="29" t="s">
        <v>4414</v>
      </c>
      <c r="G10636" s="29"/>
      <c r="H10636" s="29" t="s">
        <v>4417</v>
      </c>
      <c r="I10636" s="29"/>
      <c r="J10636" s="29" t="s">
        <v>4420</v>
      </c>
      <c r="K10636" s="29"/>
      <c r="L10636" s="29" t="s">
        <v>1301</v>
      </c>
      <c r="M10636" s="29"/>
      <c r="N10636" s="29" t="s">
        <v>544</v>
      </c>
      <c r="O10636" s="29"/>
      <c r="P10636" s="29" t="s">
        <v>1779</v>
      </c>
      <c r="Q10636" t="s">
        <v>2038</v>
      </c>
      <c r="R10636" t="s">
        <v>2634</v>
      </c>
      <c r="S10636">
        <v>35</v>
      </c>
      <c r="T10636" s="43" t="str">
        <f>HYPERLINK("https://ictv.global/ictv/proposals/2019.003G.zip","2019.003G.zip")</f>
        <v>2019.003G.zip</v>
      </c>
      <c r="U10636" s="43" t="str">
        <f>HYPERLINK("https://ictv.global/taxonomy/taxondetails?taxnode_id=202202453","ictv.global=202202453")</f>
        <v>ictv.global=202202453</v>
      </c>
    </row>
    <row r="10637" spans="1:21">
      <c r="A10637">
        <v>10636</v>
      </c>
      <c r="B10637" s="29" t="s">
        <v>4383</v>
      </c>
      <c r="C10637" s="29"/>
      <c r="D10637" s="29" t="s">
        <v>4384</v>
      </c>
      <c r="E10637" s="29"/>
      <c r="F10637" s="29" t="s">
        <v>4414</v>
      </c>
      <c r="G10637" s="29"/>
      <c r="H10637" s="29" t="s">
        <v>4417</v>
      </c>
      <c r="I10637" s="29"/>
      <c r="J10637" s="29" t="s">
        <v>4420</v>
      </c>
      <c r="K10637" s="29"/>
      <c r="L10637" s="29" t="s">
        <v>1301</v>
      </c>
      <c r="M10637" s="29"/>
      <c r="N10637" s="29" t="s">
        <v>544</v>
      </c>
      <c r="O10637" s="29"/>
      <c r="P10637" s="29" t="s">
        <v>1780</v>
      </c>
      <c r="Q10637" t="s">
        <v>2038</v>
      </c>
      <c r="R10637" t="s">
        <v>2634</v>
      </c>
      <c r="S10637">
        <v>35</v>
      </c>
      <c r="T10637" s="43" t="str">
        <f>HYPERLINK("https://ictv.global/ictv/proposals/2019.003G.zip","2019.003G.zip")</f>
        <v>2019.003G.zip</v>
      </c>
      <c r="U10637" s="43" t="str">
        <f>HYPERLINK("https://ictv.global/taxonomy/taxondetails?taxnode_id=202202454","ictv.global=202202454")</f>
        <v>ictv.global=202202454</v>
      </c>
    </row>
    <row r="10638" spans="1:21">
      <c r="A10638">
        <v>10637</v>
      </c>
      <c r="B10638" s="29" t="s">
        <v>4383</v>
      </c>
      <c r="C10638" s="29"/>
      <c r="D10638" s="29" t="s">
        <v>4384</v>
      </c>
      <c r="E10638" s="29"/>
      <c r="F10638" s="29" t="s">
        <v>4414</v>
      </c>
      <c r="G10638" s="29"/>
      <c r="H10638" s="29" t="s">
        <v>4417</v>
      </c>
      <c r="I10638" s="29"/>
      <c r="J10638" s="29" t="s">
        <v>4420</v>
      </c>
      <c r="K10638" s="29"/>
      <c r="L10638" s="29" t="s">
        <v>1301</v>
      </c>
      <c r="M10638" s="29"/>
      <c r="N10638" s="29" t="s">
        <v>544</v>
      </c>
      <c r="O10638" s="29"/>
      <c r="P10638" s="29" t="s">
        <v>1781</v>
      </c>
      <c r="Q10638" t="s">
        <v>2038</v>
      </c>
      <c r="R10638" t="s">
        <v>2634</v>
      </c>
      <c r="S10638">
        <v>35</v>
      </c>
      <c r="T10638" s="43" t="str">
        <f>HYPERLINK("https://ictv.global/ictv/proposals/2019.003G.zip","2019.003G.zip")</f>
        <v>2019.003G.zip</v>
      </c>
      <c r="U10638" s="43" t="str">
        <f>HYPERLINK("https://ictv.global/taxonomy/taxondetails?taxnode_id=202202455","ictv.global=202202455")</f>
        <v>ictv.global=202202455</v>
      </c>
    </row>
    <row r="10639" spans="1:21">
      <c r="A10639">
        <v>10638</v>
      </c>
      <c r="B10639" s="29" t="s">
        <v>4383</v>
      </c>
      <c r="C10639" s="29"/>
      <c r="D10639" s="29" t="s">
        <v>4384</v>
      </c>
      <c r="E10639" s="29"/>
      <c r="F10639" s="29" t="s">
        <v>4414</v>
      </c>
      <c r="G10639" s="29"/>
      <c r="H10639" s="29" t="s">
        <v>4417</v>
      </c>
      <c r="I10639" s="29"/>
      <c r="J10639" s="29" t="s">
        <v>4420</v>
      </c>
      <c r="K10639" s="29"/>
      <c r="L10639" s="29" t="s">
        <v>1301</v>
      </c>
      <c r="M10639" s="29"/>
      <c r="N10639" s="29" t="s">
        <v>6758</v>
      </c>
      <c r="O10639" s="29"/>
      <c r="P10639" s="29" t="s">
        <v>6759</v>
      </c>
      <c r="Q10639" t="s">
        <v>2038</v>
      </c>
      <c r="R10639" t="s">
        <v>2632</v>
      </c>
      <c r="S10639">
        <v>36</v>
      </c>
      <c r="T10639" s="43" t="str">
        <f>HYPERLINK("https://ictv.global/ictv/proposals/2020.008D.R.Adenoviridae_1ngen_6nsp.zip","2020.008D.R.Adenoviridae_1ngen_6nsp.zip")</f>
        <v>2020.008D.R.Adenoviridae_1ngen_6nsp.zip</v>
      </c>
      <c r="U10639" s="43" t="str">
        <f>HYPERLINK("https://ictv.global/taxonomy/taxondetails?taxnode_id=202209166","ictv.global=202209166")</f>
        <v>ictv.global=202209166</v>
      </c>
    </row>
    <row r="10640" spans="1:21">
      <c r="A10640">
        <v>10639</v>
      </c>
      <c r="B10640" s="29" t="s">
        <v>4383</v>
      </c>
      <c r="C10640" s="29"/>
      <c r="D10640" s="29" t="s">
        <v>4384</v>
      </c>
      <c r="E10640" s="29"/>
      <c r="F10640" s="29" t="s">
        <v>4414</v>
      </c>
      <c r="G10640" s="29"/>
      <c r="H10640" s="29" t="s">
        <v>4417</v>
      </c>
      <c r="I10640" s="29"/>
      <c r="J10640" s="29" t="s">
        <v>4427</v>
      </c>
      <c r="K10640" s="29"/>
      <c r="L10640" s="29" t="s">
        <v>1530</v>
      </c>
      <c r="M10640" s="29"/>
      <c r="N10640" s="29" t="s">
        <v>1531</v>
      </c>
      <c r="O10640" s="29"/>
      <c r="P10640" s="29" t="s">
        <v>14484</v>
      </c>
      <c r="Q10640" t="s">
        <v>2038</v>
      </c>
      <c r="R10640" t="s">
        <v>2635</v>
      </c>
      <c r="S10640">
        <v>37</v>
      </c>
      <c r="T10640" s="43" t="str">
        <f>HYPERLINK("https://ictv.global/ictv/proposals/2021.010B.R.Binomial_names.zip","2021.010B.R.Binomial_names.zip")</f>
        <v>2021.010B.R.Binomial_names.zip</v>
      </c>
      <c r="U10640" s="43" t="str">
        <f>HYPERLINK("https://ictv.global/taxonomy/taxondetails?taxnode_id=202206992","ictv.global=202206992")</f>
        <v>ictv.global=202206992</v>
      </c>
    </row>
    <row r="10641" spans="1:21">
      <c r="A10641">
        <v>10640</v>
      </c>
      <c r="B10641" s="29" t="s">
        <v>4383</v>
      </c>
      <c r="C10641" s="29"/>
      <c r="D10641" s="29" t="s">
        <v>4384</v>
      </c>
      <c r="E10641" s="29"/>
      <c r="F10641" s="29" t="s">
        <v>4414</v>
      </c>
      <c r="G10641" s="29"/>
      <c r="H10641" s="29" t="s">
        <v>4417</v>
      </c>
      <c r="I10641" s="29"/>
      <c r="J10641" s="29" t="s">
        <v>4427</v>
      </c>
      <c r="K10641" s="29"/>
      <c r="L10641" s="29" t="s">
        <v>1530</v>
      </c>
      <c r="M10641" s="29"/>
      <c r="N10641" s="29" t="s">
        <v>1531</v>
      </c>
      <c r="O10641" s="29"/>
      <c r="P10641" s="29" t="s">
        <v>14485</v>
      </c>
      <c r="Q10641" t="s">
        <v>2038</v>
      </c>
      <c r="R10641" t="s">
        <v>2635</v>
      </c>
      <c r="S10641">
        <v>37</v>
      </c>
      <c r="T10641" s="43" t="str">
        <f>HYPERLINK("https://ictv.global/ictv/proposals/2021.010B.R.Binomial_names.zip","2021.010B.R.Binomial_names.zip")</f>
        <v>2021.010B.R.Binomial_names.zip</v>
      </c>
      <c r="U10641" s="43" t="str">
        <f>HYPERLINK("https://ictv.global/taxonomy/taxondetails?taxnode_id=202203037","ictv.global=202203037")</f>
        <v>ictv.global=202203037</v>
      </c>
    </row>
    <row r="10642" spans="1:21">
      <c r="A10642">
        <v>10641</v>
      </c>
      <c r="B10642" s="29" t="s">
        <v>4383</v>
      </c>
      <c r="C10642" s="29"/>
      <c r="D10642" s="29" t="s">
        <v>4384</v>
      </c>
      <c r="E10642" s="29"/>
      <c r="F10642" s="29" t="s">
        <v>4414</v>
      </c>
      <c r="G10642" s="29"/>
      <c r="H10642" s="29" t="s">
        <v>4417</v>
      </c>
      <c r="I10642" s="29"/>
      <c r="J10642" s="29"/>
      <c r="K10642" s="29"/>
      <c r="L10642" s="29" t="s">
        <v>6760</v>
      </c>
      <c r="M10642" s="29"/>
      <c r="N10642" s="29" t="s">
        <v>6761</v>
      </c>
      <c r="O10642" s="29"/>
      <c r="P10642" s="29" t="s">
        <v>6762</v>
      </c>
      <c r="Q10642" t="s">
        <v>2038</v>
      </c>
      <c r="R10642" t="s">
        <v>2632</v>
      </c>
      <c r="S10642">
        <v>36</v>
      </c>
      <c r="T10642" s="43" t="str">
        <f>HYPERLINK("https://ictv.global/ictv/proposals/2020.016B.R.Autolykiviridae.zip","2020.016B.R.Autolykiviridae.zip")</f>
        <v>2020.016B.R.Autolykiviridae.zip</v>
      </c>
      <c r="U10642" s="43" t="str">
        <f>HYPERLINK("https://ictv.global/taxonomy/taxondetails?taxnode_id=202209497","ictv.global=202209497")</f>
        <v>ictv.global=202209497</v>
      </c>
    </row>
    <row r="10643" spans="1:21">
      <c r="A10643">
        <v>10642</v>
      </c>
      <c r="B10643" s="29" t="s">
        <v>4383</v>
      </c>
      <c r="C10643" s="29"/>
      <c r="D10643" s="29" t="s">
        <v>4384</v>
      </c>
      <c r="E10643" s="29"/>
      <c r="F10643" s="29" t="s">
        <v>4414</v>
      </c>
      <c r="G10643" s="29"/>
      <c r="H10643" s="29" t="s">
        <v>4417</v>
      </c>
      <c r="I10643" s="29"/>
      <c r="J10643" s="29"/>
      <c r="K10643" s="29"/>
      <c r="L10643" s="29" t="s">
        <v>6760</v>
      </c>
      <c r="M10643" s="29"/>
      <c r="N10643" s="29" t="s">
        <v>6761</v>
      </c>
      <c r="O10643" s="29"/>
      <c r="P10643" s="29" t="s">
        <v>6763</v>
      </c>
      <c r="Q10643" t="s">
        <v>2038</v>
      </c>
      <c r="R10643" t="s">
        <v>2632</v>
      </c>
      <c r="S10643">
        <v>36</v>
      </c>
      <c r="T10643" s="43" t="str">
        <f>HYPERLINK("https://ictv.global/ictv/proposals/2020.016B.R.Autolykiviridae.zip","2020.016B.R.Autolykiviridae.zip")</f>
        <v>2020.016B.R.Autolykiviridae.zip</v>
      </c>
      <c r="U10643" s="43" t="str">
        <f>HYPERLINK("https://ictv.global/taxonomy/taxondetails?taxnode_id=202209495","ictv.global=202209495")</f>
        <v>ictv.global=202209495</v>
      </c>
    </row>
    <row r="10644" spans="1:21">
      <c r="A10644">
        <v>10643</v>
      </c>
      <c r="B10644" s="29" t="s">
        <v>4383</v>
      </c>
      <c r="C10644" s="29"/>
      <c r="D10644" s="29" t="s">
        <v>4384</v>
      </c>
      <c r="E10644" s="29"/>
      <c r="F10644" s="29" t="s">
        <v>4414</v>
      </c>
      <c r="G10644" s="29"/>
      <c r="H10644" s="29" t="s">
        <v>4417</v>
      </c>
      <c r="I10644" s="29"/>
      <c r="J10644" s="29"/>
      <c r="K10644" s="29"/>
      <c r="L10644" s="29" t="s">
        <v>6760</v>
      </c>
      <c r="M10644" s="29"/>
      <c r="N10644" s="29" t="s">
        <v>6764</v>
      </c>
      <c r="O10644" s="29"/>
      <c r="P10644" s="29" t="s">
        <v>6765</v>
      </c>
      <c r="Q10644" t="s">
        <v>2038</v>
      </c>
      <c r="R10644" t="s">
        <v>2632</v>
      </c>
      <c r="S10644">
        <v>36</v>
      </c>
      <c r="T10644" s="43" t="str">
        <f>HYPERLINK("https://ictv.global/ictv/proposals/2020.016B.R.Autolykiviridae.zip","2020.016B.R.Autolykiviridae.zip")</f>
        <v>2020.016B.R.Autolykiviridae.zip</v>
      </c>
      <c r="U10644" s="43" t="str">
        <f>HYPERLINK("https://ictv.global/taxonomy/taxondetails?taxnode_id=202209492","ictv.global=202209492")</f>
        <v>ictv.global=202209492</v>
      </c>
    </row>
    <row r="10645" spans="1:21">
      <c r="A10645">
        <v>10644</v>
      </c>
      <c r="B10645" s="29" t="s">
        <v>4383</v>
      </c>
      <c r="C10645" s="29"/>
      <c r="D10645" s="29" t="s">
        <v>4384</v>
      </c>
      <c r="E10645" s="29"/>
      <c r="F10645" s="29" t="s">
        <v>4414</v>
      </c>
      <c r="G10645" s="29"/>
      <c r="H10645" s="29" t="s">
        <v>4417</v>
      </c>
      <c r="I10645" s="29"/>
      <c r="J10645" s="29"/>
      <c r="K10645" s="29"/>
      <c r="L10645" s="29" t="s">
        <v>6760</v>
      </c>
      <c r="M10645" s="29"/>
      <c r="N10645" s="29" t="s">
        <v>6764</v>
      </c>
      <c r="O10645" s="29"/>
      <c r="P10645" s="29" t="s">
        <v>6766</v>
      </c>
      <c r="Q10645" t="s">
        <v>2038</v>
      </c>
      <c r="R10645" t="s">
        <v>2632</v>
      </c>
      <c r="S10645">
        <v>36</v>
      </c>
      <c r="T10645" s="43" t="str">
        <f>HYPERLINK("https://ictv.global/ictv/proposals/2020.016B.R.Autolykiviridae.zip","2020.016B.R.Autolykiviridae.zip")</f>
        <v>2020.016B.R.Autolykiviridae.zip</v>
      </c>
      <c r="U10645" s="43" t="str">
        <f>HYPERLINK("https://ictv.global/taxonomy/taxondetails?taxnode_id=202209493","ictv.global=202209493")</f>
        <v>ictv.global=202209493</v>
      </c>
    </row>
    <row r="10646" spans="1:21">
      <c r="A10646">
        <v>10645</v>
      </c>
      <c r="B10646" s="29" t="s">
        <v>4383</v>
      </c>
      <c r="C10646" s="29"/>
      <c r="D10646" s="29" t="s">
        <v>4384</v>
      </c>
      <c r="E10646" s="29"/>
      <c r="F10646" s="29" t="s">
        <v>4414</v>
      </c>
      <c r="G10646" s="29"/>
      <c r="H10646" s="29" t="s">
        <v>4417</v>
      </c>
      <c r="I10646" s="29"/>
      <c r="J10646" s="29"/>
      <c r="K10646" s="29"/>
      <c r="L10646" s="29" t="s">
        <v>6760</v>
      </c>
      <c r="M10646" s="29"/>
      <c r="N10646" s="29" t="s">
        <v>6764</v>
      </c>
      <c r="O10646" s="29"/>
      <c r="P10646" s="29" t="s">
        <v>6767</v>
      </c>
      <c r="Q10646" t="s">
        <v>2038</v>
      </c>
      <c r="R10646" t="s">
        <v>2632</v>
      </c>
      <c r="S10646">
        <v>36</v>
      </c>
      <c r="T10646" s="43" t="str">
        <f>HYPERLINK("https://ictv.global/ictv/proposals/2020.016B.R.Autolykiviridae.zip","2020.016B.R.Autolykiviridae.zip")</f>
        <v>2020.016B.R.Autolykiviridae.zip</v>
      </c>
      <c r="U10646" s="43" t="str">
        <f>HYPERLINK("https://ictv.global/taxonomy/taxondetails?taxnode_id=202209494","ictv.global=202209494")</f>
        <v>ictv.global=202209494</v>
      </c>
    </row>
    <row r="10647" spans="1:21">
      <c r="A10647">
        <v>10646</v>
      </c>
      <c r="B10647" s="29" t="s">
        <v>4383</v>
      </c>
      <c r="C10647" s="29"/>
      <c r="D10647" s="29" t="s">
        <v>4384</v>
      </c>
      <c r="E10647" s="29"/>
      <c r="F10647" s="29"/>
      <c r="G10647" s="29"/>
      <c r="H10647" s="29"/>
      <c r="I10647" s="29"/>
      <c r="J10647" s="29"/>
      <c r="K10647" s="29"/>
      <c r="L10647" s="29" t="s">
        <v>14486</v>
      </c>
      <c r="M10647" s="29"/>
      <c r="N10647" s="29" t="s">
        <v>14487</v>
      </c>
      <c r="O10647" s="29"/>
      <c r="P10647" s="29" t="s">
        <v>14488</v>
      </c>
      <c r="Q10647" t="s">
        <v>2038</v>
      </c>
      <c r="R10647" t="s">
        <v>2632</v>
      </c>
      <c r="S10647">
        <v>37</v>
      </c>
      <c r="T10647" s="43" t="str">
        <f>HYPERLINK("https://ictv.global/ictv/proposals/2021.008F.R.Yaraviridae_newfam.zip","2021.008F.R.Yaraviridae_newfam.zip")</f>
        <v>2021.008F.R.Yaraviridae_newfam.zip</v>
      </c>
      <c r="U10647" s="43" t="str">
        <f>HYPERLINK("https://ictv.global/taxonomy/taxondetails?taxnode_id=202212530","ictv.global=202212530")</f>
        <v>ictv.global=202212530</v>
      </c>
    </row>
    <row r="10648" spans="1:21">
      <c r="A10648">
        <v>10647</v>
      </c>
      <c r="B10648" s="29" t="s">
        <v>4383</v>
      </c>
      <c r="C10648" s="29"/>
      <c r="D10648" s="29" t="s">
        <v>4428</v>
      </c>
      <c r="E10648" s="29"/>
      <c r="F10648" s="29" t="s">
        <v>4429</v>
      </c>
      <c r="G10648" s="29"/>
      <c r="H10648" s="29" t="s">
        <v>4430</v>
      </c>
      <c r="I10648" s="29"/>
      <c r="J10648" s="29" t="s">
        <v>4431</v>
      </c>
      <c r="K10648" s="29"/>
      <c r="L10648" s="29" t="s">
        <v>6768</v>
      </c>
      <c r="M10648" s="29"/>
      <c r="N10648" s="29" t="s">
        <v>6769</v>
      </c>
      <c r="O10648" s="29"/>
      <c r="P10648" s="29" t="s">
        <v>6770</v>
      </c>
      <c r="Q10648" t="s">
        <v>2038</v>
      </c>
      <c r="R10648" t="s">
        <v>2633</v>
      </c>
      <c r="S10648">
        <v>36</v>
      </c>
      <c r="T10648" s="43" t="str">
        <f>HYPERLINK("https://ictv.global/ictv/proposals/2020.100B.R.Matsushitaviridae.zip","2020.100B.R.Matsushitaviridae.zip")</f>
        <v>2020.100B.R.Matsushitaviridae.zip</v>
      </c>
      <c r="U10648" s="43" t="str">
        <f>HYPERLINK("https://ictv.global/taxonomy/taxondetails?taxnode_id=202205064","ictv.global=202205064")</f>
        <v>ictv.global=202205064</v>
      </c>
    </row>
    <row r="10649" spans="1:21">
      <c r="A10649">
        <v>10648</v>
      </c>
      <c r="B10649" s="29" t="s">
        <v>4383</v>
      </c>
      <c r="C10649" s="29"/>
      <c r="D10649" s="29" t="s">
        <v>4428</v>
      </c>
      <c r="E10649" s="29"/>
      <c r="F10649" s="29" t="s">
        <v>4429</v>
      </c>
      <c r="G10649" s="29"/>
      <c r="H10649" s="29" t="s">
        <v>4430</v>
      </c>
      <c r="I10649" s="29"/>
      <c r="J10649" s="29" t="s">
        <v>4431</v>
      </c>
      <c r="K10649" s="29"/>
      <c r="L10649" s="29" t="s">
        <v>6768</v>
      </c>
      <c r="M10649" s="29"/>
      <c r="N10649" s="29" t="s">
        <v>6769</v>
      </c>
      <c r="O10649" s="29"/>
      <c r="P10649" s="29" t="s">
        <v>14489</v>
      </c>
      <c r="Q10649" t="s">
        <v>2038</v>
      </c>
      <c r="R10649" t="s">
        <v>2635</v>
      </c>
      <c r="S10649">
        <v>37</v>
      </c>
      <c r="T10649" s="43" t="str">
        <f>HYPERLINK("https://ictv.global/ictv/proposals/2021.010B.R.Binomial_names.zip","2021.010B.R.Binomial_names.zip")</f>
        <v>2021.010B.R.Binomial_names.zip</v>
      </c>
      <c r="U10649" s="43" t="str">
        <f>HYPERLINK("https://ictv.global/taxonomy/taxondetails?taxnode_id=202205065","ictv.global=202205065")</f>
        <v>ictv.global=202205065</v>
      </c>
    </row>
    <row r="10650" spans="1:21">
      <c r="A10650">
        <v>10649</v>
      </c>
      <c r="B10650" s="29" t="s">
        <v>4383</v>
      </c>
      <c r="C10650" s="29"/>
      <c r="D10650" s="29" t="s">
        <v>4428</v>
      </c>
      <c r="E10650" s="29"/>
      <c r="F10650" s="29" t="s">
        <v>4429</v>
      </c>
      <c r="G10650" s="29"/>
      <c r="H10650" s="29" t="s">
        <v>4430</v>
      </c>
      <c r="I10650" s="29"/>
      <c r="J10650" s="29" t="s">
        <v>4431</v>
      </c>
      <c r="K10650" s="29"/>
      <c r="L10650" s="29" t="s">
        <v>6771</v>
      </c>
      <c r="M10650" s="29"/>
      <c r="N10650" s="29" t="s">
        <v>6772</v>
      </c>
      <c r="O10650" s="29"/>
      <c r="P10650" s="29" t="s">
        <v>6773</v>
      </c>
      <c r="Q10650" t="s">
        <v>2038</v>
      </c>
      <c r="R10650" t="s">
        <v>2632</v>
      </c>
      <c r="S10650">
        <v>36</v>
      </c>
      <c r="T10650" s="43" t="str">
        <f>HYPERLINK("https://ictv.global/ictv/proposals/2020.151B.R.Simuloviridae.zip","2020.151B.R.Simuloviridae.zip")</f>
        <v>2020.151B.R.Simuloviridae.zip</v>
      </c>
      <c r="U10650" s="43" t="str">
        <f>HYPERLINK("https://ictv.global/taxonomy/taxondetails?taxnode_id=202211861","ictv.global=202211861")</f>
        <v>ictv.global=202211861</v>
      </c>
    </row>
    <row r="10651" spans="1:21">
      <c r="A10651">
        <v>10650</v>
      </c>
      <c r="B10651" s="29" t="s">
        <v>4383</v>
      </c>
      <c r="C10651" s="29"/>
      <c r="D10651" s="29" t="s">
        <v>4428</v>
      </c>
      <c r="E10651" s="29"/>
      <c r="F10651" s="29" t="s">
        <v>4429</v>
      </c>
      <c r="G10651" s="29"/>
      <c r="H10651" s="29" t="s">
        <v>4430</v>
      </c>
      <c r="I10651" s="29"/>
      <c r="J10651" s="29" t="s">
        <v>4431</v>
      </c>
      <c r="K10651" s="29"/>
      <c r="L10651" s="29" t="s">
        <v>6771</v>
      </c>
      <c r="M10651" s="29"/>
      <c r="N10651" s="29" t="s">
        <v>6772</v>
      </c>
      <c r="O10651" s="29"/>
      <c r="P10651" s="29" t="s">
        <v>6774</v>
      </c>
      <c r="Q10651" t="s">
        <v>2038</v>
      </c>
      <c r="R10651" t="s">
        <v>2632</v>
      </c>
      <c r="S10651">
        <v>36</v>
      </c>
      <c r="T10651" s="43" t="str">
        <f>HYPERLINK("https://ictv.global/ictv/proposals/2020.151B.R.Simuloviridae.zip","2020.151B.R.Simuloviridae.zip")</f>
        <v>2020.151B.R.Simuloviridae.zip</v>
      </c>
      <c r="U10651" s="43" t="str">
        <f>HYPERLINK("https://ictv.global/taxonomy/taxondetails?taxnode_id=202211860","ictv.global=202211860")</f>
        <v>ictv.global=202211860</v>
      </c>
    </row>
    <row r="10652" spans="1:21">
      <c r="A10652">
        <v>10651</v>
      </c>
      <c r="B10652" s="29" t="s">
        <v>4383</v>
      </c>
      <c r="C10652" s="29"/>
      <c r="D10652" s="29" t="s">
        <v>4428</v>
      </c>
      <c r="E10652" s="29"/>
      <c r="F10652" s="29" t="s">
        <v>4429</v>
      </c>
      <c r="G10652" s="29"/>
      <c r="H10652" s="29" t="s">
        <v>4430</v>
      </c>
      <c r="I10652" s="29"/>
      <c r="J10652" s="29" t="s">
        <v>4431</v>
      </c>
      <c r="K10652" s="29"/>
      <c r="L10652" s="29" t="s">
        <v>6771</v>
      </c>
      <c r="M10652" s="29"/>
      <c r="N10652" s="29" t="s">
        <v>6772</v>
      </c>
      <c r="O10652" s="29"/>
      <c r="P10652" s="29" t="s">
        <v>6775</v>
      </c>
      <c r="Q10652" t="s">
        <v>2038</v>
      </c>
      <c r="R10652" t="s">
        <v>6900</v>
      </c>
      <c r="S10652">
        <v>36</v>
      </c>
      <c r="T10652" s="43" t="str">
        <f>HYPERLINK("https://ictv.global/ictv/proposals/2020.151B.R.Simuloviridae.zip","2020.151B.R.Simuloviridae.zip;2020.001G.R.Abolish_type_species.pdf")</f>
        <v>2020.151B.R.Simuloviridae.zip;2020.001G.R.Abolish_type_species.pdf</v>
      </c>
      <c r="U10652" s="43" t="str">
        <f>HYPERLINK("https://ictv.global/taxonomy/taxondetails?taxnode_id=202205062","ictv.global=202205062")</f>
        <v>ictv.global=202205062</v>
      </c>
    </row>
    <row r="10653" spans="1:21">
      <c r="A10653">
        <v>10652</v>
      </c>
      <c r="B10653" s="29" t="s">
        <v>4383</v>
      </c>
      <c r="C10653" s="29"/>
      <c r="D10653" s="29" t="s">
        <v>4428</v>
      </c>
      <c r="E10653" s="29"/>
      <c r="F10653" s="29" t="s">
        <v>4429</v>
      </c>
      <c r="G10653" s="29"/>
      <c r="H10653" s="29" t="s">
        <v>4430</v>
      </c>
      <c r="I10653" s="29"/>
      <c r="J10653" s="29" t="s">
        <v>4431</v>
      </c>
      <c r="K10653" s="29"/>
      <c r="L10653" s="29" t="s">
        <v>2034</v>
      </c>
      <c r="M10653" s="29"/>
      <c r="N10653" s="29" t="s">
        <v>2035</v>
      </c>
      <c r="O10653" s="29"/>
      <c r="P10653" s="29" t="s">
        <v>14490</v>
      </c>
      <c r="Q10653" t="s">
        <v>2038</v>
      </c>
      <c r="R10653" t="s">
        <v>2635</v>
      </c>
      <c r="S10653">
        <v>37</v>
      </c>
      <c r="T10653" s="43" t="str">
        <f>HYPERLINK("https://ictv.global/ictv/proposals/2021.002A.R.Sphaerolipoviridae_species_renaming.zip","2021.002A.R.Sphaerolipoviridae_species_renaming.zip")</f>
        <v>2021.002A.R.Sphaerolipoviridae_species_renaming.zip</v>
      </c>
      <c r="U10653" s="43" t="str">
        <f>HYPERLINK("https://ictv.global/taxonomy/taxondetails?taxnode_id=202205060","ictv.global=202205060")</f>
        <v>ictv.global=202205060</v>
      </c>
    </row>
    <row r="10654" spans="1:21">
      <c r="A10654">
        <v>10653</v>
      </c>
      <c r="B10654" s="29" t="s">
        <v>4383</v>
      </c>
      <c r="C10654" s="29"/>
      <c r="D10654" s="29" t="s">
        <v>4428</v>
      </c>
      <c r="E10654" s="29"/>
      <c r="F10654" s="29" t="s">
        <v>4429</v>
      </c>
      <c r="G10654" s="29"/>
      <c r="H10654" s="29" t="s">
        <v>4430</v>
      </c>
      <c r="I10654" s="29"/>
      <c r="J10654" s="29" t="s">
        <v>4431</v>
      </c>
      <c r="K10654" s="29"/>
      <c r="L10654" s="29" t="s">
        <v>2034</v>
      </c>
      <c r="M10654" s="29"/>
      <c r="N10654" s="29" t="s">
        <v>2035</v>
      </c>
      <c r="O10654" s="29"/>
      <c r="P10654" s="29" t="s">
        <v>14491</v>
      </c>
      <c r="Q10654" t="s">
        <v>2038</v>
      </c>
      <c r="R10654" t="s">
        <v>2635</v>
      </c>
      <c r="S10654">
        <v>37</v>
      </c>
      <c r="T10654" s="43" t="str">
        <f>HYPERLINK("https://ictv.global/ictv/proposals/2021.002A.R.Sphaerolipoviridae_species_renaming.zip","2021.002A.R.Sphaerolipoviridae_species_renaming.zip")</f>
        <v>2021.002A.R.Sphaerolipoviridae_species_renaming.zip</v>
      </c>
      <c r="U10654" s="43" t="str">
        <f>HYPERLINK("https://ictv.global/taxonomy/taxondetails?taxnode_id=202205057","ictv.global=202205057")</f>
        <v>ictv.global=202205057</v>
      </c>
    </row>
    <row r="10655" spans="1:21">
      <c r="A10655">
        <v>10654</v>
      </c>
      <c r="B10655" s="29" t="s">
        <v>4383</v>
      </c>
      <c r="C10655" s="29"/>
      <c r="D10655" s="29" t="s">
        <v>4428</v>
      </c>
      <c r="E10655" s="29"/>
      <c r="F10655" s="29" t="s">
        <v>4429</v>
      </c>
      <c r="G10655" s="29"/>
      <c r="H10655" s="29" t="s">
        <v>4430</v>
      </c>
      <c r="I10655" s="29"/>
      <c r="J10655" s="29" t="s">
        <v>4431</v>
      </c>
      <c r="K10655" s="29"/>
      <c r="L10655" s="29" t="s">
        <v>2034</v>
      </c>
      <c r="M10655" s="29"/>
      <c r="N10655" s="29" t="s">
        <v>2035</v>
      </c>
      <c r="O10655" s="29"/>
      <c r="P10655" s="29" t="s">
        <v>14492</v>
      </c>
      <c r="Q10655" t="s">
        <v>2038</v>
      </c>
      <c r="R10655" t="s">
        <v>2635</v>
      </c>
      <c r="S10655">
        <v>37</v>
      </c>
      <c r="T10655" s="43" t="str">
        <f>HYPERLINK("https://ictv.global/ictv/proposals/2021.002A.R.Sphaerolipoviridae_species_renaming.zip","2021.002A.R.Sphaerolipoviridae_species_renaming.zip")</f>
        <v>2021.002A.R.Sphaerolipoviridae_species_renaming.zip</v>
      </c>
      <c r="U10655" s="43" t="str">
        <f>HYPERLINK("https://ictv.global/taxonomy/taxondetails?taxnode_id=202205058","ictv.global=202205058")</f>
        <v>ictv.global=202205058</v>
      </c>
    </row>
    <row r="10656" spans="1:21">
      <c r="A10656">
        <v>10655</v>
      </c>
      <c r="B10656" s="29" t="s">
        <v>4383</v>
      </c>
      <c r="C10656" s="29"/>
      <c r="D10656" s="29" t="s">
        <v>4428</v>
      </c>
      <c r="E10656" s="29"/>
      <c r="F10656" s="29" t="s">
        <v>4429</v>
      </c>
      <c r="G10656" s="29"/>
      <c r="H10656" s="29" t="s">
        <v>4430</v>
      </c>
      <c r="I10656" s="29"/>
      <c r="J10656" s="29" t="s">
        <v>4431</v>
      </c>
      <c r="K10656" s="29"/>
      <c r="L10656" s="29" t="s">
        <v>2034</v>
      </c>
      <c r="M10656" s="29"/>
      <c r="N10656" s="29" t="s">
        <v>2035</v>
      </c>
      <c r="O10656" s="29"/>
      <c r="P10656" s="29" t="s">
        <v>14493</v>
      </c>
      <c r="Q10656" t="s">
        <v>2038</v>
      </c>
      <c r="R10656" t="s">
        <v>2635</v>
      </c>
      <c r="S10656">
        <v>37</v>
      </c>
      <c r="T10656" s="43" t="str">
        <f>HYPERLINK("https://ictv.global/ictv/proposals/2021.002A.R.Sphaerolipoviridae_species_renaming.zip","2021.002A.R.Sphaerolipoviridae_species_renaming.zip")</f>
        <v>2021.002A.R.Sphaerolipoviridae_species_renaming.zip</v>
      </c>
      <c r="U10656" s="43" t="str">
        <f>HYPERLINK("https://ictv.global/taxonomy/taxondetails?taxnode_id=202205059","ictv.global=202205059")</f>
        <v>ictv.global=202205059</v>
      </c>
    </row>
    <row r="10657" spans="1:21">
      <c r="A10657">
        <v>10656</v>
      </c>
      <c r="B10657" s="29"/>
      <c r="C10657" s="29"/>
      <c r="D10657" s="29"/>
      <c r="E10657" s="29"/>
      <c r="F10657" s="29"/>
      <c r="G10657" s="29"/>
      <c r="H10657" s="29" t="s">
        <v>6776</v>
      </c>
      <c r="I10657" s="29"/>
      <c r="J10657" s="29" t="s">
        <v>6777</v>
      </c>
      <c r="K10657" s="29"/>
      <c r="L10657" s="29" t="s">
        <v>1286</v>
      </c>
      <c r="M10657" s="29"/>
      <c r="N10657" s="29" t="s">
        <v>1287</v>
      </c>
      <c r="O10657" s="29"/>
      <c r="P10657" s="29" t="s">
        <v>14494</v>
      </c>
      <c r="Q10657" t="s">
        <v>2038</v>
      </c>
      <c r="R10657" t="s">
        <v>2635</v>
      </c>
      <c r="S10657">
        <v>38</v>
      </c>
      <c r="T10657" s="43" t="str">
        <f>HYPERLINK("https://ictv.global/ictv/proposals/2022.003D.Lefavirales_106rensp.zip","2022.003D.Lefavirales_106rensp.zip")</f>
        <v>2022.003D.Lefavirales_106rensp.zip</v>
      </c>
      <c r="U10657" s="43" t="str">
        <f>HYPERLINK("https://ictv.global/taxonomy/taxondetails?taxnode_id=202202657","ictv.global=202202657")</f>
        <v>ictv.global=202202657</v>
      </c>
    </row>
    <row r="10658" spans="1:21">
      <c r="A10658">
        <v>10657</v>
      </c>
      <c r="B10658" s="29"/>
      <c r="C10658" s="29"/>
      <c r="D10658" s="29"/>
      <c r="E10658" s="29"/>
      <c r="F10658" s="29"/>
      <c r="G10658" s="29"/>
      <c r="H10658" s="29" t="s">
        <v>6776</v>
      </c>
      <c r="I10658" s="29"/>
      <c r="J10658" s="29" t="s">
        <v>6777</v>
      </c>
      <c r="K10658" s="29"/>
      <c r="L10658" s="29" t="s">
        <v>1286</v>
      </c>
      <c r="M10658" s="29"/>
      <c r="N10658" s="29" t="s">
        <v>1287</v>
      </c>
      <c r="O10658" s="29"/>
      <c r="P10658" s="29" t="s">
        <v>14495</v>
      </c>
      <c r="Q10658" t="s">
        <v>2038</v>
      </c>
      <c r="R10658" t="s">
        <v>2635</v>
      </c>
      <c r="S10658">
        <v>38</v>
      </c>
      <c r="T10658" s="43" t="str">
        <f>HYPERLINK("https://ictv.global/ictv/proposals/2022.003D.Lefavirales_106rensp.zip","2022.003D.Lefavirales_106rensp.zip")</f>
        <v>2022.003D.Lefavirales_106rensp.zip</v>
      </c>
      <c r="U10658" s="43" t="str">
        <f>HYPERLINK("https://ictv.global/taxonomy/taxondetails?taxnode_id=202202658","ictv.global=202202658")</f>
        <v>ictv.global=202202658</v>
      </c>
    </row>
    <row r="10659" spans="1:21">
      <c r="A10659">
        <v>10658</v>
      </c>
      <c r="B10659" s="29"/>
      <c r="C10659" s="29"/>
      <c r="D10659" s="29"/>
      <c r="E10659" s="29"/>
      <c r="F10659" s="29"/>
      <c r="G10659" s="29"/>
      <c r="H10659" s="29" t="s">
        <v>6776</v>
      </c>
      <c r="I10659" s="29"/>
      <c r="J10659" s="29" t="s">
        <v>6777</v>
      </c>
      <c r="K10659" s="29"/>
      <c r="L10659" s="29" t="s">
        <v>1286</v>
      </c>
      <c r="M10659" s="29"/>
      <c r="N10659" s="29" t="s">
        <v>1287</v>
      </c>
      <c r="O10659" s="29"/>
      <c r="P10659" s="29" t="s">
        <v>14496</v>
      </c>
      <c r="Q10659" t="s">
        <v>2038</v>
      </c>
      <c r="R10659" t="s">
        <v>2635</v>
      </c>
      <c r="S10659">
        <v>38</v>
      </c>
      <c r="T10659" s="43" t="str">
        <f>HYPERLINK("https://ictv.global/ictv/proposals/2022.003D.Lefavirales_106rensp.zip","2022.003D.Lefavirales_106rensp.zip")</f>
        <v>2022.003D.Lefavirales_106rensp.zip</v>
      </c>
      <c r="U10659" s="43" t="str">
        <f>HYPERLINK("https://ictv.global/taxonomy/taxondetails?taxnode_id=202202659","ictv.global=202202659")</f>
        <v>ictv.global=202202659</v>
      </c>
    </row>
    <row r="10660" spans="1:21">
      <c r="A10660">
        <v>10659</v>
      </c>
      <c r="B10660" s="29"/>
      <c r="C10660" s="29"/>
      <c r="D10660" s="29"/>
      <c r="E10660" s="29"/>
      <c r="F10660" s="29"/>
      <c r="G10660" s="29"/>
      <c r="H10660" s="29" t="s">
        <v>6776</v>
      </c>
      <c r="I10660" s="29"/>
      <c r="J10660" s="29" t="s">
        <v>6777</v>
      </c>
      <c r="K10660" s="29"/>
      <c r="L10660" s="29" t="s">
        <v>1286</v>
      </c>
      <c r="M10660" s="29"/>
      <c r="N10660" s="29" t="s">
        <v>1287</v>
      </c>
      <c r="O10660" s="29"/>
      <c r="P10660" s="29" t="s">
        <v>14497</v>
      </c>
      <c r="Q10660" t="s">
        <v>2038</v>
      </c>
      <c r="R10660" t="s">
        <v>2635</v>
      </c>
      <c r="S10660">
        <v>38</v>
      </c>
      <c r="T10660" s="43" t="str">
        <f>HYPERLINK("https://ictv.global/ictv/proposals/2022.003D.Lefavirales_106rensp.zip","2022.003D.Lefavirales_106rensp.zip")</f>
        <v>2022.003D.Lefavirales_106rensp.zip</v>
      </c>
      <c r="U10660" s="43" t="str">
        <f>HYPERLINK("https://ictv.global/taxonomy/taxondetails?taxnode_id=202202660","ictv.global=202202660")</f>
        <v>ictv.global=202202660</v>
      </c>
    </row>
    <row r="10661" spans="1:21">
      <c r="A10661">
        <v>10660</v>
      </c>
      <c r="B10661" s="29"/>
      <c r="C10661" s="29"/>
      <c r="D10661" s="29"/>
      <c r="E10661" s="29"/>
      <c r="F10661" s="29"/>
      <c r="G10661" s="29"/>
      <c r="H10661" s="29" t="s">
        <v>6776</v>
      </c>
      <c r="I10661" s="29"/>
      <c r="J10661" s="29" t="s">
        <v>6777</v>
      </c>
      <c r="K10661" s="29"/>
      <c r="L10661" s="29" t="s">
        <v>1286</v>
      </c>
      <c r="M10661" s="29"/>
      <c r="N10661" s="29" t="s">
        <v>1287</v>
      </c>
      <c r="O10661" s="29"/>
      <c r="P10661" s="29" t="s">
        <v>14498</v>
      </c>
      <c r="Q10661" t="s">
        <v>2038</v>
      </c>
      <c r="R10661" t="s">
        <v>2635</v>
      </c>
      <c r="S10661">
        <v>38</v>
      </c>
      <c r="T10661" s="43" t="str">
        <f>HYPERLINK("https://ictv.global/ictv/proposals/2022.003D.Lefavirales_106rensp.zip","2022.003D.Lefavirales_106rensp.zip")</f>
        <v>2022.003D.Lefavirales_106rensp.zip</v>
      </c>
      <c r="U10661" s="43" t="str">
        <f>HYPERLINK("https://ictv.global/taxonomy/taxondetails?taxnode_id=202202667","ictv.global=202202667")</f>
        <v>ictv.global=202202667</v>
      </c>
    </row>
    <row r="10662" spans="1:21">
      <c r="A10662">
        <v>10661</v>
      </c>
      <c r="B10662" s="29"/>
      <c r="C10662" s="29"/>
      <c r="D10662" s="29"/>
      <c r="E10662" s="29"/>
      <c r="F10662" s="29"/>
      <c r="G10662" s="29"/>
      <c r="H10662" s="29" t="s">
        <v>6776</v>
      </c>
      <c r="I10662" s="29"/>
      <c r="J10662" s="29" t="s">
        <v>6777</v>
      </c>
      <c r="K10662" s="29"/>
      <c r="L10662" s="29" t="s">
        <v>1286</v>
      </c>
      <c r="M10662" s="29"/>
      <c r="N10662" s="29" t="s">
        <v>1287</v>
      </c>
      <c r="O10662" s="29"/>
      <c r="P10662" s="29" t="s">
        <v>14499</v>
      </c>
      <c r="Q10662" t="s">
        <v>2038</v>
      </c>
      <c r="R10662" t="s">
        <v>2632</v>
      </c>
      <c r="S10662">
        <v>38</v>
      </c>
      <c r="T10662" s="43" t="str">
        <f>HYPERLINK("https://ictv.global/ictv/proposals/2022.004D.Baculoviridae_6nsp.zip","2022.004D.Baculoviridae_6nsp.zip")</f>
        <v>2022.004D.Baculoviridae_6nsp.zip</v>
      </c>
      <c r="U10662" s="43" t="str">
        <f>HYPERLINK("https://ictv.global/taxonomy/taxondetails?taxnode_id=202214022","ictv.global=202214022")</f>
        <v>ictv.global=202214022</v>
      </c>
    </row>
    <row r="10663" spans="1:21">
      <c r="A10663">
        <v>10662</v>
      </c>
      <c r="B10663" s="29"/>
      <c r="C10663" s="29"/>
      <c r="D10663" s="29"/>
      <c r="E10663" s="29"/>
      <c r="F10663" s="29"/>
      <c r="G10663" s="29"/>
      <c r="H10663" s="29" t="s">
        <v>6776</v>
      </c>
      <c r="I10663" s="29"/>
      <c r="J10663" s="29" t="s">
        <v>6777</v>
      </c>
      <c r="K10663" s="29"/>
      <c r="L10663" s="29" t="s">
        <v>1286</v>
      </c>
      <c r="M10663" s="29"/>
      <c r="N10663" s="29" t="s">
        <v>1287</v>
      </c>
      <c r="O10663" s="29"/>
      <c r="P10663" s="29" t="s">
        <v>14500</v>
      </c>
      <c r="Q10663" t="s">
        <v>2038</v>
      </c>
      <c r="R10663" t="s">
        <v>2635</v>
      </c>
      <c r="S10663">
        <v>38</v>
      </c>
      <c r="T10663" s="43" t="str">
        <f t="shared" ref="T10663:T10685" si="458">HYPERLINK("https://ictv.global/ictv/proposals/2022.003D.Lefavirales_106rensp.zip","2022.003D.Lefavirales_106rensp.zip")</f>
        <v>2022.003D.Lefavirales_106rensp.zip</v>
      </c>
      <c r="U10663" s="43" t="str">
        <f>HYPERLINK("https://ictv.global/taxonomy/taxondetails?taxnode_id=202202685","ictv.global=202202685")</f>
        <v>ictv.global=202202685</v>
      </c>
    </row>
    <row r="10664" spans="1:21">
      <c r="A10664">
        <v>10663</v>
      </c>
      <c r="B10664" s="29"/>
      <c r="C10664" s="29"/>
      <c r="D10664" s="29"/>
      <c r="E10664" s="29"/>
      <c r="F10664" s="29"/>
      <c r="G10664" s="29"/>
      <c r="H10664" s="29" t="s">
        <v>6776</v>
      </c>
      <c r="I10664" s="29"/>
      <c r="J10664" s="29" t="s">
        <v>6777</v>
      </c>
      <c r="K10664" s="29"/>
      <c r="L10664" s="29" t="s">
        <v>1286</v>
      </c>
      <c r="M10664" s="29"/>
      <c r="N10664" s="29" t="s">
        <v>1287</v>
      </c>
      <c r="O10664" s="29"/>
      <c r="P10664" s="29" t="s">
        <v>14501</v>
      </c>
      <c r="Q10664" t="s">
        <v>2038</v>
      </c>
      <c r="R10664" t="s">
        <v>2635</v>
      </c>
      <c r="S10664">
        <v>38</v>
      </c>
      <c r="T10664" s="43" t="str">
        <f t="shared" si="458"/>
        <v>2022.003D.Lefavirales_106rensp.zip</v>
      </c>
      <c r="U10664" s="43" t="str">
        <f>HYPERLINK("https://ictv.global/taxonomy/taxondetails?taxnode_id=202208665","ictv.global=202208665")</f>
        <v>ictv.global=202208665</v>
      </c>
    </row>
    <row r="10665" spans="1:21">
      <c r="A10665">
        <v>10664</v>
      </c>
      <c r="B10665" s="29"/>
      <c r="C10665" s="29"/>
      <c r="D10665" s="29"/>
      <c r="E10665" s="29"/>
      <c r="F10665" s="29"/>
      <c r="G10665" s="29"/>
      <c r="H10665" s="29" t="s">
        <v>6776</v>
      </c>
      <c r="I10665" s="29"/>
      <c r="J10665" s="29" t="s">
        <v>6777</v>
      </c>
      <c r="K10665" s="29"/>
      <c r="L10665" s="29" t="s">
        <v>1286</v>
      </c>
      <c r="M10665" s="29"/>
      <c r="N10665" s="29" t="s">
        <v>1287</v>
      </c>
      <c r="O10665" s="29"/>
      <c r="P10665" s="29" t="s">
        <v>14502</v>
      </c>
      <c r="Q10665" t="s">
        <v>2038</v>
      </c>
      <c r="R10665" t="s">
        <v>2635</v>
      </c>
      <c r="S10665">
        <v>38</v>
      </c>
      <c r="T10665" s="43" t="str">
        <f t="shared" si="458"/>
        <v>2022.003D.Lefavirales_106rensp.zip</v>
      </c>
      <c r="U10665" s="43" t="str">
        <f>HYPERLINK("https://ictv.global/taxonomy/taxondetails?taxnode_id=202213428","ictv.global=202213428")</f>
        <v>ictv.global=202213428</v>
      </c>
    </row>
    <row r="10666" spans="1:21">
      <c r="A10666">
        <v>10665</v>
      </c>
      <c r="B10666" s="29"/>
      <c r="C10666" s="29"/>
      <c r="D10666" s="29"/>
      <c r="E10666" s="29"/>
      <c r="F10666" s="29"/>
      <c r="G10666" s="29"/>
      <c r="H10666" s="29" t="s">
        <v>6776</v>
      </c>
      <c r="I10666" s="29"/>
      <c r="J10666" s="29" t="s">
        <v>6777</v>
      </c>
      <c r="K10666" s="29"/>
      <c r="L10666" s="29" t="s">
        <v>1286</v>
      </c>
      <c r="M10666" s="29"/>
      <c r="N10666" s="29" t="s">
        <v>1287</v>
      </c>
      <c r="O10666" s="29"/>
      <c r="P10666" s="29" t="s">
        <v>14503</v>
      </c>
      <c r="Q10666" t="s">
        <v>2038</v>
      </c>
      <c r="R10666" t="s">
        <v>2635</v>
      </c>
      <c r="S10666">
        <v>38</v>
      </c>
      <c r="T10666" s="43" t="str">
        <f t="shared" si="458"/>
        <v>2022.003D.Lefavirales_106rensp.zip</v>
      </c>
      <c r="U10666" s="43" t="str">
        <f>HYPERLINK("https://ictv.global/taxonomy/taxondetails?taxnode_id=202208720","ictv.global=202208720")</f>
        <v>ictv.global=202208720</v>
      </c>
    </row>
    <row r="10667" spans="1:21">
      <c r="A10667">
        <v>10666</v>
      </c>
      <c r="B10667" s="29"/>
      <c r="C10667" s="29"/>
      <c r="D10667" s="29"/>
      <c r="E10667" s="29"/>
      <c r="F10667" s="29"/>
      <c r="G10667" s="29"/>
      <c r="H10667" s="29" t="s">
        <v>6776</v>
      </c>
      <c r="I10667" s="29"/>
      <c r="J10667" s="29" t="s">
        <v>6777</v>
      </c>
      <c r="K10667" s="29"/>
      <c r="L10667" s="29" t="s">
        <v>1286</v>
      </c>
      <c r="M10667" s="29"/>
      <c r="N10667" s="29" t="s">
        <v>1287</v>
      </c>
      <c r="O10667" s="29"/>
      <c r="P10667" s="29" t="s">
        <v>14504</v>
      </c>
      <c r="Q10667" t="s">
        <v>2038</v>
      </c>
      <c r="R10667" t="s">
        <v>2635</v>
      </c>
      <c r="S10667">
        <v>38</v>
      </c>
      <c r="T10667" s="43" t="str">
        <f t="shared" si="458"/>
        <v>2022.003D.Lefavirales_106rensp.zip</v>
      </c>
      <c r="U10667" s="43" t="str">
        <f>HYPERLINK("https://ictv.global/taxonomy/taxondetails?taxnode_id=202202662","ictv.global=202202662")</f>
        <v>ictv.global=202202662</v>
      </c>
    </row>
    <row r="10668" spans="1:21">
      <c r="A10668">
        <v>10667</v>
      </c>
      <c r="B10668" s="29"/>
      <c r="C10668" s="29"/>
      <c r="D10668" s="29"/>
      <c r="E10668" s="29"/>
      <c r="F10668" s="29"/>
      <c r="G10668" s="29"/>
      <c r="H10668" s="29" t="s">
        <v>6776</v>
      </c>
      <c r="I10668" s="29"/>
      <c r="J10668" s="29" t="s">
        <v>6777</v>
      </c>
      <c r="K10668" s="29"/>
      <c r="L10668" s="29" t="s">
        <v>1286</v>
      </c>
      <c r="M10668" s="29"/>
      <c r="N10668" s="29" t="s">
        <v>1287</v>
      </c>
      <c r="O10668" s="29"/>
      <c r="P10668" s="29" t="s">
        <v>14505</v>
      </c>
      <c r="Q10668" t="s">
        <v>2038</v>
      </c>
      <c r="R10668" t="s">
        <v>2635</v>
      </c>
      <c r="S10668">
        <v>38</v>
      </c>
      <c r="T10668" s="43" t="str">
        <f t="shared" si="458"/>
        <v>2022.003D.Lefavirales_106rensp.zip</v>
      </c>
      <c r="U10668" s="43" t="str">
        <f>HYPERLINK("https://ictv.global/taxonomy/taxondetails?taxnode_id=202202661","ictv.global=202202661")</f>
        <v>ictv.global=202202661</v>
      </c>
    </row>
    <row r="10669" spans="1:21">
      <c r="A10669">
        <v>10668</v>
      </c>
      <c r="B10669" s="29"/>
      <c r="C10669" s="29"/>
      <c r="D10669" s="29"/>
      <c r="E10669" s="29"/>
      <c r="F10669" s="29"/>
      <c r="G10669" s="29"/>
      <c r="H10669" s="29" t="s">
        <v>6776</v>
      </c>
      <c r="I10669" s="29"/>
      <c r="J10669" s="29" t="s">
        <v>6777</v>
      </c>
      <c r="K10669" s="29"/>
      <c r="L10669" s="29" t="s">
        <v>1286</v>
      </c>
      <c r="M10669" s="29"/>
      <c r="N10669" s="29" t="s">
        <v>1287</v>
      </c>
      <c r="O10669" s="29"/>
      <c r="P10669" s="29" t="s">
        <v>14506</v>
      </c>
      <c r="Q10669" t="s">
        <v>2038</v>
      </c>
      <c r="R10669" t="s">
        <v>2635</v>
      </c>
      <c r="S10669">
        <v>38</v>
      </c>
      <c r="T10669" s="43" t="str">
        <f t="shared" si="458"/>
        <v>2022.003D.Lefavirales_106rensp.zip</v>
      </c>
      <c r="U10669" s="43" t="str">
        <f>HYPERLINK("https://ictv.global/taxonomy/taxondetails?taxnode_id=202213425","ictv.global=202213425")</f>
        <v>ictv.global=202213425</v>
      </c>
    </row>
    <row r="10670" spans="1:21">
      <c r="A10670">
        <v>10669</v>
      </c>
      <c r="B10670" s="29"/>
      <c r="C10670" s="29"/>
      <c r="D10670" s="29"/>
      <c r="E10670" s="29"/>
      <c r="F10670" s="29"/>
      <c r="G10670" s="29"/>
      <c r="H10670" s="29" t="s">
        <v>6776</v>
      </c>
      <c r="I10670" s="29"/>
      <c r="J10670" s="29" t="s">
        <v>6777</v>
      </c>
      <c r="K10670" s="29"/>
      <c r="L10670" s="29" t="s">
        <v>1286</v>
      </c>
      <c r="M10670" s="29"/>
      <c r="N10670" s="29" t="s">
        <v>1287</v>
      </c>
      <c r="O10670" s="29"/>
      <c r="P10670" s="29" t="s">
        <v>18174</v>
      </c>
      <c r="Q10670" t="s">
        <v>2038</v>
      </c>
      <c r="R10670" t="s">
        <v>2635</v>
      </c>
      <c r="S10670">
        <v>38.200000000000003</v>
      </c>
      <c r="T10670" s="43" t="str">
        <f>HYPERLINK("https://ictv.global/ictv/proposals/2023.001D.Correction_Alphabaculovirus.zip","2023.001D.Correction_Alphabaculovirus.zip")</f>
        <v>2023.001D.Correction_Alphabaculovirus.zip</v>
      </c>
      <c r="U10670" s="43" t="str">
        <f>HYPERLINK("https://ictv.global/taxonomy/taxondetails?taxnode_id=202202663","ictv.global=202202663")</f>
        <v>ictv.global=202202663</v>
      </c>
    </row>
    <row r="10671" spans="1:21">
      <c r="A10671">
        <v>10670</v>
      </c>
      <c r="B10671" s="29"/>
      <c r="C10671" s="29"/>
      <c r="D10671" s="29"/>
      <c r="E10671" s="29"/>
      <c r="F10671" s="29"/>
      <c r="G10671" s="29"/>
      <c r="H10671" s="29" t="s">
        <v>6776</v>
      </c>
      <c r="I10671" s="29"/>
      <c r="J10671" s="29" t="s">
        <v>6777</v>
      </c>
      <c r="K10671" s="29"/>
      <c r="L10671" s="29" t="s">
        <v>1286</v>
      </c>
      <c r="M10671" s="29"/>
      <c r="N10671" s="29" t="s">
        <v>1287</v>
      </c>
      <c r="O10671" s="29"/>
      <c r="P10671" s="29" t="s">
        <v>14507</v>
      </c>
      <c r="Q10671" t="s">
        <v>2038</v>
      </c>
      <c r="R10671" t="s">
        <v>2635</v>
      </c>
      <c r="S10671">
        <v>38</v>
      </c>
      <c r="T10671" s="43" t="str">
        <f t="shared" si="458"/>
        <v>2022.003D.Lefavirales_106rensp.zip</v>
      </c>
      <c r="U10671" s="43" t="str">
        <f>HYPERLINK("https://ictv.global/taxonomy/taxondetails?taxnode_id=202202664","ictv.global=202202664")</f>
        <v>ictv.global=202202664</v>
      </c>
    </row>
    <row r="10672" spans="1:21">
      <c r="A10672">
        <v>10671</v>
      </c>
      <c r="B10672" s="29"/>
      <c r="C10672" s="29"/>
      <c r="D10672" s="29"/>
      <c r="E10672" s="29"/>
      <c r="F10672" s="29"/>
      <c r="G10672" s="29"/>
      <c r="H10672" s="29" t="s">
        <v>6776</v>
      </c>
      <c r="I10672" s="29"/>
      <c r="J10672" s="29" t="s">
        <v>6777</v>
      </c>
      <c r="K10672" s="29"/>
      <c r="L10672" s="29" t="s">
        <v>1286</v>
      </c>
      <c r="M10672" s="29"/>
      <c r="N10672" s="29" t="s">
        <v>1287</v>
      </c>
      <c r="O10672" s="29"/>
      <c r="P10672" s="29" t="s">
        <v>14508</v>
      </c>
      <c r="Q10672" t="s">
        <v>2038</v>
      </c>
      <c r="R10672" t="s">
        <v>2635</v>
      </c>
      <c r="S10672">
        <v>38</v>
      </c>
      <c r="T10672" s="43" t="str">
        <f t="shared" si="458"/>
        <v>2022.003D.Lefavirales_106rensp.zip</v>
      </c>
      <c r="U10672" s="43" t="str">
        <f>HYPERLINK("https://ictv.global/taxonomy/taxondetails?taxnode_id=202202665","ictv.global=202202665")</f>
        <v>ictv.global=202202665</v>
      </c>
    </row>
    <row r="10673" spans="1:21">
      <c r="A10673">
        <v>10672</v>
      </c>
      <c r="B10673" s="29"/>
      <c r="C10673" s="29"/>
      <c r="D10673" s="29"/>
      <c r="E10673" s="29"/>
      <c r="F10673" s="29"/>
      <c r="G10673" s="29"/>
      <c r="H10673" s="29" t="s">
        <v>6776</v>
      </c>
      <c r="I10673" s="29"/>
      <c r="J10673" s="29" t="s">
        <v>6777</v>
      </c>
      <c r="K10673" s="29"/>
      <c r="L10673" s="29" t="s">
        <v>1286</v>
      </c>
      <c r="M10673" s="29"/>
      <c r="N10673" s="29" t="s">
        <v>1287</v>
      </c>
      <c r="O10673" s="29"/>
      <c r="P10673" s="29" t="s">
        <v>14509</v>
      </c>
      <c r="Q10673" t="s">
        <v>2038</v>
      </c>
      <c r="R10673" t="s">
        <v>2635</v>
      </c>
      <c r="S10673">
        <v>38</v>
      </c>
      <c r="T10673" s="43" t="str">
        <f t="shared" si="458"/>
        <v>2022.003D.Lefavirales_106rensp.zip</v>
      </c>
      <c r="U10673" s="43" t="str">
        <f>HYPERLINK("https://ictv.global/taxonomy/taxondetails?taxnode_id=202202666","ictv.global=202202666")</f>
        <v>ictv.global=202202666</v>
      </c>
    </row>
    <row r="10674" spans="1:21">
      <c r="A10674">
        <v>10673</v>
      </c>
      <c r="B10674" s="29"/>
      <c r="C10674" s="29"/>
      <c r="D10674" s="29"/>
      <c r="E10674" s="29"/>
      <c r="F10674" s="29"/>
      <c r="G10674" s="29"/>
      <c r="H10674" s="29" t="s">
        <v>6776</v>
      </c>
      <c r="I10674" s="29"/>
      <c r="J10674" s="29" t="s">
        <v>6777</v>
      </c>
      <c r="K10674" s="29"/>
      <c r="L10674" s="29" t="s">
        <v>1286</v>
      </c>
      <c r="M10674" s="29"/>
      <c r="N10674" s="29" t="s">
        <v>1287</v>
      </c>
      <c r="O10674" s="29"/>
      <c r="P10674" s="29" t="s">
        <v>14510</v>
      </c>
      <c r="Q10674" t="s">
        <v>2038</v>
      </c>
      <c r="R10674" t="s">
        <v>2635</v>
      </c>
      <c r="S10674">
        <v>38</v>
      </c>
      <c r="T10674" s="43" t="str">
        <f t="shared" si="458"/>
        <v>2022.003D.Lefavirales_106rensp.zip</v>
      </c>
      <c r="U10674" s="43" t="str">
        <f>HYPERLINK("https://ictv.global/taxonomy/taxondetails?taxnode_id=202202668","ictv.global=202202668")</f>
        <v>ictv.global=202202668</v>
      </c>
    </row>
    <row r="10675" spans="1:21">
      <c r="A10675">
        <v>10674</v>
      </c>
      <c r="B10675" s="29"/>
      <c r="C10675" s="29"/>
      <c r="D10675" s="29"/>
      <c r="E10675" s="29"/>
      <c r="F10675" s="29"/>
      <c r="G10675" s="29"/>
      <c r="H10675" s="29" t="s">
        <v>6776</v>
      </c>
      <c r="I10675" s="29"/>
      <c r="J10675" s="29" t="s">
        <v>6777</v>
      </c>
      <c r="K10675" s="29"/>
      <c r="L10675" s="29" t="s">
        <v>1286</v>
      </c>
      <c r="M10675" s="29"/>
      <c r="N10675" s="29" t="s">
        <v>1287</v>
      </c>
      <c r="O10675" s="29"/>
      <c r="P10675" s="29" t="s">
        <v>14511</v>
      </c>
      <c r="Q10675" t="s">
        <v>2038</v>
      </c>
      <c r="R10675" t="s">
        <v>2635</v>
      </c>
      <c r="S10675">
        <v>38</v>
      </c>
      <c r="T10675" s="43" t="str">
        <f t="shared" si="458"/>
        <v>2022.003D.Lefavirales_106rensp.zip</v>
      </c>
      <c r="U10675" s="43" t="str">
        <f>HYPERLINK("https://ictv.global/taxonomy/taxondetails?taxnode_id=202202669","ictv.global=202202669")</f>
        <v>ictv.global=202202669</v>
      </c>
    </row>
    <row r="10676" spans="1:21">
      <c r="A10676">
        <v>10675</v>
      </c>
      <c r="B10676" s="29"/>
      <c r="C10676" s="29"/>
      <c r="D10676" s="29"/>
      <c r="E10676" s="29"/>
      <c r="F10676" s="29"/>
      <c r="G10676" s="29"/>
      <c r="H10676" s="29" t="s">
        <v>6776</v>
      </c>
      <c r="I10676" s="29"/>
      <c r="J10676" s="29" t="s">
        <v>6777</v>
      </c>
      <c r="K10676" s="29"/>
      <c r="L10676" s="29" t="s">
        <v>1286</v>
      </c>
      <c r="M10676" s="29"/>
      <c r="N10676" s="29" t="s">
        <v>1287</v>
      </c>
      <c r="O10676" s="29"/>
      <c r="P10676" s="29" t="s">
        <v>14512</v>
      </c>
      <c r="Q10676" t="s">
        <v>2038</v>
      </c>
      <c r="R10676" t="s">
        <v>2635</v>
      </c>
      <c r="S10676">
        <v>38</v>
      </c>
      <c r="T10676" s="43" t="str">
        <f t="shared" si="458"/>
        <v>2022.003D.Lefavirales_106rensp.zip</v>
      </c>
      <c r="U10676" s="43" t="str">
        <f>HYPERLINK("https://ictv.global/taxonomy/taxondetails?taxnode_id=202202670","ictv.global=202202670")</f>
        <v>ictv.global=202202670</v>
      </c>
    </row>
    <row r="10677" spans="1:21">
      <c r="A10677">
        <v>10676</v>
      </c>
      <c r="B10677" s="29"/>
      <c r="C10677" s="29"/>
      <c r="D10677" s="29"/>
      <c r="E10677" s="29"/>
      <c r="F10677" s="29"/>
      <c r="G10677" s="29"/>
      <c r="H10677" s="29" t="s">
        <v>6776</v>
      </c>
      <c r="I10677" s="29"/>
      <c r="J10677" s="29" t="s">
        <v>6777</v>
      </c>
      <c r="K10677" s="29"/>
      <c r="L10677" s="29" t="s">
        <v>1286</v>
      </c>
      <c r="M10677" s="29"/>
      <c r="N10677" s="29" t="s">
        <v>1287</v>
      </c>
      <c r="O10677" s="29"/>
      <c r="P10677" s="29" t="s">
        <v>14513</v>
      </c>
      <c r="Q10677" t="s">
        <v>2038</v>
      </c>
      <c r="R10677" t="s">
        <v>2635</v>
      </c>
      <c r="S10677">
        <v>38</v>
      </c>
      <c r="T10677" s="43" t="str">
        <f t="shared" si="458"/>
        <v>2022.003D.Lefavirales_106rensp.zip</v>
      </c>
      <c r="U10677" s="43" t="str">
        <f>HYPERLINK("https://ictv.global/taxonomy/taxondetails?taxnode_id=202202672","ictv.global=202202672")</f>
        <v>ictv.global=202202672</v>
      </c>
    </row>
    <row r="10678" spans="1:21">
      <c r="A10678">
        <v>10677</v>
      </c>
      <c r="B10678" s="29"/>
      <c r="C10678" s="29"/>
      <c r="D10678" s="29"/>
      <c r="E10678" s="29"/>
      <c r="F10678" s="29"/>
      <c r="G10678" s="29"/>
      <c r="H10678" s="29" t="s">
        <v>6776</v>
      </c>
      <c r="I10678" s="29"/>
      <c r="J10678" s="29" t="s">
        <v>6777</v>
      </c>
      <c r="K10678" s="29"/>
      <c r="L10678" s="29" t="s">
        <v>1286</v>
      </c>
      <c r="M10678" s="29"/>
      <c r="N10678" s="29" t="s">
        <v>1287</v>
      </c>
      <c r="O10678" s="29"/>
      <c r="P10678" s="29" t="s">
        <v>14514</v>
      </c>
      <c r="Q10678" t="s">
        <v>2038</v>
      </c>
      <c r="R10678" t="s">
        <v>2635</v>
      </c>
      <c r="S10678">
        <v>38</v>
      </c>
      <c r="T10678" s="43" t="str">
        <f t="shared" si="458"/>
        <v>2022.003D.Lefavirales_106rensp.zip</v>
      </c>
      <c r="U10678" s="43" t="str">
        <f>HYPERLINK("https://ictv.global/taxonomy/taxondetails?taxnode_id=202202671","ictv.global=202202671")</f>
        <v>ictv.global=202202671</v>
      </c>
    </row>
    <row r="10679" spans="1:21">
      <c r="A10679">
        <v>10678</v>
      </c>
      <c r="B10679" s="29"/>
      <c r="C10679" s="29"/>
      <c r="D10679" s="29"/>
      <c r="E10679" s="29"/>
      <c r="F10679" s="29"/>
      <c r="G10679" s="29"/>
      <c r="H10679" s="29" t="s">
        <v>6776</v>
      </c>
      <c r="I10679" s="29"/>
      <c r="J10679" s="29" t="s">
        <v>6777</v>
      </c>
      <c r="K10679" s="29"/>
      <c r="L10679" s="29" t="s">
        <v>1286</v>
      </c>
      <c r="M10679" s="29"/>
      <c r="N10679" s="29" t="s">
        <v>1287</v>
      </c>
      <c r="O10679" s="29"/>
      <c r="P10679" s="29" t="s">
        <v>14515</v>
      </c>
      <c r="Q10679" t="s">
        <v>2038</v>
      </c>
      <c r="R10679" t="s">
        <v>2635</v>
      </c>
      <c r="S10679">
        <v>38</v>
      </c>
      <c r="T10679" s="43" t="str">
        <f t="shared" si="458"/>
        <v>2022.003D.Lefavirales_106rensp.zip</v>
      </c>
      <c r="U10679" s="43" t="str">
        <f>HYPERLINK("https://ictv.global/taxonomy/taxondetails?taxnode_id=202202673","ictv.global=202202673")</f>
        <v>ictv.global=202202673</v>
      </c>
    </row>
    <row r="10680" spans="1:21">
      <c r="A10680">
        <v>10679</v>
      </c>
      <c r="B10680" s="29"/>
      <c r="C10680" s="29"/>
      <c r="D10680" s="29"/>
      <c r="E10680" s="29"/>
      <c r="F10680" s="29"/>
      <c r="G10680" s="29"/>
      <c r="H10680" s="29" t="s">
        <v>6776</v>
      </c>
      <c r="I10680" s="29"/>
      <c r="J10680" s="29" t="s">
        <v>6777</v>
      </c>
      <c r="K10680" s="29"/>
      <c r="L10680" s="29" t="s">
        <v>1286</v>
      </c>
      <c r="M10680" s="29"/>
      <c r="N10680" s="29" t="s">
        <v>1287</v>
      </c>
      <c r="O10680" s="29"/>
      <c r="P10680" s="29" t="s">
        <v>14516</v>
      </c>
      <c r="Q10680" t="s">
        <v>2038</v>
      </c>
      <c r="R10680" t="s">
        <v>2635</v>
      </c>
      <c r="S10680">
        <v>38</v>
      </c>
      <c r="T10680" s="43" t="str">
        <f t="shared" si="458"/>
        <v>2022.003D.Lefavirales_106rensp.zip</v>
      </c>
      <c r="U10680" s="43" t="str">
        <f>HYPERLINK("https://ictv.global/taxonomy/taxondetails?taxnode_id=202208661","ictv.global=202208661")</f>
        <v>ictv.global=202208661</v>
      </c>
    </row>
    <row r="10681" spans="1:21">
      <c r="A10681">
        <v>10680</v>
      </c>
      <c r="B10681" s="29"/>
      <c r="C10681" s="29"/>
      <c r="D10681" s="29"/>
      <c r="E10681" s="29"/>
      <c r="F10681" s="29"/>
      <c r="G10681" s="29"/>
      <c r="H10681" s="29" t="s">
        <v>6776</v>
      </c>
      <c r="I10681" s="29"/>
      <c r="J10681" s="29" t="s">
        <v>6777</v>
      </c>
      <c r="K10681" s="29"/>
      <c r="L10681" s="29" t="s">
        <v>1286</v>
      </c>
      <c r="M10681" s="29"/>
      <c r="N10681" s="29" t="s">
        <v>1287</v>
      </c>
      <c r="O10681" s="29"/>
      <c r="P10681" s="29" t="s">
        <v>14517</v>
      </c>
      <c r="Q10681" t="s">
        <v>2038</v>
      </c>
      <c r="R10681" t="s">
        <v>2635</v>
      </c>
      <c r="S10681">
        <v>38</v>
      </c>
      <c r="T10681" s="43" t="str">
        <f t="shared" si="458"/>
        <v>2022.003D.Lefavirales_106rensp.zip</v>
      </c>
      <c r="U10681" s="43" t="str">
        <f>HYPERLINK("https://ictv.global/taxonomy/taxondetails?taxnode_id=202208662","ictv.global=202208662")</f>
        <v>ictv.global=202208662</v>
      </c>
    </row>
    <row r="10682" spans="1:21">
      <c r="A10682">
        <v>10681</v>
      </c>
      <c r="B10682" s="29"/>
      <c r="C10682" s="29"/>
      <c r="D10682" s="29"/>
      <c r="E10682" s="29"/>
      <c r="F10682" s="29"/>
      <c r="G10682" s="29"/>
      <c r="H10682" s="29" t="s">
        <v>6776</v>
      </c>
      <c r="I10682" s="29"/>
      <c r="J10682" s="29" t="s">
        <v>6777</v>
      </c>
      <c r="K10682" s="29"/>
      <c r="L10682" s="29" t="s">
        <v>1286</v>
      </c>
      <c r="M10682" s="29"/>
      <c r="N10682" s="29" t="s">
        <v>1287</v>
      </c>
      <c r="O10682" s="29"/>
      <c r="P10682" s="29" t="s">
        <v>14518</v>
      </c>
      <c r="Q10682" t="s">
        <v>2038</v>
      </c>
      <c r="R10682" t="s">
        <v>2635</v>
      </c>
      <c r="S10682">
        <v>38</v>
      </c>
      <c r="T10682" s="43" t="str">
        <f t="shared" si="458"/>
        <v>2022.003D.Lefavirales_106rensp.zip</v>
      </c>
      <c r="U10682" s="43" t="str">
        <f>HYPERLINK("https://ictv.global/taxonomy/taxondetails?taxnode_id=202208663","ictv.global=202208663")</f>
        <v>ictv.global=202208663</v>
      </c>
    </row>
    <row r="10683" spans="1:21">
      <c r="A10683">
        <v>10682</v>
      </c>
      <c r="B10683" s="29"/>
      <c r="C10683" s="29"/>
      <c r="D10683" s="29"/>
      <c r="E10683" s="29"/>
      <c r="F10683" s="29"/>
      <c r="G10683" s="29"/>
      <c r="H10683" s="29" t="s">
        <v>6776</v>
      </c>
      <c r="I10683" s="29"/>
      <c r="J10683" s="29" t="s">
        <v>6777</v>
      </c>
      <c r="K10683" s="29"/>
      <c r="L10683" s="29" t="s">
        <v>1286</v>
      </c>
      <c r="M10683" s="29"/>
      <c r="N10683" s="29" t="s">
        <v>1287</v>
      </c>
      <c r="O10683" s="29"/>
      <c r="P10683" s="29" t="s">
        <v>14519</v>
      </c>
      <c r="Q10683" t="s">
        <v>2038</v>
      </c>
      <c r="R10683" t="s">
        <v>2635</v>
      </c>
      <c r="S10683">
        <v>38</v>
      </c>
      <c r="T10683" s="43" t="str">
        <f t="shared" si="458"/>
        <v>2022.003D.Lefavirales_106rensp.zip</v>
      </c>
      <c r="U10683" s="43" t="str">
        <f>HYPERLINK("https://ictv.global/taxonomy/taxondetails?taxnode_id=202213426","ictv.global=202213426")</f>
        <v>ictv.global=202213426</v>
      </c>
    </row>
    <row r="10684" spans="1:21">
      <c r="A10684">
        <v>10683</v>
      </c>
      <c r="B10684" s="29"/>
      <c r="C10684" s="29"/>
      <c r="D10684" s="29"/>
      <c r="E10684" s="29"/>
      <c r="F10684" s="29"/>
      <c r="G10684" s="29"/>
      <c r="H10684" s="29" t="s">
        <v>6776</v>
      </c>
      <c r="I10684" s="29"/>
      <c r="J10684" s="29" t="s">
        <v>6777</v>
      </c>
      <c r="K10684" s="29"/>
      <c r="L10684" s="29" t="s">
        <v>1286</v>
      </c>
      <c r="M10684" s="29"/>
      <c r="N10684" s="29" t="s">
        <v>1287</v>
      </c>
      <c r="O10684" s="29"/>
      <c r="P10684" s="29" t="s">
        <v>14520</v>
      </c>
      <c r="Q10684" t="s">
        <v>2038</v>
      </c>
      <c r="R10684" t="s">
        <v>2635</v>
      </c>
      <c r="S10684">
        <v>38</v>
      </c>
      <c r="T10684" s="43" t="str">
        <f t="shared" si="458"/>
        <v>2022.003D.Lefavirales_106rensp.zip</v>
      </c>
      <c r="U10684" s="43" t="str">
        <f>HYPERLINK("https://ictv.global/taxonomy/taxondetails?taxnode_id=202202674","ictv.global=202202674")</f>
        <v>ictv.global=202202674</v>
      </c>
    </row>
    <row r="10685" spans="1:21">
      <c r="A10685">
        <v>10684</v>
      </c>
      <c r="B10685" s="29"/>
      <c r="C10685" s="29"/>
      <c r="D10685" s="29"/>
      <c r="E10685" s="29"/>
      <c r="F10685" s="29"/>
      <c r="G10685" s="29"/>
      <c r="H10685" s="29" t="s">
        <v>6776</v>
      </c>
      <c r="I10685" s="29"/>
      <c r="J10685" s="29" t="s">
        <v>6777</v>
      </c>
      <c r="K10685" s="29"/>
      <c r="L10685" s="29" t="s">
        <v>1286</v>
      </c>
      <c r="M10685" s="29"/>
      <c r="N10685" s="29" t="s">
        <v>1287</v>
      </c>
      <c r="O10685" s="29"/>
      <c r="P10685" s="29" t="s">
        <v>14521</v>
      </c>
      <c r="Q10685" t="s">
        <v>2038</v>
      </c>
      <c r="R10685" t="s">
        <v>2635</v>
      </c>
      <c r="S10685">
        <v>38</v>
      </c>
      <c r="T10685" s="43" t="str">
        <f t="shared" si="458"/>
        <v>2022.003D.Lefavirales_106rensp.zip</v>
      </c>
      <c r="U10685" s="43" t="str">
        <f>HYPERLINK("https://ictv.global/taxonomy/taxondetails?taxnode_id=202202675","ictv.global=202202675")</f>
        <v>ictv.global=202202675</v>
      </c>
    </row>
    <row r="10686" spans="1:21">
      <c r="A10686">
        <v>10685</v>
      </c>
      <c r="B10686" s="29"/>
      <c r="C10686" s="29"/>
      <c r="D10686" s="29"/>
      <c r="E10686" s="29"/>
      <c r="F10686" s="29"/>
      <c r="G10686" s="29"/>
      <c r="H10686" s="29" t="s">
        <v>6776</v>
      </c>
      <c r="I10686" s="29"/>
      <c r="J10686" s="29" t="s">
        <v>6777</v>
      </c>
      <c r="K10686" s="29"/>
      <c r="L10686" s="29" t="s">
        <v>1286</v>
      </c>
      <c r="M10686" s="29"/>
      <c r="N10686" s="29" t="s">
        <v>1287</v>
      </c>
      <c r="O10686" s="29"/>
      <c r="P10686" s="29" t="s">
        <v>14522</v>
      </c>
      <c r="Q10686" t="s">
        <v>2038</v>
      </c>
      <c r="R10686" t="s">
        <v>2632</v>
      </c>
      <c r="S10686">
        <v>38</v>
      </c>
      <c r="T10686" s="43" t="str">
        <f>HYPERLINK("https://ictv.global/ictv/proposals/2022.004D.Baculoviridae_6nsp.zip","2022.004D.Baculoviridae_6nsp.zip")</f>
        <v>2022.004D.Baculoviridae_6nsp.zip</v>
      </c>
      <c r="U10686" s="43" t="str">
        <f>HYPERLINK("https://ictv.global/taxonomy/taxondetails?taxnode_id=202214023","ictv.global=202214023")</f>
        <v>ictv.global=202214023</v>
      </c>
    </row>
    <row r="10687" spans="1:21">
      <c r="A10687">
        <v>10686</v>
      </c>
      <c r="B10687" s="29"/>
      <c r="C10687" s="29"/>
      <c r="D10687" s="29"/>
      <c r="E10687" s="29"/>
      <c r="F10687" s="29"/>
      <c r="G10687" s="29"/>
      <c r="H10687" s="29" t="s">
        <v>6776</v>
      </c>
      <c r="I10687" s="29"/>
      <c r="J10687" s="29" t="s">
        <v>6777</v>
      </c>
      <c r="K10687" s="29"/>
      <c r="L10687" s="29" t="s">
        <v>1286</v>
      </c>
      <c r="M10687" s="29"/>
      <c r="N10687" s="29" t="s">
        <v>1287</v>
      </c>
      <c r="O10687" s="29"/>
      <c r="P10687" s="29" t="s">
        <v>14523</v>
      </c>
      <c r="Q10687" t="s">
        <v>2038</v>
      </c>
      <c r="R10687" t="s">
        <v>2635</v>
      </c>
      <c r="S10687">
        <v>38</v>
      </c>
      <c r="T10687" s="43" t="str">
        <f t="shared" ref="T10687:T10700" si="459">HYPERLINK("https://ictv.global/ictv/proposals/2022.003D.Lefavirales_106rensp.zip","2022.003D.Lefavirales_106rensp.zip")</f>
        <v>2022.003D.Lefavirales_106rensp.zip</v>
      </c>
      <c r="U10687" s="43" t="str">
        <f>HYPERLINK("https://ictv.global/taxonomy/taxondetails?taxnode_id=202202676","ictv.global=202202676")</f>
        <v>ictv.global=202202676</v>
      </c>
    </row>
    <row r="10688" spans="1:21">
      <c r="A10688">
        <v>10687</v>
      </c>
      <c r="B10688" s="29"/>
      <c r="C10688" s="29"/>
      <c r="D10688" s="29"/>
      <c r="E10688" s="29"/>
      <c r="F10688" s="29"/>
      <c r="G10688" s="29"/>
      <c r="H10688" s="29" t="s">
        <v>6776</v>
      </c>
      <c r="I10688" s="29"/>
      <c r="J10688" s="29" t="s">
        <v>6777</v>
      </c>
      <c r="K10688" s="29"/>
      <c r="L10688" s="29" t="s">
        <v>1286</v>
      </c>
      <c r="M10688" s="29"/>
      <c r="N10688" s="29" t="s">
        <v>1287</v>
      </c>
      <c r="O10688" s="29"/>
      <c r="P10688" s="29" t="s">
        <v>14524</v>
      </c>
      <c r="Q10688" t="s">
        <v>2038</v>
      </c>
      <c r="R10688" t="s">
        <v>2635</v>
      </c>
      <c r="S10688">
        <v>38</v>
      </c>
      <c r="T10688" s="43" t="str">
        <f t="shared" si="459"/>
        <v>2022.003D.Lefavirales_106rensp.zip</v>
      </c>
      <c r="U10688" s="43" t="str">
        <f>HYPERLINK("https://ictv.global/taxonomy/taxondetails?taxnode_id=202202677","ictv.global=202202677")</f>
        <v>ictv.global=202202677</v>
      </c>
    </row>
    <row r="10689" spans="1:21">
      <c r="A10689">
        <v>10688</v>
      </c>
      <c r="B10689" s="29"/>
      <c r="C10689" s="29"/>
      <c r="D10689" s="29"/>
      <c r="E10689" s="29"/>
      <c r="F10689" s="29"/>
      <c r="G10689" s="29"/>
      <c r="H10689" s="29" t="s">
        <v>6776</v>
      </c>
      <c r="I10689" s="29"/>
      <c r="J10689" s="29" t="s">
        <v>6777</v>
      </c>
      <c r="K10689" s="29"/>
      <c r="L10689" s="29" t="s">
        <v>1286</v>
      </c>
      <c r="M10689" s="29"/>
      <c r="N10689" s="29" t="s">
        <v>1287</v>
      </c>
      <c r="O10689" s="29"/>
      <c r="P10689" s="29" t="s">
        <v>14525</v>
      </c>
      <c r="Q10689" t="s">
        <v>2038</v>
      </c>
      <c r="R10689" t="s">
        <v>2635</v>
      </c>
      <c r="S10689">
        <v>38</v>
      </c>
      <c r="T10689" s="43" t="str">
        <f t="shared" si="459"/>
        <v>2022.003D.Lefavirales_106rensp.zip</v>
      </c>
      <c r="U10689" s="43" t="str">
        <f>HYPERLINK("https://ictv.global/taxonomy/taxondetails?taxnode_id=202206526","ictv.global=202206526")</f>
        <v>ictv.global=202206526</v>
      </c>
    </row>
    <row r="10690" spans="1:21">
      <c r="A10690">
        <v>10689</v>
      </c>
      <c r="B10690" s="29"/>
      <c r="C10690" s="29"/>
      <c r="D10690" s="29"/>
      <c r="E10690" s="29"/>
      <c r="F10690" s="29"/>
      <c r="G10690" s="29"/>
      <c r="H10690" s="29" t="s">
        <v>6776</v>
      </c>
      <c r="I10690" s="29"/>
      <c r="J10690" s="29" t="s">
        <v>6777</v>
      </c>
      <c r="K10690" s="29"/>
      <c r="L10690" s="29" t="s">
        <v>1286</v>
      </c>
      <c r="M10690" s="29"/>
      <c r="N10690" s="29" t="s">
        <v>1287</v>
      </c>
      <c r="O10690" s="29"/>
      <c r="P10690" s="29" t="s">
        <v>14526</v>
      </c>
      <c r="Q10690" t="s">
        <v>2038</v>
      </c>
      <c r="R10690" t="s">
        <v>2635</v>
      </c>
      <c r="S10690">
        <v>38</v>
      </c>
      <c r="T10690" s="43" t="str">
        <f t="shared" si="459"/>
        <v>2022.003D.Lefavirales_106rensp.zip</v>
      </c>
      <c r="U10690" s="43" t="str">
        <f>HYPERLINK("https://ictv.global/taxonomy/taxondetails?taxnode_id=202202678","ictv.global=202202678")</f>
        <v>ictv.global=202202678</v>
      </c>
    </row>
    <row r="10691" spans="1:21">
      <c r="A10691">
        <v>10690</v>
      </c>
      <c r="B10691" s="29"/>
      <c r="C10691" s="29"/>
      <c r="D10691" s="29"/>
      <c r="E10691" s="29"/>
      <c r="F10691" s="29"/>
      <c r="G10691" s="29"/>
      <c r="H10691" s="29" t="s">
        <v>6776</v>
      </c>
      <c r="I10691" s="29"/>
      <c r="J10691" s="29" t="s">
        <v>6777</v>
      </c>
      <c r="K10691" s="29"/>
      <c r="L10691" s="29" t="s">
        <v>1286</v>
      </c>
      <c r="M10691" s="29"/>
      <c r="N10691" s="29" t="s">
        <v>1287</v>
      </c>
      <c r="O10691" s="29"/>
      <c r="P10691" s="29" t="s">
        <v>14527</v>
      </c>
      <c r="Q10691" t="s">
        <v>2038</v>
      </c>
      <c r="R10691" t="s">
        <v>2635</v>
      </c>
      <c r="S10691">
        <v>38</v>
      </c>
      <c r="T10691" s="43" t="str">
        <f t="shared" si="459"/>
        <v>2022.003D.Lefavirales_106rensp.zip</v>
      </c>
      <c r="U10691" s="43" t="str">
        <f>HYPERLINK("https://ictv.global/taxonomy/taxondetails?taxnode_id=202208664","ictv.global=202208664")</f>
        <v>ictv.global=202208664</v>
      </c>
    </row>
    <row r="10692" spans="1:21">
      <c r="A10692">
        <v>10691</v>
      </c>
      <c r="B10692" s="29"/>
      <c r="C10692" s="29"/>
      <c r="D10692" s="29"/>
      <c r="E10692" s="29"/>
      <c r="F10692" s="29"/>
      <c r="G10692" s="29"/>
      <c r="H10692" s="29" t="s">
        <v>6776</v>
      </c>
      <c r="I10692" s="29"/>
      <c r="J10692" s="29" t="s">
        <v>6777</v>
      </c>
      <c r="K10692" s="29"/>
      <c r="L10692" s="29" t="s">
        <v>1286</v>
      </c>
      <c r="M10692" s="29"/>
      <c r="N10692" s="29" t="s">
        <v>1287</v>
      </c>
      <c r="O10692" s="29"/>
      <c r="P10692" s="29" t="s">
        <v>14528</v>
      </c>
      <c r="Q10692" t="s">
        <v>2038</v>
      </c>
      <c r="R10692" t="s">
        <v>2635</v>
      </c>
      <c r="S10692">
        <v>38</v>
      </c>
      <c r="T10692" s="43" t="str">
        <f t="shared" si="459"/>
        <v>2022.003D.Lefavirales_106rensp.zip</v>
      </c>
      <c r="U10692" s="43" t="str">
        <f>HYPERLINK("https://ictv.global/taxonomy/taxondetails?taxnode_id=202202679","ictv.global=202202679")</f>
        <v>ictv.global=202202679</v>
      </c>
    </row>
    <row r="10693" spans="1:21">
      <c r="A10693">
        <v>10692</v>
      </c>
      <c r="B10693" s="29"/>
      <c r="C10693" s="29"/>
      <c r="D10693" s="29"/>
      <c r="E10693" s="29"/>
      <c r="F10693" s="29"/>
      <c r="G10693" s="29"/>
      <c r="H10693" s="29" t="s">
        <v>6776</v>
      </c>
      <c r="I10693" s="29"/>
      <c r="J10693" s="29" t="s">
        <v>6777</v>
      </c>
      <c r="K10693" s="29"/>
      <c r="L10693" s="29" t="s">
        <v>1286</v>
      </c>
      <c r="M10693" s="29"/>
      <c r="N10693" s="29" t="s">
        <v>1287</v>
      </c>
      <c r="O10693" s="29"/>
      <c r="P10693" s="29" t="s">
        <v>14529</v>
      </c>
      <c r="Q10693" t="s">
        <v>2038</v>
      </c>
      <c r="R10693" t="s">
        <v>2635</v>
      </c>
      <c r="S10693">
        <v>38</v>
      </c>
      <c r="T10693" s="43" t="str">
        <f t="shared" si="459"/>
        <v>2022.003D.Lefavirales_106rensp.zip</v>
      </c>
      <c r="U10693" s="43" t="str">
        <f>HYPERLINK("https://ictv.global/taxonomy/taxondetails?taxnode_id=202202680","ictv.global=202202680")</f>
        <v>ictv.global=202202680</v>
      </c>
    </row>
    <row r="10694" spans="1:21">
      <c r="A10694">
        <v>10693</v>
      </c>
      <c r="B10694" s="29"/>
      <c r="C10694" s="29"/>
      <c r="D10694" s="29"/>
      <c r="E10694" s="29"/>
      <c r="F10694" s="29"/>
      <c r="G10694" s="29"/>
      <c r="H10694" s="29" t="s">
        <v>6776</v>
      </c>
      <c r="I10694" s="29"/>
      <c r="J10694" s="29" t="s">
        <v>6777</v>
      </c>
      <c r="K10694" s="29"/>
      <c r="L10694" s="29" t="s">
        <v>1286</v>
      </c>
      <c r="M10694" s="29"/>
      <c r="N10694" s="29" t="s">
        <v>1287</v>
      </c>
      <c r="O10694" s="29"/>
      <c r="P10694" s="29" t="s">
        <v>14530</v>
      </c>
      <c r="Q10694" t="s">
        <v>2038</v>
      </c>
      <c r="R10694" t="s">
        <v>2635</v>
      </c>
      <c r="S10694">
        <v>38</v>
      </c>
      <c r="T10694" s="43" t="str">
        <f t="shared" si="459"/>
        <v>2022.003D.Lefavirales_106rensp.zip</v>
      </c>
      <c r="U10694" s="43" t="str">
        <f>HYPERLINK("https://ictv.global/taxonomy/taxondetails?taxnode_id=202206527","ictv.global=202206527")</f>
        <v>ictv.global=202206527</v>
      </c>
    </row>
    <row r="10695" spans="1:21">
      <c r="A10695">
        <v>10694</v>
      </c>
      <c r="B10695" s="29"/>
      <c r="C10695" s="29"/>
      <c r="D10695" s="29"/>
      <c r="E10695" s="29"/>
      <c r="F10695" s="29"/>
      <c r="G10695" s="29"/>
      <c r="H10695" s="29" t="s">
        <v>6776</v>
      </c>
      <c r="I10695" s="29"/>
      <c r="J10695" s="29" t="s">
        <v>6777</v>
      </c>
      <c r="K10695" s="29"/>
      <c r="L10695" s="29" t="s">
        <v>1286</v>
      </c>
      <c r="M10695" s="29"/>
      <c r="N10695" s="29" t="s">
        <v>1287</v>
      </c>
      <c r="O10695" s="29"/>
      <c r="P10695" s="29" t="s">
        <v>14531</v>
      </c>
      <c r="Q10695" t="s">
        <v>2038</v>
      </c>
      <c r="R10695" t="s">
        <v>2635</v>
      </c>
      <c r="S10695">
        <v>38</v>
      </c>
      <c r="T10695" s="43" t="str">
        <f t="shared" si="459"/>
        <v>2022.003D.Lefavirales_106rensp.zip</v>
      </c>
      <c r="U10695" s="43" t="str">
        <f>HYPERLINK("https://ictv.global/taxonomy/taxondetails?taxnode_id=202202681","ictv.global=202202681")</f>
        <v>ictv.global=202202681</v>
      </c>
    </row>
    <row r="10696" spans="1:21">
      <c r="A10696">
        <v>10695</v>
      </c>
      <c r="B10696" s="29"/>
      <c r="C10696" s="29"/>
      <c r="D10696" s="29"/>
      <c r="E10696" s="29"/>
      <c r="F10696" s="29"/>
      <c r="G10696" s="29"/>
      <c r="H10696" s="29" t="s">
        <v>6776</v>
      </c>
      <c r="I10696" s="29"/>
      <c r="J10696" s="29" t="s">
        <v>6777</v>
      </c>
      <c r="K10696" s="29"/>
      <c r="L10696" s="29" t="s">
        <v>1286</v>
      </c>
      <c r="M10696" s="29"/>
      <c r="N10696" s="29" t="s">
        <v>1287</v>
      </c>
      <c r="O10696" s="29"/>
      <c r="P10696" s="29" t="s">
        <v>14532</v>
      </c>
      <c r="Q10696" t="s">
        <v>2038</v>
      </c>
      <c r="R10696" t="s">
        <v>2635</v>
      </c>
      <c r="S10696">
        <v>38</v>
      </c>
      <c r="T10696" s="43" t="str">
        <f t="shared" si="459"/>
        <v>2022.003D.Lefavirales_106rensp.zip</v>
      </c>
      <c r="U10696" s="43" t="str">
        <f>HYPERLINK("https://ictv.global/taxonomy/taxondetails?taxnode_id=202202682","ictv.global=202202682")</f>
        <v>ictv.global=202202682</v>
      </c>
    </row>
    <row r="10697" spans="1:21">
      <c r="A10697">
        <v>10696</v>
      </c>
      <c r="B10697" s="29"/>
      <c r="C10697" s="29"/>
      <c r="D10697" s="29"/>
      <c r="E10697" s="29"/>
      <c r="F10697" s="29"/>
      <c r="G10697" s="29"/>
      <c r="H10697" s="29" t="s">
        <v>6776</v>
      </c>
      <c r="I10697" s="29"/>
      <c r="J10697" s="29" t="s">
        <v>6777</v>
      </c>
      <c r="K10697" s="29"/>
      <c r="L10697" s="29" t="s">
        <v>1286</v>
      </c>
      <c r="M10697" s="29"/>
      <c r="N10697" s="29" t="s">
        <v>1287</v>
      </c>
      <c r="O10697" s="29"/>
      <c r="P10697" s="29" t="s">
        <v>14533</v>
      </c>
      <c r="Q10697" t="s">
        <v>2038</v>
      </c>
      <c r="R10697" t="s">
        <v>2635</v>
      </c>
      <c r="S10697">
        <v>38</v>
      </c>
      <c r="T10697" s="43" t="str">
        <f t="shared" si="459"/>
        <v>2022.003D.Lefavirales_106rensp.zip</v>
      </c>
      <c r="U10697" s="43" t="str">
        <f>HYPERLINK("https://ictv.global/taxonomy/taxondetails?taxnode_id=202202683","ictv.global=202202683")</f>
        <v>ictv.global=202202683</v>
      </c>
    </row>
    <row r="10698" spans="1:21">
      <c r="A10698">
        <v>10697</v>
      </c>
      <c r="B10698" s="29"/>
      <c r="C10698" s="29"/>
      <c r="D10698" s="29"/>
      <c r="E10698" s="29"/>
      <c r="F10698" s="29"/>
      <c r="G10698" s="29"/>
      <c r="H10698" s="29" t="s">
        <v>6776</v>
      </c>
      <c r="I10698" s="29"/>
      <c r="J10698" s="29" t="s">
        <v>6777</v>
      </c>
      <c r="K10698" s="29"/>
      <c r="L10698" s="29" t="s">
        <v>1286</v>
      </c>
      <c r="M10698" s="29"/>
      <c r="N10698" s="29" t="s">
        <v>1287</v>
      </c>
      <c r="O10698" s="29"/>
      <c r="P10698" s="29" t="s">
        <v>14534</v>
      </c>
      <c r="Q10698" t="s">
        <v>2038</v>
      </c>
      <c r="R10698" t="s">
        <v>2635</v>
      </c>
      <c r="S10698">
        <v>38</v>
      </c>
      <c r="T10698" s="43" t="str">
        <f t="shared" si="459"/>
        <v>2022.003D.Lefavirales_106rensp.zip</v>
      </c>
      <c r="U10698" s="43" t="str">
        <f>HYPERLINK("https://ictv.global/taxonomy/taxondetails?taxnode_id=202202684","ictv.global=202202684")</f>
        <v>ictv.global=202202684</v>
      </c>
    </row>
    <row r="10699" spans="1:21">
      <c r="A10699">
        <v>10698</v>
      </c>
      <c r="B10699" s="29"/>
      <c r="C10699" s="29"/>
      <c r="D10699" s="29"/>
      <c r="E10699" s="29"/>
      <c r="F10699" s="29"/>
      <c r="G10699" s="29"/>
      <c r="H10699" s="29" t="s">
        <v>6776</v>
      </c>
      <c r="I10699" s="29"/>
      <c r="J10699" s="29" t="s">
        <v>6777</v>
      </c>
      <c r="K10699" s="29"/>
      <c r="L10699" s="29" t="s">
        <v>1286</v>
      </c>
      <c r="M10699" s="29"/>
      <c r="N10699" s="29" t="s">
        <v>1287</v>
      </c>
      <c r="O10699" s="29"/>
      <c r="P10699" s="29" t="s">
        <v>14535</v>
      </c>
      <c r="Q10699" t="s">
        <v>2038</v>
      </c>
      <c r="R10699" t="s">
        <v>2635</v>
      </c>
      <c r="S10699">
        <v>38</v>
      </c>
      <c r="T10699" s="43" t="str">
        <f t="shared" si="459"/>
        <v>2022.003D.Lefavirales_106rensp.zip</v>
      </c>
      <c r="U10699" s="43" t="str">
        <f>HYPERLINK("https://ictv.global/taxonomy/taxondetails?taxnode_id=202202686","ictv.global=202202686")</f>
        <v>ictv.global=202202686</v>
      </c>
    </row>
    <row r="10700" spans="1:21">
      <c r="A10700">
        <v>10699</v>
      </c>
      <c r="B10700" s="29"/>
      <c r="C10700" s="29"/>
      <c r="D10700" s="29"/>
      <c r="E10700" s="29"/>
      <c r="F10700" s="29"/>
      <c r="G10700" s="29"/>
      <c r="H10700" s="29" t="s">
        <v>6776</v>
      </c>
      <c r="I10700" s="29"/>
      <c r="J10700" s="29" t="s">
        <v>6777</v>
      </c>
      <c r="K10700" s="29"/>
      <c r="L10700" s="29" t="s">
        <v>1286</v>
      </c>
      <c r="M10700" s="29"/>
      <c r="N10700" s="29" t="s">
        <v>1287</v>
      </c>
      <c r="O10700" s="29"/>
      <c r="P10700" s="29" t="s">
        <v>14536</v>
      </c>
      <c r="Q10700" t="s">
        <v>2038</v>
      </c>
      <c r="R10700" t="s">
        <v>2635</v>
      </c>
      <c r="S10700">
        <v>38</v>
      </c>
      <c r="T10700" s="43" t="str">
        <f t="shared" si="459"/>
        <v>2022.003D.Lefavirales_106rensp.zip</v>
      </c>
      <c r="U10700" s="43" t="str">
        <f>HYPERLINK("https://ictv.global/taxonomy/taxondetails?taxnode_id=202206528","ictv.global=202206528")</f>
        <v>ictv.global=202206528</v>
      </c>
    </row>
    <row r="10701" spans="1:21">
      <c r="A10701">
        <v>10700</v>
      </c>
      <c r="B10701" s="29"/>
      <c r="C10701" s="29"/>
      <c r="D10701" s="29"/>
      <c r="E10701" s="29"/>
      <c r="F10701" s="29"/>
      <c r="G10701" s="29"/>
      <c r="H10701" s="29" t="s">
        <v>6776</v>
      </c>
      <c r="I10701" s="29"/>
      <c r="J10701" s="29" t="s">
        <v>6777</v>
      </c>
      <c r="K10701" s="29"/>
      <c r="L10701" s="29" t="s">
        <v>1286</v>
      </c>
      <c r="M10701" s="29"/>
      <c r="N10701" s="29" t="s">
        <v>1287</v>
      </c>
      <c r="O10701" s="29"/>
      <c r="P10701" s="29" t="s">
        <v>14537</v>
      </c>
      <c r="Q10701" t="s">
        <v>2038</v>
      </c>
      <c r="R10701" t="s">
        <v>2632</v>
      </c>
      <c r="S10701">
        <v>38</v>
      </c>
      <c r="T10701" s="43" t="str">
        <f>HYPERLINK("https://ictv.global/ictv/proposals/2022.004D.Baculoviridae_6nsp.zip","2022.004D.Baculoviridae_6nsp.zip")</f>
        <v>2022.004D.Baculoviridae_6nsp.zip</v>
      </c>
      <c r="U10701" s="43" t="str">
        <f>HYPERLINK("https://ictv.global/taxonomy/taxondetails?taxnode_id=202214024","ictv.global=202214024")</f>
        <v>ictv.global=202214024</v>
      </c>
    </row>
    <row r="10702" spans="1:21">
      <c r="A10702">
        <v>10701</v>
      </c>
      <c r="B10702" s="29"/>
      <c r="C10702" s="29"/>
      <c r="D10702" s="29"/>
      <c r="E10702" s="29"/>
      <c r="F10702" s="29"/>
      <c r="G10702" s="29"/>
      <c r="H10702" s="29" t="s">
        <v>6776</v>
      </c>
      <c r="I10702" s="29"/>
      <c r="J10702" s="29" t="s">
        <v>6777</v>
      </c>
      <c r="K10702" s="29"/>
      <c r="L10702" s="29" t="s">
        <v>1286</v>
      </c>
      <c r="M10702" s="29"/>
      <c r="N10702" s="29" t="s">
        <v>1287</v>
      </c>
      <c r="O10702" s="29"/>
      <c r="P10702" s="29" t="s">
        <v>14538</v>
      </c>
      <c r="Q10702" t="s">
        <v>2038</v>
      </c>
      <c r="R10702" t="s">
        <v>2635</v>
      </c>
      <c r="S10702">
        <v>38</v>
      </c>
      <c r="T10702" s="43" t="str">
        <f t="shared" ref="T10702:T10707" si="460">HYPERLINK("https://ictv.global/ictv/proposals/2022.003D.Lefavirales_106rensp.zip","2022.003D.Lefavirales_106rensp.zip")</f>
        <v>2022.003D.Lefavirales_106rensp.zip</v>
      </c>
      <c r="U10702" s="43" t="str">
        <f>HYPERLINK("https://ictv.global/taxonomy/taxondetails?taxnode_id=202206529","ictv.global=202206529")</f>
        <v>ictv.global=202206529</v>
      </c>
    </row>
    <row r="10703" spans="1:21">
      <c r="A10703">
        <v>10702</v>
      </c>
      <c r="B10703" s="29"/>
      <c r="C10703" s="29"/>
      <c r="D10703" s="29"/>
      <c r="E10703" s="29"/>
      <c r="F10703" s="29"/>
      <c r="G10703" s="29"/>
      <c r="H10703" s="29" t="s">
        <v>6776</v>
      </c>
      <c r="I10703" s="29"/>
      <c r="J10703" s="29" t="s">
        <v>6777</v>
      </c>
      <c r="K10703" s="29"/>
      <c r="L10703" s="29" t="s">
        <v>1286</v>
      </c>
      <c r="M10703" s="29"/>
      <c r="N10703" s="29" t="s">
        <v>1287</v>
      </c>
      <c r="O10703" s="29"/>
      <c r="P10703" s="29" t="s">
        <v>14539</v>
      </c>
      <c r="Q10703" t="s">
        <v>2038</v>
      </c>
      <c r="R10703" t="s">
        <v>2635</v>
      </c>
      <c r="S10703">
        <v>38</v>
      </c>
      <c r="T10703" s="43" t="str">
        <f t="shared" si="460"/>
        <v>2022.003D.Lefavirales_106rensp.zip</v>
      </c>
      <c r="U10703" s="43" t="str">
        <f>HYPERLINK("https://ictv.global/taxonomy/taxondetails?taxnode_id=202202687","ictv.global=202202687")</f>
        <v>ictv.global=202202687</v>
      </c>
    </row>
    <row r="10704" spans="1:21">
      <c r="A10704">
        <v>10703</v>
      </c>
      <c r="B10704" s="29"/>
      <c r="C10704" s="29"/>
      <c r="D10704" s="29"/>
      <c r="E10704" s="29"/>
      <c r="F10704" s="29"/>
      <c r="G10704" s="29"/>
      <c r="H10704" s="29" t="s">
        <v>6776</v>
      </c>
      <c r="I10704" s="29"/>
      <c r="J10704" s="29" t="s">
        <v>6777</v>
      </c>
      <c r="K10704" s="29"/>
      <c r="L10704" s="29" t="s">
        <v>1286</v>
      </c>
      <c r="M10704" s="29"/>
      <c r="N10704" s="29" t="s">
        <v>1287</v>
      </c>
      <c r="O10704" s="29"/>
      <c r="P10704" s="29" t="s">
        <v>14540</v>
      </c>
      <c r="Q10704" t="s">
        <v>2038</v>
      </c>
      <c r="R10704" t="s">
        <v>2635</v>
      </c>
      <c r="S10704">
        <v>38</v>
      </c>
      <c r="T10704" s="43" t="str">
        <f t="shared" si="460"/>
        <v>2022.003D.Lefavirales_106rensp.zip</v>
      </c>
      <c r="U10704" s="43" t="str">
        <f>HYPERLINK("https://ictv.global/taxonomy/taxondetails?taxnode_id=202202688","ictv.global=202202688")</f>
        <v>ictv.global=202202688</v>
      </c>
    </row>
    <row r="10705" spans="1:21">
      <c r="A10705">
        <v>10704</v>
      </c>
      <c r="B10705" s="29"/>
      <c r="C10705" s="29"/>
      <c r="D10705" s="29"/>
      <c r="E10705" s="29"/>
      <c r="F10705" s="29"/>
      <c r="G10705" s="29"/>
      <c r="H10705" s="29" t="s">
        <v>6776</v>
      </c>
      <c r="I10705" s="29"/>
      <c r="J10705" s="29" t="s">
        <v>6777</v>
      </c>
      <c r="K10705" s="29"/>
      <c r="L10705" s="29" t="s">
        <v>1286</v>
      </c>
      <c r="M10705" s="29"/>
      <c r="N10705" s="29" t="s">
        <v>1287</v>
      </c>
      <c r="O10705" s="29"/>
      <c r="P10705" s="29" t="s">
        <v>14541</v>
      </c>
      <c r="Q10705" t="s">
        <v>2038</v>
      </c>
      <c r="R10705" t="s">
        <v>2635</v>
      </c>
      <c r="S10705">
        <v>38</v>
      </c>
      <c r="T10705" s="43" t="str">
        <f t="shared" si="460"/>
        <v>2022.003D.Lefavirales_106rensp.zip</v>
      </c>
      <c r="U10705" s="43" t="str">
        <f>HYPERLINK("https://ictv.global/taxonomy/taxondetails?taxnode_id=202206532","ictv.global=202206532")</f>
        <v>ictv.global=202206532</v>
      </c>
    </row>
    <row r="10706" spans="1:21">
      <c r="A10706">
        <v>10705</v>
      </c>
      <c r="B10706" s="29"/>
      <c r="C10706" s="29"/>
      <c r="D10706" s="29"/>
      <c r="E10706" s="29"/>
      <c r="F10706" s="29"/>
      <c r="G10706" s="29"/>
      <c r="H10706" s="29" t="s">
        <v>6776</v>
      </c>
      <c r="I10706" s="29"/>
      <c r="J10706" s="29" t="s">
        <v>6777</v>
      </c>
      <c r="K10706" s="29"/>
      <c r="L10706" s="29" t="s">
        <v>1286</v>
      </c>
      <c r="M10706" s="29"/>
      <c r="N10706" s="29" t="s">
        <v>1287</v>
      </c>
      <c r="O10706" s="29"/>
      <c r="P10706" s="29" t="s">
        <v>14542</v>
      </c>
      <c r="Q10706" t="s">
        <v>2038</v>
      </c>
      <c r="R10706" t="s">
        <v>2635</v>
      </c>
      <c r="S10706">
        <v>38</v>
      </c>
      <c r="T10706" s="43" t="str">
        <f t="shared" si="460"/>
        <v>2022.003D.Lefavirales_106rensp.zip</v>
      </c>
      <c r="U10706" s="43" t="str">
        <f>HYPERLINK("https://ictv.global/taxonomy/taxondetails?taxnode_id=202206531","ictv.global=202206531")</f>
        <v>ictv.global=202206531</v>
      </c>
    </row>
    <row r="10707" spans="1:21">
      <c r="A10707">
        <v>10706</v>
      </c>
      <c r="B10707" s="29"/>
      <c r="C10707" s="29"/>
      <c r="D10707" s="29"/>
      <c r="E10707" s="29"/>
      <c r="F10707" s="29"/>
      <c r="G10707" s="29"/>
      <c r="H10707" s="29" t="s">
        <v>6776</v>
      </c>
      <c r="I10707" s="29"/>
      <c r="J10707" s="29" t="s">
        <v>6777</v>
      </c>
      <c r="K10707" s="29"/>
      <c r="L10707" s="29" t="s">
        <v>1286</v>
      </c>
      <c r="M10707" s="29"/>
      <c r="N10707" s="29" t="s">
        <v>1287</v>
      </c>
      <c r="O10707" s="29"/>
      <c r="P10707" s="29" t="s">
        <v>14543</v>
      </c>
      <c r="Q10707" t="s">
        <v>2038</v>
      </c>
      <c r="R10707" t="s">
        <v>2635</v>
      </c>
      <c r="S10707">
        <v>38</v>
      </c>
      <c r="T10707" s="43" t="str">
        <f t="shared" si="460"/>
        <v>2022.003D.Lefavirales_106rensp.zip</v>
      </c>
      <c r="U10707" s="43" t="str">
        <f>HYPERLINK("https://ictv.global/taxonomy/taxondetails?taxnode_id=202213427","ictv.global=202213427")</f>
        <v>ictv.global=202213427</v>
      </c>
    </row>
    <row r="10708" spans="1:21">
      <c r="A10708">
        <v>10707</v>
      </c>
      <c r="B10708" s="29"/>
      <c r="C10708" s="29"/>
      <c r="D10708" s="29"/>
      <c r="E10708" s="29"/>
      <c r="F10708" s="29"/>
      <c r="G10708" s="29"/>
      <c r="H10708" s="29" t="s">
        <v>6776</v>
      </c>
      <c r="I10708" s="29"/>
      <c r="J10708" s="29" t="s">
        <v>6777</v>
      </c>
      <c r="K10708" s="29"/>
      <c r="L10708" s="29" t="s">
        <v>1286</v>
      </c>
      <c r="M10708" s="29"/>
      <c r="N10708" s="29" t="s">
        <v>1287</v>
      </c>
      <c r="O10708" s="29"/>
      <c r="P10708" s="29" t="s">
        <v>14544</v>
      </c>
      <c r="Q10708" t="s">
        <v>2038</v>
      </c>
      <c r="R10708" t="s">
        <v>2632</v>
      </c>
      <c r="S10708">
        <v>38</v>
      </c>
      <c r="T10708" s="43" t="str">
        <f>HYPERLINK("https://ictv.global/ictv/proposals/2022.004D.Baculoviridae_6nsp.zip","2022.004D.Baculoviridae_6nsp.zip")</f>
        <v>2022.004D.Baculoviridae_6nsp.zip</v>
      </c>
      <c r="U10708" s="43" t="str">
        <f>HYPERLINK("https://ictv.global/taxonomy/taxondetails?taxnode_id=202214025","ictv.global=202214025")</f>
        <v>ictv.global=202214025</v>
      </c>
    </row>
    <row r="10709" spans="1:21">
      <c r="A10709">
        <v>10708</v>
      </c>
      <c r="B10709" s="29"/>
      <c r="C10709" s="29"/>
      <c r="D10709" s="29"/>
      <c r="E10709" s="29"/>
      <c r="F10709" s="29"/>
      <c r="G10709" s="29"/>
      <c r="H10709" s="29" t="s">
        <v>6776</v>
      </c>
      <c r="I10709" s="29"/>
      <c r="J10709" s="29" t="s">
        <v>6777</v>
      </c>
      <c r="K10709" s="29"/>
      <c r="L10709" s="29" t="s">
        <v>1286</v>
      </c>
      <c r="M10709" s="29"/>
      <c r="N10709" s="29" t="s">
        <v>1287</v>
      </c>
      <c r="O10709" s="29"/>
      <c r="P10709" s="29" t="s">
        <v>14545</v>
      </c>
      <c r="Q10709" t="s">
        <v>2038</v>
      </c>
      <c r="R10709" t="s">
        <v>2635</v>
      </c>
      <c r="S10709">
        <v>38</v>
      </c>
      <c r="T10709" s="43" t="str">
        <f t="shared" ref="T10709:T10716" si="461">HYPERLINK("https://ictv.global/ictv/proposals/2022.003D.Lefavirales_106rensp.zip","2022.003D.Lefavirales_106rensp.zip")</f>
        <v>2022.003D.Lefavirales_106rensp.zip</v>
      </c>
      <c r="U10709" s="43" t="str">
        <f>HYPERLINK("https://ictv.global/taxonomy/taxondetails?taxnode_id=202208666","ictv.global=202208666")</f>
        <v>ictv.global=202208666</v>
      </c>
    </row>
    <row r="10710" spans="1:21">
      <c r="A10710">
        <v>10709</v>
      </c>
      <c r="B10710" s="29"/>
      <c r="C10710" s="29"/>
      <c r="D10710" s="29"/>
      <c r="E10710" s="29"/>
      <c r="F10710" s="29"/>
      <c r="G10710" s="29"/>
      <c r="H10710" s="29" t="s">
        <v>6776</v>
      </c>
      <c r="I10710" s="29"/>
      <c r="J10710" s="29" t="s">
        <v>6777</v>
      </c>
      <c r="K10710" s="29"/>
      <c r="L10710" s="29" t="s">
        <v>1286</v>
      </c>
      <c r="M10710" s="29"/>
      <c r="N10710" s="29" t="s">
        <v>1287</v>
      </c>
      <c r="O10710" s="29"/>
      <c r="P10710" s="29" t="s">
        <v>14546</v>
      </c>
      <c r="Q10710" t="s">
        <v>2038</v>
      </c>
      <c r="R10710" t="s">
        <v>2635</v>
      </c>
      <c r="S10710">
        <v>38</v>
      </c>
      <c r="T10710" s="43" t="str">
        <f t="shared" si="461"/>
        <v>2022.003D.Lefavirales_106rensp.zip</v>
      </c>
      <c r="U10710" s="43" t="str">
        <f>HYPERLINK("https://ictv.global/taxonomy/taxondetails?taxnode_id=202208667","ictv.global=202208667")</f>
        <v>ictv.global=202208667</v>
      </c>
    </row>
    <row r="10711" spans="1:21">
      <c r="A10711">
        <v>10710</v>
      </c>
      <c r="B10711" s="29"/>
      <c r="C10711" s="29"/>
      <c r="D10711" s="29"/>
      <c r="E10711" s="29"/>
      <c r="F10711" s="29"/>
      <c r="G10711" s="29"/>
      <c r="H10711" s="29" t="s">
        <v>6776</v>
      </c>
      <c r="I10711" s="29"/>
      <c r="J10711" s="29" t="s">
        <v>6777</v>
      </c>
      <c r="K10711" s="29"/>
      <c r="L10711" s="29" t="s">
        <v>1286</v>
      </c>
      <c r="M10711" s="29"/>
      <c r="N10711" s="29" t="s">
        <v>1287</v>
      </c>
      <c r="O10711" s="29"/>
      <c r="P10711" s="29" t="s">
        <v>14547</v>
      </c>
      <c r="Q10711" t="s">
        <v>2038</v>
      </c>
      <c r="R10711" t="s">
        <v>2635</v>
      </c>
      <c r="S10711">
        <v>38</v>
      </c>
      <c r="T10711" s="43" t="str">
        <f t="shared" si="461"/>
        <v>2022.003D.Lefavirales_106rensp.zip</v>
      </c>
      <c r="U10711" s="43" t="str">
        <f>HYPERLINK("https://ictv.global/taxonomy/taxondetails?taxnode_id=202202689","ictv.global=202202689")</f>
        <v>ictv.global=202202689</v>
      </c>
    </row>
    <row r="10712" spans="1:21">
      <c r="A10712">
        <v>10711</v>
      </c>
      <c r="B10712" s="29"/>
      <c r="C10712" s="29"/>
      <c r="D10712" s="29"/>
      <c r="E10712" s="29"/>
      <c r="F10712" s="29"/>
      <c r="G10712" s="29"/>
      <c r="H10712" s="29" t="s">
        <v>6776</v>
      </c>
      <c r="I10712" s="29"/>
      <c r="J10712" s="29" t="s">
        <v>6777</v>
      </c>
      <c r="K10712" s="29"/>
      <c r="L10712" s="29" t="s">
        <v>1286</v>
      </c>
      <c r="M10712" s="29"/>
      <c r="N10712" s="29" t="s">
        <v>1287</v>
      </c>
      <c r="O10712" s="29"/>
      <c r="P10712" s="29" t="s">
        <v>14548</v>
      </c>
      <c r="Q10712" t="s">
        <v>2038</v>
      </c>
      <c r="R10712" t="s">
        <v>2635</v>
      </c>
      <c r="S10712">
        <v>38</v>
      </c>
      <c r="T10712" s="43" t="str">
        <f t="shared" si="461"/>
        <v>2022.003D.Lefavirales_106rensp.zip</v>
      </c>
      <c r="U10712" s="43" t="str">
        <f>HYPERLINK("https://ictv.global/taxonomy/taxondetails?taxnode_id=202202691","ictv.global=202202691")</f>
        <v>ictv.global=202202691</v>
      </c>
    </row>
    <row r="10713" spans="1:21">
      <c r="A10713">
        <v>10712</v>
      </c>
      <c r="B10713" s="29"/>
      <c r="C10713" s="29"/>
      <c r="D10713" s="29"/>
      <c r="E10713" s="29"/>
      <c r="F10713" s="29"/>
      <c r="G10713" s="29"/>
      <c r="H10713" s="29" t="s">
        <v>6776</v>
      </c>
      <c r="I10713" s="29"/>
      <c r="J10713" s="29" t="s">
        <v>6777</v>
      </c>
      <c r="K10713" s="29"/>
      <c r="L10713" s="29" t="s">
        <v>1286</v>
      </c>
      <c r="M10713" s="29"/>
      <c r="N10713" s="29" t="s">
        <v>1287</v>
      </c>
      <c r="O10713" s="29"/>
      <c r="P10713" s="29" t="s">
        <v>14549</v>
      </c>
      <c r="Q10713" t="s">
        <v>2038</v>
      </c>
      <c r="R10713" t="s">
        <v>2635</v>
      </c>
      <c r="S10713">
        <v>38</v>
      </c>
      <c r="T10713" s="43" t="str">
        <f t="shared" si="461"/>
        <v>2022.003D.Lefavirales_106rensp.zip</v>
      </c>
      <c r="U10713" s="43" t="str">
        <f>HYPERLINK("https://ictv.global/taxonomy/taxondetails?taxnode_id=202202692","ictv.global=202202692")</f>
        <v>ictv.global=202202692</v>
      </c>
    </row>
    <row r="10714" spans="1:21">
      <c r="A10714">
        <v>10713</v>
      </c>
      <c r="B10714" s="29"/>
      <c r="C10714" s="29"/>
      <c r="D10714" s="29"/>
      <c r="E10714" s="29"/>
      <c r="F10714" s="29"/>
      <c r="G10714" s="29"/>
      <c r="H10714" s="29" t="s">
        <v>6776</v>
      </c>
      <c r="I10714" s="29"/>
      <c r="J10714" s="29" t="s">
        <v>6777</v>
      </c>
      <c r="K10714" s="29"/>
      <c r="L10714" s="29" t="s">
        <v>1286</v>
      </c>
      <c r="M10714" s="29"/>
      <c r="N10714" s="29" t="s">
        <v>1287</v>
      </c>
      <c r="O10714" s="29"/>
      <c r="P10714" s="29" t="s">
        <v>14550</v>
      </c>
      <c r="Q10714" t="s">
        <v>2038</v>
      </c>
      <c r="R10714" t="s">
        <v>2635</v>
      </c>
      <c r="S10714">
        <v>38</v>
      </c>
      <c r="T10714" s="43" t="str">
        <f t="shared" si="461"/>
        <v>2022.003D.Lefavirales_106rensp.zip</v>
      </c>
      <c r="U10714" s="43" t="str">
        <f>HYPERLINK("https://ictv.global/taxonomy/taxondetails?taxnode_id=202202690","ictv.global=202202690")</f>
        <v>ictv.global=202202690</v>
      </c>
    </row>
    <row r="10715" spans="1:21">
      <c r="A10715">
        <v>10714</v>
      </c>
      <c r="B10715" s="29"/>
      <c r="C10715" s="29"/>
      <c r="D10715" s="29"/>
      <c r="E10715" s="29"/>
      <c r="F10715" s="29"/>
      <c r="G10715" s="29"/>
      <c r="H10715" s="29" t="s">
        <v>6776</v>
      </c>
      <c r="I10715" s="29"/>
      <c r="J10715" s="29" t="s">
        <v>6777</v>
      </c>
      <c r="K10715" s="29"/>
      <c r="L10715" s="29" t="s">
        <v>1286</v>
      </c>
      <c r="M10715" s="29"/>
      <c r="N10715" s="29" t="s">
        <v>1287</v>
      </c>
      <c r="O10715" s="29"/>
      <c r="P10715" s="29" t="s">
        <v>14551</v>
      </c>
      <c r="Q10715" t="s">
        <v>2038</v>
      </c>
      <c r="R10715" t="s">
        <v>2635</v>
      </c>
      <c r="S10715">
        <v>38</v>
      </c>
      <c r="T10715" s="43" t="str">
        <f t="shared" si="461"/>
        <v>2022.003D.Lefavirales_106rensp.zip</v>
      </c>
      <c r="U10715" s="43" t="str">
        <f>HYPERLINK("https://ictv.global/taxonomy/taxondetails?taxnode_id=202202693","ictv.global=202202693")</f>
        <v>ictv.global=202202693</v>
      </c>
    </row>
    <row r="10716" spans="1:21">
      <c r="A10716">
        <v>10715</v>
      </c>
      <c r="B10716" s="29"/>
      <c r="C10716" s="29"/>
      <c r="D10716" s="29"/>
      <c r="E10716" s="29"/>
      <c r="F10716" s="29"/>
      <c r="G10716" s="29"/>
      <c r="H10716" s="29" t="s">
        <v>6776</v>
      </c>
      <c r="I10716" s="29"/>
      <c r="J10716" s="29" t="s">
        <v>6777</v>
      </c>
      <c r="K10716" s="29"/>
      <c r="L10716" s="29" t="s">
        <v>1286</v>
      </c>
      <c r="M10716" s="29"/>
      <c r="N10716" s="29" t="s">
        <v>1287</v>
      </c>
      <c r="O10716" s="29"/>
      <c r="P10716" s="29" t="s">
        <v>14552</v>
      </c>
      <c r="Q10716" t="s">
        <v>2038</v>
      </c>
      <c r="R10716" t="s">
        <v>2635</v>
      </c>
      <c r="S10716">
        <v>38</v>
      </c>
      <c r="T10716" s="43" t="str">
        <f t="shared" si="461"/>
        <v>2022.003D.Lefavirales_106rensp.zip</v>
      </c>
      <c r="U10716" s="43" t="str">
        <f>HYPERLINK("https://ictv.global/taxonomy/taxondetails?taxnode_id=202202694","ictv.global=202202694")</f>
        <v>ictv.global=202202694</v>
      </c>
    </row>
    <row r="10717" spans="1:21">
      <c r="A10717">
        <v>10716</v>
      </c>
      <c r="B10717" s="29"/>
      <c r="C10717" s="29"/>
      <c r="D10717" s="29"/>
      <c r="E10717" s="29"/>
      <c r="F10717" s="29"/>
      <c r="G10717" s="29"/>
      <c r="H10717" s="29" t="s">
        <v>6776</v>
      </c>
      <c r="I10717" s="29"/>
      <c r="J10717" s="29" t="s">
        <v>6777</v>
      </c>
      <c r="K10717" s="29"/>
      <c r="L10717" s="29" t="s">
        <v>1286</v>
      </c>
      <c r="M10717" s="29"/>
      <c r="N10717" s="29" t="s">
        <v>1287</v>
      </c>
      <c r="O10717" s="29"/>
      <c r="P10717" s="29" t="s">
        <v>14553</v>
      </c>
      <c r="Q10717" t="s">
        <v>2038</v>
      </c>
      <c r="R10717" t="s">
        <v>2632</v>
      </c>
      <c r="S10717">
        <v>38</v>
      </c>
      <c r="T10717" s="43" t="str">
        <f>HYPERLINK("https://ictv.global/ictv/proposals/2022.004D.Baculoviridae_6nsp.zip","2022.004D.Baculoviridae_6nsp.zip")</f>
        <v>2022.004D.Baculoviridae_6nsp.zip</v>
      </c>
      <c r="U10717" s="43" t="str">
        <f>HYPERLINK("https://ictv.global/taxonomy/taxondetails?taxnode_id=202214026","ictv.global=202214026")</f>
        <v>ictv.global=202214026</v>
      </c>
    </row>
    <row r="10718" spans="1:21">
      <c r="A10718">
        <v>10717</v>
      </c>
      <c r="B10718" s="29"/>
      <c r="C10718" s="29"/>
      <c r="D10718" s="29"/>
      <c r="E10718" s="29"/>
      <c r="F10718" s="29"/>
      <c r="G10718" s="29"/>
      <c r="H10718" s="29" t="s">
        <v>6776</v>
      </c>
      <c r="I10718" s="29"/>
      <c r="J10718" s="29" t="s">
        <v>6777</v>
      </c>
      <c r="K10718" s="29"/>
      <c r="L10718" s="29" t="s">
        <v>1286</v>
      </c>
      <c r="M10718" s="29"/>
      <c r="N10718" s="29" t="s">
        <v>1287</v>
      </c>
      <c r="O10718" s="29"/>
      <c r="P10718" s="29" t="s">
        <v>14554</v>
      </c>
      <c r="Q10718" t="s">
        <v>2038</v>
      </c>
      <c r="R10718" t="s">
        <v>2635</v>
      </c>
      <c r="S10718">
        <v>38</v>
      </c>
      <c r="T10718" s="43" t="str">
        <f t="shared" ref="T10718:T10739" si="462">HYPERLINK("https://ictv.global/ictv/proposals/2022.003D.Lefavirales_106rensp.zip","2022.003D.Lefavirales_106rensp.zip")</f>
        <v>2022.003D.Lefavirales_106rensp.zip</v>
      </c>
      <c r="U10718" s="43" t="str">
        <f>HYPERLINK("https://ictv.global/taxonomy/taxondetails?taxnode_id=202202695","ictv.global=202202695")</f>
        <v>ictv.global=202202695</v>
      </c>
    </row>
    <row r="10719" spans="1:21">
      <c r="A10719">
        <v>10718</v>
      </c>
      <c r="B10719" s="29"/>
      <c r="C10719" s="29"/>
      <c r="D10719" s="29"/>
      <c r="E10719" s="29"/>
      <c r="F10719" s="29"/>
      <c r="G10719" s="29"/>
      <c r="H10719" s="29" t="s">
        <v>6776</v>
      </c>
      <c r="I10719" s="29"/>
      <c r="J10719" s="29" t="s">
        <v>6777</v>
      </c>
      <c r="K10719" s="29"/>
      <c r="L10719" s="29" t="s">
        <v>1286</v>
      </c>
      <c r="M10719" s="29"/>
      <c r="N10719" s="29" t="s">
        <v>1287</v>
      </c>
      <c r="O10719" s="29"/>
      <c r="P10719" s="29" t="s">
        <v>14555</v>
      </c>
      <c r="Q10719" t="s">
        <v>2038</v>
      </c>
      <c r="R10719" t="s">
        <v>2635</v>
      </c>
      <c r="S10719">
        <v>38</v>
      </c>
      <c r="T10719" s="43" t="str">
        <f t="shared" si="462"/>
        <v>2022.003D.Lefavirales_106rensp.zip</v>
      </c>
      <c r="U10719" s="43" t="str">
        <f>HYPERLINK("https://ictv.global/taxonomy/taxondetails?taxnode_id=202208668","ictv.global=202208668")</f>
        <v>ictv.global=202208668</v>
      </c>
    </row>
    <row r="10720" spans="1:21">
      <c r="A10720">
        <v>10719</v>
      </c>
      <c r="B10720" s="29"/>
      <c r="C10720" s="29"/>
      <c r="D10720" s="29"/>
      <c r="E10720" s="29"/>
      <c r="F10720" s="29"/>
      <c r="G10720" s="29"/>
      <c r="H10720" s="29" t="s">
        <v>6776</v>
      </c>
      <c r="I10720" s="29"/>
      <c r="J10720" s="29" t="s">
        <v>6777</v>
      </c>
      <c r="K10720" s="29"/>
      <c r="L10720" s="29" t="s">
        <v>1286</v>
      </c>
      <c r="M10720" s="29"/>
      <c r="N10720" s="29" t="s">
        <v>1287</v>
      </c>
      <c r="O10720" s="29"/>
      <c r="P10720" s="29" t="s">
        <v>14556</v>
      </c>
      <c r="Q10720" t="s">
        <v>2038</v>
      </c>
      <c r="R10720" t="s">
        <v>2635</v>
      </c>
      <c r="S10720">
        <v>38</v>
      </c>
      <c r="T10720" s="43" t="str">
        <f t="shared" si="462"/>
        <v>2022.003D.Lefavirales_106rensp.zip</v>
      </c>
      <c r="U10720" s="43" t="str">
        <f>HYPERLINK("https://ictv.global/taxonomy/taxondetails?taxnode_id=202202696","ictv.global=202202696")</f>
        <v>ictv.global=202202696</v>
      </c>
    </row>
    <row r="10721" spans="1:21">
      <c r="A10721">
        <v>10720</v>
      </c>
      <c r="B10721" s="29"/>
      <c r="C10721" s="29"/>
      <c r="D10721" s="29"/>
      <c r="E10721" s="29"/>
      <c r="F10721" s="29"/>
      <c r="G10721" s="29"/>
      <c r="H10721" s="29" t="s">
        <v>6776</v>
      </c>
      <c r="I10721" s="29"/>
      <c r="J10721" s="29" t="s">
        <v>6777</v>
      </c>
      <c r="K10721" s="29"/>
      <c r="L10721" s="29" t="s">
        <v>1286</v>
      </c>
      <c r="M10721" s="29"/>
      <c r="N10721" s="29" t="s">
        <v>1287</v>
      </c>
      <c r="O10721" s="29"/>
      <c r="P10721" s="29" t="s">
        <v>14557</v>
      </c>
      <c r="Q10721" t="s">
        <v>2038</v>
      </c>
      <c r="R10721" t="s">
        <v>2635</v>
      </c>
      <c r="S10721">
        <v>38</v>
      </c>
      <c r="T10721" s="43" t="str">
        <f t="shared" si="462"/>
        <v>2022.003D.Lefavirales_106rensp.zip</v>
      </c>
      <c r="U10721" s="43" t="str">
        <f>HYPERLINK("https://ictv.global/taxonomy/taxondetails?taxnode_id=202206530","ictv.global=202206530")</f>
        <v>ictv.global=202206530</v>
      </c>
    </row>
    <row r="10722" spans="1:21">
      <c r="A10722">
        <v>10721</v>
      </c>
      <c r="B10722" s="29"/>
      <c r="C10722" s="29"/>
      <c r="D10722" s="29"/>
      <c r="E10722" s="29"/>
      <c r="F10722" s="29"/>
      <c r="G10722" s="29"/>
      <c r="H10722" s="29" t="s">
        <v>6776</v>
      </c>
      <c r="I10722" s="29"/>
      <c r="J10722" s="29" t="s">
        <v>6777</v>
      </c>
      <c r="K10722" s="29"/>
      <c r="L10722" s="29" t="s">
        <v>1286</v>
      </c>
      <c r="M10722" s="29"/>
      <c r="N10722" s="29" t="s">
        <v>868</v>
      </c>
      <c r="O10722" s="29"/>
      <c r="P10722" s="29" t="s">
        <v>14558</v>
      </c>
      <c r="Q10722" t="s">
        <v>2038</v>
      </c>
      <c r="R10722" t="s">
        <v>2635</v>
      </c>
      <c r="S10722">
        <v>38</v>
      </c>
      <c r="T10722" s="43" t="str">
        <f t="shared" si="462"/>
        <v>2022.003D.Lefavirales_106rensp.zip</v>
      </c>
      <c r="U10722" s="43" t="str">
        <f>HYPERLINK("https://ictv.global/taxonomy/taxondetails?taxnode_id=202202698","ictv.global=202202698")</f>
        <v>ictv.global=202202698</v>
      </c>
    </row>
    <row r="10723" spans="1:21">
      <c r="A10723">
        <v>10722</v>
      </c>
      <c r="B10723" s="29"/>
      <c r="C10723" s="29"/>
      <c r="D10723" s="29"/>
      <c r="E10723" s="29"/>
      <c r="F10723" s="29"/>
      <c r="G10723" s="29"/>
      <c r="H10723" s="29" t="s">
        <v>6776</v>
      </c>
      <c r="I10723" s="29"/>
      <c r="J10723" s="29" t="s">
        <v>6777</v>
      </c>
      <c r="K10723" s="29"/>
      <c r="L10723" s="29" t="s">
        <v>1286</v>
      </c>
      <c r="M10723" s="29"/>
      <c r="N10723" s="29" t="s">
        <v>868</v>
      </c>
      <c r="O10723" s="29"/>
      <c r="P10723" s="29" t="s">
        <v>14559</v>
      </c>
      <c r="Q10723" t="s">
        <v>2038</v>
      </c>
      <c r="R10723" t="s">
        <v>2635</v>
      </c>
      <c r="S10723">
        <v>38</v>
      </c>
      <c r="T10723" s="43" t="str">
        <f t="shared" si="462"/>
        <v>2022.003D.Lefavirales_106rensp.zip</v>
      </c>
      <c r="U10723" s="43" t="str">
        <f>HYPERLINK("https://ictv.global/taxonomy/taxondetails?taxnode_id=202202699","ictv.global=202202699")</f>
        <v>ictv.global=202202699</v>
      </c>
    </row>
    <row r="10724" spans="1:21">
      <c r="A10724">
        <v>10723</v>
      </c>
      <c r="B10724" s="29"/>
      <c r="C10724" s="29"/>
      <c r="D10724" s="29"/>
      <c r="E10724" s="29"/>
      <c r="F10724" s="29"/>
      <c r="G10724" s="29"/>
      <c r="H10724" s="29" t="s">
        <v>6776</v>
      </c>
      <c r="I10724" s="29"/>
      <c r="J10724" s="29" t="s">
        <v>6777</v>
      </c>
      <c r="K10724" s="29"/>
      <c r="L10724" s="29" t="s">
        <v>1286</v>
      </c>
      <c r="M10724" s="29"/>
      <c r="N10724" s="29" t="s">
        <v>868</v>
      </c>
      <c r="O10724" s="29"/>
      <c r="P10724" s="29" t="s">
        <v>14560</v>
      </c>
      <c r="Q10724" t="s">
        <v>2038</v>
      </c>
      <c r="R10724" t="s">
        <v>2635</v>
      </c>
      <c r="S10724">
        <v>38</v>
      </c>
      <c r="T10724" s="43" t="str">
        <f t="shared" si="462"/>
        <v>2022.003D.Lefavirales_106rensp.zip</v>
      </c>
      <c r="U10724" s="43" t="str">
        <f>HYPERLINK("https://ictv.global/taxonomy/taxondetails?taxnode_id=202202704","ictv.global=202202704")</f>
        <v>ictv.global=202202704</v>
      </c>
    </row>
    <row r="10725" spans="1:21">
      <c r="A10725">
        <v>10724</v>
      </c>
      <c r="B10725" s="29"/>
      <c r="C10725" s="29"/>
      <c r="D10725" s="29"/>
      <c r="E10725" s="29"/>
      <c r="F10725" s="29"/>
      <c r="G10725" s="29"/>
      <c r="H10725" s="29" t="s">
        <v>6776</v>
      </c>
      <c r="I10725" s="29"/>
      <c r="J10725" s="29" t="s">
        <v>6777</v>
      </c>
      <c r="K10725" s="29"/>
      <c r="L10725" s="29" t="s">
        <v>1286</v>
      </c>
      <c r="M10725" s="29"/>
      <c r="N10725" s="29" t="s">
        <v>868</v>
      </c>
      <c r="O10725" s="29"/>
      <c r="P10725" s="29" t="s">
        <v>14561</v>
      </c>
      <c r="Q10725" t="s">
        <v>2038</v>
      </c>
      <c r="R10725" t="s">
        <v>2635</v>
      </c>
      <c r="S10725">
        <v>38</v>
      </c>
      <c r="T10725" s="43" t="str">
        <f t="shared" si="462"/>
        <v>2022.003D.Lefavirales_106rensp.zip</v>
      </c>
      <c r="U10725" s="43" t="str">
        <f>HYPERLINK("https://ictv.global/taxonomy/taxondetails?taxnode_id=202205757","ictv.global=202205757")</f>
        <v>ictv.global=202205757</v>
      </c>
    </row>
    <row r="10726" spans="1:21">
      <c r="A10726">
        <v>10725</v>
      </c>
      <c r="B10726" s="29"/>
      <c r="C10726" s="29"/>
      <c r="D10726" s="29"/>
      <c r="E10726" s="29"/>
      <c r="F10726" s="29"/>
      <c r="G10726" s="29"/>
      <c r="H10726" s="29" t="s">
        <v>6776</v>
      </c>
      <c r="I10726" s="29"/>
      <c r="J10726" s="29" t="s">
        <v>6777</v>
      </c>
      <c r="K10726" s="29"/>
      <c r="L10726" s="29" t="s">
        <v>1286</v>
      </c>
      <c r="M10726" s="29"/>
      <c r="N10726" s="29" t="s">
        <v>868</v>
      </c>
      <c r="O10726" s="29"/>
      <c r="P10726" s="29" t="s">
        <v>14562</v>
      </c>
      <c r="Q10726" t="s">
        <v>2038</v>
      </c>
      <c r="R10726" t="s">
        <v>2635</v>
      </c>
      <c r="S10726">
        <v>38</v>
      </c>
      <c r="T10726" s="43" t="str">
        <f t="shared" si="462"/>
        <v>2022.003D.Lefavirales_106rensp.zip</v>
      </c>
      <c r="U10726" s="43" t="str">
        <f>HYPERLINK("https://ictv.global/taxonomy/taxondetails?taxnode_id=202202700","ictv.global=202202700")</f>
        <v>ictv.global=202202700</v>
      </c>
    </row>
    <row r="10727" spans="1:21">
      <c r="A10727">
        <v>10726</v>
      </c>
      <c r="B10727" s="29"/>
      <c r="C10727" s="29"/>
      <c r="D10727" s="29"/>
      <c r="E10727" s="29"/>
      <c r="F10727" s="29"/>
      <c r="G10727" s="29"/>
      <c r="H10727" s="29" t="s">
        <v>6776</v>
      </c>
      <c r="I10727" s="29"/>
      <c r="J10727" s="29" t="s">
        <v>6777</v>
      </c>
      <c r="K10727" s="29"/>
      <c r="L10727" s="29" t="s">
        <v>1286</v>
      </c>
      <c r="M10727" s="29"/>
      <c r="N10727" s="29" t="s">
        <v>868</v>
      </c>
      <c r="O10727" s="29"/>
      <c r="P10727" s="29" t="s">
        <v>14563</v>
      </c>
      <c r="Q10727" t="s">
        <v>2038</v>
      </c>
      <c r="R10727" t="s">
        <v>2635</v>
      </c>
      <c r="S10727">
        <v>38</v>
      </c>
      <c r="T10727" s="43" t="str">
        <f t="shared" si="462"/>
        <v>2022.003D.Lefavirales_106rensp.zip</v>
      </c>
      <c r="U10727" s="43" t="str">
        <f>HYPERLINK("https://ictv.global/taxonomy/taxondetails?taxnode_id=202202701","ictv.global=202202701")</f>
        <v>ictv.global=202202701</v>
      </c>
    </row>
    <row r="10728" spans="1:21">
      <c r="A10728">
        <v>10727</v>
      </c>
      <c r="B10728" s="29"/>
      <c r="C10728" s="29"/>
      <c r="D10728" s="29"/>
      <c r="E10728" s="29"/>
      <c r="F10728" s="29"/>
      <c r="G10728" s="29"/>
      <c r="H10728" s="29" t="s">
        <v>6776</v>
      </c>
      <c r="I10728" s="29"/>
      <c r="J10728" s="29" t="s">
        <v>6777</v>
      </c>
      <c r="K10728" s="29"/>
      <c r="L10728" s="29" t="s">
        <v>1286</v>
      </c>
      <c r="M10728" s="29"/>
      <c r="N10728" s="29" t="s">
        <v>868</v>
      </c>
      <c r="O10728" s="29"/>
      <c r="P10728" s="29" t="s">
        <v>14564</v>
      </c>
      <c r="Q10728" t="s">
        <v>2038</v>
      </c>
      <c r="R10728" t="s">
        <v>2635</v>
      </c>
      <c r="S10728">
        <v>38</v>
      </c>
      <c r="T10728" s="43" t="str">
        <f t="shared" si="462"/>
        <v>2022.003D.Lefavirales_106rensp.zip</v>
      </c>
      <c r="U10728" s="43" t="str">
        <f>HYPERLINK("https://ictv.global/taxonomy/taxondetails?taxnode_id=202202702","ictv.global=202202702")</f>
        <v>ictv.global=202202702</v>
      </c>
    </row>
    <row r="10729" spans="1:21">
      <c r="A10729">
        <v>10728</v>
      </c>
      <c r="B10729" s="29"/>
      <c r="C10729" s="29"/>
      <c r="D10729" s="29"/>
      <c r="E10729" s="29"/>
      <c r="F10729" s="29"/>
      <c r="G10729" s="29"/>
      <c r="H10729" s="29" t="s">
        <v>6776</v>
      </c>
      <c r="I10729" s="29"/>
      <c r="J10729" s="29" t="s">
        <v>6777</v>
      </c>
      <c r="K10729" s="29"/>
      <c r="L10729" s="29" t="s">
        <v>1286</v>
      </c>
      <c r="M10729" s="29"/>
      <c r="N10729" s="29" t="s">
        <v>868</v>
      </c>
      <c r="O10729" s="29"/>
      <c r="P10729" s="29" t="s">
        <v>14565</v>
      </c>
      <c r="Q10729" t="s">
        <v>2038</v>
      </c>
      <c r="R10729" t="s">
        <v>2635</v>
      </c>
      <c r="S10729">
        <v>38</v>
      </c>
      <c r="T10729" s="43" t="str">
        <f t="shared" si="462"/>
        <v>2022.003D.Lefavirales_106rensp.zip</v>
      </c>
      <c r="U10729" s="43" t="str">
        <f>HYPERLINK("https://ictv.global/taxonomy/taxondetails?taxnode_id=202202703","ictv.global=202202703")</f>
        <v>ictv.global=202202703</v>
      </c>
    </row>
    <row r="10730" spans="1:21">
      <c r="A10730">
        <v>10729</v>
      </c>
      <c r="B10730" s="29"/>
      <c r="C10730" s="29"/>
      <c r="D10730" s="29"/>
      <c r="E10730" s="29"/>
      <c r="F10730" s="29"/>
      <c r="G10730" s="29"/>
      <c r="H10730" s="29" t="s">
        <v>6776</v>
      </c>
      <c r="I10730" s="29"/>
      <c r="J10730" s="29" t="s">
        <v>6777</v>
      </c>
      <c r="K10730" s="29"/>
      <c r="L10730" s="29" t="s">
        <v>1286</v>
      </c>
      <c r="M10730" s="29"/>
      <c r="N10730" s="29" t="s">
        <v>868</v>
      </c>
      <c r="O10730" s="29"/>
      <c r="P10730" s="29" t="s">
        <v>14566</v>
      </c>
      <c r="Q10730" t="s">
        <v>2038</v>
      </c>
      <c r="R10730" t="s">
        <v>2635</v>
      </c>
      <c r="S10730">
        <v>38</v>
      </c>
      <c r="T10730" s="43" t="str">
        <f t="shared" si="462"/>
        <v>2022.003D.Lefavirales_106rensp.zip</v>
      </c>
      <c r="U10730" s="43" t="str">
        <f>HYPERLINK("https://ictv.global/taxonomy/taxondetails?taxnode_id=202205756","ictv.global=202205756")</f>
        <v>ictv.global=202205756</v>
      </c>
    </row>
    <row r="10731" spans="1:21">
      <c r="A10731">
        <v>10730</v>
      </c>
      <c r="B10731" s="29"/>
      <c r="C10731" s="29"/>
      <c r="D10731" s="29"/>
      <c r="E10731" s="29"/>
      <c r="F10731" s="29"/>
      <c r="G10731" s="29"/>
      <c r="H10731" s="29" t="s">
        <v>6776</v>
      </c>
      <c r="I10731" s="29"/>
      <c r="J10731" s="29" t="s">
        <v>6777</v>
      </c>
      <c r="K10731" s="29"/>
      <c r="L10731" s="29" t="s">
        <v>1286</v>
      </c>
      <c r="M10731" s="29"/>
      <c r="N10731" s="29" t="s">
        <v>868</v>
      </c>
      <c r="O10731" s="29"/>
      <c r="P10731" s="29" t="s">
        <v>14567</v>
      </c>
      <c r="Q10731" t="s">
        <v>2038</v>
      </c>
      <c r="R10731" t="s">
        <v>2635</v>
      </c>
      <c r="S10731">
        <v>38</v>
      </c>
      <c r="T10731" s="43" t="str">
        <f t="shared" si="462"/>
        <v>2022.003D.Lefavirales_106rensp.zip</v>
      </c>
      <c r="U10731" s="43" t="str">
        <f>HYPERLINK("https://ictv.global/taxonomy/taxondetails?taxnode_id=202202705","ictv.global=202202705")</f>
        <v>ictv.global=202202705</v>
      </c>
    </row>
    <row r="10732" spans="1:21">
      <c r="A10732">
        <v>10731</v>
      </c>
      <c r="B10732" s="29"/>
      <c r="C10732" s="29"/>
      <c r="D10732" s="29"/>
      <c r="E10732" s="29"/>
      <c r="F10732" s="29"/>
      <c r="G10732" s="29"/>
      <c r="H10732" s="29" t="s">
        <v>6776</v>
      </c>
      <c r="I10732" s="29"/>
      <c r="J10732" s="29" t="s">
        <v>6777</v>
      </c>
      <c r="K10732" s="29"/>
      <c r="L10732" s="29" t="s">
        <v>1286</v>
      </c>
      <c r="M10732" s="29"/>
      <c r="N10732" s="29" t="s">
        <v>868</v>
      </c>
      <c r="O10732" s="29"/>
      <c r="P10732" s="29" t="s">
        <v>14568</v>
      </c>
      <c r="Q10732" t="s">
        <v>2038</v>
      </c>
      <c r="R10732" t="s">
        <v>2635</v>
      </c>
      <c r="S10732">
        <v>38</v>
      </c>
      <c r="T10732" s="43" t="str">
        <f t="shared" si="462"/>
        <v>2022.003D.Lefavirales_106rensp.zip</v>
      </c>
      <c r="U10732" s="43" t="str">
        <f>HYPERLINK("https://ictv.global/taxonomy/taxondetails?taxnode_id=202202706","ictv.global=202202706")</f>
        <v>ictv.global=202202706</v>
      </c>
    </row>
    <row r="10733" spans="1:21">
      <c r="A10733">
        <v>10732</v>
      </c>
      <c r="B10733" s="29"/>
      <c r="C10733" s="29"/>
      <c r="D10733" s="29"/>
      <c r="E10733" s="29"/>
      <c r="F10733" s="29"/>
      <c r="G10733" s="29"/>
      <c r="H10733" s="29" t="s">
        <v>6776</v>
      </c>
      <c r="I10733" s="29"/>
      <c r="J10733" s="29" t="s">
        <v>6777</v>
      </c>
      <c r="K10733" s="29"/>
      <c r="L10733" s="29" t="s">
        <v>1286</v>
      </c>
      <c r="M10733" s="29"/>
      <c r="N10733" s="29" t="s">
        <v>868</v>
      </c>
      <c r="O10733" s="29"/>
      <c r="P10733" s="29" t="s">
        <v>14569</v>
      </c>
      <c r="Q10733" t="s">
        <v>2038</v>
      </c>
      <c r="R10733" t="s">
        <v>2635</v>
      </c>
      <c r="S10733">
        <v>38</v>
      </c>
      <c r="T10733" s="43" t="str">
        <f t="shared" si="462"/>
        <v>2022.003D.Lefavirales_106rensp.zip</v>
      </c>
      <c r="U10733" s="43" t="str">
        <f>HYPERLINK("https://ictv.global/taxonomy/taxondetails?taxnode_id=202202707","ictv.global=202202707")</f>
        <v>ictv.global=202202707</v>
      </c>
    </row>
    <row r="10734" spans="1:21">
      <c r="A10734">
        <v>10733</v>
      </c>
      <c r="B10734" s="29"/>
      <c r="C10734" s="29"/>
      <c r="D10734" s="29"/>
      <c r="E10734" s="29"/>
      <c r="F10734" s="29"/>
      <c r="G10734" s="29"/>
      <c r="H10734" s="29" t="s">
        <v>6776</v>
      </c>
      <c r="I10734" s="29"/>
      <c r="J10734" s="29" t="s">
        <v>6777</v>
      </c>
      <c r="K10734" s="29"/>
      <c r="L10734" s="29" t="s">
        <v>1286</v>
      </c>
      <c r="M10734" s="29"/>
      <c r="N10734" s="29" t="s">
        <v>868</v>
      </c>
      <c r="O10734" s="29"/>
      <c r="P10734" s="29" t="s">
        <v>14570</v>
      </c>
      <c r="Q10734" t="s">
        <v>2038</v>
      </c>
      <c r="R10734" t="s">
        <v>2635</v>
      </c>
      <c r="S10734">
        <v>38</v>
      </c>
      <c r="T10734" s="43" t="str">
        <f t="shared" si="462"/>
        <v>2022.003D.Lefavirales_106rensp.zip</v>
      </c>
      <c r="U10734" s="43" t="str">
        <f>HYPERLINK("https://ictv.global/taxonomy/taxondetails?taxnode_id=202202708","ictv.global=202202708")</f>
        <v>ictv.global=202202708</v>
      </c>
    </row>
    <row r="10735" spans="1:21">
      <c r="A10735">
        <v>10734</v>
      </c>
      <c r="B10735" s="29"/>
      <c r="C10735" s="29"/>
      <c r="D10735" s="29"/>
      <c r="E10735" s="29"/>
      <c r="F10735" s="29"/>
      <c r="G10735" s="29"/>
      <c r="H10735" s="29" t="s">
        <v>6776</v>
      </c>
      <c r="I10735" s="29"/>
      <c r="J10735" s="29" t="s">
        <v>6777</v>
      </c>
      <c r="K10735" s="29"/>
      <c r="L10735" s="29" t="s">
        <v>1286</v>
      </c>
      <c r="M10735" s="29"/>
      <c r="N10735" s="29" t="s">
        <v>868</v>
      </c>
      <c r="O10735" s="29"/>
      <c r="P10735" s="29" t="s">
        <v>14571</v>
      </c>
      <c r="Q10735" t="s">
        <v>2038</v>
      </c>
      <c r="R10735" t="s">
        <v>2635</v>
      </c>
      <c r="S10735">
        <v>38</v>
      </c>
      <c r="T10735" s="43" t="str">
        <f t="shared" si="462"/>
        <v>2022.003D.Lefavirales_106rensp.zip</v>
      </c>
      <c r="U10735" s="43" t="str">
        <f>HYPERLINK("https://ictv.global/taxonomy/taxondetails?taxnode_id=202202709","ictv.global=202202709")</f>
        <v>ictv.global=202202709</v>
      </c>
    </row>
    <row r="10736" spans="1:21">
      <c r="A10736">
        <v>10735</v>
      </c>
      <c r="B10736" s="29"/>
      <c r="C10736" s="29"/>
      <c r="D10736" s="29"/>
      <c r="E10736" s="29"/>
      <c r="F10736" s="29"/>
      <c r="G10736" s="29"/>
      <c r="H10736" s="29" t="s">
        <v>6776</v>
      </c>
      <c r="I10736" s="29"/>
      <c r="J10736" s="29" t="s">
        <v>6777</v>
      </c>
      <c r="K10736" s="29"/>
      <c r="L10736" s="29" t="s">
        <v>1286</v>
      </c>
      <c r="M10736" s="29"/>
      <c r="N10736" s="29" t="s">
        <v>868</v>
      </c>
      <c r="O10736" s="29"/>
      <c r="P10736" s="29" t="s">
        <v>14572</v>
      </c>
      <c r="Q10736" t="s">
        <v>2038</v>
      </c>
      <c r="R10736" t="s">
        <v>2635</v>
      </c>
      <c r="S10736">
        <v>38</v>
      </c>
      <c r="T10736" s="43" t="str">
        <f t="shared" si="462"/>
        <v>2022.003D.Lefavirales_106rensp.zip</v>
      </c>
      <c r="U10736" s="43" t="str">
        <f>HYPERLINK("https://ictv.global/taxonomy/taxondetails?taxnode_id=202202710","ictv.global=202202710")</f>
        <v>ictv.global=202202710</v>
      </c>
    </row>
    <row r="10737" spans="1:21">
      <c r="A10737">
        <v>10736</v>
      </c>
      <c r="B10737" s="29"/>
      <c r="C10737" s="29"/>
      <c r="D10737" s="29"/>
      <c r="E10737" s="29"/>
      <c r="F10737" s="29"/>
      <c r="G10737" s="29"/>
      <c r="H10737" s="29" t="s">
        <v>6776</v>
      </c>
      <c r="I10737" s="29"/>
      <c r="J10737" s="29" t="s">
        <v>6777</v>
      </c>
      <c r="K10737" s="29"/>
      <c r="L10737" s="29" t="s">
        <v>1286</v>
      </c>
      <c r="M10737" s="29"/>
      <c r="N10737" s="29" t="s">
        <v>868</v>
      </c>
      <c r="O10737" s="29"/>
      <c r="P10737" s="29" t="s">
        <v>14573</v>
      </c>
      <c r="Q10737" t="s">
        <v>2038</v>
      </c>
      <c r="R10737" t="s">
        <v>2635</v>
      </c>
      <c r="S10737">
        <v>38</v>
      </c>
      <c r="T10737" s="43" t="str">
        <f t="shared" si="462"/>
        <v>2022.003D.Lefavirales_106rensp.zip</v>
      </c>
      <c r="U10737" s="43" t="str">
        <f>HYPERLINK("https://ictv.global/taxonomy/taxondetails?taxnode_id=202202711","ictv.global=202202711")</f>
        <v>ictv.global=202202711</v>
      </c>
    </row>
    <row r="10738" spans="1:21">
      <c r="A10738">
        <v>10737</v>
      </c>
      <c r="B10738" s="29"/>
      <c r="C10738" s="29"/>
      <c r="D10738" s="29"/>
      <c r="E10738" s="29"/>
      <c r="F10738" s="29"/>
      <c r="G10738" s="29"/>
      <c r="H10738" s="29" t="s">
        <v>6776</v>
      </c>
      <c r="I10738" s="29"/>
      <c r="J10738" s="29" t="s">
        <v>6777</v>
      </c>
      <c r="K10738" s="29"/>
      <c r="L10738" s="29" t="s">
        <v>1286</v>
      </c>
      <c r="M10738" s="29"/>
      <c r="N10738" s="29" t="s">
        <v>868</v>
      </c>
      <c r="O10738" s="29"/>
      <c r="P10738" s="29" t="s">
        <v>14574</v>
      </c>
      <c r="Q10738" t="s">
        <v>2038</v>
      </c>
      <c r="R10738" t="s">
        <v>2635</v>
      </c>
      <c r="S10738">
        <v>38</v>
      </c>
      <c r="T10738" s="43" t="str">
        <f t="shared" si="462"/>
        <v>2022.003D.Lefavirales_106rensp.zip</v>
      </c>
      <c r="U10738" s="43" t="str">
        <f>HYPERLINK("https://ictv.global/taxonomy/taxondetails?taxnode_id=202213429","ictv.global=202213429")</f>
        <v>ictv.global=202213429</v>
      </c>
    </row>
    <row r="10739" spans="1:21">
      <c r="A10739">
        <v>10738</v>
      </c>
      <c r="B10739" s="29"/>
      <c r="C10739" s="29"/>
      <c r="D10739" s="29"/>
      <c r="E10739" s="29"/>
      <c r="F10739" s="29"/>
      <c r="G10739" s="29"/>
      <c r="H10739" s="29" t="s">
        <v>6776</v>
      </c>
      <c r="I10739" s="29"/>
      <c r="J10739" s="29" t="s">
        <v>6777</v>
      </c>
      <c r="K10739" s="29"/>
      <c r="L10739" s="29" t="s">
        <v>1286</v>
      </c>
      <c r="M10739" s="29"/>
      <c r="N10739" s="29" t="s">
        <v>868</v>
      </c>
      <c r="O10739" s="29"/>
      <c r="P10739" s="29" t="s">
        <v>14575</v>
      </c>
      <c r="Q10739" t="s">
        <v>2038</v>
      </c>
      <c r="R10739" t="s">
        <v>2635</v>
      </c>
      <c r="S10739">
        <v>38</v>
      </c>
      <c r="T10739" s="43" t="str">
        <f t="shared" si="462"/>
        <v>2022.003D.Lefavirales_106rensp.zip</v>
      </c>
      <c r="U10739" s="43" t="str">
        <f>HYPERLINK("https://ictv.global/taxonomy/taxondetails?taxnode_id=202202712","ictv.global=202202712")</f>
        <v>ictv.global=202202712</v>
      </c>
    </row>
    <row r="10740" spans="1:21">
      <c r="A10740">
        <v>10739</v>
      </c>
      <c r="B10740" s="29"/>
      <c r="C10740" s="29"/>
      <c r="D10740" s="29"/>
      <c r="E10740" s="29"/>
      <c r="F10740" s="29"/>
      <c r="G10740" s="29"/>
      <c r="H10740" s="29" t="s">
        <v>6776</v>
      </c>
      <c r="I10740" s="29"/>
      <c r="J10740" s="29" t="s">
        <v>6777</v>
      </c>
      <c r="K10740" s="29"/>
      <c r="L10740" s="29" t="s">
        <v>1286</v>
      </c>
      <c r="M10740" s="29"/>
      <c r="N10740" s="29" t="s">
        <v>868</v>
      </c>
      <c r="O10740" s="29"/>
      <c r="P10740" s="29" t="s">
        <v>14576</v>
      </c>
      <c r="Q10740" t="s">
        <v>2038</v>
      </c>
      <c r="R10740" t="s">
        <v>2632</v>
      </c>
      <c r="S10740">
        <v>37</v>
      </c>
      <c r="T10740" s="43" t="str">
        <f>HYPERLINK("https://ictv.global/ictv/proposals/2021.004D.R.Baculoviridae_6nsp.zip","2021.004D.R.Baculoviridae_6nsp.zip")</f>
        <v>2021.004D.R.Baculoviridae_6nsp.zip</v>
      </c>
      <c r="U10740" s="43" t="str">
        <f>HYPERLINK("https://ictv.global/taxonomy/taxondetails?taxnode_id=202213430","ictv.global=202213430")</f>
        <v>ictv.global=202213430</v>
      </c>
    </row>
    <row r="10741" spans="1:21">
      <c r="A10741">
        <v>10740</v>
      </c>
      <c r="B10741" s="29"/>
      <c r="C10741" s="29"/>
      <c r="D10741" s="29"/>
      <c r="E10741" s="29"/>
      <c r="F10741" s="29"/>
      <c r="G10741" s="29"/>
      <c r="H10741" s="29" t="s">
        <v>6776</v>
      </c>
      <c r="I10741" s="29"/>
      <c r="J10741" s="29" t="s">
        <v>6777</v>
      </c>
      <c r="K10741" s="29"/>
      <c r="L10741" s="29" t="s">
        <v>1286</v>
      </c>
      <c r="M10741" s="29"/>
      <c r="N10741" s="29" t="s">
        <v>868</v>
      </c>
      <c r="O10741" s="29"/>
      <c r="P10741" s="29" t="s">
        <v>14577</v>
      </c>
      <c r="Q10741" t="s">
        <v>2038</v>
      </c>
      <c r="R10741" t="s">
        <v>2635</v>
      </c>
      <c r="S10741">
        <v>38</v>
      </c>
      <c r="T10741" s="43" t="str">
        <f t="shared" ref="T10741:T10750" si="463">HYPERLINK("https://ictv.global/ictv/proposals/2022.003D.Lefavirales_106rensp.zip","2022.003D.Lefavirales_106rensp.zip")</f>
        <v>2022.003D.Lefavirales_106rensp.zip</v>
      </c>
      <c r="U10741" s="43" t="str">
        <f>HYPERLINK("https://ictv.global/taxonomy/taxondetails?taxnode_id=202206533","ictv.global=202206533")</f>
        <v>ictv.global=202206533</v>
      </c>
    </row>
    <row r="10742" spans="1:21">
      <c r="A10742">
        <v>10741</v>
      </c>
      <c r="B10742" s="29"/>
      <c r="C10742" s="29"/>
      <c r="D10742" s="29"/>
      <c r="E10742" s="29"/>
      <c r="F10742" s="29"/>
      <c r="G10742" s="29"/>
      <c r="H10742" s="29" t="s">
        <v>6776</v>
      </c>
      <c r="I10742" s="29"/>
      <c r="J10742" s="29" t="s">
        <v>6777</v>
      </c>
      <c r="K10742" s="29"/>
      <c r="L10742" s="29" t="s">
        <v>1286</v>
      </c>
      <c r="M10742" s="29"/>
      <c r="N10742" s="29" t="s">
        <v>868</v>
      </c>
      <c r="O10742" s="29"/>
      <c r="P10742" s="29" t="s">
        <v>14578</v>
      </c>
      <c r="Q10742" t="s">
        <v>2038</v>
      </c>
      <c r="R10742" t="s">
        <v>2635</v>
      </c>
      <c r="S10742">
        <v>38</v>
      </c>
      <c r="T10742" s="43" t="str">
        <f t="shared" si="463"/>
        <v>2022.003D.Lefavirales_106rensp.zip</v>
      </c>
      <c r="U10742" s="43" t="str">
        <f>HYPERLINK("https://ictv.global/taxonomy/taxondetails?taxnode_id=202202716","ictv.global=202202716")</f>
        <v>ictv.global=202202716</v>
      </c>
    </row>
    <row r="10743" spans="1:21">
      <c r="A10743">
        <v>10742</v>
      </c>
      <c r="B10743" s="29"/>
      <c r="C10743" s="29"/>
      <c r="D10743" s="29"/>
      <c r="E10743" s="29"/>
      <c r="F10743" s="29"/>
      <c r="G10743" s="29"/>
      <c r="H10743" s="29" t="s">
        <v>6776</v>
      </c>
      <c r="I10743" s="29"/>
      <c r="J10743" s="29" t="s">
        <v>6777</v>
      </c>
      <c r="K10743" s="29"/>
      <c r="L10743" s="29" t="s">
        <v>1286</v>
      </c>
      <c r="M10743" s="29"/>
      <c r="N10743" s="29" t="s">
        <v>868</v>
      </c>
      <c r="O10743" s="29"/>
      <c r="P10743" s="29" t="s">
        <v>14579</v>
      </c>
      <c r="Q10743" t="s">
        <v>2038</v>
      </c>
      <c r="R10743" t="s">
        <v>2635</v>
      </c>
      <c r="S10743">
        <v>38</v>
      </c>
      <c r="T10743" s="43" t="str">
        <f t="shared" si="463"/>
        <v>2022.003D.Lefavirales_106rensp.zip</v>
      </c>
      <c r="U10743" s="43" t="str">
        <f>HYPERLINK("https://ictv.global/taxonomy/taxondetails?taxnode_id=202202713","ictv.global=202202713")</f>
        <v>ictv.global=202202713</v>
      </c>
    </row>
    <row r="10744" spans="1:21">
      <c r="A10744">
        <v>10743</v>
      </c>
      <c r="B10744" s="29"/>
      <c r="C10744" s="29"/>
      <c r="D10744" s="29"/>
      <c r="E10744" s="29"/>
      <c r="F10744" s="29"/>
      <c r="G10744" s="29"/>
      <c r="H10744" s="29" t="s">
        <v>6776</v>
      </c>
      <c r="I10744" s="29"/>
      <c r="J10744" s="29" t="s">
        <v>6777</v>
      </c>
      <c r="K10744" s="29"/>
      <c r="L10744" s="29" t="s">
        <v>1286</v>
      </c>
      <c r="M10744" s="29"/>
      <c r="N10744" s="29" t="s">
        <v>868</v>
      </c>
      <c r="O10744" s="29"/>
      <c r="P10744" s="29" t="s">
        <v>14580</v>
      </c>
      <c r="Q10744" t="s">
        <v>2038</v>
      </c>
      <c r="R10744" t="s">
        <v>2635</v>
      </c>
      <c r="S10744">
        <v>38</v>
      </c>
      <c r="T10744" s="43" t="str">
        <f t="shared" si="463"/>
        <v>2022.003D.Lefavirales_106rensp.zip</v>
      </c>
      <c r="U10744" s="43" t="str">
        <f>HYPERLINK("https://ictv.global/taxonomy/taxondetails?taxnode_id=202202714","ictv.global=202202714")</f>
        <v>ictv.global=202202714</v>
      </c>
    </row>
    <row r="10745" spans="1:21">
      <c r="A10745">
        <v>10744</v>
      </c>
      <c r="B10745" s="29"/>
      <c r="C10745" s="29"/>
      <c r="D10745" s="29"/>
      <c r="E10745" s="29"/>
      <c r="F10745" s="29"/>
      <c r="G10745" s="29"/>
      <c r="H10745" s="29" t="s">
        <v>6776</v>
      </c>
      <c r="I10745" s="29"/>
      <c r="J10745" s="29" t="s">
        <v>6777</v>
      </c>
      <c r="K10745" s="29"/>
      <c r="L10745" s="29" t="s">
        <v>1286</v>
      </c>
      <c r="M10745" s="29"/>
      <c r="N10745" s="29" t="s">
        <v>868</v>
      </c>
      <c r="O10745" s="29"/>
      <c r="P10745" s="29" t="s">
        <v>14581</v>
      </c>
      <c r="Q10745" t="s">
        <v>2038</v>
      </c>
      <c r="R10745" t="s">
        <v>2635</v>
      </c>
      <c r="S10745">
        <v>38</v>
      </c>
      <c r="T10745" s="43" t="str">
        <f t="shared" si="463"/>
        <v>2022.003D.Lefavirales_106rensp.zip</v>
      </c>
      <c r="U10745" s="43" t="str">
        <f>HYPERLINK("https://ictv.global/taxonomy/taxondetails?taxnode_id=202202715","ictv.global=202202715")</f>
        <v>ictv.global=202202715</v>
      </c>
    </row>
    <row r="10746" spans="1:21">
      <c r="A10746">
        <v>10745</v>
      </c>
      <c r="B10746" s="29"/>
      <c r="C10746" s="29"/>
      <c r="D10746" s="29"/>
      <c r="E10746" s="29"/>
      <c r="F10746" s="29"/>
      <c r="G10746" s="29"/>
      <c r="H10746" s="29" t="s">
        <v>6776</v>
      </c>
      <c r="I10746" s="29"/>
      <c r="J10746" s="29" t="s">
        <v>6777</v>
      </c>
      <c r="K10746" s="29"/>
      <c r="L10746" s="29" t="s">
        <v>1286</v>
      </c>
      <c r="M10746" s="29"/>
      <c r="N10746" s="29" t="s">
        <v>868</v>
      </c>
      <c r="O10746" s="29"/>
      <c r="P10746" s="29" t="s">
        <v>14582</v>
      </c>
      <c r="Q10746" t="s">
        <v>2038</v>
      </c>
      <c r="R10746" t="s">
        <v>2635</v>
      </c>
      <c r="S10746">
        <v>38</v>
      </c>
      <c r="T10746" s="43" t="str">
        <f t="shared" si="463"/>
        <v>2022.003D.Lefavirales_106rensp.zip</v>
      </c>
      <c r="U10746" s="43" t="str">
        <f>HYPERLINK("https://ictv.global/taxonomy/taxondetails?taxnode_id=202202718","ictv.global=202202718")</f>
        <v>ictv.global=202202718</v>
      </c>
    </row>
    <row r="10747" spans="1:21">
      <c r="A10747">
        <v>10746</v>
      </c>
      <c r="B10747" s="29"/>
      <c r="C10747" s="29"/>
      <c r="D10747" s="29"/>
      <c r="E10747" s="29"/>
      <c r="F10747" s="29"/>
      <c r="G10747" s="29"/>
      <c r="H10747" s="29" t="s">
        <v>6776</v>
      </c>
      <c r="I10747" s="29"/>
      <c r="J10747" s="29" t="s">
        <v>6777</v>
      </c>
      <c r="K10747" s="29"/>
      <c r="L10747" s="29" t="s">
        <v>1286</v>
      </c>
      <c r="M10747" s="29"/>
      <c r="N10747" s="29" t="s">
        <v>868</v>
      </c>
      <c r="O10747" s="29"/>
      <c r="P10747" s="29" t="s">
        <v>14583</v>
      </c>
      <c r="Q10747" t="s">
        <v>2038</v>
      </c>
      <c r="R10747" t="s">
        <v>2635</v>
      </c>
      <c r="S10747">
        <v>38</v>
      </c>
      <c r="T10747" s="43" t="str">
        <f t="shared" si="463"/>
        <v>2022.003D.Lefavirales_106rensp.zip</v>
      </c>
      <c r="U10747" s="43" t="str">
        <f>HYPERLINK("https://ictv.global/taxonomy/taxondetails?taxnode_id=202202717","ictv.global=202202717")</f>
        <v>ictv.global=202202717</v>
      </c>
    </row>
    <row r="10748" spans="1:21">
      <c r="A10748">
        <v>10747</v>
      </c>
      <c r="B10748" s="29"/>
      <c r="C10748" s="29"/>
      <c r="D10748" s="29"/>
      <c r="E10748" s="29"/>
      <c r="F10748" s="29"/>
      <c r="G10748" s="29"/>
      <c r="H10748" s="29" t="s">
        <v>6776</v>
      </c>
      <c r="I10748" s="29"/>
      <c r="J10748" s="29" t="s">
        <v>6777</v>
      </c>
      <c r="K10748" s="29"/>
      <c r="L10748" s="29" t="s">
        <v>1286</v>
      </c>
      <c r="M10748" s="29"/>
      <c r="N10748" s="29" t="s">
        <v>868</v>
      </c>
      <c r="O10748" s="29"/>
      <c r="P10748" s="29" t="s">
        <v>14584</v>
      </c>
      <c r="Q10748" t="s">
        <v>2038</v>
      </c>
      <c r="R10748" t="s">
        <v>2635</v>
      </c>
      <c r="S10748">
        <v>38</v>
      </c>
      <c r="T10748" s="43" t="str">
        <f t="shared" si="463"/>
        <v>2022.003D.Lefavirales_106rensp.zip</v>
      </c>
      <c r="U10748" s="43" t="str">
        <f>HYPERLINK("https://ictv.global/taxonomy/taxondetails?taxnode_id=202202719","ictv.global=202202719")</f>
        <v>ictv.global=202202719</v>
      </c>
    </row>
    <row r="10749" spans="1:21">
      <c r="A10749">
        <v>10748</v>
      </c>
      <c r="B10749" s="29"/>
      <c r="C10749" s="29"/>
      <c r="D10749" s="29"/>
      <c r="E10749" s="29"/>
      <c r="F10749" s="29"/>
      <c r="G10749" s="29"/>
      <c r="H10749" s="29" t="s">
        <v>6776</v>
      </c>
      <c r="I10749" s="29"/>
      <c r="J10749" s="29" t="s">
        <v>6777</v>
      </c>
      <c r="K10749" s="29"/>
      <c r="L10749" s="29" t="s">
        <v>1286</v>
      </c>
      <c r="M10749" s="29"/>
      <c r="N10749" s="29" t="s">
        <v>868</v>
      </c>
      <c r="O10749" s="29"/>
      <c r="P10749" s="29" t="s">
        <v>14585</v>
      </c>
      <c r="Q10749" t="s">
        <v>2038</v>
      </c>
      <c r="R10749" t="s">
        <v>2635</v>
      </c>
      <c r="S10749">
        <v>38</v>
      </c>
      <c r="T10749" s="43" t="str">
        <f t="shared" si="463"/>
        <v>2022.003D.Lefavirales_106rensp.zip</v>
      </c>
      <c r="U10749" s="43" t="str">
        <f>HYPERLINK("https://ictv.global/taxonomy/taxondetails?taxnode_id=202202720","ictv.global=202202720")</f>
        <v>ictv.global=202202720</v>
      </c>
    </row>
    <row r="10750" spans="1:21">
      <c r="A10750">
        <v>10749</v>
      </c>
      <c r="B10750" s="29"/>
      <c r="C10750" s="29"/>
      <c r="D10750" s="29"/>
      <c r="E10750" s="29"/>
      <c r="F10750" s="29"/>
      <c r="G10750" s="29"/>
      <c r="H10750" s="29" t="s">
        <v>6776</v>
      </c>
      <c r="I10750" s="29"/>
      <c r="J10750" s="29" t="s">
        <v>6777</v>
      </c>
      <c r="K10750" s="29"/>
      <c r="L10750" s="29" t="s">
        <v>1286</v>
      </c>
      <c r="M10750" s="29"/>
      <c r="N10750" s="29" t="s">
        <v>1292</v>
      </c>
      <c r="O10750" s="29"/>
      <c r="P10750" s="29" t="s">
        <v>14586</v>
      </c>
      <c r="Q10750" t="s">
        <v>2038</v>
      </c>
      <c r="R10750" t="s">
        <v>2635</v>
      </c>
      <c r="S10750">
        <v>38</v>
      </c>
      <c r="T10750" s="43" t="str">
        <f t="shared" si="463"/>
        <v>2022.003D.Lefavirales_106rensp.zip</v>
      </c>
      <c r="U10750" s="43" t="str">
        <f>HYPERLINK("https://ictv.global/taxonomy/taxondetails?taxnode_id=202202722","ictv.global=202202722")</f>
        <v>ictv.global=202202722</v>
      </c>
    </row>
    <row r="10751" spans="1:21">
      <c r="A10751">
        <v>10750</v>
      </c>
      <c r="B10751" s="29"/>
      <c r="C10751" s="29"/>
      <c r="D10751" s="29"/>
      <c r="E10751" s="29"/>
      <c r="F10751" s="29"/>
      <c r="G10751" s="29"/>
      <c r="H10751" s="29" t="s">
        <v>6776</v>
      </c>
      <c r="I10751" s="29"/>
      <c r="J10751" s="29" t="s">
        <v>6777</v>
      </c>
      <c r="K10751" s="29"/>
      <c r="L10751" s="29" t="s">
        <v>1286</v>
      </c>
      <c r="M10751" s="29"/>
      <c r="N10751" s="29" t="s">
        <v>504</v>
      </c>
      <c r="O10751" s="29"/>
      <c r="P10751" s="29" t="s">
        <v>14587</v>
      </c>
      <c r="Q10751" t="s">
        <v>2038</v>
      </c>
      <c r="R10751" t="s">
        <v>2632</v>
      </c>
      <c r="S10751">
        <v>38</v>
      </c>
      <c r="T10751" s="43" t="str">
        <f>HYPERLINK("https://ictv.global/ictv/proposals/2022.004D.Baculoviridae_6nsp.zip","2022.004D.Baculoviridae_6nsp.zip")</f>
        <v>2022.004D.Baculoviridae_6nsp.zip</v>
      </c>
      <c r="U10751" s="43" t="str">
        <f>HYPERLINK("https://ictv.global/taxonomy/taxondetails?taxnode_id=202214027","ictv.global=202214027")</f>
        <v>ictv.global=202214027</v>
      </c>
    </row>
    <row r="10752" spans="1:21">
      <c r="A10752">
        <v>10751</v>
      </c>
      <c r="B10752" s="29"/>
      <c r="C10752" s="29"/>
      <c r="D10752" s="29"/>
      <c r="E10752" s="29"/>
      <c r="F10752" s="29"/>
      <c r="G10752" s="29"/>
      <c r="H10752" s="29" t="s">
        <v>6776</v>
      </c>
      <c r="I10752" s="29"/>
      <c r="J10752" s="29" t="s">
        <v>6777</v>
      </c>
      <c r="K10752" s="29"/>
      <c r="L10752" s="29" t="s">
        <v>1286</v>
      </c>
      <c r="M10752" s="29"/>
      <c r="N10752" s="29" t="s">
        <v>504</v>
      </c>
      <c r="O10752" s="29"/>
      <c r="P10752" s="29" t="s">
        <v>14588</v>
      </c>
      <c r="Q10752" t="s">
        <v>2038</v>
      </c>
      <c r="R10752" t="s">
        <v>2635</v>
      </c>
      <c r="S10752">
        <v>38</v>
      </c>
      <c r="T10752" s="43" t="str">
        <f t="shared" ref="T10752:T10768" si="464">HYPERLINK("https://ictv.global/ictv/proposals/2022.003D.Lefavirales_106rensp.zip","2022.003D.Lefavirales_106rensp.zip")</f>
        <v>2022.003D.Lefavirales_106rensp.zip</v>
      </c>
      <c r="U10752" s="43" t="str">
        <f>HYPERLINK("https://ictv.global/taxonomy/taxondetails?taxnode_id=202202724","ictv.global=202202724")</f>
        <v>ictv.global=202202724</v>
      </c>
    </row>
    <row r="10753" spans="1:21">
      <c r="A10753">
        <v>10752</v>
      </c>
      <c r="B10753" s="29"/>
      <c r="C10753" s="29"/>
      <c r="D10753" s="29"/>
      <c r="E10753" s="29"/>
      <c r="F10753" s="29"/>
      <c r="G10753" s="29"/>
      <c r="H10753" s="29" t="s">
        <v>6776</v>
      </c>
      <c r="I10753" s="29"/>
      <c r="J10753" s="29" t="s">
        <v>6777</v>
      </c>
      <c r="K10753" s="29"/>
      <c r="L10753" s="29" t="s">
        <v>1286</v>
      </c>
      <c r="M10753" s="29"/>
      <c r="N10753" s="29" t="s">
        <v>504</v>
      </c>
      <c r="O10753" s="29"/>
      <c r="P10753" s="29" t="s">
        <v>14589</v>
      </c>
      <c r="Q10753" t="s">
        <v>2038</v>
      </c>
      <c r="R10753" t="s">
        <v>2635</v>
      </c>
      <c r="S10753">
        <v>38</v>
      </c>
      <c r="T10753" s="43" t="str">
        <f t="shared" si="464"/>
        <v>2022.003D.Lefavirales_106rensp.zip</v>
      </c>
      <c r="U10753" s="43" t="str">
        <f>HYPERLINK("https://ictv.global/taxonomy/taxondetails?taxnode_id=202202725","ictv.global=202202725")</f>
        <v>ictv.global=202202725</v>
      </c>
    </row>
    <row r="10754" spans="1:21">
      <c r="A10754">
        <v>10753</v>
      </c>
      <c r="B10754" s="29"/>
      <c r="C10754" s="29"/>
      <c r="D10754" s="29"/>
      <c r="E10754" s="29"/>
      <c r="F10754" s="29"/>
      <c r="G10754" s="29"/>
      <c r="H10754" s="29" t="s">
        <v>6776</v>
      </c>
      <c r="I10754" s="29"/>
      <c r="J10754" s="29" t="s">
        <v>6777</v>
      </c>
      <c r="K10754" s="29"/>
      <c r="L10754" s="29" t="s">
        <v>56</v>
      </c>
      <c r="M10754" s="29"/>
      <c r="N10754" s="29" t="s">
        <v>57</v>
      </c>
      <c r="O10754" s="29"/>
      <c r="P10754" s="29" t="s">
        <v>14590</v>
      </c>
      <c r="Q10754" t="s">
        <v>2038</v>
      </c>
      <c r="R10754" t="s">
        <v>2635</v>
      </c>
      <c r="S10754">
        <v>38</v>
      </c>
      <c r="T10754" s="43" t="str">
        <f t="shared" si="464"/>
        <v>2022.003D.Lefavirales_106rensp.zip</v>
      </c>
      <c r="U10754" s="43" t="str">
        <f>HYPERLINK("https://ictv.global/taxonomy/taxondetails?taxnode_id=202203681","ictv.global=202203681")</f>
        <v>ictv.global=202203681</v>
      </c>
    </row>
    <row r="10755" spans="1:21">
      <c r="A10755">
        <v>10754</v>
      </c>
      <c r="B10755" s="29"/>
      <c r="C10755" s="29"/>
      <c r="D10755" s="29"/>
      <c r="E10755" s="29"/>
      <c r="F10755" s="29"/>
      <c r="G10755" s="29"/>
      <c r="H10755" s="29" t="s">
        <v>6776</v>
      </c>
      <c r="I10755" s="29"/>
      <c r="J10755" s="29" t="s">
        <v>6777</v>
      </c>
      <c r="K10755" s="29"/>
      <c r="L10755" s="29" t="s">
        <v>56</v>
      </c>
      <c r="M10755" s="29"/>
      <c r="N10755" s="29" t="s">
        <v>58</v>
      </c>
      <c r="O10755" s="29"/>
      <c r="P10755" s="29" t="s">
        <v>14591</v>
      </c>
      <c r="Q10755" t="s">
        <v>2038</v>
      </c>
      <c r="R10755" t="s">
        <v>2635</v>
      </c>
      <c r="S10755">
        <v>38</v>
      </c>
      <c r="T10755" s="43" t="str">
        <f t="shared" si="464"/>
        <v>2022.003D.Lefavirales_106rensp.zip</v>
      </c>
      <c r="U10755" s="43" t="str">
        <f>HYPERLINK("https://ictv.global/taxonomy/taxondetails?taxnode_id=202203683","ictv.global=202203683")</f>
        <v>ictv.global=202203683</v>
      </c>
    </row>
    <row r="10756" spans="1:21">
      <c r="A10756">
        <v>10755</v>
      </c>
      <c r="B10756" s="29"/>
      <c r="C10756" s="29"/>
      <c r="D10756" s="29"/>
      <c r="E10756" s="29"/>
      <c r="F10756" s="29"/>
      <c r="G10756" s="29"/>
      <c r="H10756" s="29" t="s">
        <v>6776</v>
      </c>
      <c r="I10756" s="29"/>
      <c r="J10756" s="29" t="s">
        <v>6777</v>
      </c>
      <c r="K10756" s="29"/>
      <c r="L10756" s="29" t="s">
        <v>1883</v>
      </c>
      <c r="M10756" s="29"/>
      <c r="N10756" s="29" t="s">
        <v>1884</v>
      </c>
      <c r="O10756" s="29"/>
      <c r="P10756" s="29" t="s">
        <v>14592</v>
      </c>
      <c r="Q10756" t="s">
        <v>2038</v>
      </c>
      <c r="R10756" t="s">
        <v>2635</v>
      </c>
      <c r="S10756">
        <v>38</v>
      </c>
      <c r="T10756" s="43" t="str">
        <f t="shared" si="464"/>
        <v>2022.003D.Lefavirales_106rensp.zip</v>
      </c>
      <c r="U10756" s="43" t="str">
        <f>HYPERLINK("https://ictv.global/taxonomy/taxondetails?taxnode_id=202208928","ictv.global=202208928")</f>
        <v>ictv.global=202208928</v>
      </c>
    </row>
    <row r="10757" spans="1:21">
      <c r="A10757">
        <v>10756</v>
      </c>
      <c r="B10757" s="29"/>
      <c r="C10757" s="29"/>
      <c r="D10757" s="29"/>
      <c r="E10757" s="29"/>
      <c r="F10757" s="29"/>
      <c r="G10757" s="29"/>
      <c r="H10757" s="29" t="s">
        <v>6776</v>
      </c>
      <c r="I10757" s="29"/>
      <c r="J10757" s="29" t="s">
        <v>6777</v>
      </c>
      <c r="K10757" s="29"/>
      <c r="L10757" s="29" t="s">
        <v>1883</v>
      </c>
      <c r="M10757" s="29"/>
      <c r="N10757" s="29" t="s">
        <v>1884</v>
      </c>
      <c r="O10757" s="29"/>
      <c r="P10757" s="29" t="s">
        <v>14593</v>
      </c>
      <c r="Q10757" t="s">
        <v>2038</v>
      </c>
      <c r="R10757" t="s">
        <v>2635</v>
      </c>
      <c r="S10757">
        <v>38</v>
      </c>
      <c r="T10757" s="43" t="str">
        <f t="shared" si="464"/>
        <v>2022.003D.Lefavirales_106rensp.zip</v>
      </c>
      <c r="U10757" s="43" t="str">
        <f>HYPERLINK("https://ictv.global/taxonomy/taxondetails?taxnode_id=202208926","ictv.global=202208926")</f>
        <v>ictv.global=202208926</v>
      </c>
    </row>
    <row r="10758" spans="1:21">
      <c r="A10758">
        <v>10757</v>
      </c>
      <c r="B10758" s="29"/>
      <c r="C10758" s="29"/>
      <c r="D10758" s="29"/>
      <c r="E10758" s="29"/>
      <c r="F10758" s="29"/>
      <c r="G10758" s="29"/>
      <c r="H10758" s="29" t="s">
        <v>6776</v>
      </c>
      <c r="I10758" s="29"/>
      <c r="J10758" s="29" t="s">
        <v>6777</v>
      </c>
      <c r="K10758" s="29"/>
      <c r="L10758" s="29" t="s">
        <v>1883</v>
      </c>
      <c r="M10758" s="29"/>
      <c r="N10758" s="29" t="s">
        <v>1884</v>
      </c>
      <c r="O10758" s="29"/>
      <c r="P10758" s="29" t="s">
        <v>14594</v>
      </c>
      <c r="Q10758" t="s">
        <v>2038</v>
      </c>
      <c r="R10758" t="s">
        <v>2635</v>
      </c>
      <c r="S10758">
        <v>38</v>
      </c>
      <c r="T10758" s="43" t="str">
        <f t="shared" si="464"/>
        <v>2022.003D.Lefavirales_106rensp.zip</v>
      </c>
      <c r="U10758" s="43" t="str">
        <f>HYPERLINK("https://ictv.global/taxonomy/taxondetails?taxnode_id=202208927","ictv.global=202208927")</f>
        <v>ictv.global=202208927</v>
      </c>
    </row>
    <row r="10759" spans="1:21">
      <c r="A10759">
        <v>10758</v>
      </c>
      <c r="B10759" s="29"/>
      <c r="C10759" s="29"/>
      <c r="D10759" s="29"/>
      <c r="E10759" s="29"/>
      <c r="F10759" s="29"/>
      <c r="G10759" s="29"/>
      <c r="H10759" s="29" t="s">
        <v>6776</v>
      </c>
      <c r="I10759" s="29"/>
      <c r="J10759" s="29" t="s">
        <v>6777</v>
      </c>
      <c r="K10759" s="29"/>
      <c r="L10759" s="29" t="s">
        <v>1883</v>
      </c>
      <c r="M10759" s="29"/>
      <c r="N10759" s="29" t="s">
        <v>1884</v>
      </c>
      <c r="O10759" s="29"/>
      <c r="P10759" s="29" t="s">
        <v>14595</v>
      </c>
      <c r="Q10759" t="s">
        <v>2038</v>
      </c>
      <c r="R10759" t="s">
        <v>2635</v>
      </c>
      <c r="S10759">
        <v>38</v>
      </c>
      <c r="T10759" s="43" t="str">
        <f t="shared" si="464"/>
        <v>2022.003D.Lefavirales_106rensp.zip</v>
      </c>
      <c r="U10759" s="43" t="str">
        <f>HYPERLINK("https://ictv.global/taxonomy/taxondetails?taxnode_id=202203939","ictv.global=202203939")</f>
        <v>ictv.global=202203939</v>
      </c>
    </row>
    <row r="10760" spans="1:21">
      <c r="A10760">
        <v>10759</v>
      </c>
      <c r="B10760" s="29"/>
      <c r="C10760" s="29"/>
      <c r="D10760" s="29"/>
      <c r="E10760" s="29"/>
      <c r="F10760" s="29"/>
      <c r="G10760" s="29"/>
      <c r="H10760" s="29" t="s">
        <v>6776</v>
      </c>
      <c r="I10760" s="29"/>
      <c r="J10760" s="29" t="s">
        <v>6777</v>
      </c>
      <c r="K10760" s="29"/>
      <c r="L10760" s="29" t="s">
        <v>1883</v>
      </c>
      <c r="M10760" s="29"/>
      <c r="N10760" s="29" t="s">
        <v>1884</v>
      </c>
      <c r="O10760" s="29"/>
      <c r="P10760" s="29" t="s">
        <v>14596</v>
      </c>
      <c r="Q10760" t="s">
        <v>2038</v>
      </c>
      <c r="R10760" t="s">
        <v>2635</v>
      </c>
      <c r="S10760">
        <v>38</v>
      </c>
      <c r="T10760" s="43" t="str">
        <f t="shared" si="464"/>
        <v>2022.003D.Lefavirales_106rensp.zip</v>
      </c>
      <c r="U10760" s="43" t="str">
        <f>HYPERLINK("https://ictv.global/taxonomy/taxondetails?taxnode_id=202203940","ictv.global=202203940")</f>
        <v>ictv.global=202203940</v>
      </c>
    </row>
    <row r="10761" spans="1:21">
      <c r="A10761">
        <v>10760</v>
      </c>
      <c r="B10761" s="29"/>
      <c r="C10761" s="29"/>
      <c r="D10761" s="29"/>
      <c r="E10761" s="29"/>
      <c r="F10761" s="29"/>
      <c r="G10761" s="29"/>
      <c r="H10761" s="29" t="s">
        <v>6776</v>
      </c>
      <c r="I10761" s="29"/>
      <c r="J10761" s="29" t="s">
        <v>6777</v>
      </c>
      <c r="K10761" s="29"/>
      <c r="L10761" s="29" t="s">
        <v>1883</v>
      </c>
      <c r="M10761" s="29"/>
      <c r="N10761" s="29" t="s">
        <v>1884</v>
      </c>
      <c r="O10761" s="29"/>
      <c r="P10761" s="29" t="s">
        <v>14597</v>
      </c>
      <c r="Q10761" t="s">
        <v>2038</v>
      </c>
      <c r="R10761" t="s">
        <v>2635</v>
      </c>
      <c r="S10761">
        <v>38</v>
      </c>
      <c r="T10761" s="43" t="str">
        <f t="shared" si="464"/>
        <v>2022.003D.Lefavirales_106rensp.zip</v>
      </c>
      <c r="U10761" s="43" t="str">
        <f>HYPERLINK("https://ictv.global/taxonomy/taxondetails?taxnode_id=202208930","ictv.global=202208930")</f>
        <v>ictv.global=202208930</v>
      </c>
    </row>
    <row r="10762" spans="1:21">
      <c r="A10762">
        <v>10761</v>
      </c>
      <c r="B10762" s="29"/>
      <c r="C10762" s="29"/>
      <c r="D10762" s="29"/>
      <c r="E10762" s="29"/>
      <c r="F10762" s="29"/>
      <c r="G10762" s="29"/>
      <c r="H10762" s="29" t="s">
        <v>6776</v>
      </c>
      <c r="I10762" s="29"/>
      <c r="J10762" s="29" t="s">
        <v>6777</v>
      </c>
      <c r="K10762" s="29"/>
      <c r="L10762" s="29" t="s">
        <v>1883</v>
      </c>
      <c r="M10762" s="29"/>
      <c r="N10762" s="29" t="s">
        <v>1884</v>
      </c>
      <c r="O10762" s="29"/>
      <c r="P10762" s="29" t="s">
        <v>14598</v>
      </c>
      <c r="Q10762" t="s">
        <v>2038</v>
      </c>
      <c r="R10762" t="s">
        <v>2635</v>
      </c>
      <c r="S10762">
        <v>38</v>
      </c>
      <c r="T10762" s="43" t="str">
        <f t="shared" si="464"/>
        <v>2022.003D.Lefavirales_106rensp.zip</v>
      </c>
      <c r="U10762" s="43" t="str">
        <f>HYPERLINK("https://ictv.global/taxonomy/taxondetails?taxnode_id=202208929","ictv.global=202208929")</f>
        <v>ictv.global=202208929</v>
      </c>
    </row>
    <row r="10763" spans="1:21">
      <c r="A10763">
        <v>10762</v>
      </c>
      <c r="B10763" s="29"/>
      <c r="C10763" s="29"/>
      <c r="D10763" s="29"/>
      <c r="E10763" s="29"/>
      <c r="F10763" s="29"/>
      <c r="G10763" s="29"/>
      <c r="H10763" s="29" t="s">
        <v>6776</v>
      </c>
      <c r="I10763" s="29"/>
      <c r="J10763" s="29" t="s">
        <v>6777</v>
      </c>
      <c r="K10763" s="29"/>
      <c r="L10763" s="29" t="s">
        <v>1883</v>
      </c>
      <c r="M10763" s="29"/>
      <c r="N10763" s="29" t="s">
        <v>1885</v>
      </c>
      <c r="O10763" s="29"/>
      <c r="P10763" s="29" t="s">
        <v>14599</v>
      </c>
      <c r="Q10763" t="s">
        <v>2038</v>
      </c>
      <c r="R10763" t="s">
        <v>2635</v>
      </c>
      <c r="S10763">
        <v>38</v>
      </c>
      <c r="T10763" s="43" t="str">
        <f t="shared" si="464"/>
        <v>2022.003D.Lefavirales_106rensp.zip</v>
      </c>
      <c r="U10763" s="43" t="str">
        <f>HYPERLINK("https://ictv.global/taxonomy/taxondetails?taxnode_id=202203942","ictv.global=202203942")</f>
        <v>ictv.global=202203942</v>
      </c>
    </row>
    <row r="10764" spans="1:21">
      <c r="A10764">
        <v>10763</v>
      </c>
      <c r="B10764" s="29"/>
      <c r="C10764" s="29"/>
      <c r="D10764" s="29"/>
      <c r="E10764" s="29"/>
      <c r="F10764" s="29"/>
      <c r="G10764" s="29"/>
      <c r="H10764" s="29" t="s">
        <v>6776</v>
      </c>
      <c r="I10764" s="29"/>
      <c r="J10764" s="29" t="s">
        <v>6777</v>
      </c>
      <c r="K10764" s="29"/>
      <c r="L10764" s="29" t="s">
        <v>1883</v>
      </c>
      <c r="M10764" s="29"/>
      <c r="N10764" s="29" t="s">
        <v>6778</v>
      </c>
      <c r="O10764" s="29"/>
      <c r="P10764" s="29" t="s">
        <v>14600</v>
      </c>
      <c r="Q10764" t="s">
        <v>2038</v>
      </c>
      <c r="R10764" t="s">
        <v>2635</v>
      </c>
      <c r="S10764">
        <v>38</v>
      </c>
      <c r="T10764" s="43" t="str">
        <f t="shared" si="464"/>
        <v>2022.003D.Lefavirales_106rensp.zip</v>
      </c>
      <c r="U10764" s="43" t="str">
        <f>HYPERLINK("https://ictv.global/taxonomy/taxondetails?taxnode_id=202208935","ictv.global=202208935")</f>
        <v>ictv.global=202208935</v>
      </c>
    </row>
    <row r="10765" spans="1:21">
      <c r="A10765">
        <v>10764</v>
      </c>
      <c r="B10765" s="29"/>
      <c r="C10765" s="29"/>
      <c r="D10765" s="29"/>
      <c r="E10765" s="29"/>
      <c r="F10765" s="29"/>
      <c r="G10765" s="29"/>
      <c r="H10765" s="29" t="s">
        <v>6776</v>
      </c>
      <c r="I10765" s="29"/>
      <c r="J10765" s="29" t="s">
        <v>6777</v>
      </c>
      <c r="K10765" s="29"/>
      <c r="L10765" s="29" t="s">
        <v>1883</v>
      </c>
      <c r="M10765" s="29"/>
      <c r="N10765" s="29" t="s">
        <v>6779</v>
      </c>
      <c r="O10765" s="29"/>
      <c r="P10765" s="29" t="s">
        <v>14601</v>
      </c>
      <c r="Q10765" t="s">
        <v>2038</v>
      </c>
      <c r="R10765" t="s">
        <v>2635</v>
      </c>
      <c r="S10765">
        <v>38</v>
      </c>
      <c r="T10765" s="43" t="str">
        <f t="shared" si="464"/>
        <v>2022.003D.Lefavirales_106rensp.zip</v>
      </c>
      <c r="U10765" s="43" t="str">
        <f>HYPERLINK("https://ictv.global/taxonomy/taxondetails?taxnode_id=202213432","ictv.global=202213432")</f>
        <v>ictv.global=202213432</v>
      </c>
    </row>
    <row r="10766" spans="1:21">
      <c r="A10766">
        <v>10765</v>
      </c>
      <c r="B10766" s="29"/>
      <c r="C10766" s="29"/>
      <c r="D10766" s="29"/>
      <c r="E10766" s="29"/>
      <c r="F10766" s="29"/>
      <c r="G10766" s="29"/>
      <c r="H10766" s="29" t="s">
        <v>6776</v>
      </c>
      <c r="I10766" s="29"/>
      <c r="J10766" s="29" t="s">
        <v>6777</v>
      </c>
      <c r="K10766" s="29"/>
      <c r="L10766" s="29" t="s">
        <v>1883</v>
      </c>
      <c r="M10766" s="29"/>
      <c r="N10766" s="29" t="s">
        <v>6779</v>
      </c>
      <c r="O10766" s="29"/>
      <c r="P10766" s="29" t="s">
        <v>14602</v>
      </c>
      <c r="Q10766" t="s">
        <v>2038</v>
      </c>
      <c r="R10766" t="s">
        <v>2635</v>
      </c>
      <c r="S10766">
        <v>38</v>
      </c>
      <c r="T10766" s="43" t="str">
        <f t="shared" si="464"/>
        <v>2022.003D.Lefavirales_106rensp.zip</v>
      </c>
      <c r="U10766" s="43" t="str">
        <f>HYPERLINK("https://ictv.global/taxonomy/taxondetails?taxnode_id=202213431","ictv.global=202213431")</f>
        <v>ictv.global=202213431</v>
      </c>
    </row>
    <row r="10767" spans="1:21">
      <c r="A10767">
        <v>10766</v>
      </c>
      <c r="B10767" s="29"/>
      <c r="C10767" s="29"/>
      <c r="D10767" s="29"/>
      <c r="E10767" s="29"/>
      <c r="F10767" s="29"/>
      <c r="G10767" s="29"/>
      <c r="H10767" s="29" t="s">
        <v>6776</v>
      </c>
      <c r="I10767" s="29"/>
      <c r="J10767" s="29" t="s">
        <v>6777</v>
      </c>
      <c r="K10767" s="29"/>
      <c r="L10767" s="29" t="s">
        <v>1883</v>
      </c>
      <c r="M10767" s="29"/>
      <c r="N10767" s="29" t="s">
        <v>6779</v>
      </c>
      <c r="O10767" s="29"/>
      <c r="P10767" s="29" t="s">
        <v>14603</v>
      </c>
      <c r="Q10767" t="s">
        <v>2038</v>
      </c>
      <c r="R10767" t="s">
        <v>2635</v>
      </c>
      <c r="S10767">
        <v>38</v>
      </c>
      <c r="T10767" s="43" t="str">
        <f t="shared" si="464"/>
        <v>2022.003D.Lefavirales_106rensp.zip</v>
      </c>
      <c r="U10767" s="43" t="str">
        <f>HYPERLINK("https://ictv.global/taxonomy/taxondetails?taxnode_id=202208932","ictv.global=202208932")</f>
        <v>ictv.global=202208932</v>
      </c>
    </row>
    <row r="10768" spans="1:21">
      <c r="A10768">
        <v>10767</v>
      </c>
      <c r="B10768" s="29"/>
      <c r="C10768" s="29"/>
      <c r="D10768" s="29"/>
      <c r="E10768" s="29"/>
      <c r="F10768" s="29"/>
      <c r="G10768" s="29"/>
      <c r="H10768" s="29" t="s">
        <v>6776</v>
      </c>
      <c r="I10768" s="29"/>
      <c r="J10768" s="29" t="s">
        <v>6777</v>
      </c>
      <c r="K10768" s="29"/>
      <c r="L10768" s="29" t="s">
        <v>1883</v>
      </c>
      <c r="M10768" s="29"/>
      <c r="N10768" s="29" t="s">
        <v>6779</v>
      </c>
      <c r="O10768" s="29"/>
      <c r="P10768" s="29" t="s">
        <v>14604</v>
      </c>
      <c r="Q10768" t="s">
        <v>2038</v>
      </c>
      <c r="R10768" t="s">
        <v>2635</v>
      </c>
      <c r="S10768">
        <v>38</v>
      </c>
      <c r="T10768" s="43" t="str">
        <f t="shared" si="464"/>
        <v>2022.003D.Lefavirales_106rensp.zip</v>
      </c>
      <c r="U10768" s="43" t="str">
        <f>HYPERLINK("https://ictv.global/taxonomy/taxondetails?taxnode_id=202208933","ictv.global=202208933")</f>
        <v>ictv.global=202208933</v>
      </c>
    </row>
    <row r="10769" spans="1:21">
      <c r="A10769">
        <v>10768</v>
      </c>
      <c r="B10769" s="29"/>
      <c r="C10769" s="29"/>
      <c r="D10769" s="29"/>
      <c r="E10769" s="29"/>
      <c r="F10769" s="29"/>
      <c r="G10769" s="29"/>
      <c r="H10769" s="29" t="s">
        <v>6776</v>
      </c>
      <c r="I10769" s="29"/>
      <c r="J10769" s="29"/>
      <c r="K10769" s="29"/>
      <c r="L10769" s="29" t="s">
        <v>821</v>
      </c>
      <c r="M10769" s="29"/>
      <c r="N10769" s="29" t="s">
        <v>822</v>
      </c>
      <c r="O10769" s="29"/>
      <c r="P10769" s="29" t="s">
        <v>823</v>
      </c>
      <c r="Q10769" t="s">
        <v>2038</v>
      </c>
      <c r="R10769" t="s">
        <v>6899</v>
      </c>
      <c r="S10769">
        <v>36</v>
      </c>
      <c r="T10769" s="43" t="str">
        <f>HYPERLINK("https://ictv.global/ictv/proposals/2020.001G.R.Abolish_type_species.pdf","2020.001G.R.Abolish_type_species.pdf")</f>
        <v>2020.001G.R.Abolish_type_species.pdf</v>
      </c>
      <c r="U10769" s="43" t="str">
        <f>HYPERLINK("https://ictv.global/taxonomy/taxondetails?taxnode_id=202203922","ictv.global=202203922")</f>
        <v>ictv.global=202203922</v>
      </c>
    </row>
    <row r="10770" spans="1:21">
      <c r="A10770">
        <v>10769</v>
      </c>
      <c r="B10770" s="29"/>
      <c r="C10770" s="29"/>
      <c r="D10770" s="29"/>
      <c r="E10770" s="29"/>
      <c r="F10770" s="29"/>
      <c r="G10770" s="29"/>
      <c r="H10770" s="29"/>
      <c r="I10770" s="29"/>
      <c r="J10770" s="29"/>
      <c r="K10770" s="29"/>
      <c r="L10770" s="29" t="s">
        <v>2763</v>
      </c>
      <c r="M10770" s="29" t="s">
        <v>2764</v>
      </c>
      <c r="N10770" s="29" t="s">
        <v>2765</v>
      </c>
      <c r="O10770" s="29"/>
      <c r="P10770" s="29" t="s">
        <v>2766</v>
      </c>
      <c r="Q10770" t="s">
        <v>2041</v>
      </c>
      <c r="R10770" t="s">
        <v>6901</v>
      </c>
      <c r="S10770">
        <v>36</v>
      </c>
      <c r="T10770" s="43" t="str">
        <f>HYPERLINK("https://ictv.global/ictv/proposals/2020.001G.R.Abolish_type_species.pdf","2020.001G.R.Abolish_type_species.pdf")</f>
        <v>2020.001G.R.Abolish_type_species.pdf</v>
      </c>
      <c r="U10770" s="43" t="str">
        <f>HYPERLINK("https://ictv.global/taxonomy/taxondetails?taxnode_id=202206012","ictv.global=202206012")</f>
        <v>ictv.global=202206012</v>
      </c>
    </row>
    <row r="10771" spans="1:21">
      <c r="A10771">
        <v>10770</v>
      </c>
      <c r="B10771" s="29"/>
      <c r="C10771" s="29"/>
      <c r="D10771" s="29"/>
      <c r="E10771" s="29"/>
      <c r="F10771" s="29"/>
      <c r="G10771" s="29"/>
      <c r="H10771" s="29"/>
      <c r="I10771" s="29"/>
      <c r="J10771" s="29"/>
      <c r="K10771" s="29"/>
      <c r="L10771" s="29" t="s">
        <v>2763</v>
      </c>
      <c r="M10771" s="29" t="s">
        <v>2764</v>
      </c>
      <c r="N10771" s="29" t="s">
        <v>2765</v>
      </c>
      <c r="O10771" s="29"/>
      <c r="P10771" s="29" t="s">
        <v>2767</v>
      </c>
      <c r="Q10771" t="s">
        <v>2041</v>
      </c>
      <c r="R10771" t="s">
        <v>2632</v>
      </c>
      <c r="S10771">
        <v>32</v>
      </c>
      <c r="T10771" s="43" t="str">
        <f>HYPERLINK("https://ictv.global/ictv/proposals/2017.004P.A.v4.Alphasatellitidae.zip","2017.004P.A.v4.Alphasatellitidae.zip")</f>
        <v>2017.004P.A.v4.Alphasatellitidae.zip</v>
      </c>
      <c r="U10771" s="43" t="str">
        <f>HYPERLINK("https://ictv.global/taxonomy/taxondetails?taxnode_id=202205664","ictv.global=202205664")</f>
        <v>ictv.global=202205664</v>
      </c>
    </row>
    <row r="10772" spans="1:21">
      <c r="A10772">
        <v>10771</v>
      </c>
      <c r="B10772" s="29"/>
      <c r="C10772" s="29"/>
      <c r="D10772" s="29"/>
      <c r="E10772" s="29"/>
      <c r="F10772" s="29"/>
      <c r="G10772" s="29"/>
      <c r="H10772" s="29"/>
      <c r="I10772" s="29"/>
      <c r="J10772" s="29"/>
      <c r="K10772" s="29"/>
      <c r="L10772" s="29" t="s">
        <v>2763</v>
      </c>
      <c r="M10772" s="29" t="s">
        <v>2764</v>
      </c>
      <c r="N10772" s="29" t="s">
        <v>2768</v>
      </c>
      <c r="O10772" s="29"/>
      <c r="P10772" s="29" t="s">
        <v>4436</v>
      </c>
      <c r="Q10772" t="s">
        <v>2265</v>
      </c>
      <c r="R10772" t="s">
        <v>2632</v>
      </c>
      <c r="S10772">
        <v>35</v>
      </c>
      <c r="T10772" s="43" t="str">
        <f>HYPERLINK("https://ictv.global/ictv/proposals/2019.009P.zip","2019.009P.zip")</f>
        <v>2019.009P.zip</v>
      </c>
      <c r="U10772" s="43" t="str">
        <f>HYPERLINK("https://ictv.global/taxonomy/taxondetails?taxnode_id=202207290","ictv.global=202207290")</f>
        <v>ictv.global=202207290</v>
      </c>
    </row>
    <row r="10773" spans="1:21">
      <c r="A10773">
        <v>10772</v>
      </c>
      <c r="B10773" s="29"/>
      <c r="C10773" s="29"/>
      <c r="D10773" s="29"/>
      <c r="E10773" s="29"/>
      <c r="F10773" s="29"/>
      <c r="G10773" s="29"/>
      <c r="H10773" s="29"/>
      <c r="I10773" s="29"/>
      <c r="J10773" s="29"/>
      <c r="K10773" s="29"/>
      <c r="L10773" s="29" t="s">
        <v>2763</v>
      </c>
      <c r="M10773" s="29" t="s">
        <v>2764</v>
      </c>
      <c r="N10773" s="29" t="s">
        <v>2768</v>
      </c>
      <c r="O10773" s="29"/>
      <c r="P10773" s="29" t="s">
        <v>4437</v>
      </c>
      <c r="Q10773" t="s">
        <v>2265</v>
      </c>
      <c r="R10773" t="s">
        <v>2632</v>
      </c>
      <c r="S10773">
        <v>35</v>
      </c>
      <c r="T10773" s="43" t="str">
        <f>HYPERLINK("https://ictv.global/ictv/proposals/2019.009P.zip","2019.009P.zip")</f>
        <v>2019.009P.zip</v>
      </c>
      <c r="U10773" s="43" t="str">
        <f>HYPERLINK("https://ictv.global/taxonomy/taxondetails?taxnode_id=202207289","ictv.global=202207289")</f>
        <v>ictv.global=202207289</v>
      </c>
    </row>
    <row r="10774" spans="1:21">
      <c r="A10774">
        <v>10773</v>
      </c>
      <c r="B10774" s="29"/>
      <c r="C10774" s="29"/>
      <c r="D10774" s="29"/>
      <c r="E10774" s="29"/>
      <c r="F10774" s="29"/>
      <c r="G10774" s="29"/>
      <c r="H10774" s="29"/>
      <c r="I10774" s="29"/>
      <c r="J10774" s="29"/>
      <c r="K10774" s="29"/>
      <c r="L10774" s="29" t="s">
        <v>2763</v>
      </c>
      <c r="M10774" s="29" t="s">
        <v>2764</v>
      </c>
      <c r="N10774" s="29" t="s">
        <v>2768</v>
      </c>
      <c r="O10774" s="29"/>
      <c r="P10774" s="29" t="s">
        <v>6780</v>
      </c>
      <c r="Q10774" t="s">
        <v>2265</v>
      </c>
      <c r="R10774" t="s">
        <v>2632</v>
      </c>
      <c r="S10774">
        <v>36</v>
      </c>
      <c r="T10774" s="43" t="str">
        <f>HYPERLINK("https://ictv.global/ictv/proposals/2020.002P.R.Alphasatellitidae_3ng_9nsp.zip","2020.002P.R.Alphasatellitidae_3ng_9nsp.zip")</f>
        <v>2020.002P.R.Alphasatellitidae_3ng_9nsp.zip</v>
      </c>
      <c r="U10774" s="43" t="str">
        <f>HYPERLINK("https://ictv.global/taxonomy/taxondetails?taxnode_id=202208800","ictv.global=202208800")</f>
        <v>ictv.global=202208800</v>
      </c>
    </row>
    <row r="10775" spans="1:21">
      <c r="A10775">
        <v>10774</v>
      </c>
      <c r="B10775" s="29"/>
      <c r="C10775" s="29"/>
      <c r="D10775" s="29"/>
      <c r="E10775" s="29"/>
      <c r="F10775" s="29"/>
      <c r="G10775" s="29"/>
      <c r="H10775" s="29"/>
      <c r="I10775" s="29"/>
      <c r="J10775" s="29"/>
      <c r="K10775" s="29"/>
      <c r="L10775" s="29" t="s">
        <v>2763</v>
      </c>
      <c r="M10775" s="29" t="s">
        <v>2764</v>
      </c>
      <c r="N10775" s="29" t="s">
        <v>2768</v>
      </c>
      <c r="O10775" s="29"/>
      <c r="P10775" s="29" t="s">
        <v>2769</v>
      </c>
      <c r="Q10775" t="s">
        <v>2041</v>
      </c>
      <c r="R10775" t="s">
        <v>6901</v>
      </c>
      <c r="S10775">
        <v>36</v>
      </c>
      <c r="T10775" s="43" t="str">
        <f>HYPERLINK("https://ictv.global/ictv/proposals/2020.001G.R.Abolish_type_species.pdf","2020.001G.R.Abolish_type_species.pdf")</f>
        <v>2020.001G.R.Abolish_type_species.pdf</v>
      </c>
      <c r="U10775" s="43" t="str">
        <f>HYPERLINK("https://ictv.global/taxonomy/taxondetails?taxnode_id=202205666","ictv.global=202205666")</f>
        <v>ictv.global=202205666</v>
      </c>
    </row>
    <row r="10776" spans="1:21">
      <c r="A10776">
        <v>10775</v>
      </c>
      <c r="B10776" s="29"/>
      <c r="C10776" s="29"/>
      <c r="D10776" s="29"/>
      <c r="E10776" s="29"/>
      <c r="F10776" s="29"/>
      <c r="G10776" s="29"/>
      <c r="H10776" s="29"/>
      <c r="I10776" s="29"/>
      <c r="J10776" s="29"/>
      <c r="K10776" s="29"/>
      <c r="L10776" s="29" t="s">
        <v>2763</v>
      </c>
      <c r="M10776" s="29" t="s">
        <v>2764</v>
      </c>
      <c r="N10776" s="29" t="s">
        <v>2768</v>
      </c>
      <c r="O10776" s="29"/>
      <c r="P10776" s="29" t="s">
        <v>2770</v>
      </c>
      <c r="Q10776" t="s">
        <v>2041</v>
      </c>
      <c r="R10776" t="s">
        <v>2632</v>
      </c>
      <c r="S10776">
        <v>32</v>
      </c>
      <c r="T10776" s="43" t="str">
        <f>HYPERLINK("https://ictv.global/ictv/proposals/2017.004P.A.v4.Alphasatellitidae.zip","2017.004P.A.v4.Alphasatellitidae.zip")</f>
        <v>2017.004P.A.v4.Alphasatellitidae.zip</v>
      </c>
      <c r="U10776" s="43" t="str">
        <f>HYPERLINK("https://ictv.global/taxonomy/taxondetails?taxnode_id=202205667","ictv.global=202205667")</f>
        <v>ictv.global=202205667</v>
      </c>
    </row>
    <row r="10777" spans="1:21">
      <c r="A10777">
        <v>10776</v>
      </c>
      <c r="B10777" s="29"/>
      <c r="C10777" s="29"/>
      <c r="D10777" s="29"/>
      <c r="E10777" s="29"/>
      <c r="F10777" s="29"/>
      <c r="G10777" s="29"/>
      <c r="H10777" s="29"/>
      <c r="I10777" s="29"/>
      <c r="J10777" s="29"/>
      <c r="K10777" s="29"/>
      <c r="L10777" s="29" t="s">
        <v>2763</v>
      </c>
      <c r="M10777" s="29" t="s">
        <v>2764</v>
      </c>
      <c r="N10777" s="29" t="s">
        <v>2768</v>
      </c>
      <c r="O10777" s="29"/>
      <c r="P10777" s="29" t="s">
        <v>2771</v>
      </c>
      <c r="Q10777" t="s">
        <v>2041</v>
      </c>
      <c r="R10777" t="s">
        <v>2632</v>
      </c>
      <c r="S10777">
        <v>32</v>
      </c>
      <c r="T10777" s="43" t="str">
        <f>HYPERLINK("https://ictv.global/ictv/proposals/2017.004P.A.v4.Alphasatellitidae.zip","2017.004P.A.v4.Alphasatellitidae.zip")</f>
        <v>2017.004P.A.v4.Alphasatellitidae.zip</v>
      </c>
      <c r="U10777" s="43" t="str">
        <f>HYPERLINK("https://ictv.global/taxonomy/taxondetails?taxnode_id=202205668","ictv.global=202205668")</f>
        <v>ictv.global=202205668</v>
      </c>
    </row>
    <row r="10778" spans="1:21">
      <c r="A10778">
        <v>10777</v>
      </c>
      <c r="B10778" s="29"/>
      <c r="C10778" s="29"/>
      <c r="D10778" s="29"/>
      <c r="E10778" s="29"/>
      <c r="F10778" s="29"/>
      <c r="G10778" s="29"/>
      <c r="H10778" s="29"/>
      <c r="I10778" s="29"/>
      <c r="J10778" s="29"/>
      <c r="K10778" s="29"/>
      <c r="L10778" s="29" t="s">
        <v>2763</v>
      </c>
      <c r="M10778" s="29" t="s">
        <v>2764</v>
      </c>
      <c r="N10778" s="29" t="s">
        <v>2768</v>
      </c>
      <c r="O10778" s="29"/>
      <c r="P10778" s="29" t="s">
        <v>2772</v>
      </c>
      <c r="Q10778" t="s">
        <v>2041</v>
      </c>
      <c r="R10778" t="s">
        <v>2632</v>
      </c>
      <c r="S10778">
        <v>32</v>
      </c>
      <c r="T10778" s="43" t="str">
        <f>HYPERLINK("https://ictv.global/ictv/proposals/2017.004P.A.v4.Alphasatellitidae.zip","2017.004P.A.v4.Alphasatellitidae.zip")</f>
        <v>2017.004P.A.v4.Alphasatellitidae.zip</v>
      </c>
      <c r="U10778" s="43" t="str">
        <f>HYPERLINK("https://ictv.global/taxonomy/taxondetails?taxnode_id=202205669","ictv.global=202205669")</f>
        <v>ictv.global=202205669</v>
      </c>
    </row>
    <row r="10779" spans="1:21">
      <c r="A10779">
        <v>10778</v>
      </c>
      <c r="B10779" s="29"/>
      <c r="C10779" s="29"/>
      <c r="D10779" s="29"/>
      <c r="E10779" s="29"/>
      <c r="F10779" s="29"/>
      <c r="G10779" s="29"/>
      <c r="H10779" s="29"/>
      <c r="I10779" s="29"/>
      <c r="J10779" s="29"/>
      <c r="K10779" s="29"/>
      <c r="L10779" s="29" t="s">
        <v>2763</v>
      </c>
      <c r="M10779" s="29" t="s">
        <v>2764</v>
      </c>
      <c r="N10779" s="29" t="s">
        <v>2768</v>
      </c>
      <c r="O10779" s="29"/>
      <c r="P10779" s="29" t="s">
        <v>2773</v>
      </c>
      <c r="Q10779" t="s">
        <v>2041</v>
      </c>
      <c r="R10779" t="s">
        <v>2632</v>
      </c>
      <c r="S10779">
        <v>32</v>
      </c>
      <c r="T10779" s="43" t="str">
        <f>HYPERLINK("https://ictv.global/ictv/proposals/2017.004P.A.v4.Alphasatellitidae.zip","2017.004P.A.v4.Alphasatellitidae.zip")</f>
        <v>2017.004P.A.v4.Alphasatellitidae.zip</v>
      </c>
      <c r="U10779" s="43" t="str">
        <f>HYPERLINK("https://ictv.global/taxonomy/taxondetails?taxnode_id=202205670","ictv.global=202205670")</f>
        <v>ictv.global=202205670</v>
      </c>
    </row>
    <row r="10780" spans="1:21">
      <c r="A10780">
        <v>10779</v>
      </c>
      <c r="B10780" s="29"/>
      <c r="C10780" s="29"/>
      <c r="D10780" s="29"/>
      <c r="E10780" s="29"/>
      <c r="F10780" s="29"/>
      <c r="G10780" s="29"/>
      <c r="H10780" s="29"/>
      <c r="I10780" s="29"/>
      <c r="J10780" s="29"/>
      <c r="K10780" s="29"/>
      <c r="L10780" s="29" t="s">
        <v>2763</v>
      </c>
      <c r="M10780" s="29" t="s">
        <v>2764</v>
      </c>
      <c r="N10780" s="29" t="s">
        <v>2768</v>
      </c>
      <c r="O10780" s="29"/>
      <c r="P10780" s="29" t="s">
        <v>6781</v>
      </c>
      <c r="Q10780" t="s">
        <v>2265</v>
      </c>
      <c r="R10780" t="s">
        <v>2632</v>
      </c>
      <c r="S10780">
        <v>36</v>
      </c>
      <c r="T10780" s="43" t="str">
        <f>HYPERLINK("https://ictv.global/ictv/proposals/2020.002P.R.Alphasatellitidae_3ng_9nsp.zip","2020.002P.R.Alphasatellitidae_3ng_9nsp.zip")</f>
        <v>2020.002P.R.Alphasatellitidae_3ng_9nsp.zip</v>
      </c>
      <c r="U10780" s="43" t="str">
        <f>HYPERLINK("https://ictv.global/taxonomy/taxondetails?taxnode_id=202208799","ictv.global=202208799")</f>
        <v>ictv.global=202208799</v>
      </c>
    </row>
    <row r="10781" spans="1:21">
      <c r="A10781">
        <v>10780</v>
      </c>
      <c r="B10781" s="29"/>
      <c r="C10781" s="29"/>
      <c r="D10781" s="29"/>
      <c r="E10781" s="29"/>
      <c r="F10781" s="29"/>
      <c r="G10781" s="29"/>
      <c r="H10781" s="29"/>
      <c r="I10781" s="29"/>
      <c r="J10781" s="29"/>
      <c r="K10781" s="29"/>
      <c r="L10781" s="29" t="s">
        <v>2763</v>
      </c>
      <c r="M10781" s="29" t="s">
        <v>2764</v>
      </c>
      <c r="N10781" s="29" t="s">
        <v>2768</v>
      </c>
      <c r="O10781" s="29"/>
      <c r="P10781" s="29" t="s">
        <v>4438</v>
      </c>
      <c r="Q10781" t="s">
        <v>2265</v>
      </c>
      <c r="R10781" t="s">
        <v>2632</v>
      </c>
      <c r="S10781">
        <v>35</v>
      </c>
      <c r="T10781" s="43" t="str">
        <f>HYPERLINK("https://ictv.global/ictv/proposals/2019.009P.zip","2019.009P.zip")</f>
        <v>2019.009P.zip</v>
      </c>
      <c r="U10781" s="43" t="str">
        <f>HYPERLINK("https://ictv.global/taxonomy/taxondetails?taxnode_id=202207291","ictv.global=202207291")</f>
        <v>ictv.global=202207291</v>
      </c>
    </row>
    <row r="10782" spans="1:21">
      <c r="A10782">
        <v>10781</v>
      </c>
      <c r="B10782" s="29"/>
      <c r="C10782" s="29"/>
      <c r="D10782" s="29"/>
      <c r="E10782" s="29"/>
      <c r="F10782" s="29"/>
      <c r="G10782" s="29"/>
      <c r="H10782" s="29"/>
      <c r="I10782" s="29"/>
      <c r="J10782" s="29"/>
      <c r="K10782" s="29"/>
      <c r="L10782" s="29" t="s">
        <v>2763</v>
      </c>
      <c r="M10782" s="29" t="s">
        <v>2764</v>
      </c>
      <c r="N10782" s="29" t="s">
        <v>2768</v>
      </c>
      <c r="O10782" s="29"/>
      <c r="P10782" s="29" t="s">
        <v>4439</v>
      </c>
      <c r="Q10782" t="s">
        <v>2265</v>
      </c>
      <c r="R10782" t="s">
        <v>2632</v>
      </c>
      <c r="S10782">
        <v>35</v>
      </c>
      <c r="T10782" s="43" t="str">
        <f>HYPERLINK("https://ictv.global/ictv/proposals/2019.009P.zip","2019.009P.zip")</f>
        <v>2019.009P.zip</v>
      </c>
      <c r="U10782" s="43" t="str">
        <f>HYPERLINK("https://ictv.global/taxonomy/taxondetails?taxnode_id=202207292","ictv.global=202207292")</f>
        <v>ictv.global=202207292</v>
      </c>
    </row>
    <row r="10783" spans="1:21">
      <c r="A10783">
        <v>10782</v>
      </c>
      <c r="B10783" s="29"/>
      <c r="C10783" s="29"/>
      <c r="D10783" s="29"/>
      <c r="E10783" s="29"/>
      <c r="F10783" s="29"/>
      <c r="G10783" s="29"/>
      <c r="H10783" s="29"/>
      <c r="I10783" s="29"/>
      <c r="J10783" s="29"/>
      <c r="K10783" s="29"/>
      <c r="L10783" s="29" t="s">
        <v>2763</v>
      </c>
      <c r="M10783" s="29" t="s">
        <v>2764</v>
      </c>
      <c r="N10783" s="29" t="s">
        <v>2768</v>
      </c>
      <c r="O10783" s="29"/>
      <c r="P10783" s="29" t="s">
        <v>2774</v>
      </c>
      <c r="Q10783" t="s">
        <v>2041</v>
      </c>
      <c r="R10783" t="s">
        <v>2632</v>
      </c>
      <c r="S10783">
        <v>32</v>
      </c>
      <c r="T10783" s="43" t="str">
        <f>HYPERLINK("https://ictv.global/ictv/proposals/2017.004P.A.v4.Alphasatellitidae.zip","2017.004P.A.v4.Alphasatellitidae.zip")</f>
        <v>2017.004P.A.v4.Alphasatellitidae.zip</v>
      </c>
      <c r="U10783" s="43" t="str">
        <f>HYPERLINK("https://ictv.global/taxonomy/taxondetails?taxnode_id=202205671","ictv.global=202205671")</f>
        <v>ictv.global=202205671</v>
      </c>
    </row>
    <row r="10784" spans="1:21">
      <c r="A10784">
        <v>10783</v>
      </c>
      <c r="B10784" s="29"/>
      <c r="C10784" s="29"/>
      <c r="D10784" s="29"/>
      <c r="E10784" s="29"/>
      <c r="F10784" s="29"/>
      <c r="G10784" s="29"/>
      <c r="H10784" s="29"/>
      <c r="I10784" s="29"/>
      <c r="J10784" s="29"/>
      <c r="K10784" s="29"/>
      <c r="L10784" s="29" t="s">
        <v>2763</v>
      </c>
      <c r="M10784" s="29" t="s">
        <v>2764</v>
      </c>
      <c r="N10784" s="29" t="s">
        <v>2768</v>
      </c>
      <c r="O10784" s="29"/>
      <c r="P10784" s="29" t="s">
        <v>6782</v>
      </c>
      <c r="Q10784" t="s">
        <v>2265</v>
      </c>
      <c r="R10784" t="s">
        <v>2632</v>
      </c>
      <c r="S10784">
        <v>36</v>
      </c>
      <c r="T10784" s="43" t="str">
        <f>HYPERLINK("https://ictv.global/ictv/proposals/2020.002P.R.Alphasatellitidae_3ng_9nsp.zip","2020.002P.R.Alphasatellitidae_3ng_9nsp.zip")</f>
        <v>2020.002P.R.Alphasatellitidae_3ng_9nsp.zip</v>
      </c>
      <c r="U10784" s="43" t="str">
        <f>HYPERLINK("https://ictv.global/taxonomy/taxondetails?taxnode_id=202208798","ictv.global=202208798")</f>
        <v>ictv.global=202208798</v>
      </c>
    </row>
    <row r="10785" spans="1:21">
      <c r="A10785">
        <v>10784</v>
      </c>
      <c r="B10785" s="29"/>
      <c r="C10785" s="29"/>
      <c r="D10785" s="29"/>
      <c r="E10785" s="29"/>
      <c r="F10785" s="29"/>
      <c r="G10785" s="29"/>
      <c r="H10785" s="29"/>
      <c r="I10785" s="29"/>
      <c r="J10785" s="29"/>
      <c r="K10785" s="29"/>
      <c r="L10785" s="29" t="s">
        <v>2763</v>
      </c>
      <c r="M10785" s="29" t="s">
        <v>2764</v>
      </c>
      <c r="N10785" s="29" t="s">
        <v>2768</v>
      </c>
      <c r="O10785" s="29"/>
      <c r="P10785" s="29" t="s">
        <v>2775</v>
      </c>
      <c r="Q10785" t="s">
        <v>2041</v>
      </c>
      <c r="R10785" t="s">
        <v>2632</v>
      </c>
      <c r="S10785">
        <v>32</v>
      </c>
      <c r="T10785" s="43" t="str">
        <f t="shared" ref="T10785:T10796" si="465">HYPERLINK("https://ictv.global/ictv/proposals/2017.004P.A.v4.Alphasatellitidae.zip","2017.004P.A.v4.Alphasatellitidae.zip")</f>
        <v>2017.004P.A.v4.Alphasatellitidae.zip</v>
      </c>
      <c r="U10785" s="43" t="str">
        <f>HYPERLINK("https://ictv.global/taxonomy/taxondetails?taxnode_id=202205672","ictv.global=202205672")</f>
        <v>ictv.global=202205672</v>
      </c>
    </row>
    <row r="10786" spans="1:21">
      <c r="A10786">
        <v>10785</v>
      </c>
      <c r="B10786" s="29"/>
      <c r="C10786" s="29"/>
      <c r="D10786" s="29"/>
      <c r="E10786" s="29"/>
      <c r="F10786" s="29"/>
      <c r="G10786" s="29"/>
      <c r="H10786" s="29"/>
      <c r="I10786" s="29"/>
      <c r="J10786" s="29"/>
      <c r="K10786" s="29"/>
      <c r="L10786" s="29" t="s">
        <v>2763</v>
      </c>
      <c r="M10786" s="29" t="s">
        <v>2764</v>
      </c>
      <c r="N10786" s="29" t="s">
        <v>2768</v>
      </c>
      <c r="O10786" s="29"/>
      <c r="P10786" s="29" t="s">
        <v>2776</v>
      </c>
      <c r="Q10786" t="s">
        <v>2041</v>
      </c>
      <c r="R10786" t="s">
        <v>2632</v>
      </c>
      <c r="S10786">
        <v>32</v>
      </c>
      <c r="T10786" s="43" t="str">
        <f t="shared" si="465"/>
        <v>2017.004P.A.v4.Alphasatellitidae.zip</v>
      </c>
      <c r="U10786" s="43" t="str">
        <f>HYPERLINK("https://ictv.global/taxonomy/taxondetails?taxnode_id=202205673","ictv.global=202205673")</f>
        <v>ictv.global=202205673</v>
      </c>
    </row>
    <row r="10787" spans="1:21">
      <c r="A10787">
        <v>10786</v>
      </c>
      <c r="B10787" s="29"/>
      <c r="C10787" s="29"/>
      <c r="D10787" s="29"/>
      <c r="E10787" s="29"/>
      <c r="F10787" s="29"/>
      <c r="G10787" s="29"/>
      <c r="H10787" s="29"/>
      <c r="I10787" s="29"/>
      <c r="J10787" s="29"/>
      <c r="K10787" s="29"/>
      <c r="L10787" s="29" t="s">
        <v>2763</v>
      </c>
      <c r="M10787" s="29" t="s">
        <v>2764</v>
      </c>
      <c r="N10787" s="29" t="s">
        <v>2777</v>
      </c>
      <c r="O10787" s="29"/>
      <c r="P10787" s="29" t="s">
        <v>2778</v>
      </c>
      <c r="Q10787" t="s">
        <v>2041</v>
      </c>
      <c r="R10787" t="s">
        <v>2632</v>
      </c>
      <c r="S10787">
        <v>32</v>
      </c>
      <c r="T10787" s="43" t="str">
        <f t="shared" si="465"/>
        <v>2017.004P.A.v4.Alphasatellitidae.zip</v>
      </c>
      <c r="U10787" s="43" t="str">
        <f>HYPERLINK("https://ictv.global/taxonomy/taxondetails?taxnode_id=202205675","ictv.global=202205675")</f>
        <v>ictv.global=202205675</v>
      </c>
    </row>
    <row r="10788" spans="1:21">
      <c r="A10788">
        <v>10787</v>
      </c>
      <c r="B10788" s="29"/>
      <c r="C10788" s="29"/>
      <c r="D10788" s="29"/>
      <c r="E10788" s="29"/>
      <c r="F10788" s="29"/>
      <c r="G10788" s="29"/>
      <c r="H10788" s="29"/>
      <c r="I10788" s="29"/>
      <c r="J10788" s="29"/>
      <c r="K10788" s="29"/>
      <c r="L10788" s="29" t="s">
        <v>2763</v>
      </c>
      <c r="M10788" s="29" t="s">
        <v>2764</v>
      </c>
      <c r="N10788" s="29" t="s">
        <v>2777</v>
      </c>
      <c r="O10788" s="29"/>
      <c r="P10788" s="29" t="s">
        <v>2779</v>
      </c>
      <c r="Q10788" t="s">
        <v>2041</v>
      </c>
      <c r="R10788" t="s">
        <v>2632</v>
      </c>
      <c r="S10788">
        <v>32</v>
      </c>
      <c r="T10788" s="43" t="str">
        <f t="shared" si="465"/>
        <v>2017.004P.A.v4.Alphasatellitidae.zip</v>
      </c>
      <c r="U10788" s="43" t="str">
        <f>HYPERLINK("https://ictv.global/taxonomy/taxondetails?taxnode_id=202205676","ictv.global=202205676")</f>
        <v>ictv.global=202205676</v>
      </c>
    </row>
    <row r="10789" spans="1:21">
      <c r="A10789">
        <v>10788</v>
      </c>
      <c r="B10789" s="29"/>
      <c r="C10789" s="29"/>
      <c r="D10789" s="29"/>
      <c r="E10789" s="29"/>
      <c r="F10789" s="29"/>
      <c r="G10789" s="29"/>
      <c r="H10789" s="29"/>
      <c r="I10789" s="29"/>
      <c r="J10789" s="29"/>
      <c r="K10789" s="29"/>
      <c r="L10789" s="29" t="s">
        <v>2763</v>
      </c>
      <c r="M10789" s="29" t="s">
        <v>2764</v>
      </c>
      <c r="N10789" s="29" t="s">
        <v>2777</v>
      </c>
      <c r="O10789" s="29"/>
      <c r="P10789" s="29" t="s">
        <v>2780</v>
      </c>
      <c r="Q10789" t="s">
        <v>2041</v>
      </c>
      <c r="R10789" t="s">
        <v>2632</v>
      </c>
      <c r="S10789">
        <v>32</v>
      </c>
      <c r="T10789" s="43" t="str">
        <f t="shared" si="465"/>
        <v>2017.004P.A.v4.Alphasatellitidae.zip</v>
      </c>
      <c r="U10789" s="43" t="str">
        <f>HYPERLINK("https://ictv.global/taxonomy/taxondetails?taxnode_id=202205677","ictv.global=202205677")</f>
        <v>ictv.global=202205677</v>
      </c>
    </row>
    <row r="10790" spans="1:21">
      <c r="A10790">
        <v>10789</v>
      </c>
      <c r="B10790" s="29"/>
      <c r="C10790" s="29"/>
      <c r="D10790" s="29"/>
      <c r="E10790" s="29"/>
      <c r="F10790" s="29"/>
      <c r="G10790" s="29"/>
      <c r="H10790" s="29"/>
      <c r="I10790" s="29"/>
      <c r="J10790" s="29"/>
      <c r="K10790" s="29"/>
      <c r="L10790" s="29" t="s">
        <v>2763</v>
      </c>
      <c r="M10790" s="29" t="s">
        <v>2764</v>
      </c>
      <c r="N10790" s="29" t="s">
        <v>2777</v>
      </c>
      <c r="O10790" s="29"/>
      <c r="P10790" s="29" t="s">
        <v>2781</v>
      </c>
      <c r="Q10790" t="s">
        <v>2041</v>
      </c>
      <c r="R10790" t="s">
        <v>2632</v>
      </c>
      <c r="S10790">
        <v>32</v>
      </c>
      <c r="T10790" s="43" t="str">
        <f t="shared" si="465"/>
        <v>2017.004P.A.v4.Alphasatellitidae.zip</v>
      </c>
      <c r="U10790" s="43" t="str">
        <f>HYPERLINK("https://ictv.global/taxonomy/taxondetails?taxnode_id=202205678","ictv.global=202205678")</f>
        <v>ictv.global=202205678</v>
      </c>
    </row>
    <row r="10791" spans="1:21">
      <c r="A10791">
        <v>10790</v>
      </c>
      <c r="B10791" s="29"/>
      <c r="C10791" s="29"/>
      <c r="D10791" s="29"/>
      <c r="E10791" s="29"/>
      <c r="F10791" s="29"/>
      <c r="G10791" s="29"/>
      <c r="H10791" s="29"/>
      <c r="I10791" s="29"/>
      <c r="J10791" s="29"/>
      <c r="K10791" s="29"/>
      <c r="L10791" s="29" t="s">
        <v>2763</v>
      </c>
      <c r="M10791" s="29" t="s">
        <v>2764</v>
      </c>
      <c r="N10791" s="29" t="s">
        <v>2777</v>
      </c>
      <c r="O10791" s="29"/>
      <c r="P10791" s="29" t="s">
        <v>2782</v>
      </c>
      <c r="Q10791" t="s">
        <v>2041</v>
      </c>
      <c r="R10791" t="s">
        <v>2632</v>
      </c>
      <c r="S10791">
        <v>32</v>
      </c>
      <c r="T10791" s="43" t="str">
        <f t="shared" si="465"/>
        <v>2017.004P.A.v4.Alphasatellitidae.zip</v>
      </c>
      <c r="U10791" s="43" t="str">
        <f>HYPERLINK("https://ictv.global/taxonomy/taxondetails?taxnode_id=202205679","ictv.global=202205679")</f>
        <v>ictv.global=202205679</v>
      </c>
    </row>
    <row r="10792" spans="1:21">
      <c r="A10792">
        <v>10791</v>
      </c>
      <c r="B10792" s="29"/>
      <c r="C10792" s="29"/>
      <c r="D10792" s="29"/>
      <c r="E10792" s="29"/>
      <c r="F10792" s="29"/>
      <c r="G10792" s="29"/>
      <c r="H10792" s="29"/>
      <c r="I10792" s="29"/>
      <c r="J10792" s="29"/>
      <c r="K10792" s="29"/>
      <c r="L10792" s="29" t="s">
        <v>2763</v>
      </c>
      <c r="M10792" s="29" t="s">
        <v>2764</v>
      </c>
      <c r="N10792" s="29" t="s">
        <v>2777</v>
      </c>
      <c r="O10792" s="29"/>
      <c r="P10792" s="29" t="s">
        <v>2783</v>
      </c>
      <c r="Q10792" t="s">
        <v>2041</v>
      </c>
      <c r="R10792" t="s">
        <v>2632</v>
      </c>
      <c r="S10792">
        <v>32</v>
      </c>
      <c r="T10792" s="43" t="str">
        <f t="shared" si="465"/>
        <v>2017.004P.A.v4.Alphasatellitidae.zip</v>
      </c>
      <c r="U10792" s="43" t="str">
        <f>HYPERLINK("https://ictv.global/taxonomy/taxondetails?taxnode_id=202205680","ictv.global=202205680")</f>
        <v>ictv.global=202205680</v>
      </c>
    </row>
    <row r="10793" spans="1:21">
      <c r="A10793">
        <v>10792</v>
      </c>
      <c r="B10793" s="29"/>
      <c r="C10793" s="29"/>
      <c r="D10793" s="29"/>
      <c r="E10793" s="29"/>
      <c r="F10793" s="29"/>
      <c r="G10793" s="29"/>
      <c r="H10793" s="29"/>
      <c r="I10793" s="29"/>
      <c r="J10793" s="29"/>
      <c r="K10793" s="29"/>
      <c r="L10793" s="29" t="s">
        <v>2763</v>
      </c>
      <c r="M10793" s="29" t="s">
        <v>2764</v>
      </c>
      <c r="N10793" s="29" t="s">
        <v>2777</v>
      </c>
      <c r="O10793" s="29"/>
      <c r="P10793" s="29" t="s">
        <v>2784</v>
      </c>
      <c r="Q10793" t="s">
        <v>2041</v>
      </c>
      <c r="R10793" t="s">
        <v>2632</v>
      </c>
      <c r="S10793">
        <v>32</v>
      </c>
      <c r="T10793" s="43" t="str">
        <f t="shared" si="465"/>
        <v>2017.004P.A.v4.Alphasatellitidae.zip</v>
      </c>
      <c r="U10793" s="43" t="str">
        <f>HYPERLINK("https://ictv.global/taxonomy/taxondetails?taxnode_id=202205681","ictv.global=202205681")</f>
        <v>ictv.global=202205681</v>
      </c>
    </row>
    <row r="10794" spans="1:21">
      <c r="A10794">
        <v>10793</v>
      </c>
      <c r="B10794" s="29"/>
      <c r="C10794" s="29"/>
      <c r="D10794" s="29"/>
      <c r="E10794" s="29"/>
      <c r="F10794" s="29"/>
      <c r="G10794" s="29"/>
      <c r="H10794" s="29"/>
      <c r="I10794" s="29"/>
      <c r="J10794" s="29"/>
      <c r="K10794" s="29"/>
      <c r="L10794" s="29" t="s">
        <v>2763</v>
      </c>
      <c r="M10794" s="29" t="s">
        <v>2764</v>
      </c>
      <c r="N10794" s="29" t="s">
        <v>2777</v>
      </c>
      <c r="O10794" s="29"/>
      <c r="P10794" s="29" t="s">
        <v>2785</v>
      </c>
      <c r="Q10794" t="s">
        <v>2041</v>
      </c>
      <c r="R10794" t="s">
        <v>2632</v>
      </c>
      <c r="S10794">
        <v>32</v>
      </c>
      <c r="T10794" s="43" t="str">
        <f t="shared" si="465"/>
        <v>2017.004P.A.v4.Alphasatellitidae.zip</v>
      </c>
      <c r="U10794" s="43" t="str">
        <f>HYPERLINK("https://ictv.global/taxonomy/taxondetails?taxnode_id=202205682","ictv.global=202205682")</f>
        <v>ictv.global=202205682</v>
      </c>
    </row>
    <row r="10795" spans="1:21">
      <c r="A10795">
        <v>10794</v>
      </c>
      <c r="B10795" s="29"/>
      <c r="C10795" s="29"/>
      <c r="D10795" s="29"/>
      <c r="E10795" s="29"/>
      <c r="F10795" s="29"/>
      <c r="G10795" s="29"/>
      <c r="H10795" s="29"/>
      <c r="I10795" s="29"/>
      <c r="J10795" s="29"/>
      <c r="K10795" s="29"/>
      <c r="L10795" s="29" t="s">
        <v>2763</v>
      </c>
      <c r="M10795" s="29" t="s">
        <v>2764</v>
      </c>
      <c r="N10795" s="29" t="s">
        <v>2777</v>
      </c>
      <c r="O10795" s="29"/>
      <c r="P10795" s="29" t="s">
        <v>2786</v>
      </c>
      <c r="Q10795" t="s">
        <v>2041</v>
      </c>
      <c r="R10795" t="s">
        <v>2632</v>
      </c>
      <c r="S10795">
        <v>32</v>
      </c>
      <c r="T10795" s="43" t="str">
        <f t="shared" si="465"/>
        <v>2017.004P.A.v4.Alphasatellitidae.zip</v>
      </c>
      <c r="U10795" s="43" t="str">
        <f>HYPERLINK("https://ictv.global/taxonomy/taxondetails?taxnode_id=202205683","ictv.global=202205683")</f>
        <v>ictv.global=202205683</v>
      </c>
    </row>
    <row r="10796" spans="1:21">
      <c r="A10796">
        <v>10795</v>
      </c>
      <c r="B10796" s="29"/>
      <c r="C10796" s="29"/>
      <c r="D10796" s="29"/>
      <c r="E10796" s="29"/>
      <c r="F10796" s="29"/>
      <c r="G10796" s="29"/>
      <c r="H10796" s="29"/>
      <c r="I10796" s="29"/>
      <c r="J10796" s="29"/>
      <c r="K10796" s="29"/>
      <c r="L10796" s="29" t="s">
        <v>2763</v>
      </c>
      <c r="M10796" s="29" t="s">
        <v>2764</v>
      </c>
      <c r="N10796" s="29" t="s">
        <v>2777</v>
      </c>
      <c r="O10796" s="29"/>
      <c r="P10796" s="29" t="s">
        <v>2787</v>
      </c>
      <c r="Q10796" t="s">
        <v>2041</v>
      </c>
      <c r="R10796" t="s">
        <v>2632</v>
      </c>
      <c r="S10796">
        <v>32</v>
      </c>
      <c r="T10796" s="43" t="str">
        <f t="shared" si="465"/>
        <v>2017.004P.A.v4.Alphasatellitidae.zip</v>
      </c>
      <c r="U10796" s="43" t="str">
        <f>HYPERLINK("https://ictv.global/taxonomy/taxondetails?taxnode_id=202205684","ictv.global=202205684")</f>
        <v>ictv.global=202205684</v>
      </c>
    </row>
    <row r="10797" spans="1:21">
      <c r="A10797">
        <v>10796</v>
      </c>
      <c r="B10797" s="29"/>
      <c r="C10797" s="29"/>
      <c r="D10797" s="29"/>
      <c r="E10797" s="29"/>
      <c r="F10797" s="29"/>
      <c r="G10797" s="29"/>
      <c r="H10797" s="29"/>
      <c r="I10797" s="29"/>
      <c r="J10797" s="29"/>
      <c r="K10797" s="29"/>
      <c r="L10797" s="29" t="s">
        <v>2763</v>
      </c>
      <c r="M10797" s="29" t="s">
        <v>2764</v>
      </c>
      <c r="N10797" s="29" t="s">
        <v>2777</v>
      </c>
      <c r="O10797" s="29"/>
      <c r="P10797" s="29" t="s">
        <v>2788</v>
      </c>
      <c r="Q10797" t="s">
        <v>2041</v>
      </c>
      <c r="R10797" t="s">
        <v>6901</v>
      </c>
      <c r="S10797">
        <v>36</v>
      </c>
      <c r="T10797" s="43" t="str">
        <f>HYPERLINK("https://ictv.global/ictv/proposals/2020.001G.R.Abolish_type_species.pdf","2020.001G.R.Abolish_type_species.pdf")</f>
        <v>2020.001G.R.Abolish_type_species.pdf</v>
      </c>
      <c r="U10797" s="43" t="str">
        <f>HYPERLINK("https://ictv.global/taxonomy/taxondetails?taxnode_id=202205685","ictv.global=202205685")</f>
        <v>ictv.global=202205685</v>
      </c>
    </row>
    <row r="10798" spans="1:21">
      <c r="A10798">
        <v>10797</v>
      </c>
      <c r="B10798" s="29"/>
      <c r="C10798" s="29"/>
      <c r="D10798" s="29"/>
      <c r="E10798" s="29"/>
      <c r="F10798" s="29"/>
      <c r="G10798" s="29"/>
      <c r="H10798" s="29"/>
      <c r="I10798" s="29"/>
      <c r="J10798" s="29"/>
      <c r="K10798" s="29"/>
      <c r="L10798" s="29" t="s">
        <v>2763</v>
      </c>
      <c r="M10798" s="29" t="s">
        <v>2764</v>
      </c>
      <c r="N10798" s="29" t="s">
        <v>2777</v>
      </c>
      <c r="O10798" s="29"/>
      <c r="P10798" s="29" t="s">
        <v>2789</v>
      </c>
      <c r="Q10798" t="s">
        <v>2041</v>
      </c>
      <c r="R10798" t="s">
        <v>2632</v>
      </c>
      <c r="S10798">
        <v>32</v>
      </c>
      <c r="T10798" s="43" t="str">
        <f>HYPERLINK("https://ictv.global/ictv/proposals/2017.004P.A.v4.Alphasatellitidae.zip","2017.004P.A.v4.Alphasatellitidae.zip")</f>
        <v>2017.004P.A.v4.Alphasatellitidae.zip</v>
      </c>
      <c r="U10798" s="43" t="str">
        <f>HYPERLINK("https://ictv.global/taxonomy/taxondetails?taxnode_id=202205686","ictv.global=202205686")</f>
        <v>ictv.global=202205686</v>
      </c>
    </row>
    <row r="10799" spans="1:21">
      <c r="A10799">
        <v>10798</v>
      </c>
      <c r="B10799" s="29"/>
      <c r="C10799" s="29"/>
      <c r="D10799" s="29"/>
      <c r="E10799" s="29"/>
      <c r="F10799" s="29"/>
      <c r="G10799" s="29"/>
      <c r="H10799" s="29"/>
      <c r="I10799" s="29"/>
      <c r="J10799" s="29"/>
      <c r="K10799" s="29"/>
      <c r="L10799" s="29" t="s">
        <v>2763</v>
      </c>
      <c r="M10799" s="29" t="s">
        <v>2764</v>
      </c>
      <c r="N10799" s="29" t="s">
        <v>2777</v>
      </c>
      <c r="O10799" s="29"/>
      <c r="P10799" s="29" t="s">
        <v>2790</v>
      </c>
      <c r="Q10799" t="s">
        <v>2041</v>
      </c>
      <c r="R10799" t="s">
        <v>2632</v>
      </c>
      <c r="S10799">
        <v>32</v>
      </c>
      <c r="T10799" s="43" t="str">
        <f>HYPERLINK("https://ictv.global/ictv/proposals/2017.004P.A.v4.Alphasatellitidae.zip","2017.004P.A.v4.Alphasatellitidae.zip")</f>
        <v>2017.004P.A.v4.Alphasatellitidae.zip</v>
      </c>
      <c r="U10799" s="43" t="str">
        <f>HYPERLINK("https://ictv.global/taxonomy/taxondetails?taxnode_id=202205687","ictv.global=202205687")</f>
        <v>ictv.global=202205687</v>
      </c>
    </row>
    <row r="10800" spans="1:21">
      <c r="A10800">
        <v>10799</v>
      </c>
      <c r="B10800" s="29"/>
      <c r="C10800" s="29"/>
      <c r="D10800" s="29"/>
      <c r="E10800" s="29"/>
      <c r="F10800" s="29"/>
      <c r="G10800" s="29"/>
      <c r="H10800" s="29"/>
      <c r="I10800" s="29"/>
      <c r="J10800" s="29"/>
      <c r="K10800" s="29"/>
      <c r="L10800" s="29" t="s">
        <v>2763</v>
      </c>
      <c r="M10800" s="29" t="s">
        <v>2764</v>
      </c>
      <c r="N10800" s="29" t="s">
        <v>2777</v>
      </c>
      <c r="O10800" s="29"/>
      <c r="P10800" s="29" t="s">
        <v>2791</v>
      </c>
      <c r="Q10800" t="s">
        <v>2041</v>
      </c>
      <c r="R10800" t="s">
        <v>2632</v>
      </c>
      <c r="S10800">
        <v>32</v>
      </c>
      <c r="T10800" s="43" t="str">
        <f>HYPERLINK("https://ictv.global/ictv/proposals/2017.004P.A.v4.Alphasatellitidae.zip","2017.004P.A.v4.Alphasatellitidae.zip")</f>
        <v>2017.004P.A.v4.Alphasatellitidae.zip</v>
      </c>
      <c r="U10800" s="43" t="str">
        <f>HYPERLINK("https://ictv.global/taxonomy/taxondetails?taxnode_id=202205688","ictv.global=202205688")</f>
        <v>ictv.global=202205688</v>
      </c>
    </row>
    <row r="10801" spans="1:21">
      <c r="A10801">
        <v>10800</v>
      </c>
      <c r="B10801" s="29"/>
      <c r="C10801" s="29"/>
      <c r="D10801" s="29"/>
      <c r="E10801" s="29"/>
      <c r="F10801" s="29"/>
      <c r="G10801" s="29"/>
      <c r="H10801" s="29"/>
      <c r="I10801" s="29"/>
      <c r="J10801" s="29"/>
      <c r="K10801" s="29"/>
      <c r="L10801" s="29" t="s">
        <v>2763</v>
      </c>
      <c r="M10801" s="29" t="s">
        <v>2764</v>
      </c>
      <c r="N10801" s="29" t="s">
        <v>2777</v>
      </c>
      <c r="O10801" s="29"/>
      <c r="P10801" s="29" t="s">
        <v>2792</v>
      </c>
      <c r="Q10801" t="s">
        <v>2041</v>
      </c>
      <c r="R10801" t="s">
        <v>2632</v>
      </c>
      <c r="S10801">
        <v>32</v>
      </c>
      <c r="T10801" s="43" t="str">
        <f>HYPERLINK("https://ictv.global/ictv/proposals/2017.004P.A.v4.Alphasatellitidae.zip","2017.004P.A.v4.Alphasatellitidae.zip")</f>
        <v>2017.004P.A.v4.Alphasatellitidae.zip</v>
      </c>
      <c r="U10801" s="43" t="str">
        <f>HYPERLINK("https://ictv.global/taxonomy/taxondetails?taxnode_id=202205689","ictv.global=202205689")</f>
        <v>ictv.global=202205689</v>
      </c>
    </row>
    <row r="10802" spans="1:21">
      <c r="A10802">
        <v>10801</v>
      </c>
      <c r="B10802" s="29"/>
      <c r="C10802" s="29"/>
      <c r="D10802" s="29"/>
      <c r="E10802" s="29"/>
      <c r="F10802" s="29"/>
      <c r="G10802" s="29"/>
      <c r="H10802" s="29"/>
      <c r="I10802" s="29"/>
      <c r="J10802" s="29"/>
      <c r="K10802" s="29"/>
      <c r="L10802" s="29" t="s">
        <v>2763</v>
      </c>
      <c r="M10802" s="29" t="s">
        <v>2764</v>
      </c>
      <c r="N10802" s="29" t="s">
        <v>2777</v>
      </c>
      <c r="O10802" s="29"/>
      <c r="P10802" s="29" t="s">
        <v>2793</v>
      </c>
      <c r="Q10802" t="s">
        <v>2041</v>
      </c>
      <c r="R10802" t="s">
        <v>2632</v>
      </c>
      <c r="S10802">
        <v>32</v>
      </c>
      <c r="T10802" s="43" t="str">
        <f>HYPERLINK("https://ictv.global/ictv/proposals/2017.004P.A.v4.Alphasatellitidae.zip","2017.004P.A.v4.Alphasatellitidae.zip")</f>
        <v>2017.004P.A.v4.Alphasatellitidae.zip</v>
      </c>
      <c r="U10802" s="43" t="str">
        <f>HYPERLINK("https://ictv.global/taxonomy/taxondetails?taxnode_id=202205690","ictv.global=202205690")</f>
        <v>ictv.global=202205690</v>
      </c>
    </row>
    <row r="10803" spans="1:21">
      <c r="A10803">
        <v>10802</v>
      </c>
      <c r="B10803" s="29"/>
      <c r="C10803" s="29"/>
      <c r="D10803" s="29"/>
      <c r="E10803" s="29"/>
      <c r="F10803" s="29"/>
      <c r="G10803" s="29"/>
      <c r="H10803" s="29"/>
      <c r="I10803" s="29"/>
      <c r="J10803" s="29"/>
      <c r="K10803" s="29"/>
      <c r="L10803" s="29" t="s">
        <v>2763</v>
      </c>
      <c r="M10803" s="29" t="s">
        <v>2764</v>
      </c>
      <c r="N10803" s="29" t="s">
        <v>2777</v>
      </c>
      <c r="O10803" s="29"/>
      <c r="P10803" s="29" t="s">
        <v>6783</v>
      </c>
      <c r="Q10803" t="s">
        <v>2265</v>
      </c>
      <c r="R10803" t="s">
        <v>2632</v>
      </c>
      <c r="S10803">
        <v>36</v>
      </c>
      <c r="T10803" s="43" t="str">
        <f>HYPERLINK("https://ictv.global/ictv/proposals/2020.002P.R.Alphasatellitidae_3ng_9nsp.zip","2020.002P.R.Alphasatellitidae_3ng_9nsp.zip")</f>
        <v>2020.002P.R.Alphasatellitidae_3ng_9nsp.zip</v>
      </c>
      <c r="U10803" s="43" t="str">
        <f>HYPERLINK("https://ictv.global/taxonomy/taxondetails?taxnode_id=202208797","ictv.global=202208797")</f>
        <v>ictv.global=202208797</v>
      </c>
    </row>
    <row r="10804" spans="1:21">
      <c r="A10804">
        <v>10803</v>
      </c>
      <c r="B10804" s="29"/>
      <c r="C10804" s="29"/>
      <c r="D10804" s="29"/>
      <c r="E10804" s="29"/>
      <c r="F10804" s="29"/>
      <c r="G10804" s="29"/>
      <c r="H10804" s="29"/>
      <c r="I10804" s="29"/>
      <c r="J10804" s="29"/>
      <c r="K10804" s="29"/>
      <c r="L10804" s="29" t="s">
        <v>2763</v>
      </c>
      <c r="M10804" s="29" t="s">
        <v>2764</v>
      </c>
      <c r="N10804" s="29" t="s">
        <v>2777</v>
      </c>
      <c r="O10804" s="29"/>
      <c r="P10804" s="29" t="s">
        <v>2794</v>
      </c>
      <c r="Q10804" t="s">
        <v>2041</v>
      </c>
      <c r="R10804" t="s">
        <v>2632</v>
      </c>
      <c r="S10804">
        <v>32</v>
      </c>
      <c r="T10804" s="43" t="str">
        <f t="shared" ref="T10804:T10809" si="466">HYPERLINK("https://ictv.global/ictv/proposals/2017.004P.A.v4.Alphasatellitidae.zip","2017.004P.A.v4.Alphasatellitidae.zip")</f>
        <v>2017.004P.A.v4.Alphasatellitidae.zip</v>
      </c>
      <c r="U10804" s="43" t="str">
        <f>HYPERLINK("https://ictv.global/taxonomy/taxondetails?taxnode_id=202205691","ictv.global=202205691")</f>
        <v>ictv.global=202205691</v>
      </c>
    </row>
    <row r="10805" spans="1:21">
      <c r="A10805">
        <v>10804</v>
      </c>
      <c r="B10805" s="29"/>
      <c r="C10805" s="29"/>
      <c r="D10805" s="29"/>
      <c r="E10805" s="29"/>
      <c r="F10805" s="29"/>
      <c r="G10805" s="29"/>
      <c r="H10805" s="29"/>
      <c r="I10805" s="29"/>
      <c r="J10805" s="29"/>
      <c r="K10805" s="29"/>
      <c r="L10805" s="29" t="s">
        <v>2763</v>
      </c>
      <c r="M10805" s="29" t="s">
        <v>2764</v>
      </c>
      <c r="N10805" s="29" t="s">
        <v>2777</v>
      </c>
      <c r="O10805" s="29"/>
      <c r="P10805" s="29" t="s">
        <v>2795</v>
      </c>
      <c r="Q10805" t="s">
        <v>2041</v>
      </c>
      <c r="R10805" t="s">
        <v>2632</v>
      </c>
      <c r="S10805">
        <v>32</v>
      </c>
      <c r="T10805" s="43" t="str">
        <f t="shared" si="466"/>
        <v>2017.004P.A.v4.Alphasatellitidae.zip</v>
      </c>
      <c r="U10805" s="43" t="str">
        <f>HYPERLINK("https://ictv.global/taxonomy/taxondetails?taxnode_id=202205692","ictv.global=202205692")</f>
        <v>ictv.global=202205692</v>
      </c>
    </row>
    <row r="10806" spans="1:21">
      <c r="A10806">
        <v>10805</v>
      </c>
      <c r="B10806" s="29"/>
      <c r="C10806" s="29"/>
      <c r="D10806" s="29"/>
      <c r="E10806" s="29"/>
      <c r="F10806" s="29"/>
      <c r="G10806" s="29"/>
      <c r="H10806" s="29"/>
      <c r="I10806" s="29"/>
      <c r="J10806" s="29"/>
      <c r="K10806" s="29"/>
      <c r="L10806" s="29" t="s">
        <v>2763</v>
      </c>
      <c r="M10806" s="29" t="s">
        <v>2764</v>
      </c>
      <c r="N10806" s="29" t="s">
        <v>2777</v>
      </c>
      <c r="O10806" s="29"/>
      <c r="P10806" s="29" t="s">
        <v>2796</v>
      </c>
      <c r="Q10806" t="s">
        <v>2041</v>
      </c>
      <c r="R10806" t="s">
        <v>2632</v>
      </c>
      <c r="S10806">
        <v>32</v>
      </c>
      <c r="T10806" s="43" t="str">
        <f t="shared" si="466"/>
        <v>2017.004P.A.v4.Alphasatellitidae.zip</v>
      </c>
      <c r="U10806" s="43" t="str">
        <f>HYPERLINK("https://ictv.global/taxonomy/taxondetails?taxnode_id=202205693","ictv.global=202205693")</f>
        <v>ictv.global=202205693</v>
      </c>
    </row>
    <row r="10807" spans="1:21">
      <c r="A10807">
        <v>10806</v>
      </c>
      <c r="B10807" s="29"/>
      <c r="C10807" s="29"/>
      <c r="D10807" s="29"/>
      <c r="E10807" s="29"/>
      <c r="F10807" s="29"/>
      <c r="G10807" s="29"/>
      <c r="H10807" s="29"/>
      <c r="I10807" s="29"/>
      <c r="J10807" s="29"/>
      <c r="K10807" s="29"/>
      <c r="L10807" s="29" t="s">
        <v>2763</v>
      </c>
      <c r="M10807" s="29" t="s">
        <v>2764</v>
      </c>
      <c r="N10807" s="29" t="s">
        <v>2777</v>
      </c>
      <c r="O10807" s="29"/>
      <c r="P10807" s="29" t="s">
        <v>2797</v>
      </c>
      <c r="Q10807" t="s">
        <v>2041</v>
      </c>
      <c r="R10807" t="s">
        <v>2632</v>
      </c>
      <c r="S10807">
        <v>32</v>
      </c>
      <c r="T10807" s="43" t="str">
        <f t="shared" si="466"/>
        <v>2017.004P.A.v4.Alphasatellitidae.zip</v>
      </c>
      <c r="U10807" s="43" t="str">
        <f>HYPERLINK("https://ictv.global/taxonomy/taxondetails?taxnode_id=202205694","ictv.global=202205694")</f>
        <v>ictv.global=202205694</v>
      </c>
    </row>
    <row r="10808" spans="1:21">
      <c r="A10808">
        <v>10807</v>
      </c>
      <c r="B10808" s="29"/>
      <c r="C10808" s="29"/>
      <c r="D10808" s="29"/>
      <c r="E10808" s="29"/>
      <c r="F10808" s="29"/>
      <c r="G10808" s="29"/>
      <c r="H10808" s="29"/>
      <c r="I10808" s="29"/>
      <c r="J10808" s="29"/>
      <c r="K10808" s="29"/>
      <c r="L10808" s="29" t="s">
        <v>2763</v>
      </c>
      <c r="M10808" s="29" t="s">
        <v>2764</v>
      </c>
      <c r="N10808" s="29" t="s">
        <v>2777</v>
      </c>
      <c r="O10808" s="29"/>
      <c r="P10808" s="29" t="s">
        <v>2798</v>
      </c>
      <c r="Q10808" t="s">
        <v>2041</v>
      </c>
      <c r="R10808" t="s">
        <v>2632</v>
      </c>
      <c r="S10808">
        <v>32</v>
      </c>
      <c r="T10808" s="43" t="str">
        <f t="shared" si="466"/>
        <v>2017.004P.A.v4.Alphasatellitidae.zip</v>
      </c>
      <c r="U10808" s="43" t="str">
        <f>HYPERLINK("https://ictv.global/taxonomy/taxondetails?taxnode_id=202205695","ictv.global=202205695")</f>
        <v>ictv.global=202205695</v>
      </c>
    </row>
    <row r="10809" spans="1:21">
      <c r="A10809">
        <v>10808</v>
      </c>
      <c r="B10809" s="29"/>
      <c r="C10809" s="29"/>
      <c r="D10809" s="29"/>
      <c r="E10809" s="29"/>
      <c r="F10809" s="29"/>
      <c r="G10809" s="29"/>
      <c r="H10809" s="29"/>
      <c r="I10809" s="29"/>
      <c r="J10809" s="29"/>
      <c r="K10809" s="29"/>
      <c r="L10809" s="29" t="s">
        <v>2763</v>
      </c>
      <c r="M10809" s="29" t="s">
        <v>2764</v>
      </c>
      <c r="N10809" s="29" t="s">
        <v>2777</v>
      </c>
      <c r="O10809" s="29"/>
      <c r="P10809" s="29" t="s">
        <v>2799</v>
      </c>
      <c r="Q10809" t="s">
        <v>2041</v>
      </c>
      <c r="R10809" t="s">
        <v>2632</v>
      </c>
      <c r="S10809">
        <v>32</v>
      </c>
      <c r="T10809" s="43" t="str">
        <f t="shared" si="466"/>
        <v>2017.004P.A.v4.Alphasatellitidae.zip</v>
      </c>
      <c r="U10809" s="43" t="str">
        <f>HYPERLINK("https://ictv.global/taxonomy/taxondetails?taxnode_id=202205696","ictv.global=202205696")</f>
        <v>ictv.global=202205696</v>
      </c>
    </row>
    <row r="10810" spans="1:21">
      <c r="A10810">
        <v>10809</v>
      </c>
      <c r="B10810" s="29"/>
      <c r="C10810" s="29"/>
      <c r="D10810" s="29"/>
      <c r="E10810" s="29"/>
      <c r="F10810" s="29"/>
      <c r="G10810" s="29"/>
      <c r="H10810" s="29"/>
      <c r="I10810" s="29"/>
      <c r="J10810" s="29"/>
      <c r="K10810" s="29"/>
      <c r="L10810" s="29" t="s">
        <v>2763</v>
      </c>
      <c r="M10810" s="29" t="s">
        <v>2764</v>
      </c>
      <c r="N10810" s="29" t="s">
        <v>2777</v>
      </c>
      <c r="O10810" s="29"/>
      <c r="P10810" s="29" t="s">
        <v>4440</v>
      </c>
      <c r="Q10810" t="s">
        <v>2265</v>
      </c>
      <c r="R10810" t="s">
        <v>2632</v>
      </c>
      <c r="S10810">
        <v>35</v>
      </c>
      <c r="T10810" s="43" t="str">
        <f>HYPERLINK("https://ictv.global/ictv/proposals/2019.009P.zip","2019.009P.zip")</f>
        <v>2019.009P.zip</v>
      </c>
      <c r="U10810" s="43" t="str">
        <f>HYPERLINK("https://ictv.global/taxonomy/taxondetails?taxnode_id=202207294","ictv.global=202207294")</f>
        <v>ictv.global=202207294</v>
      </c>
    </row>
    <row r="10811" spans="1:21">
      <c r="A10811">
        <v>10810</v>
      </c>
      <c r="B10811" s="29"/>
      <c r="C10811" s="29"/>
      <c r="D10811" s="29"/>
      <c r="E10811" s="29"/>
      <c r="F10811" s="29"/>
      <c r="G10811" s="29"/>
      <c r="H10811" s="29"/>
      <c r="I10811" s="29"/>
      <c r="J10811" s="29"/>
      <c r="K10811" s="29"/>
      <c r="L10811" s="29" t="s">
        <v>2763</v>
      </c>
      <c r="M10811" s="29" t="s">
        <v>2764</v>
      </c>
      <c r="N10811" s="29" t="s">
        <v>2777</v>
      </c>
      <c r="O10811" s="29"/>
      <c r="P10811" s="29" t="s">
        <v>2800</v>
      </c>
      <c r="Q10811" t="s">
        <v>2041</v>
      </c>
      <c r="R10811" t="s">
        <v>2632</v>
      </c>
      <c r="S10811">
        <v>32</v>
      </c>
      <c r="T10811" s="43" t="str">
        <f>HYPERLINK("https://ictv.global/ictv/proposals/2017.004P.A.v4.Alphasatellitidae.zip","2017.004P.A.v4.Alphasatellitidae.zip")</f>
        <v>2017.004P.A.v4.Alphasatellitidae.zip</v>
      </c>
      <c r="U10811" s="43" t="str">
        <f>HYPERLINK("https://ictv.global/taxonomy/taxondetails?taxnode_id=202205697","ictv.global=202205697")</f>
        <v>ictv.global=202205697</v>
      </c>
    </row>
    <row r="10812" spans="1:21">
      <c r="A10812">
        <v>10811</v>
      </c>
      <c r="B10812" s="29"/>
      <c r="C10812" s="29"/>
      <c r="D10812" s="29"/>
      <c r="E10812" s="29"/>
      <c r="F10812" s="29"/>
      <c r="G10812" s="29"/>
      <c r="H10812" s="29"/>
      <c r="I10812" s="29"/>
      <c r="J10812" s="29"/>
      <c r="K10812" s="29"/>
      <c r="L10812" s="29" t="s">
        <v>2763</v>
      </c>
      <c r="M10812" s="29" t="s">
        <v>2764</v>
      </c>
      <c r="N10812" s="29" t="s">
        <v>2777</v>
      </c>
      <c r="O10812" s="29"/>
      <c r="P10812" s="29" t="s">
        <v>2801</v>
      </c>
      <c r="Q10812" t="s">
        <v>2041</v>
      </c>
      <c r="R10812" t="s">
        <v>2632</v>
      </c>
      <c r="S10812">
        <v>32</v>
      </c>
      <c r="T10812" s="43" t="str">
        <f>HYPERLINK("https://ictv.global/ictv/proposals/2017.004P.A.v4.Alphasatellitidae.zip","2017.004P.A.v4.Alphasatellitidae.zip")</f>
        <v>2017.004P.A.v4.Alphasatellitidae.zip</v>
      </c>
      <c r="U10812" s="43" t="str">
        <f>HYPERLINK("https://ictv.global/taxonomy/taxondetails?taxnode_id=202205698","ictv.global=202205698")</f>
        <v>ictv.global=202205698</v>
      </c>
    </row>
    <row r="10813" spans="1:21">
      <c r="A10813">
        <v>10812</v>
      </c>
      <c r="B10813" s="29"/>
      <c r="C10813" s="29"/>
      <c r="D10813" s="29"/>
      <c r="E10813" s="29"/>
      <c r="F10813" s="29"/>
      <c r="G10813" s="29"/>
      <c r="H10813" s="29"/>
      <c r="I10813" s="29"/>
      <c r="J10813" s="29"/>
      <c r="K10813" s="29"/>
      <c r="L10813" s="29" t="s">
        <v>2763</v>
      </c>
      <c r="M10813" s="29" t="s">
        <v>2764</v>
      </c>
      <c r="N10813" s="29" t="s">
        <v>2777</v>
      </c>
      <c r="O10813" s="29"/>
      <c r="P10813" s="29" t="s">
        <v>2802</v>
      </c>
      <c r="Q10813" t="s">
        <v>2041</v>
      </c>
      <c r="R10813" t="s">
        <v>2632</v>
      </c>
      <c r="S10813">
        <v>32</v>
      </c>
      <c r="T10813" s="43" t="str">
        <f>HYPERLINK("https://ictv.global/ictv/proposals/2017.004P.A.v4.Alphasatellitidae.zip","2017.004P.A.v4.Alphasatellitidae.zip")</f>
        <v>2017.004P.A.v4.Alphasatellitidae.zip</v>
      </c>
      <c r="U10813" s="43" t="str">
        <f>HYPERLINK("https://ictv.global/taxonomy/taxondetails?taxnode_id=202205699","ictv.global=202205699")</f>
        <v>ictv.global=202205699</v>
      </c>
    </row>
    <row r="10814" spans="1:21">
      <c r="A10814">
        <v>10813</v>
      </c>
      <c r="B10814" s="29"/>
      <c r="C10814" s="29"/>
      <c r="D10814" s="29"/>
      <c r="E10814" s="29"/>
      <c r="F10814" s="29"/>
      <c r="G10814" s="29"/>
      <c r="H10814" s="29"/>
      <c r="I10814" s="29"/>
      <c r="J10814" s="29"/>
      <c r="K10814" s="29"/>
      <c r="L10814" s="29" t="s">
        <v>2763</v>
      </c>
      <c r="M10814" s="29" t="s">
        <v>2764</v>
      </c>
      <c r="N10814" s="29" t="s">
        <v>6784</v>
      </c>
      <c r="O10814" s="29"/>
      <c r="P10814" s="29" t="s">
        <v>2810</v>
      </c>
      <c r="Q10814" t="s">
        <v>2265</v>
      </c>
      <c r="R10814" t="s">
        <v>2634</v>
      </c>
      <c r="S10814">
        <v>36</v>
      </c>
      <c r="T10814" s="43" t="str">
        <f>HYPERLINK("https://ictv.global/ictv/proposals/2020.002P.R.Alphasatellitidae_3ng_9nsp.zip","2020.002P.R.Alphasatellitidae_3ng_9nsp.zip")</f>
        <v>2020.002P.R.Alphasatellitidae_3ng_9nsp.zip</v>
      </c>
      <c r="U10814" s="43" t="str">
        <f>HYPERLINK("https://ictv.global/taxonomy/taxondetails?taxnode_id=202205708","ictv.global=202205708")</f>
        <v>ictv.global=202205708</v>
      </c>
    </row>
    <row r="10815" spans="1:21">
      <c r="A10815">
        <v>10814</v>
      </c>
      <c r="B10815" s="29"/>
      <c r="C10815" s="29"/>
      <c r="D10815" s="29"/>
      <c r="E10815" s="29"/>
      <c r="F10815" s="29"/>
      <c r="G10815" s="29"/>
      <c r="H10815" s="29"/>
      <c r="I10815" s="29"/>
      <c r="J10815" s="29"/>
      <c r="K10815" s="29"/>
      <c r="L10815" s="29" t="s">
        <v>2763</v>
      </c>
      <c r="M10815" s="29" t="s">
        <v>2764</v>
      </c>
      <c r="N10815" s="29" t="s">
        <v>2803</v>
      </c>
      <c r="O10815" s="29"/>
      <c r="P10815" s="29" t="s">
        <v>6785</v>
      </c>
      <c r="Q10815" t="s">
        <v>2265</v>
      </c>
      <c r="R10815" t="s">
        <v>2632</v>
      </c>
      <c r="S10815">
        <v>36</v>
      </c>
      <c r="T10815" s="43" t="str">
        <f>HYPERLINK("https://ictv.global/ictv/proposals/2020.002P.R.Alphasatellitidae_3ng_9nsp.zip","2020.002P.R.Alphasatellitidae_3ng_9nsp.zip")</f>
        <v>2020.002P.R.Alphasatellitidae_3ng_9nsp.zip</v>
      </c>
      <c r="U10815" s="43" t="str">
        <f>HYPERLINK("https://ictv.global/taxonomy/taxondetails?taxnode_id=202208796","ictv.global=202208796")</f>
        <v>ictv.global=202208796</v>
      </c>
    </row>
    <row r="10816" spans="1:21">
      <c r="A10816">
        <v>10815</v>
      </c>
      <c r="B10816" s="29"/>
      <c r="C10816" s="29"/>
      <c r="D10816" s="29"/>
      <c r="E10816" s="29"/>
      <c r="F10816" s="29"/>
      <c r="G10816" s="29"/>
      <c r="H10816" s="29"/>
      <c r="I10816" s="29"/>
      <c r="J10816" s="29"/>
      <c r="K10816" s="29"/>
      <c r="L10816" s="29" t="s">
        <v>2763</v>
      </c>
      <c r="M10816" s="29" t="s">
        <v>2764</v>
      </c>
      <c r="N10816" s="29" t="s">
        <v>2803</v>
      </c>
      <c r="O10816" s="29"/>
      <c r="P10816" s="29" t="s">
        <v>4441</v>
      </c>
      <c r="Q10816" t="s">
        <v>2265</v>
      </c>
      <c r="R10816" t="s">
        <v>2632</v>
      </c>
      <c r="S10816">
        <v>35</v>
      </c>
      <c r="T10816" s="43" t="str">
        <f>HYPERLINK("https://ictv.global/ictv/proposals/2019.009P.zip","2019.009P.zip")</f>
        <v>2019.009P.zip</v>
      </c>
      <c r="U10816" s="43" t="str">
        <f>HYPERLINK("https://ictv.global/taxonomy/taxondetails?taxnode_id=202207293","ictv.global=202207293")</f>
        <v>ictv.global=202207293</v>
      </c>
    </row>
    <row r="10817" spans="1:21">
      <c r="A10817">
        <v>10816</v>
      </c>
      <c r="B10817" s="29"/>
      <c r="C10817" s="29"/>
      <c r="D10817" s="29"/>
      <c r="E10817" s="29"/>
      <c r="F10817" s="29"/>
      <c r="G10817" s="29"/>
      <c r="H10817" s="29"/>
      <c r="I10817" s="29"/>
      <c r="J10817" s="29"/>
      <c r="K10817" s="29"/>
      <c r="L10817" s="29" t="s">
        <v>2763</v>
      </c>
      <c r="M10817" s="29" t="s">
        <v>2764</v>
      </c>
      <c r="N10817" s="29" t="s">
        <v>2803</v>
      </c>
      <c r="O10817" s="29"/>
      <c r="P10817" s="29" t="s">
        <v>2804</v>
      </c>
      <c r="Q10817" t="s">
        <v>2041</v>
      </c>
      <c r="R10817" t="s">
        <v>6901</v>
      </c>
      <c r="S10817">
        <v>36</v>
      </c>
      <c r="T10817" s="43" t="str">
        <f>HYPERLINK("https://ictv.global/ictv/proposals/2020.001G.R.Abolish_type_species.pdf","2020.001G.R.Abolish_type_species.pdf")</f>
        <v>2020.001G.R.Abolish_type_species.pdf</v>
      </c>
      <c r="U10817" s="43" t="str">
        <f>HYPERLINK("https://ictv.global/taxonomy/taxondetails?taxnode_id=202205701","ictv.global=202205701")</f>
        <v>ictv.global=202205701</v>
      </c>
    </row>
    <row r="10818" spans="1:21">
      <c r="A10818">
        <v>10817</v>
      </c>
      <c r="B10818" s="29"/>
      <c r="C10818" s="29"/>
      <c r="D10818" s="29"/>
      <c r="E10818" s="29"/>
      <c r="F10818" s="29"/>
      <c r="G10818" s="29"/>
      <c r="H10818" s="29"/>
      <c r="I10818" s="29"/>
      <c r="J10818" s="29"/>
      <c r="K10818" s="29"/>
      <c r="L10818" s="29" t="s">
        <v>2763</v>
      </c>
      <c r="M10818" s="29" t="s">
        <v>2764</v>
      </c>
      <c r="N10818" s="29" t="s">
        <v>2803</v>
      </c>
      <c r="O10818" s="29"/>
      <c r="P10818" s="29" t="s">
        <v>2805</v>
      </c>
      <c r="Q10818" t="s">
        <v>2041</v>
      </c>
      <c r="R10818" t="s">
        <v>2632</v>
      </c>
      <c r="S10818">
        <v>32</v>
      </c>
      <c r="T10818" s="43" t="str">
        <f>HYPERLINK("https://ictv.global/ictv/proposals/2017.004P.A.v4.Alphasatellitidae.zip","2017.004P.A.v4.Alphasatellitidae.zip")</f>
        <v>2017.004P.A.v4.Alphasatellitidae.zip</v>
      </c>
      <c r="U10818" s="43" t="str">
        <f>HYPERLINK("https://ictv.global/taxonomy/taxondetails?taxnode_id=202205702","ictv.global=202205702")</f>
        <v>ictv.global=202205702</v>
      </c>
    </row>
    <row r="10819" spans="1:21">
      <c r="A10819">
        <v>10818</v>
      </c>
      <c r="B10819" s="29"/>
      <c r="C10819" s="29"/>
      <c r="D10819" s="29"/>
      <c r="E10819" s="29"/>
      <c r="F10819" s="29"/>
      <c r="G10819" s="29"/>
      <c r="H10819" s="29"/>
      <c r="I10819" s="29"/>
      <c r="J10819" s="29"/>
      <c r="K10819" s="29"/>
      <c r="L10819" s="29" t="s">
        <v>2763</v>
      </c>
      <c r="M10819" s="29" t="s">
        <v>2764</v>
      </c>
      <c r="N10819" s="29" t="s">
        <v>2803</v>
      </c>
      <c r="O10819" s="29"/>
      <c r="P10819" s="29" t="s">
        <v>2806</v>
      </c>
      <c r="Q10819" t="s">
        <v>2041</v>
      </c>
      <c r="R10819" t="s">
        <v>2632</v>
      </c>
      <c r="S10819">
        <v>32</v>
      </c>
      <c r="T10819" s="43" t="str">
        <f>HYPERLINK("https://ictv.global/ictv/proposals/2017.004P.A.v4.Alphasatellitidae.zip","2017.004P.A.v4.Alphasatellitidae.zip")</f>
        <v>2017.004P.A.v4.Alphasatellitidae.zip</v>
      </c>
      <c r="U10819" s="43" t="str">
        <f>HYPERLINK("https://ictv.global/taxonomy/taxondetails?taxnode_id=202205703","ictv.global=202205703")</f>
        <v>ictv.global=202205703</v>
      </c>
    </row>
    <row r="10820" spans="1:21">
      <c r="A10820">
        <v>10819</v>
      </c>
      <c r="B10820" s="29"/>
      <c r="C10820" s="29"/>
      <c r="D10820" s="29"/>
      <c r="E10820" s="29"/>
      <c r="F10820" s="29"/>
      <c r="G10820" s="29"/>
      <c r="H10820" s="29"/>
      <c r="I10820" s="29"/>
      <c r="J10820" s="29"/>
      <c r="K10820" s="29"/>
      <c r="L10820" s="29" t="s">
        <v>2763</v>
      </c>
      <c r="M10820" s="29" t="s">
        <v>2764</v>
      </c>
      <c r="N10820" s="29" t="s">
        <v>2803</v>
      </c>
      <c r="O10820" s="29"/>
      <c r="P10820" s="29" t="s">
        <v>2807</v>
      </c>
      <c r="Q10820" t="s">
        <v>2041</v>
      </c>
      <c r="R10820" t="s">
        <v>2632</v>
      </c>
      <c r="S10820">
        <v>32</v>
      </c>
      <c r="T10820" s="43" t="str">
        <f>HYPERLINK("https://ictv.global/ictv/proposals/2017.004P.A.v4.Alphasatellitidae.zip","2017.004P.A.v4.Alphasatellitidae.zip")</f>
        <v>2017.004P.A.v4.Alphasatellitidae.zip</v>
      </c>
      <c r="U10820" s="43" t="str">
        <f>HYPERLINK("https://ictv.global/taxonomy/taxondetails?taxnode_id=202205704","ictv.global=202205704")</f>
        <v>ictv.global=202205704</v>
      </c>
    </row>
    <row r="10821" spans="1:21">
      <c r="A10821">
        <v>10820</v>
      </c>
      <c r="B10821" s="29"/>
      <c r="C10821" s="29"/>
      <c r="D10821" s="29"/>
      <c r="E10821" s="29"/>
      <c r="F10821" s="29"/>
      <c r="G10821" s="29"/>
      <c r="H10821" s="29"/>
      <c r="I10821" s="29"/>
      <c r="J10821" s="29"/>
      <c r="K10821" s="29"/>
      <c r="L10821" s="29" t="s">
        <v>2763</v>
      </c>
      <c r="M10821" s="29" t="s">
        <v>2764</v>
      </c>
      <c r="N10821" s="29" t="s">
        <v>2803</v>
      </c>
      <c r="O10821" s="29"/>
      <c r="P10821" s="29" t="s">
        <v>2808</v>
      </c>
      <c r="Q10821" t="s">
        <v>2041</v>
      </c>
      <c r="R10821" t="s">
        <v>2632</v>
      </c>
      <c r="S10821">
        <v>32</v>
      </c>
      <c r="T10821" s="43" t="str">
        <f>HYPERLINK("https://ictv.global/ictv/proposals/2017.004P.A.v4.Alphasatellitidae.zip","2017.004P.A.v4.Alphasatellitidae.zip")</f>
        <v>2017.004P.A.v4.Alphasatellitidae.zip</v>
      </c>
      <c r="U10821" s="43" t="str">
        <f>HYPERLINK("https://ictv.global/taxonomy/taxondetails?taxnode_id=202205705","ictv.global=202205705")</f>
        <v>ictv.global=202205705</v>
      </c>
    </row>
    <row r="10822" spans="1:21">
      <c r="A10822">
        <v>10821</v>
      </c>
      <c r="B10822" s="29"/>
      <c r="C10822" s="29"/>
      <c r="D10822" s="29"/>
      <c r="E10822" s="29"/>
      <c r="F10822" s="29"/>
      <c r="G10822" s="29"/>
      <c r="H10822" s="29"/>
      <c r="I10822" s="29"/>
      <c r="J10822" s="29"/>
      <c r="K10822" s="29"/>
      <c r="L10822" s="29" t="s">
        <v>2763</v>
      </c>
      <c r="M10822" s="29" t="s">
        <v>2764</v>
      </c>
      <c r="N10822" s="29" t="s">
        <v>2803</v>
      </c>
      <c r="O10822" s="29"/>
      <c r="P10822" s="29" t="s">
        <v>2809</v>
      </c>
      <c r="Q10822" t="s">
        <v>2041</v>
      </c>
      <c r="R10822" t="s">
        <v>2632</v>
      </c>
      <c r="S10822">
        <v>32</v>
      </c>
      <c r="T10822" s="43" t="str">
        <f>HYPERLINK("https://ictv.global/ictv/proposals/2017.004P.A.v4.Alphasatellitidae.zip","2017.004P.A.v4.Alphasatellitidae.zip")</f>
        <v>2017.004P.A.v4.Alphasatellitidae.zip</v>
      </c>
      <c r="U10822" s="43" t="str">
        <f>HYPERLINK("https://ictv.global/taxonomy/taxondetails?taxnode_id=202205706","ictv.global=202205706")</f>
        <v>ictv.global=202205706</v>
      </c>
    </row>
    <row r="10823" spans="1:21">
      <c r="A10823">
        <v>10822</v>
      </c>
      <c r="B10823" s="29"/>
      <c r="C10823" s="29"/>
      <c r="D10823" s="29"/>
      <c r="E10823" s="29"/>
      <c r="F10823" s="29"/>
      <c r="G10823" s="29"/>
      <c r="H10823" s="29"/>
      <c r="I10823" s="29"/>
      <c r="J10823" s="29"/>
      <c r="K10823" s="29"/>
      <c r="L10823" s="29" t="s">
        <v>2763</v>
      </c>
      <c r="M10823" s="29" t="s">
        <v>2764</v>
      </c>
      <c r="N10823" s="29" t="s">
        <v>6786</v>
      </c>
      <c r="O10823" s="29"/>
      <c r="P10823" s="29" t="s">
        <v>6787</v>
      </c>
      <c r="Q10823" t="s">
        <v>2265</v>
      </c>
      <c r="R10823" t="s">
        <v>2632</v>
      </c>
      <c r="S10823">
        <v>36</v>
      </c>
      <c r="T10823" s="43" t="str">
        <f>HYPERLINK("https://ictv.global/ictv/proposals/2020.002P.R.Alphasatellitidae_3ng_9nsp.zip","2020.002P.R.Alphasatellitidae_3ng_9nsp.zip")</f>
        <v>2020.002P.R.Alphasatellitidae_3ng_9nsp.zip</v>
      </c>
      <c r="U10823" s="43" t="str">
        <f>HYPERLINK("https://ictv.global/taxonomy/taxondetails?taxnode_id=202208802","ictv.global=202208802")</f>
        <v>ictv.global=202208802</v>
      </c>
    </row>
    <row r="10824" spans="1:21">
      <c r="A10824">
        <v>10823</v>
      </c>
      <c r="B10824" s="29"/>
      <c r="C10824" s="29"/>
      <c r="D10824" s="29"/>
      <c r="E10824" s="29"/>
      <c r="F10824" s="29"/>
      <c r="G10824" s="29"/>
      <c r="H10824" s="29"/>
      <c r="I10824" s="29"/>
      <c r="J10824" s="29"/>
      <c r="K10824" s="29"/>
      <c r="L10824" s="29" t="s">
        <v>2763</v>
      </c>
      <c r="M10824" s="29" t="s">
        <v>2764</v>
      </c>
      <c r="N10824" s="29" t="s">
        <v>6788</v>
      </c>
      <c r="O10824" s="29"/>
      <c r="P10824" s="29" t="s">
        <v>3627</v>
      </c>
      <c r="Q10824" t="s">
        <v>2265</v>
      </c>
      <c r="R10824" t="s">
        <v>2634</v>
      </c>
      <c r="S10824">
        <v>36</v>
      </c>
      <c r="T10824" s="43" t="str">
        <f>HYPERLINK("https://ictv.global/ictv/proposals/2020.002P.R.Alphasatellitidae_3ng_9nsp.zip","2020.002P.R.Alphasatellitidae_3ng_9nsp.zip")</f>
        <v>2020.002P.R.Alphasatellitidae_3ng_9nsp.zip</v>
      </c>
      <c r="U10824" s="43" t="str">
        <f>HYPERLINK("https://ictv.global/taxonomy/taxondetails?taxnode_id=202205709","ictv.global=202205709")</f>
        <v>ictv.global=202205709</v>
      </c>
    </row>
    <row r="10825" spans="1:21">
      <c r="A10825">
        <v>10824</v>
      </c>
      <c r="B10825" s="29"/>
      <c r="C10825" s="29"/>
      <c r="D10825" s="29"/>
      <c r="E10825" s="29"/>
      <c r="F10825" s="29"/>
      <c r="G10825" s="29"/>
      <c r="H10825" s="29"/>
      <c r="I10825" s="29"/>
      <c r="J10825" s="29"/>
      <c r="K10825" s="29"/>
      <c r="L10825" s="29" t="s">
        <v>2763</v>
      </c>
      <c r="M10825" s="29" t="s">
        <v>2811</v>
      </c>
      <c r="N10825" s="29" t="s">
        <v>2816</v>
      </c>
      <c r="O10825" s="29"/>
      <c r="P10825" s="29" t="s">
        <v>3199</v>
      </c>
      <c r="Q10825" t="s">
        <v>2041</v>
      </c>
      <c r="R10825" t="s">
        <v>2632</v>
      </c>
      <c r="S10825">
        <v>32</v>
      </c>
      <c r="T10825" s="43" t="str">
        <f>HYPERLINK("https://ictv.global/ictv/proposals/2017.004P.A.v4.Alphasatellitidae.zip","2017.004P.A.v4.Alphasatellitidae.zip")</f>
        <v>2017.004P.A.v4.Alphasatellitidae.zip</v>
      </c>
      <c r="U10825" s="43" t="str">
        <f>HYPERLINK("https://ictv.global/taxonomy/taxondetails?taxnode_id=202205716","ictv.global=202205716")</f>
        <v>ictv.global=202205716</v>
      </c>
    </row>
    <row r="10826" spans="1:21">
      <c r="A10826">
        <v>10825</v>
      </c>
      <c r="B10826" s="29"/>
      <c r="C10826" s="29"/>
      <c r="D10826" s="29"/>
      <c r="E10826" s="29"/>
      <c r="F10826" s="29"/>
      <c r="G10826" s="29"/>
      <c r="H10826" s="29"/>
      <c r="I10826" s="29"/>
      <c r="J10826" s="29"/>
      <c r="K10826" s="29"/>
      <c r="L10826" s="29" t="s">
        <v>2763</v>
      </c>
      <c r="M10826" s="29" t="s">
        <v>2811</v>
      </c>
      <c r="N10826" s="29" t="s">
        <v>2816</v>
      </c>
      <c r="O10826" s="29"/>
      <c r="P10826" s="29" t="s">
        <v>3200</v>
      </c>
      <c r="Q10826" t="s">
        <v>2041</v>
      </c>
      <c r="R10826" t="s">
        <v>2632</v>
      </c>
      <c r="S10826">
        <v>32</v>
      </c>
      <c r="T10826" s="43" t="str">
        <f>HYPERLINK("https://ictv.global/ictv/proposals/2017.004P.A.v4.Alphasatellitidae.zip","2017.004P.A.v4.Alphasatellitidae.zip")</f>
        <v>2017.004P.A.v4.Alphasatellitidae.zip</v>
      </c>
      <c r="U10826" s="43" t="str">
        <f>HYPERLINK("https://ictv.global/taxonomy/taxondetails?taxnode_id=202205717","ictv.global=202205717")</f>
        <v>ictv.global=202205717</v>
      </c>
    </row>
    <row r="10827" spans="1:21">
      <c r="A10827">
        <v>10826</v>
      </c>
      <c r="B10827" s="29"/>
      <c r="C10827" s="29"/>
      <c r="D10827" s="29"/>
      <c r="E10827" s="29"/>
      <c r="F10827" s="29"/>
      <c r="G10827" s="29"/>
      <c r="H10827" s="29"/>
      <c r="I10827" s="29"/>
      <c r="J10827" s="29"/>
      <c r="K10827" s="29"/>
      <c r="L10827" s="29" t="s">
        <v>2763</v>
      </c>
      <c r="M10827" s="29" t="s">
        <v>2811</v>
      </c>
      <c r="N10827" s="29" t="s">
        <v>2816</v>
      </c>
      <c r="O10827" s="29"/>
      <c r="P10827" s="29" t="s">
        <v>3201</v>
      </c>
      <c r="Q10827" t="s">
        <v>2041</v>
      </c>
      <c r="R10827" t="s">
        <v>2632</v>
      </c>
      <c r="S10827">
        <v>32</v>
      </c>
      <c r="T10827" s="43" t="str">
        <f>HYPERLINK("https://ictv.global/ictv/proposals/2017.004P.A.v4.Alphasatellitidae.zip","2017.004P.A.v4.Alphasatellitidae.zip")</f>
        <v>2017.004P.A.v4.Alphasatellitidae.zip</v>
      </c>
      <c r="U10827" s="43" t="str">
        <f>HYPERLINK("https://ictv.global/taxonomy/taxondetails?taxnode_id=202205718","ictv.global=202205718")</f>
        <v>ictv.global=202205718</v>
      </c>
    </row>
    <row r="10828" spans="1:21">
      <c r="A10828">
        <v>10827</v>
      </c>
      <c r="B10828" s="29"/>
      <c r="C10828" s="29"/>
      <c r="D10828" s="29"/>
      <c r="E10828" s="29"/>
      <c r="F10828" s="29"/>
      <c r="G10828" s="29"/>
      <c r="H10828" s="29"/>
      <c r="I10828" s="29"/>
      <c r="J10828" s="29"/>
      <c r="K10828" s="29"/>
      <c r="L10828" s="29" t="s">
        <v>2763</v>
      </c>
      <c r="M10828" s="29" t="s">
        <v>2811</v>
      </c>
      <c r="N10828" s="29" t="s">
        <v>2816</v>
      </c>
      <c r="O10828" s="29"/>
      <c r="P10828" s="29" t="s">
        <v>3202</v>
      </c>
      <c r="Q10828" t="s">
        <v>2041</v>
      </c>
      <c r="R10828" t="s">
        <v>2632</v>
      </c>
      <c r="S10828">
        <v>32</v>
      </c>
      <c r="T10828" s="43" t="str">
        <f>HYPERLINK("https://ictv.global/ictv/proposals/2017.004P.A.v4.Alphasatellitidae.zip","2017.004P.A.v4.Alphasatellitidae.zip")</f>
        <v>2017.004P.A.v4.Alphasatellitidae.zip</v>
      </c>
      <c r="U10828" s="43" t="str">
        <f>HYPERLINK("https://ictv.global/taxonomy/taxondetails?taxnode_id=202205719","ictv.global=202205719")</f>
        <v>ictv.global=202205719</v>
      </c>
    </row>
    <row r="10829" spans="1:21">
      <c r="A10829">
        <v>10828</v>
      </c>
      <c r="B10829" s="29"/>
      <c r="C10829" s="29"/>
      <c r="D10829" s="29"/>
      <c r="E10829" s="29"/>
      <c r="F10829" s="29"/>
      <c r="G10829" s="29"/>
      <c r="H10829" s="29"/>
      <c r="I10829" s="29"/>
      <c r="J10829" s="29"/>
      <c r="K10829" s="29"/>
      <c r="L10829" s="29" t="s">
        <v>2763</v>
      </c>
      <c r="M10829" s="29" t="s">
        <v>2811</v>
      </c>
      <c r="N10829" s="29" t="s">
        <v>2816</v>
      </c>
      <c r="O10829" s="29"/>
      <c r="P10829" s="29" t="s">
        <v>2817</v>
      </c>
      <c r="Q10829" t="s">
        <v>2041</v>
      </c>
      <c r="R10829" t="s">
        <v>6901</v>
      </c>
      <c r="S10829">
        <v>36</v>
      </c>
      <c r="T10829" s="43" t="str">
        <f>HYPERLINK("https://ictv.global/ictv/proposals/2020.001G.R.Abolish_type_species.pdf","2020.001G.R.Abolish_type_species.pdf")</f>
        <v>2020.001G.R.Abolish_type_species.pdf</v>
      </c>
      <c r="U10829" s="43" t="str">
        <f>HYPERLINK("https://ictv.global/taxonomy/taxondetails?taxnode_id=202205720","ictv.global=202205720")</f>
        <v>ictv.global=202205720</v>
      </c>
    </row>
    <row r="10830" spans="1:21">
      <c r="A10830">
        <v>10829</v>
      </c>
      <c r="B10830" s="29"/>
      <c r="C10830" s="29"/>
      <c r="D10830" s="29"/>
      <c r="E10830" s="29"/>
      <c r="F10830" s="29"/>
      <c r="G10830" s="29"/>
      <c r="H10830" s="29"/>
      <c r="I10830" s="29"/>
      <c r="J10830" s="29"/>
      <c r="K10830" s="29"/>
      <c r="L10830" s="29" t="s">
        <v>2763</v>
      </c>
      <c r="M10830" s="29" t="s">
        <v>2811</v>
      </c>
      <c r="N10830" s="29" t="s">
        <v>2818</v>
      </c>
      <c r="O10830" s="29"/>
      <c r="P10830" s="29" t="s">
        <v>2819</v>
      </c>
      <c r="Q10830" t="s">
        <v>2041</v>
      </c>
      <c r="R10830" t="s">
        <v>6901</v>
      </c>
      <c r="S10830">
        <v>36</v>
      </c>
      <c r="T10830" s="43" t="str">
        <f>HYPERLINK("https://ictv.global/ictv/proposals/2020.001G.R.Abolish_type_species.pdf","2020.001G.R.Abolish_type_species.pdf")</f>
        <v>2020.001G.R.Abolish_type_species.pdf</v>
      </c>
      <c r="U10830" s="43" t="str">
        <f>HYPERLINK("https://ictv.global/taxonomy/taxondetails?taxnode_id=202205722","ictv.global=202205722")</f>
        <v>ictv.global=202205722</v>
      </c>
    </row>
    <row r="10831" spans="1:21">
      <c r="A10831">
        <v>10830</v>
      </c>
      <c r="B10831" s="29"/>
      <c r="C10831" s="29"/>
      <c r="D10831" s="29"/>
      <c r="E10831" s="29"/>
      <c r="F10831" s="29"/>
      <c r="G10831" s="29"/>
      <c r="H10831" s="29"/>
      <c r="I10831" s="29"/>
      <c r="J10831" s="29"/>
      <c r="K10831" s="29"/>
      <c r="L10831" s="29" t="s">
        <v>2763</v>
      </c>
      <c r="M10831" s="29" t="s">
        <v>2811</v>
      </c>
      <c r="N10831" s="29" t="s">
        <v>2820</v>
      </c>
      <c r="O10831" s="29"/>
      <c r="P10831" s="29" t="s">
        <v>3203</v>
      </c>
      <c r="Q10831" t="s">
        <v>2041</v>
      </c>
      <c r="R10831" t="s">
        <v>6901</v>
      </c>
      <c r="S10831">
        <v>36</v>
      </c>
      <c r="T10831" s="43" t="str">
        <f>HYPERLINK("https://ictv.global/ictv/proposals/2020.001G.R.Abolish_type_species.pdf","2020.001G.R.Abolish_type_species.pdf")</f>
        <v>2020.001G.R.Abolish_type_species.pdf</v>
      </c>
      <c r="U10831" s="43" t="str">
        <f>HYPERLINK("https://ictv.global/taxonomy/taxondetails?taxnode_id=202205724","ictv.global=202205724")</f>
        <v>ictv.global=202205724</v>
      </c>
    </row>
    <row r="10832" spans="1:21">
      <c r="A10832">
        <v>10831</v>
      </c>
      <c r="B10832" s="29"/>
      <c r="C10832" s="29"/>
      <c r="D10832" s="29"/>
      <c r="E10832" s="29"/>
      <c r="F10832" s="29"/>
      <c r="G10832" s="29"/>
      <c r="H10832" s="29"/>
      <c r="I10832" s="29"/>
      <c r="J10832" s="29"/>
      <c r="K10832" s="29"/>
      <c r="L10832" s="29" t="s">
        <v>2763</v>
      </c>
      <c r="M10832" s="29" t="s">
        <v>2811</v>
      </c>
      <c r="N10832" s="29" t="s">
        <v>2821</v>
      </c>
      <c r="O10832" s="29"/>
      <c r="P10832" s="29" t="s">
        <v>2822</v>
      </c>
      <c r="Q10832" t="s">
        <v>2041</v>
      </c>
      <c r="R10832" t="s">
        <v>2632</v>
      </c>
      <c r="S10832">
        <v>32</v>
      </c>
      <c r="T10832" s="43" t="str">
        <f>HYPERLINK("https://ictv.global/ictv/proposals/2017.004P.A.v4.Alphasatellitidae.zip","2017.004P.A.v4.Alphasatellitidae.zip")</f>
        <v>2017.004P.A.v4.Alphasatellitidae.zip</v>
      </c>
      <c r="U10832" s="43" t="str">
        <f>HYPERLINK("https://ictv.global/taxonomy/taxondetails?taxnode_id=202205726","ictv.global=202205726")</f>
        <v>ictv.global=202205726</v>
      </c>
    </row>
    <row r="10833" spans="1:21">
      <c r="A10833">
        <v>10832</v>
      </c>
      <c r="B10833" s="29"/>
      <c r="C10833" s="29"/>
      <c r="D10833" s="29"/>
      <c r="E10833" s="29"/>
      <c r="F10833" s="29"/>
      <c r="G10833" s="29"/>
      <c r="H10833" s="29"/>
      <c r="I10833" s="29"/>
      <c r="J10833" s="29"/>
      <c r="K10833" s="29"/>
      <c r="L10833" s="29" t="s">
        <v>2763</v>
      </c>
      <c r="M10833" s="29" t="s">
        <v>2811</v>
      </c>
      <c r="N10833" s="29" t="s">
        <v>2821</v>
      </c>
      <c r="O10833" s="29"/>
      <c r="P10833" s="29" t="s">
        <v>3204</v>
      </c>
      <c r="Q10833" t="s">
        <v>2041</v>
      </c>
      <c r="R10833" t="s">
        <v>6901</v>
      </c>
      <c r="S10833">
        <v>36</v>
      </c>
      <c r="T10833" s="43" t="str">
        <f>HYPERLINK("https://ictv.global/ictv/proposals/2020.001G.R.Abolish_type_species.pdf","2020.001G.R.Abolish_type_species.pdf")</f>
        <v>2020.001G.R.Abolish_type_species.pdf</v>
      </c>
      <c r="U10833" s="43" t="str">
        <f>HYPERLINK("https://ictv.global/taxonomy/taxondetails?taxnode_id=202205727","ictv.global=202205727")</f>
        <v>ictv.global=202205727</v>
      </c>
    </row>
    <row r="10834" spans="1:21">
      <c r="A10834">
        <v>10833</v>
      </c>
      <c r="B10834" s="29"/>
      <c r="C10834" s="29"/>
      <c r="D10834" s="29"/>
      <c r="E10834" s="29"/>
      <c r="F10834" s="29"/>
      <c r="G10834" s="29"/>
      <c r="H10834" s="29"/>
      <c r="I10834" s="29"/>
      <c r="J10834" s="29"/>
      <c r="K10834" s="29"/>
      <c r="L10834" s="29" t="s">
        <v>2763</v>
      </c>
      <c r="M10834" s="29" t="s">
        <v>2811</v>
      </c>
      <c r="N10834" s="29" t="s">
        <v>2821</v>
      </c>
      <c r="O10834" s="29"/>
      <c r="P10834" s="29" t="s">
        <v>6789</v>
      </c>
      <c r="Q10834" t="s">
        <v>2265</v>
      </c>
      <c r="R10834" t="s">
        <v>2632</v>
      </c>
      <c r="S10834">
        <v>36</v>
      </c>
      <c r="T10834" s="43" t="str">
        <f>HYPERLINK("https://ictv.global/ictv/proposals/2020.002P.R.Alphasatellitidae_3ng_9nsp.zip","2020.002P.R.Alphasatellitidae_3ng_9nsp.zip")</f>
        <v>2020.002P.R.Alphasatellitidae_3ng_9nsp.zip</v>
      </c>
      <c r="U10834" s="43" t="str">
        <f>HYPERLINK("https://ictv.global/taxonomy/taxondetails?taxnode_id=202208794","ictv.global=202208794")</f>
        <v>ictv.global=202208794</v>
      </c>
    </row>
    <row r="10835" spans="1:21">
      <c r="A10835">
        <v>10834</v>
      </c>
      <c r="B10835" s="29"/>
      <c r="C10835" s="29"/>
      <c r="D10835" s="29"/>
      <c r="E10835" s="29"/>
      <c r="F10835" s="29"/>
      <c r="G10835" s="29"/>
      <c r="H10835" s="29"/>
      <c r="I10835" s="29"/>
      <c r="J10835" s="29"/>
      <c r="K10835" s="29"/>
      <c r="L10835" s="29" t="s">
        <v>2763</v>
      </c>
      <c r="M10835" s="29" t="s">
        <v>2811</v>
      </c>
      <c r="N10835" s="29" t="s">
        <v>2821</v>
      </c>
      <c r="O10835" s="29"/>
      <c r="P10835" s="29" t="s">
        <v>6790</v>
      </c>
      <c r="Q10835" t="s">
        <v>2265</v>
      </c>
      <c r="R10835" t="s">
        <v>2632</v>
      </c>
      <c r="S10835">
        <v>36</v>
      </c>
      <c r="T10835" s="43" t="str">
        <f>HYPERLINK("https://ictv.global/ictv/proposals/2020.002P.R.Alphasatellitidae_3ng_9nsp.zip","2020.002P.R.Alphasatellitidae_3ng_9nsp.zip")</f>
        <v>2020.002P.R.Alphasatellitidae_3ng_9nsp.zip</v>
      </c>
      <c r="U10835" s="43" t="str">
        <f>HYPERLINK("https://ictv.global/taxonomy/taxondetails?taxnode_id=202208795","ictv.global=202208795")</f>
        <v>ictv.global=202208795</v>
      </c>
    </row>
    <row r="10836" spans="1:21">
      <c r="A10836">
        <v>10835</v>
      </c>
      <c r="B10836" s="29"/>
      <c r="C10836" s="29"/>
      <c r="D10836" s="29"/>
      <c r="E10836" s="29"/>
      <c r="F10836" s="29"/>
      <c r="G10836" s="29"/>
      <c r="H10836" s="29"/>
      <c r="I10836" s="29"/>
      <c r="J10836" s="29"/>
      <c r="K10836" s="29"/>
      <c r="L10836" s="29" t="s">
        <v>2763</v>
      </c>
      <c r="M10836" s="29" t="s">
        <v>2811</v>
      </c>
      <c r="N10836" s="29" t="s">
        <v>2821</v>
      </c>
      <c r="O10836" s="29"/>
      <c r="P10836" s="29" t="s">
        <v>6791</v>
      </c>
      <c r="Q10836" t="s">
        <v>2265</v>
      </c>
      <c r="R10836" t="s">
        <v>2632</v>
      </c>
      <c r="S10836">
        <v>36</v>
      </c>
      <c r="T10836" s="43" t="str">
        <f>HYPERLINK("https://ictv.global/ictv/proposals/2020.002P.R.Alphasatellitidae_3ng_9nsp.zip","2020.002P.R.Alphasatellitidae_3ng_9nsp.zip")</f>
        <v>2020.002P.R.Alphasatellitidae_3ng_9nsp.zip</v>
      </c>
      <c r="U10836" s="43" t="str">
        <f>HYPERLINK("https://ictv.global/taxonomy/taxondetails?taxnode_id=202208793","ictv.global=202208793")</f>
        <v>ictv.global=202208793</v>
      </c>
    </row>
    <row r="10837" spans="1:21">
      <c r="A10837">
        <v>10836</v>
      </c>
      <c r="B10837" s="29"/>
      <c r="C10837" s="29"/>
      <c r="D10837" s="29"/>
      <c r="E10837" s="29"/>
      <c r="F10837" s="29"/>
      <c r="G10837" s="29"/>
      <c r="H10837" s="29"/>
      <c r="I10837" s="29"/>
      <c r="J10837" s="29"/>
      <c r="K10837" s="29"/>
      <c r="L10837" s="29" t="s">
        <v>2763</v>
      </c>
      <c r="M10837" s="29" t="s">
        <v>2811</v>
      </c>
      <c r="N10837" s="29" t="s">
        <v>2821</v>
      </c>
      <c r="O10837" s="29"/>
      <c r="P10837" s="29" t="s">
        <v>3205</v>
      </c>
      <c r="Q10837" t="s">
        <v>2041</v>
      </c>
      <c r="R10837" t="s">
        <v>2632</v>
      </c>
      <c r="S10837">
        <v>32</v>
      </c>
      <c r="T10837" s="43" t="str">
        <f>HYPERLINK("https://ictv.global/ictv/proposals/2017.004P.A.v4.Alphasatellitidae.zip","2017.004P.A.v4.Alphasatellitidae.zip")</f>
        <v>2017.004P.A.v4.Alphasatellitidae.zip</v>
      </c>
      <c r="U10837" s="43" t="str">
        <f>HYPERLINK("https://ictv.global/taxonomy/taxondetails?taxnode_id=202205728","ictv.global=202205728")</f>
        <v>ictv.global=202205728</v>
      </c>
    </row>
    <row r="10838" spans="1:21">
      <c r="A10838">
        <v>10837</v>
      </c>
      <c r="B10838" s="29"/>
      <c r="C10838" s="29"/>
      <c r="D10838" s="29"/>
      <c r="E10838" s="29"/>
      <c r="F10838" s="29"/>
      <c r="G10838" s="29"/>
      <c r="H10838" s="29"/>
      <c r="I10838" s="29"/>
      <c r="J10838" s="29"/>
      <c r="K10838" s="29"/>
      <c r="L10838" s="29" t="s">
        <v>2763</v>
      </c>
      <c r="M10838" s="29" t="s">
        <v>2811</v>
      </c>
      <c r="N10838" s="29" t="s">
        <v>2821</v>
      </c>
      <c r="O10838" s="29"/>
      <c r="P10838" s="29" t="s">
        <v>2823</v>
      </c>
      <c r="Q10838" t="s">
        <v>2041</v>
      </c>
      <c r="R10838" t="s">
        <v>2632</v>
      </c>
      <c r="S10838">
        <v>32</v>
      </c>
      <c r="T10838" s="43" t="str">
        <f>HYPERLINK("https://ictv.global/ictv/proposals/2017.004P.A.v4.Alphasatellitidae.zip","2017.004P.A.v4.Alphasatellitidae.zip")</f>
        <v>2017.004P.A.v4.Alphasatellitidae.zip</v>
      </c>
      <c r="U10838" s="43" t="str">
        <f>HYPERLINK("https://ictv.global/taxonomy/taxondetails?taxnode_id=202205729","ictv.global=202205729")</f>
        <v>ictv.global=202205729</v>
      </c>
    </row>
    <row r="10839" spans="1:21">
      <c r="A10839">
        <v>10838</v>
      </c>
      <c r="B10839" s="29"/>
      <c r="C10839" s="29"/>
      <c r="D10839" s="29"/>
      <c r="E10839" s="29"/>
      <c r="F10839" s="29"/>
      <c r="G10839" s="29"/>
      <c r="H10839" s="29"/>
      <c r="I10839" s="29"/>
      <c r="J10839" s="29"/>
      <c r="K10839" s="29"/>
      <c r="L10839" s="29" t="s">
        <v>2763</v>
      </c>
      <c r="M10839" s="29" t="s">
        <v>2811</v>
      </c>
      <c r="N10839" s="29" t="s">
        <v>2824</v>
      </c>
      <c r="O10839" s="29"/>
      <c r="P10839" s="29" t="s">
        <v>4442</v>
      </c>
      <c r="Q10839" t="s">
        <v>2265</v>
      </c>
      <c r="R10839" t="s">
        <v>2632</v>
      </c>
      <c r="S10839">
        <v>35</v>
      </c>
      <c r="T10839" s="43" t="str">
        <f>HYPERLINK("https://ictv.global/ictv/proposals/2019.009P.zip","2019.009P.zip")</f>
        <v>2019.009P.zip</v>
      </c>
      <c r="U10839" s="43" t="str">
        <f>HYPERLINK("https://ictv.global/taxonomy/taxondetails?taxnode_id=202207296","ictv.global=202207296")</f>
        <v>ictv.global=202207296</v>
      </c>
    </row>
    <row r="10840" spans="1:21">
      <c r="A10840">
        <v>10839</v>
      </c>
      <c r="B10840" s="29"/>
      <c r="C10840" s="29"/>
      <c r="D10840" s="29"/>
      <c r="E10840" s="29"/>
      <c r="F10840" s="29"/>
      <c r="G10840" s="29"/>
      <c r="H10840" s="29"/>
      <c r="I10840" s="29"/>
      <c r="J10840" s="29"/>
      <c r="K10840" s="29"/>
      <c r="L10840" s="29" t="s">
        <v>2763</v>
      </c>
      <c r="M10840" s="29" t="s">
        <v>2811</v>
      </c>
      <c r="N10840" s="29" t="s">
        <v>2824</v>
      </c>
      <c r="O10840" s="29"/>
      <c r="P10840" s="29" t="s">
        <v>2825</v>
      </c>
      <c r="Q10840" t="s">
        <v>2041</v>
      </c>
      <c r="R10840" t="s">
        <v>6901</v>
      </c>
      <c r="S10840">
        <v>36</v>
      </c>
      <c r="T10840" s="43" t="str">
        <f>HYPERLINK("https://ictv.global/ictv/proposals/2020.001G.R.Abolish_type_species.pdf","2020.001G.R.Abolish_type_species.pdf")</f>
        <v>2020.001G.R.Abolish_type_species.pdf</v>
      </c>
      <c r="U10840" s="43" t="str">
        <f>HYPERLINK("https://ictv.global/taxonomy/taxondetails?taxnode_id=202205731","ictv.global=202205731")</f>
        <v>ictv.global=202205731</v>
      </c>
    </row>
    <row r="10841" spans="1:21">
      <c r="A10841">
        <v>10840</v>
      </c>
      <c r="B10841" s="29"/>
      <c r="C10841" s="29"/>
      <c r="D10841" s="29"/>
      <c r="E10841" s="29"/>
      <c r="F10841" s="29"/>
      <c r="G10841" s="29"/>
      <c r="H10841" s="29"/>
      <c r="I10841" s="29"/>
      <c r="J10841" s="29"/>
      <c r="K10841" s="29"/>
      <c r="L10841" s="29" t="s">
        <v>2763</v>
      </c>
      <c r="M10841" s="29" t="s">
        <v>2811</v>
      </c>
      <c r="N10841" s="29" t="s">
        <v>2826</v>
      </c>
      <c r="O10841" s="29"/>
      <c r="P10841" s="29" t="s">
        <v>2827</v>
      </c>
      <c r="Q10841" t="s">
        <v>2041</v>
      </c>
      <c r="R10841" t="s">
        <v>2632</v>
      </c>
      <c r="S10841">
        <v>32</v>
      </c>
      <c r="T10841" s="43" t="str">
        <f>HYPERLINK("https://ictv.global/ictv/proposals/2017.004P.A.v4.Alphasatellitidae.zip","2017.004P.A.v4.Alphasatellitidae.zip")</f>
        <v>2017.004P.A.v4.Alphasatellitidae.zip</v>
      </c>
      <c r="U10841" s="43" t="str">
        <f>HYPERLINK("https://ictv.global/taxonomy/taxondetails?taxnode_id=202205733","ictv.global=202205733")</f>
        <v>ictv.global=202205733</v>
      </c>
    </row>
    <row r="10842" spans="1:21">
      <c r="A10842">
        <v>10841</v>
      </c>
      <c r="B10842" s="29"/>
      <c r="C10842" s="29"/>
      <c r="D10842" s="29"/>
      <c r="E10842" s="29"/>
      <c r="F10842" s="29"/>
      <c r="G10842" s="29"/>
      <c r="H10842" s="29"/>
      <c r="I10842" s="29"/>
      <c r="J10842" s="29"/>
      <c r="K10842" s="29"/>
      <c r="L10842" s="29" t="s">
        <v>2763</v>
      </c>
      <c r="M10842" s="29" t="s">
        <v>2811</v>
      </c>
      <c r="N10842" s="29" t="s">
        <v>2826</v>
      </c>
      <c r="O10842" s="29"/>
      <c r="P10842" s="29" t="s">
        <v>4443</v>
      </c>
      <c r="Q10842" t="s">
        <v>2265</v>
      </c>
      <c r="R10842" t="s">
        <v>2632</v>
      </c>
      <c r="S10842">
        <v>35</v>
      </c>
      <c r="T10842" s="43" t="str">
        <f>HYPERLINK("https://ictv.global/ictv/proposals/2019.009P.zip","2019.009P.zip")</f>
        <v>2019.009P.zip</v>
      </c>
      <c r="U10842" s="43" t="str">
        <f>HYPERLINK("https://ictv.global/taxonomy/taxondetails?taxnode_id=202207295","ictv.global=202207295")</f>
        <v>ictv.global=202207295</v>
      </c>
    </row>
    <row r="10843" spans="1:21">
      <c r="A10843">
        <v>10842</v>
      </c>
      <c r="B10843" s="29"/>
      <c r="C10843" s="29"/>
      <c r="D10843" s="29"/>
      <c r="E10843" s="29"/>
      <c r="F10843" s="29"/>
      <c r="G10843" s="29"/>
      <c r="H10843" s="29"/>
      <c r="I10843" s="29"/>
      <c r="J10843" s="29"/>
      <c r="K10843" s="29"/>
      <c r="L10843" s="29" t="s">
        <v>2763</v>
      </c>
      <c r="M10843" s="29" t="s">
        <v>2811</v>
      </c>
      <c r="N10843" s="29" t="s">
        <v>2826</v>
      </c>
      <c r="O10843" s="29"/>
      <c r="P10843" s="29" t="s">
        <v>3628</v>
      </c>
      <c r="Q10843" t="s">
        <v>2041</v>
      </c>
      <c r="R10843" t="s">
        <v>2635</v>
      </c>
      <c r="S10843">
        <v>34</v>
      </c>
      <c r="T10843" s="43" t="str">
        <f>HYPERLINK("https://ictv.global/ictv/proposals/2018.030P.A.v1.Alphasatellitidae_2spren.zip","2018.030P.A.v1.Alphasatellitidae_2spren.zip")</f>
        <v>2018.030P.A.v1.Alphasatellitidae_2spren.zip</v>
      </c>
      <c r="U10843" s="43" t="str">
        <f>HYPERLINK("https://ictv.global/taxonomy/taxondetails?taxnode_id=202205734","ictv.global=202205734")</f>
        <v>ictv.global=202205734</v>
      </c>
    </row>
    <row r="10844" spans="1:21">
      <c r="A10844">
        <v>10843</v>
      </c>
      <c r="B10844" s="29"/>
      <c r="C10844" s="29"/>
      <c r="D10844" s="29"/>
      <c r="E10844" s="29"/>
      <c r="F10844" s="29"/>
      <c r="G10844" s="29"/>
      <c r="H10844" s="29"/>
      <c r="I10844" s="29"/>
      <c r="J10844" s="29"/>
      <c r="K10844" s="29"/>
      <c r="L10844" s="29" t="s">
        <v>2763</v>
      </c>
      <c r="M10844" s="29" t="s">
        <v>2811</v>
      </c>
      <c r="N10844" s="29" t="s">
        <v>2826</v>
      </c>
      <c r="O10844" s="29"/>
      <c r="P10844" s="29" t="s">
        <v>2828</v>
      </c>
      <c r="Q10844" t="s">
        <v>2041</v>
      </c>
      <c r="R10844" t="s">
        <v>6901</v>
      </c>
      <c r="S10844">
        <v>36</v>
      </c>
      <c r="T10844" s="43" t="str">
        <f>HYPERLINK("https://ictv.global/ictv/proposals/2020.001G.R.Abolish_type_species.pdf","2020.001G.R.Abolish_type_species.pdf")</f>
        <v>2020.001G.R.Abolish_type_species.pdf</v>
      </c>
      <c r="U10844" s="43" t="str">
        <f>HYPERLINK("https://ictv.global/taxonomy/taxondetails?taxnode_id=202205735","ictv.global=202205735")</f>
        <v>ictv.global=202205735</v>
      </c>
    </row>
    <row r="10845" spans="1:21">
      <c r="A10845">
        <v>10844</v>
      </c>
      <c r="B10845" s="29"/>
      <c r="C10845" s="29"/>
      <c r="D10845" s="29"/>
      <c r="E10845" s="29"/>
      <c r="F10845" s="29"/>
      <c r="G10845" s="29"/>
      <c r="H10845" s="29"/>
      <c r="I10845" s="29"/>
      <c r="J10845" s="29"/>
      <c r="K10845" s="29"/>
      <c r="L10845" s="29" t="s">
        <v>2763</v>
      </c>
      <c r="M10845" s="29" t="s">
        <v>6792</v>
      </c>
      <c r="N10845" s="29" t="s">
        <v>2812</v>
      </c>
      <c r="O10845" s="29"/>
      <c r="P10845" s="29" t="s">
        <v>2813</v>
      </c>
      <c r="Q10845" t="s">
        <v>2265</v>
      </c>
      <c r="R10845" t="s">
        <v>6899</v>
      </c>
      <c r="S10845">
        <v>36</v>
      </c>
      <c r="T10845" s="43" t="str">
        <f>HYPERLINK("https://ictv.global/ictv/proposals/2020.001G.R.Abolish_type_species.pdf","2020.001G.R.Abolish_type_species.pdf")</f>
        <v>2020.001G.R.Abolish_type_species.pdf</v>
      </c>
      <c r="U10845" s="43" t="str">
        <f>HYPERLINK("https://ictv.global/taxonomy/taxondetails?taxnode_id=202205712","ictv.global=202205712")</f>
        <v>ictv.global=202205712</v>
      </c>
    </row>
    <row r="10846" spans="1:21">
      <c r="A10846">
        <v>10845</v>
      </c>
      <c r="B10846" s="29"/>
      <c r="C10846" s="29"/>
      <c r="D10846" s="29"/>
      <c r="E10846" s="29"/>
      <c r="F10846" s="29"/>
      <c r="G10846" s="29"/>
      <c r="H10846" s="29"/>
      <c r="I10846" s="29"/>
      <c r="J10846" s="29"/>
      <c r="K10846" s="29"/>
      <c r="L10846" s="29" t="s">
        <v>2763</v>
      </c>
      <c r="M10846" s="29" t="s">
        <v>6792</v>
      </c>
      <c r="N10846" s="29" t="s">
        <v>6793</v>
      </c>
      <c r="O10846" s="29"/>
      <c r="P10846" s="29" t="s">
        <v>6794</v>
      </c>
      <c r="Q10846" t="s">
        <v>2265</v>
      </c>
      <c r="R10846" t="s">
        <v>2633</v>
      </c>
      <c r="S10846">
        <v>36</v>
      </c>
      <c r="T10846" s="43" t="str">
        <f t="shared" ref="T10846:T10854" si="467">HYPERLINK("https://ictv.global/ictv/proposals/2020.001P.R.Petromoalphasatellitinae_nsf.zip","2020.001P.R.Petromoalphasatellitinae_nsf.zip")</f>
        <v>2020.001P.R.Petromoalphasatellitinae_nsf.zip</v>
      </c>
      <c r="U10846" s="43" t="str">
        <f>HYPERLINK("https://ictv.global/taxonomy/taxondetails?taxnode_id=202205738","ictv.global=202205738")</f>
        <v>ictv.global=202205738</v>
      </c>
    </row>
    <row r="10847" spans="1:21">
      <c r="A10847">
        <v>10846</v>
      </c>
      <c r="B10847" s="29"/>
      <c r="C10847" s="29"/>
      <c r="D10847" s="29"/>
      <c r="E10847" s="29"/>
      <c r="F10847" s="29"/>
      <c r="G10847" s="29"/>
      <c r="H10847" s="29"/>
      <c r="I10847" s="29"/>
      <c r="J10847" s="29"/>
      <c r="K10847" s="29"/>
      <c r="L10847" s="29" t="s">
        <v>2763</v>
      </c>
      <c r="M10847" s="29" t="s">
        <v>6792</v>
      </c>
      <c r="N10847" s="29" t="s">
        <v>6793</v>
      </c>
      <c r="O10847" s="29"/>
      <c r="P10847" s="29" t="s">
        <v>6795</v>
      </c>
      <c r="Q10847" t="s">
        <v>2265</v>
      </c>
      <c r="R10847" t="s">
        <v>2632</v>
      </c>
      <c r="S10847">
        <v>36</v>
      </c>
      <c r="T10847" s="43" t="str">
        <f t="shared" si="467"/>
        <v>2020.001P.R.Petromoalphasatellitinae_nsf.zip</v>
      </c>
      <c r="U10847" s="43" t="str">
        <f>HYPERLINK("https://ictv.global/taxonomy/taxondetails?taxnode_id=202208763","ictv.global=202208763")</f>
        <v>ictv.global=202208763</v>
      </c>
    </row>
    <row r="10848" spans="1:21">
      <c r="A10848">
        <v>10847</v>
      </c>
      <c r="B10848" s="29"/>
      <c r="C10848" s="29"/>
      <c r="D10848" s="29"/>
      <c r="E10848" s="29"/>
      <c r="F10848" s="29"/>
      <c r="G10848" s="29"/>
      <c r="H10848" s="29"/>
      <c r="I10848" s="29"/>
      <c r="J10848" s="29"/>
      <c r="K10848" s="29"/>
      <c r="L10848" s="29" t="s">
        <v>2763</v>
      </c>
      <c r="M10848" s="29" t="s">
        <v>6792</v>
      </c>
      <c r="N10848" s="29" t="s">
        <v>6793</v>
      </c>
      <c r="O10848" s="29"/>
      <c r="P10848" s="29" t="s">
        <v>6796</v>
      </c>
      <c r="Q10848" t="s">
        <v>2265</v>
      </c>
      <c r="R10848" t="s">
        <v>2632</v>
      </c>
      <c r="S10848">
        <v>36</v>
      </c>
      <c r="T10848" s="43" t="str">
        <f t="shared" si="467"/>
        <v>2020.001P.R.Petromoalphasatellitinae_nsf.zip</v>
      </c>
      <c r="U10848" s="43" t="str">
        <f>HYPERLINK("https://ictv.global/taxonomy/taxondetails?taxnode_id=202208765","ictv.global=202208765")</f>
        <v>ictv.global=202208765</v>
      </c>
    </row>
    <row r="10849" spans="1:21">
      <c r="A10849">
        <v>10848</v>
      </c>
      <c r="B10849" s="29"/>
      <c r="C10849" s="29"/>
      <c r="D10849" s="29"/>
      <c r="E10849" s="29"/>
      <c r="F10849" s="29"/>
      <c r="G10849" s="29"/>
      <c r="H10849" s="29"/>
      <c r="I10849" s="29"/>
      <c r="J10849" s="29"/>
      <c r="K10849" s="29"/>
      <c r="L10849" s="29" t="s">
        <v>2763</v>
      </c>
      <c r="M10849" s="29" t="s">
        <v>6792</v>
      </c>
      <c r="N10849" s="29" t="s">
        <v>6793</v>
      </c>
      <c r="O10849" s="29"/>
      <c r="P10849" s="29" t="s">
        <v>6797</v>
      </c>
      <c r="Q10849" t="s">
        <v>2265</v>
      </c>
      <c r="R10849" t="s">
        <v>2632</v>
      </c>
      <c r="S10849">
        <v>36</v>
      </c>
      <c r="T10849" s="43" t="str">
        <f t="shared" si="467"/>
        <v>2020.001P.R.Petromoalphasatellitinae_nsf.zip</v>
      </c>
      <c r="U10849" s="43" t="str">
        <f>HYPERLINK("https://ictv.global/taxonomy/taxondetails?taxnode_id=202208764","ictv.global=202208764")</f>
        <v>ictv.global=202208764</v>
      </c>
    </row>
    <row r="10850" spans="1:21">
      <c r="A10850">
        <v>10849</v>
      </c>
      <c r="B10850" s="29"/>
      <c r="C10850" s="29"/>
      <c r="D10850" s="29"/>
      <c r="E10850" s="29"/>
      <c r="F10850" s="29"/>
      <c r="G10850" s="29"/>
      <c r="H10850" s="29"/>
      <c r="I10850" s="29"/>
      <c r="J10850" s="29"/>
      <c r="K10850" s="29"/>
      <c r="L10850" s="29" t="s">
        <v>2763</v>
      </c>
      <c r="M10850" s="29" t="s">
        <v>6792</v>
      </c>
      <c r="N10850" s="29" t="s">
        <v>6798</v>
      </c>
      <c r="O10850" s="29"/>
      <c r="P10850" s="29" t="s">
        <v>6799</v>
      </c>
      <c r="Q10850" t="s">
        <v>2265</v>
      </c>
      <c r="R10850" t="s">
        <v>2632</v>
      </c>
      <c r="S10850">
        <v>36</v>
      </c>
      <c r="T10850" s="43" t="str">
        <f t="shared" si="467"/>
        <v>2020.001P.R.Petromoalphasatellitinae_nsf.zip</v>
      </c>
      <c r="U10850" s="43" t="str">
        <f>HYPERLINK("https://ictv.global/taxonomy/taxondetails?taxnode_id=202208767","ictv.global=202208767")</f>
        <v>ictv.global=202208767</v>
      </c>
    </row>
    <row r="10851" spans="1:21">
      <c r="A10851">
        <v>10850</v>
      </c>
      <c r="B10851" s="29"/>
      <c r="C10851" s="29"/>
      <c r="D10851" s="29"/>
      <c r="E10851" s="29"/>
      <c r="F10851" s="29"/>
      <c r="G10851" s="29"/>
      <c r="H10851" s="29"/>
      <c r="I10851" s="29"/>
      <c r="J10851" s="29"/>
      <c r="K10851" s="29"/>
      <c r="L10851" s="29" t="s">
        <v>2763</v>
      </c>
      <c r="M10851" s="29" t="s">
        <v>6792</v>
      </c>
      <c r="N10851" s="29" t="s">
        <v>6800</v>
      </c>
      <c r="O10851" s="29"/>
      <c r="P10851" s="29" t="s">
        <v>6801</v>
      </c>
      <c r="Q10851" t="s">
        <v>2265</v>
      </c>
      <c r="R10851" t="s">
        <v>2632</v>
      </c>
      <c r="S10851">
        <v>36</v>
      </c>
      <c r="T10851" s="43" t="str">
        <f t="shared" si="467"/>
        <v>2020.001P.R.Petromoalphasatellitinae_nsf.zip</v>
      </c>
      <c r="U10851" s="43" t="str">
        <f>HYPERLINK("https://ictv.global/taxonomy/taxondetails?taxnode_id=202208769","ictv.global=202208769")</f>
        <v>ictv.global=202208769</v>
      </c>
    </row>
    <row r="10852" spans="1:21">
      <c r="A10852">
        <v>10851</v>
      </c>
      <c r="B10852" s="29"/>
      <c r="C10852" s="29"/>
      <c r="D10852" s="29"/>
      <c r="E10852" s="29"/>
      <c r="F10852" s="29"/>
      <c r="G10852" s="29"/>
      <c r="H10852" s="29"/>
      <c r="I10852" s="29"/>
      <c r="J10852" s="29"/>
      <c r="K10852" s="29"/>
      <c r="L10852" s="29" t="s">
        <v>2763</v>
      </c>
      <c r="M10852" s="29" t="s">
        <v>6792</v>
      </c>
      <c r="N10852" s="29" t="s">
        <v>6802</v>
      </c>
      <c r="O10852" s="29"/>
      <c r="P10852" s="29" t="s">
        <v>3198</v>
      </c>
      <c r="Q10852" t="s">
        <v>2265</v>
      </c>
      <c r="R10852" t="s">
        <v>2634</v>
      </c>
      <c r="S10852">
        <v>36</v>
      </c>
      <c r="T10852" s="43" t="str">
        <f t="shared" si="467"/>
        <v>2020.001P.R.Petromoalphasatellitinae_nsf.zip</v>
      </c>
      <c r="U10852" s="43" t="str">
        <f>HYPERLINK("https://ictv.global/taxonomy/taxondetails?taxnode_id=202205711","ictv.global=202205711")</f>
        <v>ictv.global=202205711</v>
      </c>
    </row>
    <row r="10853" spans="1:21">
      <c r="A10853">
        <v>10852</v>
      </c>
      <c r="B10853" s="29"/>
      <c r="C10853" s="29"/>
      <c r="D10853" s="29"/>
      <c r="E10853" s="29"/>
      <c r="F10853" s="29"/>
      <c r="G10853" s="29"/>
      <c r="H10853" s="29"/>
      <c r="I10853" s="29"/>
      <c r="J10853" s="29"/>
      <c r="K10853" s="29"/>
      <c r="L10853" s="29" t="s">
        <v>2763</v>
      </c>
      <c r="M10853" s="29" t="s">
        <v>6792</v>
      </c>
      <c r="N10853" s="29" t="s">
        <v>6802</v>
      </c>
      <c r="O10853" s="29"/>
      <c r="P10853" s="29" t="s">
        <v>2814</v>
      </c>
      <c r="Q10853" t="s">
        <v>2265</v>
      </c>
      <c r="R10853" t="s">
        <v>2634</v>
      </c>
      <c r="S10853">
        <v>36</v>
      </c>
      <c r="T10853" s="43" t="str">
        <f t="shared" si="467"/>
        <v>2020.001P.R.Petromoalphasatellitinae_nsf.zip</v>
      </c>
      <c r="U10853" s="43" t="str">
        <f>HYPERLINK("https://ictv.global/taxonomy/taxondetails?taxnode_id=202205713","ictv.global=202205713")</f>
        <v>ictv.global=202205713</v>
      </c>
    </row>
    <row r="10854" spans="1:21">
      <c r="A10854">
        <v>10853</v>
      </c>
      <c r="B10854" s="29"/>
      <c r="C10854" s="29"/>
      <c r="D10854" s="29"/>
      <c r="E10854" s="29"/>
      <c r="F10854" s="29"/>
      <c r="G10854" s="29"/>
      <c r="H10854" s="29"/>
      <c r="I10854" s="29"/>
      <c r="J10854" s="29"/>
      <c r="K10854" s="29"/>
      <c r="L10854" s="29" t="s">
        <v>2763</v>
      </c>
      <c r="M10854" s="29" t="s">
        <v>6792</v>
      </c>
      <c r="N10854" s="29" t="s">
        <v>6802</v>
      </c>
      <c r="O10854" s="29"/>
      <c r="P10854" s="29" t="s">
        <v>2815</v>
      </c>
      <c r="Q10854" t="s">
        <v>2265</v>
      </c>
      <c r="R10854" t="s">
        <v>2634</v>
      </c>
      <c r="S10854">
        <v>36</v>
      </c>
      <c r="T10854" s="43" t="str">
        <f t="shared" si="467"/>
        <v>2020.001P.R.Petromoalphasatellitinae_nsf.zip</v>
      </c>
      <c r="U10854" s="43" t="str">
        <f>HYPERLINK("https://ictv.global/taxonomy/taxondetails?taxnode_id=202205714","ictv.global=202205714")</f>
        <v>ictv.global=202205714</v>
      </c>
    </row>
    <row r="10855" spans="1:21">
      <c r="A10855">
        <v>10854</v>
      </c>
      <c r="B10855" s="29"/>
      <c r="C10855" s="29"/>
      <c r="D10855" s="29"/>
      <c r="E10855" s="29"/>
      <c r="F10855" s="29"/>
      <c r="G10855" s="29"/>
      <c r="H10855" s="29"/>
      <c r="I10855" s="29"/>
      <c r="J10855" s="29"/>
      <c r="K10855" s="29"/>
      <c r="L10855" s="29" t="s">
        <v>797</v>
      </c>
      <c r="M10855" s="29"/>
      <c r="N10855" s="29" t="s">
        <v>6803</v>
      </c>
      <c r="O10855" s="29"/>
      <c r="P10855" s="29" t="s">
        <v>6804</v>
      </c>
      <c r="Q10855" t="s">
        <v>2038</v>
      </c>
      <c r="R10855" t="s">
        <v>6900</v>
      </c>
      <c r="S10855">
        <v>36</v>
      </c>
      <c r="T10855" s="43" t="str">
        <f>HYPERLINK("https://ictv.global/ictv/proposals/2020.009B.R.Ampullaviridae.zip","2020.009B.R.Ampullaviridae.zip;2020.001G.R.Abolish_type_species.pdf")</f>
        <v>2020.009B.R.Ampullaviridae.zip;2020.001G.R.Abolish_type_species.pdf</v>
      </c>
      <c r="U10855" s="43" t="str">
        <f>HYPERLINK("https://ictv.global/taxonomy/taxondetails?taxnode_id=202202484","ictv.global=202202484")</f>
        <v>ictv.global=202202484</v>
      </c>
    </row>
    <row r="10856" spans="1:21">
      <c r="A10856">
        <v>10855</v>
      </c>
      <c r="B10856" s="29"/>
      <c r="C10856" s="29"/>
      <c r="D10856" s="29"/>
      <c r="E10856" s="29"/>
      <c r="F10856" s="29"/>
      <c r="G10856" s="29"/>
      <c r="H10856" s="29"/>
      <c r="I10856" s="29"/>
      <c r="J10856" s="29"/>
      <c r="K10856" s="29"/>
      <c r="L10856" s="29" t="s">
        <v>797</v>
      </c>
      <c r="M10856" s="29"/>
      <c r="N10856" s="29" t="s">
        <v>6803</v>
      </c>
      <c r="O10856" s="29"/>
      <c r="P10856" s="29" t="s">
        <v>6805</v>
      </c>
      <c r="Q10856" t="s">
        <v>2038</v>
      </c>
      <c r="R10856" t="s">
        <v>2632</v>
      </c>
      <c r="S10856">
        <v>36</v>
      </c>
      <c r="T10856" s="43" t="str">
        <f>HYPERLINK("https://ictv.global/ictv/proposals/2020.009B.R.Ampullaviridae.zip","2020.009B.R.Ampullaviridae.zip")</f>
        <v>2020.009B.R.Ampullaviridae.zip</v>
      </c>
      <c r="U10856" s="43" t="str">
        <f>HYPERLINK("https://ictv.global/taxonomy/taxondetails?taxnode_id=202209183","ictv.global=202209183")</f>
        <v>ictv.global=202209183</v>
      </c>
    </row>
    <row r="10857" spans="1:21">
      <c r="A10857">
        <v>10856</v>
      </c>
      <c r="B10857" s="29"/>
      <c r="C10857" s="29"/>
      <c r="D10857" s="29"/>
      <c r="E10857" s="29"/>
      <c r="F10857" s="29"/>
      <c r="G10857" s="29"/>
      <c r="H10857" s="29"/>
      <c r="I10857" s="29"/>
      <c r="J10857" s="29"/>
      <c r="K10857" s="29"/>
      <c r="L10857" s="29" t="s">
        <v>797</v>
      </c>
      <c r="M10857" s="29"/>
      <c r="N10857" s="29" t="s">
        <v>6803</v>
      </c>
      <c r="O10857" s="29"/>
      <c r="P10857" s="29" t="s">
        <v>6806</v>
      </c>
      <c r="Q10857" t="s">
        <v>2038</v>
      </c>
      <c r="R10857" t="s">
        <v>2632</v>
      </c>
      <c r="S10857">
        <v>36</v>
      </c>
      <c r="T10857" s="43" t="str">
        <f>HYPERLINK("https://ictv.global/ictv/proposals/2020.009B.R.Ampullaviridae.zip","2020.009B.R.Ampullaviridae.zip")</f>
        <v>2020.009B.R.Ampullaviridae.zip</v>
      </c>
      <c r="U10857" s="43" t="str">
        <f>HYPERLINK("https://ictv.global/taxonomy/taxondetails?taxnode_id=202209184","ictv.global=202209184")</f>
        <v>ictv.global=202209184</v>
      </c>
    </row>
    <row r="10858" spans="1:21">
      <c r="A10858">
        <v>10857</v>
      </c>
      <c r="B10858" s="29"/>
      <c r="C10858" s="29"/>
      <c r="D10858" s="29"/>
      <c r="E10858" s="29"/>
      <c r="F10858" s="29"/>
      <c r="G10858" s="29"/>
      <c r="H10858" s="29"/>
      <c r="I10858" s="29"/>
      <c r="J10858" s="29"/>
      <c r="K10858" s="29"/>
      <c r="L10858" s="29" t="s">
        <v>256</v>
      </c>
      <c r="M10858" s="29"/>
      <c r="N10858" s="29" t="s">
        <v>6807</v>
      </c>
      <c r="O10858" s="29"/>
      <c r="P10858" s="29" t="s">
        <v>14605</v>
      </c>
      <c r="Q10858" t="s">
        <v>2189</v>
      </c>
      <c r="R10858" t="s">
        <v>2635</v>
      </c>
      <c r="S10858">
        <v>38</v>
      </c>
      <c r="T10858" s="43" t="str">
        <f t="shared" ref="T10858:T10889" si="468">HYPERLINK("https://ictv.global/ictv/proposals/2022.008D.Aelloviridae_146rensp.zip","2022.008D.Aelloviridae_146rensp.zip")</f>
        <v>2022.008D.Aelloviridae_146rensp.zip</v>
      </c>
      <c r="U10858" s="43" t="str">
        <f>HYPERLINK("https://ictv.global/taxonomy/taxondetails?taxnode_id=202209394","ictv.global=202209394")</f>
        <v>ictv.global=202209394</v>
      </c>
    </row>
    <row r="10859" spans="1:21">
      <c r="A10859">
        <v>10858</v>
      </c>
      <c r="B10859" s="29"/>
      <c r="C10859" s="29"/>
      <c r="D10859" s="29"/>
      <c r="E10859" s="29"/>
      <c r="F10859" s="29"/>
      <c r="G10859" s="29"/>
      <c r="H10859" s="29"/>
      <c r="I10859" s="29"/>
      <c r="J10859" s="29"/>
      <c r="K10859" s="29"/>
      <c r="L10859" s="29" t="s">
        <v>256</v>
      </c>
      <c r="M10859" s="29"/>
      <c r="N10859" s="29" t="s">
        <v>6807</v>
      </c>
      <c r="O10859" s="29"/>
      <c r="P10859" s="29" t="s">
        <v>14606</v>
      </c>
      <c r="Q10859" t="s">
        <v>2189</v>
      </c>
      <c r="R10859" t="s">
        <v>2635</v>
      </c>
      <c r="S10859">
        <v>38</v>
      </c>
      <c r="T10859" s="43" t="str">
        <f t="shared" si="468"/>
        <v>2022.008D.Aelloviridae_146rensp.zip</v>
      </c>
      <c r="U10859" s="43" t="str">
        <f>HYPERLINK("https://ictv.global/taxonomy/taxondetails?taxnode_id=202209393","ictv.global=202209393")</f>
        <v>ictv.global=202209393</v>
      </c>
    </row>
    <row r="10860" spans="1:21">
      <c r="A10860">
        <v>10859</v>
      </c>
      <c r="B10860" s="29"/>
      <c r="C10860" s="29"/>
      <c r="D10860" s="29"/>
      <c r="E10860" s="29"/>
      <c r="F10860" s="29"/>
      <c r="G10860" s="29"/>
      <c r="H10860" s="29"/>
      <c r="I10860" s="29"/>
      <c r="J10860" s="29"/>
      <c r="K10860" s="29"/>
      <c r="L10860" s="29" t="s">
        <v>256</v>
      </c>
      <c r="M10860" s="29"/>
      <c r="N10860" s="29" t="s">
        <v>257</v>
      </c>
      <c r="O10860" s="29"/>
      <c r="P10860" s="29" t="s">
        <v>14607</v>
      </c>
      <c r="Q10860" t="s">
        <v>2189</v>
      </c>
      <c r="R10860" t="s">
        <v>2635</v>
      </c>
      <c r="S10860">
        <v>38</v>
      </c>
      <c r="T10860" s="43" t="str">
        <f t="shared" si="468"/>
        <v>2022.008D.Aelloviridae_146rensp.zip</v>
      </c>
      <c r="U10860" s="43" t="str">
        <f>HYPERLINK("https://ictv.global/taxonomy/taxondetails?taxnode_id=202209395","ictv.global=202209395")</f>
        <v>ictv.global=202209395</v>
      </c>
    </row>
    <row r="10861" spans="1:21">
      <c r="A10861">
        <v>10860</v>
      </c>
      <c r="B10861" s="29"/>
      <c r="C10861" s="29"/>
      <c r="D10861" s="29"/>
      <c r="E10861" s="29"/>
      <c r="F10861" s="29"/>
      <c r="G10861" s="29"/>
      <c r="H10861" s="29"/>
      <c r="I10861" s="29"/>
      <c r="J10861" s="29"/>
      <c r="K10861" s="29"/>
      <c r="L10861" s="29" t="s">
        <v>256</v>
      </c>
      <c r="M10861" s="29"/>
      <c r="N10861" s="29" t="s">
        <v>257</v>
      </c>
      <c r="O10861" s="29"/>
      <c r="P10861" s="29" t="s">
        <v>14608</v>
      </c>
      <c r="Q10861" t="s">
        <v>2189</v>
      </c>
      <c r="R10861" t="s">
        <v>2635</v>
      </c>
      <c r="S10861">
        <v>38</v>
      </c>
      <c r="T10861" s="43" t="str">
        <f t="shared" si="468"/>
        <v>2022.008D.Aelloviridae_146rensp.zip</v>
      </c>
      <c r="U10861" s="43" t="str">
        <f>HYPERLINK("https://ictv.global/taxonomy/taxondetails?taxnode_id=202209396","ictv.global=202209396")</f>
        <v>ictv.global=202209396</v>
      </c>
    </row>
    <row r="10862" spans="1:21">
      <c r="A10862">
        <v>10861</v>
      </c>
      <c r="B10862" s="29"/>
      <c r="C10862" s="29"/>
      <c r="D10862" s="29"/>
      <c r="E10862" s="29"/>
      <c r="F10862" s="29"/>
      <c r="G10862" s="29"/>
      <c r="H10862" s="29"/>
      <c r="I10862" s="29"/>
      <c r="J10862" s="29"/>
      <c r="K10862" s="29"/>
      <c r="L10862" s="29" t="s">
        <v>256</v>
      </c>
      <c r="M10862" s="29"/>
      <c r="N10862" s="29" t="s">
        <v>257</v>
      </c>
      <c r="O10862" s="29"/>
      <c r="P10862" s="29" t="s">
        <v>14609</v>
      </c>
      <c r="Q10862" t="s">
        <v>2189</v>
      </c>
      <c r="R10862" t="s">
        <v>2635</v>
      </c>
      <c r="S10862">
        <v>38</v>
      </c>
      <c r="T10862" s="43" t="str">
        <f t="shared" si="468"/>
        <v>2022.008D.Aelloviridae_146rensp.zip</v>
      </c>
      <c r="U10862" s="43" t="str">
        <f>HYPERLINK("https://ictv.global/taxonomy/taxondetails?taxnode_id=202209397","ictv.global=202209397")</f>
        <v>ictv.global=202209397</v>
      </c>
    </row>
    <row r="10863" spans="1:21">
      <c r="A10863">
        <v>10862</v>
      </c>
      <c r="B10863" s="29"/>
      <c r="C10863" s="29"/>
      <c r="D10863" s="29"/>
      <c r="E10863" s="29"/>
      <c r="F10863" s="29"/>
      <c r="G10863" s="29"/>
      <c r="H10863" s="29"/>
      <c r="I10863" s="29"/>
      <c r="J10863" s="29"/>
      <c r="K10863" s="29"/>
      <c r="L10863" s="29" t="s">
        <v>256</v>
      </c>
      <c r="M10863" s="29"/>
      <c r="N10863" s="29" t="s">
        <v>257</v>
      </c>
      <c r="O10863" s="29"/>
      <c r="P10863" s="29" t="s">
        <v>14610</v>
      </c>
      <c r="Q10863" t="s">
        <v>2189</v>
      </c>
      <c r="R10863" t="s">
        <v>2635</v>
      </c>
      <c r="S10863">
        <v>38</v>
      </c>
      <c r="T10863" s="43" t="str">
        <f t="shared" si="468"/>
        <v>2022.008D.Aelloviridae_146rensp.zip</v>
      </c>
      <c r="U10863" s="43" t="str">
        <f>HYPERLINK("https://ictv.global/taxonomy/taxondetails?taxnode_id=202209398","ictv.global=202209398")</f>
        <v>ictv.global=202209398</v>
      </c>
    </row>
    <row r="10864" spans="1:21">
      <c r="A10864">
        <v>10863</v>
      </c>
      <c r="B10864" s="29"/>
      <c r="C10864" s="29"/>
      <c r="D10864" s="29"/>
      <c r="E10864" s="29"/>
      <c r="F10864" s="29"/>
      <c r="G10864" s="29"/>
      <c r="H10864" s="29"/>
      <c r="I10864" s="29"/>
      <c r="J10864" s="29"/>
      <c r="K10864" s="29"/>
      <c r="L10864" s="29" t="s">
        <v>256</v>
      </c>
      <c r="M10864" s="29"/>
      <c r="N10864" s="29" t="s">
        <v>257</v>
      </c>
      <c r="O10864" s="29"/>
      <c r="P10864" s="29" t="s">
        <v>14611</v>
      </c>
      <c r="Q10864" t="s">
        <v>2189</v>
      </c>
      <c r="R10864" t="s">
        <v>2635</v>
      </c>
      <c r="S10864">
        <v>38</v>
      </c>
      <c r="T10864" s="43" t="str">
        <f t="shared" si="468"/>
        <v>2022.008D.Aelloviridae_146rensp.zip</v>
      </c>
      <c r="U10864" s="43" t="str">
        <f>HYPERLINK("https://ictv.global/taxonomy/taxondetails?taxnode_id=202202513","ictv.global=202202513")</f>
        <v>ictv.global=202202513</v>
      </c>
    </row>
    <row r="10865" spans="1:21">
      <c r="A10865">
        <v>10864</v>
      </c>
      <c r="B10865" s="29"/>
      <c r="C10865" s="29"/>
      <c r="D10865" s="29"/>
      <c r="E10865" s="29"/>
      <c r="F10865" s="29"/>
      <c r="G10865" s="29"/>
      <c r="H10865" s="29"/>
      <c r="I10865" s="29"/>
      <c r="J10865" s="29"/>
      <c r="K10865" s="29"/>
      <c r="L10865" s="29" t="s">
        <v>256</v>
      </c>
      <c r="M10865" s="29"/>
      <c r="N10865" s="29" t="s">
        <v>257</v>
      </c>
      <c r="O10865" s="29"/>
      <c r="P10865" s="29" t="s">
        <v>14612</v>
      </c>
      <c r="Q10865" t="s">
        <v>2189</v>
      </c>
      <c r="R10865" t="s">
        <v>2635</v>
      </c>
      <c r="S10865">
        <v>38</v>
      </c>
      <c r="T10865" s="43" t="str">
        <f t="shared" si="468"/>
        <v>2022.008D.Aelloviridae_146rensp.zip</v>
      </c>
      <c r="U10865" s="43" t="str">
        <f>HYPERLINK("https://ictv.global/taxonomy/taxondetails?taxnode_id=202202512","ictv.global=202202512")</f>
        <v>ictv.global=202202512</v>
      </c>
    </row>
    <row r="10866" spans="1:21">
      <c r="A10866">
        <v>10865</v>
      </c>
      <c r="B10866" s="29"/>
      <c r="C10866" s="29"/>
      <c r="D10866" s="29"/>
      <c r="E10866" s="29"/>
      <c r="F10866" s="29"/>
      <c r="G10866" s="29"/>
      <c r="H10866" s="29"/>
      <c r="I10866" s="29"/>
      <c r="J10866" s="29"/>
      <c r="K10866" s="29"/>
      <c r="L10866" s="29" t="s">
        <v>256</v>
      </c>
      <c r="M10866" s="29"/>
      <c r="N10866" s="29" t="s">
        <v>257</v>
      </c>
      <c r="O10866" s="29"/>
      <c r="P10866" s="29" t="s">
        <v>14613</v>
      </c>
      <c r="Q10866" t="s">
        <v>2189</v>
      </c>
      <c r="R10866" t="s">
        <v>2635</v>
      </c>
      <c r="S10866">
        <v>38</v>
      </c>
      <c r="T10866" s="43" t="str">
        <f t="shared" si="468"/>
        <v>2022.008D.Aelloviridae_146rensp.zip</v>
      </c>
      <c r="U10866" s="43" t="str">
        <f>HYPERLINK("https://ictv.global/taxonomy/taxondetails?taxnode_id=202202488","ictv.global=202202488")</f>
        <v>ictv.global=202202488</v>
      </c>
    </row>
    <row r="10867" spans="1:21">
      <c r="A10867">
        <v>10866</v>
      </c>
      <c r="B10867" s="29"/>
      <c r="C10867" s="29"/>
      <c r="D10867" s="29"/>
      <c r="E10867" s="29"/>
      <c r="F10867" s="29"/>
      <c r="G10867" s="29"/>
      <c r="H10867" s="29"/>
      <c r="I10867" s="29"/>
      <c r="J10867" s="29"/>
      <c r="K10867" s="29"/>
      <c r="L10867" s="29" t="s">
        <v>256</v>
      </c>
      <c r="M10867" s="29"/>
      <c r="N10867" s="29" t="s">
        <v>257</v>
      </c>
      <c r="O10867" s="29"/>
      <c r="P10867" s="29" t="s">
        <v>14614</v>
      </c>
      <c r="Q10867" t="s">
        <v>2189</v>
      </c>
      <c r="R10867" t="s">
        <v>2635</v>
      </c>
      <c r="S10867">
        <v>38</v>
      </c>
      <c r="T10867" s="43" t="str">
        <f t="shared" si="468"/>
        <v>2022.008D.Aelloviridae_146rensp.zip</v>
      </c>
      <c r="U10867" s="43" t="str">
        <f>HYPERLINK("https://ictv.global/taxonomy/taxondetails?taxnode_id=202202489","ictv.global=202202489")</f>
        <v>ictv.global=202202489</v>
      </c>
    </row>
    <row r="10868" spans="1:21">
      <c r="A10868">
        <v>10867</v>
      </c>
      <c r="B10868" s="29"/>
      <c r="C10868" s="29"/>
      <c r="D10868" s="29"/>
      <c r="E10868" s="29"/>
      <c r="F10868" s="29"/>
      <c r="G10868" s="29"/>
      <c r="H10868" s="29"/>
      <c r="I10868" s="29"/>
      <c r="J10868" s="29"/>
      <c r="K10868" s="29"/>
      <c r="L10868" s="29" t="s">
        <v>256</v>
      </c>
      <c r="M10868" s="29"/>
      <c r="N10868" s="29" t="s">
        <v>257</v>
      </c>
      <c r="O10868" s="29"/>
      <c r="P10868" s="29" t="s">
        <v>14615</v>
      </c>
      <c r="Q10868" t="s">
        <v>2189</v>
      </c>
      <c r="R10868" t="s">
        <v>2635</v>
      </c>
      <c r="S10868">
        <v>38</v>
      </c>
      <c r="T10868" s="43" t="str">
        <f t="shared" si="468"/>
        <v>2022.008D.Aelloviridae_146rensp.zip</v>
      </c>
      <c r="U10868" s="43" t="str">
        <f>HYPERLINK("https://ictv.global/taxonomy/taxondetails?taxnode_id=202202490","ictv.global=202202490")</f>
        <v>ictv.global=202202490</v>
      </c>
    </row>
    <row r="10869" spans="1:21">
      <c r="A10869">
        <v>10868</v>
      </c>
      <c r="B10869" s="29"/>
      <c r="C10869" s="29"/>
      <c r="D10869" s="29"/>
      <c r="E10869" s="29"/>
      <c r="F10869" s="29"/>
      <c r="G10869" s="29"/>
      <c r="H10869" s="29"/>
      <c r="I10869" s="29"/>
      <c r="J10869" s="29"/>
      <c r="K10869" s="29"/>
      <c r="L10869" s="29" t="s">
        <v>256</v>
      </c>
      <c r="M10869" s="29"/>
      <c r="N10869" s="29" t="s">
        <v>257</v>
      </c>
      <c r="O10869" s="29"/>
      <c r="P10869" s="29" t="s">
        <v>14616</v>
      </c>
      <c r="Q10869" t="s">
        <v>2189</v>
      </c>
      <c r="R10869" t="s">
        <v>2635</v>
      </c>
      <c r="S10869">
        <v>38</v>
      </c>
      <c r="T10869" s="43" t="str">
        <f t="shared" si="468"/>
        <v>2022.008D.Aelloviridae_146rensp.zip</v>
      </c>
      <c r="U10869" s="43" t="str">
        <f>HYPERLINK("https://ictv.global/taxonomy/taxondetails?taxnode_id=202202491","ictv.global=202202491")</f>
        <v>ictv.global=202202491</v>
      </c>
    </row>
    <row r="10870" spans="1:21">
      <c r="A10870">
        <v>10869</v>
      </c>
      <c r="B10870" s="29"/>
      <c r="C10870" s="29"/>
      <c r="D10870" s="29"/>
      <c r="E10870" s="29"/>
      <c r="F10870" s="29"/>
      <c r="G10870" s="29"/>
      <c r="H10870" s="29"/>
      <c r="I10870" s="29"/>
      <c r="J10870" s="29"/>
      <c r="K10870" s="29"/>
      <c r="L10870" s="29" t="s">
        <v>256</v>
      </c>
      <c r="M10870" s="29"/>
      <c r="N10870" s="29" t="s">
        <v>257</v>
      </c>
      <c r="O10870" s="29"/>
      <c r="P10870" s="29" t="s">
        <v>14617</v>
      </c>
      <c r="Q10870" t="s">
        <v>2189</v>
      </c>
      <c r="R10870" t="s">
        <v>2635</v>
      </c>
      <c r="S10870">
        <v>38</v>
      </c>
      <c r="T10870" s="43" t="str">
        <f t="shared" si="468"/>
        <v>2022.008D.Aelloviridae_146rensp.zip</v>
      </c>
      <c r="U10870" s="43" t="str">
        <f>HYPERLINK("https://ictv.global/taxonomy/taxondetails?taxnode_id=202202492","ictv.global=202202492")</f>
        <v>ictv.global=202202492</v>
      </c>
    </row>
    <row r="10871" spans="1:21">
      <c r="A10871">
        <v>10870</v>
      </c>
      <c r="B10871" s="29"/>
      <c r="C10871" s="29"/>
      <c r="D10871" s="29"/>
      <c r="E10871" s="29"/>
      <c r="F10871" s="29"/>
      <c r="G10871" s="29"/>
      <c r="H10871" s="29"/>
      <c r="I10871" s="29"/>
      <c r="J10871" s="29"/>
      <c r="K10871" s="29"/>
      <c r="L10871" s="29" t="s">
        <v>256</v>
      </c>
      <c r="M10871" s="29"/>
      <c r="N10871" s="29" t="s">
        <v>257</v>
      </c>
      <c r="O10871" s="29"/>
      <c r="P10871" s="29" t="s">
        <v>14618</v>
      </c>
      <c r="Q10871" t="s">
        <v>2189</v>
      </c>
      <c r="R10871" t="s">
        <v>2635</v>
      </c>
      <c r="S10871">
        <v>38</v>
      </c>
      <c r="T10871" s="43" t="str">
        <f t="shared" si="468"/>
        <v>2022.008D.Aelloviridae_146rensp.zip</v>
      </c>
      <c r="U10871" s="43" t="str">
        <f>HYPERLINK("https://ictv.global/taxonomy/taxondetails?taxnode_id=202202493","ictv.global=202202493")</f>
        <v>ictv.global=202202493</v>
      </c>
    </row>
    <row r="10872" spans="1:21">
      <c r="A10872">
        <v>10871</v>
      </c>
      <c r="B10872" s="29"/>
      <c r="C10872" s="29"/>
      <c r="D10872" s="29"/>
      <c r="E10872" s="29"/>
      <c r="F10872" s="29"/>
      <c r="G10872" s="29"/>
      <c r="H10872" s="29"/>
      <c r="I10872" s="29"/>
      <c r="J10872" s="29"/>
      <c r="K10872" s="29"/>
      <c r="L10872" s="29" t="s">
        <v>256</v>
      </c>
      <c r="M10872" s="29"/>
      <c r="N10872" s="29" t="s">
        <v>257</v>
      </c>
      <c r="O10872" s="29"/>
      <c r="P10872" s="29" t="s">
        <v>14619</v>
      </c>
      <c r="Q10872" t="s">
        <v>2189</v>
      </c>
      <c r="R10872" t="s">
        <v>2635</v>
      </c>
      <c r="S10872">
        <v>38</v>
      </c>
      <c r="T10872" s="43" t="str">
        <f t="shared" si="468"/>
        <v>2022.008D.Aelloviridae_146rensp.zip</v>
      </c>
      <c r="U10872" s="43" t="str">
        <f>HYPERLINK("https://ictv.global/taxonomy/taxondetails?taxnode_id=202202494","ictv.global=202202494")</f>
        <v>ictv.global=202202494</v>
      </c>
    </row>
    <row r="10873" spans="1:21">
      <c r="A10873">
        <v>10872</v>
      </c>
      <c r="B10873" s="29"/>
      <c r="C10873" s="29"/>
      <c r="D10873" s="29"/>
      <c r="E10873" s="29"/>
      <c r="F10873" s="29"/>
      <c r="G10873" s="29"/>
      <c r="H10873" s="29"/>
      <c r="I10873" s="29"/>
      <c r="J10873" s="29"/>
      <c r="K10873" s="29"/>
      <c r="L10873" s="29" t="s">
        <v>256</v>
      </c>
      <c r="M10873" s="29"/>
      <c r="N10873" s="29" t="s">
        <v>257</v>
      </c>
      <c r="O10873" s="29"/>
      <c r="P10873" s="29" t="s">
        <v>14620</v>
      </c>
      <c r="Q10873" t="s">
        <v>2189</v>
      </c>
      <c r="R10873" t="s">
        <v>2635</v>
      </c>
      <c r="S10873">
        <v>38</v>
      </c>
      <c r="T10873" s="43" t="str">
        <f t="shared" si="468"/>
        <v>2022.008D.Aelloviridae_146rensp.zip</v>
      </c>
      <c r="U10873" s="43" t="str">
        <f>HYPERLINK("https://ictv.global/taxonomy/taxondetails?taxnode_id=202202496","ictv.global=202202496")</f>
        <v>ictv.global=202202496</v>
      </c>
    </row>
    <row r="10874" spans="1:21">
      <c r="A10874">
        <v>10873</v>
      </c>
      <c r="B10874" s="29"/>
      <c r="C10874" s="29"/>
      <c r="D10874" s="29"/>
      <c r="E10874" s="29"/>
      <c r="F10874" s="29"/>
      <c r="G10874" s="29"/>
      <c r="H10874" s="29"/>
      <c r="I10874" s="29"/>
      <c r="J10874" s="29"/>
      <c r="K10874" s="29"/>
      <c r="L10874" s="29" t="s">
        <v>256</v>
      </c>
      <c r="M10874" s="29"/>
      <c r="N10874" s="29" t="s">
        <v>257</v>
      </c>
      <c r="O10874" s="29"/>
      <c r="P10874" s="29" t="s">
        <v>14621</v>
      </c>
      <c r="Q10874" t="s">
        <v>2189</v>
      </c>
      <c r="R10874" t="s">
        <v>2635</v>
      </c>
      <c r="S10874">
        <v>38</v>
      </c>
      <c r="T10874" s="43" t="str">
        <f t="shared" si="468"/>
        <v>2022.008D.Aelloviridae_146rensp.zip</v>
      </c>
      <c r="U10874" s="43" t="str">
        <f>HYPERLINK("https://ictv.global/taxonomy/taxondetails?taxnode_id=202202497","ictv.global=202202497")</f>
        <v>ictv.global=202202497</v>
      </c>
    </row>
    <row r="10875" spans="1:21">
      <c r="A10875">
        <v>10874</v>
      </c>
      <c r="B10875" s="29"/>
      <c r="C10875" s="29"/>
      <c r="D10875" s="29"/>
      <c r="E10875" s="29"/>
      <c r="F10875" s="29"/>
      <c r="G10875" s="29"/>
      <c r="H10875" s="29"/>
      <c r="I10875" s="29"/>
      <c r="J10875" s="29"/>
      <c r="K10875" s="29"/>
      <c r="L10875" s="29" t="s">
        <v>256</v>
      </c>
      <c r="M10875" s="29"/>
      <c r="N10875" s="29" t="s">
        <v>257</v>
      </c>
      <c r="O10875" s="29"/>
      <c r="P10875" s="29" t="s">
        <v>14622</v>
      </c>
      <c r="Q10875" t="s">
        <v>2189</v>
      </c>
      <c r="R10875" t="s">
        <v>2635</v>
      </c>
      <c r="S10875">
        <v>38</v>
      </c>
      <c r="T10875" s="43" t="str">
        <f t="shared" si="468"/>
        <v>2022.008D.Aelloviridae_146rensp.zip</v>
      </c>
      <c r="U10875" s="43" t="str">
        <f>HYPERLINK("https://ictv.global/taxonomy/taxondetails?taxnode_id=202202500","ictv.global=202202500")</f>
        <v>ictv.global=202202500</v>
      </c>
    </row>
    <row r="10876" spans="1:21">
      <c r="A10876">
        <v>10875</v>
      </c>
      <c r="B10876" s="29"/>
      <c r="C10876" s="29"/>
      <c r="D10876" s="29"/>
      <c r="E10876" s="29"/>
      <c r="F10876" s="29"/>
      <c r="G10876" s="29"/>
      <c r="H10876" s="29"/>
      <c r="I10876" s="29"/>
      <c r="J10876" s="29"/>
      <c r="K10876" s="29"/>
      <c r="L10876" s="29" t="s">
        <v>256</v>
      </c>
      <c r="M10876" s="29"/>
      <c r="N10876" s="29" t="s">
        <v>257</v>
      </c>
      <c r="O10876" s="29"/>
      <c r="P10876" s="29" t="s">
        <v>14623</v>
      </c>
      <c r="Q10876" t="s">
        <v>2189</v>
      </c>
      <c r="R10876" t="s">
        <v>2635</v>
      </c>
      <c r="S10876">
        <v>38</v>
      </c>
      <c r="T10876" s="43" t="str">
        <f t="shared" si="468"/>
        <v>2022.008D.Aelloviridae_146rensp.zip</v>
      </c>
      <c r="U10876" s="43" t="str">
        <f>HYPERLINK("https://ictv.global/taxonomy/taxondetails?taxnode_id=202202501","ictv.global=202202501")</f>
        <v>ictv.global=202202501</v>
      </c>
    </row>
    <row r="10877" spans="1:21">
      <c r="A10877">
        <v>10876</v>
      </c>
      <c r="B10877" s="29"/>
      <c r="C10877" s="29"/>
      <c r="D10877" s="29"/>
      <c r="E10877" s="29"/>
      <c r="F10877" s="29"/>
      <c r="G10877" s="29"/>
      <c r="H10877" s="29"/>
      <c r="I10877" s="29"/>
      <c r="J10877" s="29"/>
      <c r="K10877" s="29"/>
      <c r="L10877" s="29" t="s">
        <v>256</v>
      </c>
      <c r="M10877" s="29"/>
      <c r="N10877" s="29" t="s">
        <v>257</v>
      </c>
      <c r="O10877" s="29"/>
      <c r="P10877" s="29" t="s">
        <v>14624</v>
      </c>
      <c r="Q10877" t="s">
        <v>2189</v>
      </c>
      <c r="R10877" t="s">
        <v>2635</v>
      </c>
      <c r="S10877">
        <v>38</v>
      </c>
      <c r="T10877" s="43" t="str">
        <f t="shared" si="468"/>
        <v>2022.008D.Aelloviridae_146rensp.zip</v>
      </c>
      <c r="U10877" s="43" t="str">
        <f>HYPERLINK("https://ictv.global/taxonomy/taxondetails?taxnode_id=202202502","ictv.global=202202502")</f>
        <v>ictv.global=202202502</v>
      </c>
    </row>
    <row r="10878" spans="1:21">
      <c r="A10878">
        <v>10877</v>
      </c>
      <c r="B10878" s="29"/>
      <c r="C10878" s="29"/>
      <c r="D10878" s="29"/>
      <c r="E10878" s="29"/>
      <c r="F10878" s="29"/>
      <c r="G10878" s="29"/>
      <c r="H10878" s="29"/>
      <c r="I10878" s="29"/>
      <c r="J10878" s="29"/>
      <c r="K10878" s="29"/>
      <c r="L10878" s="29" t="s">
        <v>256</v>
      </c>
      <c r="M10878" s="29"/>
      <c r="N10878" s="29" t="s">
        <v>257</v>
      </c>
      <c r="O10878" s="29"/>
      <c r="P10878" s="29" t="s">
        <v>14625</v>
      </c>
      <c r="Q10878" t="s">
        <v>2189</v>
      </c>
      <c r="R10878" t="s">
        <v>2635</v>
      </c>
      <c r="S10878">
        <v>38</v>
      </c>
      <c r="T10878" s="43" t="str">
        <f t="shared" si="468"/>
        <v>2022.008D.Aelloviridae_146rensp.zip</v>
      </c>
      <c r="U10878" s="43" t="str">
        <f>HYPERLINK("https://ictv.global/taxonomy/taxondetails?taxnode_id=202202504","ictv.global=202202504")</f>
        <v>ictv.global=202202504</v>
      </c>
    </row>
    <row r="10879" spans="1:21">
      <c r="A10879">
        <v>10878</v>
      </c>
      <c r="B10879" s="29"/>
      <c r="C10879" s="29"/>
      <c r="D10879" s="29"/>
      <c r="E10879" s="29"/>
      <c r="F10879" s="29"/>
      <c r="G10879" s="29"/>
      <c r="H10879" s="29"/>
      <c r="I10879" s="29"/>
      <c r="J10879" s="29"/>
      <c r="K10879" s="29"/>
      <c r="L10879" s="29" t="s">
        <v>256</v>
      </c>
      <c r="M10879" s="29"/>
      <c r="N10879" s="29" t="s">
        <v>257</v>
      </c>
      <c r="O10879" s="29"/>
      <c r="P10879" s="29" t="s">
        <v>14626</v>
      </c>
      <c r="Q10879" t="s">
        <v>2189</v>
      </c>
      <c r="R10879" t="s">
        <v>2635</v>
      </c>
      <c r="S10879">
        <v>38</v>
      </c>
      <c r="T10879" s="43" t="str">
        <f t="shared" si="468"/>
        <v>2022.008D.Aelloviridae_146rensp.zip</v>
      </c>
      <c r="U10879" s="43" t="str">
        <f>HYPERLINK("https://ictv.global/taxonomy/taxondetails?taxnode_id=202202505","ictv.global=202202505")</f>
        <v>ictv.global=202202505</v>
      </c>
    </row>
    <row r="10880" spans="1:21">
      <c r="A10880">
        <v>10879</v>
      </c>
      <c r="B10880" s="29"/>
      <c r="C10880" s="29"/>
      <c r="D10880" s="29"/>
      <c r="E10880" s="29"/>
      <c r="F10880" s="29"/>
      <c r="G10880" s="29"/>
      <c r="H10880" s="29"/>
      <c r="I10880" s="29"/>
      <c r="J10880" s="29"/>
      <c r="K10880" s="29"/>
      <c r="L10880" s="29" t="s">
        <v>256</v>
      </c>
      <c r="M10880" s="29"/>
      <c r="N10880" s="29" t="s">
        <v>257</v>
      </c>
      <c r="O10880" s="29"/>
      <c r="P10880" s="29" t="s">
        <v>14627</v>
      </c>
      <c r="Q10880" t="s">
        <v>2189</v>
      </c>
      <c r="R10880" t="s">
        <v>2635</v>
      </c>
      <c r="S10880">
        <v>38</v>
      </c>
      <c r="T10880" s="43" t="str">
        <f t="shared" si="468"/>
        <v>2022.008D.Aelloviridae_146rensp.zip</v>
      </c>
      <c r="U10880" s="43" t="str">
        <f>HYPERLINK("https://ictv.global/taxonomy/taxondetails?taxnode_id=202202506","ictv.global=202202506")</f>
        <v>ictv.global=202202506</v>
      </c>
    </row>
    <row r="10881" spans="1:21">
      <c r="A10881">
        <v>10880</v>
      </c>
      <c r="B10881" s="29"/>
      <c r="C10881" s="29"/>
      <c r="D10881" s="29"/>
      <c r="E10881" s="29"/>
      <c r="F10881" s="29"/>
      <c r="G10881" s="29"/>
      <c r="H10881" s="29"/>
      <c r="I10881" s="29"/>
      <c r="J10881" s="29"/>
      <c r="K10881" s="29"/>
      <c r="L10881" s="29" t="s">
        <v>256</v>
      </c>
      <c r="M10881" s="29"/>
      <c r="N10881" s="29" t="s">
        <v>257</v>
      </c>
      <c r="O10881" s="29"/>
      <c r="P10881" s="29" t="s">
        <v>14628</v>
      </c>
      <c r="Q10881" t="s">
        <v>2189</v>
      </c>
      <c r="R10881" t="s">
        <v>2635</v>
      </c>
      <c r="S10881">
        <v>38</v>
      </c>
      <c r="T10881" s="43" t="str">
        <f t="shared" si="468"/>
        <v>2022.008D.Aelloviridae_146rensp.zip</v>
      </c>
      <c r="U10881" s="43" t="str">
        <f>HYPERLINK("https://ictv.global/taxonomy/taxondetails?taxnode_id=202202507","ictv.global=202202507")</f>
        <v>ictv.global=202202507</v>
      </c>
    </row>
    <row r="10882" spans="1:21">
      <c r="A10882">
        <v>10881</v>
      </c>
      <c r="B10882" s="29"/>
      <c r="C10882" s="29"/>
      <c r="D10882" s="29"/>
      <c r="E10882" s="29"/>
      <c r="F10882" s="29"/>
      <c r="G10882" s="29"/>
      <c r="H10882" s="29"/>
      <c r="I10882" s="29"/>
      <c r="J10882" s="29"/>
      <c r="K10882" s="29"/>
      <c r="L10882" s="29" t="s">
        <v>256</v>
      </c>
      <c r="M10882" s="29"/>
      <c r="N10882" s="29" t="s">
        <v>257</v>
      </c>
      <c r="O10882" s="29"/>
      <c r="P10882" s="29" t="s">
        <v>14629</v>
      </c>
      <c r="Q10882" t="s">
        <v>2189</v>
      </c>
      <c r="R10882" t="s">
        <v>2635</v>
      </c>
      <c r="S10882">
        <v>38</v>
      </c>
      <c r="T10882" s="43" t="str">
        <f t="shared" si="468"/>
        <v>2022.008D.Aelloviridae_146rensp.zip</v>
      </c>
      <c r="U10882" s="43" t="str">
        <f>HYPERLINK("https://ictv.global/taxonomy/taxondetails?taxnode_id=202202508","ictv.global=202202508")</f>
        <v>ictv.global=202202508</v>
      </c>
    </row>
    <row r="10883" spans="1:21">
      <c r="A10883">
        <v>10882</v>
      </c>
      <c r="B10883" s="29"/>
      <c r="C10883" s="29"/>
      <c r="D10883" s="29"/>
      <c r="E10883" s="29"/>
      <c r="F10883" s="29"/>
      <c r="G10883" s="29"/>
      <c r="H10883" s="29"/>
      <c r="I10883" s="29"/>
      <c r="J10883" s="29"/>
      <c r="K10883" s="29"/>
      <c r="L10883" s="29" t="s">
        <v>256</v>
      </c>
      <c r="M10883" s="29"/>
      <c r="N10883" s="29" t="s">
        <v>257</v>
      </c>
      <c r="O10883" s="29"/>
      <c r="P10883" s="29" t="s">
        <v>14630</v>
      </c>
      <c r="Q10883" t="s">
        <v>2189</v>
      </c>
      <c r="R10883" t="s">
        <v>2635</v>
      </c>
      <c r="S10883">
        <v>38</v>
      </c>
      <c r="T10883" s="43" t="str">
        <f t="shared" si="468"/>
        <v>2022.008D.Aelloviridae_146rensp.zip</v>
      </c>
      <c r="U10883" s="43" t="str">
        <f>HYPERLINK("https://ictv.global/taxonomy/taxondetails?taxnode_id=202202511","ictv.global=202202511")</f>
        <v>ictv.global=202202511</v>
      </c>
    </row>
    <row r="10884" spans="1:21">
      <c r="A10884">
        <v>10883</v>
      </c>
      <c r="B10884" s="29"/>
      <c r="C10884" s="29"/>
      <c r="D10884" s="29"/>
      <c r="E10884" s="29"/>
      <c r="F10884" s="29"/>
      <c r="G10884" s="29"/>
      <c r="H10884" s="29"/>
      <c r="I10884" s="29"/>
      <c r="J10884" s="29"/>
      <c r="K10884" s="29"/>
      <c r="L10884" s="29" t="s">
        <v>256</v>
      </c>
      <c r="M10884" s="29"/>
      <c r="N10884" s="29" t="s">
        <v>257</v>
      </c>
      <c r="O10884" s="29"/>
      <c r="P10884" s="29" t="s">
        <v>14631</v>
      </c>
      <c r="Q10884" t="s">
        <v>2189</v>
      </c>
      <c r="R10884" t="s">
        <v>2635</v>
      </c>
      <c r="S10884">
        <v>38</v>
      </c>
      <c r="T10884" s="43" t="str">
        <f t="shared" si="468"/>
        <v>2022.008D.Aelloviridae_146rensp.zip</v>
      </c>
      <c r="U10884" s="43" t="str">
        <f>HYPERLINK("https://ictv.global/taxonomy/taxondetails?taxnode_id=202202516","ictv.global=202202516")</f>
        <v>ictv.global=202202516</v>
      </c>
    </row>
    <row r="10885" spans="1:21">
      <c r="A10885">
        <v>10884</v>
      </c>
      <c r="B10885" s="29"/>
      <c r="C10885" s="29"/>
      <c r="D10885" s="29"/>
      <c r="E10885" s="29"/>
      <c r="F10885" s="29"/>
      <c r="G10885" s="29"/>
      <c r="H10885" s="29"/>
      <c r="I10885" s="29"/>
      <c r="J10885" s="29"/>
      <c r="K10885" s="29"/>
      <c r="L10885" s="29" t="s">
        <v>256</v>
      </c>
      <c r="M10885" s="29"/>
      <c r="N10885" s="29" t="s">
        <v>257</v>
      </c>
      <c r="O10885" s="29"/>
      <c r="P10885" s="29" t="s">
        <v>14632</v>
      </c>
      <c r="Q10885" t="s">
        <v>2189</v>
      </c>
      <c r="R10885" t="s">
        <v>2635</v>
      </c>
      <c r="S10885">
        <v>38</v>
      </c>
      <c r="T10885" s="43" t="str">
        <f t="shared" si="468"/>
        <v>2022.008D.Aelloviridae_146rensp.zip</v>
      </c>
      <c r="U10885" s="43" t="str">
        <f>HYPERLINK("https://ictv.global/taxonomy/taxondetails?taxnode_id=202209399","ictv.global=202209399")</f>
        <v>ictv.global=202209399</v>
      </c>
    </row>
    <row r="10886" spans="1:21">
      <c r="A10886">
        <v>10885</v>
      </c>
      <c r="B10886" s="29"/>
      <c r="C10886" s="29"/>
      <c r="D10886" s="29"/>
      <c r="E10886" s="29"/>
      <c r="F10886" s="29"/>
      <c r="G10886" s="29"/>
      <c r="H10886" s="29"/>
      <c r="I10886" s="29"/>
      <c r="J10886" s="29"/>
      <c r="K10886" s="29"/>
      <c r="L10886" s="29" t="s">
        <v>256</v>
      </c>
      <c r="M10886" s="29"/>
      <c r="N10886" s="29" t="s">
        <v>258</v>
      </c>
      <c r="O10886" s="29"/>
      <c r="P10886" s="29" t="s">
        <v>14633</v>
      </c>
      <c r="Q10886" t="s">
        <v>2189</v>
      </c>
      <c r="R10886" t="s">
        <v>2635</v>
      </c>
      <c r="S10886">
        <v>38</v>
      </c>
      <c r="T10886" s="43" t="str">
        <f t="shared" si="468"/>
        <v>2022.008D.Aelloviridae_146rensp.zip</v>
      </c>
      <c r="U10886" s="43" t="str">
        <f>HYPERLINK("https://ictv.global/taxonomy/taxondetails?taxnode_id=202202518","ictv.global=202202518")</f>
        <v>ictv.global=202202518</v>
      </c>
    </row>
    <row r="10887" spans="1:21">
      <c r="A10887">
        <v>10886</v>
      </c>
      <c r="B10887" s="29"/>
      <c r="C10887" s="29"/>
      <c r="D10887" s="29"/>
      <c r="E10887" s="29"/>
      <c r="F10887" s="29"/>
      <c r="G10887" s="29"/>
      <c r="H10887" s="29"/>
      <c r="I10887" s="29"/>
      <c r="J10887" s="29"/>
      <c r="K10887" s="29"/>
      <c r="L10887" s="29" t="s">
        <v>256</v>
      </c>
      <c r="M10887" s="29"/>
      <c r="N10887" s="29" t="s">
        <v>258</v>
      </c>
      <c r="O10887" s="29"/>
      <c r="P10887" s="29" t="s">
        <v>14634</v>
      </c>
      <c r="Q10887" t="s">
        <v>2189</v>
      </c>
      <c r="R10887" t="s">
        <v>2635</v>
      </c>
      <c r="S10887">
        <v>38</v>
      </c>
      <c r="T10887" s="43" t="str">
        <f t="shared" si="468"/>
        <v>2022.008D.Aelloviridae_146rensp.zip</v>
      </c>
      <c r="U10887" s="43" t="str">
        <f>HYPERLINK("https://ictv.global/taxonomy/taxondetails?taxnode_id=202202519","ictv.global=202202519")</f>
        <v>ictv.global=202202519</v>
      </c>
    </row>
    <row r="10888" spans="1:21">
      <c r="A10888">
        <v>10887</v>
      </c>
      <c r="B10888" s="29"/>
      <c r="C10888" s="29"/>
      <c r="D10888" s="29"/>
      <c r="E10888" s="29"/>
      <c r="F10888" s="29"/>
      <c r="G10888" s="29"/>
      <c r="H10888" s="29"/>
      <c r="I10888" s="29"/>
      <c r="J10888" s="29"/>
      <c r="K10888" s="29"/>
      <c r="L10888" s="29" t="s">
        <v>256</v>
      </c>
      <c r="M10888" s="29"/>
      <c r="N10888" s="29" t="s">
        <v>258</v>
      </c>
      <c r="O10888" s="29"/>
      <c r="P10888" s="29" t="s">
        <v>14635</v>
      </c>
      <c r="Q10888" t="s">
        <v>2189</v>
      </c>
      <c r="R10888" t="s">
        <v>2635</v>
      </c>
      <c r="S10888">
        <v>38</v>
      </c>
      <c r="T10888" s="43" t="str">
        <f t="shared" si="468"/>
        <v>2022.008D.Aelloviridae_146rensp.zip</v>
      </c>
      <c r="U10888" s="43" t="str">
        <f>HYPERLINK("https://ictv.global/taxonomy/taxondetails?taxnode_id=202202520","ictv.global=202202520")</f>
        <v>ictv.global=202202520</v>
      </c>
    </row>
    <row r="10889" spans="1:21">
      <c r="A10889">
        <v>10888</v>
      </c>
      <c r="B10889" s="29"/>
      <c r="C10889" s="29"/>
      <c r="D10889" s="29"/>
      <c r="E10889" s="29"/>
      <c r="F10889" s="29"/>
      <c r="G10889" s="29"/>
      <c r="H10889" s="29"/>
      <c r="I10889" s="29"/>
      <c r="J10889" s="29"/>
      <c r="K10889" s="29"/>
      <c r="L10889" s="29" t="s">
        <v>256</v>
      </c>
      <c r="M10889" s="29"/>
      <c r="N10889" s="29" t="s">
        <v>258</v>
      </c>
      <c r="O10889" s="29"/>
      <c r="P10889" s="29" t="s">
        <v>14636</v>
      </c>
      <c r="Q10889" t="s">
        <v>2189</v>
      </c>
      <c r="R10889" t="s">
        <v>2635</v>
      </c>
      <c r="S10889">
        <v>38</v>
      </c>
      <c r="T10889" s="43" t="str">
        <f t="shared" si="468"/>
        <v>2022.008D.Aelloviridae_146rensp.zip</v>
      </c>
      <c r="U10889" s="43" t="str">
        <f>HYPERLINK("https://ictv.global/taxonomy/taxondetails?taxnode_id=202202521","ictv.global=202202521")</f>
        <v>ictv.global=202202521</v>
      </c>
    </row>
    <row r="10890" spans="1:21">
      <c r="A10890">
        <v>10889</v>
      </c>
      <c r="B10890" s="29"/>
      <c r="C10890" s="29"/>
      <c r="D10890" s="29"/>
      <c r="E10890" s="29"/>
      <c r="F10890" s="29"/>
      <c r="G10890" s="29"/>
      <c r="H10890" s="29"/>
      <c r="I10890" s="29"/>
      <c r="J10890" s="29"/>
      <c r="K10890" s="29"/>
      <c r="L10890" s="29" t="s">
        <v>256</v>
      </c>
      <c r="M10890" s="29"/>
      <c r="N10890" s="29" t="s">
        <v>258</v>
      </c>
      <c r="O10890" s="29"/>
      <c r="P10890" s="29" t="s">
        <v>14637</v>
      </c>
      <c r="Q10890" t="s">
        <v>2189</v>
      </c>
      <c r="R10890" t="s">
        <v>2635</v>
      </c>
      <c r="S10890">
        <v>38</v>
      </c>
      <c r="T10890" s="43" t="str">
        <f t="shared" ref="T10890:T10921" si="469">HYPERLINK("https://ictv.global/ictv/proposals/2022.008D.Aelloviridae_146rensp.zip","2022.008D.Aelloviridae_146rensp.zip")</f>
        <v>2022.008D.Aelloviridae_146rensp.zip</v>
      </c>
      <c r="U10890" s="43" t="str">
        <f>HYPERLINK("https://ictv.global/taxonomy/taxondetails?taxnode_id=202202522","ictv.global=202202522")</f>
        <v>ictv.global=202202522</v>
      </c>
    </row>
    <row r="10891" spans="1:21">
      <c r="A10891">
        <v>10890</v>
      </c>
      <c r="B10891" s="29"/>
      <c r="C10891" s="29"/>
      <c r="D10891" s="29"/>
      <c r="E10891" s="29"/>
      <c r="F10891" s="29"/>
      <c r="G10891" s="29"/>
      <c r="H10891" s="29"/>
      <c r="I10891" s="29"/>
      <c r="J10891" s="29"/>
      <c r="K10891" s="29"/>
      <c r="L10891" s="29" t="s">
        <v>256</v>
      </c>
      <c r="M10891" s="29"/>
      <c r="N10891" s="29" t="s">
        <v>258</v>
      </c>
      <c r="O10891" s="29"/>
      <c r="P10891" s="29" t="s">
        <v>14638</v>
      </c>
      <c r="Q10891" t="s">
        <v>2189</v>
      </c>
      <c r="R10891" t="s">
        <v>2635</v>
      </c>
      <c r="S10891">
        <v>38</v>
      </c>
      <c r="T10891" s="43" t="str">
        <f t="shared" si="469"/>
        <v>2022.008D.Aelloviridae_146rensp.zip</v>
      </c>
      <c r="U10891" s="43" t="str">
        <f>HYPERLINK("https://ictv.global/taxonomy/taxondetails?taxnode_id=202202523","ictv.global=202202523")</f>
        <v>ictv.global=202202523</v>
      </c>
    </row>
    <row r="10892" spans="1:21">
      <c r="A10892">
        <v>10891</v>
      </c>
      <c r="B10892" s="29"/>
      <c r="C10892" s="29"/>
      <c r="D10892" s="29"/>
      <c r="E10892" s="29"/>
      <c r="F10892" s="29"/>
      <c r="G10892" s="29"/>
      <c r="H10892" s="29"/>
      <c r="I10892" s="29"/>
      <c r="J10892" s="29"/>
      <c r="K10892" s="29"/>
      <c r="L10892" s="29" t="s">
        <v>256</v>
      </c>
      <c r="M10892" s="29"/>
      <c r="N10892" s="29" t="s">
        <v>258</v>
      </c>
      <c r="O10892" s="29"/>
      <c r="P10892" s="29" t="s">
        <v>14639</v>
      </c>
      <c r="Q10892" t="s">
        <v>2189</v>
      </c>
      <c r="R10892" t="s">
        <v>2635</v>
      </c>
      <c r="S10892">
        <v>38</v>
      </c>
      <c r="T10892" s="43" t="str">
        <f t="shared" si="469"/>
        <v>2022.008D.Aelloviridae_146rensp.zip</v>
      </c>
      <c r="U10892" s="43" t="str">
        <f>HYPERLINK("https://ictv.global/taxonomy/taxondetails?taxnode_id=202202524","ictv.global=202202524")</f>
        <v>ictv.global=202202524</v>
      </c>
    </row>
    <row r="10893" spans="1:21">
      <c r="A10893">
        <v>10892</v>
      </c>
      <c r="B10893" s="29"/>
      <c r="C10893" s="29"/>
      <c r="D10893" s="29"/>
      <c r="E10893" s="29"/>
      <c r="F10893" s="29"/>
      <c r="G10893" s="29"/>
      <c r="H10893" s="29"/>
      <c r="I10893" s="29"/>
      <c r="J10893" s="29"/>
      <c r="K10893" s="29"/>
      <c r="L10893" s="29" t="s">
        <v>256</v>
      </c>
      <c r="M10893" s="29"/>
      <c r="N10893" s="29" t="s">
        <v>258</v>
      </c>
      <c r="O10893" s="29"/>
      <c r="P10893" s="29" t="s">
        <v>14640</v>
      </c>
      <c r="Q10893" t="s">
        <v>2189</v>
      </c>
      <c r="R10893" t="s">
        <v>2635</v>
      </c>
      <c r="S10893">
        <v>38</v>
      </c>
      <c r="T10893" s="43" t="str">
        <f t="shared" si="469"/>
        <v>2022.008D.Aelloviridae_146rensp.zip</v>
      </c>
      <c r="U10893" s="43" t="str">
        <f>HYPERLINK("https://ictv.global/taxonomy/taxondetails?taxnode_id=202202525","ictv.global=202202525")</f>
        <v>ictv.global=202202525</v>
      </c>
    </row>
    <row r="10894" spans="1:21">
      <c r="A10894">
        <v>10893</v>
      </c>
      <c r="B10894" s="29"/>
      <c r="C10894" s="29"/>
      <c r="D10894" s="29"/>
      <c r="E10894" s="29"/>
      <c r="F10894" s="29"/>
      <c r="G10894" s="29"/>
      <c r="H10894" s="29"/>
      <c r="I10894" s="29"/>
      <c r="J10894" s="29"/>
      <c r="K10894" s="29"/>
      <c r="L10894" s="29" t="s">
        <v>256</v>
      </c>
      <c r="M10894" s="29"/>
      <c r="N10894" s="29" t="s">
        <v>258</v>
      </c>
      <c r="O10894" s="29"/>
      <c r="P10894" s="29" t="s">
        <v>14641</v>
      </c>
      <c r="Q10894" t="s">
        <v>2189</v>
      </c>
      <c r="R10894" t="s">
        <v>2635</v>
      </c>
      <c r="S10894">
        <v>38</v>
      </c>
      <c r="T10894" s="43" t="str">
        <f t="shared" si="469"/>
        <v>2022.008D.Aelloviridae_146rensp.zip</v>
      </c>
      <c r="U10894" s="43" t="str">
        <f>HYPERLINK("https://ictv.global/taxonomy/taxondetails?taxnode_id=202202526","ictv.global=202202526")</f>
        <v>ictv.global=202202526</v>
      </c>
    </row>
    <row r="10895" spans="1:21">
      <c r="A10895">
        <v>10894</v>
      </c>
      <c r="B10895" s="29"/>
      <c r="C10895" s="29"/>
      <c r="D10895" s="29"/>
      <c r="E10895" s="29"/>
      <c r="F10895" s="29"/>
      <c r="G10895" s="29"/>
      <c r="H10895" s="29"/>
      <c r="I10895" s="29"/>
      <c r="J10895" s="29"/>
      <c r="K10895" s="29"/>
      <c r="L10895" s="29" t="s">
        <v>256</v>
      </c>
      <c r="M10895" s="29"/>
      <c r="N10895" s="29" t="s">
        <v>258</v>
      </c>
      <c r="O10895" s="29"/>
      <c r="P10895" s="29" t="s">
        <v>14642</v>
      </c>
      <c r="Q10895" t="s">
        <v>2189</v>
      </c>
      <c r="R10895" t="s">
        <v>2635</v>
      </c>
      <c r="S10895">
        <v>38</v>
      </c>
      <c r="T10895" s="43" t="str">
        <f t="shared" si="469"/>
        <v>2022.008D.Aelloviridae_146rensp.zip</v>
      </c>
      <c r="U10895" s="43" t="str">
        <f>HYPERLINK("https://ictv.global/taxonomy/taxondetails?taxnode_id=202202527","ictv.global=202202527")</f>
        <v>ictv.global=202202527</v>
      </c>
    </row>
    <row r="10896" spans="1:21">
      <c r="A10896">
        <v>10895</v>
      </c>
      <c r="B10896" s="29"/>
      <c r="C10896" s="29"/>
      <c r="D10896" s="29"/>
      <c r="E10896" s="29"/>
      <c r="F10896" s="29"/>
      <c r="G10896" s="29"/>
      <c r="H10896" s="29"/>
      <c r="I10896" s="29"/>
      <c r="J10896" s="29"/>
      <c r="K10896" s="29"/>
      <c r="L10896" s="29" t="s">
        <v>256</v>
      </c>
      <c r="M10896" s="29"/>
      <c r="N10896" s="29" t="s">
        <v>258</v>
      </c>
      <c r="O10896" s="29"/>
      <c r="P10896" s="29" t="s">
        <v>14643</v>
      </c>
      <c r="Q10896" t="s">
        <v>2189</v>
      </c>
      <c r="R10896" t="s">
        <v>2635</v>
      </c>
      <c r="S10896">
        <v>38</v>
      </c>
      <c r="T10896" s="43" t="str">
        <f t="shared" si="469"/>
        <v>2022.008D.Aelloviridae_146rensp.zip</v>
      </c>
      <c r="U10896" s="43" t="str">
        <f>HYPERLINK("https://ictv.global/taxonomy/taxondetails?taxnode_id=202202528","ictv.global=202202528")</f>
        <v>ictv.global=202202528</v>
      </c>
    </row>
    <row r="10897" spans="1:21">
      <c r="A10897">
        <v>10896</v>
      </c>
      <c r="B10897" s="29"/>
      <c r="C10897" s="29"/>
      <c r="D10897" s="29"/>
      <c r="E10897" s="29"/>
      <c r="F10897" s="29"/>
      <c r="G10897" s="29"/>
      <c r="H10897" s="29"/>
      <c r="I10897" s="29"/>
      <c r="J10897" s="29"/>
      <c r="K10897" s="29"/>
      <c r="L10897" s="29" t="s">
        <v>256</v>
      </c>
      <c r="M10897" s="29"/>
      <c r="N10897" s="29" t="s">
        <v>258</v>
      </c>
      <c r="O10897" s="29"/>
      <c r="P10897" s="29" t="s">
        <v>14644</v>
      </c>
      <c r="Q10897" t="s">
        <v>2189</v>
      </c>
      <c r="R10897" t="s">
        <v>2635</v>
      </c>
      <c r="S10897">
        <v>38</v>
      </c>
      <c r="T10897" s="43" t="str">
        <f t="shared" si="469"/>
        <v>2022.008D.Aelloviridae_146rensp.zip</v>
      </c>
      <c r="U10897" s="43" t="str">
        <f>HYPERLINK("https://ictv.global/taxonomy/taxondetails?taxnode_id=202202529","ictv.global=202202529")</f>
        <v>ictv.global=202202529</v>
      </c>
    </row>
    <row r="10898" spans="1:21">
      <c r="A10898">
        <v>10897</v>
      </c>
      <c r="B10898" s="29"/>
      <c r="C10898" s="29"/>
      <c r="D10898" s="29"/>
      <c r="E10898" s="29"/>
      <c r="F10898" s="29"/>
      <c r="G10898" s="29"/>
      <c r="H10898" s="29"/>
      <c r="I10898" s="29"/>
      <c r="J10898" s="29"/>
      <c r="K10898" s="29"/>
      <c r="L10898" s="29" t="s">
        <v>256</v>
      </c>
      <c r="M10898" s="29"/>
      <c r="N10898" s="29" t="s">
        <v>258</v>
      </c>
      <c r="O10898" s="29"/>
      <c r="P10898" s="29" t="s">
        <v>14645</v>
      </c>
      <c r="Q10898" t="s">
        <v>2189</v>
      </c>
      <c r="R10898" t="s">
        <v>2635</v>
      </c>
      <c r="S10898">
        <v>38</v>
      </c>
      <c r="T10898" s="43" t="str">
        <f t="shared" si="469"/>
        <v>2022.008D.Aelloviridae_146rensp.zip</v>
      </c>
      <c r="U10898" s="43" t="str">
        <f>HYPERLINK("https://ictv.global/taxonomy/taxondetails?taxnode_id=202209400","ictv.global=202209400")</f>
        <v>ictv.global=202209400</v>
      </c>
    </row>
    <row r="10899" spans="1:21">
      <c r="A10899">
        <v>10898</v>
      </c>
      <c r="B10899" s="29"/>
      <c r="C10899" s="29"/>
      <c r="D10899" s="29"/>
      <c r="E10899" s="29"/>
      <c r="F10899" s="29"/>
      <c r="G10899" s="29"/>
      <c r="H10899" s="29"/>
      <c r="I10899" s="29"/>
      <c r="J10899" s="29"/>
      <c r="K10899" s="29"/>
      <c r="L10899" s="29" t="s">
        <v>256</v>
      </c>
      <c r="M10899" s="29"/>
      <c r="N10899" s="29" t="s">
        <v>258</v>
      </c>
      <c r="O10899" s="29"/>
      <c r="P10899" s="29" t="s">
        <v>14646</v>
      </c>
      <c r="Q10899" t="s">
        <v>2189</v>
      </c>
      <c r="R10899" t="s">
        <v>2635</v>
      </c>
      <c r="S10899">
        <v>38</v>
      </c>
      <c r="T10899" s="43" t="str">
        <f t="shared" si="469"/>
        <v>2022.008D.Aelloviridae_146rensp.zip</v>
      </c>
      <c r="U10899" s="43" t="str">
        <f>HYPERLINK("https://ictv.global/taxonomy/taxondetails?taxnode_id=202209401","ictv.global=202209401")</f>
        <v>ictv.global=202209401</v>
      </c>
    </row>
    <row r="10900" spans="1:21">
      <c r="A10900">
        <v>10899</v>
      </c>
      <c r="B10900" s="29"/>
      <c r="C10900" s="29"/>
      <c r="D10900" s="29"/>
      <c r="E10900" s="29"/>
      <c r="F10900" s="29"/>
      <c r="G10900" s="29"/>
      <c r="H10900" s="29"/>
      <c r="I10900" s="29"/>
      <c r="J10900" s="29"/>
      <c r="K10900" s="29"/>
      <c r="L10900" s="29" t="s">
        <v>256</v>
      </c>
      <c r="M10900" s="29"/>
      <c r="N10900" s="29" t="s">
        <v>258</v>
      </c>
      <c r="O10900" s="29"/>
      <c r="P10900" s="29" t="s">
        <v>14647</v>
      </c>
      <c r="Q10900" t="s">
        <v>2189</v>
      </c>
      <c r="R10900" t="s">
        <v>2635</v>
      </c>
      <c r="S10900">
        <v>38</v>
      </c>
      <c r="T10900" s="43" t="str">
        <f t="shared" si="469"/>
        <v>2022.008D.Aelloviridae_146rensp.zip</v>
      </c>
      <c r="U10900" s="43" t="str">
        <f>HYPERLINK("https://ictv.global/taxonomy/taxondetails?taxnode_id=202209402","ictv.global=202209402")</f>
        <v>ictv.global=202209402</v>
      </c>
    </row>
    <row r="10901" spans="1:21">
      <c r="A10901">
        <v>10900</v>
      </c>
      <c r="B10901" s="29"/>
      <c r="C10901" s="29"/>
      <c r="D10901" s="29"/>
      <c r="E10901" s="29"/>
      <c r="F10901" s="29"/>
      <c r="G10901" s="29"/>
      <c r="H10901" s="29"/>
      <c r="I10901" s="29"/>
      <c r="J10901" s="29"/>
      <c r="K10901" s="29"/>
      <c r="L10901" s="29" t="s">
        <v>256</v>
      </c>
      <c r="M10901" s="29"/>
      <c r="N10901" s="29" t="s">
        <v>258</v>
      </c>
      <c r="O10901" s="29"/>
      <c r="P10901" s="29" t="s">
        <v>14648</v>
      </c>
      <c r="Q10901" t="s">
        <v>2189</v>
      </c>
      <c r="R10901" t="s">
        <v>2635</v>
      </c>
      <c r="S10901">
        <v>38</v>
      </c>
      <c r="T10901" s="43" t="str">
        <f t="shared" si="469"/>
        <v>2022.008D.Aelloviridae_146rensp.zip</v>
      </c>
      <c r="U10901" s="43" t="str">
        <f>HYPERLINK("https://ictv.global/taxonomy/taxondetails?taxnode_id=202209403","ictv.global=202209403")</f>
        <v>ictv.global=202209403</v>
      </c>
    </row>
    <row r="10902" spans="1:21">
      <c r="A10902">
        <v>10901</v>
      </c>
      <c r="B10902" s="29"/>
      <c r="C10902" s="29"/>
      <c r="D10902" s="29"/>
      <c r="E10902" s="29"/>
      <c r="F10902" s="29"/>
      <c r="G10902" s="29"/>
      <c r="H10902" s="29"/>
      <c r="I10902" s="29"/>
      <c r="J10902" s="29"/>
      <c r="K10902" s="29"/>
      <c r="L10902" s="29" t="s">
        <v>256</v>
      </c>
      <c r="M10902" s="29"/>
      <c r="N10902" s="29" t="s">
        <v>258</v>
      </c>
      <c r="O10902" s="29"/>
      <c r="P10902" s="29" t="s">
        <v>14649</v>
      </c>
      <c r="Q10902" t="s">
        <v>2189</v>
      </c>
      <c r="R10902" t="s">
        <v>2635</v>
      </c>
      <c r="S10902">
        <v>38</v>
      </c>
      <c r="T10902" s="43" t="str">
        <f t="shared" si="469"/>
        <v>2022.008D.Aelloviridae_146rensp.zip</v>
      </c>
      <c r="U10902" s="43" t="str">
        <f>HYPERLINK("https://ictv.global/taxonomy/taxondetails?taxnode_id=202209404","ictv.global=202209404")</f>
        <v>ictv.global=202209404</v>
      </c>
    </row>
    <row r="10903" spans="1:21">
      <c r="A10903">
        <v>10902</v>
      </c>
      <c r="B10903" s="29"/>
      <c r="C10903" s="29"/>
      <c r="D10903" s="29"/>
      <c r="E10903" s="29"/>
      <c r="F10903" s="29"/>
      <c r="G10903" s="29"/>
      <c r="H10903" s="29"/>
      <c r="I10903" s="29"/>
      <c r="J10903" s="29"/>
      <c r="K10903" s="29"/>
      <c r="L10903" s="29" t="s">
        <v>256</v>
      </c>
      <c r="M10903" s="29"/>
      <c r="N10903" s="29" t="s">
        <v>258</v>
      </c>
      <c r="O10903" s="29"/>
      <c r="P10903" s="29" t="s">
        <v>14650</v>
      </c>
      <c r="Q10903" t="s">
        <v>2189</v>
      </c>
      <c r="R10903" t="s">
        <v>2635</v>
      </c>
      <c r="S10903">
        <v>38</v>
      </c>
      <c r="T10903" s="43" t="str">
        <f t="shared" si="469"/>
        <v>2022.008D.Aelloviridae_146rensp.zip</v>
      </c>
      <c r="U10903" s="43" t="str">
        <f>HYPERLINK("https://ictv.global/taxonomy/taxondetails?taxnode_id=202209405","ictv.global=202209405")</f>
        <v>ictv.global=202209405</v>
      </c>
    </row>
    <row r="10904" spans="1:21">
      <c r="A10904">
        <v>10903</v>
      </c>
      <c r="B10904" s="29"/>
      <c r="C10904" s="29"/>
      <c r="D10904" s="29"/>
      <c r="E10904" s="29"/>
      <c r="F10904" s="29"/>
      <c r="G10904" s="29"/>
      <c r="H10904" s="29"/>
      <c r="I10904" s="29"/>
      <c r="J10904" s="29"/>
      <c r="K10904" s="29"/>
      <c r="L10904" s="29" t="s">
        <v>256</v>
      </c>
      <c r="M10904" s="29"/>
      <c r="N10904" s="29" t="s">
        <v>258</v>
      </c>
      <c r="O10904" s="29"/>
      <c r="P10904" s="29" t="s">
        <v>14651</v>
      </c>
      <c r="Q10904" t="s">
        <v>2189</v>
      </c>
      <c r="R10904" t="s">
        <v>2635</v>
      </c>
      <c r="S10904">
        <v>38</v>
      </c>
      <c r="T10904" s="43" t="str">
        <f t="shared" si="469"/>
        <v>2022.008D.Aelloviridae_146rensp.zip</v>
      </c>
      <c r="U10904" s="43" t="str">
        <f>HYPERLINK("https://ictv.global/taxonomy/taxondetails?taxnode_id=202209406","ictv.global=202209406")</f>
        <v>ictv.global=202209406</v>
      </c>
    </row>
    <row r="10905" spans="1:21">
      <c r="A10905">
        <v>10904</v>
      </c>
      <c r="B10905" s="29"/>
      <c r="C10905" s="29"/>
      <c r="D10905" s="29"/>
      <c r="E10905" s="29"/>
      <c r="F10905" s="29"/>
      <c r="G10905" s="29"/>
      <c r="H10905" s="29"/>
      <c r="I10905" s="29"/>
      <c r="J10905" s="29"/>
      <c r="K10905" s="29"/>
      <c r="L10905" s="29" t="s">
        <v>256</v>
      </c>
      <c r="M10905" s="29"/>
      <c r="N10905" s="29" t="s">
        <v>258</v>
      </c>
      <c r="O10905" s="29"/>
      <c r="P10905" s="29" t="s">
        <v>14652</v>
      </c>
      <c r="Q10905" t="s">
        <v>2189</v>
      </c>
      <c r="R10905" t="s">
        <v>2635</v>
      </c>
      <c r="S10905">
        <v>38</v>
      </c>
      <c r="T10905" s="43" t="str">
        <f t="shared" si="469"/>
        <v>2022.008D.Aelloviridae_146rensp.zip</v>
      </c>
      <c r="U10905" s="43" t="str">
        <f>HYPERLINK("https://ictv.global/taxonomy/taxondetails?taxnode_id=202209407","ictv.global=202209407")</f>
        <v>ictv.global=202209407</v>
      </c>
    </row>
    <row r="10906" spans="1:21">
      <c r="A10906">
        <v>10905</v>
      </c>
      <c r="B10906" s="29"/>
      <c r="C10906" s="29"/>
      <c r="D10906" s="29"/>
      <c r="E10906" s="29"/>
      <c r="F10906" s="29"/>
      <c r="G10906" s="29"/>
      <c r="H10906" s="29"/>
      <c r="I10906" s="29"/>
      <c r="J10906" s="29"/>
      <c r="K10906" s="29"/>
      <c r="L10906" s="29" t="s">
        <v>256</v>
      </c>
      <c r="M10906" s="29"/>
      <c r="N10906" s="29" t="s">
        <v>258</v>
      </c>
      <c r="O10906" s="29"/>
      <c r="P10906" s="29" t="s">
        <v>14653</v>
      </c>
      <c r="Q10906" t="s">
        <v>2189</v>
      </c>
      <c r="R10906" t="s">
        <v>2635</v>
      </c>
      <c r="S10906">
        <v>38</v>
      </c>
      <c r="T10906" s="43" t="str">
        <f t="shared" si="469"/>
        <v>2022.008D.Aelloviridae_146rensp.zip</v>
      </c>
      <c r="U10906" s="43" t="str">
        <f>HYPERLINK("https://ictv.global/taxonomy/taxondetails?taxnode_id=202209408","ictv.global=202209408")</f>
        <v>ictv.global=202209408</v>
      </c>
    </row>
    <row r="10907" spans="1:21">
      <c r="A10907">
        <v>10906</v>
      </c>
      <c r="B10907" s="29"/>
      <c r="C10907" s="29"/>
      <c r="D10907" s="29"/>
      <c r="E10907" s="29"/>
      <c r="F10907" s="29"/>
      <c r="G10907" s="29"/>
      <c r="H10907" s="29"/>
      <c r="I10907" s="29"/>
      <c r="J10907" s="29"/>
      <c r="K10907" s="29"/>
      <c r="L10907" s="29" t="s">
        <v>256</v>
      </c>
      <c r="M10907" s="29"/>
      <c r="N10907" s="29" t="s">
        <v>258</v>
      </c>
      <c r="O10907" s="29"/>
      <c r="P10907" s="29" t="s">
        <v>14654</v>
      </c>
      <c r="Q10907" t="s">
        <v>2189</v>
      </c>
      <c r="R10907" t="s">
        <v>2635</v>
      </c>
      <c r="S10907">
        <v>38</v>
      </c>
      <c r="T10907" s="43" t="str">
        <f t="shared" si="469"/>
        <v>2022.008D.Aelloviridae_146rensp.zip</v>
      </c>
      <c r="U10907" s="43" t="str">
        <f>HYPERLINK("https://ictv.global/taxonomy/taxondetails?taxnode_id=202209409","ictv.global=202209409")</f>
        <v>ictv.global=202209409</v>
      </c>
    </row>
    <row r="10908" spans="1:21">
      <c r="A10908">
        <v>10907</v>
      </c>
      <c r="B10908" s="29"/>
      <c r="C10908" s="29"/>
      <c r="D10908" s="29"/>
      <c r="E10908" s="29"/>
      <c r="F10908" s="29"/>
      <c r="G10908" s="29"/>
      <c r="H10908" s="29"/>
      <c r="I10908" s="29"/>
      <c r="J10908" s="29"/>
      <c r="K10908" s="29"/>
      <c r="L10908" s="29" t="s">
        <v>256</v>
      </c>
      <c r="M10908" s="29"/>
      <c r="N10908" s="29" t="s">
        <v>258</v>
      </c>
      <c r="O10908" s="29"/>
      <c r="P10908" s="29" t="s">
        <v>14655</v>
      </c>
      <c r="Q10908" t="s">
        <v>2189</v>
      </c>
      <c r="R10908" t="s">
        <v>2635</v>
      </c>
      <c r="S10908">
        <v>38</v>
      </c>
      <c r="T10908" s="43" t="str">
        <f t="shared" si="469"/>
        <v>2022.008D.Aelloviridae_146rensp.zip</v>
      </c>
      <c r="U10908" s="43" t="str">
        <f>HYPERLINK("https://ictv.global/taxonomy/taxondetails?taxnode_id=202209410","ictv.global=202209410")</f>
        <v>ictv.global=202209410</v>
      </c>
    </row>
    <row r="10909" spans="1:21">
      <c r="A10909">
        <v>10908</v>
      </c>
      <c r="B10909" s="29"/>
      <c r="C10909" s="29"/>
      <c r="D10909" s="29"/>
      <c r="E10909" s="29"/>
      <c r="F10909" s="29"/>
      <c r="G10909" s="29"/>
      <c r="H10909" s="29"/>
      <c r="I10909" s="29"/>
      <c r="J10909" s="29"/>
      <c r="K10909" s="29"/>
      <c r="L10909" s="29" t="s">
        <v>256</v>
      </c>
      <c r="M10909" s="29"/>
      <c r="N10909" s="29" t="s">
        <v>258</v>
      </c>
      <c r="O10909" s="29"/>
      <c r="P10909" s="29" t="s">
        <v>14656</v>
      </c>
      <c r="Q10909" t="s">
        <v>2189</v>
      </c>
      <c r="R10909" t="s">
        <v>2635</v>
      </c>
      <c r="S10909">
        <v>38</v>
      </c>
      <c r="T10909" s="43" t="str">
        <f t="shared" si="469"/>
        <v>2022.008D.Aelloviridae_146rensp.zip</v>
      </c>
      <c r="U10909" s="43" t="str">
        <f>HYPERLINK("https://ictv.global/taxonomy/taxondetails?taxnode_id=202209411","ictv.global=202209411")</f>
        <v>ictv.global=202209411</v>
      </c>
    </row>
    <row r="10910" spans="1:21">
      <c r="A10910">
        <v>10909</v>
      </c>
      <c r="B10910" s="29"/>
      <c r="C10910" s="29"/>
      <c r="D10910" s="29"/>
      <c r="E10910" s="29"/>
      <c r="F10910" s="29"/>
      <c r="G10910" s="29"/>
      <c r="H10910" s="29"/>
      <c r="I10910" s="29"/>
      <c r="J10910" s="29"/>
      <c r="K10910" s="29"/>
      <c r="L10910" s="29" t="s">
        <v>256</v>
      </c>
      <c r="M10910" s="29"/>
      <c r="N10910" s="29" t="s">
        <v>258</v>
      </c>
      <c r="O10910" s="29"/>
      <c r="P10910" s="29" t="s">
        <v>14657</v>
      </c>
      <c r="Q10910" t="s">
        <v>2189</v>
      </c>
      <c r="R10910" t="s">
        <v>2635</v>
      </c>
      <c r="S10910">
        <v>38</v>
      </c>
      <c r="T10910" s="43" t="str">
        <f t="shared" si="469"/>
        <v>2022.008D.Aelloviridae_146rensp.zip</v>
      </c>
      <c r="U10910" s="43" t="str">
        <f>HYPERLINK("https://ictv.global/taxonomy/taxondetails?taxnode_id=202209412","ictv.global=202209412")</f>
        <v>ictv.global=202209412</v>
      </c>
    </row>
    <row r="10911" spans="1:21">
      <c r="A10911">
        <v>10910</v>
      </c>
      <c r="B10911" s="29"/>
      <c r="C10911" s="29"/>
      <c r="D10911" s="29"/>
      <c r="E10911" s="29"/>
      <c r="F10911" s="29"/>
      <c r="G10911" s="29"/>
      <c r="H10911" s="29"/>
      <c r="I10911" s="29"/>
      <c r="J10911" s="29"/>
      <c r="K10911" s="29"/>
      <c r="L10911" s="29" t="s">
        <v>256</v>
      </c>
      <c r="M10911" s="29"/>
      <c r="N10911" s="29" t="s">
        <v>258</v>
      </c>
      <c r="O10911" s="29"/>
      <c r="P10911" s="29" t="s">
        <v>14658</v>
      </c>
      <c r="Q10911" t="s">
        <v>2189</v>
      </c>
      <c r="R10911" t="s">
        <v>2635</v>
      </c>
      <c r="S10911">
        <v>38</v>
      </c>
      <c r="T10911" s="43" t="str">
        <f t="shared" si="469"/>
        <v>2022.008D.Aelloviridae_146rensp.zip</v>
      </c>
      <c r="U10911" s="43" t="str">
        <f>HYPERLINK("https://ictv.global/taxonomy/taxondetails?taxnode_id=202209413","ictv.global=202209413")</f>
        <v>ictv.global=202209413</v>
      </c>
    </row>
    <row r="10912" spans="1:21">
      <c r="A10912">
        <v>10911</v>
      </c>
      <c r="B10912" s="29"/>
      <c r="C10912" s="29"/>
      <c r="D10912" s="29"/>
      <c r="E10912" s="29"/>
      <c r="F10912" s="29"/>
      <c r="G10912" s="29"/>
      <c r="H10912" s="29"/>
      <c r="I10912" s="29"/>
      <c r="J10912" s="29"/>
      <c r="K10912" s="29"/>
      <c r="L10912" s="29" t="s">
        <v>256</v>
      </c>
      <c r="M10912" s="29"/>
      <c r="N10912" s="29" t="s">
        <v>258</v>
      </c>
      <c r="O10912" s="29"/>
      <c r="P10912" s="29" t="s">
        <v>14659</v>
      </c>
      <c r="Q10912" t="s">
        <v>2189</v>
      </c>
      <c r="R10912" t="s">
        <v>2635</v>
      </c>
      <c r="S10912">
        <v>38</v>
      </c>
      <c r="T10912" s="43" t="str">
        <f t="shared" si="469"/>
        <v>2022.008D.Aelloviridae_146rensp.zip</v>
      </c>
      <c r="U10912" s="43" t="str">
        <f>HYPERLINK("https://ictv.global/taxonomy/taxondetails?taxnode_id=202209414","ictv.global=202209414")</f>
        <v>ictv.global=202209414</v>
      </c>
    </row>
    <row r="10913" spans="1:21">
      <c r="A10913">
        <v>10912</v>
      </c>
      <c r="B10913" s="29"/>
      <c r="C10913" s="29"/>
      <c r="D10913" s="29"/>
      <c r="E10913" s="29"/>
      <c r="F10913" s="29"/>
      <c r="G10913" s="29"/>
      <c r="H10913" s="29"/>
      <c r="I10913" s="29"/>
      <c r="J10913" s="29"/>
      <c r="K10913" s="29"/>
      <c r="L10913" s="29" t="s">
        <v>256</v>
      </c>
      <c r="M10913" s="29"/>
      <c r="N10913" s="29" t="s">
        <v>258</v>
      </c>
      <c r="O10913" s="29"/>
      <c r="P10913" s="29" t="s">
        <v>14660</v>
      </c>
      <c r="Q10913" t="s">
        <v>2189</v>
      </c>
      <c r="R10913" t="s">
        <v>2635</v>
      </c>
      <c r="S10913">
        <v>38</v>
      </c>
      <c r="T10913" s="43" t="str">
        <f t="shared" si="469"/>
        <v>2022.008D.Aelloviridae_146rensp.zip</v>
      </c>
      <c r="U10913" s="43" t="str">
        <f>HYPERLINK("https://ictv.global/taxonomy/taxondetails?taxnode_id=202209415","ictv.global=202209415")</f>
        <v>ictv.global=202209415</v>
      </c>
    </row>
    <row r="10914" spans="1:21">
      <c r="A10914">
        <v>10913</v>
      </c>
      <c r="B10914" s="29"/>
      <c r="C10914" s="29"/>
      <c r="D10914" s="29"/>
      <c r="E10914" s="29"/>
      <c r="F10914" s="29"/>
      <c r="G10914" s="29"/>
      <c r="H10914" s="29"/>
      <c r="I10914" s="29"/>
      <c r="J10914" s="29"/>
      <c r="K10914" s="29"/>
      <c r="L10914" s="29" t="s">
        <v>256</v>
      </c>
      <c r="M10914" s="29"/>
      <c r="N10914" s="29" t="s">
        <v>258</v>
      </c>
      <c r="O10914" s="29"/>
      <c r="P10914" s="29" t="s">
        <v>14661</v>
      </c>
      <c r="Q10914" t="s">
        <v>2189</v>
      </c>
      <c r="R10914" t="s">
        <v>2635</v>
      </c>
      <c r="S10914">
        <v>38</v>
      </c>
      <c r="T10914" s="43" t="str">
        <f t="shared" si="469"/>
        <v>2022.008D.Aelloviridae_146rensp.zip</v>
      </c>
      <c r="U10914" s="43" t="str">
        <f>HYPERLINK("https://ictv.global/taxonomy/taxondetails?taxnode_id=202209416","ictv.global=202209416")</f>
        <v>ictv.global=202209416</v>
      </c>
    </row>
    <row r="10915" spans="1:21">
      <c r="A10915">
        <v>10914</v>
      </c>
      <c r="B10915" s="29"/>
      <c r="C10915" s="29"/>
      <c r="D10915" s="29"/>
      <c r="E10915" s="29"/>
      <c r="F10915" s="29"/>
      <c r="G10915" s="29"/>
      <c r="H10915" s="29"/>
      <c r="I10915" s="29"/>
      <c r="J10915" s="29"/>
      <c r="K10915" s="29"/>
      <c r="L10915" s="29" t="s">
        <v>256</v>
      </c>
      <c r="M10915" s="29"/>
      <c r="N10915" s="29" t="s">
        <v>258</v>
      </c>
      <c r="O10915" s="29"/>
      <c r="P10915" s="29" t="s">
        <v>14662</v>
      </c>
      <c r="Q10915" t="s">
        <v>2189</v>
      </c>
      <c r="R10915" t="s">
        <v>2635</v>
      </c>
      <c r="S10915">
        <v>38</v>
      </c>
      <c r="T10915" s="43" t="str">
        <f t="shared" si="469"/>
        <v>2022.008D.Aelloviridae_146rensp.zip</v>
      </c>
      <c r="U10915" s="43" t="str">
        <f>HYPERLINK("https://ictv.global/taxonomy/taxondetails?taxnode_id=202209417","ictv.global=202209417")</f>
        <v>ictv.global=202209417</v>
      </c>
    </row>
    <row r="10916" spans="1:21">
      <c r="A10916">
        <v>10915</v>
      </c>
      <c r="B10916" s="29"/>
      <c r="C10916" s="29"/>
      <c r="D10916" s="29"/>
      <c r="E10916" s="29"/>
      <c r="F10916" s="29"/>
      <c r="G10916" s="29"/>
      <c r="H10916" s="29"/>
      <c r="I10916" s="29"/>
      <c r="J10916" s="29"/>
      <c r="K10916" s="29"/>
      <c r="L10916" s="29" t="s">
        <v>256</v>
      </c>
      <c r="M10916" s="29"/>
      <c r="N10916" s="29" t="s">
        <v>258</v>
      </c>
      <c r="O10916" s="29"/>
      <c r="P10916" s="29" t="s">
        <v>14663</v>
      </c>
      <c r="Q10916" t="s">
        <v>2189</v>
      </c>
      <c r="R10916" t="s">
        <v>2635</v>
      </c>
      <c r="S10916">
        <v>38</v>
      </c>
      <c r="T10916" s="43" t="str">
        <f t="shared" si="469"/>
        <v>2022.008D.Aelloviridae_146rensp.zip</v>
      </c>
      <c r="U10916" s="43" t="str">
        <f>HYPERLINK("https://ictv.global/taxonomy/taxondetails?taxnode_id=202209418","ictv.global=202209418")</f>
        <v>ictv.global=202209418</v>
      </c>
    </row>
    <row r="10917" spans="1:21">
      <c r="A10917">
        <v>10916</v>
      </c>
      <c r="B10917" s="29"/>
      <c r="C10917" s="29"/>
      <c r="D10917" s="29"/>
      <c r="E10917" s="29"/>
      <c r="F10917" s="29"/>
      <c r="G10917" s="29"/>
      <c r="H10917" s="29"/>
      <c r="I10917" s="29"/>
      <c r="J10917" s="29"/>
      <c r="K10917" s="29"/>
      <c r="L10917" s="29" t="s">
        <v>256</v>
      </c>
      <c r="M10917" s="29"/>
      <c r="N10917" s="29" t="s">
        <v>258</v>
      </c>
      <c r="O10917" s="29"/>
      <c r="P10917" s="29" t="s">
        <v>14664</v>
      </c>
      <c r="Q10917" t="s">
        <v>2189</v>
      </c>
      <c r="R10917" t="s">
        <v>2635</v>
      </c>
      <c r="S10917">
        <v>38</v>
      </c>
      <c r="T10917" s="43" t="str">
        <f t="shared" si="469"/>
        <v>2022.008D.Aelloviridae_146rensp.zip</v>
      </c>
      <c r="U10917" s="43" t="str">
        <f>HYPERLINK("https://ictv.global/taxonomy/taxondetails?taxnode_id=202209419","ictv.global=202209419")</f>
        <v>ictv.global=202209419</v>
      </c>
    </row>
    <row r="10918" spans="1:21">
      <c r="A10918">
        <v>10917</v>
      </c>
      <c r="B10918" s="29"/>
      <c r="C10918" s="29"/>
      <c r="D10918" s="29"/>
      <c r="E10918" s="29"/>
      <c r="F10918" s="29"/>
      <c r="G10918" s="29"/>
      <c r="H10918" s="29"/>
      <c r="I10918" s="29"/>
      <c r="J10918" s="29"/>
      <c r="K10918" s="29"/>
      <c r="L10918" s="29" t="s">
        <v>256</v>
      </c>
      <c r="M10918" s="29"/>
      <c r="N10918" s="29" t="s">
        <v>258</v>
      </c>
      <c r="O10918" s="29"/>
      <c r="P10918" s="29" t="s">
        <v>14665</v>
      </c>
      <c r="Q10918" t="s">
        <v>2189</v>
      </c>
      <c r="R10918" t="s">
        <v>2635</v>
      </c>
      <c r="S10918">
        <v>38</v>
      </c>
      <c r="T10918" s="43" t="str">
        <f t="shared" si="469"/>
        <v>2022.008D.Aelloviridae_146rensp.zip</v>
      </c>
      <c r="U10918" s="43" t="str">
        <f>HYPERLINK("https://ictv.global/taxonomy/taxondetails?taxnode_id=202209420","ictv.global=202209420")</f>
        <v>ictv.global=202209420</v>
      </c>
    </row>
    <row r="10919" spans="1:21">
      <c r="A10919">
        <v>10918</v>
      </c>
      <c r="B10919" s="29"/>
      <c r="C10919" s="29"/>
      <c r="D10919" s="29"/>
      <c r="E10919" s="29"/>
      <c r="F10919" s="29"/>
      <c r="G10919" s="29"/>
      <c r="H10919" s="29"/>
      <c r="I10919" s="29"/>
      <c r="J10919" s="29"/>
      <c r="K10919" s="29"/>
      <c r="L10919" s="29" t="s">
        <v>256</v>
      </c>
      <c r="M10919" s="29"/>
      <c r="N10919" s="29" t="s">
        <v>258</v>
      </c>
      <c r="O10919" s="29"/>
      <c r="P10919" s="29" t="s">
        <v>14666</v>
      </c>
      <c r="Q10919" t="s">
        <v>2189</v>
      </c>
      <c r="R10919" t="s">
        <v>2635</v>
      </c>
      <c r="S10919">
        <v>38</v>
      </c>
      <c r="T10919" s="43" t="str">
        <f t="shared" si="469"/>
        <v>2022.008D.Aelloviridae_146rensp.zip</v>
      </c>
      <c r="U10919" s="43" t="str">
        <f>HYPERLINK("https://ictv.global/taxonomy/taxondetails?taxnode_id=202209421","ictv.global=202209421")</f>
        <v>ictv.global=202209421</v>
      </c>
    </row>
    <row r="10920" spans="1:21">
      <c r="A10920">
        <v>10919</v>
      </c>
      <c r="B10920" s="29"/>
      <c r="C10920" s="29"/>
      <c r="D10920" s="29"/>
      <c r="E10920" s="29"/>
      <c r="F10920" s="29"/>
      <c r="G10920" s="29"/>
      <c r="H10920" s="29"/>
      <c r="I10920" s="29"/>
      <c r="J10920" s="29"/>
      <c r="K10920" s="29"/>
      <c r="L10920" s="29" t="s">
        <v>256</v>
      </c>
      <c r="M10920" s="29"/>
      <c r="N10920" s="29" t="s">
        <v>258</v>
      </c>
      <c r="O10920" s="29"/>
      <c r="P10920" s="29" t="s">
        <v>14667</v>
      </c>
      <c r="Q10920" t="s">
        <v>2189</v>
      </c>
      <c r="R10920" t="s">
        <v>2635</v>
      </c>
      <c r="S10920">
        <v>38</v>
      </c>
      <c r="T10920" s="43" t="str">
        <f t="shared" si="469"/>
        <v>2022.008D.Aelloviridae_146rensp.zip</v>
      </c>
      <c r="U10920" s="43" t="str">
        <f>HYPERLINK("https://ictv.global/taxonomy/taxondetails?taxnode_id=202209422","ictv.global=202209422")</f>
        <v>ictv.global=202209422</v>
      </c>
    </row>
    <row r="10921" spans="1:21">
      <c r="A10921">
        <v>10920</v>
      </c>
      <c r="B10921" s="29"/>
      <c r="C10921" s="29"/>
      <c r="D10921" s="29"/>
      <c r="E10921" s="29"/>
      <c r="F10921" s="29"/>
      <c r="G10921" s="29"/>
      <c r="H10921" s="29"/>
      <c r="I10921" s="29"/>
      <c r="J10921" s="29"/>
      <c r="K10921" s="29"/>
      <c r="L10921" s="29" t="s">
        <v>256</v>
      </c>
      <c r="M10921" s="29"/>
      <c r="N10921" s="29" t="s">
        <v>258</v>
      </c>
      <c r="O10921" s="29"/>
      <c r="P10921" s="29" t="s">
        <v>14668</v>
      </c>
      <c r="Q10921" t="s">
        <v>2189</v>
      </c>
      <c r="R10921" t="s">
        <v>2635</v>
      </c>
      <c r="S10921">
        <v>38</v>
      </c>
      <c r="T10921" s="43" t="str">
        <f t="shared" si="469"/>
        <v>2022.008D.Aelloviridae_146rensp.zip</v>
      </c>
      <c r="U10921" s="43" t="str">
        <f>HYPERLINK("https://ictv.global/taxonomy/taxondetails?taxnode_id=202209423","ictv.global=202209423")</f>
        <v>ictv.global=202209423</v>
      </c>
    </row>
    <row r="10922" spans="1:21">
      <c r="A10922">
        <v>10921</v>
      </c>
      <c r="B10922" s="29"/>
      <c r="C10922" s="29"/>
      <c r="D10922" s="29"/>
      <c r="E10922" s="29"/>
      <c r="F10922" s="29"/>
      <c r="G10922" s="29"/>
      <c r="H10922" s="29"/>
      <c r="I10922" s="29"/>
      <c r="J10922" s="29"/>
      <c r="K10922" s="29"/>
      <c r="L10922" s="29" t="s">
        <v>256</v>
      </c>
      <c r="M10922" s="29"/>
      <c r="N10922" s="29" t="s">
        <v>258</v>
      </c>
      <c r="O10922" s="29"/>
      <c r="P10922" s="29" t="s">
        <v>14669</v>
      </c>
      <c r="Q10922" t="s">
        <v>2189</v>
      </c>
      <c r="R10922" t="s">
        <v>2635</v>
      </c>
      <c r="S10922">
        <v>38</v>
      </c>
      <c r="T10922" s="43" t="str">
        <f t="shared" ref="T10922:T10950" si="470">HYPERLINK("https://ictv.global/ictv/proposals/2022.008D.Aelloviridae_146rensp.zip","2022.008D.Aelloviridae_146rensp.zip")</f>
        <v>2022.008D.Aelloviridae_146rensp.zip</v>
      </c>
      <c r="U10922" s="43" t="str">
        <f>HYPERLINK("https://ictv.global/taxonomy/taxondetails?taxnode_id=202209424","ictv.global=202209424")</f>
        <v>ictv.global=202209424</v>
      </c>
    </row>
    <row r="10923" spans="1:21">
      <c r="A10923">
        <v>10922</v>
      </c>
      <c r="B10923" s="29"/>
      <c r="C10923" s="29"/>
      <c r="D10923" s="29"/>
      <c r="E10923" s="29"/>
      <c r="F10923" s="29"/>
      <c r="G10923" s="29"/>
      <c r="H10923" s="29"/>
      <c r="I10923" s="29"/>
      <c r="J10923" s="29"/>
      <c r="K10923" s="29"/>
      <c r="L10923" s="29" t="s">
        <v>256</v>
      </c>
      <c r="M10923" s="29"/>
      <c r="N10923" s="29" t="s">
        <v>258</v>
      </c>
      <c r="O10923" s="29"/>
      <c r="P10923" s="29" t="s">
        <v>14670</v>
      </c>
      <c r="Q10923" t="s">
        <v>2189</v>
      </c>
      <c r="R10923" t="s">
        <v>2635</v>
      </c>
      <c r="S10923">
        <v>38</v>
      </c>
      <c r="T10923" s="43" t="str">
        <f t="shared" si="470"/>
        <v>2022.008D.Aelloviridae_146rensp.zip</v>
      </c>
      <c r="U10923" s="43" t="str">
        <f>HYPERLINK("https://ictv.global/taxonomy/taxondetails?taxnode_id=202209425","ictv.global=202209425")</f>
        <v>ictv.global=202209425</v>
      </c>
    </row>
    <row r="10924" spans="1:21">
      <c r="A10924">
        <v>10923</v>
      </c>
      <c r="B10924" s="29"/>
      <c r="C10924" s="29"/>
      <c r="D10924" s="29"/>
      <c r="E10924" s="29"/>
      <c r="F10924" s="29"/>
      <c r="G10924" s="29"/>
      <c r="H10924" s="29"/>
      <c r="I10924" s="29"/>
      <c r="J10924" s="29"/>
      <c r="K10924" s="29"/>
      <c r="L10924" s="29" t="s">
        <v>256</v>
      </c>
      <c r="M10924" s="29"/>
      <c r="N10924" s="29" t="s">
        <v>6808</v>
      </c>
      <c r="O10924" s="29"/>
      <c r="P10924" s="29" t="s">
        <v>14671</v>
      </c>
      <c r="Q10924" t="s">
        <v>2189</v>
      </c>
      <c r="R10924" t="s">
        <v>2635</v>
      </c>
      <c r="S10924">
        <v>38</v>
      </c>
      <c r="T10924" s="43" t="str">
        <f t="shared" si="470"/>
        <v>2022.008D.Aelloviridae_146rensp.zip</v>
      </c>
      <c r="U10924" s="43" t="str">
        <f>HYPERLINK("https://ictv.global/taxonomy/taxondetails?taxnode_id=202209427","ictv.global=202209427")</f>
        <v>ictv.global=202209427</v>
      </c>
    </row>
    <row r="10925" spans="1:21">
      <c r="A10925">
        <v>10924</v>
      </c>
      <c r="B10925" s="29"/>
      <c r="C10925" s="29"/>
      <c r="D10925" s="29"/>
      <c r="E10925" s="29"/>
      <c r="F10925" s="29"/>
      <c r="G10925" s="29"/>
      <c r="H10925" s="29"/>
      <c r="I10925" s="29"/>
      <c r="J10925" s="29"/>
      <c r="K10925" s="29"/>
      <c r="L10925" s="29" t="s">
        <v>256</v>
      </c>
      <c r="M10925" s="29"/>
      <c r="N10925" s="29" t="s">
        <v>6809</v>
      </c>
      <c r="O10925" s="29"/>
      <c r="P10925" s="29" t="s">
        <v>14672</v>
      </c>
      <c r="Q10925" t="s">
        <v>2189</v>
      </c>
      <c r="R10925" t="s">
        <v>2635</v>
      </c>
      <c r="S10925">
        <v>38</v>
      </c>
      <c r="T10925" s="43" t="str">
        <f t="shared" si="470"/>
        <v>2022.008D.Aelloviridae_146rensp.zip</v>
      </c>
      <c r="U10925" s="43" t="str">
        <f>HYPERLINK("https://ictv.global/taxonomy/taxondetails?taxnode_id=202209429","ictv.global=202209429")</f>
        <v>ictv.global=202209429</v>
      </c>
    </row>
    <row r="10926" spans="1:21">
      <c r="A10926">
        <v>10925</v>
      </c>
      <c r="B10926" s="29"/>
      <c r="C10926" s="29"/>
      <c r="D10926" s="29"/>
      <c r="E10926" s="29"/>
      <c r="F10926" s="29"/>
      <c r="G10926" s="29"/>
      <c r="H10926" s="29"/>
      <c r="I10926" s="29"/>
      <c r="J10926" s="29"/>
      <c r="K10926" s="29"/>
      <c r="L10926" s="29" t="s">
        <v>256</v>
      </c>
      <c r="M10926" s="29"/>
      <c r="N10926" s="29" t="s">
        <v>260</v>
      </c>
      <c r="O10926" s="29"/>
      <c r="P10926" s="29" t="s">
        <v>14673</v>
      </c>
      <c r="Q10926" t="s">
        <v>2189</v>
      </c>
      <c r="R10926" t="s">
        <v>2635</v>
      </c>
      <c r="S10926">
        <v>38</v>
      </c>
      <c r="T10926" s="43" t="str">
        <f t="shared" si="470"/>
        <v>2022.008D.Aelloviridae_146rensp.zip</v>
      </c>
      <c r="U10926" s="43" t="str">
        <f>HYPERLINK("https://ictv.global/taxonomy/taxondetails?taxnode_id=202202531","ictv.global=202202531")</f>
        <v>ictv.global=202202531</v>
      </c>
    </row>
    <row r="10927" spans="1:21">
      <c r="A10927">
        <v>10926</v>
      </c>
      <c r="B10927" s="29"/>
      <c r="C10927" s="29"/>
      <c r="D10927" s="29"/>
      <c r="E10927" s="29"/>
      <c r="F10927" s="29"/>
      <c r="G10927" s="29"/>
      <c r="H10927" s="29"/>
      <c r="I10927" s="29"/>
      <c r="J10927" s="29"/>
      <c r="K10927" s="29"/>
      <c r="L10927" s="29" t="s">
        <v>256</v>
      </c>
      <c r="M10927" s="29"/>
      <c r="N10927" s="29" t="s">
        <v>1258</v>
      </c>
      <c r="O10927" s="29"/>
      <c r="P10927" s="29" t="s">
        <v>14674</v>
      </c>
      <c r="Q10927" t="s">
        <v>2189</v>
      </c>
      <c r="R10927" t="s">
        <v>2635</v>
      </c>
      <c r="S10927">
        <v>38</v>
      </c>
      <c r="T10927" s="43" t="str">
        <f t="shared" si="470"/>
        <v>2022.008D.Aelloviridae_146rensp.zip</v>
      </c>
      <c r="U10927" s="43" t="str">
        <f>HYPERLINK("https://ictv.global/taxonomy/taxondetails?taxnode_id=202202533","ictv.global=202202533")</f>
        <v>ictv.global=202202533</v>
      </c>
    </row>
    <row r="10928" spans="1:21">
      <c r="A10928">
        <v>10927</v>
      </c>
      <c r="B10928" s="29"/>
      <c r="C10928" s="29"/>
      <c r="D10928" s="29"/>
      <c r="E10928" s="29"/>
      <c r="F10928" s="29"/>
      <c r="G10928" s="29"/>
      <c r="H10928" s="29"/>
      <c r="I10928" s="29"/>
      <c r="J10928" s="29"/>
      <c r="K10928" s="29"/>
      <c r="L10928" s="29" t="s">
        <v>256</v>
      </c>
      <c r="M10928" s="29"/>
      <c r="N10928" s="29" t="s">
        <v>1260</v>
      </c>
      <c r="O10928" s="29"/>
      <c r="P10928" s="29" t="s">
        <v>14675</v>
      </c>
      <c r="Q10928" t="s">
        <v>2189</v>
      </c>
      <c r="R10928" t="s">
        <v>2635</v>
      </c>
      <c r="S10928">
        <v>38</v>
      </c>
      <c r="T10928" s="43" t="str">
        <f t="shared" si="470"/>
        <v>2022.008D.Aelloviridae_146rensp.zip</v>
      </c>
      <c r="U10928" s="43" t="str">
        <f>HYPERLINK("https://ictv.global/taxonomy/taxondetails?taxnode_id=202202535","ictv.global=202202535")</f>
        <v>ictv.global=202202535</v>
      </c>
    </row>
    <row r="10929" spans="1:21">
      <c r="A10929">
        <v>10928</v>
      </c>
      <c r="B10929" s="29"/>
      <c r="C10929" s="29"/>
      <c r="D10929" s="29"/>
      <c r="E10929" s="29"/>
      <c r="F10929" s="29"/>
      <c r="G10929" s="29"/>
      <c r="H10929" s="29"/>
      <c r="I10929" s="29"/>
      <c r="J10929" s="29"/>
      <c r="K10929" s="29"/>
      <c r="L10929" s="29" t="s">
        <v>256</v>
      </c>
      <c r="M10929" s="29"/>
      <c r="N10929" s="29" t="s">
        <v>1260</v>
      </c>
      <c r="O10929" s="29"/>
      <c r="P10929" s="29" t="s">
        <v>14676</v>
      </c>
      <c r="Q10929" t="s">
        <v>2189</v>
      </c>
      <c r="R10929" t="s">
        <v>2635</v>
      </c>
      <c r="S10929">
        <v>38</v>
      </c>
      <c r="T10929" s="43" t="str">
        <f t="shared" si="470"/>
        <v>2022.008D.Aelloviridae_146rensp.zip</v>
      </c>
      <c r="U10929" s="43" t="str">
        <f>HYPERLINK("https://ictv.global/taxonomy/taxondetails?taxnode_id=202202536","ictv.global=202202536")</f>
        <v>ictv.global=202202536</v>
      </c>
    </row>
    <row r="10930" spans="1:21">
      <c r="A10930">
        <v>10929</v>
      </c>
      <c r="B10930" s="29"/>
      <c r="C10930" s="29"/>
      <c r="D10930" s="29"/>
      <c r="E10930" s="29"/>
      <c r="F10930" s="29"/>
      <c r="G10930" s="29"/>
      <c r="H10930" s="29"/>
      <c r="I10930" s="29"/>
      <c r="J10930" s="29"/>
      <c r="K10930" s="29"/>
      <c r="L10930" s="29" t="s">
        <v>256</v>
      </c>
      <c r="M10930" s="29"/>
      <c r="N10930" s="29" t="s">
        <v>1260</v>
      </c>
      <c r="O10930" s="29"/>
      <c r="P10930" s="29" t="s">
        <v>14677</v>
      </c>
      <c r="Q10930" t="s">
        <v>2189</v>
      </c>
      <c r="R10930" t="s">
        <v>2635</v>
      </c>
      <c r="S10930">
        <v>38</v>
      </c>
      <c r="T10930" s="43" t="str">
        <f t="shared" si="470"/>
        <v>2022.008D.Aelloviridae_146rensp.zip</v>
      </c>
      <c r="U10930" s="43" t="str">
        <f>HYPERLINK("https://ictv.global/taxonomy/taxondetails?taxnode_id=202209430","ictv.global=202209430")</f>
        <v>ictv.global=202209430</v>
      </c>
    </row>
    <row r="10931" spans="1:21">
      <c r="A10931">
        <v>10930</v>
      </c>
      <c r="B10931" s="29"/>
      <c r="C10931" s="29"/>
      <c r="D10931" s="29"/>
      <c r="E10931" s="29"/>
      <c r="F10931" s="29"/>
      <c r="G10931" s="29"/>
      <c r="H10931" s="29"/>
      <c r="I10931" s="29"/>
      <c r="J10931" s="29"/>
      <c r="K10931" s="29"/>
      <c r="L10931" s="29" t="s">
        <v>256</v>
      </c>
      <c r="M10931" s="29"/>
      <c r="N10931" s="29" t="s">
        <v>1260</v>
      </c>
      <c r="O10931" s="29"/>
      <c r="P10931" s="29" t="s">
        <v>14678</v>
      </c>
      <c r="Q10931" t="s">
        <v>2189</v>
      </c>
      <c r="R10931" t="s">
        <v>2635</v>
      </c>
      <c r="S10931">
        <v>38</v>
      </c>
      <c r="T10931" s="43" t="str">
        <f t="shared" si="470"/>
        <v>2022.008D.Aelloviridae_146rensp.zip</v>
      </c>
      <c r="U10931" s="43" t="str">
        <f>HYPERLINK("https://ictv.global/taxonomy/taxondetails?taxnode_id=202209431","ictv.global=202209431")</f>
        <v>ictv.global=202209431</v>
      </c>
    </row>
    <row r="10932" spans="1:21">
      <c r="A10932">
        <v>10931</v>
      </c>
      <c r="B10932" s="29"/>
      <c r="C10932" s="29"/>
      <c r="D10932" s="29"/>
      <c r="E10932" s="29"/>
      <c r="F10932" s="29"/>
      <c r="G10932" s="29"/>
      <c r="H10932" s="29"/>
      <c r="I10932" s="29"/>
      <c r="J10932" s="29"/>
      <c r="K10932" s="29"/>
      <c r="L10932" s="29" t="s">
        <v>256</v>
      </c>
      <c r="M10932" s="29"/>
      <c r="N10932" s="29" t="s">
        <v>1260</v>
      </c>
      <c r="O10932" s="29"/>
      <c r="P10932" s="29" t="s">
        <v>14679</v>
      </c>
      <c r="Q10932" t="s">
        <v>2189</v>
      </c>
      <c r="R10932" t="s">
        <v>2635</v>
      </c>
      <c r="S10932">
        <v>38</v>
      </c>
      <c r="T10932" s="43" t="str">
        <f t="shared" si="470"/>
        <v>2022.008D.Aelloviridae_146rensp.zip</v>
      </c>
      <c r="U10932" s="43" t="str">
        <f>HYPERLINK("https://ictv.global/taxonomy/taxondetails?taxnode_id=202209456","ictv.global=202209456")</f>
        <v>ictv.global=202209456</v>
      </c>
    </row>
    <row r="10933" spans="1:21">
      <c r="A10933">
        <v>10932</v>
      </c>
      <c r="B10933" s="29"/>
      <c r="C10933" s="29"/>
      <c r="D10933" s="29"/>
      <c r="E10933" s="29"/>
      <c r="F10933" s="29"/>
      <c r="G10933" s="29"/>
      <c r="H10933" s="29"/>
      <c r="I10933" s="29"/>
      <c r="J10933" s="29"/>
      <c r="K10933" s="29"/>
      <c r="L10933" s="29" t="s">
        <v>256</v>
      </c>
      <c r="M10933" s="29"/>
      <c r="N10933" s="29" t="s">
        <v>1260</v>
      </c>
      <c r="O10933" s="29"/>
      <c r="P10933" s="29" t="s">
        <v>14680</v>
      </c>
      <c r="Q10933" t="s">
        <v>2189</v>
      </c>
      <c r="R10933" t="s">
        <v>2635</v>
      </c>
      <c r="S10933">
        <v>38</v>
      </c>
      <c r="T10933" s="43" t="str">
        <f t="shared" si="470"/>
        <v>2022.008D.Aelloviridae_146rensp.zip</v>
      </c>
      <c r="U10933" s="43" t="str">
        <f>HYPERLINK("https://ictv.global/taxonomy/taxondetails?taxnode_id=202209432","ictv.global=202209432")</f>
        <v>ictv.global=202209432</v>
      </c>
    </row>
    <row r="10934" spans="1:21">
      <c r="A10934">
        <v>10933</v>
      </c>
      <c r="B10934" s="29"/>
      <c r="C10934" s="29"/>
      <c r="D10934" s="29"/>
      <c r="E10934" s="29"/>
      <c r="F10934" s="29"/>
      <c r="G10934" s="29"/>
      <c r="H10934" s="29"/>
      <c r="I10934" s="29"/>
      <c r="J10934" s="29"/>
      <c r="K10934" s="29"/>
      <c r="L10934" s="29" t="s">
        <v>256</v>
      </c>
      <c r="M10934" s="29"/>
      <c r="N10934" s="29" t="s">
        <v>259</v>
      </c>
      <c r="O10934" s="29"/>
      <c r="P10934" s="29" t="s">
        <v>14681</v>
      </c>
      <c r="Q10934" t="s">
        <v>2189</v>
      </c>
      <c r="R10934" t="s">
        <v>2635</v>
      </c>
      <c r="S10934">
        <v>38</v>
      </c>
      <c r="T10934" s="43" t="str">
        <f t="shared" si="470"/>
        <v>2022.008D.Aelloviridae_146rensp.zip</v>
      </c>
      <c r="U10934" s="43" t="str">
        <f>HYPERLINK("https://ictv.global/taxonomy/taxondetails?taxnode_id=202202538","ictv.global=202202538")</f>
        <v>ictv.global=202202538</v>
      </c>
    </row>
    <row r="10935" spans="1:21">
      <c r="A10935">
        <v>10934</v>
      </c>
      <c r="B10935" s="29"/>
      <c r="C10935" s="29"/>
      <c r="D10935" s="29"/>
      <c r="E10935" s="29"/>
      <c r="F10935" s="29"/>
      <c r="G10935" s="29"/>
      <c r="H10935" s="29"/>
      <c r="I10935" s="29"/>
      <c r="J10935" s="29"/>
      <c r="K10935" s="29"/>
      <c r="L10935" s="29" t="s">
        <v>256</v>
      </c>
      <c r="M10935" s="29"/>
      <c r="N10935" s="29" t="s">
        <v>259</v>
      </c>
      <c r="O10935" s="29"/>
      <c r="P10935" s="29" t="s">
        <v>14682</v>
      </c>
      <c r="Q10935" t="s">
        <v>2189</v>
      </c>
      <c r="R10935" t="s">
        <v>2635</v>
      </c>
      <c r="S10935">
        <v>38</v>
      </c>
      <c r="T10935" s="43" t="str">
        <f t="shared" si="470"/>
        <v>2022.008D.Aelloviridae_146rensp.zip</v>
      </c>
      <c r="U10935" s="43" t="str">
        <f>HYPERLINK("https://ictv.global/taxonomy/taxondetails?taxnode_id=202202539","ictv.global=202202539")</f>
        <v>ictv.global=202202539</v>
      </c>
    </row>
    <row r="10936" spans="1:21">
      <c r="A10936">
        <v>10935</v>
      </c>
      <c r="B10936" s="29"/>
      <c r="C10936" s="29"/>
      <c r="D10936" s="29"/>
      <c r="E10936" s="29"/>
      <c r="F10936" s="29"/>
      <c r="G10936" s="29"/>
      <c r="H10936" s="29"/>
      <c r="I10936" s="29"/>
      <c r="J10936" s="29"/>
      <c r="K10936" s="29"/>
      <c r="L10936" s="29" t="s">
        <v>256</v>
      </c>
      <c r="M10936" s="29"/>
      <c r="N10936" s="29" t="s">
        <v>259</v>
      </c>
      <c r="O10936" s="29"/>
      <c r="P10936" s="29" t="s">
        <v>14683</v>
      </c>
      <c r="Q10936" t="s">
        <v>2189</v>
      </c>
      <c r="R10936" t="s">
        <v>2635</v>
      </c>
      <c r="S10936">
        <v>38</v>
      </c>
      <c r="T10936" s="43" t="str">
        <f t="shared" si="470"/>
        <v>2022.008D.Aelloviridae_146rensp.zip</v>
      </c>
      <c r="U10936" s="43" t="str">
        <f>HYPERLINK("https://ictv.global/taxonomy/taxondetails?taxnode_id=202202540","ictv.global=202202540")</f>
        <v>ictv.global=202202540</v>
      </c>
    </row>
    <row r="10937" spans="1:21">
      <c r="A10937">
        <v>10936</v>
      </c>
      <c r="B10937" s="29"/>
      <c r="C10937" s="29"/>
      <c r="D10937" s="29"/>
      <c r="E10937" s="29"/>
      <c r="F10937" s="29"/>
      <c r="G10937" s="29"/>
      <c r="H10937" s="29"/>
      <c r="I10937" s="29"/>
      <c r="J10937" s="29"/>
      <c r="K10937" s="29"/>
      <c r="L10937" s="29" t="s">
        <v>256</v>
      </c>
      <c r="M10937" s="29"/>
      <c r="N10937" s="29" t="s">
        <v>259</v>
      </c>
      <c r="O10937" s="29"/>
      <c r="P10937" s="29" t="s">
        <v>14684</v>
      </c>
      <c r="Q10937" t="s">
        <v>2189</v>
      </c>
      <c r="R10937" t="s">
        <v>2635</v>
      </c>
      <c r="S10937">
        <v>38</v>
      </c>
      <c r="T10937" s="43" t="str">
        <f t="shared" si="470"/>
        <v>2022.008D.Aelloviridae_146rensp.zip</v>
      </c>
      <c r="U10937" s="43" t="str">
        <f>HYPERLINK("https://ictv.global/taxonomy/taxondetails?taxnode_id=202202541","ictv.global=202202541")</f>
        <v>ictv.global=202202541</v>
      </c>
    </row>
    <row r="10938" spans="1:21">
      <c r="A10938">
        <v>10937</v>
      </c>
      <c r="B10938" s="29"/>
      <c r="C10938" s="29"/>
      <c r="D10938" s="29"/>
      <c r="E10938" s="29"/>
      <c r="F10938" s="29"/>
      <c r="G10938" s="29"/>
      <c r="H10938" s="29"/>
      <c r="I10938" s="29"/>
      <c r="J10938" s="29"/>
      <c r="K10938" s="29"/>
      <c r="L10938" s="29" t="s">
        <v>256</v>
      </c>
      <c r="M10938" s="29"/>
      <c r="N10938" s="29" t="s">
        <v>259</v>
      </c>
      <c r="O10938" s="29"/>
      <c r="P10938" s="29" t="s">
        <v>14685</v>
      </c>
      <c r="Q10938" t="s">
        <v>2189</v>
      </c>
      <c r="R10938" t="s">
        <v>2635</v>
      </c>
      <c r="S10938">
        <v>38</v>
      </c>
      <c r="T10938" s="43" t="str">
        <f t="shared" si="470"/>
        <v>2022.008D.Aelloviridae_146rensp.zip</v>
      </c>
      <c r="U10938" s="43" t="str">
        <f>HYPERLINK("https://ictv.global/taxonomy/taxondetails?taxnode_id=202202542","ictv.global=202202542")</f>
        <v>ictv.global=202202542</v>
      </c>
    </row>
    <row r="10939" spans="1:21">
      <c r="A10939">
        <v>10938</v>
      </c>
      <c r="B10939" s="29"/>
      <c r="C10939" s="29"/>
      <c r="D10939" s="29"/>
      <c r="E10939" s="29"/>
      <c r="F10939" s="29"/>
      <c r="G10939" s="29"/>
      <c r="H10939" s="29"/>
      <c r="I10939" s="29"/>
      <c r="J10939" s="29"/>
      <c r="K10939" s="29"/>
      <c r="L10939" s="29" t="s">
        <v>256</v>
      </c>
      <c r="M10939" s="29"/>
      <c r="N10939" s="29" t="s">
        <v>259</v>
      </c>
      <c r="O10939" s="29"/>
      <c r="P10939" s="29" t="s">
        <v>14686</v>
      </c>
      <c r="Q10939" t="s">
        <v>2189</v>
      </c>
      <c r="R10939" t="s">
        <v>2635</v>
      </c>
      <c r="S10939">
        <v>38</v>
      </c>
      <c r="T10939" s="43" t="str">
        <f t="shared" si="470"/>
        <v>2022.008D.Aelloviridae_146rensp.zip</v>
      </c>
      <c r="U10939" s="43" t="str">
        <f>HYPERLINK("https://ictv.global/taxonomy/taxondetails?taxnode_id=202202543","ictv.global=202202543")</f>
        <v>ictv.global=202202543</v>
      </c>
    </row>
    <row r="10940" spans="1:21">
      <c r="A10940">
        <v>10939</v>
      </c>
      <c r="B10940" s="29"/>
      <c r="C10940" s="29"/>
      <c r="D10940" s="29"/>
      <c r="E10940" s="29"/>
      <c r="F10940" s="29"/>
      <c r="G10940" s="29"/>
      <c r="H10940" s="29"/>
      <c r="I10940" s="29"/>
      <c r="J10940" s="29"/>
      <c r="K10940" s="29"/>
      <c r="L10940" s="29" t="s">
        <v>256</v>
      </c>
      <c r="M10940" s="29"/>
      <c r="N10940" s="29" t="s">
        <v>259</v>
      </c>
      <c r="O10940" s="29"/>
      <c r="P10940" s="29" t="s">
        <v>14687</v>
      </c>
      <c r="Q10940" t="s">
        <v>2189</v>
      </c>
      <c r="R10940" t="s">
        <v>2635</v>
      </c>
      <c r="S10940">
        <v>38</v>
      </c>
      <c r="T10940" s="43" t="str">
        <f t="shared" si="470"/>
        <v>2022.008D.Aelloviridae_146rensp.zip</v>
      </c>
      <c r="U10940" s="43" t="str">
        <f>HYPERLINK("https://ictv.global/taxonomy/taxondetails?taxnode_id=202202544","ictv.global=202202544")</f>
        <v>ictv.global=202202544</v>
      </c>
    </row>
    <row r="10941" spans="1:21">
      <c r="A10941">
        <v>10940</v>
      </c>
      <c r="B10941" s="29"/>
      <c r="C10941" s="29"/>
      <c r="D10941" s="29"/>
      <c r="E10941" s="29"/>
      <c r="F10941" s="29"/>
      <c r="G10941" s="29"/>
      <c r="H10941" s="29"/>
      <c r="I10941" s="29"/>
      <c r="J10941" s="29"/>
      <c r="K10941" s="29"/>
      <c r="L10941" s="29" t="s">
        <v>256</v>
      </c>
      <c r="M10941" s="29"/>
      <c r="N10941" s="29" t="s">
        <v>259</v>
      </c>
      <c r="O10941" s="29"/>
      <c r="P10941" s="29" t="s">
        <v>14688</v>
      </c>
      <c r="Q10941" t="s">
        <v>2189</v>
      </c>
      <c r="R10941" t="s">
        <v>2635</v>
      </c>
      <c r="S10941">
        <v>38</v>
      </c>
      <c r="T10941" s="43" t="str">
        <f t="shared" si="470"/>
        <v>2022.008D.Aelloviridae_146rensp.zip</v>
      </c>
      <c r="U10941" s="43" t="str">
        <f>HYPERLINK("https://ictv.global/taxonomy/taxondetails?taxnode_id=202202545","ictv.global=202202545")</f>
        <v>ictv.global=202202545</v>
      </c>
    </row>
    <row r="10942" spans="1:21">
      <c r="A10942">
        <v>10941</v>
      </c>
      <c r="B10942" s="29"/>
      <c r="C10942" s="29"/>
      <c r="D10942" s="29"/>
      <c r="E10942" s="29"/>
      <c r="F10942" s="29"/>
      <c r="G10942" s="29"/>
      <c r="H10942" s="29"/>
      <c r="I10942" s="29"/>
      <c r="J10942" s="29"/>
      <c r="K10942" s="29"/>
      <c r="L10942" s="29" t="s">
        <v>256</v>
      </c>
      <c r="M10942" s="29"/>
      <c r="N10942" s="29" t="s">
        <v>259</v>
      </c>
      <c r="O10942" s="29"/>
      <c r="P10942" s="29" t="s">
        <v>14689</v>
      </c>
      <c r="Q10942" t="s">
        <v>2189</v>
      </c>
      <c r="R10942" t="s">
        <v>2635</v>
      </c>
      <c r="S10942">
        <v>38</v>
      </c>
      <c r="T10942" s="43" t="str">
        <f t="shared" si="470"/>
        <v>2022.008D.Aelloviridae_146rensp.zip</v>
      </c>
      <c r="U10942" s="43" t="str">
        <f>HYPERLINK("https://ictv.global/taxonomy/taxondetails?taxnode_id=202202546","ictv.global=202202546")</f>
        <v>ictv.global=202202546</v>
      </c>
    </row>
    <row r="10943" spans="1:21">
      <c r="A10943">
        <v>10942</v>
      </c>
      <c r="B10943" s="29"/>
      <c r="C10943" s="29"/>
      <c r="D10943" s="29"/>
      <c r="E10943" s="29"/>
      <c r="F10943" s="29"/>
      <c r="G10943" s="29"/>
      <c r="H10943" s="29"/>
      <c r="I10943" s="29"/>
      <c r="J10943" s="29"/>
      <c r="K10943" s="29"/>
      <c r="L10943" s="29" t="s">
        <v>256</v>
      </c>
      <c r="M10943" s="29"/>
      <c r="N10943" s="29" t="s">
        <v>259</v>
      </c>
      <c r="O10943" s="29"/>
      <c r="P10943" s="29" t="s">
        <v>14690</v>
      </c>
      <c r="Q10943" t="s">
        <v>2189</v>
      </c>
      <c r="R10943" t="s">
        <v>2635</v>
      </c>
      <c r="S10943">
        <v>38</v>
      </c>
      <c r="T10943" s="43" t="str">
        <f t="shared" si="470"/>
        <v>2022.008D.Aelloviridae_146rensp.zip</v>
      </c>
      <c r="U10943" s="43" t="str">
        <f>HYPERLINK("https://ictv.global/taxonomy/taxondetails?taxnode_id=202202547","ictv.global=202202547")</f>
        <v>ictv.global=202202547</v>
      </c>
    </row>
    <row r="10944" spans="1:21">
      <c r="A10944">
        <v>10943</v>
      </c>
      <c r="B10944" s="29"/>
      <c r="C10944" s="29"/>
      <c r="D10944" s="29"/>
      <c r="E10944" s="29"/>
      <c r="F10944" s="29"/>
      <c r="G10944" s="29"/>
      <c r="H10944" s="29"/>
      <c r="I10944" s="29"/>
      <c r="J10944" s="29"/>
      <c r="K10944" s="29"/>
      <c r="L10944" s="29" t="s">
        <v>256</v>
      </c>
      <c r="M10944" s="29"/>
      <c r="N10944" s="29" t="s">
        <v>259</v>
      </c>
      <c r="O10944" s="29"/>
      <c r="P10944" s="29" t="s">
        <v>14691</v>
      </c>
      <c r="Q10944" t="s">
        <v>2189</v>
      </c>
      <c r="R10944" t="s">
        <v>2635</v>
      </c>
      <c r="S10944">
        <v>38</v>
      </c>
      <c r="T10944" s="43" t="str">
        <f t="shared" si="470"/>
        <v>2022.008D.Aelloviridae_146rensp.zip</v>
      </c>
      <c r="U10944" s="43" t="str">
        <f>HYPERLINK("https://ictv.global/taxonomy/taxondetails?taxnode_id=202202548","ictv.global=202202548")</f>
        <v>ictv.global=202202548</v>
      </c>
    </row>
    <row r="10945" spans="1:21">
      <c r="A10945">
        <v>10944</v>
      </c>
      <c r="B10945" s="29"/>
      <c r="C10945" s="29"/>
      <c r="D10945" s="29"/>
      <c r="E10945" s="29"/>
      <c r="F10945" s="29"/>
      <c r="G10945" s="29"/>
      <c r="H10945" s="29"/>
      <c r="I10945" s="29"/>
      <c r="J10945" s="29"/>
      <c r="K10945" s="29"/>
      <c r="L10945" s="29" t="s">
        <v>256</v>
      </c>
      <c r="M10945" s="29"/>
      <c r="N10945" s="29" t="s">
        <v>259</v>
      </c>
      <c r="O10945" s="29"/>
      <c r="P10945" s="29" t="s">
        <v>14692</v>
      </c>
      <c r="Q10945" t="s">
        <v>2189</v>
      </c>
      <c r="R10945" t="s">
        <v>2635</v>
      </c>
      <c r="S10945">
        <v>38</v>
      </c>
      <c r="T10945" s="43" t="str">
        <f t="shared" si="470"/>
        <v>2022.008D.Aelloviridae_146rensp.zip</v>
      </c>
      <c r="U10945" s="43" t="str">
        <f>HYPERLINK("https://ictv.global/taxonomy/taxondetails?taxnode_id=202202549","ictv.global=202202549")</f>
        <v>ictv.global=202202549</v>
      </c>
    </row>
    <row r="10946" spans="1:21">
      <c r="A10946">
        <v>10945</v>
      </c>
      <c r="B10946" s="29"/>
      <c r="C10946" s="29"/>
      <c r="D10946" s="29"/>
      <c r="E10946" s="29"/>
      <c r="F10946" s="29"/>
      <c r="G10946" s="29"/>
      <c r="H10946" s="29"/>
      <c r="I10946" s="29"/>
      <c r="J10946" s="29"/>
      <c r="K10946" s="29"/>
      <c r="L10946" s="29" t="s">
        <v>256</v>
      </c>
      <c r="M10946" s="29"/>
      <c r="N10946" s="29" t="s">
        <v>259</v>
      </c>
      <c r="O10946" s="29"/>
      <c r="P10946" s="29" t="s">
        <v>14693</v>
      </c>
      <c r="Q10946" t="s">
        <v>2189</v>
      </c>
      <c r="R10946" t="s">
        <v>2635</v>
      </c>
      <c r="S10946">
        <v>38</v>
      </c>
      <c r="T10946" s="43" t="str">
        <f t="shared" si="470"/>
        <v>2022.008D.Aelloviridae_146rensp.zip</v>
      </c>
      <c r="U10946" s="43" t="str">
        <f>HYPERLINK("https://ictv.global/taxonomy/taxondetails?taxnode_id=202202550","ictv.global=202202550")</f>
        <v>ictv.global=202202550</v>
      </c>
    </row>
    <row r="10947" spans="1:21">
      <c r="A10947">
        <v>10946</v>
      </c>
      <c r="B10947" s="29"/>
      <c r="C10947" s="29"/>
      <c r="D10947" s="29"/>
      <c r="E10947" s="29"/>
      <c r="F10947" s="29"/>
      <c r="G10947" s="29"/>
      <c r="H10947" s="29"/>
      <c r="I10947" s="29"/>
      <c r="J10947" s="29"/>
      <c r="K10947" s="29"/>
      <c r="L10947" s="29" t="s">
        <v>256</v>
      </c>
      <c r="M10947" s="29"/>
      <c r="N10947" s="29" t="s">
        <v>259</v>
      </c>
      <c r="O10947" s="29"/>
      <c r="P10947" s="29" t="s">
        <v>14694</v>
      </c>
      <c r="Q10947" t="s">
        <v>2189</v>
      </c>
      <c r="R10947" t="s">
        <v>2635</v>
      </c>
      <c r="S10947">
        <v>38</v>
      </c>
      <c r="T10947" s="43" t="str">
        <f t="shared" si="470"/>
        <v>2022.008D.Aelloviridae_146rensp.zip</v>
      </c>
      <c r="U10947" s="43" t="str">
        <f>HYPERLINK("https://ictv.global/taxonomy/taxondetails?taxnode_id=202202551","ictv.global=202202551")</f>
        <v>ictv.global=202202551</v>
      </c>
    </row>
    <row r="10948" spans="1:21">
      <c r="A10948">
        <v>10947</v>
      </c>
      <c r="B10948" s="29"/>
      <c r="C10948" s="29"/>
      <c r="D10948" s="29"/>
      <c r="E10948" s="29"/>
      <c r="F10948" s="29"/>
      <c r="G10948" s="29"/>
      <c r="H10948" s="29"/>
      <c r="I10948" s="29"/>
      <c r="J10948" s="29"/>
      <c r="K10948" s="29"/>
      <c r="L10948" s="29" t="s">
        <v>256</v>
      </c>
      <c r="M10948" s="29"/>
      <c r="N10948" s="29" t="s">
        <v>259</v>
      </c>
      <c r="O10948" s="29"/>
      <c r="P10948" s="29" t="s">
        <v>14695</v>
      </c>
      <c r="Q10948" t="s">
        <v>2189</v>
      </c>
      <c r="R10948" t="s">
        <v>2635</v>
      </c>
      <c r="S10948">
        <v>38</v>
      </c>
      <c r="T10948" s="43" t="str">
        <f t="shared" si="470"/>
        <v>2022.008D.Aelloviridae_146rensp.zip</v>
      </c>
      <c r="U10948" s="43" t="str">
        <f>HYPERLINK("https://ictv.global/taxonomy/taxondetails?taxnode_id=202202552","ictv.global=202202552")</f>
        <v>ictv.global=202202552</v>
      </c>
    </row>
    <row r="10949" spans="1:21">
      <c r="A10949">
        <v>10948</v>
      </c>
      <c r="B10949" s="29"/>
      <c r="C10949" s="29"/>
      <c r="D10949" s="29"/>
      <c r="E10949" s="29"/>
      <c r="F10949" s="29"/>
      <c r="G10949" s="29"/>
      <c r="H10949" s="29"/>
      <c r="I10949" s="29"/>
      <c r="J10949" s="29"/>
      <c r="K10949" s="29"/>
      <c r="L10949" s="29" t="s">
        <v>256</v>
      </c>
      <c r="M10949" s="29"/>
      <c r="N10949" s="29" t="s">
        <v>6810</v>
      </c>
      <c r="O10949" s="29"/>
      <c r="P10949" s="29" t="s">
        <v>14696</v>
      </c>
      <c r="Q10949" t="s">
        <v>2189</v>
      </c>
      <c r="R10949" t="s">
        <v>2635</v>
      </c>
      <c r="S10949">
        <v>38</v>
      </c>
      <c r="T10949" s="43" t="str">
        <f t="shared" si="470"/>
        <v>2022.008D.Aelloviridae_146rensp.zip</v>
      </c>
      <c r="U10949" s="43" t="str">
        <f>HYPERLINK("https://ictv.global/taxonomy/taxondetails?taxnode_id=202209434","ictv.global=202209434")</f>
        <v>ictv.global=202209434</v>
      </c>
    </row>
    <row r="10950" spans="1:21">
      <c r="A10950">
        <v>10949</v>
      </c>
      <c r="B10950" s="29"/>
      <c r="C10950" s="29"/>
      <c r="D10950" s="29"/>
      <c r="E10950" s="29"/>
      <c r="F10950" s="29"/>
      <c r="G10950" s="29"/>
      <c r="H10950" s="29"/>
      <c r="I10950" s="29"/>
      <c r="J10950" s="29"/>
      <c r="K10950" s="29"/>
      <c r="L10950" s="29" t="s">
        <v>256</v>
      </c>
      <c r="M10950" s="29"/>
      <c r="N10950" s="29" t="s">
        <v>1433</v>
      </c>
      <c r="O10950" s="29"/>
      <c r="P10950" s="29" t="s">
        <v>14697</v>
      </c>
      <c r="Q10950" t="s">
        <v>2189</v>
      </c>
      <c r="R10950" t="s">
        <v>2635</v>
      </c>
      <c r="S10950">
        <v>38</v>
      </c>
      <c r="T10950" s="43" t="str">
        <f t="shared" si="470"/>
        <v>2022.008D.Aelloviridae_146rensp.zip</v>
      </c>
      <c r="U10950" s="43" t="str">
        <f>HYPERLINK("https://ictv.global/taxonomy/taxondetails?taxnode_id=202202554","ictv.global=202202554")</f>
        <v>ictv.global=202202554</v>
      </c>
    </row>
    <row r="10951" spans="1:21">
      <c r="A10951">
        <v>10950</v>
      </c>
      <c r="B10951" s="29"/>
      <c r="C10951" s="29"/>
      <c r="D10951" s="29"/>
      <c r="E10951" s="29"/>
      <c r="F10951" s="29"/>
      <c r="G10951" s="29"/>
      <c r="H10951" s="29"/>
      <c r="I10951" s="29"/>
      <c r="J10951" s="29"/>
      <c r="K10951" s="29"/>
      <c r="L10951" s="29" t="s">
        <v>256</v>
      </c>
      <c r="M10951" s="29"/>
      <c r="N10951" s="29" t="s">
        <v>1433</v>
      </c>
      <c r="O10951" s="29"/>
      <c r="P10951" s="29" t="s">
        <v>6811</v>
      </c>
      <c r="Q10951" t="s">
        <v>2189</v>
      </c>
      <c r="R10951" t="s">
        <v>2632</v>
      </c>
      <c r="S10951">
        <v>36</v>
      </c>
      <c r="T10951" s="43" t="str">
        <f t="shared" ref="T10951:T10959" si="471">HYPERLINK("https://ictv.global/ictv/proposals/2020.014D.R.Gyrovirus_9nsp.zip","2020.014D.R.Gyrovirus_9nsp.zip")</f>
        <v>2020.014D.R.Gyrovirus_9nsp.zip</v>
      </c>
      <c r="U10951" s="43" t="str">
        <f>HYPERLINK("https://ictv.global/taxonomy/taxondetails?taxnode_id=202209379","ictv.global=202209379")</f>
        <v>ictv.global=202209379</v>
      </c>
    </row>
    <row r="10952" spans="1:21">
      <c r="A10952">
        <v>10951</v>
      </c>
      <c r="B10952" s="29"/>
      <c r="C10952" s="29"/>
      <c r="D10952" s="29"/>
      <c r="E10952" s="29"/>
      <c r="F10952" s="29"/>
      <c r="G10952" s="29"/>
      <c r="H10952" s="29"/>
      <c r="I10952" s="29"/>
      <c r="J10952" s="29"/>
      <c r="K10952" s="29"/>
      <c r="L10952" s="29" t="s">
        <v>256</v>
      </c>
      <c r="M10952" s="29"/>
      <c r="N10952" s="29" t="s">
        <v>1433</v>
      </c>
      <c r="O10952" s="29"/>
      <c r="P10952" s="29" t="s">
        <v>6812</v>
      </c>
      <c r="Q10952" t="s">
        <v>2189</v>
      </c>
      <c r="R10952" t="s">
        <v>2632</v>
      </c>
      <c r="S10952">
        <v>36</v>
      </c>
      <c r="T10952" s="43" t="str">
        <f t="shared" si="471"/>
        <v>2020.014D.R.Gyrovirus_9nsp.zip</v>
      </c>
      <c r="U10952" s="43" t="str">
        <f>HYPERLINK("https://ictv.global/taxonomy/taxondetails?taxnode_id=202209375","ictv.global=202209375")</f>
        <v>ictv.global=202209375</v>
      </c>
    </row>
    <row r="10953" spans="1:21">
      <c r="A10953">
        <v>10952</v>
      </c>
      <c r="B10953" s="29"/>
      <c r="C10953" s="29"/>
      <c r="D10953" s="29"/>
      <c r="E10953" s="29"/>
      <c r="F10953" s="29"/>
      <c r="G10953" s="29"/>
      <c r="H10953" s="29"/>
      <c r="I10953" s="29"/>
      <c r="J10953" s="29"/>
      <c r="K10953" s="29"/>
      <c r="L10953" s="29" t="s">
        <v>256</v>
      </c>
      <c r="M10953" s="29"/>
      <c r="N10953" s="29" t="s">
        <v>1433</v>
      </c>
      <c r="O10953" s="29"/>
      <c r="P10953" s="29" t="s">
        <v>6813</v>
      </c>
      <c r="Q10953" t="s">
        <v>2189</v>
      </c>
      <c r="R10953" t="s">
        <v>2632</v>
      </c>
      <c r="S10953">
        <v>36</v>
      </c>
      <c r="T10953" s="43" t="str">
        <f t="shared" si="471"/>
        <v>2020.014D.R.Gyrovirus_9nsp.zip</v>
      </c>
      <c r="U10953" s="43" t="str">
        <f>HYPERLINK("https://ictv.global/taxonomy/taxondetails?taxnode_id=202209380","ictv.global=202209380")</f>
        <v>ictv.global=202209380</v>
      </c>
    </row>
    <row r="10954" spans="1:21">
      <c r="A10954">
        <v>10953</v>
      </c>
      <c r="B10954" s="29"/>
      <c r="C10954" s="29"/>
      <c r="D10954" s="29"/>
      <c r="E10954" s="29"/>
      <c r="F10954" s="29"/>
      <c r="G10954" s="29"/>
      <c r="H10954" s="29"/>
      <c r="I10954" s="29"/>
      <c r="J10954" s="29"/>
      <c r="K10954" s="29"/>
      <c r="L10954" s="29" t="s">
        <v>256</v>
      </c>
      <c r="M10954" s="29"/>
      <c r="N10954" s="29" t="s">
        <v>1433</v>
      </c>
      <c r="O10954" s="29"/>
      <c r="P10954" s="29" t="s">
        <v>6814</v>
      </c>
      <c r="Q10954" t="s">
        <v>2189</v>
      </c>
      <c r="R10954" t="s">
        <v>2632</v>
      </c>
      <c r="S10954">
        <v>36</v>
      </c>
      <c r="T10954" s="43" t="str">
        <f t="shared" si="471"/>
        <v>2020.014D.R.Gyrovirus_9nsp.zip</v>
      </c>
      <c r="U10954" s="43" t="str">
        <f>HYPERLINK("https://ictv.global/taxonomy/taxondetails?taxnode_id=202209374","ictv.global=202209374")</f>
        <v>ictv.global=202209374</v>
      </c>
    </row>
    <row r="10955" spans="1:21">
      <c r="A10955">
        <v>10954</v>
      </c>
      <c r="B10955" s="29"/>
      <c r="C10955" s="29"/>
      <c r="D10955" s="29"/>
      <c r="E10955" s="29"/>
      <c r="F10955" s="29"/>
      <c r="G10955" s="29"/>
      <c r="H10955" s="29"/>
      <c r="I10955" s="29"/>
      <c r="J10955" s="29"/>
      <c r="K10955" s="29"/>
      <c r="L10955" s="29" t="s">
        <v>256</v>
      </c>
      <c r="M10955" s="29"/>
      <c r="N10955" s="29" t="s">
        <v>1433</v>
      </c>
      <c r="O10955" s="29"/>
      <c r="P10955" s="29" t="s">
        <v>6815</v>
      </c>
      <c r="Q10955" t="s">
        <v>2189</v>
      </c>
      <c r="R10955" t="s">
        <v>2632</v>
      </c>
      <c r="S10955">
        <v>36</v>
      </c>
      <c r="T10955" s="43" t="str">
        <f t="shared" si="471"/>
        <v>2020.014D.R.Gyrovirus_9nsp.zip</v>
      </c>
      <c r="U10955" s="43" t="str">
        <f>HYPERLINK("https://ictv.global/taxonomy/taxondetails?taxnode_id=202209376","ictv.global=202209376")</f>
        <v>ictv.global=202209376</v>
      </c>
    </row>
    <row r="10956" spans="1:21">
      <c r="A10956">
        <v>10955</v>
      </c>
      <c r="B10956" s="29"/>
      <c r="C10956" s="29"/>
      <c r="D10956" s="29"/>
      <c r="E10956" s="29"/>
      <c r="F10956" s="29"/>
      <c r="G10956" s="29"/>
      <c r="H10956" s="29"/>
      <c r="I10956" s="29"/>
      <c r="J10956" s="29"/>
      <c r="K10956" s="29"/>
      <c r="L10956" s="29" t="s">
        <v>256</v>
      </c>
      <c r="M10956" s="29"/>
      <c r="N10956" s="29" t="s">
        <v>1433</v>
      </c>
      <c r="O10956" s="29"/>
      <c r="P10956" s="29" t="s">
        <v>6816</v>
      </c>
      <c r="Q10956" t="s">
        <v>2189</v>
      </c>
      <c r="R10956" t="s">
        <v>2632</v>
      </c>
      <c r="S10956">
        <v>36</v>
      </c>
      <c r="T10956" s="43" t="str">
        <f t="shared" si="471"/>
        <v>2020.014D.R.Gyrovirus_9nsp.zip</v>
      </c>
      <c r="U10956" s="43" t="str">
        <f>HYPERLINK("https://ictv.global/taxonomy/taxondetails?taxnode_id=202209377","ictv.global=202209377")</f>
        <v>ictv.global=202209377</v>
      </c>
    </row>
    <row r="10957" spans="1:21">
      <c r="A10957">
        <v>10956</v>
      </c>
      <c r="B10957" s="29"/>
      <c r="C10957" s="29"/>
      <c r="D10957" s="29"/>
      <c r="E10957" s="29"/>
      <c r="F10957" s="29"/>
      <c r="G10957" s="29"/>
      <c r="H10957" s="29"/>
      <c r="I10957" s="29"/>
      <c r="J10957" s="29"/>
      <c r="K10957" s="29"/>
      <c r="L10957" s="29" t="s">
        <v>256</v>
      </c>
      <c r="M10957" s="29"/>
      <c r="N10957" s="29" t="s">
        <v>1433</v>
      </c>
      <c r="O10957" s="29"/>
      <c r="P10957" s="29" t="s">
        <v>6817</v>
      </c>
      <c r="Q10957" t="s">
        <v>2189</v>
      </c>
      <c r="R10957" t="s">
        <v>2632</v>
      </c>
      <c r="S10957">
        <v>36</v>
      </c>
      <c r="T10957" s="43" t="str">
        <f t="shared" si="471"/>
        <v>2020.014D.R.Gyrovirus_9nsp.zip</v>
      </c>
      <c r="U10957" s="43" t="str">
        <f>HYPERLINK("https://ictv.global/taxonomy/taxondetails?taxnode_id=202209378","ictv.global=202209378")</f>
        <v>ictv.global=202209378</v>
      </c>
    </row>
    <row r="10958" spans="1:21">
      <c r="A10958">
        <v>10957</v>
      </c>
      <c r="B10958" s="29"/>
      <c r="C10958" s="29"/>
      <c r="D10958" s="29"/>
      <c r="E10958" s="29"/>
      <c r="F10958" s="29"/>
      <c r="G10958" s="29"/>
      <c r="H10958" s="29"/>
      <c r="I10958" s="29"/>
      <c r="J10958" s="29"/>
      <c r="K10958" s="29"/>
      <c r="L10958" s="29" t="s">
        <v>256</v>
      </c>
      <c r="M10958" s="29"/>
      <c r="N10958" s="29" t="s">
        <v>1433</v>
      </c>
      <c r="O10958" s="29"/>
      <c r="P10958" s="29" t="s">
        <v>6818</v>
      </c>
      <c r="Q10958" t="s">
        <v>2189</v>
      </c>
      <c r="R10958" t="s">
        <v>2632</v>
      </c>
      <c r="S10958">
        <v>36</v>
      </c>
      <c r="T10958" s="43" t="str">
        <f t="shared" si="471"/>
        <v>2020.014D.R.Gyrovirus_9nsp.zip</v>
      </c>
      <c r="U10958" s="43" t="str">
        <f>HYPERLINK("https://ictv.global/taxonomy/taxondetails?taxnode_id=202209381","ictv.global=202209381")</f>
        <v>ictv.global=202209381</v>
      </c>
    </row>
    <row r="10959" spans="1:21">
      <c r="A10959">
        <v>10958</v>
      </c>
      <c r="B10959" s="29"/>
      <c r="C10959" s="29"/>
      <c r="D10959" s="29"/>
      <c r="E10959" s="29"/>
      <c r="F10959" s="29"/>
      <c r="G10959" s="29"/>
      <c r="H10959" s="29"/>
      <c r="I10959" s="29"/>
      <c r="J10959" s="29"/>
      <c r="K10959" s="29"/>
      <c r="L10959" s="29" t="s">
        <v>256</v>
      </c>
      <c r="M10959" s="29"/>
      <c r="N10959" s="29" t="s">
        <v>1433</v>
      </c>
      <c r="O10959" s="29"/>
      <c r="P10959" s="29" t="s">
        <v>6819</v>
      </c>
      <c r="Q10959" t="s">
        <v>2189</v>
      </c>
      <c r="R10959" t="s">
        <v>2632</v>
      </c>
      <c r="S10959">
        <v>36</v>
      </c>
      <c r="T10959" s="43" t="str">
        <f t="shared" si="471"/>
        <v>2020.014D.R.Gyrovirus_9nsp.zip</v>
      </c>
      <c r="U10959" s="43" t="str">
        <f>HYPERLINK("https://ictv.global/taxonomy/taxondetails?taxnode_id=202209382","ictv.global=202209382")</f>
        <v>ictv.global=202209382</v>
      </c>
    </row>
    <row r="10960" spans="1:21">
      <c r="A10960">
        <v>10959</v>
      </c>
      <c r="B10960" s="29"/>
      <c r="C10960" s="29"/>
      <c r="D10960" s="29"/>
      <c r="E10960" s="29"/>
      <c r="F10960" s="29"/>
      <c r="G10960" s="29"/>
      <c r="H10960" s="29"/>
      <c r="I10960" s="29"/>
      <c r="J10960" s="29"/>
      <c r="K10960" s="29"/>
      <c r="L10960" s="29" t="s">
        <v>256</v>
      </c>
      <c r="M10960" s="29"/>
      <c r="N10960" s="29" t="s">
        <v>6820</v>
      </c>
      <c r="O10960" s="29"/>
      <c r="P10960" s="29" t="s">
        <v>14698</v>
      </c>
      <c r="Q10960" t="s">
        <v>2189</v>
      </c>
      <c r="R10960" t="s">
        <v>2635</v>
      </c>
      <c r="S10960">
        <v>38</v>
      </c>
      <c r="T10960" s="43" t="str">
        <f t="shared" ref="T10960:T10969" si="472">HYPERLINK("https://ictv.global/ictv/proposals/2022.008D.Aelloviridae_146rensp.zip","2022.008D.Aelloviridae_146rensp.zip")</f>
        <v>2022.008D.Aelloviridae_146rensp.zip</v>
      </c>
      <c r="U10960" s="43" t="str">
        <f>HYPERLINK("https://ictv.global/taxonomy/taxondetails?taxnode_id=202209436","ictv.global=202209436")</f>
        <v>ictv.global=202209436</v>
      </c>
    </row>
    <row r="10961" spans="1:21">
      <c r="A10961">
        <v>10960</v>
      </c>
      <c r="B10961" s="29"/>
      <c r="C10961" s="29"/>
      <c r="D10961" s="29"/>
      <c r="E10961" s="29"/>
      <c r="F10961" s="29"/>
      <c r="G10961" s="29"/>
      <c r="H10961" s="29"/>
      <c r="I10961" s="29"/>
      <c r="J10961" s="29"/>
      <c r="K10961" s="29"/>
      <c r="L10961" s="29" t="s">
        <v>256</v>
      </c>
      <c r="M10961" s="29"/>
      <c r="N10961" s="29" t="s">
        <v>1262</v>
      </c>
      <c r="O10961" s="29"/>
      <c r="P10961" s="29" t="s">
        <v>14699</v>
      </c>
      <c r="Q10961" t="s">
        <v>2189</v>
      </c>
      <c r="R10961" t="s">
        <v>2635</v>
      </c>
      <c r="S10961">
        <v>38</v>
      </c>
      <c r="T10961" s="43" t="str">
        <f t="shared" si="472"/>
        <v>2022.008D.Aelloviridae_146rensp.zip</v>
      </c>
      <c r="U10961" s="43" t="str">
        <f>HYPERLINK("https://ictv.global/taxonomy/taxondetails?taxnode_id=202202556","ictv.global=202202556")</f>
        <v>ictv.global=202202556</v>
      </c>
    </row>
    <row r="10962" spans="1:21">
      <c r="A10962">
        <v>10961</v>
      </c>
      <c r="B10962" s="29"/>
      <c r="C10962" s="29"/>
      <c r="D10962" s="29"/>
      <c r="E10962" s="29"/>
      <c r="F10962" s="29"/>
      <c r="G10962" s="29"/>
      <c r="H10962" s="29"/>
      <c r="I10962" s="29"/>
      <c r="J10962" s="29"/>
      <c r="K10962" s="29"/>
      <c r="L10962" s="29" t="s">
        <v>256</v>
      </c>
      <c r="M10962" s="29"/>
      <c r="N10962" s="29" t="s">
        <v>15</v>
      </c>
      <c r="O10962" s="29"/>
      <c r="P10962" s="29" t="s">
        <v>14700</v>
      </c>
      <c r="Q10962" t="s">
        <v>2189</v>
      </c>
      <c r="R10962" t="s">
        <v>2635</v>
      </c>
      <c r="S10962">
        <v>38</v>
      </c>
      <c r="T10962" s="43" t="str">
        <f t="shared" si="472"/>
        <v>2022.008D.Aelloviridae_146rensp.zip</v>
      </c>
      <c r="U10962" s="43" t="str">
        <f>HYPERLINK("https://ictv.global/taxonomy/taxondetails?taxnode_id=202202559","ictv.global=202202559")</f>
        <v>ictv.global=202202559</v>
      </c>
    </row>
    <row r="10963" spans="1:21">
      <c r="A10963">
        <v>10962</v>
      </c>
      <c r="B10963" s="29"/>
      <c r="C10963" s="29"/>
      <c r="D10963" s="29"/>
      <c r="E10963" s="29"/>
      <c r="F10963" s="29"/>
      <c r="G10963" s="29"/>
      <c r="H10963" s="29"/>
      <c r="I10963" s="29"/>
      <c r="J10963" s="29"/>
      <c r="K10963" s="29"/>
      <c r="L10963" s="29" t="s">
        <v>256</v>
      </c>
      <c r="M10963" s="29"/>
      <c r="N10963" s="29" t="s">
        <v>15</v>
      </c>
      <c r="O10963" s="29"/>
      <c r="P10963" s="29" t="s">
        <v>14701</v>
      </c>
      <c r="Q10963" t="s">
        <v>2189</v>
      </c>
      <c r="R10963" t="s">
        <v>2635</v>
      </c>
      <c r="S10963">
        <v>38</v>
      </c>
      <c r="T10963" s="43" t="str">
        <f t="shared" si="472"/>
        <v>2022.008D.Aelloviridae_146rensp.zip</v>
      </c>
      <c r="U10963" s="43" t="str">
        <f>HYPERLINK("https://ictv.global/taxonomy/taxondetails?taxnode_id=202202560","ictv.global=202202560")</f>
        <v>ictv.global=202202560</v>
      </c>
    </row>
    <row r="10964" spans="1:21">
      <c r="A10964">
        <v>10963</v>
      </c>
      <c r="B10964" s="29"/>
      <c r="C10964" s="29"/>
      <c r="D10964" s="29"/>
      <c r="E10964" s="29"/>
      <c r="F10964" s="29"/>
      <c r="G10964" s="29"/>
      <c r="H10964" s="29"/>
      <c r="I10964" s="29"/>
      <c r="J10964" s="29"/>
      <c r="K10964" s="29"/>
      <c r="L10964" s="29" t="s">
        <v>256</v>
      </c>
      <c r="M10964" s="29"/>
      <c r="N10964" s="29" t="s">
        <v>16</v>
      </c>
      <c r="O10964" s="29"/>
      <c r="P10964" s="29" t="s">
        <v>14702</v>
      </c>
      <c r="Q10964" t="s">
        <v>2189</v>
      </c>
      <c r="R10964" t="s">
        <v>2635</v>
      </c>
      <c r="S10964">
        <v>38</v>
      </c>
      <c r="T10964" s="43" t="str">
        <f t="shared" si="472"/>
        <v>2022.008D.Aelloviridae_146rensp.zip</v>
      </c>
      <c r="U10964" s="43" t="str">
        <f>HYPERLINK("https://ictv.global/taxonomy/taxondetails?taxnode_id=202206510","ictv.global=202206510")</f>
        <v>ictv.global=202206510</v>
      </c>
    </row>
    <row r="10965" spans="1:21">
      <c r="A10965">
        <v>10964</v>
      </c>
      <c r="B10965" s="29"/>
      <c r="C10965" s="29"/>
      <c r="D10965" s="29"/>
      <c r="E10965" s="29"/>
      <c r="F10965" s="29"/>
      <c r="G10965" s="29"/>
      <c r="H10965" s="29"/>
      <c r="I10965" s="29"/>
      <c r="J10965" s="29"/>
      <c r="K10965" s="29"/>
      <c r="L10965" s="29" t="s">
        <v>256</v>
      </c>
      <c r="M10965" s="29"/>
      <c r="N10965" s="29" t="s">
        <v>16</v>
      </c>
      <c r="O10965" s="29"/>
      <c r="P10965" s="29" t="s">
        <v>14703</v>
      </c>
      <c r="Q10965" t="s">
        <v>2189</v>
      </c>
      <c r="R10965" t="s">
        <v>2635</v>
      </c>
      <c r="S10965">
        <v>38</v>
      </c>
      <c r="T10965" s="43" t="str">
        <f t="shared" si="472"/>
        <v>2022.008D.Aelloviridae_146rensp.zip</v>
      </c>
      <c r="U10965" s="43" t="str">
        <f>HYPERLINK("https://ictv.global/taxonomy/taxondetails?taxnode_id=202206511","ictv.global=202206511")</f>
        <v>ictv.global=202206511</v>
      </c>
    </row>
    <row r="10966" spans="1:21">
      <c r="A10966">
        <v>10965</v>
      </c>
      <c r="B10966" s="29"/>
      <c r="C10966" s="29"/>
      <c r="D10966" s="29"/>
      <c r="E10966" s="29"/>
      <c r="F10966" s="29"/>
      <c r="G10966" s="29"/>
      <c r="H10966" s="29"/>
      <c r="I10966" s="29"/>
      <c r="J10966" s="29"/>
      <c r="K10966" s="29"/>
      <c r="L10966" s="29" t="s">
        <v>256</v>
      </c>
      <c r="M10966" s="29"/>
      <c r="N10966" s="29" t="s">
        <v>16</v>
      </c>
      <c r="O10966" s="29"/>
      <c r="P10966" s="29" t="s">
        <v>14704</v>
      </c>
      <c r="Q10966" t="s">
        <v>2189</v>
      </c>
      <c r="R10966" t="s">
        <v>2635</v>
      </c>
      <c r="S10966">
        <v>38</v>
      </c>
      <c r="T10966" s="43" t="str">
        <f t="shared" si="472"/>
        <v>2022.008D.Aelloviridae_146rensp.zip</v>
      </c>
      <c r="U10966" s="43" t="str">
        <f>HYPERLINK("https://ictv.global/taxonomy/taxondetails?taxnode_id=202206512","ictv.global=202206512")</f>
        <v>ictv.global=202206512</v>
      </c>
    </row>
    <row r="10967" spans="1:21">
      <c r="A10967">
        <v>10966</v>
      </c>
      <c r="B10967" s="29"/>
      <c r="C10967" s="29"/>
      <c r="D10967" s="29"/>
      <c r="E10967" s="29"/>
      <c r="F10967" s="29"/>
      <c r="G10967" s="29"/>
      <c r="H10967" s="29"/>
      <c r="I10967" s="29"/>
      <c r="J10967" s="29"/>
      <c r="K10967" s="29"/>
      <c r="L10967" s="29" t="s">
        <v>256</v>
      </c>
      <c r="M10967" s="29"/>
      <c r="N10967" s="29" t="s">
        <v>16</v>
      </c>
      <c r="O10967" s="29"/>
      <c r="P10967" s="29" t="s">
        <v>14705</v>
      </c>
      <c r="Q10967" t="s">
        <v>2189</v>
      </c>
      <c r="R10967" t="s">
        <v>2635</v>
      </c>
      <c r="S10967">
        <v>38</v>
      </c>
      <c r="T10967" s="43" t="str">
        <f t="shared" si="472"/>
        <v>2022.008D.Aelloviridae_146rensp.zip</v>
      </c>
      <c r="U10967" s="43" t="str">
        <f>HYPERLINK("https://ictv.global/taxonomy/taxondetails?taxnode_id=202206513","ictv.global=202206513")</f>
        <v>ictv.global=202206513</v>
      </c>
    </row>
    <row r="10968" spans="1:21">
      <c r="A10968">
        <v>10967</v>
      </c>
      <c r="B10968" s="29"/>
      <c r="C10968" s="29"/>
      <c r="D10968" s="29"/>
      <c r="E10968" s="29"/>
      <c r="F10968" s="29"/>
      <c r="G10968" s="29"/>
      <c r="H10968" s="29"/>
      <c r="I10968" s="29"/>
      <c r="J10968" s="29"/>
      <c r="K10968" s="29"/>
      <c r="L10968" s="29" t="s">
        <v>256</v>
      </c>
      <c r="M10968" s="29"/>
      <c r="N10968" s="29" t="s">
        <v>16</v>
      </c>
      <c r="O10968" s="29"/>
      <c r="P10968" s="29" t="s">
        <v>14706</v>
      </c>
      <c r="Q10968" t="s">
        <v>2189</v>
      </c>
      <c r="R10968" t="s">
        <v>2635</v>
      </c>
      <c r="S10968">
        <v>38</v>
      </c>
      <c r="T10968" s="43" t="str">
        <f t="shared" si="472"/>
        <v>2022.008D.Aelloviridae_146rensp.zip</v>
      </c>
      <c r="U10968" s="43" t="str">
        <f>HYPERLINK("https://ictv.global/taxonomy/taxondetails?taxnode_id=202206514","ictv.global=202206514")</f>
        <v>ictv.global=202206514</v>
      </c>
    </row>
    <row r="10969" spans="1:21">
      <c r="A10969">
        <v>10968</v>
      </c>
      <c r="B10969" s="29"/>
      <c r="C10969" s="29"/>
      <c r="D10969" s="29"/>
      <c r="E10969" s="29"/>
      <c r="F10969" s="29"/>
      <c r="G10969" s="29"/>
      <c r="H10969" s="29"/>
      <c r="I10969" s="29"/>
      <c r="J10969" s="29"/>
      <c r="K10969" s="29"/>
      <c r="L10969" s="29" t="s">
        <v>256</v>
      </c>
      <c r="M10969" s="29"/>
      <c r="N10969" s="29" t="s">
        <v>3629</v>
      </c>
      <c r="O10969" s="29"/>
      <c r="P10969" s="29" t="s">
        <v>14707</v>
      </c>
      <c r="Q10969" t="s">
        <v>2189</v>
      </c>
      <c r="R10969" t="s">
        <v>2635</v>
      </c>
      <c r="S10969">
        <v>38</v>
      </c>
      <c r="T10969" s="43" t="str">
        <f t="shared" si="472"/>
        <v>2022.008D.Aelloviridae_146rensp.zip</v>
      </c>
      <c r="U10969" s="43" t="str">
        <f>HYPERLINK("https://ictv.global/taxonomy/taxondetails?taxnode_id=202206509","ictv.global=202206509")</f>
        <v>ictv.global=202206509</v>
      </c>
    </row>
    <row r="10970" spans="1:21">
      <c r="A10970">
        <v>10969</v>
      </c>
      <c r="B10970" s="29"/>
      <c r="C10970" s="29"/>
      <c r="D10970" s="29"/>
      <c r="E10970" s="29"/>
      <c r="F10970" s="29"/>
      <c r="G10970" s="29"/>
      <c r="H10970" s="29"/>
      <c r="I10970" s="29"/>
      <c r="J10970" s="29"/>
      <c r="K10970" s="29"/>
      <c r="L10970" s="29" t="s">
        <v>256</v>
      </c>
      <c r="M10970" s="29"/>
      <c r="N10970" s="29" t="s">
        <v>3629</v>
      </c>
      <c r="O10970" s="29"/>
      <c r="P10970" s="29" t="s">
        <v>14708</v>
      </c>
      <c r="Q10970" t="s">
        <v>2189</v>
      </c>
      <c r="R10970" t="s">
        <v>2632</v>
      </c>
      <c r="S10970">
        <v>37</v>
      </c>
      <c r="T10970" s="43" t="str">
        <f>HYPERLINK("https://ictv.global/ictv/proposals/2021.002D.R.Anelloviridae_1nsp.zip","2021.002D.R.Anelloviridae_1nsp.zip")</f>
        <v>2021.002D.R.Anelloviridae_1nsp.zip</v>
      </c>
      <c r="U10970" s="43" t="str">
        <f>HYPERLINK("https://ictv.global/taxonomy/taxondetails?taxnode_id=202213424","ictv.global=202213424")</f>
        <v>ictv.global=202213424</v>
      </c>
    </row>
    <row r="10971" spans="1:21">
      <c r="A10971">
        <v>10970</v>
      </c>
      <c r="B10971" s="29"/>
      <c r="C10971" s="29"/>
      <c r="D10971" s="29"/>
      <c r="E10971" s="29"/>
      <c r="F10971" s="29"/>
      <c r="G10971" s="29"/>
      <c r="H10971" s="29"/>
      <c r="I10971" s="29"/>
      <c r="J10971" s="29"/>
      <c r="K10971" s="29"/>
      <c r="L10971" s="29" t="s">
        <v>256</v>
      </c>
      <c r="M10971" s="29"/>
      <c r="N10971" s="29" t="s">
        <v>3630</v>
      </c>
      <c r="O10971" s="29"/>
      <c r="P10971" s="29" t="s">
        <v>14709</v>
      </c>
      <c r="Q10971" t="s">
        <v>2189</v>
      </c>
      <c r="R10971" t="s">
        <v>2635</v>
      </c>
      <c r="S10971">
        <v>38</v>
      </c>
      <c r="T10971" s="43" t="str">
        <f t="shared" ref="T10971:T11013" si="473">HYPERLINK("https://ictv.global/ictv/proposals/2022.008D.Aelloviridae_146rensp.zip","2022.008D.Aelloviridae_146rensp.zip")</f>
        <v>2022.008D.Aelloviridae_146rensp.zip</v>
      </c>
      <c r="U10971" s="43" t="str">
        <f>HYPERLINK("https://ictv.global/taxonomy/taxondetails?taxnode_id=202206516","ictv.global=202206516")</f>
        <v>ictv.global=202206516</v>
      </c>
    </row>
    <row r="10972" spans="1:21">
      <c r="A10972">
        <v>10971</v>
      </c>
      <c r="B10972" s="29"/>
      <c r="C10972" s="29"/>
      <c r="D10972" s="29"/>
      <c r="E10972" s="29"/>
      <c r="F10972" s="29"/>
      <c r="G10972" s="29"/>
      <c r="H10972" s="29"/>
      <c r="I10972" s="29"/>
      <c r="J10972" s="29"/>
      <c r="K10972" s="29"/>
      <c r="L10972" s="29" t="s">
        <v>256</v>
      </c>
      <c r="M10972" s="29"/>
      <c r="N10972" s="29" t="s">
        <v>6821</v>
      </c>
      <c r="O10972" s="29"/>
      <c r="P10972" s="29" t="s">
        <v>14710</v>
      </c>
      <c r="Q10972" t="s">
        <v>2189</v>
      </c>
      <c r="R10972" t="s">
        <v>2635</v>
      </c>
      <c r="S10972">
        <v>38</v>
      </c>
      <c r="T10972" s="43" t="str">
        <f t="shared" si="473"/>
        <v>2022.008D.Aelloviridae_146rensp.zip</v>
      </c>
      <c r="U10972" s="43" t="str">
        <f>HYPERLINK("https://ictv.global/taxonomy/taxondetails?taxnode_id=202209438","ictv.global=202209438")</f>
        <v>ictv.global=202209438</v>
      </c>
    </row>
    <row r="10973" spans="1:21">
      <c r="A10973">
        <v>10972</v>
      </c>
      <c r="B10973" s="29"/>
      <c r="C10973" s="29"/>
      <c r="D10973" s="29"/>
      <c r="E10973" s="29"/>
      <c r="F10973" s="29"/>
      <c r="G10973" s="29"/>
      <c r="H10973" s="29"/>
      <c r="I10973" s="29"/>
      <c r="J10973" s="29"/>
      <c r="K10973" s="29"/>
      <c r="L10973" s="29" t="s">
        <v>256</v>
      </c>
      <c r="M10973" s="29"/>
      <c r="N10973" s="29" t="s">
        <v>6822</v>
      </c>
      <c r="O10973" s="29"/>
      <c r="P10973" s="29" t="s">
        <v>14711</v>
      </c>
      <c r="Q10973" t="s">
        <v>2189</v>
      </c>
      <c r="R10973" t="s">
        <v>2635</v>
      </c>
      <c r="S10973">
        <v>38</v>
      </c>
      <c r="T10973" s="43" t="str">
        <f t="shared" si="473"/>
        <v>2022.008D.Aelloviridae_146rensp.zip</v>
      </c>
      <c r="U10973" s="43" t="str">
        <f>HYPERLINK("https://ictv.global/taxonomy/taxondetails?taxnode_id=202209440","ictv.global=202209440")</f>
        <v>ictv.global=202209440</v>
      </c>
    </row>
    <row r="10974" spans="1:21">
      <c r="A10974">
        <v>10973</v>
      </c>
      <c r="B10974" s="29"/>
      <c r="C10974" s="29"/>
      <c r="D10974" s="29"/>
      <c r="E10974" s="29"/>
      <c r="F10974" s="29"/>
      <c r="G10974" s="29"/>
      <c r="H10974" s="29"/>
      <c r="I10974" s="29"/>
      <c r="J10974" s="29"/>
      <c r="K10974" s="29"/>
      <c r="L10974" s="29" t="s">
        <v>256</v>
      </c>
      <c r="M10974" s="29"/>
      <c r="N10974" s="29" t="s">
        <v>6823</v>
      </c>
      <c r="O10974" s="29"/>
      <c r="P10974" s="29" t="s">
        <v>14712</v>
      </c>
      <c r="Q10974" t="s">
        <v>2189</v>
      </c>
      <c r="R10974" t="s">
        <v>2635</v>
      </c>
      <c r="S10974">
        <v>38</v>
      </c>
      <c r="T10974" s="43" t="str">
        <f t="shared" si="473"/>
        <v>2022.008D.Aelloviridae_146rensp.zip</v>
      </c>
      <c r="U10974" s="43" t="str">
        <f>HYPERLINK("https://ictv.global/taxonomy/taxondetails?taxnode_id=202209442","ictv.global=202209442")</f>
        <v>ictv.global=202209442</v>
      </c>
    </row>
    <row r="10975" spans="1:21">
      <c r="A10975">
        <v>10974</v>
      </c>
      <c r="B10975" s="29"/>
      <c r="C10975" s="29"/>
      <c r="D10975" s="29"/>
      <c r="E10975" s="29"/>
      <c r="F10975" s="29"/>
      <c r="G10975" s="29"/>
      <c r="H10975" s="29"/>
      <c r="I10975" s="29"/>
      <c r="J10975" s="29"/>
      <c r="K10975" s="29"/>
      <c r="L10975" s="29" t="s">
        <v>256</v>
      </c>
      <c r="M10975" s="29"/>
      <c r="N10975" s="29" t="s">
        <v>6823</v>
      </c>
      <c r="O10975" s="29"/>
      <c r="P10975" s="29" t="s">
        <v>14713</v>
      </c>
      <c r="Q10975" t="s">
        <v>2189</v>
      </c>
      <c r="R10975" t="s">
        <v>2635</v>
      </c>
      <c r="S10975">
        <v>38</v>
      </c>
      <c r="T10975" s="43" t="str">
        <f t="shared" si="473"/>
        <v>2022.008D.Aelloviridae_146rensp.zip</v>
      </c>
      <c r="U10975" s="43" t="str">
        <f>HYPERLINK("https://ictv.global/taxonomy/taxondetails?taxnode_id=202209443","ictv.global=202209443")</f>
        <v>ictv.global=202209443</v>
      </c>
    </row>
    <row r="10976" spans="1:21">
      <c r="A10976">
        <v>10975</v>
      </c>
      <c r="B10976" s="29"/>
      <c r="C10976" s="29"/>
      <c r="D10976" s="29"/>
      <c r="E10976" s="29"/>
      <c r="F10976" s="29"/>
      <c r="G10976" s="29"/>
      <c r="H10976" s="29"/>
      <c r="I10976" s="29"/>
      <c r="J10976" s="29"/>
      <c r="K10976" s="29"/>
      <c r="L10976" s="29" t="s">
        <v>256</v>
      </c>
      <c r="M10976" s="29"/>
      <c r="N10976" s="29" t="s">
        <v>6823</v>
      </c>
      <c r="O10976" s="29"/>
      <c r="P10976" s="29" t="s">
        <v>14714</v>
      </c>
      <c r="Q10976" t="s">
        <v>2189</v>
      </c>
      <c r="R10976" t="s">
        <v>2635</v>
      </c>
      <c r="S10976">
        <v>38</v>
      </c>
      <c r="T10976" s="43" t="str">
        <f t="shared" si="473"/>
        <v>2022.008D.Aelloviridae_146rensp.zip</v>
      </c>
      <c r="U10976" s="43" t="str">
        <f>HYPERLINK("https://ictv.global/taxonomy/taxondetails?taxnode_id=202209444","ictv.global=202209444")</f>
        <v>ictv.global=202209444</v>
      </c>
    </row>
    <row r="10977" spans="1:21">
      <c r="A10977">
        <v>10976</v>
      </c>
      <c r="B10977" s="29"/>
      <c r="C10977" s="29"/>
      <c r="D10977" s="29"/>
      <c r="E10977" s="29"/>
      <c r="F10977" s="29"/>
      <c r="G10977" s="29"/>
      <c r="H10977" s="29"/>
      <c r="I10977" s="29"/>
      <c r="J10977" s="29"/>
      <c r="K10977" s="29"/>
      <c r="L10977" s="29" t="s">
        <v>256</v>
      </c>
      <c r="M10977" s="29"/>
      <c r="N10977" s="29" t="s">
        <v>6823</v>
      </c>
      <c r="O10977" s="29"/>
      <c r="P10977" s="29" t="s">
        <v>14715</v>
      </c>
      <c r="Q10977" t="s">
        <v>2189</v>
      </c>
      <c r="R10977" t="s">
        <v>2635</v>
      </c>
      <c r="S10977">
        <v>38</v>
      </c>
      <c r="T10977" s="43" t="str">
        <f t="shared" si="473"/>
        <v>2022.008D.Aelloviridae_146rensp.zip</v>
      </c>
      <c r="U10977" s="43" t="str">
        <f>HYPERLINK("https://ictv.global/taxonomy/taxondetails?taxnode_id=202209445","ictv.global=202209445")</f>
        <v>ictv.global=202209445</v>
      </c>
    </row>
    <row r="10978" spans="1:21">
      <c r="A10978">
        <v>10977</v>
      </c>
      <c r="B10978" s="29"/>
      <c r="C10978" s="29"/>
      <c r="D10978" s="29"/>
      <c r="E10978" s="29"/>
      <c r="F10978" s="29"/>
      <c r="G10978" s="29"/>
      <c r="H10978" s="29"/>
      <c r="I10978" s="29"/>
      <c r="J10978" s="29"/>
      <c r="K10978" s="29"/>
      <c r="L10978" s="29" t="s">
        <v>256</v>
      </c>
      <c r="M10978" s="29"/>
      <c r="N10978" s="29" t="s">
        <v>6823</v>
      </c>
      <c r="O10978" s="29"/>
      <c r="P10978" s="29" t="s">
        <v>14716</v>
      </c>
      <c r="Q10978" t="s">
        <v>2189</v>
      </c>
      <c r="R10978" t="s">
        <v>2635</v>
      </c>
      <c r="S10978">
        <v>38</v>
      </c>
      <c r="T10978" s="43" t="str">
        <f t="shared" si="473"/>
        <v>2022.008D.Aelloviridae_146rensp.zip</v>
      </c>
      <c r="U10978" s="43" t="str">
        <f>HYPERLINK("https://ictv.global/taxonomy/taxondetails?taxnode_id=202209446","ictv.global=202209446")</f>
        <v>ictv.global=202209446</v>
      </c>
    </row>
    <row r="10979" spans="1:21">
      <c r="A10979">
        <v>10978</v>
      </c>
      <c r="B10979" s="29"/>
      <c r="C10979" s="29"/>
      <c r="D10979" s="29"/>
      <c r="E10979" s="29"/>
      <c r="F10979" s="29"/>
      <c r="G10979" s="29"/>
      <c r="H10979" s="29"/>
      <c r="I10979" s="29"/>
      <c r="J10979" s="29"/>
      <c r="K10979" s="29"/>
      <c r="L10979" s="29" t="s">
        <v>256</v>
      </c>
      <c r="M10979" s="29"/>
      <c r="N10979" s="29" t="s">
        <v>6823</v>
      </c>
      <c r="O10979" s="29"/>
      <c r="P10979" s="29" t="s">
        <v>14717</v>
      </c>
      <c r="Q10979" t="s">
        <v>2189</v>
      </c>
      <c r="R10979" t="s">
        <v>2635</v>
      </c>
      <c r="S10979">
        <v>38</v>
      </c>
      <c r="T10979" s="43" t="str">
        <f t="shared" si="473"/>
        <v>2022.008D.Aelloviridae_146rensp.zip</v>
      </c>
      <c r="U10979" s="43" t="str">
        <f>HYPERLINK("https://ictv.global/taxonomy/taxondetails?taxnode_id=202209447","ictv.global=202209447")</f>
        <v>ictv.global=202209447</v>
      </c>
    </row>
    <row r="10980" spans="1:21">
      <c r="A10980">
        <v>10979</v>
      </c>
      <c r="B10980" s="29"/>
      <c r="C10980" s="29"/>
      <c r="D10980" s="29"/>
      <c r="E10980" s="29"/>
      <c r="F10980" s="29"/>
      <c r="G10980" s="29"/>
      <c r="H10980" s="29"/>
      <c r="I10980" s="29"/>
      <c r="J10980" s="29"/>
      <c r="K10980" s="29"/>
      <c r="L10980" s="29" t="s">
        <v>256</v>
      </c>
      <c r="M10980" s="29"/>
      <c r="N10980" s="29" t="s">
        <v>6824</v>
      </c>
      <c r="O10980" s="29"/>
      <c r="P10980" s="29" t="s">
        <v>14718</v>
      </c>
      <c r="Q10980" t="s">
        <v>2189</v>
      </c>
      <c r="R10980" t="s">
        <v>2635</v>
      </c>
      <c r="S10980">
        <v>38</v>
      </c>
      <c r="T10980" s="43" t="str">
        <f t="shared" si="473"/>
        <v>2022.008D.Aelloviridae_146rensp.zip</v>
      </c>
      <c r="U10980" s="43" t="str">
        <f>HYPERLINK("https://ictv.global/taxonomy/taxondetails?taxnode_id=202209449","ictv.global=202209449")</f>
        <v>ictv.global=202209449</v>
      </c>
    </row>
    <row r="10981" spans="1:21">
      <c r="A10981">
        <v>10980</v>
      </c>
      <c r="B10981" s="29"/>
      <c r="C10981" s="29"/>
      <c r="D10981" s="29"/>
      <c r="E10981" s="29"/>
      <c r="F10981" s="29"/>
      <c r="G10981" s="29"/>
      <c r="H10981" s="29"/>
      <c r="I10981" s="29"/>
      <c r="J10981" s="29"/>
      <c r="K10981" s="29"/>
      <c r="L10981" s="29" t="s">
        <v>256</v>
      </c>
      <c r="M10981" s="29"/>
      <c r="N10981" s="29" t="s">
        <v>6825</v>
      </c>
      <c r="O10981" s="29"/>
      <c r="P10981" s="29" t="s">
        <v>14719</v>
      </c>
      <c r="Q10981" t="s">
        <v>2189</v>
      </c>
      <c r="R10981" t="s">
        <v>2635</v>
      </c>
      <c r="S10981">
        <v>38</v>
      </c>
      <c r="T10981" s="43" t="str">
        <f t="shared" si="473"/>
        <v>2022.008D.Aelloviridae_146rensp.zip</v>
      </c>
      <c r="U10981" s="43" t="str">
        <f>HYPERLINK("https://ictv.global/taxonomy/taxondetails?taxnode_id=202209451","ictv.global=202209451")</f>
        <v>ictv.global=202209451</v>
      </c>
    </row>
    <row r="10982" spans="1:21">
      <c r="A10982">
        <v>10981</v>
      </c>
      <c r="B10982" s="29"/>
      <c r="C10982" s="29"/>
      <c r="D10982" s="29"/>
      <c r="E10982" s="29"/>
      <c r="F10982" s="29"/>
      <c r="G10982" s="29"/>
      <c r="H10982" s="29"/>
      <c r="I10982" s="29"/>
      <c r="J10982" s="29"/>
      <c r="K10982" s="29"/>
      <c r="L10982" s="29" t="s">
        <v>256</v>
      </c>
      <c r="M10982" s="29"/>
      <c r="N10982" s="29" t="s">
        <v>6826</v>
      </c>
      <c r="O10982" s="29"/>
      <c r="P10982" s="29" t="s">
        <v>14720</v>
      </c>
      <c r="Q10982" t="s">
        <v>2189</v>
      </c>
      <c r="R10982" t="s">
        <v>2635</v>
      </c>
      <c r="S10982">
        <v>38</v>
      </c>
      <c r="T10982" s="43" t="str">
        <f t="shared" si="473"/>
        <v>2022.008D.Aelloviridae_146rensp.zip</v>
      </c>
      <c r="U10982" s="43" t="str">
        <f>HYPERLINK("https://ictv.global/taxonomy/taxondetails?taxnode_id=202202562","ictv.global=202202562")</f>
        <v>ictv.global=202202562</v>
      </c>
    </row>
    <row r="10983" spans="1:21">
      <c r="A10983">
        <v>10982</v>
      </c>
      <c r="B10983" s="29"/>
      <c r="C10983" s="29"/>
      <c r="D10983" s="29"/>
      <c r="E10983" s="29"/>
      <c r="F10983" s="29"/>
      <c r="G10983" s="29"/>
      <c r="H10983" s="29"/>
      <c r="I10983" s="29"/>
      <c r="J10983" s="29"/>
      <c r="K10983" s="29"/>
      <c r="L10983" s="29" t="s">
        <v>256</v>
      </c>
      <c r="M10983" s="29"/>
      <c r="N10983" s="29" t="s">
        <v>6826</v>
      </c>
      <c r="O10983" s="29"/>
      <c r="P10983" s="29" t="s">
        <v>14721</v>
      </c>
      <c r="Q10983" t="s">
        <v>2189</v>
      </c>
      <c r="R10983" t="s">
        <v>2635</v>
      </c>
      <c r="S10983">
        <v>38</v>
      </c>
      <c r="T10983" s="43" t="str">
        <f t="shared" si="473"/>
        <v>2022.008D.Aelloviridae_146rensp.zip</v>
      </c>
      <c r="U10983" s="43" t="str">
        <f>HYPERLINK("https://ictv.global/taxonomy/taxondetails?taxnode_id=202209453","ictv.global=202209453")</f>
        <v>ictv.global=202209453</v>
      </c>
    </row>
    <row r="10984" spans="1:21">
      <c r="A10984">
        <v>10983</v>
      </c>
      <c r="B10984" s="29"/>
      <c r="C10984" s="29"/>
      <c r="D10984" s="29"/>
      <c r="E10984" s="29"/>
      <c r="F10984" s="29"/>
      <c r="G10984" s="29"/>
      <c r="H10984" s="29"/>
      <c r="I10984" s="29"/>
      <c r="J10984" s="29"/>
      <c r="K10984" s="29"/>
      <c r="L10984" s="29" t="s">
        <v>256</v>
      </c>
      <c r="M10984" s="29"/>
      <c r="N10984" s="29" t="s">
        <v>6826</v>
      </c>
      <c r="O10984" s="29"/>
      <c r="P10984" s="29" t="s">
        <v>14722</v>
      </c>
      <c r="Q10984" t="s">
        <v>2189</v>
      </c>
      <c r="R10984" t="s">
        <v>2635</v>
      </c>
      <c r="S10984">
        <v>38</v>
      </c>
      <c r="T10984" s="43" t="str">
        <f t="shared" si="473"/>
        <v>2022.008D.Aelloviridae_146rensp.zip</v>
      </c>
      <c r="U10984" s="43" t="str">
        <f>HYPERLINK("https://ictv.global/taxonomy/taxondetails?taxnode_id=202209454","ictv.global=202209454")</f>
        <v>ictv.global=202209454</v>
      </c>
    </row>
    <row r="10985" spans="1:21">
      <c r="A10985">
        <v>10984</v>
      </c>
      <c r="B10985" s="29"/>
      <c r="C10985" s="29"/>
      <c r="D10985" s="29"/>
      <c r="E10985" s="29"/>
      <c r="F10985" s="29"/>
      <c r="G10985" s="29"/>
      <c r="H10985" s="29"/>
      <c r="I10985" s="29"/>
      <c r="J10985" s="29"/>
      <c r="K10985" s="29"/>
      <c r="L10985" s="29" t="s">
        <v>256</v>
      </c>
      <c r="M10985" s="29"/>
      <c r="N10985" s="29" t="s">
        <v>6827</v>
      </c>
      <c r="O10985" s="29"/>
      <c r="P10985" s="29" t="s">
        <v>14723</v>
      </c>
      <c r="Q10985" t="s">
        <v>2189</v>
      </c>
      <c r="R10985" t="s">
        <v>2635</v>
      </c>
      <c r="S10985">
        <v>38</v>
      </c>
      <c r="T10985" s="43" t="str">
        <f t="shared" si="473"/>
        <v>2022.008D.Aelloviridae_146rensp.zip</v>
      </c>
      <c r="U10985" s="43" t="str">
        <f>HYPERLINK("https://ictv.global/taxonomy/taxondetails?taxnode_id=202209458","ictv.global=202209458")</f>
        <v>ictv.global=202209458</v>
      </c>
    </row>
    <row r="10986" spans="1:21">
      <c r="A10986">
        <v>10985</v>
      </c>
      <c r="B10986" s="29"/>
      <c r="C10986" s="29"/>
      <c r="D10986" s="29"/>
      <c r="E10986" s="29"/>
      <c r="F10986" s="29"/>
      <c r="G10986" s="29"/>
      <c r="H10986" s="29"/>
      <c r="I10986" s="29"/>
      <c r="J10986" s="29"/>
      <c r="K10986" s="29"/>
      <c r="L10986" s="29" t="s">
        <v>256</v>
      </c>
      <c r="M10986" s="29"/>
      <c r="N10986" s="29" t="s">
        <v>1261</v>
      </c>
      <c r="O10986" s="29"/>
      <c r="P10986" s="29" t="s">
        <v>14724</v>
      </c>
      <c r="Q10986" t="s">
        <v>2189</v>
      </c>
      <c r="R10986" t="s">
        <v>2635</v>
      </c>
      <c r="S10986">
        <v>38</v>
      </c>
      <c r="T10986" s="43" t="str">
        <f t="shared" si="473"/>
        <v>2022.008D.Aelloviridae_146rensp.zip</v>
      </c>
      <c r="U10986" s="43" t="str">
        <f>HYPERLINK("https://ictv.global/taxonomy/taxondetails?taxnode_id=202202564","ictv.global=202202564")</f>
        <v>ictv.global=202202564</v>
      </c>
    </row>
    <row r="10987" spans="1:21">
      <c r="A10987">
        <v>10986</v>
      </c>
      <c r="B10987" s="29"/>
      <c r="C10987" s="29"/>
      <c r="D10987" s="29"/>
      <c r="E10987" s="29"/>
      <c r="F10987" s="29"/>
      <c r="G10987" s="29"/>
      <c r="H10987" s="29"/>
      <c r="I10987" s="29"/>
      <c r="J10987" s="29"/>
      <c r="K10987" s="29"/>
      <c r="L10987" s="29" t="s">
        <v>256</v>
      </c>
      <c r="M10987" s="29"/>
      <c r="N10987" s="29" t="s">
        <v>1261</v>
      </c>
      <c r="O10987" s="29"/>
      <c r="P10987" s="29" t="s">
        <v>14725</v>
      </c>
      <c r="Q10987" t="s">
        <v>2189</v>
      </c>
      <c r="R10987" t="s">
        <v>2635</v>
      </c>
      <c r="S10987">
        <v>38</v>
      </c>
      <c r="T10987" s="43" t="str">
        <f t="shared" si="473"/>
        <v>2022.008D.Aelloviridae_146rensp.zip</v>
      </c>
      <c r="U10987" s="43" t="str">
        <f>HYPERLINK("https://ictv.global/taxonomy/taxondetails?taxnode_id=202209459","ictv.global=202209459")</f>
        <v>ictv.global=202209459</v>
      </c>
    </row>
    <row r="10988" spans="1:21">
      <c r="A10988">
        <v>10987</v>
      </c>
      <c r="B10988" s="29"/>
      <c r="C10988" s="29"/>
      <c r="D10988" s="29"/>
      <c r="E10988" s="29"/>
      <c r="F10988" s="29"/>
      <c r="G10988" s="29"/>
      <c r="H10988" s="29"/>
      <c r="I10988" s="29"/>
      <c r="J10988" s="29"/>
      <c r="K10988" s="29"/>
      <c r="L10988" s="29" t="s">
        <v>256</v>
      </c>
      <c r="M10988" s="29"/>
      <c r="N10988" s="29" t="s">
        <v>1261</v>
      </c>
      <c r="O10988" s="29"/>
      <c r="P10988" s="29" t="s">
        <v>14726</v>
      </c>
      <c r="Q10988" t="s">
        <v>2189</v>
      </c>
      <c r="R10988" t="s">
        <v>2635</v>
      </c>
      <c r="S10988">
        <v>38</v>
      </c>
      <c r="T10988" s="43" t="str">
        <f t="shared" si="473"/>
        <v>2022.008D.Aelloviridae_146rensp.zip</v>
      </c>
      <c r="U10988" s="43" t="str">
        <f>HYPERLINK("https://ictv.global/taxonomy/taxondetails?taxnode_id=202209460","ictv.global=202209460")</f>
        <v>ictv.global=202209460</v>
      </c>
    </row>
    <row r="10989" spans="1:21">
      <c r="A10989">
        <v>10988</v>
      </c>
      <c r="B10989" s="29"/>
      <c r="C10989" s="29"/>
      <c r="D10989" s="29"/>
      <c r="E10989" s="29"/>
      <c r="F10989" s="29"/>
      <c r="G10989" s="29"/>
      <c r="H10989" s="29"/>
      <c r="I10989" s="29"/>
      <c r="J10989" s="29"/>
      <c r="K10989" s="29"/>
      <c r="L10989" s="29" t="s">
        <v>256</v>
      </c>
      <c r="M10989" s="29"/>
      <c r="N10989" s="29" t="s">
        <v>1261</v>
      </c>
      <c r="O10989" s="29"/>
      <c r="P10989" s="29" t="s">
        <v>14727</v>
      </c>
      <c r="Q10989" t="s">
        <v>2189</v>
      </c>
      <c r="R10989" t="s">
        <v>2635</v>
      </c>
      <c r="S10989">
        <v>38</v>
      </c>
      <c r="T10989" s="43" t="str">
        <f t="shared" si="473"/>
        <v>2022.008D.Aelloviridae_146rensp.zip</v>
      </c>
      <c r="U10989" s="43" t="str">
        <f>HYPERLINK("https://ictv.global/taxonomy/taxondetails?taxnode_id=202209461","ictv.global=202209461")</f>
        <v>ictv.global=202209461</v>
      </c>
    </row>
    <row r="10990" spans="1:21">
      <c r="A10990">
        <v>10989</v>
      </c>
      <c r="B10990" s="29"/>
      <c r="C10990" s="29"/>
      <c r="D10990" s="29"/>
      <c r="E10990" s="29"/>
      <c r="F10990" s="29"/>
      <c r="G10990" s="29"/>
      <c r="H10990" s="29"/>
      <c r="I10990" s="29"/>
      <c r="J10990" s="29"/>
      <c r="K10990" s="29"/>
      <c r="L10990" s="29" t="s">
        <v>256</v>
      </c>
      <c r="M10990" s="29"/>
      <c r="N10990" s="29" t="s">
        <v>1261</v>
      </c>
      <c r="O10990" s="29"/>
      <c r="P10990" s="29" t="s">
        <v>14728</v>
      </c>
      <c r="Q10990" t="s">
        <v>2189</v>
      </c>
      <c r="R10990" t="s">
        <v>2635</v>
      </c>
      <c r="S10990">
        <v>38</v>
      </c>
      <c r="T10990" s="43" t="str">
        <f t="shared" si="473"/>
        <v>2022.008D.Aelloviridae_146rensp.zip</v>
      </c>
      <c r="U10990" s="43" t="str">
        <f>HYPERLINK("https://ictv.global/taxonomy/taxondetails?taxnode_id=202209462","ictv.global=202209462")</f>
        <v>ictv.global=202209462</v>
      </c>
    </row>
    <row r="10991" spans="1:21">
      <c r="A10991">
        <v>10990</v>
      </c>
      <c r="B10991" s="29"/>
      <c r="C10991" s="29"/>
      <c r="D10991" s="29"/>
      <c r="E10991" s="29"/>
      <c r="F10991" s="29"/>
      <c r="G10991" s="29"/>
      <c r="H10991" s="29"/>
      <c r="I10991" s="29"/>
      <c r="J10991" s="29"/>
      <c r="K10991" s="29"/>
      <c r="L10991" s="29" t="s">
        <v>256</v>
      </c>
      <c r="M10991" s="29"/>
      <c r="N10991" s="29" t="s">
        <v>1261</v>
      </c>
      <c r="O10991" s="29"/>
      <c r="P10991" s="29" t="s">
        <v>14729</v>
      </c>
      <c r="Q10991" t="s">
        <v>2189</v>
      </c>
      <c r="R10991" t="s">
        <v>2635</v>
      </c>
      <c r="S10991">
        <v>38</v>
      </c>
      <c r="T10991" s="43" t="str">
        <f t="shared" si="473"/>
        <v>2022.008D.Aelloviridae_146rensp.zip</v>
      </c>
      <c r="U10991" s="43" t="str">
        <f>HYPERLINK("https://ictv.global/taxonomy/taxondetails?taxnode_id=202209463","ictv.global=202209463")</f>
        <v>ictv.global=202209463</v>
      </c>
    </row>
    <row r="10992" spans="1:21">
      <c r="A10992">
        <v>10991</v>
      </c>
      <c r="B10992" s="29"/>
      <c r="C10992" s="29"/>
      <c r="D10992" s="29"/>
      <c r="E10992" s="29"/>
      <c r="F10992" s="29"/>
      <c r="G10992" s="29"/>
      <c r="H10992" s="29"/>
      <c r="I10992" s="29"/>
      <c r="J10992" s="29"/>
      <c r="K10992" s="29"/>
      <c r="L10992" s="29" t="s">
        <v>256</v>
      </c>
      <c r="M10992" s="29"/>
      <c r="N10992" s="29" t="s">
        <v>1261</v>
      </c>
      <c r="O10992" s="29"/>
      <c r="P10992" s="29" t="s">
        <v>14730</v>
      </c>
      <c r="Q10992" t="s">
        <v>2189</v>
      </c>
      <c r="R10992" t="s">
        <v>2635</v>
      </c>
      <c r="S10992">
        <v>38</v>
      </c>
      <c r="T10992" s="43" t="str">
        <f t="shared" si="473"/>
        <v>2022.008D.Aelloviridae_146rensp.zip</v>
      </c>
      <c r="U10992" s="43" t="str">
        <f>HYPERLINK("https://ictv.global/taxonomy/taxondetails?taxnode_id=202209464","ictv.global=202209464")</f>
        <v>ictv.global=202209464</v>
      </c>
    </row>
    <row r="10993" spans="1:21">
      <c r="A10993">
        <v>10992</v>
      </c>
      <c r="B10993" s="29"/>
      <c r="C10993" s="29"/>
      <c r="D10993" s="29"/>
      <c r="E10993" s="29"/>
      <c r="F10993" s="29"/>
      <c r="G10993" s="29"/>
      <c r="H10993" s="29"/>
      <c r="I10993" s="29"/>
      <c r="J10993" s="29"/>
      <c r="K10993" s="29"/>
      <c r="L10993" s="29" t="s">
        <v>256</v>
      </c>
      <c r="M10993" s="29"/>
      <c r="N10993" s="29" t="s">
        <v>1261</v>
      </c>
      <c r="O10993" s="29"/>
      <c r="P10993" s="29" t="s">
        <v>14731</v>
      </c>
      <c r="Q10993" t="s">
        <v>2189</v>
      </c>
      <c r="R10993" t="s">
        <v>2635</v>
      </c>
      <c r="S10993">
        <v>38</v>
      </c>
      <c r="T10993" s="43" t="str">
        <f t="shared" si="473"/>
        <v>2022.008D.Aelloviridae_146rensp.zip</v>
      </c>
      <c r="U10993" s="43" t="str">
        <f>HYPERLINK("https://ictv.global/taxonomy/taxondetails?taxnode_id=202209465","ictv.global=202209465")</f>
        <v>ictv.global=202209465</v>
      </c>
    </row>
    <row r="10994" spans="1:21">
      <c r="A10994">
        <v>10993</v>
      </c>
      <c r="B10994" s="29"/>
      <c r="C10994" s="29"/>
      <c r="D10994" s="29"/>
      <c r="E10994" s="29"/>
      <c r="F10994" s="29"/>
      <c r="G10994" s="29"/>
      <c r="H10994" s="29"/>
      <c r="I10994" s="29"/>
      <c r="J10994" s="29"/>
      <c r="K10994" s="29"/>
      <c r="L10994" s="29" t="s">
        <v>256</v>
      </c>
      <c r="M10994" s="29"/>
      <c r="N10994" s="29" t="s">
        <v>1261</v>
      </c>
      <c r="O10994" s="29"/>
      <c r="P10994" s="29" t="s">
        <v>14732</v>
      </c>
      <c r="Q10994" t="s">
        <v>2189</v>
      </c>
      <c r="R10994" t="s">
        <v>2635</v>
      </c>
      <c r="S10994">
        <v>38</v>
      </c>
      <c r="T10994" s="43" t="str">
        <f t="shared" si="473"/>
        <v>2022.008D.Aelloviridae_146rensp.zip</v>
      </c>
      <c r="U10994" s="43" t="str">
        <f>HYPERLINK("https://ictv.global/taxonomy/taxondetails?taxnode_id=202209466","ictv.global=202209466")</f>
        <v>ictv.global=202209466</v>
      </c>
    </row>
    <row r="10995" spans="1:21">
      <c r="A10995">
        <v>10994</v>
      </c>
      <c r="B10995" s="29"/>
      <c r="C10995" s="29"/>
      <c r="D10995" s="29"/>
      <c r="E10995" s="29"/>
      <c r="F10995" s="29"/>
      <c r="G10995" s="29"/>
      <c r="H10995" s="29"/>
      <c r="I10995" s="29"/>
      <c r="J10995" s="29"/>
      <c r="K10995" s="29"/>
      <c r="L10995" s="29" t="s">
        <v>256</v>
      </c>
      <c r="M10995" s="29"/>
      <c r="N10995" s="29" t="s">
        <v>1261</v>
      </c>
      <c r="O10995" s="29"/>
      <c r="P10995" s="29" t="s">
        <v>14733</v>
      </c>
      <c r="Q10995" t="s">
        <v>2189</v>
      </c>
      <c r="R10995" t="s">
        <v>2635</v>
      </c>
      <c r="S10995">
        <v>38</v>
      </c>
      <c r="T10995" s="43" t="str">
        <f t="shared" si="473"/>
        <v>2022.008D.Aelloviridae_146rensp.zip</v>
      </c>
      <c r="U10995" s="43" t="str">
        <f>HYPERLINK("https://ictv.global/taxonomy/taxondetails?taxnode_id=202209467","ictv.global=202209467")</f>
        <v>ictv.global=202209467</v>
      </c>
    </row>
    <row r="10996" spans="1:21">
      <c r="A10996">
        <v>10995</v>
      </c>
      <c r="B10996" s="29"/>
      <c r="C10996" s="29"/>
      <c r="D10996" s="29"/>
      <c r="E10996" s="29"/>
      <c r="F10996" s="29"/>
      <c r="G10996" s="29"/>
      <c r="H10996" s="29"/>
      <c r="I10996" s="29"/>
      <c r="J10996" s="29"/>
      <c r="K10996" s="29"/>
      <c r="L10996" s="29" t="s">
        <v>256</v>
      </c>
      <c r="M10996" s="29"/>
      <c r="N10996" s="29" t="s">
        <v>6828</v>
      </c>
      <c r="O10996" s="29"/>
      <c r="P10996" s="29" t="s">
        <v>14734</v>
      </c>
      <c r="Q10996" t="s">
        <v>2189</v>
      </c>
      <c r="R10996" t="s">
        <v>2635</v>
      </c>
      <c r="S10996">
        <v>38</v>
      </c>
      <c r="T10996" s="43" t="str">
        <f t="shared" si="473"/>
        <v>2022.008D.Aelloviridae_146rensp.zip</v>
      </c>
      <c r="U10996" s="43" t="str">
        <f>HYPERLINK("https://ictv.global/taxonomy/taxondetails?taxnode_id=202209469","ictv.global=202209469")</f>
        <v>ictv.global=202209469</v>
      </c>
    </row>
    <row r="10997" spans="1:21">
      <c r="A10997">
        <v>10996</v>
      </c>
      <c r="B10997" s="29"/>
      <c r="C10997" s="29"/>
      <c r="D10997" s="29"/>
      <c r="E10997" s="29"/>
      <c r="F10997" s="29"/>
      <c r="G10997" s="29"/>
      <c r="H10997" s="29"/>
      <c r="I10997" s="29"/>
      <c r="J10997" s="29"/>
      <c r="K10997" s="29"/>
      <c r="L10997" s="29" t="s">
        <v>256</v>
      </c>
      <c r="M10997" s="29"/>
      <c r="N10997" s="29" t="s">
        <v>6828</v>
      </c>
      <c r="O10997" s="29"/>
      <c r="P10997" s="29" t="s">
        <v>14735</v>
      </c>
      <c r="Q10997" t="s">
        <v>2189</v>
      </c>
      <c r="R10997" t="s">
        <v>2635</v>
      </c>
      <c r="S10997">
        <v>38</v>
      </c>
      <c r="T10997" s="43" t="str">
        <f t="shared" si="473"/>
        <v>2022.008D.Aelloviridae_146rensp.zip</v>
      </c>
      <c r="U10997" s="43" t="str">
        <f>HYPERLINK("https://ictv.global/taxonomy/taxondetails?taxnode_id=202209470","ictv.global=202209470")</f>
        <v>ictv.global=202209470</v>
      </c>
    </row>
    <row r="10998" spans="1:21">
      <c r="A10998">
        <v>10997</v>
      </c>
      <c r="B10998" s="29"/>
      <c r="C10998" s="29"/>
      <c r="D10998" s="29"/>
      <c r="E10998" s="29"/>
      <c r="F10998" s="29"/>
      <c r="G10998" s="29"/>
      <c r="H10998" s="29"/>
      <c r="I10998" s="29"/>
      <c r="J10998" s="29"/>
      <c r="K10998" s="29"/>
      <c r="L10998" s="29" t="s">
        <v>256</v>
      </c>
      <c r="M10998" s="29"/>
      <c r="N10998" s="29" t="s">
        <v>6828</v>
      </c>
      <c r="O10998" s="29"/>
      <c r="P10998" s="29" t="s">
        <v>14736</v>
      </c>
      <c r="Q10998" t="s">
        <v>2189</v>
      </c>
      <c r="R10998" t="s">
        <v>2635</v>
      </c>
      <c r="S10998">
        <v>38</v>
      </c>
      <c r="T10998" s="43" t="str">
        <f t="shared" si="473"/>
        <v>2022.008D.Aelloviridae_146rensp.zip</v>
      </c>
      <c r="U10998" s="43" t="str">
        <f>HYPERLINK("https://ictv.global/taxonomy/taxondetails?taxnode_id=202209471","ictv.global=202209471")</f>
        <v>ictv.global=202209471</v>
      </c>
    </row>
    <row r="10999" spans="1:21">
      <c r="A10999">
        <v>10998</v>
      </c>
      <c r="B10999" s="29"/>
      <c r="C10999" s="29"/>
      <c r="D10999" s="29"/>
      <c r="E10999" s="29"/>
      <c r="F10999" s="29"/>
      <c r="G10999" s="29"/>
      <c r="H10999" s="29"/>
      <c r="I10999" s="29"/>
      <c r="J10999" s="29"/>
      <c r="K10999" s="29"/>
      <c r="L10999" s="29" t="s">
        <v>256</v>
      </c>
      <c r="M10999" s="29"/>
      <c r="N10999" s="29" t="s">
        <v>6828</v>
      </c>
      <c r="O10999" s="29"/>
      <c r="P10999" s="29" t="s">
        <v>14737</v>
      </c>
      <c r="Q10999" t="s">
        <v>2189</v>
      </c>
      <c r="R10999" t="s">
        <v>2635</v>
      </c>
      <c r="S10999">
        <v>38</v>
      </c>
      <c r="T10999" s="43" t="str">
        <f t="shared" si="473"/>
        <v>2022.008D.Aelloviridae_146rensp.zip</v>
      </c>
      <c r="U10999" s="43" t="str">
        <f>HYPERLINK("https://ictv.global/taxonomy/taxondetails?taxnode_id=202209472","ictv.global=202209472")</f>
        <v>ictv.global=202209472</v>
      </c>
    </row>
    <row r="11000" spans="1:21">
      <c r="A11000">
        <v>10999</v>
      </c>
      <c r="B11000" s="29"/>
      <c r="C11000" s="29"/>
      <c r="D11000" s="29"/>
      <c r="E11000" s="29"/>
      <c r="F11000" s="29"/>
      <c r="G11000" s="29"/>
      <c r="H11000" s="29"/>
      <c r="I11000" s="29"/>
      <c r="J11000" s="29"/>
      <c r="K11000" s="29"/>
      <c r="L11000" s="29" t="s">
        <v>256</v>
      </c>
      <c r="M11000" s="29"/>
      <c r="N11000" s="29" t="s">
        <v>6828</v>
      </c>
      <c r="O11000" s="29"/>
      <c r="P11000" s="29" t="s">
        <v>14738</v>
      </c>
      <c r="Q11000" t="s">
        <v>2189</v>
      </c>
      <c r="R11000" t="s">
        <v>2635</v>
      </c>
      <c r="S11000">
        <v>38</v>
      </c>
      <c r="T11000" s="43" t="str">
        <f t="shared" si="473"/>
        <v>2022.008D.Aelloviridae_146rensp.zip</v>
      </c>
      <c r="U11000" s="43" t="str">
        <f>HYPERLINK("https://ictv.global/taxonomy/taxondetails?taxnode_id=202209473","ictv.global=202209473")</f>
        <v>ictv.global=202209473</v>
      </c>
    </row>
    <row r="11001" spans="1:21">
      <c r="A11001">
        <v>11000</v>
      </c>
      <c r="B11001" s="29"/>
      <c r="C11001" s="29"/>
      <c r="D11001" s="29"/>
      <c r="E11001" s="29"/>
      <c r="F11001" s="29"/>
      <c r="G11001" s="29"/>
      <c r="H11001" s="29"/>
      <c r="I11001" s="29"/>
      <c r="J11001" s="29"/>
      <c r="K11001" s="29"/>
      <c r="L11001" s="29" t="s">
        <v>256</v>
      </c>
      <c r="M11001" s="29"/>
      <c r="N11001" s="29" t="s">
        <v>6828</v>
      </c>
      <c r="O11001" s="29"/>
      <c r="P11001" s="29" t="s">
        <v>14739</v>
      </c>
      <c r="Q11001" t="s">
        <v>2189</v>
      </c>
      <c r="R11001" t="s">
        <v>2635</v>
      </c>
      <c r="S11001">
        <v>38</v>
      </c>
      <c r="T11001" s="43" t="str">
        <f t="shared" si="473"/>
        <v>2022.008D.Aelloviridae_146rensp.zip</v>
      </c>
      <c r="U11001" s="43" t="str">
        <f>HYPERLINK("https://ictv.global/taxonomy/taxondetails?taxnode_id=202209474","ictv.global=202209474")</f>
        <v>ictv.global=202209474</v>
      </c>
    </row>
    <row r="11002" spans="1:21">
      <c r="A11002">
        <v>11001</v>
      </c>
      <c r="B11002" s="29"/>
      <c r="C11002" s="29"/>
      <c r="D11002" s="29"/>
      <c r="E11002" s="29"/>
      <c r="F11002" s="29"/>
      <c r="G11002" s="29"/>
      <c r="H11002" s="29"/>
      <c r="I11002" s="29"/>
      <c r="J11002" s="29"/>
      <c r="K11002" s="29"/>
      <c r="L11002" s="29" t="s">
        <v>256</v>
      </c>
      <c r="M11002" s="29"/>
      <c r="N11002" s="29" t="s">
        <v>6828</v>
      </c>
      <c r="O11002" s="29"/>
      <c r="P11002" s="29" t="s">
        <v>14740</v>
      </c>
      <c r="Q11002" t="s">
        <v>2189</v>
      </c>
      <c r="R11002" t="s">
        <v>2635</v>
      </c>
      <c r="S11002">
        <v>38</v>
      </c>
      <c r="T11002" s="43" t="str">
        <f t="shared" si="473"/>
        <v>2022.008D.Aelloviridae_146rensp.zip</v>
      </c>
      <c r="U11002" s="43" t="str">
        <f>HYPERLINK("https://ictv.global/taxonomy/taxondetails?taxnode_id=202209475","ictv.global=202209475")</f>
        <v>ictv.global=202209475</v>
      </c>
    </row>
    <row r="11003" spans="1:21">
      <c r="A11003">
        <v>11002</v>
      </c>
      <c r="B11003" s="29"/>
      <c r="C11003" s="29"/>
      <c r="D11003" s="29"/>
      <c r="E11003" s="29"/>
      <c r="F11003" s="29"/>
      <c r="G11003" s="29"/>
      <c r="H11003" s="29"/>
      <c r="I11003" s="29"/>
      <c r="J11003" s="29"/>
      <c r="K11003" s="29"/>
      <c r="L11003" s="29" t="s">
        <v>256</v>
      </c>
      <c r="M11003" s="29"/>
      <c r="N11003" s="29" t="s">
        <v>6829</v>
      </c>
      <c r="O11003" s="29"/>
      <c r="P11003" s="29" t="s">
        <v>14741</v>
      </c>
      <c r="Q11003" t="s">
        <v>2189</v>
      </c>
      <c r="R11003" t="s">
        <v>2635</v>
      </c>
      <c r="S11003">
        <v>38</v>
      </c>
      <c r="T11003" s="43" t="str">
        <f t="shared" si="473"/>
        <v>2022.008D.Aelloviridae_146rensp.zip</v>
      </c>
      <c r="U11003" s="43" t="str">
        <f>HYPERLINK("https://ictv.global/taxonomy/taxondetails?taxnode_id=202209482","ictv.global=202209482")</f>
        <v>ictv.global=202209482</v>
      </c>
    </row>
    <row r="11004" spans="1:21">
      <c r="A11004">
        <v>11003</v>
      </c>
      <c r="B11004" s="29"/>
      <c r="C11004" s="29"/>
      <c r="D11004" s="29"/>
      <c r="E11004" s="29"/>
      <c r="F11004" s="29"/>
      <c r="G11004" s="29"/>
      <c r="H11004" s="29"/>
      <c r="I11004" s="29"/>
      <c r="J11004" s="29"/>
      <c r="K11004" s="29"/>
      <c r="L11004" s="29" t="s">
        <v>256</v>
      </c>
      <c r="M11004" s="29"/>
      <c r="N11004" s="29" t="s">
        <v>6829</v>
      </c>
      <c r="O11004" s="29"/>
      <c r="P11004" s="29" t="s">
        <v>14742</v>
      </c>
      <c r="Q11004" t="s">
        <v>2189</v>
      </c>
      <c r="R11004" t="s">
        <v>2635</v>
      </c>
      <c r="S11004">
        <v>38</v>
      </c>
      <c r="T11004" s="43" t="str">
        <f t="shared" si="473"/>
        <v>2022.008D.Aelloviridae_146rensp.zip</v>
      </c>
      <c r="U11004" s="43" t="str">
        <f>HYPERLINK("https://ictv.global/taxonomy/taxondetails?taxnode_id=202209478","ictv.global=202209478")</f>
        <v>ictv.global=202209478</v>
      </c>
    </row>
    <row r="11005" spans="1:21">
      <c r="A11005">
        <v>11004</v>
      </c>
      <c r="B11005" s="29"/>
      <c r="C11005" s="29"/>
      <c r="D11005" s="29"/>
      <c r="E11005" s="29"/>
      <c r="F11005" s="29"/>
      <c r="G11005" s="29"/>
      <c r="H11005" s="29"/>
      <c r="I11005" s="29"/>
      <c r="J11005" s="29"/>
      <c r="K11005" s="29"/>
      <c r="L11005" s="29" t="s">
        <v>256</v>
      </c>
      <c r="M11005" s="29"/>
      <c r="N11005" s="29" t="s">
        <v>6829</v>
      </c>
      <c r="O11005" s="29"/>
      <c r="P11005" s="29" t="s">
        <v>14743</v>
      </c>
      <c r="Q11005" t="s">
        <v>2189</v>
      </c>
      <c r="R11005" t="s">
        <v>2635</v>
      </c>
      <c r="S11005">
        <v>38</v>
      </c>
      <c r="T11005" s="43" t="str">
        <f t="shared" si="473"/>
        <v>2022.008D.Aelloviridae_146rensp.zip</v>
      </c>
      <c r="U11005" s="43" t="str">
        <f>HYPERLINK("https://ictv.global/taxonomy/taxondetails?taxnode_id=202209479","ictv.global=202209479")</f>
        <v>ictv.global=202209479</v>
      </c>
    </row>
    <row r="11006" spans="1:21">
      <c r="A11006">
        <v>11005</v>
      </c>
      <c r="B11006" s="29"/>
      <c r="C11006" s="29"/>
      <c r="D11006" s="29"/>
      <c r="E11006" s="29"/>
      <c r="F11006" s="29"/>
      <c r="G11006" s="29"/>
      <c r="H11006" s="29"/>
      <c r="I11006" s="29"/>
      <c r="J11006" s="29"/>
      <c r="K11006" s="29"/>
      <c r="L11006" s="29" t="s">
        <v>256</v>
      </c>
      <c r="M11006" s="29"/>
      <c r="N11006" s="29" t="s">
        <v>6829</v>
      </c>
      <c r="O11006" s="29"/>
      <c r="P11006" s="29" t="s">
        <v>14744</v>
      </c>
      <c r="Q11006" t="s">
        <v>2189</v>
      </c>
      <c r="R11006" t="s">
        <v>2635</v>
      </c>
      <c r="S11006">
        <v>38</v>
      </c>
      <c r="T11006" s="43" t="str">
        <f t="shared" si="473"/>
        <v>2022.008D.Aelloviridae_146rensp.zip</v>
      </c>
      <c r="U11006" s="43" t="str">
        <f>HYPERLINK("https://ictv.global/taxonomy/taxondetails?taxnode_id=202209477","ictv.global=202209477")</f>
        <v>ictv.global=202209477</v>
      </c>
    </row>
    <row r="11007" spans="1:21">
      <c r="A11007">
        <v>11006</v>
      </c>
      <c r="B11007" s="29"/>
      <c r="C11007" s="29"/>
      <c r="D11007" s="29"/>
      <c r="E11007" s="29"/>
      <c r="F11007" s="29"/>
      <c r="G11007" s="29"/>
      <c r="H11007" s="29"/>
      <c r="I11007" s="29"/>
      <c r="J11007" s="29"/>
      <c r="K11007" s="29"/>
      <c r="L11007" s="29" t="s">
        <v>256</v>
      </c>
      <c r="M11007" s="29"/>
      <c r="N11007" s="29" t="s">
        <v>6829</v>
      </c>
      <c r="O11007" s="29"/>
      <c r="P11007" s="29" t="s">
        <v>14745</v>
      </c>
      <c r="Q11007" t="s">
        <v>2189</v>
      </c>
      <c r="R11007" t="s">
        <v>2635</v>
      </c>
      <c r="S11007">
        <v>38</v>
      </c>
      <c r="T11007" s="43" t="str">
        <f t="shared" si="473"/>
        <v>2022.008D.Aelloviridae_146rensp.zip</v>
      </c>
      <c r="U11007" s="43" t="str">
        <f>HYPERLINK("https://ictv.global/taxonomy/taxondetails?taxnode_id=202209480","ictv.global=202209480")</f>
        <v>ictv.global=202209480</v>
      </c>
    </row>
    <row r="11008" spans="1:21">
      <c r="A11008">
        <v>11007</v>
      </c>
      <c r="B11008" s="29"/>
      <c r="C11008" s="29"/>
      <c r="D11008" s="29"/>
      <c r="E11008" s="29"/>
      <c r="F11008" s="29"/>
      <c r="G11008" s="29"/>
      <c r="H11008" s="29"/>
      <c r="I11008" s="29"/>
      <c r="J11008" s="29"/>
      <c r="K11008" s="29"/>
      <c r="L11008" s="29" t="s">
        <v>256</v>
      </c>
      <c r="M11008" s="29"/>
      <c r="N11008" s="29" t="s">
        <v>6829</v>
      </c>
      <c r="O11008" s="29"/>
      <c r="P11008" s="29" t="s">
        <v>14746</v>
      </c>
      <c r="Q11008" t="s">
        <v>2189</v>
      </c>
      <c r="R11008" t="s">
        <v>2635</v>
      </c>
      <c r="S11008">
        <v>38</v>
      </c>
      <c r="T11008" s="43" t="str">
        <f t="shared" si="473"/>
        <v>2022.008D.Aelloviridae_146rensp.zip</v>
      </c>
      <c r="U11008" s="43" t="str">
        <f>HYPERLINK("https://ictv.global/taxonomy/taxondetails?taxnode_id=202209481","ictv.global=202209481")</f>
        <v>ictv.global=202209481</v>
      </c>
    </row>
    <row r="11009" spans="1:21">
      <c r="A11009">
        <v>11008</v>
      </c>
      <c r="B11009" s="29"/>
      <c r="C11009" s="29"/>
      <c r="D11009" s="29"/>
      <c r="E11009" s="29"/>
      <c r="F11009" s="29"/>
      <c r="G11009" s="29"/>
      <c r="H11009" s="29"/>
      <c r="I11009" s="29"/>
      <c r="J11009" s="29"/>
      <c r="K11009" s="29"/>
      <c r="L11009" s="29" t="s">
        <v>256</v>
      </c>
      <c r="M11009" s="29"/>
      <c r="N11009" s="29" t="s">
        <v>6830</v>
      </c>
      <c r="O11009" s="29"/>
      <c r="P11009" s="29" t="s">
        <v>14747</v>
      </c>
      <c r="Q11009" t="s">
        <v>2189</v>
      </c>
      <c r="R11009" t="s">
        <v>2635</v>
      </c>
      <c r="S11009">
        <v>38</v>
      </c>
      <c r="T11009" s="43" t="str">
        <f t="shared" si="473"/>
        <v>2022.008D.Aelloviridae_146rensp.zip</v>
      </c>
      <c r="U11009" s="43" t="str">
        <f>HYPERLINK("https://ictv.global/taxonomy/taxondetails?taxnode_id=202209485","ictv.global=202209485")</f>
        <v>ictv.global=202209485</v>
      </c>
    </row>
    <row r="11010" spans="1:21">
      <c r="A11010">
        <v>11009</v>
      </c>
      <c r="B11010" s="29"/>
      <c r="C11010" s="29"/>
      <c r="D11010" s="29"/>
      <c r="E11010" s="29"/>
      <c r="F11010" s="29"/>
      <c r="G11010" s="29"/>
      <c r="H11010" s="29"/>
      <c r="I11010" s="29"/>
      <c r="J11010" s="29"/>
      <c r="K11010" s="29"/>
      <c r="L11010" s="29" t="s">
        <v>256</v>
      </c>
      <c r="M11010" s="29"/>
      <c r="N11010" s="29" t="s">
        <v>6830</v>
      </c>
      <c r="O11010" s="29"/>
      <c r="P11010" s="29" t="s">
        <v>14748</v>
      </c>
      <c r="Q11010" t="s">
        <v>2189</v>
      </c>
      <c r="R11010" t="s">
        <v>2635</v>
      </c>
      <c r="S11010">
        <v>38</v>
      </c>
      <c r="T11010" s="43" t="str">
        <f t="shared" si="473"/>
        <v>2022.008D.Aelloviridae_146rensp.zip</v>
      </c>
      <c r="U11010" s="43" t="str">
        <f>HYPERLINK("https://ictv.global/taxonomy/taxondetails?taxnode_id=202209484","ictv.global=202209484")</f>
        <v>ictv.global=202209484</v>
      </c>
    </row>
    <row r="11011" spans="1:21">
      <c r="A11011">
        <v>11010</v>
      </c>
      <c r="B11011" s="29"/>
      <c r="C11011" s="29"/>
      <c r="D11011" s="29"/>
      <c r="E11011" s="29"/>
      <c r="F11011" s="29"/>
      <c r="G11011" s="29"/>
      <c r="H11011" s="29"/>
      <c r="I11011" s="29"/>
      <c r="J11011" s="29"/>
      <c r="K11011" s="29"/>
      <c r="L11011" s="29" t="s">
        <v>256</v>
      </c>
      <c r="M11011" s="29"/>
      <c r="N11011" s="29" t="s">
        <v>6831</v>
      </c>
      <c r="O11011" s="29"/>
      <c r="P11011" s="29" t="s">
        <v>14749</v>
      </c>
      <c r="Q11011" t="s">
        <v>2189</v>
      </c>
      <c r="R11011" t="s">
        <v>2635</v>
      </c>
      <c r="S11011">
        <v>38</v>
      </c>
      <c r="T11011" s="43" t="str">
        <f t="shared" si="473"/>
        <v>2022.008D.Aelloviridae_146rensp.zip</v>
      </c>
      <c r="U11011" s="43" t="str">
        <f>HYPERLINK("https://ictv.global/taxonomy/taxondetails?taxnode_id=202209487","ictv.global=202209487")</f>
        <v>ictv.global=202209487</v>
      </c>
    </row>
    <row r="11012" spans="1:21">
      <c r="A11012">
        <v>11011</v>
      </c>
      <c r="B11012" s="29"/>
      <c r="C11012" s="29"/>
      <c r="D11012" s="29"/>
      <c r="E11012" s="29"/>
      <c r="F11012" s="29"/>
      <c r="G11012" s="29"/>
      <c r="H11012" s="29"/>
      <c r="I11012" s="29"/>
      <c r="J11012" s="29"/>
      <c r="K11012" s="29"/>
      <c r="L11012" s="29" t="s">
        <v>256</v>
      </c>
      <c r="M11012" s="29"/>
      <c r="N11012" s="29" t="s">
        <v>6831</v>
      </c>
      <c r="O11012" s="29"/>
      <c r="P11012" s="29" t="s">
        <v>14750</v>
      </c>
      <c r="Q11012" t="s">
        <v>2189</v>
      </c>
      <c r="R11012" t="s">
        <v>2635</v>
      </c>
      <c r="S11012">
        <v>38</v>
      </c>
      <c r="T11012" s="43" t="str">
        <f t="shared" si="473"/>
        <v>2022.008D.Aelloviridae_146rensp.zip</v>
      </c>
      <c r="U11012" s="43" t="str">
        <f>HYPERLINK("https://ictv.global/taxonomy/taxondetails?taxnode_id=202209488","ictv.global=202209488")</f>
        <v>ictv.global=202209488</v>
      </c>
    </row>
    <row r="11013" spans="1:21">
      <c r="A11013">
        <v>11012</v>
      </c>
      <c r="B11013" s="29"/>
      <c r="C11013" s="29"/>
      <c r="D11013" s="29"/>
      <c r="E11013" s="29"/>
      <c r="F11013" s="29"/>
      <c r="G11013" s="29"/>
      <c r="H11013" s="29"/>
      <c r="I11013" s="29"/>
      <c r="J11013" s="29"/>
      <c r="K11013" s="29"/>
      <c r="L11013" s="29" t="s">
        <v>256</v>
      </c>
      <c r="M11013" s="29"/>
      <c r="N11013" s="29" t="s">
        <v>1259</v>
      </c>
      <c r="O11013" s="29"/>
      <c r="P11013" s="29" t="s">
        <v>14751</v>
      </c>
      <c r="Q11013" t="s">
        <v>2189</v>
      </c>
      <c r="R11013" t="s">
        <v>2635</v>
      </c>
      <c r="S11013">
        <v>38</v>
      </c>
      <c r="T11013" s="43" t="str">
        <f t="shared" si="473"/>
        <v>2022.008D.Aelloviridae_146rensp.zip</v>
      </c>
      <c r="U11013" s="43" t="str">
        <f>HYPERLINK("https://ictv.global/taxonomy/taxondetails?taxnode_id=202202566","ictv.global=202202566")</f>
        <v>ictv.global=202202566</v>
      </c>
    </row>
    <row r="11014" spans="1:21">
      <c r="A11014">
        <v>11013</v>
      </c>
      <c r="B11014" s="29"/>
      <c r="C11014" s="29"/>
      <c r="D11014" s="29"/>
      <c r="E11014" s="29"/>
      <c r="F11014" s="29"/>
      <c r="G11014" s="29"/>
      <c r="H11014" s="29"/>
      <c r="I11014" s="29"/>
      <c r="J11014" s="29"/>
      <c r="K11014" s="29"/>
      <c r="L11014" s="29" t="s">
        <v>459</v>
      </c>
      <c r="M11014" s="29"/>
      <c r="N11014" s="29" t="s">
        <v>460</v>
      </c>
      <c r="O11014" s="29"/>
      <c r="P11014" s="29" t="s">
        <v>461</v>
      </c>
      <c r="Q11014" t="s">
        <v>3206</v>
      </c>
      <c r="R11014" t="s">
        <v>6901</v>
      </c>
      <c r="S11014">
        <v>36</v>
      </c>
      <c r="T11014" s="43" t="str">
        <f>HYPERLINK("https://ictv.global/ictv/proposals/2020.001G.R.Abolish_type_species.pdf","2020.001G.R.Abolish_type_species.pdf")</f>
        <v>2020.001G.R.Abolish_type_species.pdf</v>
      </c>
      <c r="U11014" s="43" t="str">
        <f>HYPERLINK("https://ictv.global/taxonomy/taxondetails?taxnode_id=202202648","ictv.global=202202648")</f>
        <v>ictv.global=202202648</v>
      </c>
    </row>
    <row r="11015" spans="1:21">
      <c r="A11015">
        <v>11014</v>
      </c>
      <c r="B11015" s="29"/>
      <c r="C11015" s="29"/>
      <c r="D11015" s="29"/>
      <c r="E11015" s="29"/>
      <c r="F11015" s="29"/>
      <c r="G11015" s="29"/>
      <c r="H11015" s="29"/>
      <c r="I11015" s="29"/>
      <c r="J11015" s="29"/>
      <c r="K11015" s="29"/>
      <c r="L11015" s="29" t="s">
        <v>459</v>
      </c>
      <c r="M11015" s="29"/>
      <c r="N11015" s="29" t="s">
        <v>462</v>
      </c>
      <c r="O11015" s="29"/>
      <c r="P11015" s="29" t="s">
        <v>463</v>
      </c>
      <c r="Q11015" t="s">
        <v>3206</v>
      </c>
      <c r="R11015" t="s">
        <v>6901</v>
      </c>
      <c r="S11015">
        <v>36</v>
      </c>
      <c r="T11015" s="43" t="str">
        <f>HYPERLINK("https://ictv.global/ictv/proposals/2020.001G.R.Abolish_type_species.pdf","2020.001G.R.Abolish_type_species.pdf")</f>
        <v>2020.001G.R.Abolish_type_species.pdf</v>
      </c>
      <c r="U11015" s="43" t="str">
        <f>HYPERLINK("https://ictv.global/taxonomy/taxondetails?taxnode_id=202202650","ictv.global=202202650")</f>
        <v>ictv.global=202202650</v>
      </c>
    </row>
    <row r="11016" spans="1:21">
      <c r="A11016">
        <v>11015</v>
      </c>
      <c r="B11016" s="29"/>
      <c r="C11016" s="29"/>
      <c r="D11016" s="29"/>
      <c r="E11016" s="29"/>
      <c r="F11016" s="29"/>
      <c r="G11016" s="29"/>
      <c r="H11016" s="29"/>
      <c r="I11016" s="29"/>
      <c r="J11016" s="29"/>
      <c r="K11016" s="29"/>
      <c r="L11016" s="29" t="s">
        <v>459</v>
      </c>
      <c r="M11016" s="29"/>
      <c r="N11016" s="29" t="s">
        <v>464</v>
      </c>
      <c r="O11016" s="29"/>
      <c r="P11016" s="29" t="s">
        <v>4444</v>
      </c>
      <c r="Q11016" t="s">
        <v>3206</v>
      </c>
      <c r="R11016" t="s">
        <v>2632</v>
      </c>
      <c r="S11016">
        <v>35</v>
      </c>
      <c r="T11016" s="43" t="str">
        <f>HYPERLINK("https://ictv.global/ictv/proposals/2019.026P.zip","2019.026P.zip")</f>
        <v>2019.026P.zip</v>
      </c>
      <c r="U11016" s="43" t="str">
        <f>HYPERLINK("https://ictv.global/taxonomy/taxondetails?taxnode_id=202207651","ictv.global=202207651")</f>
        <v>ictv.global=202207651</v>
      </c>
    </row>
    <row r="11017" spans="1:21">
      <c r="A11017">
        <v>11016</v>
      </c>
      <c r="B11017" s="29"/>
      <c r="C11017" s="29"/>
      <c r="D11017" s="29"/>
      <c r="E11017" s="29"/>
      <c r="F11017" s="29"/>
      <c r="G11017" s="29"/>
      <c r="H11017" s="29"/>
      <c r="I11017" s="29"/>
      <c r="J11017" s="29"/>
      <c r="K11017" s="29"/>
      <c r="L11017" s="29" t="s">
        <v>459</v>
      </c>
      <c r="M11017" s="29"/>
      <c r="N11017" s="29" t="s">
        <v>464</v>
      </c>
      <c r="O11017" s="29"/>
      <c r="P11017" s="29" t="s">
        <v>465</v>
      </c>
      <c r="Q11017" t="s">
        <v>3206</v>
      </c>
      <c r="R11017" t="s">
        <v>2634</v>
      </c>
      <c r="S11017">
        <v>35</v>
      </c>
      <c r="T11017" s="43" t="str">
        <f>HYPERLINK("https://ictv.global/ictv/proposals/2019.009G.zip","2019.009G.zip")</f>
        <v>2019.009G.zip</v>
      </c>
      <c r="U11017" s="43" t="str">
        <f>HYPERLINK("https://ictv.global/taxonomy/taxondetails?taxnode_id=202202652","ictv.global=202202652")</f>
        <v>ictv.global=202202652</v>
      </c>
    </row>
    <row r="11018" spans="1:21">
      <c r="A11018">
        <v>11017</v>
      </c>
      <c r="B11018" s="29"/>
      <c r="C11018" s="29"/>
      <c r="D11018" s="29"/>
      <c r="E11018" s="29"/>
      <c r="F11018" s="29"/>
      <c r="G11018" s="29"/>
      <c r="H11018" s="29"/>
      <c r="I11018" s="29"/>
      <c r="J11018" s="29"/>
      <c r="K11018" s="29"/>
      <c r="L11018" s="29" t="s">
        <v>459</v>
      </c>
      <c r="M11018" s="29"/>
      <c r="N11018" s="29" t="s">
        <v>464</v>
      </c>
      <c r="O11018" s="29"/>
      <c r="P11018" s="29" t="s">
        <v>1285</v>
      </c>
      <c r="Q11018" t="s">
        <v>3206</v>
      </c>
      <c r="R11018" t="s">
        <v>6901</v>
      </c>
      <c r="S11018">
        <v>36</v>
      </c>
      <c r="T11018" s="43" t="str">
        <f>HYPERLINK("https://ictv.global/ictv/proposals/2020.001G.R.Abolish_type_species.pdf","2020.001G.R.Abolish_type_species.pdf")</f>
        <v>2020.001G.R.Abolish_type_species.pdf</v>
      </c>
      <c r="U11018" s="43" t="str">
        <f>HYPERLINK("https://ictv.global/taxonomy/taxondetails?taxnode_id=202202653","ictv.global=202202653")</f>
        <v>ictv.global=202202653</v>
      </c>
    </row>
    <row r="11019" spans="1:21">
      <c r="A11019">
        <v>11018</v>
      </c>
      <c r="B11019" s="29"/>
      <c r="C11019" s="29"/>
      <c r="D11019" s="29"/>
      <c r="E11019" s="29"/>
      <c r="F11019" s="29"/>
      <c r="G11019" s="29"/>
      <c r="H11019" s="29"/>
      <c r="I11019" s="29"/>
      <c r="J11019" s="29"/>
      <c r="K11019" s="29"/>
      <c r="L11019" s="29" t="s">
        <v>18154</v>
      </c>
      <c r="M11019" s="29"/>
      <c r="N11019" s="29" t="s">
        <v>18155</v>
      </c>
      <c r="O11019" s="29"/>
      <c r="P11019" s="29" t="s">
        <v>18146</v>
      </c>
      <c r="Q11019" t="s">
        <v>2038</v>
      </c>
      <c r="R11019" t="s">
        <v>2632</v>
      </c>
      <c r="S11019">
        <v>38</v>
      </c>
      <c r="T11019" s="43" t="str">
        <f>HYPERLINK("https://ictv.global/ictv/proposals/2022.001G.GTA_viriforms.zip","2022.001G.GTA_viriforms.zip")</f>
        <v>2022.001G.GTA_viriforms.zip</v>
      </c>
      <c r="U11019" s="43" t="str">
        <f>HYPERLINK("https://ictv.global/taxonomy/taxondetails?taxnode_id=202215076","ictv.global=202215076")</f>
        <v>ictv.global=202215076</v>
      </c>
    </row>
    <row r="11020" spans="1:21">
      <c r="A11020">
        <v>11019</v>
      </c>
      <c r="B11020" s="29"/>
      <c r="C11020" s="29"/>
      <c r="D11020" s="29"/>
      <c r="E11020" s="29"/>
      <c r="F11020" s="29"/>
      <c r="G11020" s="29"/>
      <c r="H11020" s="29"/>
      <c r="I11020" s="29"/>
      <c r="J11020" s="29"/>
      <c r="K11020" s="29"/>
      <c r="L11020" s="29" t="s">
        <v>515</v>
      </c>
      <c r="M11020" s="29"/>
      <c r="N11020" s="29" t="s">
        <v>516</v>
      </c>
      <c r="O11020" s="29"/>
      <c r="P11020" s="29" t="s">
        <v>517</v>
      </c>
      <c r="Q11020" t="s">
        <v>2038</v>
      </c>
      <c r="R11020" t="s">
        <v>6901</v>
      </c>
      <c r="S11020">
        <v>36</v>
      </c>
      <c r="T11020" s="43" t="str">
        <f>HYPERLINK("https://ictv.global/ictv/proposals/2020.001G.R.Abolish_type_species.pdf","2020.001G.R.Abolish_type_species.pdf")</f>
        <v>2020.001G.R.Abolish_type_species.pdf</v>
      </c>
      <c r="U11020" s="43" t="str">
        <f>HYPERLINK("https://ictv.global/taxonomy/taxondetails?taxnode_id=202202740","ictv.global=202202740")</f>
        <v>ictv.global=202202740</v>
      </c>
    </row>
    <row r="11021" spans="1:21">
      <c r="A11021">
        <v>11020</v>
      </c>
      <c r="B11021" s="29"/>
      <c r="C11021" s="29"/>
      <c r="D11021" s="29"/>
      <c r="E11021" s="29"/>
      <c r="F11021" s="29"/>
      <c r="G11021" s="29"/>
      <c r="H11021" s="29"/>
      <c r="I11021" s="29"/>
      <c r="J11021" s="29"/>
      <c r="K11021" s="29"/>
      <c r="L11021" s="29" t="s">
        <v>18156</v>
      </c>
      <c r="M11021" s="29"/>
      <c r="N11021" s="29" t="s">
        <v>18157</v>
      </c>
      <c r="O11021" s="29"/>
      <c r="P11021" s="29" t="s">
        <v>18147</v>
      </c>
      <c r="Q11021" t="s">
        <v>2038</v>
      </c>
      <c r="R11021" t="s">
        <v>2632</v>
      </c>
      <c r="S11021">
        <v>38</v>
      </c>
      <c r="T11021" s="43" t="str">
        <f>HYPERLINK("https://ictv.global/ictv/proposals/2022.001G.GTA_viriforms.zip","2022.001G.GTA_viriforms.zip")</f>
        <v>2022.001G.GTA_viriforms.zip</v>
      </c>
      <c r="U11021" s="43" t="str">
        <f>HYPERLINK("https://ictv.global/taxonomy/taxondetails?taxnode_id=202215077","ictv.global=202215077")</f>
        <v>ictv.global=202215077</v>
      </c>
    </row>
    <row r="11022" spans="1:21">
      <c r="A11022">
        <v>11021</v>
      </c>
      <c r="B11022" s="29"/>
      <c r="C11022" s="29"/>
      <c r="D11022" s="29"/>
      <c r="E11022" s="29"/>
      <c r="F11022" s="29"/>
      <c r="G11022" s="29"/>
      <c r="H11022" s="29"/>
      <c r="I11022" s="29"/>
      <c r="J11022" s="29"/>
      <c r="K11022" s="29"/>
      <c r="L11022" s="29" t="s">
        <v>49</v>
      </c>
      <c r="M11022" s="29"/>
      <c r="N11022" s="29" t="s">
        <v>50</v>
      </c>
      <c r="O11022" s="29"/>
      <c r="P11022" s="29" t="s">
        <v>51</v>
      </c>
      <c r="Q11022" t="s">
        <v>2038</v>
      </c>
      <c r="R11022" t="s">
        <v>6901</v>
      </c>
      <c r="S11022">
        <v>36</v>
      </c>
      <c r="T11022" s="43" t="str">
        <f>HYPERLINK("https://ictv.global/ictv/proposals/2020.001G.R.Abolish_type_species.pdf","2020.001G.R.Abolish_type_species.pdf")</f>
        <v>2020.001G.R.Abolish_type_species.pdf</v>
      </c>
      <c r="U11022" s="43" t="str">
        <f>HYPERLINK("https://ictv.global/taxonomy/taxondetails?taxnode_id=202202977","ictv.global=202202977")</f>
        <v>ictv.global=202202977</v>
      </c>
    </row>
    <row r="11023" spans="1:21">
      <c r="A11023">
        <v>11022</v>
      </c>
      <c r="B11023" s="29"/>
      <c r="C11023" s="29"/>
      <c r="D11023" s="29"/>
      <c r="E11023" s="29"/>
      <c r="F11023" s="29"/>
      <c r="G11023" s="29"/>
      <c r="H11023" s="29"/>
      <c r="I11023" s="29"/>
      <c r="J11023" s="29"/>
      <c r="K11023" s="29"/>
      <c r="L11023" s="29" t="s">
        <v>1544</v>
      </c>
      <c r="M11023" s="29"/>
      <c r="N11023" s="29" t="s">
        <v>1655</v>
      </c>
      <c r="O11023" s="29"/>
      <c r="P11023" s="29" t="s">
        <v>1545</v>
      </c>
      <c r="Q11023" t="s">
        <v>2038</v>
      </c>
      <c r="R11023" t="s">
        <v>6901</v>
      </c>
      <c r="S11023">
        <v>36</v>
      </c>
      <c r="T11023" s="43" t="str">
        <f>HYPERLINK("https://ictv.global/ictv/proposals/2020.001G.R.Abolish_type_species.pdf","2020.001G.R.Abolish_type_species.pdf")</f>
        <v>2020.001G.R.Abolish_type_species.pdf</v>
      </c>
      <c r="U11023" s="43" t="str">
        <f>HYPERLINK("https://ictv.global/taxonomy/taxondetails?taxnode_id=202203159","ictv.global=202203159")</f>
        <v>ictv.global=202203159</v>
      </c>
    </row>
    <row r="11024" spans="1:21">
      <c r="A11024">
        <v>11023</v>
      </c>
      <c r="B11024" s="29"/>
      <c r="C11024" s="29"/>
      <c r="D11024" s="29"/>
      <c r="E11024" s="29"/>
      <c r="F11024" s="29"/>
      <c r="G11024" s="29"/>
      <c r="H11024" s="29"/>
      <c r="I11024" s="29"/>
      <c r="J11024" s="29"/>
      <c r="K11024" s="29"/>
      <c r="L11024" s="29" t="s">
        <v>1544</v>
      </c>
      <c r="M11024" s="29"/>
      <c r="N11024" s="29" t="s">
        <v>1655</v>
      </c>
      <c r="O11024" s="29"/>
      <c r="P11024" s="29" t="s">
        <v>1656</v>
      </c>
      <c r="Q11024" t="s">
        <v>2038</v>
      </c>
      <c r="R11024" t="s">
        <v>2632</v>
      </c>
      <c r="S11024">
        <v>27</v>
      </c>
      <c r="T11024" s="43" t="str">
        <f t="shared" ref="T11024:T11030" si="474">HYPERLINK("https://ictv.global/ictv/proposals/2011.001a-fB.A.v3.Betafusellovirus.pdf","2011.001a-fB.A.v3.Betafusellovirus.pdf")</f>
        <v>2011.001a-fB.A.v3.Betafusellovirus.pdf</v>
      </c>
      <c r="U11024" s="43" t="str">
        <f>HYPERLINK("https://ictv.global/taxonomy/taxondetails?taxnode_id=202203160","ictv.global=202203160")</f>
        <v>ictv.global=202203160</v>
      </c>
    </row>
    <row r="11025" spans="1:21">
      <c r="A11025">
        <v>11024</v>
      </c>
      <c r="B11025" s="29"/>
      <c r="C11025" s="29"/>
      <c r="D11025" s="29"/>
      <c r="E11025" s="29"/>
      <c r="F11025" s="29"/>
      <c r="G11025" s="29"/>
      <c r="H11025" s="29"/>
      <c r="I11025" s="29"/>
      <c r="J11025" s="29"/>
      <c r="K11025" s="29"/>
      <c r="L11025" s="29" t="s">
        <v>1544</v>
      </c>
      <c r="M11025" s="29"/>
      <c r="N11025" s="29" t="s">
        <v>1655</v>
      </c>
      <c r="O11025" s="29"/>
      <c r="P11025" s="29" t="s">
        <v>1657</v>
      </c>
      <c r="Q11025" t="s">
        <v>2038</v>
      </c>
      <c r="R11025" t="s">
        <v>2632</v>
      </c>
      <c r="S11025">
        <v>27</v>
      </c>
      <c r="T11025" s="43" t="str">
        <f t="shared" si="474"/>
        <v>2011.001a-fB.A.v3.Betafusellovirus.pdf</v>
      </c>
      <c r="U11025" s="43" t="str">
        <f>HYPERLINK("https://ictv.global/taxonomy/taxondetails?taxnode_id=202203161","ictv.global=202203161")</f>
        <v>ictv.global=202203161</v>
      </c>
    </row>
    <row r="11026" spans="1:21">
      <c r="A11026">
        <v>11025</v>
      </c>
      <c r="B11026" s="29"/>
      <c r="C11026" s="29"/>
      <c r="D11026" s="29"/>
      <c r="E11026" s="29"/>
      <c r="F11026" s="29"/>
      <c r="G11026" s="29"/>
      <c r="H11026" s="29"/>
      <c r="I11026" s="29"/>
      <c r="J11026" s="29"/>
      <c r="K11026" s="29"/>
      <c r="L11026" s="29" t="s">
        <v>1544</v>
      </c>
      <c r="M11026" s="29"/>
      <c r="N11026" s="29" t="s">
        <v>1655</v>
      </c>
      <c r="O11026" s="29"/>
      <c r="P11026" s="29" t="s">
        <v>1658</v>
      </c>
      <c r="Q11026" t="s">
        <v>2038</v>
      </c>
      <c r="R11026" t="s">
        <v>2632</v>
      </c>
      <c r="S11026">
        <v>27</v>
      </c>
      <c r="T11026" s="43" t="str">
        <f t="shared" si="474"/>
        <v>2011.001a-fB.A.v3.Betafusellovirus.pdf</v>
      </c>
      <c r="U11026" s="43" t="str">
        <f>HYPERLINK("https://ictv.global/taxonomy/taxondetails?taxnode_id=202203162","ictv.global=202203162")</f>
        <v>ictv.global=202203162</v>
      </c>
    </row>
    <row r="11027" spans="1:21">
      <c r="A11027">
        <v>11026</v>
      </c>
      <c r="B11027" s="29"/>
      <c r="C11027" s="29"/>
      <c r="D11027" s="29"/>
      <c r="E11027" s="29"/>
      <c r="F11027" s="29"/>
      <c r="G11027" s="29"/>
      <c r="H11027" s="29"/>
      <c r="I11027" s="29"/>
      <c r="J11027" s="29"/>
      <c r="K11027" s="29"/>
      <c r="L11027" s="29" t="s">
        <v>1544</v>
      </c>
      <c r="M11027" s="29"/>
      <c r="N11027" s="29" t="s">
        <v>1655</v>
      </c>
      <c r="O11027" s="29"/>
      <c r="P11027" s="29" t="s">
        <v>1659</v>
      </c>
      <c r="Q11027" t="s">
        <v>2038</v>
      </c>
      <c r="R11027" t="s">
        <v>2632</v>
      </c>
      <c r="S11027">
        <v>27</v>
      </c>
      <c r="T11027" s="43" t="str">
        <f t="shared" si="474"/>
        <v>2011.001a-fB.A.v3.Betafusellovirus.pdf</v>
      </c>
      <c r="U11027" s="43" t="str">
        <f>HYPERLINK("https://ictv.global/taxonomy/taxondetails?taxnode_id=202203163","ictv.global=202203163")</f>
        <v>ictv.global=202203163</v>
      </c>
    </row>
    <row r="11028" spans="1:21">
      <c r="A11028">
        <v>11027</v>
      </c>
      <c r="B11028" s="29"/>
      <c r="C11028" s="29"/>
      <c r="D11028" s="29"/>
      <c r="E11028" s="29"/>
      <c r="F11028" s="29"/>
      <c r="G11028" s="29"/>
      <c r="H11028" s="29"/>
      <c r="I11028" s="29"/>
      <c r="J11028" s="29"/>
      <c r="K11028" s="29"/>
      <c r="L11028" s="29" t="s">
        <v>1544</v>
      </c>
      <c r="M11028" s="29"/>
      <c r="N11028" s="29" t="s">
        <v>1655</v>
      </c>
      <c r="O11028" s="29"/>
      <c r="P11028" s="29" t="s">
        <v>1660</v>
      </c>
      <c r="Q11028" t="s">
        <v>2038</v>
      </c>
      <c r="R11028" t="s">
        <v>2632</v>
      </c>
      <c r="S11028">
        <v>27</v>
      </c>
      <c r="T11028" s="43" t="str">
        <f t="shared" si="474"/>
        <v>2011.001a-fB.A.v3.Betafusellovirus.pdf</v>
      </c>
      <c r="U11028" s="43" t="str">
        <f>HYPERLINK("https://ictv.global/taxonomy/taxondetails?taxnode_id=202203164","ictv.global=202203164")</f>
        <v>ictv.global=202203164</v>
      </c>
    </row>
    <row r="11029" spans="1:21">
      <c r="A11029">
        <v>11028</v>
      </c>
      <c r="B11029" s="29"/>
      <c r="C11029" s="29"/>
      <c r="D11029" s="29"/>
      <c r="E11029" s="29"/>
      <c r="F11029" s="29"/>
      <c r="G11029" s="29"/>
      <c r="H11029" s="29"/>
      <c r="I11029" s="29"/>
      <c r="J11029" s="29"/>
      <c r="K11029" s="29"/>
      <c r="L11029" s="29" t="s">
        <v>1544</v>
      </c>
      <c r="M11029" s="29"/>
      <c r="N11029" s="29" t="s">
        <v>1655</v>
      </c>
      <c r="O11029" s="29"/>
      <c r="P11029" s="29" t="s">
        <v>1661</v>
      </c>
      <c r="Q11029" t="s">
        <v>2038</v>
      </c>
      <c r="R11029" t="s">
        <v>2632</v>
      </c>
      <c r="S11029">
        <v>27</v>
      </c>
      <c r="T11029" s="43" t="str">
        <f t="shared" si="474"/>
        <v>2011.001a-fB.A.v3.Betafusellovirus.pdf</v>
      </c>
      <c r="U11029" s="43" t="str">
        <f>HYPERLINK("https://ictv.global/taxonomy/taxondetails?taxnode_id=202203165","ictv.global=202203165")</f>
        <v>ictv.global=202203165</v>
      </c>
    </row>
    <row r="11030" spans="1:21">
      <c r="A11030">
        <v>11029</v>
      </c>
      <c r="B11030" s="29"/>
      <c r="C11030" s="29"/>
      <c r="D11030" s="29"/>
      <c r="E11030" s="29"/>
      <c r="F11030" s="29"/>
      <c r="G11030" s="29"/>
      <c r="H11030" s="29"/>
      <c r="I11030" s="29"/>
      <c r="J11030" s="29"/>
      <c r="K11030" s="29"/>
      <c r="L11030" s="29" t="s">
        <v>1544</v>
      </c>
      <c r="M11030" s="29"/>
      <c r="N11030" s="29" t="s">
        <v>1662</v>
      </c>
      <c r="O11030" s="29"/>
      <c r="P11030" s="29" t="s">
        <v>1663</v>
      </c>
      <c r="Q11030" t="s">
        <v>2038</v>
      </c>
      <c r="R11030" t="s">
        <v>2632</v>
      </c>
      <c r="S11030">
        <v>27</v>
      </c>
      <c r="T11030" s="43" t="str">
        <f t="shared" si="474"/>
        <v>2011.001a-fB.A.v3.Betafusellovirus.pdf</v>
      </c>
      <c r="U11030" s="43" t="str">
        <f>HYPERLINK("https://ictv.global/taxonomy/taxondetails?taxnode_id=202203167","ictv.global=202203167")</f>
        <v>ictv.global=202203167</v>
      </c>
    </row>
    <row r="11031" spans="1:21">
      <c r="A11031">
        <v>11030</v>
      </c>
      <c r="B11031" s="29"/>
      <c r="C11031" s="29"/>
      <c r="D11031" s="29"/>
      <c r="E11031" s="29"/>
      <c r="F11031" s="29"/>
      <c r="G11031" s="29"/>
      <c r="H11031" s="29"/>
      <c r="I11031" s="29"/>
      <c r="J11031" s="29"/>
      <c r="K11031" s="29"/>
      <c r="L11031" s="29" t="s">
        <v>1544</v>
      </c>
      <c r="M11031" s="29"/>
      <c r="N11031" s="29" t="s">
        <v>1662</v>
      </c>
      <c r="O11031" s="29"/>
      <c r="P11031" s="29" t="s">
        <v>1664</v>
      </c>
      <c r="Q11031" t="s">
        <v>2038</v>
      </c>
      <c r="R11031" t="s">
        <v>6901</v>
      </c>
      <c r="S11031">
        <v>36</v>
      </c>
      <c r="T11031" s="43" t="str">
        <f>HYPERLINK("https://ictv.global/ictv/proposals/2020.001G.R.Abolish_type_species.pdf","2020.001G.R.Abolish_type_species.pdf")</f>
        <v>2020.001G.R.Abolish_type_species.pdf</v>
      </c>
      <c r="U11031" s="43" t="str">
        <f>HYPERLINK("https://ictv.global/taxonomy/taxondetails?taxnode_id=202203168","ictv.global=202203168")</f>
        <v>ictv.global=202203168</v>
      </c>
    </row>
    <row r="11032" spans="1:21">
      <c r="A11032">
        <v>11031</v>
      </c>
      <c r="B11032" s="29"/>
      <c r="C11032" s="29"/>
      <c r="D11032" s="29"/>
      <c r="E11032" s="29"/>
      <c r="F11032" s="29"/>
      <c r="G11032" s="29"/>
      <c r="H11032" s="29"/>
      <c r="I11032" s="29"/>
      <c r="J11032" s="29"/>
      <c r="K11032" s="29"/>
      <c r="L11032" s="29" t="s">
        <v>298</v>
      </c>
      <c r="M11032" s="29"/>
      <c r="N11032" s="29" t="s">
        <v>6832</v>
      </c>
      <c r="O11032" s="29"/>
      <c r="P11032" s="29" t="s">
        <v>6833</v>
      </c>
      <c r="Q11032" t="s">
        <v>2038</v>
      </c>
      <c r="R11032" t="s">
        <v>6900</v>
      </c>
      <c r="S11032">
        <v>36</v>
      </c>
      <c r="T11032" s="43" t="str">
        <f>HYPERLINK("https://ictv.global/ictv/proposals/2020.063B.R.Globuloviridae.zip","2020.063B.R.Globuloviridae.zip;2020.001G.R.Abolish_type_species.pdf")</f>
        <v>2020.063B.R.Globuloviridae.zip;2020.001G.R.Abolish_type_species.pdf</v>
      </c>
      <c r="U11032" s="43" t="str">
        <f>HYPERLINK("https://ictv.global/taxonomy/taxondetails?taxnode_id=202203637","ictv.global=202203637")</f>
        <v>ictv.global=202203637</v>
      </c>
    </row>
    <row r="11033" spans="1:21">
      <c r="A11033">
        <v>11032</v>
      </c>
      <c r="B11033" s="29"/>
      <c r="C11033" s="29"/>
      <c r="D11033" s="29"/>
      <c r="E11033" s="29"/>
      <c r="F11033" s="29"/>
      <c r="G11033" s="29"/>
      <c r="H11033" s="29"/>
      <c r="I11033" s="29"/>
      <c r="J11033" s="29"/>
      <c r="K11033" s="29"/>
      <c r="L11033" s="29" t="s">
        <v>298</v>
      </c>
      <c r="M11033" s="29"/>
      <c r="N11033" s="29" t="s">
        <v>6832</v>
      </c>
      <c r="O11033" s="29"/>
      <c r="P11033" s="29" t="s">
        <v>6834</v>
      </c>
      <c r="Q11033" t="s">
        <v>2038</v>
      </c>
      <c r="R11033" t="s">
        <v>2632</v>
      </c>
      <c r="S11033">
        <v>36</v>
      </c>
      <c r="T11033" s="43" t="str">
        <f>HYPERLINK("https://ictv.global/ictv/proposals/2020.063B.R.Globuloviridae.zip","2020.063B.R.Globuloviridae.zip")</f>
        <v>2020.063B.R.Globuloviridae.zip</v>
      </c>
      <c r="U11033" s="43" t="str">
        <f>HYPERLINK("https://ictv.global/taxonomy/taxondetails?taxnode_id=202210043","ictv.global=202210043")</f>
        <v>ictv.global=202210043</v>
      </c>
    </row>
    <row r="11034" spans="1:21">
      <c r="A11034">
        <v>11033</v>
      </c>
      <c r="B11034" s="29"/>
      <c r="C11034" s="29"/>
      <c r="D11034" s="29"/>
      <c r="E11034" s="29"/>
      <c r="F11034" s="29"/>
      <c r="G11034" s="29"/>
      <c r="H11034" s="29"/>
      <c r="I11034" s="29"/>
      <c r="J11034" s="29"/>
      <c r="K11034" s="29"/>
      <c r="L11034" s="29" t="s">
        <v>298</v>
      </c>
      <c r="M11034" s="29"/>
      <c r="N11034" s="29" t="s">
        <v>6832</v>
      </c>
      <c r="O11034" s="29"/>
      <c r="P11034" s="29" t="s">
        <v>6835</v>
      </c>
      <c r="Q11034" t="s">
        <v>2038</v>
      </c>
      <c r="R11034" t="s">
        <v>2632</v>
      </c>
      <c r="S11034">
        <v>36</v>
      </c>
      <c r="T11034" s="43" t="str">
        <f>HYPERLINK("https://ictv.global/ictv/proposals/2020.063B.R.Globuloviridae.zip","2020.063B.R.Globuloviridae.zip")</f>
        <v>2020.063B.R.Globuloviridae.zip</v>
      </c>
      <c r="U11034" s="43" t="str">
        <f>HYPERLINK("https://ictv.global/taxonomy/taxondetails?taxnode_id=202210044","ictv.global=202210044")</f>
        <v>ictv.global=202210044</v>
      </c>
    </row>
    <row r="11035" spans="1:21">
      <c r="A11035">
        <v>11034</v>
      </c>
      <c r="B11035" s="29"/>
      <c r="C11035" s="29"/>
      <c r="D11035" s="29"/>
      <c r="E11035" s="29"/>
      <c r="F11035" s="29"/>
      <c r="G11035" s="29"/>
      <c r="H11035" s="29"/>
      <c r="I11035" s="29"/>
      <c r="J11035" s="29"/>
      <c r="K11035" s="29"/>
      <c r="L11035" s="29" t="s">
        <v>298</v>
      </c>
      <c r="M11035" s="29"/>
      <c r="N11035" s="29" t="s">
        <v>6832</v>
      </c>
      <c r="O11035" s="29"/>
      <c r="P11035" s="29" t="s">
        <v>6836</v>
      </c>
      <c r="Q11035" t="s">
        <v>2038</v>
      </c>
      <c r="R11035" t="s">
        <v>2633</v>
      </c>
      <c r="S11035">
        <v>36</v>
      </c>
      <c r="T11035" s="43" t="str">
        <f>HYPERLINK("https://ictv.global/ictv/proposals/2020.063B.R.Globuloviridae.zip","2020.063B.R.Globuloviridae.zip")</f>
        <v>2020.063B.R.Globuloviridae.zip</v>
      </c>
      <c r="U11035" s="43" t="str">
        <f>HYPERLINK("https://ictv.global/taxonomy/taxondetails?taxnode_id=202203638","ictv.global=202203638")</f>
        <v>ictv.global=202203638</v>
      </c>
    </row>
    <row r="11036" spans="1:21">
      <c r="A11036">
        <v>11035</v>
      </c>
      <c r="B11036" s="29"/>
      <c r="C11036" s="29"/>
      <c r="D11036" s="29"/>
      <c r="E11036" s="29"/>
      <c r="F11036" s="29"/>
      <c r="G11036" s="29"/>
      <c r="H11036" s="29"/>
      <c r="I11036" s="29"/>
      <c r="J11036" s="29"/>
      <c r="K11036" s="29"/>
      <c r="L11036" s="29" t="s">
        <v>1083</v>
      </c>
      <c r="M11036" s="29"/>
      <c r="N11036" s="29" t="s">
        <v>1687</v>
      </c>
      <c r="O11036" s="29"/>
      <c r="P11036" s="29" t="s">
        <v>1688</v>
      </c>
      <c r="Q11036" t="s">
        <v>2038</v>
      </c>
      <c r="R11036" t="s">
        <v>6901</v>
      </c>
      <c r="S11036">
        <v>36</v>
      </c>
      <c r="T11036" s="43" t="str">
        <f>HYPERLINK("https://ictv.global/ictv/proposals/2020.001G.R.Abolish_type_species.pdf","2020.001G.R.Abolish_type_species.pdf")</f>
        <v>2020.001G.R.Abolish_type_species.pdf</v>
      </c>
      <c r="U11036" s="43" t="str">
        <f>HYPERLINK("https://ictv.global/taxonomy/taxondetails?taxnode_id=202203644","ictv.global=202203644")</f>
        <v>ictv.global=202203644</v>
      </c>
    </row>
    <row r="11037" spans="1:21">
      <c r="A11037">
        <v>11036</v>
      </c>
      <c r="B11037" s="29"/>
      <c r="C11037" s="29"/>
      <c r="D11037" s="29"/>
      <c r="E11037" s="29"/>
      <c r="F11037" s="29"/>
      <c r="G11037" s="29"/>
      <c r="H11037" s="29"/>
      <c r="I11037" s="29"/>
      <c r="J11037" s="29"/>
      <c r="K11037" s="29"/>
      <c r="L11037" s="29" t="s">
        <v>4447</v>
      </c>
      <c r="M11037" s="29"/>
      <c r="N11037" s="29" t="s">
        <v>759</v>
      </c>
      <c r="O11037" s="29"/>
      <c r="P11037" s="29" t="s">
        <v>4448</v>
      </c>
      <c r="Q11037" t="s">
        <v>2038</v>
      </c>
      <c r="R11037" t="s">
        <v>6901</v>
      </c>
      <c r="S11037">
        <v>36</v>
      </c>
      <c r="T11037" s="43" t="str">
        <f>HYPERLINK("https://ictv.global/ictv/proposals/2020.001G.R.Abolish_type_species.pdf","2020.001G.R.Abolish_type_species.pdf")</f>
        <v>2020.001G.R.Abolish_type_species.pdf</v>
      </c>
      <c r="U11037" s="43" t="str">
        <f>HYPERLINK("https://ictv.global/taxonomy/taxondetails?taxnode_id=202205366","ictv.global=202205366")</f>
        <v>ictv.global=202205366</v>
      </c>
    </row>
    <row r="11038" spans="1:21">
      <c r="A11038">
        <v>11037</v>
      </c>
      <c r="B11038" s="29"/>
      <c r="C11038" s="29"/>
      <c r="D11038" s="29"/>
      <c r="E11038" s="29"/>
      <c r="F11038" s="29"/>
      <c r="G11038" s="29"/>
      <c r="H11038" s="29"/>
      <c r="I11038" s="29"/>
      <c r="J11038" s="29"/>
      <c r="K11038" s="29"/>
      <c r="L11038" s="29" t="s">
        <v>18158</v>
      </c>
      <c r="M11038" s="29"/>
      <c r="N11038" s="29" t="s">
        <v>18159</v>
      </c>
      <c r="O11038" s="29"/>
      <c r="P11038" s="29" t="s">
        <v>18148</v>
      </c>
      <c r="Q11038" t="s">
        <v>2038</v>
      </c>
      <c r="R11038" t="s">
        <v>2632</v>
      </c>
      <c r="S11038">
        <v>38</v>
      </c>
      <c r="T11038" s="43" t="str">
        <f>HYPERLINK("https://ictv.global/ictv/proposals/2022.001A.Nakonvirales_Maximonvirales_Coyopavirales_3no.zip","2022.001A.Nakonvirales_Maximonvirales_Coyopavirales_3no.zip")</f>
        <v>2022.001A.Nakonvirales_Maximonvirales_Coyopavirales_3no.zip</v>
      </c>
      <c r="U11038" s="43" t="str">
        <f>HYPERLINK("https://ictv.global/taxonomy/taxondetails?taxnode_id=202214296","ictv.global=202214296")</f>
        <v>ictv.global=202214296</v>
      </c>
    </row>
    <row r="11039" spans="1:21">
      <c r="A11039">
        <v>11038</v>
      </c>
      <c r="B11039" s="29"/>
      <c r="C11039" s="29"/>
      <c r="D11039" s="29"/>
      <c r="E11039" s="29"/>
      <c r="F11039" s="29"/>
      <c r="G11039" s="29"/>
      <c r="H11039" s="29"/>
      <c r="I11039" s="29"/>
      <c r="J11039" s="29"/>
      <c r="K11039" s="29"/>
      <c r="L11039" s="29" t="s">
        <v>18158</v>
      </c>
      <c r="M11039" s="29"/>
      <c r="N11039" s="29" t="s">
        <v>18160</v>
      </c>
      <c r="O11039" s="29"/>
      <c r="P11039" s="29" t="s">
        <v>18150</v>
      </c>
      <c r="Q11039" t="s">
        <v>2038</v>
      </c>
      <c r="R11039" t="s">
        <v>2632</v>
      </c>
      <c r="S11039">
        <v>38</v>
      </c>
      <c r="T11039" s="43" t="str">
        <f>HYPERLINK("https://ictv.global/ictv/proposals/2022.001A.Nakonvirales_Maximonvirales_Coyopavirales_3no.zip","2022.001A.Nakonvirales_Maximonvirales_Coyopavirales_3no.zip")</f>
        <v>2022.001A.Nakonvirales_Maximonvirales_Coyopavirales_3no.zip</v>
      </c>
      <c r="U11039" s="43" t="str">
        <f>HYPERLINK("https://ictv.global/taxonomy/taxondetails?taxnode_id=202214295","ictv.global=202214295")</f>
        <v>ictv.global=202214295</v>
      </c>
    </row>
    <row r="11040" spans="1:21">
      <c r="A11040">
        <v>11039</v>
      </c>
      <c r="B11040" s="29"/>
      <c r="C11040" s="29"/>
      <c r="D11040" s="29"/>
      <c r="E11040" s="29"/>
      <c r="F11040" s="29"/>
      <c r="G11040" s="29"/>
      <c r="H11040" s="29"/>
      <c r="I11040" s="29"/>
      <c r="J11040" s="29"/>
      <c r="K11040" s="29"/>
      <c r="L11040" s="29" t="s">
        <v>3677</v>
      </c>
      <c r="M11040" s="29"/>
      <c r="N11040" s="29" t="s">
        <v>3678</v>
      </c>
      <c r="O11040" s="29"/>
      <c r="P11040" s="29" t="s">
        <v>3679</v>
      </c>
      <c r="Q11040" t="s">
        <v>2038</v>
      </c>
      <c r="R11040" t="s">
        <v>6901</v>
      </c>
      <c r="S11040">
        <v>36</v>
      </c>
      <c r="T11040" s="43" t="str">
        <f>HYPERLINK("https://ictv.global/ictv/proposals/2020.001G.R.Abolish_type_species.pdf","2020.001G.R.Abolish_type_species.pdf")</f>
        <v>2020.001G.R.Abolish_type_species.pdf</v>
      </c>
      <c r="U11040" s="43" t="str">
        <f>HYPERLINK("https://ictv.global/taxonomy/taxondetails?taxnode_id=202206901","ictv.global=202206901")</f>
        <v>ictv.global=202206901</v>
      </c>
    </row>
    <row r="11041" spans="1:21">
      <c r="A11041">
        <v>11040</v>
      </c>
      <c r="B11041" s="29"/>
      <c r="C11041" s="29"/>
      <c r="D11041" s="29"/>
      <c r="E11041" s="29"/>
      <c r="F11041" s="29"/>
      <c r="G11041" s="29"/>
      <c r="H11041" s="29"/>
      <c r="I11041" s="29"/>
      <c r="J11041" s="29"/>
      <c r="K11041" s="29"/>
      <c r="L11041" s="29" t="s">
        <v>726</v>
      </c>
      <c r="M11041" s="29"/>
      <c r="N11041" s="29" t="s">
        <v>727</v>
      </c>
      <c r="O11041" s="29"/>
      <c r="P11041" s="29" t="s">
        <v>14752</v>
      </c>
      <c r="Q11041" t="s">
        <v>2038</v>
      </c>
      <c r="R11041" t="s">
        <v>2635</v>
      </c>
      <c r="S11041">
        <v>37</v>
      </c>
      <c r="T11041" s="43" t="str">
        <f>HYPERLINK("https://ictv.global/ictv/proposals/2021.010B.R.Binomial_names.zip","2021.010B.R.Binomial_names.zip")</f>
        <v>2021.010B.R.Binomial_names.zip</v>
      </c>
      <c r="U11041" s="43" t="str">
        <f>HYPERLINK("https://ictv.global/taxonomy/taxondetails?taxnode_id=202204339","ictv.global=202204339")</f>
        <v>ictv.global=202204339</v>
      </c>
    </row>
    <row r="11042" spans="1:21">
      <c r="A11042">
        <v>11041</v>
      </c>
      <c r="B11042" s="29"/>
      <c r="C11042" s="29"/>
      <c r="D11042" s="29"/>
      <c r="E11042" s="29"/>
      <c r="F11042" s="29"/>
      <c r="G11042" s="29"/>
      <c r="H11042" s="29"/>
      <c r="I11042" s="29"/>
      <c r="J11042" s="29"/>
      <c r="K11042" s="29"/>
      <c r="L11042" s="29" t="s">
        <v>14753</v>
      </c>
      <c r="M11042" s="29"/>
      <c r="N11042" s="29" t="s">
        <v>14754</v>
      </c>
      <c r="O11042" s="29"/>
      <c r="P11042" s="29" t="s">
        <v>14755</v>
      </c>
      <c r="Q11042" t="s">
        <v>2038</v>
      </c>
      <c r="R11042" t="s">
        <v>2633</v>
      </c>
      <c r="S11042">
        <v>37</v>
      </c>
      <c r="T11042" s="43" t="str">
        <f t="shared" ref="T11042:T11073" si="475">HYPERLINK("https://ictv.global/ictv/proposals/2021.006D.R.Polydnaviriformidae_1renfam_3rensp.zip","2021.006D.R.Polydnaviriformidae_1renfam_3rensp.zip")</f>
        <v>2021.006D.R.Polydnaviriformidae_1renfam_3rensp.zip</v>
      </c>
      <c r="U11042" s="43" t="str">
        <f>HYPERLINK("https://ictv.global/taxonomy/taxondetails?taxnode_id=202204360","ictv.global=202204360")</f>
        <v>ictv.global=202204360</v>
      </c>
    </row>
    <row r="11043" spans="1:21">
      <c r="A11043">
        <v>11042</v>
      </c>
      <c r="B11043" s="29"/>
      <c r="C11043" s="29"/>
      <c r="D11043" s="29"/>
      <c r="E11043" s="29"/>
      <c r="F11043" s="29"/>
      <c r="G11043" s="29"/>
      <c r="H11043" s="29"/>
      <c r="I11043" s="29"/>
      <c r="J11043" s="29"/>
      <c r="K11043" s="29"/>
      <c r="L11043" s="29" t="s">
        <v>14753</v>
      </c>
      <c r="M11043" s="29"/>
      <c r="N11043" s="29" t="s">
        <v>14754</v>
      </c>
      <c r="O11043" s="29"/>
      <c r="P11043" s="29" t="s">
        <v>14756</v>
      </c>
      <c r="Q11043" t="s">
        <v>2038</v>
      </c>
      <c r="R11043" t="s">
        <v>2633</v>
      </c>
      <c r="S11043">
        <v>37</v>
      </c>
      <c r="T11043" s="43" t="str">
        <f t="shared" si="475"/>
        <v>2021.006D.R.Polydnaviriformidae_1renfam_3rensp.zip</v>
      </c>
      <c r="U11043" s="43" t="str">
        <f>HYPERLINK("https://ictv.global/taxonomy/taxondetails?taxnode_id=202204357","ictv.global=202204357")</f>
        <v>ictv.global=202204357</v>
      </c>
    </row>
    <row r="11044" spans="1:21">
      <c r="A11044">
        <v>11043</v>
      </c>
      <c r="B11044" s="29"/>
      <c r="C11044" s="29"/>
      <c r="D11044" s="29"/>
      <c r="E11044" s="29"/>
      <c r="F11044" s="29"/>
      <c r="G11044" s="29"/>
      <c r="H11044" s="29"/>
      <c r="I11044" s="29"/>
      <c r="J11044" s="29"/>
      <c r="K11044" s="29"/>
      <c r="L11044" s="29" t="s">
        <v>14753</v>
      </c>
      <c r="M11044" s="29"/>
      <c r="N11044" s="29" t="s">
        <v>14754</v>
      </c>
      <c r="O11044" s="29"/>
      <c r="P11044" s="29" t="s">
        <v>14757</v>
      </c>
      <c r="Q11044" t="s">
        <v>2038</v>
      </c>
      <c r="R11044" t="s">
        <v>2633</v>
      </c>
      <c r="S11044">
        <v>37</v>
      </c>
      <c r="T11044" s="43" t="str">
        <f t="shared" si="475"/>
        <v>2021.006D.R.Polydnaviriformidae_1renfam_3rensp.zip</v>
      </c>
      <c r="U11044" s="43" t="str">
        <f>HYPERLINK("https://ictv.global/taxonomy/taxondetails?taxnode_id=202204361","ictv.global=202204361")</f>
        <v>ictv.global=202204361</v>
      </c>
    </row>
    <row r="11045" spans="1:21">
      <c r="A11045">
        <v>11044</v>
      </c>
      <c r="B11045" s="29"/>
      <c r="C11045" s="29"/>
      <c r="D11045" s="29"/>
      <c r="E11045" s="29"/>
      <c r="F11045" s="29"/>
      <c r="G11045" s="29"/>
      <c r="H11045" s="29"/>
      <c r="I11045" s="29"/>
      <c r="J11045" s="29"/>
      <c r="K11045" s="29"/>
      <c r="L11045" s="29" t="s">
        <v>14753</v>
      </c>
      <c r="M11045" s="29"/>
      <c r="N11045" s="29" t="s">
        <v>14754</v>
      </c>
      <c r="O11045" s="29"/>
      <c r="P11045" s="29" t="s">
        <v>14758</v>
      </c>
      <c r="Q11045" t="s">
        <v>2038</v>
      </c>
      <c r="R11045" t="s">
        <v>2633</v>
      </c>
      <c r="S11045">
        <v>37</v>
      </c>
      <c r="T11045" s="43" t="str">
        <f t="shared" si="475"/>
        <v>2021.006D.R.Polydnaviriformidae_1renfam_3rensp.zip</v>
      </c>
      <c r="U11045" s="43" t="str">
        <f>HYPERLINK("https://ictv.global/taxonomy/taxondetails?taxnode_id=202204379","ictv.global=202204379")</f>
        <v>ictv.global=202204379</v>
      </c>
    </row>
    <row r="11046" spans="1:21">
      <c r="A11046">
        <v>11045</v>
      </c>
      <c r="B11046" s="29"/>
      <c r="C11046" s="29"/>
      <c r="D11046" s="29"/>
      <c r="E11046" s="29"/>
      <c r="F11046" s="29"/>
      <c r="G11046" s="29"/>
      <c r="H11046" s="29"/>
      <c r="I11046" s="29"/>
      <c r="J11046" s="29"/>
      <c r="K11046" s="29"/>
      <c r="L11046" s="29" t="s">
        <v>14753</v>
      </c>
      <c r="M11046" s="29"/>
      <c r="N11046" s="29" t="s">
        <v>14754</v>
      </c>
      <c r="O11046" s="29"/>
      <c r="P11046" s="29" t="s">
        <v>14759</v>
      </c>
      <c r="Q11046" t="s">
        <v>2038</v>
      </c>
      <c r="R11046" t="s">
        <v>2633</v>
      </c>
      <c r="S11046">
        <v>37</v>
      </c>
      <c r="T11046" s="43" t="str">
        <f t="shared" si="475"/>
        <v>2021.006D.R.Polydnaviriformidae_1renfam_3rensp.zip</v>
      </c>
      <c r="U11046" s="43" t="str">
        <f>HYPERLINK("https://ictv.global/taxonomy/taxondetails?taxnode_id=202204366","ictv.global=202204366")</f>
        <v>ictv.global=202204366</v>
      </c>
    </row>
    <row r="11047" spans="1:21">
      <c r="A11047">
        <v>11046</v>
      </c>
      <c r="B11047" s="29"/>
      <c r="C11047" s="29"/>
      <c r="D11047" s="29"/>
      <c r="E11047" s="29"/>
      <c r="F11047" s="29"/>
      <c r="G11047" s="29"/>
      <c r="H11047" s="29"/>
      <c r="I11047" s="29"/>
      <c r="J11047" s="29"/>
      <c r="K11047" s="29"/>
      <c r="L11047" s="29" t="s">
        <v>14753</v>
      </c>
      <c r="M11047" s="29"/>
      <c r="N11047" s="29" t="s">
        <v>14754</v>
      </c>
      <c r="O11047" s="29"/>
      <c r="P11047" s="29" t="s">
        <v>14760</v>
      </c>
      <c r="Q11047" t="s">
        <v>2038</v>
      </c>
      <c r="R11047" t="s">
        <v>2633</v>
      </c>
      <c r="S11047">
        <v>37</v>
      </c>
      <c r="T11047" s="43" t="str">
        <f t="shared" si="475"/>
        <v>2021.006D.R.Polydnaviriformidae_1renfam_3rensp.zip</v>
      </c>
      <c r="U11047" s="43" t="str">
        <f>HYPERLINK("https://ictv.global/taxonomy/taxondetails?taxnode_id=202204355","ictv.global=202204355")</f>
        <v>ictv.global=202204355</v>
      </c>
    </row>
    <row r="11048" spans="1:21">
      <c r="A11048">
        <v>11047</v>
      </c>
      <c r="B11048" s="29"/>
      <c r="C11048" s="29"/>
      <c r="D11048" s="29"/>
      <c r="E11048" s="29"/>
      <c r="F11048" s="29"/>
      <c r="G11048" s="29"/>
      <c r="H11048" s="29"/>
      <c r="I11048" s="29"/>
      <c r="J11048" s="29"/>
      <c r="K11048" s="29"/>
      <c r="L11048" s="29" t="s">
        <v>14753</v>
      </c>
      <c r="M11048" s="29"/>
      <c r="N11048" s="29" t="s">
        <v>14754</v>
      </c>
      <c r="O11048" s="29"/>
      <c r="P11048" s="29" t="s">
        <v>14761</v>
      </c>
      <c r="Q11048" t="s">
        <v>2038</v>
      </c>
      <c r="R11048" t="s">
        <v>2633</v>
      </c>
      <c r="S11048">
        <v>37</v>
      </c>
      <c r="T11048" s="43" t="str">
        <f t="shared" si="475"/>
        <v>2021.006D.R.Polydnaviriformidae_1renfam_3rensp.zip</v>
      </c>
      <c r="U11048" s="43" t="str">
        <f>HYPERLINK("https://ictv.global/taxonomy/taxondetails?taxnode_id=202204381","ictv.global=202204381")</f>
        <v>ictv.global=202204381</v>
      </c>
    </row>
    <row r="11049" spans="1:21">
      <c r="A11049">
        <v>11048</v>
      </c>
      <c r="B11049" s="29"/>
      <c r="C11049" s="29"/>
      <c r="D11049" s="29"/>
      <c r="E11049" s="29"/>
      <c r="F11049" s="29"/>
      <c r="G11049" s="29"/>
      <c r="H11049" s="29"/>
      <c r="I11049" s="29"/>
      <c r="J11049" s="29"/>
      <c r="K11049" s="29"/>
      <c r="L11049" s="29" t="s">
        <v>14753</v>
      </c>
      <c r="M11049" s="29"/>
      <c r="N11049" s="29" t="s">
        <v>14754</v>
      </c>
      <c r="O11049" s="29"/>
      <c r="P11049" s="29" t="s">
        <v>14762</v>
      </c>
      <c r="Q11049" t="s">
        <v>2038</v>
      </c>
      <c r="R11049" t="s">
        <v>2633</v>
      </c>
      <c r="S11049">
        <v>37</v>
      </c>
      <c r="T11049" s="43" t="str">
        <f t="shared" si="475"/>
        <v>2021.006D.R.Polydnaviriformidae_1renfam_3rensp.zip</v>
      </c>
      <c r="U11049" s="43" t="str">
        <f>HYPERLINK("https://ictv.global/taxonomy/taxondetails?taxnode_id=202204364","ictv.global=202204364")</f>
        <v>ictv.global=202204364</v>
      </c>
    </row>
    <row r="11050" spans="1:21">
      <c r="A11050">
        <v>11049</v>
      </c>
      <c r="B11050" s="29"/>
      <c r="C11050" s="29"/>
      <c r="D11050" s="29"/>
      <c r="E11050" s="29"/>
      <c r="F11050" s="29"/>
      <c r="G11050" s="29"/>
      <c r="H11050" s="29"/>
      <c r="I11050" s="29"/>
      <c r="J11050" s="29"/>
      <c r="K11050" s="29"/>
      <c r="L11050" s="29" t="s">
        <v>14753</v>
      </c>
      <c r="M11050" s="29"/>
      <c r="N11050" s="29" t="s">
        <v>14754</v>
      </c>
      <c r="O11050" s="29"/>
      <c r="P11050" s="29" t="s">
        <v>14763</v>
      </c>
      <c r="Q11050" t="s">
        <v>2038</v>
      </c>
      <c r="R11050" t="s">
        <v>2633</v>
      </c>
      <c r="S11050">
        <v>37</v>
      </c>
      <c r="T11050" s="43" t="str">
        <f t="shared" si="475"/>
        <v>2021.006D.R.Polydnaviriformidae_1renfam_3rensp.zip</v>
      </c>
      <c r="U11050" s="43" t="str">
        <f>HYPERLINK("https://ictv.global/taxonomy/taxondetails?taxnode_id=202204382","ictv.global=202204382")</f>
        <v>ictv.global=202204382</v>
      </c>
    </row>
    <row r="11051" spans="1:21">
      <c r="A11051">
        <v>11050</v>
      </c>
      <c r="B11051" s="29"/>
      <c r="C11051" s="29"/>
      <c r="D11051" s="29"/>
      <c r="E11051" s="29"/>
      <c r="F11051" s="29"/>
      <c r="G11051" s="29"/>
      <c r="H11051" s="29"/>
      <c r="I11051" s="29"/>
      <c r="J11051" s="29"/>
      <c r="K11051" s="29"/>
      <c r="L11051" s="29" t="s">
        <v>14753</v>
      </c>
      <c r="M11051" s="29"/>
      <c r="N11051" s="29" t="s">
        <v>14754</v>
      </c>
      <c r="O11051" s="29"/>
      <c r="P11051" s="29" t="s">
        <v>14764</v>
      </c>
      <c r="Q11051" t="s">
        <v>2038</v>
      </c>
      <c r="R11051" t="s">
        <v>2633</v>
      </c>
      <c r="S11051">
        <v>37</v>
      </c>
      <c r="T11051" s="43" t="str">
        <f t="shared" si="475"/>
        <v>2021.006D.R.Polydnaviriformidae_1renfam_3rensp.zip</v>
      </c>
      <c r="U11051" s="43" t="str">
        <f>HYPERLINK("https://ictv.global/taxonomy/taxondetails?taxnode_id=202204380","ictv.global=202204380")</f>
        <v>ictv.global=202204380</v>
      </c>
    </row>
    <row r="11052" spans="1:21">
      <c r="A11052">
        <v>11051</v>
      </c>
      <c r="B11052" s="29"/>
      <c r="C11052" s="29"/>
      <c r="D11052" s="29"/>
      <c r="E11052" s="29"/>
      <c r="F11052" s="29"/>
      <c r="G11052" s="29"/>
      <c r="H11052" s="29"/>
      <c r="I11052" s="29"/>
      <c r="J11052" s="29"/>
      <c r="K11052" s="29"/>
      <c r="L11052" s="29" t="s">
        <v>14753</v>
      </c>
      <c r="M11052" s="29"/>
      <c r="N11052" s="29" t="s">
        <v>14754</v>
      </c>
      <c r="O11052" s="29"/>
      <c r="P11052" s="29" t="s">
        <v>14765</v>
      </c>
      <c r="Q11052" t="s">
        <v>2038</v>
      </c>
      <c r="R11052" t="s">
        <v>2633</v>
      </c>
      <c r="S11052">
        <v>37</v>
      </c>
      <c r="T11052" s="43" t="str">
        <f t="shared" si="475"/>
        <v>2021.006D.R.Polydnaviriformidae_1renfam_3rensp.zip</v>
      </c>
      <c r="U11052" s="43" t="str">
        <f>HYPERLINK("https://ictv.global/taxonomy/taxondetails?taxnode_id=202204375","ictv.global=202204375")</f>
        <v>ictv.global=202204375</v>
      </c>
    </row>
    <row r="11053" spans="1:21">
      <c r="A11053">
        <v>11052</v>
      </c>
      <c r="B11053" s="29"/>
      <c r="C11053" s="29"/>
      <c r="D11053" s="29"/>
      <c r="E11053" s="29"/>
      <c r="F11053" s="29"/>
      <c r="G11053" s="29"/>
      <c r="H11053" s="29"/>
      <c r="I11053" s="29"/>
      <c r="J11053" s="29"/>
      <c r="K11053" s="29"/>
      <c r="L11053" s="29" t="s">
        <v>14753</v>
      </c>
      <c r="M11053" s="29"/>
      <c r="N11053" s="29" t="s">
        <v>14754</v>
      </c>
      <c r="O11053" s="29"/>
      <c r="P11053" s="29" t="s">
        <v>14766</v>
      </c>
      <c r="Q11053" t="s">
        <v>2038</v>
      </c>
      <c r="R11053" t="s">
        <v>2633</v>
      </c>
      <c r="S11053">
        <v>37</v>
      </c>
      <c r="T11053" s="43" t="str">
        <f t="shared" si="475"/>
        <v>2021.006D.R.Polydnaviriformidae_1renfam_3rensp.zip</v>
      </c>
      <c r="U11053" s="43" t="str">
        <f>HYPERLINK("https://ictv.global/taxonomy/taxondetails?taxnode_id=202204376","ictv.global=202204376")</f>
        <v>ictv.global=202204376</v>
      </c>
    </row>
    <row r="11054" spans="1:21">
      <c r="A11054">
        <v>11053</v>
      </c>
      <c r="B11054" s="29"/>
      <c r="C11054" s="29"/>
      <c r="D11054" s="29"/>
      <c r="E11054" s="29"/>
      <c r="F11054" s="29"/>
      <c r="G11054" s="29"/>
      <c r="H11054" s="29"/>
      <c r="I11054" s="29"/>
      <c r="J11054" s="29"/>
      <c r="K11054" s="29"/>
      <c r="L11054" s="29" t="s">
        <v>14753</v>
      </c>
      <c r="M11054" s="29"/>
      <c r="N11054" s="29" t="s">
        <v>14754</v>
      </c>
      <c r="O11054" s="29"/>
      <c r="P11054" s="29" t="s">
        <v>14767</v>
      </c>
      <c r="Q11054" t="s">
        <v>2038</v>
      </c>
      <c r="R11054" t="s">
        <v>2633</v>
      </c>
      <c r="S11054">
        <v>37</v>
      </c>
      <c r="T11054" s="43" t="str">
        <f t="shared" si="475"/>
        <v>2021.006D.R.Polydnaviriformidae_1renfam_3rensp.zip</v>
      </c>
      <c r="U11054" s="43" t="str">
        <f>HYPERLINK("https://ictv.global/taxonomy/taxondetails?taxnode_id=202204367","ictv.global=202204367")</f>
        <v>ictv.global=202204367</v>
      </c>
    </row>
    <row r="11055" spans="1:21">
      <c r="A11055">
        <v>11054</v>
      </c>
      <c r="B11055" s="29"/>
      <c r="C11055" s="29"/>
      <c r="D11055" s="29"/>
      <c r="E11055" s="29"/>
      <c r="F11055" s="29"/>
      <c r="G11055" s="29"/>
      <c r="H11055" s="29"/>
      <c r="I11055" s="29"/>
      <c r="J11055" s="29"/>
      <c r="K11055" s="29"/>
      <c r="L11055" s="29" t="s">
        <v>14753</v>
      </c>
      <c r="M11055" s="29"/>
      <c r="N11055" s="29" t="s">
        <v>14754</v>
      </c>
      <c r="O11055" s="29"/>
      <c r="P11055" s="29" t="s">
        <v>14768</v>
      </c>
      <c r="Q11055" t="s">
        <v>2038</v>
      </c>
      <c r="R11055" t="s">
        <v>2633</v>
      </c>
      <c r="S11055">
        <v>37</v>
      </c>
      <c r="T11055" s="43" t="str">
        <f t="shared" si="475"/>
        <v>2021.006D.R.Polydnaviriformidae_1renfam_3rensp.zip</v>
      </c>
      <c r="U11055" s="43" t="str">
        <f>HYPERLINK("https://ictv.global/taxonomy/taxondetails?taxnode_id=202204383","ictv.global=202204383")</f>
        <v>ictv.global=202204383</v>
      </c>
    </row>
    <row r="11056" spans="1:21">
      <c r="A11056">
        <v>11055</v>
      </c>
      <c r="B11056" s="29"/>
      <c r="C11056" s="29"/>
      <c r="D11056" s="29"/>
      <c r="E11056" s="29"/>
      <c r="F11056" s="29"/>
      <c r="G11056" s="29"/>
      <c r="H11056" s="29"/>
      <c r="I11056" s="29"/>
      <c r="J11056" s="29"/>
      <c r="K11056" s="29"/>
      <c r="L11056" s="29" t="s">
        <v>14753</v>
      </c>
      <c r="M11056" s="29"/>
      <c r="N11056" s="29" t="s">
        <v>14754</v>
      </c>
      <c r="O11056" s="29"/>
      <c r="P11056" s="29" t="s">
        <v>14769</v>
      </c>
      <c r="Q11056" t="s">
        <v>2038</v>
      </c>
      <c r="R11056" t="s">
        <v>2633</v>
      </c>
      <c r="S11056">
        <v>37</v>
      </c>
      <c r="T11056" s="43" t="str">
        <f t="shared" si="475"/>
        <v>2021.006D.R.Polydnaviriformidae_1renfam_3rensp.zip</v>
      </c>
      <c r="U11056" s="43" t="str">
        <f>HYPERLINK("https://ictv.global/taxonomy/taxondetails?taxnode_id=202204356","ictv.global=202204356")</f>
        <v>ictv.global=202204356</v>
      </c>
    </row>
    <row r="11057" spans="1:21">
      <c r="A11057">
        <v>11056</v>
      </c>
      <c r="B11057" s="29"/>
      <c r="C11057" s="29"/>
      <c r="D11057" s="29"/>
      <c r="E11057" s="29"/>
      <c r="F11057" s="29"/>
      <c r="G11057" s="29"/>
      <c r="H11057" s="29"/>
      <c r="I11057" s="29"/>
      <c r="J11057" s="29"/>
      <c r="K11057" s="29"/>
      <c r="L11057" s="29" t="s">
        <v>14753</v>
      </c>
      <c r="M11057" s="29"/>
      <c r="N11057" s="29" t="s">
        <v>14754</v>
      </c>
      <c r="O11057" s="29"/>
      <c r="P11057" s="29" t="s">
        <v>14770</v>
      </c>
      <c r="Q11057" t="s">
        <v>2038</v>
      </c>
      <c r="R11057" t="s">
        <v>2633</v>
      </c>
      <c r="S11057">
        <v>37</v>
      </c>
      <c r="T11057" s="43" t="str">
        <f t="shared" si="475"/>
        <v>2021.006D.R.Polydnaviriformidae_1renfam_3rensp.zip</v>
      </c>
      <c r="U11057" s="43" t="str">
        <f>HYPERLINK("https://ictv.global/taxonomy/taxondetails?taxnode_id=202204368","ictv.global=202204368")</f>
        <v>ictv.global=202204368</v>
      </c>
    </row>
    <row r="11058" spans="1:21">
      <c r="A11058">
        <v>11057</v>
      </c>
      <c r="B11058" s="29"/>
      <c r="C11058" s="29"/>
      <c r="D11058" s="29"/>
      <c r="E11058" s="29"/>
      <c r="F11058" s="29"/>
      <c r="G11058" s="29"/>
      <c r="H11058" s="29"/>
      <c r="I11058" s="29"/>
      <c r="J11058" s="29"/>
      <c r="K11058" s="29"/>
      <c r="L11058" s="29" t="s">
        <v>14753</v>
      </c>
      <c r="M11058" s="29"/>
      <c r="N11058" s="29" t="s">
        <v>14754</v>
      </c>
      <c r="O11058" s="29"/>
      <c r="P11058" s="29" t="s">
        <v>14771</v>
      </c>
      <c r="Q11058" t="s">
        <v>2038</v>
      </c>
      <c r="R11058" t="s">
        <v>2633</v>
      </c>
      <c r="S11058">
        <v>37</v>
      </c>
      <c r="T11058" s="43" t="str">
        <f t="shared" si="475"/>
        <v>2021.006D.R.Polydnaviriformidae_1renfam_3rensp.zip</v>
      </c>
      <c r="U11058" s="43" t="str">
        <f>HYPERLINK("https://ictv.global/taxonomy/taxondetails?taxnode_id=202204369","ictv.global=202204369")</f>
        <v>ictv.global=202204369</v>
      </c>
    </row>
    <row r="11059" spans="1:21">
      <c r="A11059">
        <v>11058</v>
      </c>
      <c r="B11059" s="29"/>
      <c r="C11059" s="29"/>
      <c r="D11059" s="29"/>
      <c r="E11059" s="29"/>
      <c r="F11059" s="29"/>
      <c r="G11059" s="29"/>
      <c r="H11059" s="29"/>
      <c r="I11059" s="29"/>
      <c r="J11059" s="29"/>
      <c r="K11059" s="29"/>
      <c r="L11059" s="29" t="s">
        <v>14753</v>
      </c>
      <c r="M11059" s="29"/>
      <c r="N11059" s="29" t="s">
        <v>14754</v>
      </c>
      <c r="O11059" s="29"/>
      <c r="P11059" s="29" t="s">
        <v>14772</v>
      </c>
      <c r="Q11059" t="s">
        <v>2038</v>
      </c>
      <c r="R11059" t="s">
        <v>2633</v>
      </c>
      <c r="S11059">
        <v>37</v>
      </c>
      <c r="T11059" s="43" t="str">
        <f t="shared" si="475"/>
        <v>2021.006D.R.Polydnaviriformidae_1renfam_3rensp.zip</v>
      </c>
      <c r="U11059" s="43" t="str">
        <f>HYPERLINK("https://ictv.global/taxonomy/taxondetails?taxnode_id=202204362","ictv.global=202204362")</f>
        <v>ictv.global=202204362</v>
      </c>
    </row>
    <row r="11060" spans="1:21">
      <c r="A11060">
        <v>11059</v>
      </c>
      <c r="B11060" s="29"/>
      <c r="C11060" s="29"/>
      <c r="D11060" s="29"/>
      <c r="E11060" s="29"/>
      <c r="F11060" s="29"/>
      <c r="G11060" s="29"/>
      <c r="H11060" s="29"/>
      <c r="I11060" s="29"/>
      <c r="J11060" s="29"/>
      <c r="K11060" s="29"/>
      <c r="L11060" s="29" t="s">
        <v>14753</v>
      </c>
      <c r="M11060" s="29"/>
      <c r="N11060" s="29" t="s">
        <v>14754</v>
      </c>
      <c r="O11060" s="29"/>
      <c r="P11060" s="29" t="s">
        <v>14773</v>
      </c>
      <c r="Q11060" t="s">
        <v>2038</v>
      </c>
      <c r="R11060" t="s">
        <v>2633</v>
      </c>
      <c r="S11060">
        <v>37</v>
      </c>
      <c r="T11060" s="43" t="str">
        <f t="shared" si="475"/>
        <v>2021.006D.R.Polydnaviriformidae_1renfam_3rensp.zip</v>
      </c>
      <c r="U11060" s="43" t="str">
        <f>HYPERLINK("https://ictv.global/taxonomy/taxondetails?taxnode_id=202204377","ictv.global=202204377")</f>
        <v>ictv.global=202204377</v>
      </c>
    </row>
    <row r="11061" spans="1:21">
      <c r="A11061">
        <v>11060</v>
      </c>
      <c r="B11061" s="29"/>
      <c r="C11061" s="29"/>
      <c r="D11061" s="29"/>
      <c r="E11061" s="29"/>
      <c r="F11061" s="29"/>
      <c r="G11061" s="29"/>
      <c r="H11061" s="29"/>
      <c r="I11061" s="29"/>
      <c r="J11061" s="29"/>
      <c r="K11061" s="29"/>
      <c r="L11061" s="29" t="s">
        <v>14753</v>
      </c>
      <c r="M11061" s="29"/>
      <c r="N11061" s="29" t="s">
        <v>14754</v>
      </c>
      <c r="O11061" s="29"/>
      <c r="P11061" s="29" t="s">
        <v>14774</v>
      </c>
      <c r="Q11061" t="s">
        <v>2038</v>
      </c>
      <c r="R11061" t="s">
        <v>2633</v>
      </c>
      <c r="S11061">
        <v>37</v>
      </c>
      <c r="T11061" s="43" t="str">
        <f t="shared" si="475"/>
        <v>2021.006D.R.Polydnaviriformidae_1renfam_3rensp.zip</v>
      </c>
      <c r="U11061" s="43" t="str">
        <f>HYPERLINK("https://ictv.global/taxonomy/taxondetails?taxnode_id=202204363","ictv.global=202204363")</f>
        <v>ictv.global=202204363</v>
      </c>
    </row>
    <row r="11062" spans="1:21">
      <c r="A11062">
        <v>11061</v>
      </c>
      <c r="B11062" s="29"/>
      <c r="C11062" s="29"/>
      <c r="D11062" s="29"/>
      <c r="E11062" s="29"/>
      <c r="F11062" s="29"/>
      <c r="G11062" s="29"/>
      <c r="H11062" s="29"/>
      <c r="I11062" s="29"/>
      <c r="J11062" s="29"/>
      <c r="K11062" s="29"/>
      <c r="L11062" s="29" t="s">
        <v>14753</v>
      </c>
      <c r="M11062" s="29"/>
      <c r="N11062" s="29" t="s">
        <v>14754</v>
      </c>
      <c r="O11062" s="29"/>
      <c r="P11062" s="29" t="s">
        <v>14775</v>
      </c>
      <c r="Q11062" t="s">
        <v>2038</v>
      </c>
      <c r="R11062" t="s">
        <v>2633</v>
      </c>
      <c r="S11062">
        <v>37</v>
      </c>
      <c r="T11062" s="43" t="str">
        <f t="shared" si="475"/>
        <v>2021.006D.R.Polydnaviriformidae_1renfam_3rensp.zip</v>
      </c>
      <c r="U11062" s="43" t="str">
        <f>HYPERLINK("https://ictv.global/taxonomy/taxondetails?taxnode_id=202204370","ictv.global=202204370")</f>
        <v>ictv.global=202204370</v>
      </c>
    </row>
    <row r="11063" spans="1:21">
      <c r="A11063">
        <v>11062</v>
      </c>
      <c r="B11063" s="29"/>
      <c r="C11063" s="29"/>
      <c r="D11063" s="29"/>
      <c r="E11063" s="29"/>
      <c r="F11063" s="29"/>
      <c r="G11063" s="29"/>
      <c r="H11063" s="29"/>
      <c r="I11063" s="29"/>
      <c r="J11063" s="29"/>
      <c r="K11063" s="29"/>
      <c r="L11063" s="29" t="s">
        <v>14753</v>
      </c>
      <c r="M11063" s="29"/>
      <c r="N11063" s="29" t="s">
        <v>14754</v>
      </c>
      <c r="O11063" s="29"/>
      <c r="P11063" s="29" t="s">
        <v>14776</v>
      </c>
      <c r="Q11063" t="s">
        <v>2038</v>
      </c>
      <c r="R11063" t="s">
        <v>2633</v>
      </c>
      <c r="S11063">
        <v>37</v>
      </c>
      <c r="T11063" s="43" t="str">
        <f t="shared" si="475"/>
        <v>2021.006D.R.Polydnaviriformidae_1renfam_3rensp.zip</v>
      </c>
      <c r="U11063" s="43" t="str">
        <f>HYPERLINK("https://ictv.global/taxonomy/taxondetails?taxnode_id=202204378","ictv.global=202204378")</f>
        <v>ictv.global=202204378</v>
      </c>
    </row>
    <row r="11064" spans="1:21">
      <c r="A11064">
        <v>11063</v>
      </c>
      <c r="B11064" s="29"/>
      <c r="C11064" s="29"/>
      <c r="D11064" s="29"/>
      <c r="E11064" s="29"/>
      <c r="F11064" s="29"/>
      <c r="G11064" s="29"/>
      <c r="H11064" s="29"/>
      <c r="I11064" s="29"/>
      <c r="J11064" s="29"/>
      <c r="K11064" s="29"/>
      <c r="L11064" s="29" t="s">
        <v>14753</v>
      </c>
      <c r="M11064" s="29"/>
      <c r="N11064" s="29" t="s">
        <v>14754</v>
      </c>
      <c r="O11064" s="29"/>
      <c r="P11064" s="29" t="s">
        <v>14777</v>
      </c>
      <c r="Q11064" t="s">
        <v>2038</v>
      </c>
      <c r="R11064" t="s">
        <v>2633</v>
      </c>
      <c r="S11064">
        <v>37</v>
      </c>
      <c r="T11064" s="43" t="str">
        <f t="shared" si="475"/>
        <v>2021.006D.R.Polydnaviriformidae_1renfam_3rensp.zip</v>
      </c>
      <c r="U11064" s="43" t="str">
        <f>HYPERLINK("https://ictv.global/taxonomy/taxondetails?taxnode_id=202204371","ictv.global=202204371")</f>
        <v>ictv.global=202204371</v>
      </c>
    </row>
    <row r="11065" spans="1:21">
      <c r="A11065">
        <v>11064</v>
      </c>
      <c r="B11065" s="29"/>
      <c r="C11065" s="29"/>
      <c r="D11065" s="29"/>
      <c r="E11065" s="29"/>
      <c r="F11065" s="29"/>
      <c r="G11065" s="29"/>
      <c r="H11065" s="29"/>
      <c r="I11065" s="29"/>
      <c r="J11065" s="29"/>
      <c r="K11065" s="29"/>
      <c r="L11065" s="29" t="s">
        <v>14753</v>
      </c>
      <c r="M11065" s="29"/>
      <c r="N11065" s="29" t="s">
        <v>14754</v>
      </c>
      <c r="O11065" s="29"/>
      <c r="P11065" s="29" t="s">
        <v>14778</v>
      </c>
      <c r="Q11065" t="s">
        <v>2038</v>
      </c>
      <c r="R11065" t="s">
        <v>2633</v>
      </c>
      <c r="S11065">
        <v>37</v>
      </c>
      <c r="T11065" s="43" t="str">
        <f t="shared" si="475"/>
        <v>2021.006D.R.Polydnaviriformidae_1renfam_3rensp.zip</v>
      </c>
      <c r="U11065" s="43" t="str">
        <f>HYPERLINK("https://ictv.global/taxonomy/taxondetails?taxnode_id=202204372","ictv.global=202204372")</f>
        <v>ictv.global=202204372</v>
      </c>
    </row>
    <row r="11066" spans="1:21">
      <c r="A11066">
        <v>11065</v>
      </c>
      <c r="B11066" s="29"/>
      <c r="C11066" s="29"/>
      <c r="D11066" s="29"/>
      <c r="E11066" s="29"/>
      <c r="F11066" s="29"/>
      <c r="G11066" s="29"/>
      <c r="H11066" s="29"/>
      <c r="I11066" s="29"/>
      <c r="J11066" s="29"/>
      <c r="K11066" s="29"/>
      <c r="L11066" s="29" t="s">
        <v>14753</v>
      </c>
      <c r="M11066" s="29"/>
      <c r="N11066" s="29" t="s">
        <v>14754</v>
      </c>
      <c r="O11066" s="29"/>
      <c r="P11066" s="29" t="s">
        <v>14779</v>
      </c>
      <c r="Q11066" t="s">
        <v>2038</v>
      </c>
      <c r="R11066" t="s">
        <v>2633</v>
      </c>
      <c r="S11066">
        <v>37</v>
      </c>
      <c r="T11066" s="43" t="str">
        <f t="shared" si="475"/>
        <v>2021.006D.R.Polydnaviriformidae_1renfam_3rensp.zip</v>
      </c>
      <c r="U11066" s="43" t="str">
        <f>HYPERLINK("https://ictv.global/taxonomy/taxondetails?taxnode_id=202204359","ictv.global=202204359")</f>
        <v>ictv.global=202204359</v>
      </c>
    </row>
    <row r="11067" spans="1:21">
      <c r="A11067">
        <v>11066</v>
      </c>
      <c r="B11067" s="29"/>
      <c r="C11067" s="29"/>
      <c r="D11067" s="29"/>
      <c r="E11067" s="29"/>
      <c r="F11067" s="29"/>
      <c r="G11067" s="29"/>
      <c r="H11067" s="29"/>
      <c r="I11067" s="29"/>
      <c r="J11067" s="29"/>
      <c r="K11067" s="29"/>
      <c r="L11067" s="29" t="s">
        <v>14753</v>
      </c>
      <c r="M11067" s="29"/>
      <c r="N11067" s="29" t="s">
        <v>14754</v>
      </c>
      <c r="O11067" s="29"/>
      <c r="P11067" s="29" t="s">
        <v>14780</v>
      </c>
      <c r="Q11067" t="s">
        <v>2038</v>
      </c>
      <c r="R11067" t="s">
        <v>2633</v>
      </c>
      <c r="S11067">
        <v>37</v>
      </c>
      <c r="T11067" s="43" t="str">
        <f t="shared" si="475"/>
        <v>2021.006D.R.Polydnaviriformidae_1renfam_3rensp.zip</v>
      </c>
      <c r="U11067" s="43" t="str">
        <f>HYPERLINK("https://ictv.global/taxonomy/taxondetails?taxnode_id=202204384","ictv.global=202204384")</f>
        <v>ictv.global=202204384</v>
      </c>
    </row>
    <row r="11068" spans="1:21">
      <c r="A11068">
        <v>11067</v>
      </c>
      <c r="B11068" s="29"/>
      <c r="C11068" s="29"/>
      <c r="D11068" s="29"/>
      <c r="E11068" s="29"/>
      <c r="F11068" s="29"/>
      <c r="G11068" s="29"/>
      <c r="H11068" s="29"/>
      <c r="I11068" s="29"/>
      <c r="J11068" s="29"/>
      <c r="K11068" s="29"/>
      <c r="L11068" s="29" t="s">
        <v>14753</v>
      </c>
      <c r="M11068" s="29"/>
      <c r="N11068" s="29" t="s">
        <v>14754</v>
      </c>
      <c r="O11068" s="29"/>
      <c r="P11068" s="29" t="s">
        <v>14781</v>
      </c>
      <c r="Q11068" t="s">
        <v>2038</v>
      </c>
      <c r="R11068" t="s">
        <v>2633</v>
      </c>
      <c r="S11068">
        <v>37</v>
      </c>
      <c r="T11068" s="43" t="str">
        <f t="shared" si="475"/>
        <v>2021.006D.R.Polydnaviriformidae_1renfam_3rensp.zip</v>
      </c>
      <c r="U11068" s="43" t="str">
        <f>HYPERLINK("https://ictv.global/taxonomy/taxondetails?taxnode_id=202204385","ictv.global=202204385")</f>
        <v>ictv.global=202204385</v>
      </c>
    </row>
    <row r="11069" spans="1:21">
      <c r="A11069">
        <v>11068</v>
      </c>
      <c r="B11069" s="29"/>
      <c r="C11069" s="29"/>
      <c r="D11069" s="29"/>
      <c r="E11069" s="29"/>
      <c r="F11069" s="29"/>
      <c r="G11069" s="29"/>
      <c r="H11069" s="29"/>
      <c r="I11069" s="29"/>
      <c r="J11069" s="29"/>
      <c r="K11069" s="29"/>
      <c r="L11069" s="29" t="s">
        <v>14753</v>
      </c>
      <c r="M11069" s="29"/>
      <c r="N11069" s="29" t="s">
        <v>14754</v>
      </c>
      <c r="O11069" s="29"/>
      <c r="P11069" s="29" t="s">
        <v>14782</v>
      </c>
      <c r="Q11069" t="s">
        <v>2038</v>
      </c>
      <c r="R11069" t="s">
        <v>2633</v>
      </c>
      <c r="S11069">
        <v>37</v>
      </c>
      <c r="T11069" s="43" t="str">
        <f t="shared" si="475"/>
        <v>2021.006D.R.Polydnaviriformidae_1renfam_3rensp.zip</v>
      </c>
      <c r="U11069" s="43" t="str">
        <f>HYPERLINK("https://ictv.global/taxonomy/taxondetails?taxnode_id=202204358","ictv.global=202204358")</f>
        <v>ictv.global=202204358</v>
      </c>
    </row>
    <row r="11070" spans="1:21">
      <c r="A11070">
        <v>11069</v>
      </c>
      <c r="B11070" s="29"/>
      <c r="C11070" s="29"/>
      <c r="D11070" s="29"/>
      <c r="E11070" s="29"/>
      <c r="F11070" s="29"/>
      <c r="G11070" s="29"/>
      <c r="H11070" s="29"/>
      <c r="I11070" s="29"/>
      <c r="J11070" s="29"/>
      <c r="K11070" s="29"/>
      <c r="L11070" s="29" t="s">
        <v>14753</v>
      </c>
      <c r="M11070" s="29"/>
      <c r="N11070" s="29" t="s">
        <v>14754</v>
      </c>
      <c r="O11070" s="29"/>
      <c r="P11070" s="29" t="s">
        <v>14783</v>
      </c>
      <c r="Q11070" t="s">
        <v>2038</v>
      </c>
      <c r="R11070" t="s">
        <v>2633</v>
      </c>
      <c r="S11070">
        <v>37</v>
      </c>
      <c r="T11070" s="43" t="str">
        <f t="shared" si="475"/>
        <v>2021.006D.R.Polydnaviriformidae_1renfam_3rensp.zip</v>
      </c>
      <c r="U11070" s="43" t="str">
        <f>HYPERLINK("https://ictv.global/taxonomy/taxondetails?taxnode_id=202204373","ictv.global=202204373")</f>
        <v>ictv.global=202204373</v>
      </c>
    </row>
    <row r="11071" spans="1:21">
      <c r="A11071">
        <v>11070</v>
      </c>
      <c r="B11071" s="29"/>
      <c r="C11071" s="29"/>
      <c r="D11071" s="29"/>
      <c r="E11071" s="29"/>
      <c r="F11071" s="29"/>
      <c r="G11071" s="29"/>
      <c r="H11071" s="29"/>
      <c r="I11071" s="29"/>
      <c r="J11071" s="29"/>
      <c r="K11071" s="29"/>
      <c r="L11071" s="29" t="s">
        <v>14753</v>
      </c>
      <c r="M11071" s="29"/>
      <c r="N11071" s="29" t="s">
        <v>14754</v>
      </c>
      <c r="O11071" s="29"/>
      <c r="P11071" s="29" t="s">
        <v>14784</v>
      </c>
      <c r="Q11071" t="s">
        <v>2038</v>
      </c>
      <c r="R11071" t="s">
        <v>2633</v>
      </c>
      <c r="S11071">
        <v>37</v>
      </c>
      <c r="T11071" s="43" t="str">
        <f t="shared" si="475"/>
        <v>2021.006D.R.Polydnaviriformidae_1renfam_3rensp.zip</v>
      </c>
      <c r="U11071" s="43" t="str">
        <f>HYPERLINK("https://ictv.global/taxonomy/taxondetails?taxnode_id=202204374","ictv.global=202204374")</f>
        <v>ictv.global=202204374</v>
      </c>
    </row>
    <row r="11072" spans="1:21">
      <c r="A11072">
        <v>11071</v>
      </c>
      <c r="B11072" s="29"/>
      <c r="C11072" s="29"/>
      <c r="D11072" s="29"/>
      <c r="E11072" s="29"/>
      <c r="F11072" s="29"/>
      <c r="G11072" s="29"/>
      <c r="H11072" s="29"/>
      <c r="I11072" s="29"/>
      <c r="J11072" s="29"/>
      <c r="K11072" s="29"/>
      <c r="L11072" s="29" t="s">
        <v>14753</v>
      </c>
      <c r="M11072" s="29"/>
      <c r="N11072" s="29" t="s">
        <v>14754</v>
      </c>
      <c r="O11072" s="29"/>
      <c r="P11072" s="29" t="s">
        <v>14785</v>
      </c>
      <c r="Q11072" t="s">
        <v>2038</v>
      </c>
      <c r="R11072" t="s">
        <v>2633</v>
      </c>
      <c r="S11072">
        <v>37</v>
      </c>
      <c r="T11072" s="43" t="str">
        <f t="shared" si="475"/>
        <v>2021.006D.R.Polydnaviriformidae_1renfam_3rensp.zip</v>
      </c>
      <c r="U11072" s="43" t="str">
        <f>HYPERLINK("https://ictv.global/taxonomy/taxondetails?taxnode_id=202204365","ictv.global=202204365")</f>
        <v>ictv.global=202204365</v>
      </c>
    </row>
    <row r="11073" spans="1:21">
      <c r="A11073">
        <v>11072</v>
      </c>
      <c r="B11073" s="29"/>
      <c r="C11073" s="29"/>
      <c r="D11073" s="29"/>
      <c r="E11073" s="29"/>
      <c r="F11073" s="29"/>
      <c r="G11073" s="29"/>
      <c r="H11073" s="29"/>
      <c r="I11073" s="29"/>
      <c r="J11073" s="29"/>
      <c r="K11073" s="29"/>
      <c r="L11073" s="29" t="s">
        <v>14753</v>
      </c>
      <c r="M11073" s="29"/>
      <c r="N11073" s="29" t="s">
        <v>14786</v>
      </c>
      <c r="O11073" s="29"/>
      <c r="P11073" s="29" t="s">
        <v>14787</v>
      </c>
      <c r="Q11073" t="s">
        <v>2038</v>
      </c>
      <c r="R11073" t="s">
        <v>2633</v>
      </c>
      <c r="S11073">
        <v>37</v>
      </c>
      <c r="T11073" s="43" t="str">
        <f t="shared" si="475"/>
        <v>2021.006D.R.Polydnaviriformidae_1renfam_3rensp.zip</v>
      </c>
      <c r="U11073" s="43" t="str">
        <f>HYPERLINK("https://ictv.global/taxonomy/taxondetails?taxnode_id=202204394","ictv.global=202204394")</f>
        <v>ictv.global=202204394</v>
      </c>
    </row>
    <row r="11074" spans="1:21">
      <c r="A11074">
        <v>11073</v>
      </c>
      <c r="B11074" s="29"/>
      <c r="C11074" s="29"/>
      <c r="D11074" s="29"/>
      <c r="E11074" s="29"/>
      <c r="F11074" s="29"/>
      <c r="G11074" s="29"/>
      <c r="H11074" s="29"/>
      <c r="I11074" s="29"/>
      <c r="J11074" s="29"/>
      <c r="K11074" s="29"/>
      <c r="L11074" s="29" t="s">
        <v>14753</v>
      </c>
      <c r="M11074" s="29"/>
      <c r="N11074" s="29" t="s">
        <v>14786</v>
      </c>
      <c r="O11074" s="29"/>
      <c r="P11074" s="29" t="s">
        <v>14788</v>
      </c>
      <c r="Q11074" t="s">
        <v>2038</v>
      </c>
      <c r="R11074" t="s">
        <v>2633</v>
      </c>
      <c r="S11074">
        <v>37</v>
      </c>
      <c r="T11074" s="43" t="str">
        <f t="shared" ref="T11074:T11094" si="476">HYPERLINK("https://ictv.global/ictv/proposals/2021.006D.R.Polydnaviriformidae_1renfam_3rensp.zip","2021.006D.R.Polydnaviriformidae_1renfam_3rensp.zip")</f>
        <v>2021.006D.R.Polydnaviriformidae_1renfam_3rensp.zip</v>
      </c>
      <c r="U11074" s="43" t="str">
        <f>HYPERLINK("https://ictv.global/taxonomy/taxondetails?taxnode_id=202204400","ictv.global=202204400")</f>
        <v>ictv.global=202204400</v>
      </c>
    </row>
    <row r="11075" spans="1:21">
      <c r="A11075">
        <v>11074</v>
      </c>
      <c r="B11075" s="29"/>
      <c r="C11075" s="29"/>
      <c r="D11075" s="29"/>
      <c r="E11075" s="29"/>
      <c r="F11075" s="29"/>
      <c r="G11075" s="29"/>
      <c r="H11075" s="29"/>
      <c r="I11075" s="29"/>
      <c r="J11075" s="29"/>
      <c r="K11075" s="29"/>
      <c r="L11075" s="29" t="s">
        <v>14753</v>
      </c>
      <c r="M11075" s="29"/>
      <c r="N11075" s="29" t="s">
        <v>14786</v>
      </c>
      <c r="O11075" s="29"/>
      <c r="P11075" s="29" t="s">
        <v>14789</v>
      </c>
      <c r="Q11075" t="s">
        <v>2038</v>
      </c>
      <c r="R11075" t="s">
        <v>2633</v>
      </c>
      <c r="S11075">
        <v>37</v>
      </c>
      <c r="T11075" s="43" t="str">
        <f t="shared" si="476"/>
        <v>2021.006D.R.Polydnaviriformidae_1renfam_3rensp.zip</v>
      </c>
      <c r="U11075" s="43" t="str">
        <f>HYPERLINK("https://ictv.global/taxonomy/taxondetails?taxnode_id=202204388","ictv.global=202204388")</f>
        <v>ictv.global=202204388</v>
      </c>
    </row>
    <row r="11076" spans="1:21">
      <c r="A11076">
        <v>11075</v>
      </c>
      <c r="B11076" s="29"/>
      <c r="C11076" s="29"/>
      <c r="D11076" s="29"/>
      <c r="E11076" s="29"/>
      <c r="F11076" s="29"/>
      <c r="G11076" s="29"/>
      <c r="H11076" s="29"/>
      <c r="I11076" s="29"/>
      <c r="J11076" s="29"/>
      <c r="K11076" s="29"/>
      <c r="L11076" s="29" t="s">
        <v>14753</v>
      </c>
      <c r="M11076" s="29"/>
      <c r="N11076" s="29" t="s">
        <v>14786</v>
      </c>
      <c r="O11076" s="29"/>
      <c r="P11076" s="29" t="s">
        <v>14790</v>
      </c>
      <c r="Q11076" t="s">
        <v>2038</v>
      </c>
      <c r="R11076" t="s">
        <v>2633</v>
      </c>
      <c r="S11076">
        <v>37</v>
      </c>
      <c r="T11076" s="43" t="str">
        <f t="shared" si="476"/>
        <v>2021.006D.R.Polydnaviriformidae_1renfam_3rensp.zip</v>
      </c>
      <c r="U11076" s="43" t="str">
        <f>HYPERLINK("https://ictv.global/taxonomy/taxondetails?taxnode_id=202204391","ictv.global=202204391")</f>
        <v>ictv.global=202204391</v>
      </c>
    </row>
    <row r="11077" spans="1:21">
      <c r="A11077">
        <v>11076</v>
      </c>
      <c r="B11077" s="29"/>
      <c r="C11077" s="29"/>
      <c r="D11077" s="29"/>
      <c r="E11077" s="29"/>
      <c r="F11077" s="29"/>
      <c r="G11077" s="29"/>
      <c r="H11077" s="29"/>
      <c r="I11077" s="29"/>
      <c r="J11077" s="29"/>
      <c r="K11077" s="29"/>
      <c r="L11077" s="29" t="s">
        <v>14753</v>
      </c>
      <c r="M11077" s="29"/>
      <c r="N11077" s="29" t="s">
        <v>14786</v>
      </c>
      <c r="O11077" s="29"/>
      <c r="P11077" s="29" t="s">
        <v>14791</v>
      </c>
      <c r="Q11077" t="s">
        <v>2038</v>
      </c>
      <c r="R11077" t="s">
        <v>2633</v>
      </c>
      <c r="S11077">
        <v>37</v>
      </c>
      <c r="T11077" s="43" t="str">
        <f t="shared" si="476"/>
        <v>2021.006D.R.Polydnaviriformidae_1renfam_3rensp.zip</v>
      </c>
      <c r="U11077" s="43" t="str">
        <f>HYPERLINK("https://ictv.global/taxonomy/taxondetails?taxnode_id=202204406","ictv.global=202204406")</f>
        <v>ictv.global=202204406</v>
      </c>
    </row>
    <row r="11078" spans="1:21">
      <c r="A11078">
        <v>11077</v>
      </c>
      <c r="B11078" s="29"/>
      <c r="C11078" s="29"/>
      <c r="D11078" s="29"/>
      <c r="E11078" s="29"/>
      <c r="F11078" s="29"/>
      <c r="G11078" s="29"/>
      <c r="H11078" s="29"/>
      <c r="I11078" s="29"/>
      <c r="J11078" s="29"/>
      <c r="K11078" s="29"/>
      <c r="L11078" s="29" t="s">
        <v>14753</v>
      </c>
      <c r="M11078" s="29"/>
      <c r="N11078" s="29" t="s">
        <v>14786</v>
      </c>
      <c r="O11078" s="29"/>
      <c r="P11078" s="29" t="s">
        <v>14792</v>
      </c>
      <c r="Q11078" t="s">
        <v>2038</v>
      </c>
      <c r="R11078" t="s">
        <v>2633</v>
      </c>
      <c r="S11078">
        <v>37</v>
      </c>
      <c r="T11078" s="43" t="str">
        <f t="shared" si="476"/>
        <v>2021.006D.R.Polydnaviriformidae_1renfam_3rensp.zip</v>
      </c>
      <c r="U11078" s="43" t="str">
        <f>HYPERLINK("https://ictv.global/taxonomy/taxondetails?taxnode_id=202204398","ictv.global=202204398")</f>
        <v>ictv.global=202204398</v>
      </c>
    </row>
    <row r="11079" spans="1:21">
      <c r="A11079">
        <v>11078</v>
      </c>
      <c r="B11079" s="29"/>
      <c r="C11079" s="29"/>
      <c r="D11079" s="29"/>
      <c r="E11079" s="29"/>
      <c r="F11079" s="29"/>
      <c r="G11079" s="29"/>
      <c r="H11079" s="29"/>
      <c r="I11079" s="29"/>
      <c r="J11079" s="29"/>
      <c r="K11079" s="29"/>
      <c r="L11079" s="29" t="s">
        <v>14753</v>
      </c>
      <c r="M11079" s="29"/>
      <c r="N11079" s="29" t="s">
        <v>14786</v>
      </c>
      <c r="O11079" s="29"/>
      <c r="P11079" s="29" t="s">
        <v>14793</v>
      </c>
      <c r="Q11079" t="s">
        <v>2038</v>
      </c>
      <c r="R11079" t="s">
        <v>2633</v>
      </c>
      <c r="S11079">
        <v>37</v>
      </c>
      <c r="T11079" s="43" t="str">
        <f t="shared" si="476"/>
        <v>2021.006D.R.Polydnaviriformidae_1renfam_3rensp.zip</v>
      </c>
      <c r="U11079" s="43" t="str">
        <f>HYPERLINK("https://ictv.global/taxonomy/taxondetails?taxnode_id=202204401","ictv.global=202204401")</f>
        <v>ictv.global=202204401</v>
      </c>
    </row>
    <row r="11080" spans="1:21">
      <c r="A11080">
        <v>11079</v>
      </c>
      <c r="B11080" s="29"/>
      <c r="C11080" s="29"/>
      <c r="D11080" s="29"/>
      <c r="E11080" s="29"/>
      <c r="F11080" s="29"/>
      <c r="G11080" s="29"/>
      <c r="H11080" s="29"/>
      <c r="I11080" s="29"/>
      <c r="J11080" s="29"/>
      <c r="K11080" s="29"/>
      <c r="L11080" s="29" t="s">
        <v>14753</v>
      </c>
      <c r="M11080" s="29"/>
      <c r="N11080" s="29" t="s">
        <v>14786</v>
      </c>
      <c r="O11080" s="29"/>
      <c r="P11080" s="29" t="s">
        <v>14794</v>
      </c>
      <c r="Q11080" t="s">
        <v>2038</v>
      </c>
      <c r="R11080" t="s">
        <v>2633</v>
      </c>
      <c r="S11080">
        <v>37</v>
      </c>
      <c r="T11080" s="43" t="str">
        <f t="shared" si="476"/>
        <v>2021.006D.R.Polydnaviriformidae_1renfam_3rensp.zip</v>
      </c>
      <c r="U11080" s="43" t="str">
        <f>HYPERLINK("https://ictv.global/taxonomy/taxondetails?taxnode_id=202204389","ictv.global=202204389")</f>
        <v>ictv.global=202204389</v>
      </c>
    </row>
    <row r="11081" spans="1:21">
      <c r="A11081">
        <v>11080</v>
      </c>
      <c r="B11081" s="29"/>
      <c r="C11081" s="29"/>
      <c r="D11081" s="29"/>
      <c r="E11081" s="29"/>
      <c r="F11081" s="29"/>
      <c r="G11081" s="29"/>
      <c r="H11081" s="29"/>
      <c r="I11081" s="29"/>
      <c r="J11081" s="29"/>
      <c r="K11081" s="29"/>
      <c r="L11081" s="29" t="s">
        <v>14753</v>
      </c>
      <c r="M11081" s="29"/>
      <c r="N11081" s="29" t="s">
        <v>14786</v>
      </c>
      <c r="O11081" s="29"/>
      <c r="P11081" s="29" t="s">
        <v>14795</v>
      </c>
      <c r="Q11081" t="s">
        <v>2038</v>
      </c>
      <c r="R11081" t="s">
        <v>2633</v>
      </c>
      <c r="S11081">
        <v>37</v>
      </c>
      <c r="T11081" s="43" t="str">
        <f t="shared" si="476"/>
        <v>2021.006D.R.Polydnaviriformidae_1renfam_3rensp.zip</v>
      </c>
      <c r="U11081" s="43" t="str">
        <f>HYPERLINK("https://ictv.global/taxonomy/taxondetails?taxnode_id=202204392","ictv.global=202204392")</f>
        <v>ictv.global=202204392</v>
      </c>
    </row>
    <row r="11082" spans="1:21">
      <c r="A11082">
        <v>11081</v>
      </c>
      <c r="B11082" s="29"/>
      <c r="C11082" s="29"/>
      <c r="D11082" s="29"/>
      <c r="E11082" s="29"/>
      <c r="F11082" s="29"/>
      <c r="G11082" s="29"/>
      <c r="H11082" s="29"/>
      <c r="I11082" s="29"/>
      <c r="J11082" s="29"/>
      <c r="K11082" s="29"/>
      <c r="L11082" s="29" t="s">
        <v>14753</v>
      </c>
      <c r="M11082" s="29"/>
      <c r="N11082" s="29" t="s">
        <v>14786</v>
      </c>
      <c r="O11082" s="29"/>
      <c r="P11082" s="29" t="s">
        <v>14796</v>
      </c>
      <c r="Q11082" t="s">
        <v>2038</v>
      </c>
      <c r="R11082" t="s">
        <v>2633</v>
      </c>
      <c r="S11082">
        <v>37</v>
      </c>
      <c r="T11082" s="43" t="str">
        <f t="shared" si="476"/>
        <v>2021.006D.R.Polydnaviriformidae_1renfam_3rensp.zip</v>
      </c>
      <c r="U11082" s="43" t="str">
        <f>HYPERLINK("https://ictv.global/taxonomy/taxondetails?taxnode_id=202204402","ictv.global=202204402")</f>
        <v>ictv.global=202204402</v>
      </c>
    </row>
    <row r="11083" spans="1:21">
      <c r="A11083">
        <v>11082</v>
      </c>
      <c r="B11083" s="29"/>
      <c r="C11083" s="29"/>
      <c r="D11083" s="29"/>
      <c r="E11083" s="29"/>
      <c r="F11083" s="29"/>
      <c r="G11083" s="29"/>
      <c r="H11083" s="29"/>
      <c r="I11083" s="29"/>
      <c r="J11083" s="29"/>
      <c r="K11083" s="29"/>
      <c r="L11083" s="29" t="s">
        <v>14753</v>
      </c>
      <c r="M11083" s="29"/>
      <c r="N11083" s="29" t="s">
        <v>14786</v>
      </c>
      <c r="O11083" s="29"/>
      <c r="P11083" s="29" t="s">
        <v>14797</v>
      </c>
      <c r="Q11083" t="s">
        <v>2038</v>
      </c>
      <c r="R11083" t="s">
        <v>2633</v>
      </c>
      <c r="S11083">
        <v>37</v>
      </c>
      <c r="T11083" s="43" t="str">
        <f t="shared" si="476"/>
        <v>2021.006D.R.Polydnaviriformidae_1renfam_3rensp.zip</v>
      </c>
      <c r="U11083" s="43" t="str">
        <f>HYPERLINK("https://ictv.global/taxonomy/taxondetails?taxnode_id=202204399","ictv.global=202204399")</f>
        <v>ictv.global=202204399</v>
      </c>
    </row>
    <row r="11084" spans="1:21">
      <c r="A11084">
        <v>11083</v>
      </c>
      <c r="B11084" s="29"/>
      <c r="C11084" s="29"/>
      <c r="D11084" s="29"/>
      <c r="E11084" s="29"/>
      <c r="F11084" s="29"/>
      <c r="G11084" s="29"/>
      <c r="H11084" s="29"/>
      <c r="I11084" s="29"/>
      <c r="J11084" s="29"/>
      <c r="K11084" s="29"/>
      <c r="L11084" s="29" t="s">
        <v>14753</v>
      </c>
      <c r="M11084" s="29"/>
      <c r="N11084" s="29" t="s">
        <v>14786</v>
      </c>
      <c r="O11084" s="29"/>
      <c r="P11084" s="29" t="s">
        <v>14798</v>
      </c>
      <c r="Q11084" t="s">
        <v>2038</v>
      </c>
      <c r="R11084" t="s">
        <v>2633</v>
      </c>
      <c r="S11084">
        <v>37</v>
      </c>
      <c r="T11084" s="43" t="str">
        <f t="shared" si="476"/>
        <v>2021.006D.R.Polydnaviriformidae_1renfam_3rensp.zip</v>
      </c>
      <c r="U11084" s="43" t="str">
        <f>HYPERLINK("https://ictv.global/taxonomy/taxondetails?taxnode_id=202204407","ictv.global=202204407")</f>
        <v>ictv.global=202204407</v>
      </c>
    </row>
    <row r="11085" spans="1:21">
      <c r="A11085">
        <v>11084</v>
      </c>
      <c r="B11085" s="29"/>
      <c r="C11085" s="29"/>
      <c r="D11085" s="29"/>
      <c r="E11085" s="29"/>
      <c r="F11085" s="29"/>
      <c r="G11085" s="29"/>
      <c r="H11085" s="29"/>
      <c r="I11085" s="29"/>
      <c r="J11085" s="29"/>
      <c r="K11085" s="29"/>
      <c r="L11085" s="29" t="s">
        <v>14753</v>
      </c>
      <c r="M11085" s="29"/>
      <c r="N11085" s="29" t="s">
        <v>14786</v>
      </c>
      <c r="O11085" s="29"/>
      <c r="P11085" s="29" t="s">
        <v>14799</v>
      </c>
      <c r="Q11085" t="s">
        <v>2038</v>
      </c>
      <c r="R11085" t="s">
        <v>2633</v>
      </c>
      <c r="S11085">
        <v>37</v>
      </c>
      <c r="T11085" s="43" t="str">
        <f t="shared" si="476"/>
        <v>2021.006D.R.Polydnaviriformidae_1renfam_3rensp.zip</v>
      </c>
      <c r="U11085" s="43" t="str">
        <f>HYPERLINK("https://ictv.global/taxonomy/taxondetails?taxnode_id=202204393","ictv.global=202204393")</f>
        <v>ictv.global=202204393</v>
      </c>
    </row>
    <row r="11086" spans="1:21">
      <c r="A11086">
        <v>11085</v>
      </c>
      <c r="B11086" s="29"/>
      <c r="C11086" s="29"/>
      <c r="D11086" s="29"/>
      <c r="E11086" s="29"/>
      <c r="F11086" s="29"/>
      <c r="G11086" s="29"/>
      <c r="H11086" s="29"/>
      <c r="I11086" s="29"/>
      <c r="J11086" s="29"/>
      <c r="K11086" s="29"/>
      <c r="L11086" s="29" t="s">
        <v>14753</v>
      </c>
      <c r="M11086" s="29"/>
      <c r="N11086" s="29" t="s">
        <v>14786</v>
      </c>
      <c r="O11086" s="29"/>
      <c r="P11086" s="29" t="s">
        <v>14800</v>
      </c>
      <c r="Q11086" t="s">
        <v>2038</v>
      </c>
      <c r="R11086" t="s">
        <v>2633</v>
      </c>
      <c r="S11086">
        <v>37</v>
      </c>
      <c r="T11086" s="43" t="str">
        <f t="shared" si="476"/>
        <v>2021.006D.R.Polydnaviriformidae_1renfam_3rensp.zip</v>
      </c>
      <c r="U11086" s="43" t="str">
        <f>HYPERLINK("https://ictv.global/taxonomy/taxondetails?taxnode_id=202204395","ictv.global=202204395")</f>
        <v>ictv.global=202204395</v>
      </c>
    </row>
    <row r="11087" spans="1:21">
      <c r="A11087">
        <v>11086</v>
      </c>
      <c r="B11087" s="29"/>
      <c r="C11087" s="29"/>
      <c r="D11087" s="29"/>
      <c r="E11087" s="29"/>
      <c r="F11087" s="29"/>
      <c r="G11087" s="29"/>
      <c r="H11087" s="29"/>
      <c r="I11087" s="29"/>
      <c r="J11087" s="29"/>
      <c r="K11087" s="29"/>
      <c r="L11087" s="29" t="s">
        <v>14753</v>
      </c>
      <c r="M11087" s="29"/>
      <c r="N11087" s="29" t="s">
        <v>14786</v>
      </c>
      <c r="O11087" s="29"/>
      <c r="P11087" s="29" t="s">
        <v>14801</v>
      </c>
      <c r="Q11087" t="s">
        <v>2038</v>
      </c>
      <c r="R11087" t="s">
        <v>2633</v>
      </c>
      <c r="S11087">
        <v>37</v>
      </c>
      <c r="T11087" s="43" t="str">
        <f t="shared" si="476"/>
        <v>2021.006D.R.Polydnaviriformidae_1renfam_3rensp.zip</v>
      </c>
      <c r="U11087" s="43" t="str">
        <f>HYPERLINK("https://ictv.global/taxonomy/taxondetails?taxnode_id=202204403","ictv.global=202204403")</f>
        <v>ictv.global=202204403</v>
      </c>
    </row>
    <row r="11088" spans="1:21">
      <c r="A11088">
        <v>11087</v>
      </c>
      <c r="B11088" s="29"/>
      <c r="C11088" s="29"/>
      <c r="D11088" s="29"/>
      <c r="E11088" s="29"/>
      <c r="F11088" s="29"/>
      <c r="G11088" s="29"/>
      <c r="H11088" s="29"/>
      <c r="I11088" s="29"/>
      <c r="J11088" s="29"/>
      <c r="K11088" s="29"/>
      <c r="L11088" s="29" t="s">
        <v>14753</v>
      </c>
      <c r="M11088" s="29"/>
      <c r="N11088" s="29" t="s">
        <v>14786</v>
      </c>
      <c r="O11088" s="29"/>
      <c r="P11088" s="29" t="s">
        <v>14802</v>
      </c>
      <c r="Q11088" t="s">
        <v>2038</v>
      </c>
      <c r="R11088" t="s">
        <v>2633</v>
      </c>
      <c r="S11088">
        <v>37</v>
      </c>
      <c r="T11088" s="43" t="str">
        <f t="shared" si="476"/>
        <v>2021.006D.R.Polydnaviriformidae_1renfam_3rensp.zip</v>
      </c>
      <c r="U11088" s="43" t="str">
        <f>HYPERLINK("https://ictv.global/taxonomy/taxondetails?taxnode_id=202204397","ictv.global=202204397")</f>
        <v>ictv.global=202204397</v>
      </c>
    </row>
    <row r="11089" spans="1:21">
      <c r="A11089">
        <v>11088</v>
      </c>
      <c r="B11089" s="29"/>
      <c r="C11089" s="29"/>
      <c r="D11089" s="29"/>
      <c r="E11089" s="29"/>
      <c r="F11089" s="29"/>
      <c r="G11089" s="29"/>
      <c r="H11089" s="29"/>
      <c r="I11089" s="29"/>
      <c r="J11089" s="29"/>
      <c r="K11089" s="29"/>
      <c r="L11089" s="29" t="s">
        <v>14753</v>
      </c>
      <c r="M11089" s="29"/>
      <c r="N11089" s="29" t="s">
        <v>14786</v>
      </c>
      <c r="O11089" s="29"/>
      <c r="P11089" s="29" t="s">
        <v>14803</v>
      </c>
      <c r="Q11089" t="s">
        <v>2038</v>
      </c>
      <c r="R11089" t="s">
        <v>2633</v>
      </c>
      <c r="S11089">
        <v>37</v>
      </c>
      <c r="T11089" s="43" t="str">
        <f t="shared" si="476"/>
        <v>2021.006D.R.Polydnaviriformidae_1renfam_3rensp.zip</v>
      </c>
      <c r="U11089" s="43" t="str">
        <f>HYPERLINK("https://ictv.global/taxonomy/taxondetails?taxnode_id=202204404","ictv.global=202204404")</f>
        <v>ictv.global=202204404</v>
      </c>
    </row>
    <row r="11090" spans="1:21">
      <c r="A11090">
        <v>11089</v>
      </c>
      <c r="B11090" s="29"/>
      <c r="C11090" s="29"/>
      <c r="D11090" s="29"/>
      <c r="E11090" s="29"/>
      <c r="F11090" s="29"/>
      <c r="G11090" s="29"/>
      <c r="H11090" s="29"/>
      <c r="I11090" s="29"/>
      <c r="J11090" s="29"/>
      <c r="K11090" s="29"/>
      <c r="L11090" s="29" t="s">
        <v>14753</v>
      </c>
      <c r="M11090" s="29"/>
      <c r="N11090" s="29" t="s">
        <v>14786</v>
      </c>
      <c r="O11090" s="29"/>
      <c r="P11090" s="29" t="s">
        <v>14804</v>
      </c>
      <c r="Q11090" t="s">
        <v>2038</v>
      </c>
      <c r="R11090" t="s">
        <v>2633</v>
      </c>
      <c r="S11090">
        <v>37</v>
      </c>
      <c r="T11090" s="43" t="str">
        <f t="shared" si="476"/>
        <v>2021.006D.R.Polydnaviriformidae_1renfam_3rensp.zip</v>
      </c>
      <c r="U11090" s="43" t="str">
        <f>HYPERLINK("https://ictv.global/taxonomy/taxondetails?taxnode_id=202204405","ictv.global=202204405")</f>
        <v>ictv.global=202204405</v>
      </c>
    </row>
    <row r="11091" spans="1:21">
      <c r="A11091">
        <v>11090</v>
      </c>
      <c r="B11091" s="29"/>
      <c r="C11091" s="29"/>
      <c r="D11091" s="29"/>
      <c r="E11091" s="29"/>
      <c r="F11091" s="29"/>
      <c r="G11091" s="29"/>
      <c r="H11091" s="29"/>
      <c r="I11091" s="29"/>
      <c r="J11091" s="29"/>
      <c r="K11091" s="29"/>
      <c r="L11091" s="29" t="s">
        <v>14753</v>
      </c>
      <c r="M11091" s="29"/>
      <c r="N11091" s="29" t="s">
        <v>14786</v>
      </c>
      <c r="O11091" s="29"/>
      <c r="P11091" s="29" t="s">
        <v>14805</v>
      </c>
      <c r="Q11091" t="s">
        <v>2038</v>
      </c>
      <c r="R11091" t="s">
        <v>2633</v>
      </c>
      <c r="S11091">
        <v>37</v>
      </c>
      <c r="T11091" s="43" t="str">
        <f t="shared" si="476"/>
        <v>2021.006D.R.Polydnaviriformidae_1renfam_3rensp.zip</v>
      </c>
      <c r="U11091" s="43" t="str">
        <f>HYPERLINK("https://ictv.global/taxonomy/taxondetails?taxnode_id=202204386","ictv.global=202204386")</f>
        <v>ictv.global=202204386</v>
      </c>
    </row>
    <row r="11092" spans="1:21">
      <c r="A11092">
        <v>11091</v>
      </c>
      <c r="B11092" s="29"/>
      <c r="C11092" s="29"/>
      <c r="D11092" s="29"/>
      <c r="E11092" s="29"/>
      <c r="F11092" s="29"/>
      <c r="G11092" s="29"/>
      <c r="H11092" s="29"/>
      <c r="I11092" s="29"/>
      <c r="J11092" s="29"/>
      <c r="K11092" s="29"/>
      <c r="L11092" s="29" t="s">
        <v>14753</v>
      </c>
      <c r="M11092" s="29"/>
      <c r="N11092" s="29" t="s">
        <v>14786</v>
      </c>
      <c r="O11092" s="29"/>
      <c r="P11092" s="29" t="s">
        <v>14806</v>
      </c>
      <c r="Q11092" t="s">
        <v>2038</v>
      </c>
      <c r="R11092" t="s">
        <v>2633</v>
      </c>
      <c r="S11092">
        <v>37</v>
      </c>
      <c r="T11092" s="43" t="str">
        <f t="shared" si="476"/>
        <v>2021.006D.R.Polydnaviriformidae_1renfam_3rensp.zip</v>
      </c>
      <c r="U11092" s="43" t="str">
        <f>HYPERLINK("https://ictv.global/taxonomy/taxondetails?taxnode_id=202204390","ictv.global=202204390")</f>
        <v>ictv.global=202204390</v>
      </c>
    </row>
    <row r="11093" spans="1:21">
      <c r="A11093">
        <v>11092</v>
      </c>
      <c r="B11093" s="29"/>
      <c r="C11093" s="29"/>
      <c r="D11093" s="29"/>
      <c r="E11093" s="29"/>
      <c r="F11093" s="29"/>
      <c r="G11093" s="29"/>
      <c r="H11093" s="29"/>
      <c r="I11093" s="29"/>
      <c r="J11093" s="29"/>
      <c r="K11093" s="29"/>
      <c r="L11093" s="29" t="s">
        <v>14753</v>
      </c>
      <c r="M11093" s="29"/>
      <c r="N11093" s="29" t="s">
        <v>14786</v>
      </c>
      <c r="O11093" s="29"/>
      <c r="P11093" s="29" t="s">
        <v>14807</v>
      </c>
      <c r="Q11093" t="s">
        <v>2038</v>
      </c>
      <c r="R11093" t="s">
        <v>2633</v>
      </c>
      <c r="S11093">
        <v>37</v>
      </c>
      <c r="T11093" s="43" t="str">
        <f t="shared" si="476"/>
        <v>2021.006D.R.Polydnaviriformidae_1renfam_3rensp.zip</v>
      </c>
      <c r="U11093" s="43" t="str">
        <f>HYPERLINK("https://ictv.global/taxonomy/taxondetails?taxnode_id=202204408","ictv.global=202204408")</f>
        <v>ictv.global=202204408</v>
      </c>
    </row>
    <row r="11094" spans="1:21">
      <c r="A11094">
        <v>11093</v>
      </c>
      <c r="B11094" s="29"/>
      <c r="C11094" s="29"/>
      <c r="D11094" s="29"/>
      <c r="E11094" s="29"/>
      <c r="F11094" s="29"/>
      <c r="G11094" s="29"/>
      <c r="H11094" s="29"/>
      <c r="I11094" s="29"/>
      <c r="J11094" s="29"/>
      <c r="K11094" s="29"/>
      <c r="L11094" s="29" t="s">
        <v>14753</v>
      </c>
      <c r="M11094" s="29"/>
      <c r="N11094" s="29" t="s">
        <v>14786</v>
      </c>
      <c r="O11094" s="29"/>
      <c r="P11094" s="29" t="s">
        <v>14808</v>
      </c>
      <c r="Q11094" t="s">
        <v>2038</v>
      </c>
      <c r="R11094" t="s">
        <v>2633</v>
      </c>
      <c r="S11094">
        <v>37</v>
      </c>
      <c r="T11094" s="43" t="str">
        <f t="shared" si="476"/>
        <v>2021.006D.R.Polydnaviriformidae_1renfam_3rensp.zip</v>
      </c>
      <c r="U11094" s="43" t="str">
        <f>HYPERLINK("https://ictv.global/taxonomy/taxondetails?taxnode_id=202204396","ictv.global=202204396")</f>
        <v>ictv.global=202204396</v>
      </c>
    </row>
    <row r="11095" spans="1:21">
      <c r="A11095">
        <v>11094</v>
      </c>
      <c r="B11095" s="29"/>
      <c r="C11095" s="29"/>
      <c r="D11095" s="29"/>
      <c r="E11095" s="29"/>
      <c r="F11095" s="29"/>
      <c r="G11095" s="29"/>
      <c r="H11095" s="29"/>
      <c r="I11095" s="29"/>
      <c r="J11095" s="29"/>
      <c r="K11095" s="29"/>
      <c r="L11095" s="29" t="s">
        <v>2955</v>
      </c>
      <c r="M11095" s="29"/>
      <c r="N11095" s="29" t="s">
        <v>2956</v>
      </c>
      <c r="O11095" s="29"/>
      <c r="P11095" s="29" t="s">
        <v>4449</v>
      </c>
      <c r="Q11095" t="s">
        <v>2038</v>
      </c>
      <c r="R11095" t="s">
        <v>2632</v>
      </c>
      <c r="S11095">
        <v>35</v>
      </c>
      <c r="T11095" s="43" t="str">
        <f>HYPERLINK("https://ictv.global/ictv/proposals/2019.107B.zip","2019.107B.zip")</f>
        <v>2019.107B.zip</v>
      </c>
      <c r="U11095" s="43" t="str">
        <f>HYPERLINK("https://ictv.global/taxonomy/taxondetails?taxnode_id=202208646","ictv.global=202208646")</f>
        <v>ictv.global=202208646</v>
      </c>
    </row>
    <row r="11096" spans="1:21">
      <c r="A11096">
        <v>11095</v>
      </c>
      <c r="B11096" s="29"/>
      <c r="C11096" s="29"/>
      <c r="D11096" s="29"/>
      <c r="E11096" s="29"/>
      <c r="F11096" s="29"/>
      <c r="G11096" s="29"/>
      <c r="H11096" s="29"/>
      <c r="I11096" s="29"/>
      <c r="J11096" s="29"/>
      <c r="K11096" s="29"/>
      <c r="L11096" s="29" t="s">
        <v>2955</v>
      </c>
      <c r="M11096" s="29"/>
      <c r="N11096" s="29" t="s">
        <v>2956</v>
      </c>
      <c r="O11096" s="29"/>
      <c r="P11096" s="29" t="s">
        <v>2957</v>
      </c>
      <c r="Q11096" t="s">
        <v>2038</v>
      </c>
      <c r="R11096" t="s">
        <v>6901</v>
      </c>
      <c r="S11096">
        <v>36</v>
      </c>
      <c r="T11096" s="43" t="str">
        <f>HYPERLINK("https://ictv.global/ictv/proposals/2020.001G.R.Abolish_type_species.pdf","2020.001G.R.Abolish_type_species.pdf")</f>
        <v>2020.001G.R.Abolish_type_species.pdf</v>
      </c>
      <c r="U11096" s="43" t="str">
        <f>HYPERLINK("https://ictv.global/taxonomy/taxondetails?taxnode_id=202205912","ictv.global=202205912")</f>
        <v>ictv.global=202205912</v>
      </c>
    </row>
    <row r="11097" spans="1:21">
      <c r="A11097">
        <v>11096</v>
      </c>
      <c r="B11097" s="29"/>
      <c r="C11097" s="29"/>
      <c r="D11097" s="29"/>
      <c r="E11097" s="29"/>
      <c r="F11097" s="29"/>
      <c r="G11097" s="29"/>
      <c r="H11097" s="29"/>
      <c r="I11097" s="29"/>
      <c r="J11097" s="29"/>
      <c r="K11097" s="29"/>
      <c r="L11097" s="29" t="s">
        <v>1497</v>
      </c>
      <c r="M11097" s="29"/>
      <c r="N11097" s="29" t="s">
        <v>1498</v>
      </c>
      <c r="O11097" s="29"/>
      <c r="P11097" s="29" t="s">
        <v>1499</v>
      </c>
      <c r="Q11097" t="s">
        <v>3206</v>
      </c>
      <c r="R11097" t="s">
        <v>2634</v>
      </c>
      <c r="S11097">
        <v>35</v>
      </c>
      <c r="T11097" s="43" t="str">
        <f>HYPERLINK("https://ictv.global/ictv/proposals/2019.009G.zip","2019.009G.zip")</f>
        <v>2019.009G.zip</v>
      </c>
      <c r="U11097" s="43" t="str">
        <f>HYPERLINK("https://ictv.global/taxonomy/taxondetails?taxnode_id=202204499","ictv.global=202204499")</f>
        <v>ictv.global=202204499</v>
      </c>
    </row>
    <row r="11098" spans="1:21">
      <c r="A11098">
        <v>11097</v>
      </c>
      <c r="B11098" s="29"/>
      <c r="C11098" s="29"/>
      <c r="D11098" s="29"/>
      <c r="E11098" s="29"/>
      <c r="F11098" s="29"/>
      <c r="G11098" s="29"/>
      <c r="H11098" s="29"/>
      <c r="I11098" s="29"/>
      <c r="J11098" s="29"/>
      <c r="K11098" s="29"/>
      <c r="L11098" s="29" t="s">
        <v>1497</v>
      </c>
      <c r="M11098" s="29"/>
      <c r="N11098" s="29" t="s">
        <v>1498</v>
      </c>
      <c r="O11098" s="29"/>
      <c r="P11098" s="29" t="s">
        <v>1500</v>
      </c>
      <c r="Q11098" t="s">
        <v>3206</v>
      </c>
      <c r="R11098" t="s">
        <v>6901</v>
      </c>
      <c r="S11098">
        <v>36</v>
      </c>
      <c r="T11098" s="43" t="str">
        <f>HYPERLINK("https://ictv.global/ictv/proposals/2020.001G.R.Abolish_type_species.pdf","2020.001G.R.Abolish_type_species.pdf")</f>
        <v>2020.001G.R.Abolish_type_species.pdf</v>
      </c>
      <c r="U11098" s="43" t="str">
        <f>HYPERLINK("https://ictv.global/taxonomy/taxondetails?taxnode_id=202204500","ictv.global=202204500")</f>
        <v>ictv.global=202204500</v>
      </c>
    </row>
    <row r="11099" spans="1:21">
      <c r="A11099">
        <v>11098</v>
      </c>
      <c r="B11099" s="29"/>
      <c r="C11099" s="29"/>
      <c r="D11099" s="29"/>
      <c r="E11099" s="29"/>
      <c r="F11099" s="29"/>
      <c r="G11099" s="29"/>
      <c r="H11099" s="29"/>
      <c r="I11099" s="29"/>
      <c r="J11099" s="29"/>
      <c r="K11099" s="29"/>
      <c r="L11099" s="29" t="s">
        <v>1497</v>
      </c>
      <c r="M11099" s="29"/>
      <c r="N11099" s="29" t="s">
        <v>1498</v>
      </c>
      <c r="O11099" s="29"/>
      <c r="P11099" s="29" t="s">
        <v>14809</v>
      </c>
      <c r="Q11099" t="s">
        <v>3206</v>
      </c>
      <c r="R11099" t="s">
        <v>2632</v>
      </c>
      <c r="S11099">
        <v>37</v>
      </c>
      <c r="T11099" s="43" t="str">
        <f t="shared" ref="T11099:T11106" si="477">HYPERLINK("https://ictv.global/ictv/proposals/2021.016P.R.Pospiviroidae_11ns.zip","2021.016P.R.Pospiviroidae_11ns.zip")</f>
        <v>2021.016P.R.Pospiviroidae_11ns.zip</v>
      </c>
      <c r="U11099" s="43" t="str">
        <f>HYPERLINK("https://ictv.global/taxonomy/taxondetails?taxnode_id=202213867","ictv.global=202213867")</f>
        <v>ictv.global=202213867</v>
      </c>
    </row>
    <row r="11100" spans="1:21">
      <c r="A11100">
        <v>11099</v>
      </c>
      <c r="B11100" s="29"/>
      <c r="C11100" s="29"/>
      <c r="D11100" s="29"/>
      <c r="E11100" s="29"/>
      <c r="F11100" s="29"/>
      <c r="G11100" s="29"/>
      <c r="H11100" s="29"/>
      <c r="I11100" s="29"/>
      <c r="J11100" s="29"/>
      <c r="K11100" s="29"/>
      <c r="L11100" s="29" t="s">
        <v>1497</v>
      </c>
      <c r="M11100" s="29"/>
      <c r="N11100" s="29" t="s">
        <v>1498</v>
      </c>
      <c r="O11100" s="29"/>
      <c r="P11100" s="29" t="s">
        <v>14810</v>
      </c>
      <c r="Q11100" t="s">
        <v>3206</v>
      </c>
      <c r="R11100" t="s">
        <v>2632</v>
      </c>
      <c r="S11100">
        <v>37</v>
      </c>
      <c r="T11100" s="43" t="str">
        <f t="shared" si="477"/>
        <v>2021.016P.R.Pospiviroidae_11ns.zip</v>
      </c>
      <c r="U11100" s="43" t="str">
        <f>HYPERLINK("https://ictv.global/taxonomy/taxondetails?taxnode_id=202213868","ictv.global=202213868")</f>
        <v>ictv.global=202213868</v>
      </c>
    </row>
    <row r="11101" spans="1:21">
      <c r="A11101">
        <v>11100</v>
      </c>
      <c r="B11101" s="29"/>
      <c r="C11101" s="29"/>
      <c r="D11101" s="29"/>
      <c r="E11101" s="29"/>
      <c r="F11101" s="29"/>
      <c r="G11101" s="29"/>
      <c r="H11101" s="29"/>
      <c r="I11101" s="29"/>
      <c r="J11101" s="29"/>
      <c r="K11101" s="29"/>
      <c r="L11101" s="29" t="s">
        <v>1497</v>
      </c>
      <c r="M11101" s="29"/>
      <c r="N11101" s="29" t="s">
        <v>1498</v>
      </c>
      <c r="O11101" s="29"/>
      <c r="P11101" s="29" t="s">
        <v>14811</v>
      </c>
      <c r="Q11101" t="s">
        <v>3206</v>
      </c>
      <c r="R11101" t="s">
        <v>2632</v>
      </c>
      <c r="S11101">
        <v>37</v>
      </c>
      <c r="T11101" s="43" t="str">
        <f t="shared" si="477"/>
        <v>2021.016P.R.Pospiviroidae_11ns.zip</v>
      </c>
      <c r="U11101" s="43" t="str">
        <f>HYPERLINK("https://ictv.global/taxonomy/taxondetails?taxnode_id=202213869","ictv.global=202213869")</f>
        <v>ictv.global=202213869</v>
      </c>
    </row>
    <row r="11102" spans="1:21">
      <c r="A11102">
        <v>11101</v>
      </c>
      <c r="B11102" s="29"/>
      <c r="C11102" s="29"/>
      <c r="D11102" s="29"/>
      <c r="E11102" s="29"/>
      <c r="F11102" s="29"/>
      <c r="G11102" s="29"/>
      <c r="H11102" s="29"/>
      <c r="I11102" s="29"/>
      <c r="J11102" s="29"/>
      <c r="K11102" s="29"/>
      <c r="L11102" s="29" t="s">
        <v>1497</v>
      </c>
      <c r="M11102" s="29"/>
      <c r="N11102" s="29" t="s">
        <v>1498</v>
      </c>
      <c r="O11102" s="29"/>
      <c r="P11102" s="29" t="s">
        <v>14812</v>
      </c>
      <c r="Q11102" t="s">
        <v>3206</v>
      </c>
      <c r="R11102" t="s">
        <v>2632</v>
      </c>
      <c r="S11102">
        <v>37</v>
      </c>
      <c r="T11102" s="43" t="str">
        <f t="shared" si="477"/>
        <v>2021.016P.R.Pospiviroidae_11ns.zip</v>
      </c>
      <c r="U11102" s="43" t="str">
        <f>HYPERLINK("https://ictv.global/taxonomy/taxondetails?taxnode_id=202213870","ictv.global=202213870")</f>
        <v>ictv.global=202213870</v>
      </c>
    </row>
    <row r="11103" spans="1:21">
      <c r="A11103">
        <v>11102</v>
      </c>
      <c r="B11103" s="29"/>
      <c r="C11103" s="29"/>
      <c r="D11103" s="29"/>
      <c r="E11103" s="29"/>
      <c r="F11103" s="29"/>
      <c r="G11103" s="29"/>
      <c r="H11103" s="29"/>
      <c r="I11103" s="29"/>
      <c r="J11103" s="29"/>
      <c r="K11103" s="29"/>
      <c r="L11103" s="29" t="s">
        <v>1497</v>
      </c>
      <c r="M11103" s="29"/>
      <c r="N11103" s="29" t="s">
        <v>1498</v>
      </c>
      <c r="O11103" s="29"/>
      <c r="P11103" s="29" t="s">
        <v>14813</v>
      </c>
      <c r="Q11103" t="s">
        <v>3206</v>
      </c>
      <c r="R11103" t="s">
        <v>2632</v>
      </c>
      <c r="S11103">
        <v>37</v>
      </c>
      <c r="T11103" s="43" t="str">
        <f t="shared" si="477"/>
        <v>2021.016P.R.Pospiviroidae_11ns.zip</v>
      </c>
      <c r="U11103" s="43" t="str">
        <f>HYPERLINK("https://ictv.global/taxonomy/taxondetails?taxnode_id=202213871","ictv.global=202213871")</f>
        <v>ictv.global=202213871</v>
      </c>
    </row>
    <row r="11104" spans="1:21">
      <c r="A11104">
        <v>11103</v>
      </c>
      <c r="B11104" s="29"/>
      <c r="C11104" s="29"/>
      <c r="D11104" s="29"/>
      <c r="E11104" s="29"/>
      <c r="F11104" s="29"/>
      <c r="G11104" s="29"/>
      <c r="H11104" s="29"/>
      <c r="I11104" s="29"/>
      <c r="J11104" s="29"/>
      <c r="K11104" s="29"/>
      <c r="L11104" s="29" t="s">
        <v>1497</v>
      </c>
      <c r="M11104" s="29"/>
      <c r="N11104" s="29" t="s">
        <v>1498</v>
      </c>
      <c r="O11104" s="29"/>
      <c r="P11104" s="29" t="s">
        <v>14814</v>
      </c>
      <c r="Q11104" t="s">
        <v>3206</v>
      </c>
      <c r="R11104" t="s">
        <v>2632</v>
      </c>
      <c r="S11104">
        <v>37</v>
      </c>
      <c r="T11104" s="43" t="str">
        <f t="shared" si="477"/>
        <v>2021.016P.R.Pospiviroidae_11ns.zip</v>
      </c>
      <c r="U11104" s="43" t="str">
        <f>HYPERLINK("https://ictv.global/taxonomy/taxondetails?taxnode_id=202213874","ictv.global=202213874")</f>
        <v>ictv.global=202213874</v>
      </c>
    </row>
    <row r="11105" spans="1:21">
      <c r="A11105">
        <v>11104</v>
      </c>
      <c r="B11105" s="29"/>
      <c r="C11105" s="29"/>
      <c r="D11105" s="29"/>
      <c r="E11105" s="29"/>
      <c r="F11105" s="29"/>
      <c r="G11105" s="29"/>
      <c r="H11105" s="29"/>
      <c r="I11105" s="29"/>
      <c r="J11105" s="29"/>
      <c r="K11105" s="29"/>
      <c r="L11105" s="29" t="s">
        <v>1497</v>
      </c>
      <c r="M11105" s="29"/>
      <c r="N11105" s="29" t="s">
        <v>1498</v>
      </c>
      <c r="O11105" s="29"/>
      <c r="P11105" s="29" t="s">
        <v>14815</v>
      </c>
      <c r="Q11105" t="s">
        <v>3206</v>
      </c>
      <c r="R11105" t="s">
        <v>2632</v>
      </c>
      <c r="S11105">
        <v>37</v>
      </c>
      <c r="T11105" s="43" t="str">
        <f t="shared" si="477"/>
        <v>2021.016P.R.Pospiviroidae_11ns.zip</v>
      </c>
      <c r="U11105" s="43" t="str">
        <f>HYPERLINK("https://ictv.global/taxonomy/taxondetails?taxnode_id=202213872","ictv.global=202213872")</f>
        <v>ictv.global=202213872</v>
      </c>
    </row>
    <row r="11106" spans="1:21">
      <c r="A11106">
        <v>11105</v>
      </c>
      <c r="B11106" s="29"/>
      <c r="C11106" s="29"/>
      <c r="D11106" s="29"/>
      <c r="E11106" s="29"/>
      <c r="F11106" s="29"/>
      <c r="G11106" s="29"/>
      <c r="H11106" s="29"/>
      <c r="I11106" s="29"/>
      <c r="J11106" s="29"/>
      <c r="K11106" s="29"/>
      <c r="L11106" s="29" t="s">
        <v>1497</v>
      </c>
      <c r="M11106" s="29"/>
      <c r="N11106" s="29" t="s">
        <v>1498</v>
      </c>
      <c r="O11106" s="29"/>
      <c r="P11106" s="29" t="s">
        <v>14816</v>
      </c>
      <c r="Q11106" t="s">
        <v>3206</v>
      </c>
      <c r="R11106" t="s">
        <v>2632</v>
      </c>
      <c r="S11106">
        <v>37</v>
      </c>
      <c r="T11106" s="43" t="str">
        <f t="shared" si="477"/>
        <v>2021.016P.R.Pospiviroidae_11ns.zip</v>
      </c>
      <c r="U11106" s="43" t="str">
        <f>HYPERLINK("https://ictv.global/taxonomy/taxondetails?taxnode_id=202213873","ictv.global=202213873")</f>
        <v>ictv.global=202213873</v>
      </c>
    </row>
    <row r="11107" spans="1:21">
      <c r="A11107">
        <v>11106</v>
      </c>
      <c r="B11107" s="29"/>
      <c r="C11107" s="29"/>
      <c r="D11107" s="29"/>
      <c r="E11107" s="29"/>
      <c r="F11107" s="29"/>
      <c r="G11107" s="29"/>
      <c r="H11107" s="29"/>
      <c r="I11107" s="29"/>
      <c r="J11107" s="29"/>
      <c r="K11107" s="29"/>
      <c r="L11107" s="29" t="s">
        <v>1497</v>
      </c>
      <c r="M11107" s="29"/>
      <c r="N11107" s="29" t="s">
        <v>1498</v>
      </c>
      <c r="O11107" s="29"/>
      <c r="P11107" s="29" t="s">
        <v>1501</v>
      </c>
      <c r="Q11107" t="s">
        <v>3206</v>
      </c>
      <c r="R11107" t="s">
        <v>2634</v>
      </c>
      <c r="S11107">
        <v>35</v>
      </c>
      <c r="T11107" s="43" t="str">
        <f t="shared" ref="T11107:T11115" si="478">HYPERLINK("https://ictv.global/ictv/proposals/2019.009G.zip","2019.009G.zip")</f>
        <v>2019.009G.zip</v>
      </c>
      <c r="U11107" s="43" t="str">
        <f>HYPERLINK("https://ictv.global/taxonomy/taxondetails?taxnode_id=202204501","ictv.global=202204501")</f>
        <v>ictv.global=202204501</v>
      </c>
    </row>
    <row r="11108" spans="1:21">
      <c r="A11108">
        <v>11107</v>
      </c>
      <c r="B11108" s="29"/>
      <c r="C11108" s="29"/>
      <c r="D11108" s="29"/>
      <c r="E11108" s="29"/>
      <c r="F11108" s="29"/>
      <c r="G11108" s="29"/>
      <c r="H11108" s="29"/>
      <c r="I11108" s="29"/>
      <c r="J11108" s="29"/>
      <c r="K11108" s="29"/>
      <c r="L11108" s="29" t="s">
        <v>1497</v>
      </c>
      <c r="M11108" s="29"/>
      <c r="N11108" s="29" t="s">
        <v>1498</v>
      </c>
      <c r="O11108" s="29"/>
      <c r="P11108" s="29" t="s">
        <v>1502</v>
      </c>
      <c r="Q11108" t="s">
        <v>3206</v>
      </c>
      <c r="R11108" t="s">
        <v>2634</v>
      </c>
      <c r="S11108">
        <v>35</v>
      </c>
      <c r="T11108" s="43" t="str">
        <f t="shared" si="478"/>
        <v>2019.009G.zip</v>
      </c>
      <c r="U11108" s="43" t="str">
        <f>HYPERLINK("https://ictv.global/taxonomy/taxondetails?taxnode_id=202204502","ictv.global=202204502")</f>
        <v>ictv.global=202204502</v>
      </c>
    </row>
    <row r="11109" spans="1:21">
      <c r="A11109">
        <v>11108</v>
      </c>
      <c r="B11109" s="29"/>
      <c r="C11109" s="29"/>
      <c r="D11109" s="29"/>
      <c r="E11109" s="29"/>
      <c r="F11109" s="29"/>
      <c r="G11109" s="29"/>
      <c r="H11109" s="29"/>
      <c r="I11109" s="29"/>
      <c r="J11109" s="29"/>
      <c r="K11109" s="29"/>
      <c r="L11109" s="29" t="s">
        <v>1497</v>
      </c>
      <c r="M11109" s="29"/>
      <c r="N11109" s="29" t="s">
        <v>1498</v>
      </c>
      <c r="O11109" s="29"/>
      <c r="P11109" s="29" t="s">
        <v>1503</v>
      </c>
      <c r="Q11109" t="s">
        <v>3206</v>
      </c>
      <c r="R11109" t="s">
        <v>2634</v>
      </c>
      <c r="S11109">
        <v>35</v>
      </c>
      <c r="T11109" s="43" t="str">
        <f t="shared" si="478"/>
        <v>2019.009G.zip</v>
      </c>
      <c r="U11109" s="43" t="str">
        <f>HYPERLINK("https://ictv.global/taxonomy/taxondetails?taxnode_id=202204503","ictv.global=202204503")</f>
        <v>ictv.global=202204503</v>
      </c>
    </row>
    <row r="11110" spans="1:21">
      <c r="A11110">
        <v>11109</v>
      </c>
      <c r="B11110" s="29"/>
      <c r="C11110" s="29"/>
      <c r="D11110" s="29"/>
      <c r="E11110" s="29"/>
      <c r="F11110" s="29"/>
      <c r="G11110" s="29"/>
      <c r="H11110" s="29"/>
      <c r="I11110" s="29"/>
      <c r="J11110" s="29"/>
      <c r="K11110" s="29"/>
      <c r="L11110" s="29" t="s">
        <v>1497</v>
      </c>
      <c r="M11110" s="29"/>
      <c r="N11110" s="29" t="s">
        <v>1498</v>
      </c>
      <c r="O11110" s="29"/>
      <c r="P11110" s="29" t="s">
        <v>1595</v>
      </c>
      <c r="Q11110" t="s">
        <v>3206</v>
      </c>
      <c r="R11110" t="s">
        <v>2634</v>
      </c>
      <c r="S11110">
        <v>35</v>
      </c>
      <c r="T11110" s="43" t="str">
        <f t="shared" si="478"/>
        <v>2019.009G.zip</v>
      </c>
      <c r="U11110" s="43" t="str">
        <f>HYPERLINK("https://ictv.global/taxonomy/taxondetails?taxnode_id=202204504","ictv.global=202204504")</f>
        <v>ictv.global=202204504</v>
      </c>
    </row>
    <row r="11111" spans="1:21">
      <c r="A11111">
        <v>11110</v>
      </c>
      <c r="B11111" s="29"/>
      <c r="C11111" s="29"/>
      <c r="D11111" s="29"/>
      <c r="E11111" s="29"/>
      <c r="F11111" s="29"/>
      <c r="G11111" s="29"/>
      <c r="H11111" s="29"/>
      <c r="I11111" s="29"/>
      <c r="J11111" s="29"/>
      <c r="K11111" s="29"/>
      <c r="L11111" s="29" t="s">
        <v>1497</v>
      </c>
      <c r="M11111" s="29"/>
      <c r="N11111" s="29" t="s">
        <v>1498</v>
      </c>
      <c r="O11111" s="29"/>
      <c r="P11111" s="29" t="s">
        <v>1596</v>
      </c>
      <c r="Q11111" t="s">
        <v>3206</v>
      </c>
      <c r="R11111" t="s">
        <v>2634</v>
      </c>
      <c r="S11111">
        <v>35</v>
      </c>
      <c r="T11111" s="43" t="str">
        <f t="shared" si="478"/>
        <v>2019.009G.zip</v>
      </c>
      <c r="U11111" s="43" t="str">
        <f>HYPERLINK("https://ictv.global/taxonomy/taxondetails?taxnode_id=202204505","ictv.global=202204505")</f>
        <v>ictv.global=202204505</v>
      </c>
    </row>
    <row r="11112" spans="1:21">
      <c r="A11112">
        <v>11111</v>
      </c>
      <c r="B11112" s="29"/>
      <c r="C11112" s="29"/>
      <c r="D11112" s="29"/>
      <c r="E11112" s="29"/>
      <c r="F11112" s="29"/>
      <c r="G11112" s="29"/>
      <c r="H11112" s="29"/>
      <c r="I11112" s="29"/>
      <c r="J11112" s="29"/>
      <c r="K11112" s="29"/>
      <c r="L11112" s="29" t="s">
        <v>1497</v>
      </c>
      <c r="M11112" s="29"/>
      <c r="N11112" s="29" t="s">
        <v>1498</v>
      </c>
      <c r="O11112" s="29"/>
      <c r="P11112" s="29" t="s">
        <v>1504</v>
      </c>
      <c r="Q11112" t="s">
        <v>3206</v>
      </c>
      <c r="R11112" t="s">
        <v>2634</v>
      </c>
      <c r="S11112">
        <v>35</v>
      </c>
      <c r="T11112" s="43" t="str">
        <f t="shared" si="478"/>
        <v>2019.009G.zip</v>
      </c>
      <c r="U11112" s="43" t="str">
        <f>HYPERLINK("https://ictv.global/taxonomy/taxondetails?taxnode_id=202204506","ictv.global=202204506")</f>
        <v>ictv.global=202204506</v>
      </c>
    </row>
    <row r="11113" spans="1:21">
      <c r="A11113">
        <v>11112</v>
      </c>
      <c r="B11113" s="29"/>
      <c r="C11113" s="29"/>
      <c r="D11113" s="29"/>
      <c r="E11113" s="29"/>
      <c r="F11113" s="29"/>
      <c r="G11113" s="29"/>
      <c r="H11113" s="29"/>
      <c r="I11113" s="29"/>
      <c r="J11113" s="29"/>
      <c r="K11113" s="29"/>
      <c r="L11113" s="29" t="s">
        <v>1497</v>
      </c>
      <c r="M11113" s="29"/>
      <c r="N11113" s="29" t="s">
        <v>1498</v>
      </c>
      <c r="O11113" s="29"/>
      <c r="P11113" s="29" t="s">
        <v>1505</v>
      </c>
      <c r="Q11113" t="s">
        <v>3206</v>
      </c>
      <c r="R11113" t="s">
        <v>2634</v>
      </c>
      <c r="S11113">
        <v>35</v>
      </c>
      <c r="T11113" s="43" t="str">
        <f t="shared" si="478"/>
        <v>2019.009G.zip</v>
      </c>
      <c r="U11113" s="43" t="str">
        <f>HYPERLINK("https://ictv.global/taxonomy/taxondetails?taxnode_id=202204507","ictv.global=202204507")</f>
        <v>ictv.global=202204507</v>
      </c>
    </row>
    <row r="11114" spans="1:21">
      <c r="A11114">
        <v>11113</v>
      </c>
      <c r="B11114" s="29"/>
      <c r="C11114" s="29"/>
      <c r="D11114" s="29"/>
      <c r="E11114" s="29"/>
      <c r="F11114" s="29"/>
      <c r="G11114" s="29"/>
      <c r="H11114" s="29"/>
      <c r="I11114" s="29"/>
      <c r="J11114" s="29"/>
      <c r="K11114" s="29"/>
      <c r="L11114" s="29" t="s">
        <v>1497</v>
      </c>
      <c r="M11114" s="29"/>
      <c r="N11114" s="29" t="s">
        <v>1498</v>
      </c>
      <c r="O11114" s="29"/>
      <c r="P11114" s="29" t="s">
        <v>1506</v>
      </c>
      <c r="Q11114" t="s">
        <v>3206</v>
      </c>
      <c r="R11114" t="s">
        <v>2634</v>
      </c>
      <c r="S11114">
        <v>35</v>
      </c>
      <c r="T11114" s="43" t="str">
        <f t="shared" si="478"/>
        <v>2019.009G.zip</v>
      </c>
      <c r="U11114" s="43" t="str">
        <f>HYPERLINK("https://ictv.global/taxonomy/taxondetails?taxnode_id=202204508","ictv.global=202204508")</f>
        <v>ictv.global=202204508</v>
      </c>
    </row>
    <row r="11115" spans="1:21">
      <c r="A11115">
        <v>11114</v>
      </c>
      <c r="B11115" s="29"/>
      <c r="C11115" s="29"/>
      <c r="D11115" s="29"/>
      <c r="E11115" s="29"/>
      <c r="F11115" s="29"/>
      <c r="G11115" s="29"/>
      <c r="H11115" s="29"/>
      <c r="I11115" s="29"/>
      <c r="J11115" s="29"/>
      <c r="K11115" s="29"/>
      <c r="L11115" s="29" t="s">
        <v>1497</v>
      </c>
      <c r="M11115" s="29"/>
      <c r="N11115" s="29" t="s">
        <v>1507</v>
      </c>
      <c r="O11115" s="29"/>
      <c r="P11115" s="29" t="s">
        <v>1508</v>
      </c>
      <c r="Q11115" t="s">
        <v>3206</v>
      </c>
      <c r="R11115" t="s">
        <v>2634</v>
      </c>
      <c r="S11115">
        <v>35</v>
      </c>
      <c r="T11115" s="43" t="str">
        <f t="shared" si="478"/>
        <v>2019.009G.zip</v>
      </c>
      <c r="U11115" s="43" t="str">
        <f>HYPERLINK("https://ictv.global/taxonomy/taxondetails?taxnode_id=202204510","ictv.global=202204510")</f>
        <v>ictv.global=202204510</v>
      </c>
    </row>
    <row r="11116" spans="1:21">
      <c r="A11116">
        <v>11115</v>
      </c>
      <c r="B11116" s="29"/>
      <c r="C11116" s="29"/>
      <c r="D11116" s="29"/>
      <c r="E11116" s="29"/>
      <c r="F11116" s="29"/>
      <c r="G11116" s="29"/>
      <c r="H11116" s="29"/>
      <c r="I11116" s="29"/>
      <c r="J11116" s="29"/>
      <c r="K11116" s="29"/>
      <c r="L11116" s="29" t="s">
        <v>1497</v>
      </c>
      <c r="M11116" s="29"/>
      <c r="N11116" s="29" t="s">
        <v>1507</v>
      </c>
      <c r="O11116" s="29"/>
      <c r="P11116" s="29" t="s">
        <v>1509</v>
      </c>
      <c r="Q11116" t="s">
        <v>3206</v>
      </c>
      <c r="R11116" t="s">
        <v>6901</v>
      </c>
      <c r="S11116">
        <v>36</v>
      </c>
      <c r="T11116" s="43" t="str">
        <f>HYPERLINK("https://ictv.global/ictv/proposals/2020.001G.R.Abolish_type_species.pdf","2020.001G.R.Abolish_type_species.pdf")</f>
        <v>2020.001G.R.Abolish_type_species.pdf</v>
      </c>
      <c r="U11116" s="43" t="str">
        <f>HYPERLINK("https://ictv.global/taxonomy/taxondetails?taxnode_id=202204511","ictv.global=202204511")</f>
        <v>ictv.global=202204511</v>
      </c>
    </row>
    <row r="11117" spans="1:21">
      <c r="A11117">
        <v>11116</v>
      </c>
      <c r="B11117" s="29"/>
      <c r="C11117" s="29"/>
      <c r="D11117" s="29"/>
      <c r="E11117" s="29"/>
      <c r="F11117" s="29"/>
      <c r="G11117" s="29"/>
      <c r="H11117" s="29"/>
      <c r="I11117" s="29"/>
      <c r="J11117" s="29"/>
      <c r="K11117" s="29"/>
      <c r="L11117" s="29" t="s">
        <v>1497</v>
      </c>
      <c r="M11117" s="29"/>
      <c r="N11117" s="29" t="s">
        <v>1507</v>
      </c>
      <c r="O11117" s="29"/>
      <c r="P11117" s="29" t="s">
        <v>1510</v>
      </c>
      <c r="Q11117" t="s">
        <v>3206</v>
      </c>
      <c r="R11117" t="s">
        <v>2634</v>
      </c>
      <c r="S11117">
        <v>35</v>
      </c>
      <c r="T11117" s="43" t="str">
        <f>HYPERLINK("https://ictv.global/ictv/proposals/2019.009G.zip","2019.009G.zip")</f>
        <v>2019.009G.zip</v>
      </c>
      <c r="U11117" s="43" t="str">
        <f>HYPERLINK("https://ictv.global/taxonomy/taxondetails?taxnode_id=202204512","ictv.global=202204512")</f>
        <v>ictv.global=202204512</v>
      </c>
    </row>
    <row r="11118" spans="1:21">
      <c r="A11118">
        <v>11117</v>
      </c>
      <c r="B11118" s="29"/>
      <c r="C11118" s="29"/>
      <c r="D11118" s="29"/>
      <c r="E11118" s="29"/>
      <c r="F11118" s="29"/>
      <c r="G11118" s="29"/>
      <c r="H11118" s="29"/>
      <c r="I11118" s="29"/>
      <c r="J11118" s="29"/>
      <c r="K11118" s="29"/>
      <c r="L11118" s="29" t="s">
        <v>1497</v>
      </c>
      <c r="M11118" s="29"/>
      <c r="N11118" s="29" t="s">
        <v>1507</v>
      </c>
      <c r="O11118" s="29"/>
      <c r="P11118" s="29" t="s">
        <v>1511</v>
      </c>
      <c r="Q11118" t="s">
        <v>3206</v>
      </c>
      <c r="R11118" t="s">
        <v>2634</v>
      </c>
      <c r="S11118">
        <v>35</v>
      </c>
      <c r="T11118" s="43" t="str">
        <f>HYPERLINK("https://ictv.global/ictv/proposals/2019.009G.zip","2019.009G.zip")</f>
        <v>2019.009G.zip</v>
      </c>
      <c r="U11118" s="43" t="str">
        <f>HYPERLINK("https://ictv.global/taxonomy/taxondetails?taxnode_id=202204513","ictv.global=202204513")</f>
        <v>ictv.global=202204513</v>
      </c>
    </row>
    <row r="11119" spans="1:21">
      <c r="A11119">
        <v>11118</v>
      </c>
      <c r="B11119" s="29"/>
      <c r="C11119" s="29"/>
      <c r="D11119" s="29"/>
      <c r="E11119" s="29"/>
      <c r="F11119" s="29"/>
      <c r="G11119" s="29"/>
      <c r="H11119" s="29"/>
      <c r="I11119" s="29"/>
      <c r="J11119" s="29"/>
      <c r="K11119" s="29"/>
      <c r="L11119" s="29" t="s">
        <v>1497</v>
      </c>
      <c r="M11119" s="29"/>
      <c r="N11119" s="29" t="s">
        <v>376</v>
      </c>
      <c r="O11119" s="29"/>
      <c r="P11119" s="29" t="s">
        <v>377</v>
      </c>
      <c r="Q11119" t="s">
        <v>3206</v>
      </c>
      <c r="R11119" t="s">
        <v>6901</v>
      </c>
      <c r="S11119">
        <v>36</v>
      </c>
      <c r="T11119" s="43" t="str">
        <f>HYPERLINK("https://ictv.global/ictv/proposals/2020.001G.R.Abolish_type_species.pdf","2020.001G.R.Abolish_type_species.pdf")</f>
        <v>2020.001G.R.Abolish_type_species.pdf</v>
      </c>
      <c r="U11119" s="43" t="str">
        <f>HYPERLINK("https://ictv.global/taxonomy/taxondetails?taxnode_id=202204515","ictv.global=202204515")</f>
        <v>ictv.global=202204515</v>
      </c>
    </row>
    <row r="11120" spans="1:21">
      <c r="A11120">
        <v>11119</v>
      </c>
      <c r="B11120" s="29"/>
      <c r="C11120" s="29"/>
      <c r="D11120" s="29"/>
      <c r="E11120" s="29"/>
      <c r="F11120" s="29"/>
      <c r="G11120" s="29"/>
      <c r="H11120" s="29"/>
      <c r="I11120" s="29"/>
      <c r="J11120" s="29"/>
      <c r="K11120" s="29"/>
      <c r="L11120" s="29" t="s">
        <v>1497</v>
      </c>
      <c r="M11120" s="29"/>
      <c r="N11120" s="29" t="s">
        <v>376</v>
      </c>
      <c r="O11120" s="29"/>
      <c r="P11120" s="29" t="s">
        <v>378</v>
      </c>
      <c r="Q11120" t="s">
        <v>3206</v>
      </c>
      <c r="R11120" t="s">
        <v>2634</v>
      </c>
      <c r="S11120">
        <v>35</v>
      </c>
      <c r="T11120" s="43" t="str">
        <f>HYPERLINK("https://ictv.global/ictv/proposals/2019.009G.zip","2019.009G.zip")</f>
        <v>2019.009G.zip</v>
      </c>
      <c r="U11120" s="43" t="str">
        <f>HYPERLINK("https://ictv.global/taxonomy/taxondetails?taxnode_id=202204516","ictv.global=202204516")</f>
        <v>ictv.global=202204516</v>
      </c>
    </row>
    <row r="11121" spans="1:21">
      <c r="A11121">
        <v>11120</v>
      </c>
      <c r="B11121" s="29"/>
      <c r="C11121" s="29"/>
      <c r="D11121" s="29"/>
      <c r="E11121" s="29"/>
      <c r="F11121" s="29"/>
      <c r="G11121" s="29"/>
      <c r="H11121" s="29"/>
      <c r="I11121" s="29"/>
      <c r="J11121" s="29"/>
      <c r="K11121" s="29"/>
      <c r="L11121" s="29" t="s">
        <v>1497</v>
      </c>
      <c r="M11121" s="29"/>
      <c r="N11121" s="29" t="s">
        <v>376</v>
      </c>
      <c r="O11121" s="29"/>
      <c r="P11121" s="29" t="s">
        <v>379</v>
      </c>
      <c r="Q11121" t="s">
        <v>3206</v>
      </c>
      <c r="R11121" t="s">
        <v>2634</v>
      </c>
      <c r="S11121">
        <v>35</v>
      </c>
      <c r="T11121" s="43" t="str">
        <f>HYPERLINK("https://ictv.global/ictv/proposals/2019.009G.zip","2019.009G.zip")</f>
        <v>2019.009G.zip</v>
      </c>
      <c r="U11121" s="43" t="str">
        <f>HYPERLINK("https://ictv.global/taxonomy/taxondetails?taxnode_id=202204517","ictv.global=202204517")</f>
        <v>ictv.global=202204517</v>
      </c>
    </row>
    <row r="11122" spans="1:21">
      <c r="A11122">
        <v>11121</v>
      </c>
      <c r="B11122" s="29"/>
      <c r="C11122" s="29"/>
      <c r="D11122" s="29"/>
      <c r="E11122" s="29"/>
      <c r="F11122" s="29"/>
      <c r="G11122" s="29"/>
      <c r="H11122" s="29"/>
      <c r="I11122" s="29"/>
      <c r="J11122" s="29"/>
      <c r="K11122" s="29"/>
      <c r="L11122" s="29" t="s">
        <v>1497</v>
      </c>
      <c r="M11122" s="29"/>
      <c r="N11122" s="29" t="s">
        <v>376</v>
      </c>
      <c r="O11122" s="29"/>
      <c r="P11122" s="29" t="s">
        <v>14817</v>
      </c>
      <c r="Q11122" t="s">
        <v>3206</v>
      </c>
      <c r="R11122" t="s">
        <v>2632</v>
      </c>
      <c r="S11122">
        <v>37</v>
      </c>
      <c r="T11122" s="43" t="str">
        <f>HYPERLINK("https://ictv.global/ictv/proposals/2021.016P.R.Pospiviroidae_11ns.zip","2021.016P.R.Pospiviroidae_11ns.zip")</f>
        <v>2021.016P.R.Pospiviroidae_11ns.zip</v>
      </c>
      <c r="U11122" s="43" t="str">
        <f>HYPERLINK("https://ictv.global/taxonomy/taxondetails?taxnode_id=202213875","ictv.global=202213875")</f>
        <v>ictv.global=202213875</v>
      </c>
    </row>
    <row r="11123" spans="1:21">
      <c r="A11123">
        <v>11122</v>
      </c>
      <c r="B11123" s="29"/>
      <c r="C11123" s="29"/>
      <c r="D11123" s="29"/>
      <c r="E11123" s="29"/>
      <c r="F11123" s="29"/>
      <c r="G11123" s="29"/>
      <c r="H11123" s="29"/>
      <c r="I11123" s="29"/>
      <c r="J11123" s="29"/>
      <c r="K11123" s="29"/>
      <c r="L11123" s="29" t="s">
        <v>1497</v>
      </c>
      <c r="M11123" s="29"/>
      <c r="N11123" s="29" t="s">
        <v>376</v>
      </c>
      <c r="O11123" s="29"/>
      <c r="P11123" s="29" t="s">
        <v>14818</v>
      </c>
      <c r="Q11123" t="s">
        <v>3206</v>
      </c>
      <c r="R11123" t="s">
        <v>2632</v>
      </c>
      <c r="S11123">
        <v>37</v>
      </c>
      <c r="T11123" s="43" t="str">
        <f>HYPERLINK("https://ictv.global/ictv/proposals/2021.016P.R.Pospiviroidae_11ns.zip","2021.016P.R.Pospiviroidae_11ns.zip")</f>
        <v>2021.016P.R.Pospiviroidae_11ns.zip</v>
      </c>
      <c r="U11123" s="43" t="str">
        <f>HYPERLINK("https://ictv.global/taxonomy/taxondetails?taxnode_id=202213876","ictv.global=202213876")</f>
        <v>ictv.global=202213876</v>
      </c>
    </row>
    <row r="11124" spans="1:21">
      <c r="A11124">
        <v>11123</v>
      </c>
      <c r="B11124" s="29"/>
      <c r="C11124" s="29"/>
      <c r="D11124" s="29"/>
      <c r="E11124" s="29"/>
      <c r="F11124" s="29"/>
      <c r="G11124" s="29"/>
      <c r="H11124" s="29"/>
      <c r="I11124" s="29"/>
      <c r="J11124" s="29"/>
      <c r="K11124" s="29"/>
      <c r="L11124" s="29" t="s">
        <v>1497</v>
      </c>
      <c r="M11124" s="29"/>
      <c r="N11124" s="29" t="s">
        <v>380</v>
      </c>
      <c r="O11124" s="29"/>
      <c r="P11124" s="29" t="s">
        <v>1998</v>
      </c>
      <c r="Q11124" t="s">
        <v>3206</v>
      </c>
      <c r="R11124" t="s">
        <v>2634</v>
      </c>
      <c r="S11124">
        <v>35</v>
      </c>
      <c r="T11124" s="43" t="str">
        <f>HYPERLINK("https://ictv.global/ictv/proposals/2019.009G.zip","2019.009G.zip")</f>
        <v>2019.009G.zip</v>
      </c>
      <c r="U11124" s="43" t="str">
        <f>HYPERLINK("https://ictv.global/taxonomy/taxondetails?taxnode_id=202204519","ictv.global=202204519")</f>
        <v>ictv.global=202204519</v>
      </c>
    </row>
    <row r="11125" spans="1:21">
      <c r="A11125">
        <v>11124</v>
      </c>
      <c r="B11125" s="29"/>
      <c r="C11125" s="29"/>
      <c r="D11125" s="29"/>
      <c r="E11125" s="29"/>
      <c r="F11125" s="29"/>
      <c r="G11125" s="29"/>
      <c r="H11125" s="29"/>
      <c r="I11125" s="29"/>
      <c r="J11125" s="29"/>
      <c r="K11125" s="29"/>
      <c r="L11125" s="29" t="s">
        <v>1497</v>
      </c>
      <c r="M11125" s="29"/>
      <c r="N11125" s="29" t="s">
        <v>380</v>
      </c>
      <c r="O11125" s="29"/>
      <c r="P11125" s="29" t="s">
        <v>381</v>
      </c>
      <c r="Q11125" t="s">
        <v>3206</v>
      </c>
      <c r="R11125" t="s">
        <v>6901</v>
      </c>
      <c r="S11125">
        <v>36</v>
      </c>
      <c r="T11125" s="43" t="str">
        <f>HYPERLINK("https://ictv.global/ictv/proposals/2020.001G.R.Abolish_type_species.pdf","2020.001G.R.Abolish_type_species.pdf")</f>
        <v>2020.001G.R.Abolish_type_species.pdf</v>
      </c>
      <c r="U11125" s="43" t="str">
        <f>HYPERLINK("https://ictv.global/taxonomy/taxondetails?taxnode_id=202204520","ictv.global=202204520")</f>
        <v>ictv.global=202204520</v>
      </c>
    </row>
    <row r="11126" spans="1:21">
      <c r="A11126">
        <v>11125</v>
      </c>
      <c r="B11126" s="29"/>
      <c r="C11126" s="29"/>
      <c r="D11126" s="29"/>
      <c r="E11126" s="29"/>
      <c r="F11126" s="29"/>
      <c r="G11126" s="29"/>
      <c r="H11126" s="29"/>
      <c r="I11126" s="29"/>
      <c r="J11126" s="29"/>
      <c r="K11126" s="29"/>
      <c r="L11126" s="29" t="s">
        <v>1497</v>
      </c>
      <c r="M11126" s="29"/>
      <c r="N11126" s="29" t="s">
        <v>382</v>
      </c>
      <c r="O11126" s="29"/>
      <c r="P11126" s="29" t="s">
        <v>383</v>
      </c>
      <c r="Q11126" t="s">
        <v>3206</v>
      </c>
      <c r="R11126" t="s">
        <v>2634</v>
      </c>
      <c r="S11126">
        <v>35</v>
      </c>
      <c r="T11126" s="43" t="str">
        <f>HYPERLINK("https://ictv.global/ictv/proposals/2019.009G.zip","2019.009G.zip")</f>
        <v>2019.009G.zip</v>
      </c>
      <c r="U11126" s="43" t="str">
        <f>HYPERLINK("https://ictv.global/taxonomy/taxondetails?taxnode_id=202204522","ictv.global=202204522")</f>
        <v>ictv.global=202204522</v>
      </c>
    </row>
    <row r="11127" spans="1:21">
      <c r="A11127">
        <v>11126</v>
      </c>
      <c r="B11127" s="29"/>
      <c r="C11127" s="29"/>
      <c r="D11127" s="29"/>
      <c r="E11127" s="29"/>
      <c r="F11127" s="29"/>
      <c r="G11127" s="29"/>
      <c r="H11127" s="29"/>
      <c r="I11127" s="29"/>
      <c r="J11127" s="29"/>
      <c r="K11127" s="29"/>
      <c r="L11127" s="29" t="s">
        <v>1497</v>
      </c>
      <c r="M11127" s="29"/>
      <c r="N11127" s="29" t="s">
        <v>382</v>
      </c>
      <c r="O11127" s="29"/>
      <c r="P11127" s="29" t="s">
        <v>384</v>
      </c>
      <c r="Q11127" t="s">
        <v>3206</v>
      </c>
      <c r="R11127" t="s">
        <v>2634</v>
      </c>
      <c r="S11127">
        <v>35</v>
      </c>
      <c r="T11127" s="43" t="str">
        <f>HYPERLINK("https://ictv.global/ictv/proposals/2019.009G.zip","2019.009G.zip")</f>
        <v>2019.009G.zip</v>
      </c>
      <c r="U11127" s="43" t="str">
        <f>HYPERLINK("https://ictv.global/taxonomy/taxondetails?taxnode_id=202204523","ictv.global=202204523")</f>
        <v>ictv.global=202204523</v>
      </c>
    </row>
    <row r="11128" spans="1:21">
      <c r="A11128">
        <v>11127</v>
      </c>
      <c r="B11128" s="29"/>
      <c r="C11128" s="29"/>
      <c r="D11128" s="29"/>
      <c r="E11128" s="29"/>
      <c r="F11128" s="29"/>
      <c r="G11128" s="29"/>
      <c r="H11128" s="29"/>
      <c r="I11128" s="29"/>
      <c r="J11128" s="29"/>
      <c r="K11128" s="29"/>
      <c r="L11128" s="29" t="s">
        <v>1497</v>
      </c>
      <c r="M11128" s="29"/>
      <c r="N11128" s="29" t="s">
        <v>382</v>
      </c>
      <c r="O11128" s="29"/>
      <c r="P11128" s="29" t="s">
        <v>385</v>
      </c>
      <c r="Q11128" t="s">
        <v>3206</v>
      </c>
      <c r="R11128" t="s">
        <v>2634</v>
      </c>
      <c r="S11128">
        <v>35</v>
      </c>
      <c r="T11128" s="43" t="str">
        <f>HYPERLINK("https://ictv.global/ictv/proposals/2019.009G.zip","2019.009G.zip")</f>
        <v>2019.009G.zip</v>
      </c>
      <c r="U11128" s="43" t="str">
        <f>HYPERLINK("https://ictv.global/taxonomy/taxondetails?taxnode_id=202204524","ictv.global=202204524")</f>
        <v>ictv.global=202204524</v>
      </c>
    </row>
    <row r="11129" spans="1:21">
      <c r="A11129">
        <v>11128</v>
      </c>
      <c r="B11129" s="29"/>
      <c r="C11129" s="29"/>
      <c r="D11129" s="29"/>
      <c r="E11129" s="29"/>
      <c r="F11129" s="29"/>
      <c r="G11129" s="29"/>
      <c r="H11129" s="29"/>
      <c r="I11129" s="29"/>
      <c r="J11129" s="29"/>
      <c r="K11129" s="29"/>
      <c r="L11129" s="29" t="s">
        <v>1497</v>
      </c>
      <c r="M11129" s="29"/>
      <c r="N11129" s="29" t="s">
        <v>382</v>
      </c>
      <c r="O11129" s="29"/>
      <c r="P11129" s="29" t="s">
        <v>386</v>
      </c>
      <c r="Q11129" t="s">
        <v>3206</v>
      </c>
      <c r="R11129" t="s">
        <v>2634</v>
      </c>
      <c r="S11129">
        <v>35</v>
      </c>
      <c r="T11129" s="43" t="str">
        <f>HYPERLINK("https://ictv.global/ictv/proposals/2019.009G.zip","2019.009G.zip")</f>
        <v>2019.009G.zip</v>
      </c>
      <c r="U11129" s="43" t="str">
        <f>HYPERLINK("https://ictv.global/taxonomy/taxondetails?taxnode_id=202204525","ictv.global=202204525")</f>
        <v>ictv.global=202204525</v>
      </c>
    </row>
    <row r="11130" spans="1:21">
      <c r="A11130">
        <v>11129</v>
      </c>
      <c r="B11130" s="29"/>
      <c r="C11130" s="29"/>
      <c r="D11130" s="29"/>
      <c r="E11130" s="29"/>
      <c r="F11130" s="29"/>
      <c r="G11130" s="29"/>
      <c r="H11130" s="29"/>
      <c r="I11130" s="29"/>
      <c r="J11130" s="29"/>
      <c r="K11130" s="29"/>
      <c r="L11130" s="29" t="s">
        <v>1497</v>
      </c>
      <c r="M11130" s="29"/>
      <c r="N11130" s="29" t="s">
        <v>382</v>
      </c>
      <c r="O11130" s="29"/>
      <c r="P11130" s="29" t="s">
        <v>151</v>
      </c>
      <c r="Q11130" t="s">
        <v>3206</v>
      </c>
      <c r="R11130" t="s">
        <v>2634</v>
      </c>
      <c r="S11130">
        <v>35</v>
      </c>
      <c r="T11130" s="43" t="str">
        <f>HYPERLINK("https://ictv.global/ictv/proposals/2019.009G.zip","2019.009G.zip")</f>
        <v>2019.009G.zip</v>
      </c>
      <c r="U11130" s="43" t="str">
        <f>HYPERLINK("https://ictv.global/taxonomy/taxondetails?taxnode_id=202204526","ictv.global=202204526")</f>
        <v>ictv.global=202204526</v>
      </c>
    </row>
    <row r="11131" spans="1:21">
      <c r="A11131">
        <v>11130</v>
      </c>
      <c r="B11131" s="29"/>
      <c r="C11131" s="29"/>
      <c r="D11131" s="29"/>
      <c r="E11131" s="29"/>
      <c r="F11131" s="29"/>
      <c r="G11131" s="29"/>
      <c r="H11131" s="29"/>
      <c r="I11131" s="29"/>
      <c r="J11131" s="29"/>
      <c r="K11131" s="29"/>
      <c r="L11131" s="29" t="s">
        <v>1497</v>
      </c>
      <c r="M11131" s="29"/>
      <c r="N11131" s="29" t="s">
        <v>382</v>
      </c>
      <c r="O11131" s="29"/>
      <c r="P11131" s="29" t="s">
        <v>14819</v>
      </c>
      <c r="Q11131" t="s">
        <v>3206</v>
      </c>
      <c r="R11131" t="s">
        <v>2632</v>
      </c>
      <c r="S11131">
        <v>37</v>
      </c>
      <c r="T11131" s="43" t="str">
        <f>HYPERLINK("https://ictv.global/ictv/proposals/2021.016P.R.Pospiviroidae_11ns.zip","2021.016P.R.Pospiviroidae_11ns.zip")</f>
        <v>2021.016P.R.Pospiviroidae_11ns.zip</v>
      </c>
      <c r="U11131" s="43" t="str">
        <f>HYPERLINK("https://ictv.global/taxonomy/taxondetails?taxnode_id=202213877","ictv.global=202213877")</f>
        <v>ictv.global=202213877</v>
      </c>
    </row>
    <row r="11132" spans="1:21">
      <c r="A11132">
        <v>11131</v>
      </c>
      <c r="B11132" s="29"/>
      <c r="C11132" s="29"/>
      <c r="D11132" s="29"/>
      <c r="E11132" s="29"/>
      <c r="F11132" s="29"/>
      <c r="G11132" s="29"/>
      <c r="H11132" s="29"/>
      <c r="I11132" s="29"/>
      <c r="J11132" s="29"/>
      <c r="K11132" s="29"/>
      <c r="L11132" s="29" t="s">
        <v>1497</v>
      </c>
      <c r="M11132" s="29"/>
      <c r="N11132" s="29" t="s">
        <v>382</v>
      </c>
      <c r="O11132" s="29"/>
      <c r="P11132" s="29" t="s">
        <v>387</v>
      </c>
      <c r="Q11132" t="s">
        <v>3206</v>
      </c>
      <c r="R11132" t="s">
        <v>6901</v>
      </c>
      <c r="S11132">
        <v>36</v>
      </c>
      <c r="T11132" s="43" t="str">
        <f>HYPERLINK("https://ictv.global/ictv/proposals/2020.001G.R.Abolish_type_species.pdf","2020.001G.R.Abolish_type_species.pdf")</f>
        <v>2020.001G.R.Abolish_type_species.pdf</v>
      </c>
      <c r="U11132" s="43" t="str">
        <f>HYPERLINK("https://ictv.global/taxonomy/taxondetails?taxnode_id=202204527","ictv.global=202204527")</f>
        <v>ictv.global=202204527</v>
      </c>
    </row>
    <row r="11133" spans="1:21">
      <c r="A11133">
        <v>11132</v>
      </c>
      <c r="B11133" s="29"/>
      <c r="C11133" s="29"/>
      <c r="D11133" s="29"/>
      <c r="E11133" s="29"/>
      <c r="F11133" s="29"/>
      <c r="G11133" s="29"/>
      <c r="H11133" s="29"/>
      <c r="I11133" s="29"/>
      <c r="J11133" s="29"/>
      <c r="K11133" s="29"/>
      <c r="L11133" s="29" t="s">
        <v>1497</v>
      </c>
      <c r="M11133" s="29"/>
      <c r="N11133" s="29" t="s">
        <v>382</v>
      </c>
      <c r="O11133" s="29"/>
      <c r="P11133" s="29" t="s">
        <v>388</v>
      </c>
      <c r="Q11133" t="s">
        <v>3206</v>
      </c>
      <c r="R11133" t="s">
        <v>2634</v>
      </c>
      <c r="S11133">
        <v>35</v>
      </c>
      <c r="T11133" s="43" t="str">
        <f>HYPERLINK("https://ictv.global/ictv/proposals/2019.009G.zip","2019.009G.zip")</f>
        <v>2019.009G.zip</v>
      </c>
      <c r="U11133" s="43" t="str">
        <f>HYPERLINK("https://ictv.global/taxonomy/taxondetails?taxnode_id=202204528","ictv.global=202204528")</f>
        <v>ictv.global=202204528</v>
      </c>
    </row>
    <row r="11134" spans="1:21">
      <c r="A11134">
        <v>11133</v>
      </c>
      <c r="B11134" s="29"/>
      <c r="C11134" s="29"/>
      <c r="D11134" s="29"/>
      <c r="E11134" s="29"/>
      <c r="F11134" s="29"/>
      <c r="G11134" s="29"/>
      <c r="H11134" s="29"/>
      <c r="I11134" s="29"/>
      <c r="J11134" s="29"/>
      <c r="K11134" s="29"/>
      <c r="L11134" s="29" t="s">
        <v>1497</v>
      </c>
      <c r="M11134" s="29"/>
      <c r="N11134" s="29" t="s">
        <v>382</v>
      </c>
      <c r="O11134" s="29"/>
      <c r="P11134" s="29" t="s">
        <v>389</v>
      </c>
      <c r="Q11134" t="s">
        <v>3206</v>
      </c>
      <c r="R11134" t="s">
        <v>2634</v>
      </c>
      <c r="S11134">
        <v>35</v>
      </c>
      <c r="T11134" s="43" t="str">
        <f>HYPERLINK("https://ictv.global/ictv/proposals/2019.009G.zip","2019.009G.zip")</f>
        <v>2019.009G.zip</v>
      </c>
      <c r="U11134" s="43" t="str">
        <f>HYPERLINK("https://ictv.global/taxonomy/taxondetails?taxnode_id=202204529","ictv.global=202204529")</f>
        <v>ictv.global=202204529</v>
      </c>
    </row>
    <row r="11135" spans="1:21">
      <c r="A11135">
        <v>11134</v>
      </c>
      <c r="B11135" s="29"/>
      <c r="C11135" s="29"/>
      <c r="D11135" s="29"/>
      <c r="E11135" s="29"/>
      <c r="F11135" s="29"/>
      <c r="G11135" s="29"/>
      <c r="H11135" s="29"/>
      <c r="I11135" s="29"/>
      <c r="J11135" s="29"/>
      <c r="K11135" s="29"/>
      <c r="L11135" s="29" t="s">
        <v>1497</v>
      </c>
      <c r="M11135" s="29"/>
      <c r="N11135" s="29" t="s">
        <v>382</v>
      </c>
      <c r="O11135" s="29"/>
      <c r="P11135" s="29" t="s">
        <v>390</v>
      </c>
      <c r="Q11135" t="s">
        <v>3206</v>
      </c>
      <c r="R11135" t="s">
        <v>2634</v>
      </c>
      <c r="S11135">
        <v>35</v>
      </c>
      <c r="T11135" s="43" t="str">
        <f>HYPERLINK("https://ictv.global/ictv/proposals/2019.009G.zip","2019.009G.zip")</f>
        <v>2019.009G.zip</v>
      </c>
      <c r="U11135" s="43" t="str">
        <f>HYPERLINK("https://ictv.global/taxonomy/taxondetails?taxnode_id=202204530","ictv.global=202204530")</f>
        <v>ictv.global=202204530</v>
      </c>
    </row>
    <row r="11136" spans="1:21">
      <c r="A11136">
        <v>11135</v>
      </c>
      <c r="B11136" s="29"/>
      <c r="C11136" s="29"/>
      <c r="D11136" s="29"/>
      <c r="E11136" s="29"/>
      <c r="F11136" s="29"/>
      <c r="G11136" s="29"/>
      <c r="H11136" s="29"/>
      <c r="I11136" s="29"/>
      <c r="J11136" s="29"/>
      <c r="K11136" s="29"/>
      <c r="L11136" s="29" t="s">
        <v>18161</v>
      </c>
      <c r="M11136" s="29"/>
      <c r="N11136" s="29" t="s">
        <v>18162</v>
      </c>
      <c r="O11136" s="29"/>
      <c r="P11136" s="29" t="s">
        <v>18149</v>
      </c>
      <c r="Q11136" t="s">
        <v>2038</v>
      </c>
      <c r="R11136" t="s">
        <v>2632</v>
      </c>
      <c r="S11136">
        <v>38</v>
      </c>
      <c r="T11136" s="43" t="str">
        <f>HYPERLINK("https://ictv.global/ictv/proposals/2022.001G.GTA_viriforms.zip","2022.001G.GTA_viriforms.zip")</f>
        <v>2022.001G.GTA_viriforms.zip</v>
      </c>
      <c r="U11136" s="43" t="str">
        <f>HYPERLINK("https://ictv.global/taxonomy/taxondetails?taxnode_id=202215072","ictv.global=202215072")</f>
        <v>ictv.global=202215072</v>
      </c>
    </row>
    <row r="11137" spans="1:21">
      <c r="A11137">
        <v>11136</v>
      </c>
      <c r="B11137" s="29"/>
      <c r="C11137" s="29"/>
      <c r="D11137" s="29"/>
      <c r="E11137" s="29"/>
      <c r="F11137" s="29"/>
      <c r="G11137" s="29"/>
      <c r="H11137" s="29"/>
      <c r="I11137" s="29"/>
      <c r="J11137" s="29"/>
      <c r="K11137" s="29"/>
      <c r="L11137" s="29" t="s">
        <v>18161</v>
      </c>
      <c r="M11137" s="29"/>
      <c r="N11137" s="29" t="s">
        <v>18163</v>
      </c>
      <c r="O11137" s="29"/>
      <c r="P11137" s="29" t="s">
        <v>18151</v>
      </c>
      <c r="Q11137" t="s">
        <v>2038</v>
      </c>
      <c r="R11137" t="s">
        <v>2632</v>
      </c>
      <c r="S11137">
        <v>38</v>
      </c>
      <c r="T11137" s="43" t="str">
        <f>HYPERLINK("https://ictv.global/ictv/proposals/2022.001G.GTA_viriforms.zip","2022.001G.GTA_viriforms.zip")</f>
        <v>2022.001G.GTA_viriforms.zip</v>
      </c>
      <c r="U11137" s="43" t="str">
        <f>HYPERLINK("https://ictv.global/taxonomy/taxondetails?taxnode_id=202215073","ictv.global=202215073")</f>
        <v>ictv.global=202215073</v>
      </c>
    </row>
    <row r="11138" spans="1:21">
      <c r="A11138">
        <v>11137</v>
      </c>
      <c r="B11138" s="29"/>
      <c r="C11138" s="29"/>
      <c r="D11138" s="29"/>
      <c r="E11138" s="29"/>
      <c r="F11138" s="29"/>
      <c r="G11138" s="29"/>
      <c r="H11138" s="29"/>
      <c r="I11138" s="29"/>
      <c r="J11138" s="29"/>
      <c r="K11138" s="29"/>
      <c r="L11138" s="29" t="s">
        <v>18161</v>
      </c>
      <c r="M11138" s="29"/>
      <c r="N11138" s="29" t="s">
        <v>18164</v>
      </c>
      <c r="O11138" s="29"/>
      <c r="P11138" s="29" t="s">
        <v>18152</v>
      </c>
      <c r="Q11138" t="s">
        <v>2038</v>
      </c>
      <c r="R11138" t="s">
        <v>2632</v>
      </c>
      <c r="S11138">
        <v>38</v>
      </c>
      <c r="T11138" s="43" t="str">
        <f>HYPERLINK("https://ictv.global/ictv/proposals/2022.001G.GTA_viriforms.zip","2022.001G.GTA_viriforms.zip")</f>
        <v>2022.001G.GTA_viriforms.zip</v>
      </c>
      <c r="U11138" s="43" t="str">
        <f>HYPERLINK("https://ictv.global/taxonomy/taxondetails?taxnode_id=202215074","ictv.global=202215074")</f>
        <v>ictv.global=202215074</v>
      </c>
    </row>
    <row r="11139" spans="1:21">
      <c r="A11139">
        <v>11138</v>
      </c>
      <c r="B11139" s="29"/>
      <c r="C11139" s="29"/>
      <c r="D11139" s="29"/>
      <c r="E11139" s="29"/>
      <c r="F11139" s="29"/>
      <c r="G11139" s="29"/>
      <c r="H11139" s="29"/>
      <c r="I11139" s="29"/>
      <c r="J11139" s="29"/>
      <c r="K11139" s="29"/>
      <c r="L11139" s="29" t="s">
        <v>18161</v>
      </c>
      <c r="M11139" s="29"/>
      <c r="N11139" s="29" t="s">
        <v>18165</v>
      </c>
      <c r="O11139" s="29"/>
      <c r="P11139" s="29" t="s">
        <v>18153</v>
      </c>
      <c r="Q11139" t="s">
        <v>2038</v>
      </c>
      <c r="R11139" t="s">
        <v>2632</v>
      </c>
      <c r="S11139">
        <v>38</v>
      </c>
      <c r="T11139" s="43" t="str">
        <f>HYPERLINK("https://ictv.global/ictv/proposals/2022.001G.GTA_viriforms.zip","2022.001G.GTA_viriforms.zip")</f>
        <v>2022.001G.GTA_viriforms.zip</v>
      </c>
      <c r="U11139" s="43" t="str">
        <f>HYPERLINK("https://ictv.global/taxonomy/taxondetails?taxnode_id=202215075","ictv.global=202215075")</f>
        <v>ictv.global=202215075</v>
      </c>
    </row>
    <row r="11140" spans="1:21">
      <c r="A11140">
        <v>11139</v>
      </c>
      <c r="B11140" s="29"/>
      <c r="C11140" s="29"/>
      <c r="D11140" s="29"/>
      <c r="E11140" s="29"/>
      <c r="F11140" s="29"/>
      <c r="G11140" s="29"/>
      <c r="H11140" s="29"/>
      <c r="I11140" s="29"/>
      <c r="J11140" s="29"/>
      <c r="K11140" s="29"/>
      <c r="L11140" s="29" t="s">
        <v>1947</v>
      </c>
      <c r="M11140" s="29"/>
      <c r="N11140" s="29" t="s">
        <v>1948</v>
      </c>
      <c r="O11140" s="29"/>
      <c r="P11140" s="29" t="s">
        <v>1949</v>
      </c>
      <c r="Q11140" t="s">
        <v>2265</v>
      </c>
      <c r="R11140" t="s">
        <v>6901</v>
      </c>
      <c r="S11140">
        <v>36</v>
      </c>
      <c r="T11140" s="43" t="str">
        <f>HYPERLINK("https://ictv.global/ictv/proposals/2020.001G.R.Abolish_type_species.pdf","2020.001G.R.Abolish_type_species.pdf")</f>
        <v>2020.001G.R.Abolish_type_species.pdf</v>
      </c>
      <c r="U11140" s="43" t="str">
        <f>HYPERLINK("https://ictv.global/taxonomy/taxondetails?taxnode_id=202205069","ictv.global=202205069")</f>
        <v>ictv.global=202205069</v>
      </c>
    </row>
    <row r="11141" spans="1:21">
      <c r="A11141">
        <v>11140</v>
      </c>
      <c r="B11141" s="29"/>
      <c r="C11141" s="29"/>
      <c r="D11141" s="29"/>
      <c r="E11141" s="29"/>
      <c r="F11141" s="29"/>
      <c r="G11141" s="29"/>
      <c r="H11141" s="29"/>
      <c r="I11141" s="29"/>
      <c r="J11141" s="29"/>
      <c r="K11141" s="29"/>
      <c r="L11141" s="29" t="s">
        <v>4450</v>
      </c>
      <c r="M11141" s="29"/>
      <c r="N11141" s="29" t="s">
        <v>4451</v>
      </c>
      <c r="O11141" s="29"/>
      <c r="P11141" s="29" t="s">
        <v>4452</v>
      </c>
      <c r="Q11141" t="s">
        <v>2038</v>
      </c>
      <c r="R11141" t="s">
        <v>6901</v>
      </c>
      <c r="S11141">
        <v>36</v>
      </c>
      <c r="T11141" s="43" t="str">
        <f>HYPERLINK("https://ictv.global/ictv/proposals/2020.001G.R.Abolish_type_species.pdf","2020.001G.R.Abolish_type_species.pdf")</f>
        <v>2020.001G.R.Abolish_type_species.pdf</v>
      </c>
      <c r="U11141" s="43" t="str">
        <f>HYPERLINK("https://ictv.global/taxonomy/taxondetails?taxnode_id=202208059","ictv.global=202208059")</f>
        <v>ictv.global=202208059</v>
      </c>
    </row>
    <row r="11142" spans="1:21">
      <c r="A11142">
        <v>11141</v>
      </c>
      <c r="B11142" s="29"/>
      <c r="C11142" s="29"/>
      <c r="D11142" s="29"/>
      <c r="E11142" s="29"/>
      <c r="F11142" s="29"/>
      <c r="G11142" s="29"/>
      <c r="H11142" s="29"/>
      <c r="I11142" s="29"/>
      <c r="J11142" s="29"/>
      <c r="K11142" s="29"/>
      <c r="L11142" s="29" t="s">
        <v>2556</v>
      </c>
      <c r="M11142" s="29"/>
      <c r="N11142" s="29" t="s">
        <v>2557</v>
      </c>
      <c r="O11142" s="29"/>
      <c r="P11142" s="29" t="s">
        <v>2558</v>
      </c>
      <c r="Q11142" t="s">
        <v>2041</v>
      </c>
      <c r="R11142" t="s">
        <v>2632</v>
      </c>
      <c r="S11142">
        <v>31</v>
      </c>
      <c r="T11142" s="43" t="str">
        <f>HYPERLINK("https://ictv.global/ictv/proposals/2016.021a-kP.A.v2.Tolecusatellitidae.pdf","2016.021a-kP.A.v2.Tolecusatellitidae.pdf")</f>
        <v>2016.021a-kP.A.v2.Tolecusatellitidae.pdf</v>
      </c>
      <c r="U11142" s="43" t="str">
        <f>HYPERLINK("https://ictv.global/taxonomy/taxondetails?taxnode_id=202205119","ictv.global=202205119")</f>
        <v>ictv.global=202205119</v>
      </c>
    </row>
    <row r="11143" spans="1:21">
      <c r="A11143">
        <v>11142</v>
      </c>
      <c r="B11143" s="29"/>
      <c r="C11143" s="29"/>
      <c r="D11143" s="29"/>
      <c r="E11143" s="29"/>
      <c r="F11143" s="29"/>
      <c r="G11143" s="29"/>
      <c r="H11143" s="29"/>
      <c r="I11143" s="29"/>
      <c r="J11143" s="29"/>
      <c r="K11143" s="29"/>
      <c r="L11143" s="29" t="s">
        <v>2556</v>
      </c>
      <c r="M11143" s="29"/>
      <c r="N11143" s="29" t="s">
        <v>2557</v>
      </c>
      <c r="O11143" s="29"/>
      <c r="P11143" s="29" t="s">
        <v>2559</v>
      </c>
      <c r="Q11143" t="s">
        <v>2041</v>
      </c>
      <c r="R11143" t="s">
        <v>2632</v>
      </c>
      <c r="S11143">
        <v>31</v>
      </c>
      <c r="T11143" s="43" t="str">
        <f>HYPERLINK("https://ictv.global/ictv/proposals/2016.021a-kP.A.v2.Tolecusatellitidae.pdf","2016.021a-kP.A.v2.Tolecusatellitidae.pdf")</f>
        <v>2016.021a-kP.A.v2.Tolecusatellitidae.pdf</v>
      </c>
      <c r="U11143" s="43" t="str">
        <f>HYPERLINK("https://ictv.global/taxonomy/taxondetails?taxnode_id=202205120","ictv.global=202205120")</f>
        <v>ictv.global=202205120</v>
      </c>
    </row>
    <row r="11144" spans="1:21">
      <c r="A11144">
        <v>11143</v>
      </c>
      <c r="B11144" s="29"/>
      <c r="C11144" s="29"/>
      <c r="D11144" s="29"/>
      <c r="E11144" s="29"/>
      <c r="F11144" s="29"/>
      <c r="G11144" s="29"/>
      <c r="H11144" s="29"/>
      <c r="I11144" s="29"/>
      <c r="J11144" s="29"/>
      <c r="K11144" s="29"/>
      <c r="L11144" s="29" t="s">
        <v>2556</v>
      </c>
      <c r="M11144" s="29"/>
      <c r="N11144" s="29" t="s">
        <v>2557</v>
      </c>
      <c r="O11144" s="29"/>
      <c r="P11144" s="29" t="s">
        <v>2560</v>
      </c>
      <c r="Q11144" t="s">
        <v>2041</v>
      </c>
      <c r="R11144" t="s">
        <v>2632</v>
      </c>
      <c r="S11144">
        <v>31</v>
      </c>
      <c r="T11144" s="43" t="str">
        <f>HYPERLINK("https://ictv.global/ictv/proposals/2016.021a-kP.A.v2.Tolecusatellitidae.pdf","2016.021a-kP.A.v2.Tolecusatellitidae.pdf")</f>
        <v>2016.021a-kP.A.v2.Tolecusatellitidae.pdf</v>
      </c>
      <c r="U11144" s="43" t="str">
        <f>HYPERLINK("https://ictv.global/taxonomy/taxondetails?taxnode_id=202205121","ictv.global=202205121")</f>
        <v>ictv.global=202205121</v>
      </c>
    </row>
    <row r="11145" spans="1:21">
      <c r="A11145">
        <v>11144</v>
      </c>
      <c r="B11145" s="29"/>
      <c r="C11145" s="29"/>
      <c r="D11145" s="29"/>
      <c r="E11145" s="29"/>
      <c r="F11145" s="29"/>
      <c r="G11145" s="29"/>
      <c r="H11145" s="29"/>
      <c r="I11145" s="29"/>
      <c r="J11145" s="29"/>
      <c r="K11145" s="29"/>
      <c r="L11145" s="29" t="s">
        <v>2556</v>
      </c>
      <c r="M11145" s="29"/>
      <c r="N11145" s="29" t="s">
        <v>2557</v>
      </c>
      <c r="O11145" s="29"/>
      <c r="P11145" s="29" t="s">
        <v>2561</v>
      </c>
      <c r="Q11145" t="s">
        <v>2041</v>
      </c>
      <c r="R11145" t="s">
        <v>6901</v>
      </c>
      <c r="S11145">
        <v>36</v>
      </c>
      <c r="T11145" s="43" t="str">
        <f>HYPERLINK("https://ictv.global/ictv/proposals/2020.001G.R.Abolish_type_species.pdf","2020.001G.R.Abolish_type_species.pdf")</f>
        <v>2020.001G.R.Abolish_type_species.pdf</v>
      </c>
      <c r="U11145" s="43" t="str">
        <f>HYPERLINK("https://ictv.global/taxonomy/taxondetails?taxnode_id=202205122","ictv.global=202205122")</f>
        <v>ictv.global=202205122</v>
      </c>
    </row>
    <row r="11146" spans="1:21">
      <c r="A11146">
        <v>11145</v>
      </c>
      <c r="B11146" s="29"/>
      <c r="C11146" s="29"/>
      <c r="D11146" s="29"/>
      <c r="E11146" s="29"/>
      <c r="F11146" s="29"/>
      <c r="G11146" s="29"/>
      <c r="H11146" s="29"/>
      <c r="I11146" s="29"/>
      <c r="J11146" s="29"/>
      <c r="K11146" s="29"/>
      <c r="L11146" s="29" t="s">
        <v>2556</v>
      </c>
      <c r="M11146" s="29"/>
      <c r="N11146" s="29" t="s">
        <v>2557</v>
      </c>
      <c r="O11146" s="29"/>
      <c r="P11146" s="29" t="s">
        <v>6837</v>
      </c>
      <c r="Q11146" t="s">
        <v>2265</v>
      </c>
      <c r="R11146" t="s">
        <v>2632</v>
      </c>
      <c r="S11146">
        <v>36</v>
      </c>
      <c r="T11146" s="43" t="str">
        <f>HYPERLINK("https://ictv.global/ictv/proposals/2020.009P.R.Betasatellite_61nsp.zip","2020.009P.R.Betasatellite_61nsp.zip")</f>
        <v>2020.009P.R.Betasatellite_61nsp.zip</v>
      </c>
      <c r="U11146" s="43" t="str">
        <f>HYPERLINK("https://ictv.global/taxonomy/taxondetails?taxnode_id=202209187","ictv.global=202209187")</f>
        <v>ictv.global=202209187</v>
      </c>
    </row>
    <row r="11147" spans="1:21">
      <c r="A11147">
        <v>11146</v>
      </c>
      <c r="B11147" s="29"/>
      <c r="C11147" s="29"/>
      <c r="D11147" s="29"/>
      <c r="E11147" s="29"/>
      <c r="F11147" s="29"/>
      <c r="G11147" s="29"/>
      <c r="H11147" s="29"/>
      <c r="I11147" s="29"/>
      <c r="J11147" s="29"/>
      <c r="K11147" s="29"/>
      <c r="L11147" s="29" t="s">
        <v>2556</v>
      </c>
      <c r="M11147" s="29"/>
      <c r="N11147" s="29" t="s">
        <v>2557</v>
      </c>
      <c r="O11147" s="29"/>
      <c r="P11147" s="29" t="s">
        <v>2562</v>
      </c>
      <c r="Q11147" t="s">
        <v>2041</v>
      </c>
      <c r="R11147" t="s">
        <v>2632</v>
      </c>
      <c r="S11147">
        <v>31</v>
      </c>
      <c r="T11147" s="43" t="str">
        <f t="shared" ref="T11147:T11154" si="479">HYPERLINK("https://ictv.global/ictv/proposals/2016.021a-kP.A.v2.Tolecusatellitidae.pdf","2016.021a-kP.A.v2.Tolecusatellitidae.pdf")</f>
        <v>2016.021a-kP.A.v2.Tolecusatellitidae.pdf</v>
      </c>
      <c r="U11147" s="43" t="str">
        <f>HYPERLINK("https://ictv.global/taxonomy/taxondetails?taxnode_id=202205124","ictv.global=202205124")</f>
        <v>ictv.global=202205124</v>
      </c>
    </row>
    <row r="11148" spans="1:21">
      <c r="A11148">
        <v>11147</v>
      </c>
      <c r="B11148" s="29"/>
      <c r="C11148" s="29"/>
      <c r="D11148" s="29"/>
      <c r="E11148" s="29"/>
      <c r="F11148" s="29"/>
      <c r="G11148" s="29"/>
      <c r="H11148" s="29"/>
      <c r="I11148" s="29"/>
      <c r="J11148" s="29"/>
      <c r="K11148" s="29"/>
      <c r="L11148" s="29" t="s">
        <v>2556</v>
      </c>
      <c r="M11148" s="29"/>
      <c r="N11148" s="29" t="s">
        <v>2557</v>
      </c>
      <c r="O11148" s="29"/>
      <c r="P11148" s="29" t="s">
        <v>2563</v>
      </c>
      <c r="Q11148" t="s">
        <v>2041</v>
      </c>
      <c r="R11148" t="s">
        <v>2632</v>
      </c>
      <c r="S11148">
        <v>31</v>
      </c>
      <c r="T11148" s="43" t="str">
        <f t="shared" si="479"/>
        <v>2016.021a-kP.A.v2.Tolecusatellitidae.pdf</v>
      </c>
      <c r="U11148" s="43" t="str">
        <f>HYPERLINK("https://ictv.global/taxonomy/taxondetails?taxnode_id=202205125","ictv.global=202205125")</f>
        <v>ictv.global=202205125</v>
      </c>
    </row>
    <row r="11149" spans="1:21">
      <c r="A11149">
        <v>11148</v>
      </c>
      <c r="B11149" s="29"/>
      <c r="C11149" s="29"/>
      <c r="D11149" s="29"/>
      <c r="E11149" s="29"/>
      <c r="F11149" s="29"/>
      <c r="G11149" s="29"/>
      <c r="H11149" s="29"/>
      <c r="I11149" s="29"/>
      <c r="J11149" s="29"/>
      <c r="K11149" s="29"/>
      <c r="L11149" s="29" t="s">
        <v>2556</v>
      </c>
      <c r="M11149" s="29"/>
      <c r="N11149" s="29" t="s">
        <v>2557</v>
      </c>
      <c r="O11149" s="29"/>
      <c r="P11149" s="29" t="s">
        <v>2564</v>
      </c>
      <c r="Q11149" t="s">
        <v>2041</v>
      </c>
      <c r="R11149" t="s">
        <v>2632</v>
      </c>
      <c r="S11149">
        <v>31</v>
      </c>
      <c r="T11149" s="43" t="str">
        <f t="shared" si="479"/>
        <v>2016.021a-kP.A.v2.Tolecusatellitidae.pdf</v>
      </c>
      <c r="U11149" s="43" t="str">
        <f>HYPERLINK("https://ictv.global/taxonomy/taxondetails?taxnode_id=202205126","ictv.global=202205126")</f>
        <v>ictv.global=202205126</v>
      </c>
    </row>
    <row r="11150" spans="1:21">
      <c r="A11150">
        <v>11149</v>
      </c>
      <c r="B11150" s="29"/>
      <c r="C11150" s="29"/>
      <c r="D11150" s="29"/>
      <c r="E11150" s="29"/>
      <c r="F11150" s="29"/>
      <c r="G11150" s="29"/>
      <c r="H11150" s="29"/>
      <c r="I11150" s="29"/>
      <c r="J11150" s="29"/>
      <c r="K11150" s="29"/>
      <c r="L11150" s="29" t="s">
        <v>2556</v>
      </c>
      <c r="M11150" s="29"/>
      <c r="N11150" s="29" t="s">
        <v>2557</v>
      </c>
      <c r="O11150" s="29"/>
      <c r="P11150" s="29" t="s">
        <v>2565</v>
      </c>
      <c r="Q11150" t="s">
        <v>2041</v>
      </c>
      <c r="R11150" t="s">
        <v>2632</v>
      </c>
      <c r="S11150">
        <v>31</v>
      </c>
      <c r="T11150" s="43" t="str">
        <f t="shared" si="479"/>
        <v>2016.021a-kP.A.v2.Tolecusatellitidae.pdf</v>
      </c>
      <c r="U11150" s="43" t="str">
        <f>HYPERLINK("https://ictv.global/taxonomy/taxondetails?taxnode_id=202205127","ictv.global=202205127")</f>
        <v>ictv.global=202205127</v>
      </c>
    </row>
    <row r="11151" spans="1:21">
      <c r="A11151">
        <v>11150</v>
      </c>
      <c r="B11151" s="29"/>
      <c r="C11151" s="29"/>
      <c r="D11151" s="29"/>
      <c r="E11151" s="29"/>
      <c r="F11151" s="29"/>
      <c r="G11151" s="29"/>
      <c r="H11151" s="29"/>
      <c r="I11151" s="29"/>
      <c r="J11151" s="29"/>
      <c r="K11151" s="29"/>
      <c r="L11151" s="29" t="s">
        <v>2556</v>
      </c>
      <c r="M11151" s="29"/>
      <c r="N11151" s="29" t="s">
        <v>2557</v>
      </c>
      <c r="O11151" s="29"/>
      <c r="P11151" s="29" t="s">
        <v>2566</v>
      </c>
      <c r="Q11151" t="s">
        <v>2041</v>
      </c>
      <c r="R11151" t="s">
        <v>2632</v>
      </c>
      <c r="S11151">
        <v>31</v>
      </c>
      <c r="T11151" s="43" t="str">
        <f t="shared" si="479"/>
        <v>2016.021a-kP.A.v2.Tolecusatellitidae.pdf</v>
      </c>
      <c r="U11151" s="43" t="str">
        <f>HYPERLINK("https://ictv.global/taxonomy/taxondetails?taxnode_id=202205128","ictv.global=202205128")</f>
        <v>ictv.global=202205128</v>
      </c>
    </row>
    <row r="11152" spans="1:21">
      <c r="A11152">
        <v>11151</v>
      </c>
      <c r="B11152" s="29"/>
      <c r="C11152" s="29"/>
      <c r="D11152" s="29"/>
      <c r="E11152" s="29"/>
      <c r="F11152" s="29"/>
      <c r="G11152" s="29"/>
      <c r="H11152" s="29"/>
      <c r="I11152" s="29"/>
      <c r="J11152" s="29"/>
      <c r="K11152" s="29"/>
      <c r="L11152" s="29" t="s">
        <v>2556</v>
      </c>
      <c r="M11152" s="29"/>
      <c r="N11152" s="29" t="s">
        <v>2557</v>
      </c>
      <c r="O11152" s="29"/>
      <c r="P11152" s="29" t="s">
        <v>2567</v>
      </c>
      <c r="Q11152" t="s">
        <v>2041</v>
      </c>
      <c r="R11152" t="s">
        <v>2632</v>
      </c>
      <c r="S11152">
        <v>31</v>
      </c>
      <c r="T11152" s="43" t="str">
        <f t="shared" si="479"/>
        <v>2016.021a-kP.A.v2.Tolecusatellitidae.pdf</v>
      </c>
      <c r="U11152" s="43" t="str">
        <f>HYPERLINK("https://ictv.global/taxonomy/taxondetails?taxnode_id=202205129","ictv.global=202205129")</f>
        <v>ictv.global=202205129</v>
      </c>
    </row>
    <row r="11153" spans="1:21">
      <c r="A11153">
        <v>11152</v>
      </c>
      <c r="B11153" s="29"/>
      <c r="C11153" s="29"/>
      <c r="D11153" s="29"/>
      <c r="E11153" s="29"/>
      <c r="F11153" s="29"/>
      <c r="G11153" s="29"/>
      <c r="H11153" s="29"/>
      <c r="I11153" s="29"/>
      <c r="J11153" s="29"/>
      <c r="K11153" s="29"/>
      <c r="L11153" s="29" t="s">
        <v>2556</v>
      </c>
      <c r="M11153" s="29"/>
      <c r="N11153" s="29" t="s">
        <v>2557</v>
      </c>
      <c r="O11153" s="29"/>
      <c r="P11153" s="29" t="s">
        <v>2568</v>
      </c>
      <c r="Q11153" t="s">
        <v>2041</v>
      </c>
      <c r="R11153" t="s">
        <v>2632</v>
      </c>
      <c r="S11153">
        <v>31</v>
      </c>
      <c r="T11153" s="43" t="str">
        <f t="shared" si="479"/>
        <v>2016.021a-kP.A.v2.Tolecusatellitidae.pdf</v>
      </c>
      <c r="U11153" s="43" t="str">
        <f>HYPERLINK("https://ictv.global/taxonomy/taxondetails?taxnode_id=202205130","ictv.global=202205130")</f>
        <v>ictv.global=202205130</v>
      </c>
    </row>
    <row r="11154" spans="1:21">
      <c r="A11154">
        <v>11153</v>
      </c>
      <c r="B11154" s="29"/>
      <c r="C11154" s="29"/>
      <c r="D11154" s="29"/>
      <c r="E11154" s="29"/>
      <c r="F11154" s="29"/>
      <c r="G11154" s="29"/>
      <c r="H11154" s="29"/>
      <c r="I11154" s="29"/>
      <c r="J11154" s="29"/>
      <c r="K11154" s="29"/>
      <c r="L11154" s="29" t="s">
        <v>2556</v>
      </c>
      <c r="M11154" s="29"/>
      <c r="N11154" s="29" t="s">
        <v>2557</v>
      </c>
      <c r="O11154" s="29"/>
      <c r="P11154" s="29" t="s">
        <v>2569</v>
      </c>
      <c r="Q11154" t="s">
        <v>2041</v>
      </c>
      <c r="R11154" t="s">
        <v>2632</v>
      </c>
      <c r="S11154">
        <v>31</v>
      </c>
      <c r="T11154" s="43" t="str">
        <f t="shared" si="479"/>
        <v>2016.021a-kP.A.v2.Tolecusatellitidae.pdf</v>
      </c>
      <c r="U11154" s="43" t="str">
        <f>HYPERLINK("https://ictv.global/taxonomy/taxondetails?taxnode_id=202205131","ictv.global=202205131")</f>
        <v>ictv.global=202205131</v>
      </c>
    </row>
    <row r="11155" spans="1:21">
      <c r="A11155">
        <v>11154</v>
      </c>
      <c r="B11155" s="29"/>
      <c r="C11155" s="29"/>
      <c r="D11155" s="29"/>
      <c r="E11155" s="29"/>
      <c r="F11155" s="29"/>
      <c r="G11155" s="29"/>
      <c r="H11155" s="29"/>
      <c r="I11155" s="29"/>
      <c r="J11155" s="29"/>
      <c r="K11155" s="29"/>
      <c r="L11155" s="29" t="s">
        <v>2556</v>
      </c>
      <c r="M11155" s="29"/>
      <c r="N11155" s="29" t="s">
        <v>2557</v>
      </c>
      <c r="O11155" s="29"/>
      <c r="P11155" s="29" t="s">
        <v>6838</v>
      </c>
      <c r="Q11155" t="s">
        <v>2265</v>
      </c>
      <c r="R11155" t="s">
        <v>2632</v>
      </c>
      <c r="S11155">
        <v>36</v>
      </c>
      <c r="T11155" s="43" t="str">
        <f t="shared" ref="T11155:T11161" si="480">HYPERLINK("https://ictv.global/ictv/proposals/2020.009P.R.Betasatellite_61nsp.zip","2020.009P.R.Betasatellite_61nsp.zip")</f>
        <v>2020.009P.R.Betasatellite_61nsp.zip</v>
      </c>
      <c r="U11155" s="43" t="str">
        <f>HYPERLINK("https://ictv.global/taxonomy/taxondetails?taxnode_id=202209188","ictv.global=202209188")</f>
        <v>ictv.global=202209188</v>
      </c>
    </row>
    <row r="11156" spans="1:21">
      <c r="A11156">
        <v>11155</v>
      </c>
      <c r="B11156" s="29"/>
      <c r="C11156" s="29"/>
      <c r="D11156" s="29"/>
      <c r="E11156" s="29"/>
      <c r="F11156" s="29"/>
      <c r="G11156" s="29"/>
      <c r="H11156" s="29"/>
      <c r="I11156" s="29"/>
      <c r="J11156" s="29"/>
      <c r="K11156" s="29"/>
      <c r="L11156" s="29" t="s">
        <v>2556</v>
      </c>
      <c r="M11156" s="29"/>
      <c r="N11156" s="29" t="s">
        <v>2557</v>
      </c>
      <c r="O11156" s="29"/>
      <c r="P11156" s="29" t="s">
        <v>6839</v>
      </c>
      <c r="Q11156" t="s">
        <v>2265</v>
      </c>
      <c r="R11156" t="s">
        <v>2632</v>
      </c>
      <c r="S11156">
        <v>36</v>
      </c>
      <c r="T11156" s="43" t="str">
        <f t="shared" si="480"/>
        <v>2020.009P.R.Betasatellite_61nsp.zip</v>
      </c>
      <c r="U11156" s="43" t="str">
        <f>HYPERLINK("https://ictv.global/taxonomy/taxondetails?taxnode_id=202209189","ictv.global=202209189")</f>
        <v>ictv.global=202209189</v>
      </c>
    </row>
    <row r="11157" spans="1:21">
      <c r="A11157">
        <v>11156</v>
      </c>
      <c r="B11157" s="29"/>
      <c r="C11157" s="29"/>
      <c r="D11157" s="29"/>
      <c r="E11157" s="29"/>
      <c r="F11157" s="29"/>
      <c r="G11157" s="29"/>
      <c r="H11157" s="29"/>
      <c r="I11157" s="29"/>
      <c r="J11157" s="29"/>
      <c r="K11157" s="29"/>
      <c r="L11157" s="29" t="s">
        <v>2556</v>
      </c>
      <c r="M11157" s="29"/>
      <c r="N11157" s="29" t="s">
        <v>2557</v>
      </c>
      <c r="O11157" s="29"/>
      <c r="P11157" s="29" t="s">
        <v>6840</v>
      </c>
      <c r="Q11157" t="s">
        <v>2265</v>
      </c>
      <c r="R11157" t="s">
        <v>2632</v>
      </c>
      <c r="S11157">
        <v>36</v>
      </c>
      <c r="T11157" s="43" t="str">
        <f t="shared" si="480"/>
        <v>2020.009P.R.Betasatellite_61nsp.zip</v>
      </c>
      <c r="U11157" s="43" t="str">
        <f>HYPERLINK("https://ictv.global/taxonomy/taxondetails?taxnode_id=202209190","ictv.global=202209190")</f>
        <v>ictv.global=202209190</v>
      </c>
    </row>
    <row r="11158" spans="1:21">
      <c r="A11158">
        <v>11157</v>
      </c>
      <c r="B11158" s="29"/>
      <c r="C11158" s="29"/>
      <c r="D11158" s="29"/>
      <c r="E11158" s="29"/>
      <c r="F11158" s="29"/>
      <c r="G11158" s="29"/>
      <c r="H11158" s="29"/>
      <c r="I11158" s="29"/>
      <c r="J11158" s="29"/>
      <c r="K11158" s="29"/>
      <c r="L11158" s="29" t="s">
        <v>2556</v>
      </c>
      <c r="M11158" s="29"/>
      <c r="N11158" s="29" t="s">
        <v>2557</v>
      </c>
      <c r="O11158" s="29"/>
      <c r="P11158" s="29" t="s">
        <v>6841</v>
      </c>
      <c r="Q11158" t="s">
        <v>2265</v>
      </c>
      <c r="R11158" t="s">
        <v>2632</v>
      </c>
      <c r="S11158">
        <v>36</v>
      </c>
      <c r="T11158" s="43" t="str">
        <f t="shared" si="480"/>
        <v>2020.009P.R.Betasatellite_61nsp.zip</v>
      </c>
      <c r="U11158" s="43" t="str">
        <f>HYPERLINK("https://ictv.global/taxonomy/taxondetails?taxnode_id=202209191","ictv.global=202209191")</f>
        <v>ictv.global=202209191</v>
      </c>
    </row>
    <row r="11159" spans="1:21">
      <c r="A11159">
        <v>11158</v>
      </c>
      <c r="B11159" s="29"/>
      <c r="C11159" s="29"/>
      <c r="D11159" s="29"/>
      <c r="E11159" s="29"/>
      <c r="F11159" s="29"/>
      <c r="G11159" s="29"/>
      <c r="H11159" s="29"/>
      <c r="I11159" s="29"/>
      <c r="J11159" s="29"/>
      <c r="K11159" s="29"/>
      <c r="L11159" s="29" t="s">
        <v>2556</v>
      </c>
      <c r="M11159" s="29"/>
      <c r="N11159" s="29" t="s">
        <v>2557</v>
      </c>
      <c r="O11159" s="29"/>
      <c r="P11159" s="29" t="s">
        <v>6842</v>
      </c>
      <c r="Q11159" t="s">
        <v>2265</v>
      </c>
      <c r="R11159" t="s">
        <v>2632</v>
      </c>
      <c r="S11159">
        <v>36</v>
      </c>
      <c r="T11159" s="43" t="str">
        <f t="shared" si="480"/>
        <v>2020.009P.R.Betasatellite_61nsp.zip</v>
      </c>
      <c r="U11159" s="43" t="str">
        <f>HYPERLINK("https://ictv.global/taxonomy/taxondetails?taxnode_id=202209192","ictv.global=202209192")</f>
        <v>ictv.global=202209192</v>
      </c>
    </row>
    <row r="11160" spans="1:21">
      <c r="A11160">
        <v>11159</v>
      </c>
      <c r="B11160" s="29"/>
      <c r="C11160" s="29"/>
      <c r="D11160" s="29"/>
      <c r="E11160" s="29"/>
      <c r="F11160" s="29"/>
      <c r="G11160" s="29"/>
      <c r="H11160" s="29"/>
      <c r="I11160" s="29"/>
      <c r="J11160" s="29"/>
      <c r="K11160" s="29"/>
      <c r="L11160" s="29" t="s">
        <v>2556</v>
      </c>
      <c r="M11160" s="29"/>
      <c r="N11160" s="29" t="s">
        <v>2557</v>
      </c>
      <c r="O11160" s="29"/>
      <c r="P11160" s="29" t="s">
        <v>6843</v>
      </c>
      <c r="Q11160" t="s">
        <v>2265</v>
      </c>
      <c r="R11160" t="s">
        <v>2632</v>
      </c>
      <c r="S11160">
        <v>36</v>
      </c>
      <c r="T11160" s="43" t="str">
        <f t="shared" si="480"/>
        <v>2020.009P.R.Betasatellite_61nsp.zip</v>
      </c>
      <c r="U11160" s="43" t="str">
        <f>HYPERLINK("https://ictv.global/taxonomy/taxondetails?taxnode_id=202209193","ictv.global=202209193")</f>
        <v>ictv.global=202209193</v>
      </c>
    </row>
    <row r="11161" spans="1:21">
      <c r="A11161">
        <v>11160</v>
      </c>
      <c r="B11161" s="29"/>
      <c r="C11161" s="29"/>
      <c r="D11161" s="29"/>
      <c r="E11161" s="29"/>
      <c r="F11161" s="29"/>
      <c r="G11161" s="29"/>
      <c r="H11161" s="29"/>
      <c r="I11161" s="29"/>
      <c r="J11161" s="29"/>
      <c r="K11161" s="29"/>
      <c r="L11161" s="29" t="s">
        <v>2556</v>
      </c>
      <c r="M11161" s="29"/>
      <c r="N11161" s="29" t="s">
        <v>2557</v>
      </c>
      <c r="O11161" s="29"/>
      <c r="P11161" s="29" t="s">
        <v>6844</v>
      </c>
      <c r="Q11161" t="s">
        <v>2265</v>
      </c>
      <c r="R11161" t="s">
        <v>2632</v>
      </c>
      <c r="S11161">
        <v>36</v>
      </c>
      <c r="T11161" s="43" t="str">
        <f t="shared" si="480"/>
        <v>2020.009P.R.Betasatellite_61nsp.zip</v>
      </c>
      <c r="U11161" s="43" t="str">
        <f>HYPERLINK("https://ictv.global/taxonomy/taxondetails?taxnode_id=202209194","ictv.global=202209194")</f>
        <v>ictv.global=202209194</v>
      </c>
    </row>
    <row r="11162" spans="1:21">
      <c r="A11162">
        <v>11161</v>
      </c>
      <c r="B11162" s="29"/>
      <c r="C11162" s="29"/>
      <c r="D11162" s="29"/>
      <c r="E11162" s="29"/>
      <c r="F11162" s="29"/>
      <c r="G11162" s="29"/>
      <c r="H11162" s="29"/>
      <c r="I11162" s="29"/>
      <c r="J11162" s="29"/>
      <c r="K11162" s="29"/>
      <c r="L11162" s="29" t="s">
        <v>2556</v>
      </c>
      <c r="M11162" s="29"/>
      <c r="N11162" s="29" t="s">
        <v>2557</v>
      </c>
      <c r="O11162" s="29"/>
      <c r="P11162" s="29" t="s">
        <v>2570</v>
      </c>
      <c r="Q11162" t="s">
        <v>2041</v>
      </c>
      <c r="R11162" t="s">
        <v>2632</v>
      </c>
      <c r="S11162">
        <v>31</v>
      </c>
      <c r="T11162" s="43" t="str">
        <f>HYPERLINK("https://ictv.global/ictv/proposals/2016.021a-kP.A.v2.Tolecusatellitidae.pdf","2016.021a-kP.A.v2.Tolecusatellitidae.pdf")</f>
        <v>2016.021a-kP.A.v2.Tolecusatellitidae.pdf</v>
      </c>
      <c r="U11162" s="43" t="str">
        <f>HYPERLINK("https://ictv.global/taxonomy/taxondetails?taxnode_id=202205132","ictv.global=202205132")</f>
        <v>ictv.global=202205132</v>
      </c>
    </row>
    <row r="11163" spans="1:21">
      <c r="A11163">
        <v>11162</v>
      </c>
      <c r="B11163" s="29"/>
      <c r="C11163" s="29"/>
      <c r="D11163" s="29"/>
      <c r="E11163" s="29"/>
      <c r="F11163" s="29"/>
      <c r="G11163" s="29"/>
      <c r="H11163" s="29"/>
      <c r="I11163" s="29"/>
      <c r="J11163" s="29"/>
      <c r="K11163" s="29"/>
      <c r="L11163" s="29" t="s">
        <v>2556</v>
      </c>
      <c r="M11163" s="29"/>
      <c r="N11163" s="29" t="s">
        <v>2557</v>
      </c>
      <c r="O11163" s="29"/>
      <c r="P11163" s="29" t="s">
        <v>6845</v>
      </c>
      <c r="Q11163" t="s">
        <v>2265</v>
      </c>
      <c r="R11163" t="s">
        <v>2632</v>
      </c>
      <c r="S11163">
        <v>36</v>
      </c>
      <c r="T11163" s="43" t="str">
        <f>HYPERLINK("https://ictv.global/ictv/proposals/2020.009P.R.Betasatellite_61nsp.zip","2020.009P.R.Betasatellite_61nsp.zip")</f>
        <v>2020.009P.R.Betasatellite_61nsp.zip</v>
      </c>
      <c r="U11163" s="43" t="str">
        <f>HYPERLINK("https://ictv.global/taxonomy/taxondetails?taxnode_id=202209195","ictv.global=202209195")</f>
        <v>ictv.global=202209195</v>
      </c>
    </row>
    <row r="11164" spans="1:21">
      <c r="A11164">
        <v>11163</v>
      </c>
      <c r="B11164" s="29"/>
      <c r="C11164" s="29"/>
      <c r="D11164" s="29"/>
      <c r="E11164" s="29"/>
      <c r="F11164" s="29"/>
      <c r="G11164" s="29"/>
      <c r="H11164" s="29"/>
      <c r="I11164" s="29"/>
      <c r="J11164" s="29"/>
      <c r="K11164" s="29"/>
      <c r="L11164" s="29" t="s">
        <v>2556</v>
      </c>
      <c r="M11164" s="29"/>
      <c r="N11164" s="29" t="s">
        <v>2557</v>
      </c>
      <c r="O11164" s="29"/>
      <c r="P11164" s="29" t="s">
        <v>2571</v>
      </c>
      <c r="Q11164" t="s">
        <v>2041</v>
      </c>
      <c r="R11164" t="s">
        <v>2632</v>
      </c>
      <c r="S11164">
        <v>31</v>
      </c>
      <c r="T11164" s="43" t="str">
        <f>HYPERLINK("https://ictv.global/ictv/proposals/2016.021a-kP.A.v2.Tolecusatellitidae.pdf","2016.021a-kP.A.v2.Tolecusatellitidae.pdf")</f>
        <v>2016.021a-kP.A.v2.Tolecusatellitidae.pdf</v>
      </c>
      <c r="U11164" s="43" t="str">
        <f>HYPERLINK("https://ictv.global/taxonomy/taxondetails?taxnode_id=202205133","ictv.global=202205133")</f>
        <v>ictv.global=202205133</v>
      </c>
    </row>
    <row r="11165" spans="1:21">
      <c r="A11165">
        <v>11164</v>
      </c>
      <c r="B11165" s="29"/>
      <c r="C11165" s="29"/>
      <c r="D11165" s="29"/>
      <c r="E11165" s="29"/>
      <c r="F11165" s="29"/>
      <c r="G11165" s="29"/>
      <c r="H11165" s="29"/>
      <c r="I11165" s="29"/>
      <c r="J11165" s="29"/>
      <c r="K11165" s="29"/>
      <c r="L11165" s="29" t="s">
        <v>2556</v>
      </c>
      <c r="M11165" s="29"/>
      <c r="N11165" s="29" t="s">
        <v>2557</v>
      </c>
      <c r="O11165" s="29"/>
      <c r="P11165" s="29" t="s">
        <v>6846</v>
      </c>
      <c r="Q11165" t="s">
        <v>2265</v>
      </c>
      <c r="R11165" t="s">
        <v>2632</v>
      </c>
      <c r="S11165">
        <v>36</v>
      </c>
      <c r="T11165" s="43" t="str">
        <f>HYPERLINK("https://ictv.global/ictv/proposals/2020.009P.R.Betasatellite_61nsp.zip","2020.009P.R.Betasatellite_61nsp.zip")</f>
        <v>2020.009P.R.Betasatellite_61nsp.zip</v>
      </c>
      <c r="U11165" s="43" t="str">
        <f>HYPERLINK("https://ictv.global/taxonomy/taxondetails?taxnode_id=202209196","ictv.global=202209196")</f>
        <v>ictv.global=202209196</v>
      </c>
    </row>
    <row r="11166" spans="1:21">
      <c r="A11166">
        <v>11165</v>
      </c>
      <c r="B11166" s="29"/>
      <c r="C11166" s="29"/>
      <c r="D11166" s="29"/>
      <c r="E11166" s="29"/>
      <c r="F11166" s="29"/>
      <c r="G11166" s="29"/>
      <c r="H11166" s="29"/>
      <c r="I11166" s="29"/>
      <c r="J11166" s="29"/>
      <c r="K11166" s="29"/>
      <c r="L11166" s="29" t="s">
        <v>2556</v>
      </c>
      <c r="M11166" s="29"/>
      <c r="N11166" s="29" t="s">
        <v>2557</v>
      </c>
      <c r="O11166" s="29"/>
      <c r="P11166" s="29" t="s">
        <v>2572</v>
      </c>
      <c r="Q11166" t="s">
        <v>2041</v>
      </c>
      <c r="R11166" t="s">
        <v>2632</v>
      </c>
      <c r="S11166">
        <v>31</v>
      </c>
      <c r="T11166" s="43" t="str">
        <f>HYPERLINK("https://ictv.global/ictv/proposals/2016.021a-kP.A.v2.Tolecusatellitidae.pdf","2016.021a-kP.A.v2.Tolecusatellitidae.pdf")</f>
        <v>2016.021a-kP.A.v2.Tolecusatellitidae.pdf</v>
      </c>
      <c r="U11166" s="43" t="str">
        <f>HYPERLINK("https://ictv.global/taxonomy/taxondetails?taxnode_id=202205134","ictv.global=202205134")</f>
        <v>ictv.global=202205134</v>
      </c>
    </row>
    <row r="11167" spans="1:21">
      <c r="A11167">
        <v>11166</v>
      </c>
      <c r="B11167" s="29"/>
      <c r="C11167" s="29"/>
      <c r="D11167" s="29"/>
      <c r="E11167" s="29"/>
      <c r="F11167" s="29"/>
      <c r="G11167" s="29"/>
      <c r="H11167" s="29"/>
      <c r="I11167" s="29"/>
      <c r="J11167" s="29"/>
      <c r="K11167" s="29"/>
      <c r="L11167" s="29" t="s">
        <v>2556</v>
      </c>
      <c r="M11167" s="29"/>
      <c r="N11167" s="29" t="s">
        <v>2557</v>
      </c>
      <c r="O11167" s="29"/>
      <c r="P11167" s="29" t="s">
        <v>6847</v>
      </c>
      <c r="Q11167" t="s">
        <v>2265</v>
      </c>
      <c r="R11167" t="s">
        <v>2632</v>
      </c>
      <c r="S11167">
        <v>36</v>
      </c>
      <c r="T11167" s="43" t="str">
        <f>HYPERLINK("https://ictv.global/ictv/proposals/2020.009P.R.Betasatellite_61nsp.zip","2020.009P.R.Betasatellite_61nsp.zip")</f>
        <v>2020.009P.R.Betasatellite_61nsp.zip</v>
      </c>
      <c r="U11167" s="43" t="str">
        <f>HYPERLINK("https://ictv.global/taxonomy/taxondetails?taxnode_id=202209197","ictv.global=202209197")</f>
        <v>ictv.global=202209197</v>
      </c>
    </row>
    <row r="11168" spans="1:21">
      <c r="A11168">
        <v>11167</v>
      </c>
      <c r="B11168" s="29"/>
      <c r="C11168" s="29"/>
      <c r="D11168" s="29"/>
      <c r="E11168" s="29"/>
      <c r="F11168" s="29"/>
      <c r="G11168" s="29"/>
      <c r="H11168" s="29"/>
      <c r="I11168" s="29"/>
      <c r="J11168" s="29"/>
      <c r="K11168" s="29"/>
      <c r="L11168" s="29" t="s">
        <v>2556</v>
      </c>
      <c r="M11168" s="29"/>
      <c r="N11168" s="29" t="s">
        <v>2557</v>
      </c>
      <c r="O11168" s="29"/>
      <c r="P11168" s="29" t="s">
        <v>6848</v>
      </c>
      <c r="Q11168" t="s">
        <v>2265</v>
      </c>
      <c r="R11168" t="s">
        <v>2632</v>
      </c>
      <c r="S11168">
        <v>36</v>
      </c>
      <c r="T11168" s="43" t="str">
        <f>HYPERLINK("https://ictv.global/ictv/proposals/2020.009P.R.Betasatellite_61nsp.zip","2020.009P.R.Betasatellite_61nsp.zip")</f>
        <v>2020.009P.R.Betasatellite_61nsp.zip</v>
      </c>
      <c r="U11168" s="43" t="str">
        <f>HYPERLINK("https://ictv.global/taxonomy/taxondetails?taxnode_id=202209198","ictv.global=202209198")</f>
        <v>ictv.global=202209198</v>
      </c>
    </row>
    <row r="11169" spans="1:21">
      <c r="A11169">
        <v>11168</v>
      </c>
      <c r="B11169" s="29"/>
      <c r="C11169" s="29"/>
      <c r="D11169" s="29"/>
      <c r="E11169" s="29"/>
      <c r="F11169" s="29"/>
      <c r="G11169" s="29"/>
      <c r="H11169" s="29"/>
      <c r="I11169" s="29"/>
      <c r="J11169" s="29"/>
      <c r="K11169" s="29"/>
      <c r="L11169" s="29" t="s">
        <v>2556</v>
      </c>
      <c r="M11169" s="29"/>
      <c r="N11169" s="29" t="s">
        <v>2557</v>
      </c>
      <c r="O11169" s="29"/>
      <c r="P11169" s="29" t="s">
        <v>6849</v>
      </c>
      <c r="Q11169" t="s">
        <v>2265</v>
      </c>
      <c r="R11169" t="s">
        <v>2632</v>
      </c>
      <c r="S11169">
        <v>36</v>
      </c>
      <c r="T11169" s="43" t="str">
        <f>HYPERLINK("https://ictv.global/ictv/proposals/2020.009P.R.Betasatellite_61nsp.zip","2020.009P.R.Betasatellite_61nsp.zip")</f>
        <v>2020.009P.R.Betasatellite_61nsp.zip</v>
      </c>
      <c r="U11169" s="43" t="str">
        <f>HYPERLINK("https://ictv.global/taxonomy/taxondetails?taxnode_id=202209199","ictv.global=202209199")</f>
        <v>ictv.global=202209199</v>
      </c>
    </row>
    <row r="11170" spans="1:21">
      <c r="A11170">
        <v>11169</v>
      </c>
      <c r="B11170" s="29"/>
      <c r="C11170" s="29"/>
      <c r="D11170" s="29"/>
      <c r="E11170" s="29"/>
      <c r="F11170" s="29"/>
      <c r="G11170" s="29"/>
      <c r="H11170" s="29"/>
      <c r="I11170" s="29"/>
      <c r="J11170" s="29"/>
      <c r="K11170" s="29"/>
      <c r="L11170" s="29" t="s">
        <v>2556</v>
      </c>
      <c r="M11170" s="29"/>
      <c r="N11170" s="29" t="s">
        <v>2557</v>
      </c>
      <c r="O11170" s="29"/>
      <c r="P11170" s="29" t="s">
        <v>2573</v>
      </c>
      <c r="Q11170" t="s">
        <v>2041</v>
      </c>
      <c r="R11170" t="s">
        <v>2632</v>
      </c>
      <c r="S11170">
        <v>31</v>
      </c>
      <c r="T11170" s="43" t="str">
        <f>HYPERLINK("https://ictv.global/ictv/proposals/2016.021a-kP.A.v2.Tolecusatellitidae.pdf","2016.021a-kP.A.v2.Tolecusatellitidae.pdf")</f>
        <v>2016.021a-kP.A.v2.Tolecusatellitidae.pdf</v>
      </c>
      <c r="U11170" s="43" t="str">
        <f>HYPERLINK("https://ictv.global/taxonomy/taxondetails?taxnode_id=202205135","ictv.global=202205135")</f>
        <v>ictv.global=202205135</v>
      </c>
    </row>
    <row r="11171" spans="1:21">
      <c r="A11171">
        <v>11170</v>
      </c>
      <c r="B11171" s="29"/>
      <c r="C11171" s="29"/>
      <c r="D11171" s="29"/>
      <c r="E11171" s="29"/>
      <c r="F11171" s="29"/>
      <c r="G11171" s="29"/>
      <c r="H11171" s="29"/>
      <c r="I11171" s="29"/>
      <c r="J11171" s="29"/>
      <c r="K11171" s="29"/>
      <c r="L11171" s="29" t="s">
        <v>2556</v>
      </c>
      <c r="M11171" s="29"/>
      <c r="N11171" s="29" t="s">
        <v>2557</v>
      </c>
      <c r="O11171" s="29"/>
      <c r="P11171" s="29" t="s">
        <v>2574</v>
      </c>
      <c r="Q11171" t="s">
        <v>2041</v>
      </c>
      <c r="R11171" t="s">
        <v>2632</v>
      </c>
      <c r="S11171">
        <v>31</v>
      </c>
      <c r="T11171" s="43" t="str">
        <f>HYPERLINK("https://ictv.global/ictv/proposals/2016.021a-kP.A.v2.Tolecusatellitidae.pdf","2016.021a-kP.A.v2.Tolecusatellitidae.pdf")</f>
        <v>2016.021a-kP.A.v2.Tolecusatellitidae.pdf</v>
      </c>
      <c r="U11171" s="43" t="str">
        <f>HYPERLINK("https://ictv.global/taxonomy/taxondetails?taxnode_id=202205136","ictv.global=202205136")</f>
        <v>ictv.global=202205136</v>
      </c>
    </row>
    <row r="11172" spans="1:21">
      <c r="A11172">
        <v>11171</v>
      </c>
      <c r="B11172" s="29"/>
      <c r="C11172" s="29"/>
      <c r="D11172" s="29"/>
      <c r="E11172" s="29"/>
      <c r="F11172" s="29"/>
      <c r="G11172" s="29"/>
      <c r="H11172" s="29"/>
      <c r="I11172" s="29"/>
      <c r="J11172" s="29"/>
      <c r="K11172" s="29"/>
      <c r="L11172" s="29" t="s">
        <v>2556</v>
      </c>
      <c r="M11172" s="29"/>
      <c r="N11172" s="29" t="s">
        <v>2557</v>
      </c>
      <c r="O11172" s="29"/>
      <c r="P11172" s="29" t="s">
        <v>2575</v>
      </c>
      <c r="Q11172" t="s">
        <v>2041</v>
      </c>
      <c r="R11172" t="s">
        <v>2632</v>
      </c>
      <c r="S11172">
        <v>31</v>
      </c>
      <c r="T11172" s="43" t="str">
        <f>HYPERLINK("https://ictv.global/ictv/proposals/2016.021a-kP.A.v2.Tolecusatellitidae.pdf","2016.021a-kP.A.v2.Tolecusatellitidae.pdf")</f>
        <v>2016.021a-kP.A.v2.Tolecusatellitidae.pdf</v>
      </c>
      <c r="U11172" s="43" t="str">
        <f>HYPERLINK("https://ictv.global/taxonomy/taxondetails?taxnode_id=202205137","ictv.global=202205137")</f>
        <v>ictv.global=202205137</v>
      </c>
    </row>
    <row r="11173" spans="1:21">
      <c r="A11173">
        <v>11172</v>
      </c>
      <c r="B11173" s="29"/>
      <c r="C11173" s="29"/>
      <c r="D11173" s="29"/>
      <c r="E11173" s="29"/>
      <c r="F11173" s="29"/>
      <c r="G11173" s="29"/>
      <c r="H11173" s="29"/>
      <c r="I11173" s="29"/>
      <c r="J11173" s="29"/>
      <c r="K11173" s="29"/>
      <c r="L11173" s="29" t="s">
        <v>2556</v>
      </c>
      <c r="M11173" s="29"/>
      <c r="N11173" s="29" t="s">
        <v>2557</v>
      </c>
      <c r="O11173" s="29"/>
      <c r="P11173" s="29" t="s">
        <v>2576</v>
      </c>
      <c r="Q11173" t="s">
        <v>2041</v>
      </c>
      <c r="R11173" t="s">
        <v>2632</v>
      </c>
      <c r="S11173">
        <v>31</v>
      </c>
      <c r="T11173" s="43" t="str">
        <f>HYPERLINK("https://ictv.global/ictv/proposals/2016.021a-kP.A.v2.Tolecusatellitidae.pdf","2016.021a-kP.A.v2.Tolecusatellitidae.pdf")</f>
        <v>2016.021a-kP.A.v2.Tolecusatellitidae.pdf</v>
      </c>
      <c r="U11173" s="43" t="str">
        <f>HYPERLINK("https://ictv.global/taxonomy/taxondetails?taxnode_id=202205138","ictv.global=202205138")</f>
        <v>ictv.global=202205138</v>
      </c>
    </row>
    <row r="11174" spans="1:21">
      <c r="A11174">
        <v>11173</v>
      </c>
      <c r="B11174" s="29"/>
      <c r="C11174" s="29"/>
      <c r="D11174" s="29"/>
      <c r="E11174" s="29"/>
      <c r="F11174" s="29"/>
      <c r="G11174" s="29"/>
      <c r="H11174" s="29"/>
      <c r="I11174" s="29"/>
      <c r="J11174" s="29"/>
      <c r="K11174" s="29"/>
      <c r="L11174" s="29" t="s">
        <v>2556</v>
      </c>
      <c r="M11174" s="29"/>
      <c r="N11174" s="29" t="s">
        <v>2557</v>
      </c>
      <c r="O11174" s="29"/>
      <c r="P11174" s="29" t="s">
        <v>6850</v>
      </c>
      <c r="Q11174" t="s">
        <v>2265</v>
      </c>
      <c r="R11174" t="s">
        <v>2632</v>
      </c>
      <c r="S11174">
        <v>36</v>
      </c>
      <c r="T11174" s="43" t="str">
        <f>HYPERLINK("https://ictv.global/ictv/proposals/2020.009P.R.Betasatellite_61nsp.zip","2020.009P.R.Betasatellite_61nsp.zip")</f>
        <v>2020.009P.R.Betasatellite_61nsp.zip</v>
      </c>
      <c r="U11174" s="43" t="str">
        <f>HYPERLINK("https://ictv.global/taxonomy/taxondetails?taxnode_id=202209200","ictv.global=202209200")</f>
        <v>ictv.global=202209200</v>
      </c>
    </row>
    <row r="11175" spans="1:21">
      <c r="A11175">
        <v>11174</v>
      </c>
      <c r="B11175" s="29"/>
      <c r="C11175" s="29"/>
      <c r="D11175" s="29"/>
      <c r="E11175" s="29"/>
      <c r="F11175" s="29"/>
      <c r="G11175" s="29"/>
      <c r="H11175" s="29"/>
      <c r="I11175" s="29"/>
      <c r="J11175" s="29"/>
      <c r="K11175" s="29"/>
      <c r="L11175" s="29" t="s">
        <v>2556</v>
      </c>
      <c r="M11175" s="29"/>
      <c r="N11175" s="29" t="s">
        <v>2557</v>
      </c>
      <c r="O11175" s="29"/>
      <c r="P11175" s="29" t="s">
        <v>2577</v>
      </c>
      <c r="Q11175" t="s">
        <v>2041</v>
      </c>
      <c r="R11175" t="s">
        <v>2632</v>
      </c>
      <c r="S11175">
        <v>31</v>
      </c>
      <c r="T11175" s="43" t="str">
        <f>HYPERLINK("https://ictv.global/ictv/proposals/2016.021a-kP.A.v2.Tolecusatellitidae.pdf","2016.021a-kP.A.v2.Tolecusatellitidae.pdf")</f>
        <v>2016.021a-kP.A.v2.Tolecusatellitidae.pdf</v>
      </c>
      <c r="U11175" s="43" t="str">
        <f>HYPERLINK("https://ictv.global/taxonomy/taxondetails?taxnode_id=202205139","ictv.global=202205139")</f>
        <v>ictv.global=202205139</v>
      </c>
    </row>
    <row r="11176" spans="1:21">
      <c r="A11176">
        <v>11175</v>
      </c>
      <c r="B11176" s="29"/>
      <c r="C11176" s="29"/>
      <c r="D11176" s="29"/>
      <c r="E11176" s="29"/>
      <c r="F11176" s="29"/>
      <c r="G11176" s="29"/>
      <c r="H11176" s="29"/>
      <c r="I11176" s="29"/>
      <c r="J11176" s="29"/>
      <c r="K11176" s="29"/>
      <c r="L11176" s="29" t="s">
        <v>2556</v>
      </c>
      <c r="M11176" s="29"/>
      <c r="N11176" s="29" t="s">
        <v>2557</v>
      </c>
      <c r="O11176" s="29"/>
      <c r="P11176" s="29" t="s">
        <v>2578</v>
      </c>
      <c r="Q11176" t="s">
        <v>2041</v>
      </c>
      <c r="R11176" t="s">
        <v>2632</v>
      </c>
      <c r="S11176">
        <v>31</v>
      </c>
      <c r="T11176" s="43" t="str">
        <f>HYPERLINK("https://ictv.global/ictv/proposals/2016.021a-kP.A.v2.Tolecusatellitidae.pdf","2016.021a-kP.A.v2.Tolecusatellitidae.pdf")</f>
        <v>2016.021a-kP.A.v2.Tolecusatellitidae.pdf</v>
      </c>
      <c r="U11176" s="43" t="str">
        <f>HYPERLINK("https://ictv.global/taxonomy/taxondetails?taxnode_id=202205140","ictv.global=202205140")</f>
        <v>ictv.global=202205140</v>
      </c>
    </row>
    <row r="11177" spans="1:21">
      <c r="A11177">
        <v>11176</v>
      </c>
      <c r="B11177" s="29"/>
      <c r="C11177" s="29"/>
      <c r="D11177" s="29"/>
      <c r="E11177" s="29"/>
      <c r="F11177" s="29"/>
      <c r="G11177" s="29"/>
      <c r="H11177" s="29"/>
      <c r="I11177" s="29"/>
      <c r="J11177" s="29"/>
      <c r="K11177" s="29"/>
      <c r="L11177" s="29" t="s">
        <v>2556</v>
      </c>
      <c r="M11177" s="29"/>
      <c r="N11177" s="29" t="s">
        <v>2557</v>
      </c>
      <c r="O11177" s="29"/>
      <c r="P11177" s="29" t="s">
        <v>6851</v>
      </c>
      <c r="Q11177" t="s">
        <v>2265</v>
      </c>
      <c r="R11177" t="s">
        <v>2632</v>
      </c>
      <c r="S11177">
        <v>36</v>
      </c>
      <c r="T11177" s="43" t="str">
        <f t="shared" ref="T11177:T11185" si="481">HYPERLINK("https://ictv.global/ictv/proposals/2020.009P.R.Betasatellite_61nsp.zip","2020.009P.R.Betasatellite_61nsp.zip")</f>
        <v>2020.009P.R.Betasatellite_61nsp.zip</v>
      </c>
      <c r="U11177" s="43" t="str">
        <f>HYPERLINK("https://ictv.global/taxonomy/taxondetails?taxnode_id=202209201","ictv.global=202209201")</f>
        <v>ictv.global=202209201</v>
      </c>
    </row>
    <row r="11178" spans="1:21">
      <c r="A11178">
        <v>11177</v>
      </c>
      <c r="B11178" s="29"/>
      <c r="C11178" s="29"/>
      <c r="D11178" s="29"/>
      <c r="E11178" s="29"/>
      <c r="F11178" s="29"/>
      <c r="G11178" s="29"/>
      <c r="H11178" s="29"/>
      <c r="I11178" s="29"/>
      <c r="J11178" s="29"/>
      <c r="K11178" s="29"/>
      <c r="L11178" s="29" t="s">
        <v>2556</v>
      </c>
      <c r="M11178" s="29"/>
      <c r="N11178" s="29" t="s">
        <v>2557</v>
      </c>
      <c r="O11178" s="29"/>
      <c r="P11178" s="29" t="s">
        <v>6852</v>
      </c>
      <c r="Q11178" t="s">
        <v>2265</v>
      </c>
      <c r="R11178" t="s">
        <v>2632</v>
      </c>
      <c r="S11178">
        <v>36</v>
      </c>
      <c r="T11178" s="43" t="str">
        <f t="shared" si="481"/>
        <v>2020.009P.R.Betasatellite_61nsp.zip</v>
      </c>
      <c r="U11178" s="43" t="str">
        <f>HYPERLINK("https://ictv.global/taxonomy/taxondetails?taxnode_id=202209202","ictv.global=202209202")</f>
        <v>ictv.global=202209202</v>
      </c>
    </row>
    <row r="11179" spans="1:21">
      <c r="A11179">
        <v>11178</v>
      </c>
      <c r="B11179" s="29"/>
      <c r="C11179" s="29"/>
      <c r="D11179" s="29"/>
      <c r="E11179" s="29"/>
      <c r="F11179" s="29"/>
      <c r="G11179" s="29"/>
      <c r="H11179" s="29"/>
      <c r="I11179" s="29"/>
      <c r="J11179" s="29"/>
      <c r="K11179" s="29"/>
      <c r="L11179" s="29" t="s">
        <v>2556</v>
      </c>
      <c r="M11179" s="29"/>
      <c r="N11179" s="29" t="s">
        <v>2557</v>
      </c>
      <c r="O11179" s="29"/>
      <c r="P11179" s="29" t="s">
        <v>6853</v>
      </c>
      <c r="Q11179" t="s">
        <v>2265</v>
      </c>
      <c r="R11179" t="s">
        <v>2632</v>
      </c>
      <c r="S11179">
        <v>36</v>
      </c>
      <c r="T11179" s="43" t="str">
        <f t="shared" si="481"/>
        <v>2020.009P.R.Betasatellite_61nsp.zip</v>
      </c>
      <c r="U11179" s="43" t="str">
        <f>HYPERLINK("https://ictv.global/taxonomy/taxondetails?taxnode_id=202209203","ictv.global=202209203")</f>
        <v>ictv.global=202209203</v>
      </c>
    </row>
    <row r="11180" spans="1:21">
      <c r="A11180">
        <v>11179</v>
      </c>
      <c r="B11180" s="29"/>
      <c r="C11180" s="29"/>
      <c r="D11180" s="29"/>
      <c r="E11180" s="29"/>
      <c r="F11180" s="29"/>
      <c r="G11180" s="29"/>
      <c r="H11180" s="29"/>
      <c r="I11180" s="29"/>
      <c r="J11180" s="29"/>
      <c r="K11180" s="29"/>
      <c r="L11180" s="29" t="s">
        <v>2556</v>
      </c>
      <c r="M11180" s="29"/>
      <c r="N11180" s="29" t="s">
        <v>2557</v>
      </c>
      <c r="O11180" s="29"/>
      <c r="P11180" s="29" t="s">
        <v>6854</v>
      </c>
      <c r="Q11180" t="s">
        <v>2265</v>
      </c>
      <c r="R11180" t="s">
        <v>2632</v>
      </c>
      <c r="S11180">
        <v>36</v>
      </c>
      <c r="T11180" s="43" t="str">
        <f t="shared" si="481"/>
        <v>2020.009P.R.Betasatellite_61nsp.zip</v>
      </c>
      <c r="U11180" s="43" t="str">
        <f>HYPERLINK("https://ictv.global/taxonomy/taxondetails?taxnode_id=202209204","ictv.global=202209204")</f>
        <v>ictv.global=202209204</v>
      </c>
    </row>
    <row r="11181" spans="1:21">
      <c r="A11181">
        <v>11180</v>
      </c>
      <c r="B11181" s="29"/>
      <c r="C11181" s="29"/>
      <c r="D11181" s="29"/>
      <c r="E11181" s="29"/>
      <c r="F11181" s="29"/>
      <c r="G11181" s="29"/>
      <c r="H11181" s="29"/>
      <c r="I11181" s="29"/>
      <c r="J11181" s="29"/>
      <c r="K11181" s="29"/>
      <c r="L11181" s="29" t="s">
        <v>2556</v>
      </c>
      <c r="M11181" s="29"/>
      <c r="N11181" s="29" t="s">
        <v>2557</v>
      </c>
      <c r="O11181" s="29"/>
      <c r="P11181" s="29" t="s">
        <v>6855</v>
      </c>
      <c r="Q11181" t="s">
        <v>2265</v>
      </c>
      <c r="R11181" t="s">
        <v>2632</v>
      </c>
      <c r="S11181">
        <v>36</v>
      </c>
      <c r="T11181" s="43" t="str">
        <f t="shared" si="481"/>
        <v>2020.009P.R.Betasatellite_61nsp.zip</v>
      </c>
      <c r="U11181" s="43" t="str">
        <f>HYPERLINK("https://ictv.global/taxonomy/taxondetails?taxnode_id=202209205","ictv.global=202209205")</f>
        <v>ictv.global=202209205</v>
      </c>
    </row>
    <row r="11182" spans="1:21">
      <c r="A11182">
        <v>11181</v>
      </c>
      <c r="B11182" s="29"/>
      <c r="C11182" s="29"/>
      <c r="D11182" s="29"/>
      <c r="E11182" s="29"/>
      <c r="F11182" s="29"/>
      <c r="G11182" s="29"/>
      <c r="H11182" s="29"/>
      <c r="I11182" s="29"/>
      <c r="J11182" s="29"/>
      <c r="K11182" s="29"/>
      <c r="L11182" s="29" t="s">
        <v>2556</v>
      </c>
      <c r="M11182" s="29"/>
      <c r="N11182" s="29" t="s">
        <v>2557</v>
      </c>
      <c r="O11182" s="29"/>
      <c r="P11182" s="29" t="s">
        <v>6856</v>
      </c>
      <c r="Q11182" t="s">
        <v>2265</v>
      </c>
      <c r="R11182" t="s">
        <v>2632</v>
      </c>
      <c r="S11182">
        <v>36</v>
      </c>
      <c r="T11182" s="43" t="str">
        <f t="shared" si="481"/>
        <v>2020.009P.R.Betasatellite_61nsp.zip</v>
      </c>
      <c r="U11182" s="43" t="str">
        <f>HYPERLINK("https://ictv.global/taxonomy/taxondetails?taxnode_id=202209206","ictv.global=202209206")</f>
        <v>ictv.global=202209206</v>
      </c>
    </row>
    <row r="11183" spans="1:21">
      <c r="A11183">
        <v>11182</v>
      </c>
      <c r="B11183" s="29"/>
      <c r="C11183" s="29"/>
      <c r="D11183" s="29"/>
      <c r="E11183" s="29"/>
      <c r="F11183" s="29"/>
      <c r="G11183" s="29"/>
      <c r="H11183" s="29"/>
      <c r="I11183" s="29"/>
      <c r="J11183" s="29"/>
      <c r="K11183" s="29"/>
      <c r="L11183" s="29" t="s">
        <v>2556</v>
      </c>
      <c r="M11183" s="29"/>
      <c r="N11183" s="29" t="s">
        <v>2557</v>
      </c>
      <c r="O11183" s="29"/>
      <c r="P11183" s="29" t="s">
        <v>6857</v>
      </c>
      <c r="Q11183" t="s">
        <v>2265</v>
      </c>
      <c r="R11183" t="s">
        <v>2632</v>
      </c>
      <c r="S11183">
        <v>36</v>
      </c>
      <c r="T11183" s="43" t="str">
        <f t="shared" si="481"/>
        <v>2020.009P.R.Betasatellite_61nsp.zip</v>
      </c>
      <c r="U11183" s="43" t="str">
        <f>HYPERLINK("https://ictv.global/taxonomy/taxondetails?taxnode_id=202209207","ictv.global=202209207")</f>
        <v>ictv.global=202209207</v>
      </c>
    </row>
    <row r="11184" spans="1:21">
      <c r="A11184">
        <v>11183</v>
      </c>
      <c r="B11184" s="29"/>
      <c r="C11184" s="29"/>
      <c r="D11184" s="29"/>
      <c r="E11184" s="29"/>
      <c r="F11184" s="29"/>
      <c r="G11184" s="29"/>
      <c r="H11184" s="29"/>
      <c r="I11184" s="29"/>
      <c r="J11184" s="29"/>
      <c r="K11184" s="29"/>
      <c r="L11184" s="29" t="s">
        <v>2556</v>
      </c>
      <c r="M11184" s="29"/>
      <c r="N11184" s="29" t="s">
        <v>2557</v>
      </c>
      <c r="O11184" s="29"/>
      <c r="P11184" s="29" t="s">
        <v>6858</v>
      </c>
      <c r="Q11184" t="s">
        <v>2265</v>
      </c>
      <c r="R11184" t="s">
        <v>2632</v>
      </c>
      <c r="S11184">
        <v>36</v>
      </c>
      <c r="T11184" s="43" t="str">
        <f t="shared" si="481"/>
        <v>2020.009P.R.Betasatellite_61nsp.zip</v>
      </c>
      <c r="U11184" s="43" t="str">
        <f>HYPERLINK("https://ictv.global/taxonomy/taxondetails?taxnode_id=202209208","ictv.global=202209208")</f>
        <v>ictv.global=202209208</v>
      </c>
    </row>
    <row r="11185" spans="1:21">
      <c r="A11185">
        <v>11184</v>
      </c>
      <c r="B11185" s="29"/>
      <c r="C11185" s="29"/>
      <c r="D11185" s="29"/>
      <c r="E11185" s="29"/>
      <c r="F11185" s="29"/>
      <c r="G11185" s="29"/>
      <c r="H11185" s="29"/>
      <c r="I11185" s="29"/>
      <c r="J11185" s="29"/>
      <c r="K11185" s="29"/>
      <c r="L11185" s="29" t="s">
        <v>2556</v>
      </c>
      <c r="M11185" s="29"/>
      <c r="N11185" s="29" t="s">
        <v>2557</v>
      </c>
      <c r="O11185" s="29"/>
      <c r="P11185" s="29" t="s">
        <v>6859</v>
      </c>
      <c r="Q11185" t="s">
        <v>2265</v>
      </c>
      <c r="R11185" t="s">
        <v>2632</v>
      </c>
      <c r="S11185">
        <v>36</v>
      </c>
      <c r="T11185" s="43" t="str">
        <f t="shared" si="481"/>
        <v>2020.009P.R.Betasatellite_61nsp.zip</v>
      </c>
      <c r="U11185" s="43" t="str">
        <f>HYPERLINK("https://ictv.global/taxonomy/taxondetails?taxnode_id=202209209","ictv.global=202209209")</f>
        <v>ictv.global=202209209</v>
      </c>
    </row>
    <row r="11186" spans="1:21">
      <c r="A11186">
        <v>11185</v>
      </c>
      <c r="B11186" s="29"/>
      <c r="C11186" s="29"/>
      <c r="D11186" s="29"/>
      <c r="E11186" s="29"/>
      <c r="F11186" s="29"/>
      <c r="G11186" s="29"/>
      <c r="H11186" s="29"/>
      <c r="I11186" s="29"/>
      <c r="J11186" s="29"/>
      <c r="K11186" s="29"/>
      <c r="L11186" s="29" t="s">
        <v>2556</v>
      </c>
      <c r="M11186" s="29"/>
      <c r="N11186" s="29" t="s">
        <v>2557</v>
      </c>
      <c r="O11186" s="29"/>
      <c r="P11186" s="29" t="s">
        <v>2579</v>
      </c>
      <c r="Q11186" t="s">
        <v>2041</v>
      </c>
      <c r="R11186" t="s">
        <v>2632</v>
      </c>
      <c r="S11186">
        <v>31</v>
      </c>
      <c r="T11186" s="43" t="str">
        <f>HYPERLINK("https://ictv.global/ictv/proposals/2016.021a-kP.A.v2.Tolecusatellitidae.pdf","2016.021a-kP.A.v2.Tolecusatellitidae.pdf")</f>
        <v>2016.021a-kP.A.v2.Tolecusatellitidae.pdf</v>
      </c>
      <c r="U11186" s="43" t="str">
        <f>HYPERLINK("https://ictv.global/taxonomy/taxondetails?taxnode_id=202205141","ictv.global=202205141")</f>
        <v>ictv.global=202205141</v>
      </c>
    </row>
    <row r="11187" spans="1:21">
      <c r="A11187">
        <v>11186</v>
      </c>
      <c r="B11187" s="29"/>
      <c r="C11187" s="29"/>
      <c r="D11187" s="29"/>
      <c r="E11187" s="29"/>
      <c r="F11187" s="29"/>
      <c r="G11187" s="29"/>
      <c r="H11187" s="29"/>
      <c r="I11187" s="29"/>
      <c r="J11187" s="29"/>
      <c r="K11187" s="29"/>
      <c r="L11187" s="29" t="s">
        <v>2556</v>
      </c>
      <c r="M11187" s="29"/>
      <c r="N11187" s="29" t="s">
        <v>2557</v>
      </c>
      <c r="O11187" s="29"/>
      <c r="P11187" s="29" t="s">
        <v>6860</v>
      </c>
      <c r="Q11187" t="s">
        <v>2265</v>
      </c>
      <c r="R11187" t="s">
        <v>2632</v>
      </c>
      <c r="S11187">
        <v>36</v>
      </c>
      <c r="T11187" s="43" t="str">
        <f>HYPERLINK("https://ictv.global/ictv/proposals/2020.009P.R.Betasatellite_61nsp.zip","2020.009P.R.Betasatellite_61nsp.zip")</f>
        <v>2020.009P.R.Betasatellite_61nsp.zip</v>
      </c>
      <c r="U11187" s="43" t="str">
        <f>HYPERLINK("https://ictv.global/taxonomy/taxondetails?taxnode_id=202209210","ictv.global=202209210")</f>
        <v>ictv.global=202209210</v>
      </c>
    </row>
    <row r="11188" spans="1:21">
      <c r="A11188">
        <v>11187</v>
      </c>
      <c r="B11188" s="29"/>
      <c r="C11188" s="29"/>
      <c r="D11188" s="29"/>
      <c r="E11188" s="29"/>
      <c r="F11188" s="29"/>
      <c r="G11188" s="29"/>
      <c r="H11188" s="29"/>
      <c r="I11188" s="29"/>
      <c r="J11188" s="29"/>
      <c r="K11188" s="29"/>
      <c r="L11188" s="29" t="s">
        <v>2556</v>
      </c>
      <c r="M11188" s="29"/>
      <c r="N11188" s="29" t="s">
        <v>2557</v>
      </c>
      <c r="O11188" s="29"/>
      <c r="P11188" s="29" t="s">
        <v>6861</v>
      </c>
      <c r="Q11188" t="s">
        <v>2265</v>
      </c>
      <c r="R11188" t="s">
        <v>2632</v>
      </c>
      <c r="S11188">
        <v>36</v>
      </c>
      <c r="T11188" s="43" t="str">
        <f>HYPERLINK("https://ictv.global/ictv/proposals/2020.009P.R.Betasatellite_61nsp.zip","2020.009P.R.Betasatellite_61nsp.zip")</f>
        <v>2020.009P.R.Betasatellite_61nsp.zip</v>
      </c>
      <c r="U11188" s="43" t="str">
        <f>HYPERLINK("https://ictv.global/taxonomy/taxondetails?taxnode_id=202209211","ictv.global=202209211")</f>
        <v>ictv.global=202209211</v>
      </c>
    </row>
    <row r="11189" spans="1:21">
      <c r="A11189">
        <v>11188</v>
      </c>
      <c r="B11189" s="29"/>
      <c r="C11189" s="29"/>
      <c r="D11189" s="29"/>
      <c r="E11189" s="29"/>
      <c r="F11189" s="29"/>
      <c r="G11189" s="29"/>
      <c r="H11189" s="29"/>
      <c r="I11189" s="29"/>
      <c r="J11189" s="29"/>
      <c r="K11189" s="29"/>
      <c r="L11189" s="29" t="s">
        <v>2556</v>
      </c>
      <c r="M11189" s="29"/>
      <c r="N11189" s="29" t="s">
        <v>2557</v>
      </c>
      <c r="O11189" s="29"/>
      <c r="P11189" s="29" t="s">
        <v>6862</v>
      </c>
      <c r="Q11189" t="s">
        <v>2265</v>
      </c>
      <c r="R11189" t="s">
        <v>2632</v>
      </c>
      <c r="S11189">
        <v>36</v>
      </c>
      <c r="T11189" s="43" t="str">
        <f>HYPERLINK("https://ictv.global/ictv/proposals/2020.009P.R.Betasatellite_61nsp.zip","2020.009P.R.Betasatellite_61nsp.zip")</f>
        <v>2020.009P.R.Betasatellite_61nsp.zip</v>
      </c>
      <c r="U11189" s="43" t="str">
        <f>HYPERLINK("https://ictv.global/taxonomy/taxondetails?taxnode_id=202209212","ictv.global=202209212")</f>
        <v>ictv.global=202209212</v>
      </c>
    </row>
    <row r="11190" spans="1:21">
      <c r="A11190">
        <v>11189</v>
      </c>
      <c r="B11190" s="29"/>
      <c r="C11190" s="29"/>
      <c r="D11190" s="29"/>
      <c r="E11190" s="29"/>
      <c r="F11190" s="29"/>
      <c r="G11190" s="29"/>
      <c r="H11190" s="29"/>
      <c r="I11190" s="29"/>
      <c r="J11190" s="29"/>
      <c r="K11190" s="29"/>
      <c r="L11190" s="29" t="s">
        <v>2556</v>
      </c>
      <c r="M11190" s="29"/>
      <c r="N11190" s="29" t="s">
        <v>2557</v>
      </c>
      <c r="O11190" s="29"/>
      <c r="P11190" s="29" t="s">
        <v>6863</v>
      </c>
      <c r="Q11190" t="s">
        <v>2265</v>
      </c>
      <c r="R11190" t="s">
        <v>2632</v>
      </c>
      <c r="S11190">
        <v>36</v>
      </c>
      <c r="T11190" s="43" t="str">
        <f>HYPERLINK("https://ictv.global/ictv/proposals/2020.009P.R.Betasatellite_61nsp.zip","2020.009P.R.Betasatellite_61nsp.zip")</f>
        <v>2020.009P.R.Betasatellite_61nsp.zip</v>
      </c>
      <c r="U11190" s="43" t="str">
        <f>HYPERLINK("https://ictv.global/taxonomy/taxondetails?taxnode_id=202209213","ictv.global=202209213")</f>
        <v>ictv.global=202209213</v>
      </c>
    </row>
    <row r="11191" spans="1:21">
      <c r="A11191">
        <v>11190</v>
      </c>
      <c r="B11191" s="29"/>
      <c r="C11191" s="29"/>
      <c r="D11191" s="29"/>
      <c r="E11191" s="29"/>
      <c r="F11191" s="29"/>
      <c r="G11191" s="29"/>
      <c r="H11191" s="29"/>
      <c r="I11191" s="29"/>
      <c r="J11191" s="29"/>
      <c r="K11191" s="29"/>
      <c r="L11191" s="29" t="s">
        <v>2556</v>
      </c>
      <c r="M11191" s="29"/>
      <c r="N11191" s="29" t="s">
        <v>2557</v>
      </c>
      <c r="O11191" s="29"/>
      <c r="P11191" s="29" t="s">
        <v>2580</v>
      </c>
      <c r="Q11191" t="s">
        <v>2041</v>
      </c>
      <c r="R11191" t="s">
        <v>2632</v>
      </c>
      <c r="S11191">
        <v>31</v>
      </c>
      <c r="T11191" s="43" t="str">
        <f>HYPERLINK("https://ictv.global/ictv/proposals/2016.021a-kP.A.v2.Tolecusatellitidae.pdf","2016.021a-kP.A.v2.Tolecusatellitidae.pdf")</f>
        <v>2016.021a-kP.A.v2.Tolecusatellitidae.pdf</v>
      </c>
      <c r="U11191" s="43" t="str">
        <f>HYPERLINK("https://ictv.global/taxonomy/taxondetails?taxnode_id=202205143","ictv.global=202205143")</f>
        <v>ictv.global=202205143</v>
      </c>
    </row>
    <row r="11192" spans="1:21">
      <c r="A11192">
        <v>11191</v>
      </c>
      <c r="B11192" s="29"/>
      <c r="C11192" s="29"/>
      <c r="D11192" s="29"/>
      <c r="E11192" s="29"/>
      <c r="F11192" s="29"/>
      <c r="G11192" s="29"/>
      <c r="H11192" s="29"/>
      <c r="I11192" s="29"/>
      <c r="J11192" s="29"/>
      <c r="K11192" s="29"/>
      <c r="L11192" s="29" t="s">
        <v>2556</v>
      </c>
      <c r="M11192" s="29"/>
      <c r="N11192" s="29" t="s">
        <v>2557</v>
      </c>
      <c r="O11192" s="29"/>
      <c r="P11192" s="29" t="s">
        <v>2581</v>
      </c>
      <c r="Q11192" t="s">
        <v>2041</v>
      </c>
      <c r="R11192" t="s">
        <v>2632</v>
      </c>
      <c r="S11192">
        <v>31</v>
      </c>
      <c r="T11192" s="43" t="str">
        <f>HYPERLINK("https://ictv.global/ictv/proposals/2016.021a-kP.A.v2.Tolecusatellitidae.pdf","2016.021a-kP.A.v2.Tolecusatellitidae.pdf")</f>
        <v>2016.021a-kP.A.v2.Tolecusatellitidae.pdf</v>
      </c>
      <c r="U11192" s="43" t="str">
        <f>HYPERLINK("https://ictv.global/taxonomy/taxondetails?taxnode_id=202205144","ictv.global=202205144")</f>
        <v>ictv.global=202205144</v>
      </c>
    </row>
    <row r="11193" spans="1:21">
      <c r="A11193">
        <v>11192</v>
      </c>
      <c r="B11193" s="29"/>
      <c r="C11193" s="29"/>
      <c r="D11193" s="29"/>
      <c r="E11193" s="29"/>
      <c r="F11193" s="29"/>
      <c r="G11193" s="29"/>
      <c r="H11193" s="29"/>
      <c r="I11193" s="29"/>
      <c r="J11193" s="29"/>
      <c r="K11193" s="29"/>
      <c r="L11193" s="29" t="s">
        <v>2556</v>
      </c>
      <c r="M11193" s="29"/>
      <c r="N11193" s="29" t="s">
        <v>2557</v>
      </c>
      <c r="O11193" s="29"/>
      <c r="P11193" s="29" t="s">
        <v>2582</v>
      </c>
      <c r="Q11193" t="s">
        <v>2041</v>
      </c>
      <c r="R11193" t="s">
        <v>2632</v>
      </c>
      <c r="S11193">
        <v>31</v>
      </c>
      <c r="T11193" s="43" t="str">
        <f>HYPERLINK("https://ictv.global/ictv/proposals/2016.021a-kP.A.v2.Tolecusatellitidae.pdf","2016.021a-kP.A.v2.Tolecusatellitidae.pdf")</f>
        <v>2016.021a-kP.A.v2.Tolecusatellitidae.pdf</v>
      </c>
      <c r="U11193" s="43" t="str">
        <f>HYPERLINK("https://ictv.global/taxonomy/taxondetails?taxnode_id=202205145","ictv.global=202205145")</f>
        <v>ictv.global=202205145</v>
      </c>
    </row>
    <row r="11194" spans="1:21">
      <c r="A11194">
        <v>11193</v>
      </c>
      <c r="B11194" s="29"/>
      <c r="C11194" s="29"/>
      <c r="D11194" s="29"/>
      <c r="E11194" s="29"/>
      <c r="F11194" s="29"/>
      <c r="G11194" s="29"/>
      <c r="H11194" s="29"/>
      <c r="I11194" s="29"/>
      <c r="J11194" s="29"/>
      <c r="K11194" s="29"/>
      <c r="L11194" s="29" t="s">
        <v>2556</v>
      </c>
      <c r="M11194" s="29"/>
      <c r="N11194" s="29" t="s">
        <v>2557</v>
      </c>
      <c r="O11194" s="29"/>
      <c r="P11194" s="29" t="s">
        <v>6864</v>
      </c>
      <c r="Q11194" t="s">
        <v>2265</v>
      </c>
      <c r="R11194" t="s">
        <v>2632</v>
      </c>
      <c r="S11194">
        <v>36</v>
      </c>
      <c r="T11194" s="43" t="str">
        <f>HYPERLINK("https://ictv.global/ictv/proposals/2020.009P.R.Betasatellite_61nsp.zip","2020.009P.R.Betasatellite_61nsp.zip")</f>
        <v>2020.009P.R.Betasatellite_61nsp.zip</v>
      </c>
      <c r="U11194" s="43" t="str">
        <f>HYPERLINK("https://ictv.global/taxonomy/taxondetails?taxnode_id=202209214","ictv.global=202209214")</f>
        <v>ictv.global=202209214</v>
      </c>
    </row>
    <row r="11195" spans="1:21">
      <c r="A11195">
        <v>11194</v>
      </c>
      <c r="B11195" s="29"/>
      <c r="C11195" s="29"/>
      <c r="D11195" s="29"/>
      <c r="E11195" s="29"/>
      <c r="F11195" s="29"/>
      <c r="G11195" s="29"/>
      <c r="H11195" s="29"/>
      <c r="I11195" s="29"/>
      <c r="J11195" s="29"/>
      <c r="K11195" s="29"/>
      <c r="L11195" s="29" t="s">
        <v>2556</v>
      </c>
      <c r="M11195" s="29"/>
      <c r="N11195" s="29" t="s">
        <v>2557</v>
      </c>
      <c r="O11195" s="29"/>
      <c r="P11195" s="29" t="s">
        <v>2583</v>
      </c>
      <c r="Q11195" t="s">
        <v>2041</v>
      </c>
      <c r="R11195" t="s">
        <v>2632</v>
      </c>
      <c r="S11195">
        <v>31</v>
      </c>
      <c r="T11195" s="43" t="str">
        <f>HYPERLINK("https://ictv.global/ictv/proposals/2016.021a-kP.A.v2.Tolecusatellitidae.pdf","2016.021a-kP.A.v2.Tolecusatellitidae.pdf")</f>
        <v>2016.021a-kP.A.v2.Tolecusatellitidae.pdf</v>
      </c>
      <c r="U11195" s="43" t="str">
        <f>HYPERLINK("https://ictv.global/taxonomy/taxondetails?taxnode_id=202205146","ictv.global=202205146")</f>
        <v>ictv.global=202205146</v>
      </c>
    </row>
    <row r="11196" spans="1:21">
      <c r="A11196">
        <v>11195</v>
      </c>
      <c r="B11196" s="29"/>
      <c r="C11196" s="29"/>
      <c r="D11196" s="29"/>
      <c r="E11196" s="29"/>
      <c r="F11196" s="29"/>
      <c r="G11196" s="29"/>
      <c r="H11196" s="29"/>
      <c r="I11196" s="29"/>
      <c r="J11196" s="29"/>
      <c r="K11196" s="29"/>
      <c r="L11196" s="29" t="s">
        <v>2556</v>
      </c>
      <c r="M11196" s="29"/>
      <c r="N11196" s="29" t="s">
        <v>2557</v>
      </c>
      <c r="O11196" s="29"/>
      <c r="P11196" s="29" t="s">
        <v>2584</v>
      </c>
      <c r="Q11196" t="s">
        <v>2041</v>
      </c>
      <c r="R11196" t="s">
        <v>2632</v>
      </c>
      <c r="S11196">
        <v>31</v>
      </c>
      <c r="T11196" s="43" t="str">
        <f>HYPERLINK("https://ictv.global/ictv/proposals/2016.021a-kP.A.v2.Tolecusatellitidae.pdf","2016.021a-kP.A.v2.Tolecusatellitidae.pdf")</f>
        <v>2016.021a-kP.A.v2.Tolecusatellitidae.pdf</v>
      </c>
      <c r="U11196" s="43" t="str">
        <f>HYPERLINK("https://ictv.global/taxonomy/taxondetails?taxnode_id=202205147","ictv.global=202205147")</f>
        <v>ictv.global=202205147</v>
      </c>
    </row>
    <row r="11197" spans="1:21">
      <c r="A11197">
        <v>11196</v>
      </c>
      <c r="B11197" s="29"/>
      <c r="C11197" s="29"/>
      <c r="D11197" s="29"/>
      <c r="E11197" s="29"/>
      <c r="F11197" s="29"/>
      <c r="G11197" s="29"/>
      <c r="H11197" s="29"/>
      <c r="I11197" s="29"/>
      <c r="J11197" s="29"/>
      <c r="K11197" s="29"/>
      <c r="L11197" s="29" t="s">
        <v>2556</v>
      </c>
      <c r="M11197" s="29"/>
      <c r="N11197" s="29" t="s">
        <v>2557</v>
      </c>
      <c r="O11197" s="29"/>
      <c r="P11197" s="29" t="s">
        <v>2585</v>
      </c>
      <c r="Q11197" t="s">
        <v>2041</v>
      </c>
      <c r="R11197" t="s">
        <v>2632</v>
      </c>
      <c r="S11197">
        <v>31</v>
      </c>
      <c r="T11197" s="43" t="str">
        <f>HYPERLINK("https://ictv.global/ictv/proposals/2016.021a-kP.A.v2.Tolecusatellitidae.pdf","2016.021a-kP.A.v2.Tolecusatellitidae.pdf")</f>
        <v>2016.021a-kP.A.v2.Tolecusatellitidae.pdf</v>
      </c>
      <c r="U11197" s="43" t="str">
        <f>HYPERLINK("https://ictv.global/taxonomy/taxondetails?taxnode_id=202205148","ictv.global=202205148")</f>
        <v>ictv.global=202205148</v>
      </c>
    </row>
    <row r="11198" spans="1:21">
      <c r="A11198">
        <v>11197</v>
      </c>
      <c r="B11198" s="29"/>
      <c r="C11198" s="29"/>
      <c r="D11198" s="29"/>
      <c r="E11198" s="29"/>
      <c r="F11198" s="29"/>
      <c r="G11198" s="29"/>
      <c r="H11198" s="29"/>
      <c r="I11198" s="29"/>
      <c r="J11198" s="29"/>
      <c r="K11198" s="29"/>
      <c r="L11198" s="29" t="s">
        <v>2556</v>
      </c>
      <c r="M11198" s="29"/>
      <c r="N11198" s="29" t="s">
        <v>2557</v>
      </c>
      <c r="O11198" s="29"/>
      <c r="P11198" s="29" t="s">
        <v>6865</v>
      </c>
      <c r="Q11198" t="s">
        <v>2265</v>
      </c>
      <c r="R11198" t="s">
        <v>2632</v>
      </c>
      <c r="S11198">
        <v>36</v>
      </c>
      <c r="T11198" s="43" t="str">
        <f>HYPERLINK("https://ictv.global/ictv/proposals/2020.009P.R.Betasatellite_61nsp.zip","2020.009P.R.Betasatellite_61nsp.zip")</f>
        <v>2020.009P.R.Betasatellite_61nsp.zip</v>
      </c>
      <c r="U11198" s="43" t="str">
        <f>HYPERLINK("https://ictv.global/taxonomy/taxondetails?taxnode_id=202209215","ictv.global=202209215")</f>
        <v>ictv.global=202209215</v>
      </c>
    </row>
    <row r="11199" spans="1:21">
      <c r="A11199">
        <v>11198</v>
      </c>
      <c r="B11199" s="29"/>
      <c r="C11199" s="29"/>
      <c r="D11199" s="29"/>
      <c r="E11199" s="29"/>
      <c r="F11199" s="29"/>
      <c r="G11199" s="29"/>
      <c r="H11199" s="29"/>
      <c r="I11199" s="29"/>
      <c r="J11199" s="29"/>
      <c r="K11199" s="29"/>
      <c r="L11199" s="29" t="s">
        <v>2556</v>
      </c>
      <c r="M11199" s="29"/>
      <c r="N11199" s="29" t="s">
        <v>2557</v>
      </c>
      <c r="O11199" s="29"/>
      <c r="P11199" s="29" t="s">
        <v>2586</v>
      </c>
      <c r="Q11199" t="s">
        <v>2041</v>
      </c>
      <c r="R11199" t="s">
        <v>2632</v>
      </c>
      <c r="S11199">
        <v>31</v>
      </c>
      <c r="T11199" s="43" t="str">
        <f>HYPERLINK("https://ictv.global/ictv/proposals/2016.021a-kP.A.v2.Tolecusatellitidae.pdf","2016.021a-kP.A.v2.Tolecusatellitidae.pdf")</f>
        <v>2016.021a-kP.A.v2.Tolecusatellitidae.pdf</v>
      </c>
      <c r="U11199" s="43" t="str">
        <f>HYPERLINK("https://ictv.global/taxonomy/taxondetails?taxnode_id=202205149","ictv.global=202205149")</f>
        <v>ictv.global=202205149</v>
      </c>
    </row>
    <row r="11200" spans="1:21">
      <c r="A11200">
        <v>11199</v>
      </c>
      <c r="B11200" s="29"/>
      <c r="C11200" s="29"/>
      <c r="D11200" s="29"/>
      <c r="E11200" s="29"/>
      <c r="F11200" s="29"/>
      <c r="G11200" s="29"/>
      <c r="H11200" s="29"/>
      <c r="I11200" s="29"/>
      <c r="J11200" s="29"/>
      <c r="K11200" s="29"/>
      <c r="L11200" s="29" t="s">
        <v>2556</v>
      </c>
      <c r="M11200" s="29"/>
      <c r="N11200" s="29" t="s">
        <v>2557</v>
      </c>
      <c r="O11200" s="29"/>
      <c r="P11200" s="29" t="s">
        <v>6866</v>
      </c>
      <c r="Q11200" t="s">
        <v>2265</v>
      </c>
      <c r="R11200" t="s">
        <v>2632</v>
      </c>
      <c r="S11200">
        <v>36</v>
      </c>
      <c r="T11200" s="43" t="str">
        <f>HYPERLINK("https://ictv.global/ictv/proposals/2020.009P.R.Betasatellite_61nsp.zip","2020.009P.R.Betasatellite_61nsp.zip")</f>
        <v>2020.009P.R.Betasatellite_61nsp.zip</v>
      </c>
      <c r="U11200" s="43" t="str">
        <f>HYPERLINK("https://ictv.global/taxonomy/taxondetails?taxnode_id=202209216","ictv.global=202209216")</f>
        <v>ictv.global=202209216</v>
      </c>
    </row>
    <row r="11201" spans="1:21">
      <c r="A11201">
        <v>11200</v>
      </c>
      <c r="B11201" s="29"/>
      <c r="C11201" s="29"/>
      <c r="D11201" s="29"/>
      <c r="E11201" s="29"/>
      <c r="F11201" s="29"/>
      <c r="G11201" s="29"/>
      <c r="H11201" s="29"/>
      <c r="I11201" s="29"/>
      <c r="J11201" s="29"/>
      <c r="K11201" s="29"/>
      <c r="L11201" s="29" t="s">
        <v>2556</v>
      </c>
      <c r="M11201" s="29"/>
      <c r="N11201" s="29" t="s">
        <v>2557</v>
      </c>
      <c r="O11201" s="29"/>
      <c r="P11201" s="29" t="s">
        <v>6867</v>
      </c>
      <c r="Q11201" t="s">
        <v>2265</v>
      </c>
      <c r="R11201" t="s">
        <v>2632</v>
      </c>
      <c r="S11201">
        <v>36</v>
      </c>
      <c r="T11201" s="43" t="str">
        <f>HYPERLINK("https://ictv.global/ictv/proposals/2020.009P.R.Betasatellite_61nsp.zip","2020.009P.R.Betasatellite_61nsp.zip")</f>
        <v>2020.009P.R.Betasatellite_61nsp.zip</v>
      </c>
      <c r="U11201" s="43" t="str">
        <f>HYPERLINK("https://ictv.global/taxonomy/taxondetails?taxnode_id=202209217","ictv.global=202209217")</f>
        <v>ictv.global=202209217</v>
      </c>
    </row>
    <row r="11202" spans="1:21">
      <c r="A11202">
        <v>11201</v>
      </c>
      <c r="B11202" s="29"/>
      <c r="C11202" s="29"/>
      <c r="D11202" s="29"/>
      <c r="E11202" s="29"/>
      <c r="F11202" s="29"/>
      <c r="G11202" s="29"/>
      <c r="H11202" s="29"/>
      <c r="I11202" s="29"/>
      <c r="J11202" s="29"/>
      <c r="K11202" s="29"/>
      <c r="L11202" s="29" t="s">
        <v>2556</v>
      </c>
      <c r="M11202" s="29"/>
      <c r="N11202" s="29" t="s">
        <v>2557</v>
      </c>
      <c r="O11202" s="29"/>
      <c r="P11202" s="29" t="s">
        <v>6868</v>
      </c>
      <c r="Q11202" t="s">
        <v>2265</v>
      </c>
      <c r="R11202" t="s">
        <v>2632</v>
      </c>
      <c r="S11202">
        <v>36</v>
      </c>
      <c r="T11202" s="43" t="str">
        <f>HYPERLINK("https://ictv.global/ictv/proposals/2020.009P.R.Betasatellite_61nsp.zip","2020.009P.R.Betasatellite_61nsp.zip")</f>
        <v>2020.009P.R.Betasatellite_61nsp.zip</v>
      </c>
      <c r="U11202" s="43" t="str">
        <f>HYPERLINK("https://ictv.global/taxonomy/taxondetails?taxnode_id=202209218","ictv.global=202209218")</f>
        <v>ictv.global=202209218</v>
      </c>
    </row>
    <row r="11203" spans="1:21">
      <c r="A11203">
        <v>11202</v>
      </c>
      <c r="B11203" s="29"/>
      <c r="C11203" s="29"/>
      <c r="D11203" s="29"/>
      <c r="E11203" s="29"/>
      <c r="F11203" s="29"/>
      <c r="G11203" s="29"/>
      <c r="H11203" s="29"/>
      <c r="I11203" s="29"/>
      <c r="J11203" s="29"/>
      <c r="K11203" s="29"/>
      <c r="L11203" s="29" t="s">
        <v>2556</v>
      </c>
      <c r="M11203" s="29"/>
      <c r="N11203" s="29" t="s">
        <v>2557</v>
      </c>
      <c r="O11203" s="29"/>
      <c r="P11203" s="29" t="s">
        <v>2587</v>
      </c>
      <c r="Q11203" t="s">
        <v>2041</v>
      </c>
      <c r="R11203" t="s">
        <v>2632</v>
      </c>
      <c r="S11203">
        <v>31</v>
      </c>
      <c r="T11203" s="43" t="str">
        <f>HYPERLINK("https://ictv.global/ictv/proposals/2016.021a-kP.A.v2.Tolecusatellitidae.pdf","2016.021a-kP.A.v2.Tolecusatellitidae.pdf")</f>
        <v>2016.021a-kP.A.v2.Tolecusatellitidae.pdf</v>
      </c>
      <c r="U11203" s="43" t="str">
        <f>HYPERLINK("https://ictv.global/taxonomy/taxondetails?taxnode_id=202205150","ictv.global=202205150")</f>
        <v>ictv.global=202205150</v>
      </c>
    </row>
    <row r="11204" spans="1:21">
      <c r="A11204">
        <v>11203</v>
      </c>
      <c r="B11204" s="29"/>
      <c r="C11204" s="29"/>
      <c r="D11204" s="29"/>
      <c r="E11204" s="29"/>
      <c r="F11204" s="29"/>
      <c r="G11204" s="29"/>
      <c r="H11204" s="29"/>
      <c r="I11204" s="29"/>
      <c r="J11204" s="29"/>
      <c r="K11204" s="29"/>
      <c r="L11204" s="29" t="s">
        <v>2556</v>
      </c>
      <c r="M11204" s="29"/>
      <c r="N11204" s="29" t="s">
        <v>2557</v>
      </c>
      <c r="O11204" s="29"/>
      <c r="P11204" s="29" t="s">
        <v>2588</v>
      </c>
      <c r="Q11204" t="s">
        <v>2041</v>
      </c>
      <c r="R11204" t="s">
        <v>2632</v>
      </c>
      <c r="S11204">
        <v>31</v>
      </c>
      <c r="T11204" s="43" t="str">
        <f>HYPERLINK("https://ictv.global/ictv/proposals/2016.021a-kP.A.v2.Tolecusatellitidae.pdf","2016.021a-kP.A.v2.Tolecusatellitidae.pdf")</f>
        <v>2016.021a-kP.A.v2.Tolecusatellitidae.pdf</v>
      </c>
      <c r="U11204" s="43" t="str">
        <f>HYPERLINK("https://ictv.global/taxonomy/taxondetails?taxnode_id=202205151","ictv.global=202205151")</f>
        <v>ictv.global=202205151</v>
      </c>
    </row>
    <row r="11205" spans="1:21">
      <c r="A11205">
        <v>11204</v>
      </c>
      <c r="B11205" s="29"/>
      <c r="C11205" s="29"/>
      <c r="D11205" s="29"/>
      <c r="E11205" s="29"/>
      <c r="F11205" s="29"/>
      <c r="G11205" s="29"/>
      <c r="H11205" s="29"/>
      <c r="I11205" s="29"/>
      <c r="J11205" s="29"/>
      <c r="K11205" s="29"/>
      <c r="L11205" s="29" t="s">
        <v>2556</v>
      </c>
      <c r="M11205" s="29"/>
      <c r="N11205" s="29" t="s">
        <v>2557</v>
      </c>
      <c r="O11205" s="29"/>
      <c r="P11205" s="29" t="s">
        <v>6869</v>
      </c>
      <c r="Q11205" t="s">
        <v>2265</v>
      </c>
      <c r="R11205" t="s">
        <v>2632</v>
      </c>
      <c r="S11205">
        <v>36</v>
      </c>
      <c r="T11205" s="43" t="str">
        <f t="shared" ref="T11205:T11210" si="482">HYPERLINK("https://ictv.global/ictv/proposals/2020.009P.R.Betasatellite_61nsp.zip","2020.009P.R.Betasatellite_61nsp.zip")</f>
        <v>2020.009P.R.Betasatellite_61nsp.zip</v>
      </c>
      <c r="U11205" s="43" t="str">
        <f>HYPERLINK("https://ictv.global/taxonomy/taxondetails?taxnode_id=202209219","ictv.global=202209219")</f>
        <v>ictv.global=202209219</v>
      </c>
    </row>
    <row r="11206" spans="1:21">
      <c r="A11206">
        <v>11205</v>
      </c>
      <c r="B11206" s="29"/>
      <c r="C11206" s="29"/>
      <c r="D11206" s="29"/>
      <c r="E11206" s="29"/>
      <c r="F11206" s="29"/>
      <c r="G11206" s="29"/>
      <c r="H11206" s="29"/>
      <c r="I11206" s="29"/>
      <c r="J11206" s="29"/>
      <c r="K11206" s="29"/>
      <c r="L11206" s="29" t="s">
        <v>2556</v>
      </c>
      <c r="M11206" s="29"/>
      <c r="N11206" s="29" t="s">
        <v>2557</v>
      </c>
      <c r="O11206" s="29"/>
      <c r="P11206" s="29" t="s">
        <v>6870</v>
      </c>
      <c r="Q11206" t="s">
        <v>2265</v>
      </c>
      <c r="R11206" t="s">
        <v>2632</v>
      </c>
      <c r="S11206">
        <v>36</v>
      </c>
      <c r="T11206" s="43" t="str">
        <f t="shared" si="482"/>
        <v>2020.009P.R.Betasatellite_61nsp.zip</v>
      </c>
      <c r="U11206" s="43" t="str">
        <f>HYPERLINK("https://ictv.global/taxonomy/taxondetails?taxnode_id=202209220","ictv.global=202209220")</f>
        <v>ictv.global=202209220</v>
      </c>
    </row>
    <row r="11207" spans="1:21">
      <c r="A11207">
        <v>11206</v>
      </c>
      <c r="B11207" s="29"/>
      <c r="C11207" s="29"/>
      <c r="D11207" s="29"/>
      <c r="E11207" s="29"/>
      <c r="F11207" s="29"/>
      <c r="G11207" s="29"/>
      <c r="H11207" s="29"/>
      <c r="I11207" s="29"/>
      <c r="J11207" s="29"/>
      <c r="K11207" s="29"/>
      <c r="L11207" s="29" t="s">
        <v>2556</v>
      </c>
      <c r="M11207" s="29"/>
      <c r="N11207" s="29" t="s">
        <v>2557</v>
      </c>
      <c r="O11207" s="29"/>
      <c r="P11207" s="29" t="s">
        <v>6871</v>
      </c>
      <c r="Q11207" t="s">
        <v>2265</v>
      </c>
      <c r="R11207" t="s">
        <v>2632</v>
      </c>
      <c r="S11207">
        <v>36</v>
      </c>
      <c r="T11207" s="43" t="str">
        <f t="shared" si="482"/>
        <v>2020.009P.R.Betasatellite_61nsp.zip</v>
      </c>
      <c r="U11207" s="43" t="str">
        <f>HYPERLINK("https://ictv.global/taxonomy/taxondetails?taxnode_id=202209221","ictv.global=202209221")</f>
        <v>ictv.global=202209221</v>
      </c>
    </row>
    <row r="11208" spans="1:21">
      <c r="A11208">
        <v>11207</v>
      </c>
      <c r="B11208" s="29"/>
      <c r="C11208" s="29"/>
      <c r="D11208" s="29"/>
      <c r="E11208" s="29"/>
      <c r="F11208" s="29"/>
      <c r="G11208" s="29"/>
      <c r="H11208" s="29"/>
      <c r="I11208" s="29"/>
      <c r="J11208" s="29"/>
      <c r="K11208" s="29"/>
      <c r="L11208" s="29" t="s">
        <v>2556</v>
      </c>
      <c r="M11208" s="29"/>
      <c r="N11208" s="29" t="s">
        <v>2557</v>
      </c>
      <c r="O11208" s="29"/>
      <c r="P11208" s="29" t="s">
        <v>6872</v>
      </c>
      <c r="Q11208" t="s">
        <v>2265</v>
      </c>
      <c r="R11208" t="s">
        <v>2632</v>
      </c>
      <c r="S11208">
        <v>36</v>
      </c>
      <c r="T11208" s="43" t="str">
        <f t="shared" si="482"/>
        <v>2020.009P.R.Betasatellite_61nsp.zip</v>
      </c>
      <c r="U11208" s="43" t="str">
        <f>HYPERLINK("https://ictv.global/taxonomy/taxondetails?taxnode_id=202209222","ictv.global=202209222")</f>
        <v>ictv.global=202209222</v>
      </c>
    </row>
    <row r="11209" spans="1:21">
      <c r="A11209">
        <v>11208</v>
      </c>
      <c r="B11209" s="29"/>
      <c r="C11209" s="29"/>
      <c r="D11209" s="29"/>
      <c r="E11209" s="29"/>
      <c r="F11209" s="29"/>
      <c r="G11209" s="29"/>
      <c r="H11209" s="29"/>
      <c r="I11209" s="29"/>
      <c r="J11209" s="29"/>
      <c r="K11209" s="29"/>
      <c r="L11209" s="29" t="s">
        <v>2556</v>
      </c>
      <c r="M11209" s="29"/>
      <c r="N11209" s="29" t="s">
        <v>2557</v>
      </c>
      <c r="O11209" s="29"/>
      <c r="P11209" s="29" t="s">
        <v>6873</v>
      </c>
      <c r="Q11209" t="s">
        <v>2265</v>
      </c>
      <c r="R11209" t="s">
        <v>2632</v>
      </c>
      <c r="S11209">
        <v>36</v>
      </c>
      <c r="T11209" s="43" t="str">
        <f t="shared" si="482"/>
        <v>2020.009P.R.Betasatellite_61nsp.zip</v>
      </c>
      <c r="U11209" s="43" t="str">
        <f>HYPERLINK("https://ictv.global/taxonomy/taxondetails?taxnode_id=202209223","ictv.global=202209223")</f>
        <v>ictv.global=202209223</v>
      </c>
    </row>
    <row r="11210" spans="1:21">
      <c r="A11210">
        <v>11209</v>
      </c>
      <c r="B11210" s="29"/>
      <c r="C11210" s="29"/>
      <c r="D11210" s="29"/>
      <c r="E11210" s="29"/>
      <c r="F11210" s="29"/>
      <c r="G11210" s="29"/>
      <c r="H11210" s="29"/>
      <c r="I11210" s="29"/>
      <c r="J11210" s="29"/>
      <c r="K11210" s="29"/>
      <c r="L11210" s="29" t="s">
        <v>2556</v>
      </c>
      <c r="M11210" s="29"/>
      <c r="N11210" s="29" t="s">
        <v>2557</v>
      </c>
      <c r="O11210" s="29"/>
      <c r="P11210" s="29" t="s">
        <v>6874</v>
      </c>
      <c r="Q11210" t="s">
        <v>2265</v>
      </c>
      <c r="R11210" t="s">
        <v>2632</v>
      </c>
      <c r="S11210">
        <v>36</v>
      </c>
      <c r="T11210" s="43" t="str">
        <f t="shared" si="482"/>
        <v>2020.009P.R.Betasatellite_61nsp.zip</v>
      </c>
      <c r="U11210" s="43" t="str">
        <f>HYPERLINK("https://ictv.global/taxonomy/taxondetails?taxnode_id=202209224","ictv.global=202209224")</f>
        <v>ictv.global=202209224</v>
      </c>
    </row>
    <row r="11211" spans="1:21">
      <c r="A11211">
        <v>11210</v>
      </c>
      <c r="B11211" s="29"/>
      <c r="C11211" s="29"/>
      <c r="D11211" s="29"/>
      <c r="E11211" s="29"/>
      <c r="F11211" s="29"/>
      <c r="G11211" s="29"/>
      <c r="H11211" s="29"/>
      <c r="I11211" s="29"/>
      <c r="J11211" s="29"/>
      <c r="K11211" s="29"/>
      <c r="L11211" s="29" t="s">
        <v>2556</v>
      </c>
      <c r="M11211" s="29"/>
      <c r="N11211" s="29" t="s">
        <v>2557</v>
      </c>
      <c r="O11211" s="29"/>
      <c r="P11211" s="29" t="s">
        <v>2589</v>
      </c>
      <c r="Q11211" t="s">
        <v>2041</v>
      </c>
      <c r="R11211" t="s">
        <v>2632</v>
      </c>
      <c r="S11211">
        <v>31</v>
      </c>
      <c r="T11211" s="43" t="str">
        <f>HYPERLINK("https://ictv.global/ictv/proposals/2016.021a-kP.A.v2.Tolecusatellitidae.pdf","2016.021a-kP.A.v2.Tolecusatellitidae.pdf")</f>
        <v>2016.021a-kP.A.v2.Tolecusatellitidae.pdf</v>
      </c>
      <c r="U11211" s="43" t="str">
        <f>HYPERLINK("https://ictv.global/taxonomy/taxondetails?taxnode_id=202205152","ictv.global=202205152")</f>
        <v>ictv.global=202205152</v>
      </c>
    </row>
    <row r="11212" spans="1:21">
      <c r="A11212">
        <v>11211</v>
      </c>
      <c r="B11212" s="29"/>
      <c r="C11212" s="29"/>
      <c r="D11212" s="29"/>
      <c r="E11212" s="29"/>
      <c r="F11212" s="29"/>
      <c r="G11212" s="29"/>
      <c r="H11212" s="29"/>
      <c r="I11212" s="29"/>
      <c r="J11212" s="29"/>
      <c r="K11212" s="29"/>
      <c r="L11212" s="29" t="s">
        <v>2556</v>
      </c>
      <c r="M11212" s="29"/>
      <c r="N11212" s="29" t="s">
        <v>2557</v>
      </c>
      <c r="O11212" s="29"/>
      <c r="P11212" s="29" t="s">
        <v>6875</v>
      </c>
      <c r="Q11212" t="s">
        <v>2265</v>
      </c>
      <c r="R11212" t="s">
        <v>2632</v>
      </c>
      <c r="S11212">
        <v>36</v>
      </c>
      <c r="T11212" s="43" t="str">
        <f>HYPERLINK("https://ictv.global/ictv/proposals/2020.009P.R.Betasatellite_61nsp.zip","2020.009P.R.Betasatellite_61nsp.zip")</f>
        <v>2020.009P.R.Betasatellite_61nsp.zip</v>
      </c>
      <c r="U11212" s="43" t="str">
        <f>HYPERLINK("https://ictv.global/taxonomy/taxondetails?taxnode_id=202209225","ictv.global=202209225")</f>
        <v>ictv.global=202209225</v>
      </c>
    </row>
    <row r="11213" spans="1:21">
      <c r="A11213">
        <v>11212</v>
      </c>
      <c r="B11213" s="29"/>
      <c r="C11213" s="29"/>
      <c r="D11213" s="29"/>
      <c r="E11213" s="29"/>
      <c r="F11213" s="29"/>
      <c r="G11213" s="29"/>
      <c r="H11213" s="29"/>
      <c r="I11213" s="29"/>
      <c r="J11213" s="29"/>
      <c r="K11213" s="29"/>
      <c r="L11213" s="29" t="s">
        <v>2556</v>
      </c>
      <c r="M11213" s="29"/>
      <c r="N11213" s="29" t="s">
        <v>2557</v>
      </c>
      <c r="O11213" s="29"/>
      <c r="P11213" s="29" t="s">
        <v>6876</v>
      </c>
      <c r="Q11213" t="s">
        <v>2265</v>
      </c>
      <c r="R11213" t="s">
        <v>2632</v>
      </c>
      <c r="S11213">
        <v>36</v>
      </c>
      <c r="T11213" s="43" t="str">
        <f>HYPERLINK("https://ictv.global/ictv/proposals/2020.009P.R.Betasatellite_61nsp.zip","2020.009P.R.Betasatellite_61nsp.zip")</f>
        <v>2020.009P.R.Betasatellite_61nsp.zip</v>
      </c>
      <c r="U11213" s="43" t="str">
        <f>HYPERLINK("https://ictv.global/taxonomy/taxondetails?taxnode_id=202209226","ictv.global=202209226")</f>
        <v>ictv.global=202209226</v>
      </c>
    </row>
    <row r="11214" spans="1:21">
      <c r="A11214">
        <v>11213</v>
      </c>
      <c r="B11214" s="29"/>
      <c r="C11214" s="29"/>
      <c r="D11214" s="29"/>
      <c r="E11214" s="29"/>
      <c r="F11214" s="29"/>
      <c r="G11214" s="29"/>
      <c r="H11214" s="29"/>
      <c r="I11214" s="29"/>
      <c r="J11214" s="29"/>
      <c r="K11214" s="29"/>
      <c r="L11214" s="29" t="s">
        <v>2556</v>
      </c>
      <c r="M11214" s="29"/>
      <c r="N11214" s="29" t="s">
        <v>2557</v>
      </c>
      <c r="O11214" s="29"/>
      <c r="P11214" s="29" t="s">
        <v>2590</v>
      </c>
      <c r="Q11214" t="s">
        <v>2041</v>
      </c>
      <c r="R11214" t="s">
        <v>2632</v>
      </c>
      <c r="S11214">
        <v>31</v>
      </c>
      <c r="T11214" s="43" t="str">
        <f>HYPERLINK("https://ictv.global/ictv/proposals/2016.021a-kP.A.v2.Tolecusatellitidae.pdf","2016.021a-kP.A.v2.Tolecusatellitidae.pdf")</f>
        <v>2016.021a-kP.A.v2.Tolecusatellitidae.pdf</v>
      </c>
      <c r="U11214" s="43" t="str">
        <f>HYPERLINK("https://ictv.global/taxonomy/taxondetails?taxnode_id=202205153","ictv.global=202205153")</f>
        <v>ictv.global=202205153</v>
      </c>
    </row>
    <row r="11215" spans="1:21">
      <c r="A11215">
        <v>11214</v>
      </c>
      <c r="B11215" s="29"/>
      <c r="C11215" s="29"/>
      <c r="D11215" s="29"/>
      <c r="E11215" s="29"/>
      <c r="F11215" s="29"/>
      <c r="G11215" s="29"/>
      <c r="H11215" s="29"/>
      <c r="I11215" s="29"/>
      <c r="J11215" s="29"/>
      <c r="K11215" s="29"/>
      <c r="L11215" s="29" t="s">
        <v>2556</v>
      </c>
      <c r="M11215" s="29"/>
      <c r="N11215" s="29" t="s">
        <v>2557</v>
      </c>
      <c r="O11215" s="29"/>
      <c r="P11215" s="29" t="s">
        <v>6877</v>
      </c>
      <c r="Q11215" t="s">
        <v>2265</v>
      </c>
      <c r="R11215" t="s">
        <v>2632</v>
      </c>
      <c r="S11215">
        <v>36</v>
      </c>
      <c r="T11215" s="43" t="str">
        <f>HYPERLINK("https://ictv.global/ictv/proposals/2020.009P.R.Betasatellite_61nsp.zip","2020.009P.R.Betasatellite_61nsp.zip")</f>
        <v>2020.009P.R.Betasatellite_61nsp.zip</v>
      </c>
      <c r="U11215" s="43" t="str">
        <f>HYPERLINK("https://ictv.global/taxonomy/taxondetails?taxnode_id=202209227","ictv.global=202209227")</f>
        <v>ictv.global=202209227</v>
      </c>
    </row>
    <row r="11216" spans="1:21">
      <c r="A11216">
        <v>11215</v>
      </c>
      <c r="B11216" s="29"/>
      <c r="C11216" s="29"/>
      <c r="D11216" s="29"/>
      <c r="E11216" s="29"/>
      <c r="F11216" s="29"/>
      <c r="G11216" s="29"/>
      <c r="H11216" s="29"/>
      <c r="I11216" s="29"/>
      <c r="J11216" s="29"/>
      <c r="K11216" s="29"/>
      <c r="L11216" s="29" t="s">
        <v>2556</v>
      </c>
      <c r="M11216" s="29"/>
      <c r="N11216" s="29" t="s">
        <v>2557</v>
      </c>
      <c r="O11216" s="29"/>
      <c r="P11216" s="29" t="s">
        <v>2591</v>
      </c>
      <c r="Q11216" t="s">
        <v>2041</v>
      </c>
      <c r="R11216" t="s">
        <v>2632</v>
      </c>
      <c r="S11216">
        <v>31</v>
      </c>
      <c r="T11216" s="43" t="str">
        <f>HYPERLINK("https://ictv.global/ictv/proposals/2016.021a-kP.A.v2.Tolecusatellitidae.pdf","2016.021a-kP.A.v2.Tolecusatellitidae.pdf")</f>
        <v>2016.021a-kP.A.v2.Tolecusatellitidae.pdf</v>
      </c>
      <c r="U11216" s="43" t="str">
        <f>HYPERLINK("https://ictv.global/taxonomy/taxondetails?taxnode_id=202205154","ictv.global=202205154")</f>
        <v>ictv.global=202205154</v>
      </c>
    </row>
    <row r="11217" spans="1:21">
      <c r="A11217">
        <v>11216</v>
      </c>
      <c r="B11217" s="29"/>
      <c r="C11217" s="29"/>
      <c r="D11217" s="29"/>
      <c r="E11217" s="29"/>
      <c r="F11217" s="29"/>
      <c r="G11217" s="29"/>
      <c r="H11217" s="29"/>
      <c r="I11217" s="29"/>
      <c r="J11217" s="29"/>
      <c r="K11217" s="29"/>
      <c r="L11217" s="29" t="s">
        <v>2556</v>
      </c>
      <c r="M11217" s="29"/>
      <c r="N11217" s="29" t="s">
        <v>2557</v>
      </c>
      <c r="O11217" s="29"/>
      <c r="P11217" s="29" t="s">
        <v>2592</v>
      </c>
      <c r="Q11217" t="s">
        <v>2041</v>
      </c>
      <c r="R11217" t="s">
        <v>2632</v>
      </c>
      <c r="S11217">
        <v>31</v>
      </c>
      <c r="T11217" s="43" t="str">
        <f>HYPERLINK("https://ictv.global/ictv/proposals/2016.021a-kP.A.v2.Tolecusatellitidae.pdf","2016.021a-kP.A.v2.Tolecusatellitidae.pdf")</f>
        <v>2016.021a-kP.A.v2.Tolecusatellitidae.pdf</v>
      </c>
      <c r="U11217" s="43" t="str">
        <f>HYPERLINK("https://ictv.global/taxonomy/taxondetails?taxnode_id=202205155","ictv.global=202205155")</f>
        <v>ictv.global=202205155</v>
      </c>
    </row>
    <row r="11218" spans="1:21">
      <c r="A11218">
        <v>11217</v>
      </c>
      <c r="B11218" s="29"/>
      <c r="C11218" s="29"/>
      <c r="D11218" s="29"/>
      <c r="E11218" s="29"/>
      <c r="F11218" s="29"/>
      <c r="G11218" s="29"/>
      <c r="H11218" s="29"/>
      <c r="I11218" s="29"/>
      <c r="J11218" s="29"/>
      <c r="K11218" s="29"/>
      <c r="L11218" s="29" t="s">
        <v>2556</v>
      </c>
      <c r="M11218" s="29"/>
      <c r="N11218" s="29" t="s">
        <v>2557</v>
      </c>
      <c r="O11218" s="29"/>
      <c r="P11218" s="29" t="s">
        <v>2593</v>
      </c>
      <c r="Q11218" t="s">
        <v>2041</v>
      </c>
      <c r="R11218" t="s">
        <v>2632</v>
      </c>
      <c r="S11218">
        <v>31</v>
      </c>
      <c r="T11218" s="43" t="str">
        <f>HYPERLINK("https://ictv.global/ictv/proposals/2016.021a-kP.A.v2.Tolecusatellitidae.pdf","2016.021a-kP.A.v2.Tolecusatellitidae.pdf")</f>
        <v>2016.021a-kP.A.v2.Tolecusatellitidae.pdf</v>
      </c>
      <c r="U11218" s="43" t="str">
        <f>HYPERLINK("https://ictv.global/taxonomy/taxondetails?taxnode_id=202205156","ictv.global=202205156")</f>
        <v>ictv.global=202205156</v>
      </c>
    </row>
    <row r="11219" spans="1:21">
      <c r="A11219">
        <v>11218</v>
      </c>
      <c r="B11219" s="29"/>
      <c r="C11219" s="29"/>
      <c r="D11219" s="29"/>
      <c r="E11219" s="29"/>
      <c r="F11219" s="29"/>
      <c r="G11219" s="29"/>
      <c r="H11219" s="29"/>
      <c r="I11219" s="29"/>
      <c r="J11219" s="29"/>
      <c r="K11219" s="29"/>
      <c r="L11219" s="29" t="s">
        <v>2556</v>
      </c>
      <c r="M11219" s="29"/>
      <c r="N11219" s="29" t="s">
        <v>2557</v>
      </c>
      <c r="O11219" s="29"/>
      <c r="P11219" s="29" t="s">
        <v>6878</v>
      </c>
      <c r="Q11219" t="s">
        <v>2265</v>
      </c>
      <c r="R11219" t="s">
        <v>2632</v>
      </c>
      <c r="S11219">
        <v>36</v>
      </c>
      <c r="T11219" s="43" t="str">
        <f>HYPERLINK("https://ictv.global/ictv/proposals/2020.009P.R.Betasatellite_61nsp.zip","2020.009P.R.Betasatellite_61nsp.zip")</f>
        <v>2020.009P.R.Betasatellite_61nsp.zip</v>
      </c>
      <c r="U11219" s="43" t="str">
        <f>HYPERLINK("https://ictv.global/taxonomy/taxondetails?taxnode_id=202209228","ictv.global=202209228")</f>
        <v>ictv.global=202209228</v>
      </c>
    </row>
    <row r="11220" spans="1:21">
      <c r="A11220">
        <v>11219</v>
      </c>
      <c r="B11220" s="29"/>
      <c r="C11220" s="29"/>
      <c r="D11220" s="29"/>
      <c r="E11220" s="29"/>
      <c r="F11220" s="29"/>
      <c r="G11220" s="29"/>
      <c r="H11220" s="29"/>
      <c r="I11220" s="29"/>
      <c r="J11220" s="29"/>
      <c r="K11220" s="29"/>
      <c r="L11220" s="29" t="s">
        <v>2556</v>
      </c>
      <c r="M11220" s="29"/>
      <c r="N11220" s="29" t="s">
        <v>2557</v>
      </c>
      <c r="O11220" s="29"/>
      <c r="P11220" s="29" t="s">
        <v>6879</v>
      </c>
      <c r="Q11220" t="s">
        <v>2265</v>
      </c>
      <c r="R11220" t="s">
        <v>2632</v>
      </c>
      <c r="S11220">
        <v>36</v>
      </c>
      <c r="T11220" s="43" t="str">
        <f>HYPERLINK("https://ictv.global/ictv/proposals/2020.009P.R.Betasatellite_61nsp.zip","2020.009P.R.Betasatellite_61nsp.zip")</f>
        <v>2020.009P.R.Betasatellite_61nsp.zip</v>
      </c>
      <c r="U11220" s="43" t="str">
        <f>HYPERLINK("https://ictv.global/taxonomy/taxondetails?taxnode_id=202209229","ictv.global=202209229")</f>
        <v>ictv.global=202209229</v>
      </c>
    </row>
    <row r="11221" spans="1:21">
      <c r="A11221">
        <v>11220</v>
      </c>
      <c r="B11221" s="29"/>
      <c r="C11221" s="29"/>
      <c r="D11221" s="29"/>
      <c r="E11221" s="29"/>
      <c r="F11221" s="29"/>
      <c r="G11221" s="29"/>
      <c r="H11221" s="29"/>
      <c r="I11221" s="29"/>
      <c r="J11221" s="29"/>
      <c r="K11221" s="29"/>
      <c r="L11221" s="29" t="s">
        <v>2556</v>
      </c>
      <c r="M11221" s="29"/>
      <c r="N11221" s="29" t="s">
        <v>2557</v>
      </c>
      <c r="O11221" s="29"/>
      <c r="P11221" s="29" t="s">
        <v>2594</v>
      </c>
      <c r="Q11221" t="s">
        <v>2041</v>
      </c>
      <c r="R11221" t="s">
        <v>2632</v>
      </c>
      <c r="S11221">
        <v>31</v>
      </c>
      <c r="T11221" s="43" t="str">
        <f>HYPERLINK("https://ictv.global/ictv/proposals/2016.021a-kP.A.v2.Tolecusatellitidae.pdf","2016.021a-kP.A.v2.Tolecusatellitidae.pdf")</f>
        <v>2016.021a-kP.A.v2.Tolecusatellitidae.pdf</v>
      </c>
      <c r="U11221" s="43" t="str">
        <f>HYPERLINK("https://ictv.global/taxonomy/taxondetails?taxnode_id=202205157","ictv.global=202205157")</f>
        <v>ictv.global=202205157</v>
      </c>
    </row>
    <row r="11222" spans="1:21">
      <c r="A11222">
        <v>11221</v>
      </c>
      <c r="B11222" s="29"/>
      <c r="C11222" s="29"/>
      <c r="D11222" s="29"/>
      <c r="E11222" s="29"/>
      <c r="F11222" s="29"/>
      <c r="G11222" s="29"/>
      <c r="H11222" s="29"/>
      <c r="I11222" s="29"/>
      <c r="J11222" s="29"/>
      <c r="K11222" s="29"/>
      <c r="L11222" s="29" t="s">
        <v>2556</v>
      </c>
      <c r="M11222" s="29"/>
      <c r="N11222" s="29" t="s">
        <v>2557</v>
      </c>
      <c r="O11222" s="29"/>
      <c r="P11222" s="29" t="s">
        <v>6880</v>
      </c>
      <c r="Q11222" t="s">
        <v>2265</v>
      </c>
      <c r="R11222" t="s">
        <v>2632</v>
      </c>
      <c r="S11222">
        <v>36</v>
      </c>
      <c r="T11222" s="43" t="str">
        <f>HYPERLINK("https://ictv.global/ictv/proposals/2020.009P.R.Betasatellite_61nsp.zip","2020.009P.R.Betasatellite_61nsp.zip")</f>
        <v>2020.009P.R.Betasatellite_61nsp.zip</v>
      </c>
      <c r="U11222" s="43" t="str">
        <f>HYPERLINK("https://ictv.global/taxonomy/taxondetails?taxnode_id=202209230","ictv.global=202209230")</f>
        <v>ictv.global=202209230</v>
      </c>
    </row>
    <row r="11223" spans="1:21">
      <c r="A11223">
        <v>11222</v>
      </c>
      <c r="B11223" s="29"/>
      <c r="C11223" s="29"/>
      <c r="D11223" s="29"/>
      <c r="E11223" s="29"/>
      <c r="F11223" s="29"/>
      <c r="G11223" s="29"/>
      <c r="H11223" s="29"/>
      <c r="I11223" s="29"/>
      <c r="J11223" s="29"/>
      <c r="K11223" s="29"/>
      <c r="L11223" s="29" t="s">
        <v>2556</v>
      </c>
      <c r="M11223" s="29"/>
      <c r="N11223" s="29" t="s">
        <v>2557</v>
      </c>
      <c r="O11223" s="29"/>
      <c r="P11223" s="29" t="s">
        <v>2595</v>
      </c>
      <c r="Q11223" t="s">
        <v>2041</v>
      </c>
      <c r="R11223" t="s">
        <v>2632</v>
      </c>
      <c r="S11223">
        <v>31</v>
      </c>
      <c r="T11223" s="43" t="str">
        <f>HYPERLINK("https://ictv.global/ictv/proposals/2016.021a-kP.A.v2.Tolecusatellitidae.pdf","2016.021a-kP.A.v2.Tolecusatellitidae.pdf")</f>
        <v>2016.021a-kP.A.v2.Tolecusatellitidae.pdf</v>
      </c>
      <c r="U11223" s="43" t="str">
        <f>HYPERLINK("https://ictv.global/taxonomy/taxondetails?taxnode_id=202205158","ictv.global=202205158")</f>
        <v>ictv.global=202205158</v>
      </c>
    </row>
    <row r="11224" spans="1:21">
      <c r="A11224">
        <v>11223</v>
      </c>
      <c r="B11224" s="29"/>
      <c r="C11224" s="29"/>
      <c r="D11224" s="29"/>
      <c r="E11224" s="29"/>
      <c r="F11224" s="29"/>
      <c r="G11224" s="29"/>
      <c r="H11224" s="29"/>
      <c r="I11224" s="29"/>
      <c r="J11224" s="29"/>
      <c r="K11224" s="29"/>
      <c r="L11224" s="29" t="s">
        <v>2556</v>
      </c>
      <c r="M11224" s="29"/>
      <c r="N11224" s="29" t="s">
        <v>2557</v>
      </c>
      <c r="O11224" s="29"/>
      <c r="P11224" s="29" t="s">
        <v>2596</v>
      </c>
      <c r="Q11224" t="s">
        <v>2041</v>
      </c>
      <c r="R11224" t="s">
        <v>2632</v>
      </c>
      <c r="S11224">
        <v>31</v>
      </c>
      <c r="T11224" s="43" t="str">
        <f>HYPERLINK("https://ictv.global/ictv/proposals/2016.021a-kP.A.v2.Tolecusatellitidae.pdf","2016.021a-kP.A.v2.Tolecusatellitidae.pdf")</f>
        <v>2016.021a-kP.A.v2.Tolecusatellitidae.pdf</v>
      </c>
      <c r="U11224" s="43" t="str">
        <f>HYPERLINK("https://ictv.global/taxonomy/taxondetails?taxnode_id=202205159","ictv.global=202205159")</f>
        <v>ictv.global=202205159</v>
      </c>
    </row>
    <row r="11225" spans="1:21">
      <c r="A11225">
        <v>11224</v>
      </c>
      <c r="B11225" s="29"/>
      <c r="C11225" s="29"/>
      <c r="D11225" s="29"/>
      <c r="E11225" s="29"/>
      <c r="F11225" s="29"/>
      <c r="G11225" s="29"/>
      <c r="H11225" s="29"/>
      <c r="I11225" s="29"/>
      <c r="J11225" s="29"/>
      <c r="K11225" s="29"/>
      <c r="L11225" s="29" t="s">
        <v>2556</v>
      </c>
      <c r="M11225" s="29"/>
      <c r="N11225" s="29" t="s">
        <v>2557</v>
      </c>
      <c r="O11225" s="29"/>
      <c r="P11225" s="29" t="s">
        <v>6881</v>
      </c>
      <c r="Q11225" t="s">
        <v>2265</v>
      </c>
      <c r="R11225" t="s">
        <v>2632</v>
      </c>
      <c r="S11225">
        <v>36</v>
      </c>
      <c r="T11225" s="43" t="str">
        <f>HYPERLINK("https://ictv.global/ictv/proposals/2020.009P.R.Betasatellite_61nsp.zip","2020.009P.R.Betasatellite_61nsp.zip")</f>
        <v>2020.009P.R.Betasatellite_61nsp.zip</v>
      </c>
      <c r="U11225" s="43" t="str">
        <f>HYPERLINK("https://ictv.global/taxonomy/taxondetails?taxnode_id=202209231","ictv.global=202209231")</f>
        <v>ictv.global=202209231</v>
      </c>
    </row>
    <row r="11226" spans="1:21">
      <c r="A11226">
        <v>11225</v>
      </c>
      <c r="B11226" s="29"/>
      <c r="C11226" s="29"/>
      <c r="D11226" s="29"/>
      <c r="E11226" s="29"/>
      <c r="F11226" s="29"/>
      <c r="G11226" s="29"/>
      <c r="H11226" s="29"/>
      <c r="I11226" s="29"/>
      <c r="J11226" s="29"/>
      <c r="K11226" s="29"/>
      <c r="L11226" s="29" t="s">
        <v>2556</v>
      </c>
      <c r="M11226" s="29"/>
      <c r="N11226" s="29" t="s">
        <v>2557</v>
      </c>
      <c r="O11226" s="29"/>
      <c r="P11226" s="29" t="s">
        <v>6882</v>
      </c>
      <c r="Q11226" t="s">
        <v>2265</v>
      </c>
      <c r="R11226" t="s">
        <v>2632</v>
      </c>
      <c r="S11226">
        <v>36</v>
      </c>
      <c r="T11226" s="43" t="str">
        <f>HYPERLINK("https://ictv.global/ictv/proposals/2020.009P.R.Betasatellite_61nsp.zip","2020.009P.R.Betasatellite_61nsp.zip")</f>
        <v>2020.009P.R.Betasatellite_61nsp.zip</v>
      </c>
      <c r="U11226" s="43" t="str">
        <f>HYPERLINK("https://ictv.global/taxonomy/taxondetails?taxnode_id=202209232","ictv.global=202209232")</f>
        <v>ictv.global=202209232</v>
      </c>
    </row>
    <row r="11227" spans="1:21">
      <c r="A11227">
        <v>11226</v>
      </c>
      <c r="B11227" s="29"/>
      <c r="C11227" s="29"/>
      <c r="D11227" s="29"/>
      <c r="E11227" s="29"/>
      <c r="F11227" s="29"/>
      <c r="G11227" s="29"/>
      <c r="H11227" s="29"/>
      <c r="I11227" s="29"/>
      <c r="J11227" s="29"/>
      <c r="K11227" s="29"/>
      <c r="L11227" s="29" t="s">
        <v>2556</v>
      </c>
      <c r="M11227" s="29"/>
      <c r="N11227" s="29" t="s">
        <v>2557</v>
      </c>
      <c r="O11227" s="29"/>
      <c r="P11227" s="29" t="s">
        <v>2597</v>
      </c>
      <c r="Q11227" t="s">
        <v>2041</v>
      </c>
      <c r="R11227" t="s">
        <v>2632</v>
      </c>
      <c r="S11227">
        <v>31</v>
      </c>
      <c r="T11227" s="43" t="str">
        <f>HYPERLINK("https://ictv.global/ictv/proposals/2016.021a-kP.A.v2.Tolecusatellitidae.pdf","2016.021a-kP.A.v2.Tolecusatellitidae.pdf")</f>
        <v>2016.021a-kP.A.v2.Tolecusatellitidae.pdf</v>
      </c>
      <c r="U11227" s="43" t="str">
        <f>HYPERLINK("https://ictv.global/taxonomy/taxondetails?taxnode_id=202205160","ictv.global=202205160")</f>
        <v>ictv.global=202205160</v>
      </c>
    </row>
    <row r="11228" spans="1:21">
      <c r="A11228">
        <v>11227</v>
      </c>
      <c r="B11228" s="29"/>
      <c r="C11228" s="29"/>
      <c r="D11228" s="29"/>
      <c r="E11228" s="29"/>
      <c r="F11228" s="29"/>
      <c r="G11228" s="29"/>
      <c r="H11228" s="29"/>
      <c r="I11228" s="29"/>
      <c r="J11228" s="29"/>
      <c r="K11228" s="29"/>
      <c r="L11228" s="29" t="s">
        <v>2556</v>
      </c>
      <c r="M11228" s="29"/>
      <c r="N11228" s="29" t="s">
        <v>2557</v>
      </c>
      <c r="O11228" s="29"/>
      <c r="P11228" s="29" t="s">
        <v>2598</v>
      </c>
      <c r="Q11228" t="s">
        <v>2041</v>
      </c>
      <c r="R11228" t="s">
        <v>2632</v>
      </c>
      <c r="S11228">
        <v>31</v>
      </c>
      <c r="T11228" s="43" t="str">
        <f>HYPERLINK("https://ictv.global/ictv/proposals/2016.021a-kP.A.v2.Tolecusatellitidae.pdf","2016.021a-kP.A.v2.Tolecusatellitidae.pdf")</f>
        <v>2016.021a-kP.A.v2.Tolecusatellitidae.pdf</v>
      </c>
      <c r="U11228" s="43" t="str">
        <f>HYPERLINK("https://ictv.global/taxonomy/taxondetails?taxnode_id=202205161","ictv.global=202205161")</f>
        <v>ictv.global=202205161</v>
      </c>
    </row>
    <row r="11229" spans="1:21">
      <c r="A11229">
        <v>11228</v>
      </c>
      <c r="B11229" s="29"/>
      <c r="C11229" s="29"/>
      <c r="D11229" s="29"/>
      <c r="E11229" s="29"/>
      <c r="F11229" s="29"/>
      <c r="G11229" s="29"/>
      <c r="H11229" s="29"/>
      <c r="I11229" s="29"/>
      <c r="J11229" s="29"/>
      <c r="K11229" s="29"/>
      <c r="L11229" s="29" t="s">
        <v>2556</v>
      </c>
      <c r="M11229" s="29"/>
      <c r="N11229" s="29" t="s">
        <v>2557</v>
      </c>
      <c r="O11229" s="29"/>
      <c r="P11229" s="29" t="s">
        <v>6883</v>
      </c>
      <c r="Q11229" t="s">
        <v>2265</v>
      </c>
      <c r="R11229" t="s">
        <v>2632</v>
      </c>
      <c r="S11229">
        <v>36</v>
      </c>
      <c r="T11229" s="43" t="str">
        <f>HYPERLINK("https://ictv.global/ictv/proposals/2020.009P.R.Betasatellite_61nsp.zip","2020.009P.R.Betasatellite_61nsp.zip")</f>
        <v>2020.009P.R.Betasatellite_61nsp.zip</v>
      </c>
      <c r="U11229" s="43" t="str">
        <f>HYPERLINK("https://ictv.global/taxonomy/taxondetails?taxnode_id=202209233","ictv.global=202209233")</f>
        <v>ictv.global=202209233</v>
      </c>
    </row>
    <row r="11230" spans="1:21">
      <c r="A11230">
        <v>11229</v>
      </c>
      <c r="B11230" s="29"/>
      <c r="C11230" s="29"/>
      <c r="D11230" s="29"/>
      <c r="E11230" s="29"/>
      <c r="F11230" s="29"/>
      <c r="G11230" s="29"/>
      <c r="H11230" s="29"/>
      <c r="I11230" s="29"/>
      <c r="J11230" s="29"/>
      <c r="K11230" s="29"/>
      <c r="L11230" s="29" t="s">
        <v>2556</v>
      </c>
      <c r="M11230" s="29"/>
      <c r="N11230" s="29" t="s">
        <v>2557</v>
      </c>
      <c r="O11230" s="29"/>
      <c r="P11230" s="29" t="s">
        <v>6884</v>
      </c>
      <c r="Q11230" t="s">
        <v>2265</v>
      </c>
      <c r="R11230" t="s">
        <v>2632</v>
      </c>
      <c r="S11230">
        <v>36</v>
      </c>
      <c r="T11230" s="43" t="str">
        <f>HYPERLINK("https://ictv.global/ictv/proposals/2020.009P.R.Betasatellite_61nsp.zip","2020.009P.R.Betasatellite_61nsp.zip")</f>
        <v>2020.009P.R.Betasatellite_61nsp.zip</v>
      </c>
      <c r="U11230" s="43" t="str">
        <f>HYPERLINK("https://ictv.global/taxonomy/taxondetails?taxnode_id=202209234","ictv.global=202209234")</f>
        <v>ictv.global=202209234</v>
      </c>
    </row>
    <row r="11231" spans="1:21">
      <c r="A11231">
        <v>11230</v>
      </c>
      <c r="B11231" s="29"/>
      <c r="C11231" s="29"/>
      <c r="D11231" s="29"/>
      <c r="E11231" s="29"/>
      <c r="F11231" s="29"/>
      <c r="G11231" s="29"/>
      <c r="H11231" s="29"/>
      <c r="I11231" s="29"/>
      <c r="J11231" s="29"/>
      <c r="K11231" s="29"/>
      <c r="L11231" s="29" t="s">
        <v>2556</v>
      </c>
      <c r="M11231" s="29"/>
      <c r="N11231" s="29" t="s">
        <v>2557</v>
      </c>
      <c r="O11231" s="29"/>
      <c r="P11231" s="29" t="s">
        <v>6885</v>
      </c>
      <c r="Q11231" t="s">
        <v>2265</v>
      </c>
      <c r="R11231" t="s">
        <v>2632</v>
      </c>
      <c r="S11231">
        <v>36</v>
      </c>
      <c r="T11231" s="43" t="str">
        <f>HYPERLINK("https://ictv.global/ictv/proposals/2020.009P.R.Betasatellite_61nsp.zip","2020.009P.R.Betasatellite_61nsp.zip")</f>
        <v>2020.009P.R.Betasatellite_61nsp.zip</v>
      </c>
      <c r="U11231" s="43" t="str">
        <f>HYPERLINK("https://ictv.global/taxonomy/taxondetails?taxnode_id=202209235","ictv.global=202209235")</f>
        <v>ictv.global=202209235</v>
      </c>
    </row>
    <row r="11232" spans="1:21">
      <c r="A11232">
        <v>11231</v>
      </c>
      <c r="B11232" s="29"/>
      <c r="C11232" s="29"/>
      <c r="D11232" s="29"/>
      <c r="E11232" s="29"/>
      <c r="F11232" s="29"/>
      <c r="G11232" s="29"/>
      <c r="H11232" s="29"/>
      <c r="I11232" s="29"/>
      <c r="J11232" s="29"/>
      <c r="K11232" s="29"/>
      <c r="L11232" s="29" t="s">
        <v>2556</v>
      </c>
      <c r="M11232" s="29"/>
      <c r="N11232" s="29" t="s">
        <v>2557</v>
      </c>
      <c r="O11232" s="29"/>
      <c r="P11232" s="29" t="s">
        <v>6886</v>
      </c>
      <c r="Q11232" t="s">
        <v>2265</v>
      </c>
      <c r="R11232" t="s">
        <v>2632</v>
      </c>
      <c r="S11232">
        <v>36</v>
      </c>
      <c r="T11232" s="43" t="str">
        <f>HYPERLINK("https://ictv.global/ictv/proposals/2020.009P.R.Betasatellite_61nsp.zip","2020.009P.R.Betasatellite_61nsp.zip")</f>
        <v>2020.009P.R.Betasatellite_61nsp.zip</v>
      </c>
      <c r="U11232" s="43" t="str">
        <f>HYPERLINK("https://ictv.global/taxonomy/taxondetails?taxnode_id=202209236","ictv.global=202209236")</f>
        <v>ictv.global=202209236</v>
      </c>
    </row>
    <row r="11233" spans="1:21">
      <c r="A11233">
        <v>11232</v>
      </c>
      <c r="B11233" s="29"/>
      <c r="C11233" s="29"/>
      <c r="D11233" s="29"/>
      <c r="E11233" s="29"/>
      <c r="F11233" s="29"/>
      <c r="G11233" s="29"/>
      <c r="H11233" s="29"/>
      <c r="I11233" s="29"/>
      <c r="J11233" s="29"/>
      <c r="K11233" s="29"/>
      <c r="L11233" s="29" t="s">
        <v>2556</v>
      </c>
      <c r="M11233" s="29"/>
      <c r="N11233" s="29" t="s">
        <v>2557</v>
      </c>
      <c r="O11233" s="29"/>
      <c r="P11233" s="29" t="s">
        <v>2985</v>
      </c>
      <c r="Q11233" t="s">
        <v>2041</v>
      </c>
      <c r="R11233" t="s">
        <v>2635</v>
      </c>
      <c r="S11233">
        <v>32</v>
      </c>
      <c r="T11233" s="43" t="str">
        <f>HYPERLINK("https://ictv.global/ictv/proposals/2017.011P.A.v2.Gemini_sp_ren.zip","2017.011P.A.v2.Gemini_sp_ren.zip")</f>
        <v>2017.011P.A.v2.Gemini_sp_ren.zip</v>
      </c>
      <c r="U11233" s="43" t="str">
        <f>HYPERLINK("https://ictv.global/taxonomy/taxondetails?taxnode_id=202205162","ictv.global=202205162")</f>
        <v>ictv.global=202205162</v>
      </c>
    </row>
    <row r="11234" spans="1:21">
      <c r="A11234">
        <v>11233</v>
      </c>
      <c r="B11234" s="29"/>
      <c r="C11234" s="29"/>
      <c r="D11234" s="29"/>
      <c r="E11234" s="29"/>
      <c r="F11234" s="29"/>
      <c r="G11234" s="29"/>
      <c r="H11234" s="29"/>
      <c r="I11234" s="29"/>
      <c r="J11234" s="29"/>
      <c r="K11234" s="29"/>
      <c r="L11234" s="29" t="s">
        <v>2556</v>
      </c>
      <c r="M11234" s="29"/>
      <c r="N11234" s="29" t="s">
        <v>2557</v>
      </c>
      <c r="O11234" s="29"/>
      <c r="P11234" s="29" t="s">
        <v>2599</v>
      </c>
      <c r="Q11234" t="s">
        <v>2041</v>
      </c>
      <c r="R11234" t="s">
        <v>2632</v>
      </c>
      <c r="S11234">
        <v>31</v>
      </c>
      <c r="T11234" s="43" t="str">
        <f>HYPERLINK("https://ictv.global/ictv/proposals/2016.021a-kP.A.v2.Tolecusatellitidae.pdf","2016.021a-kP.A.v2.Tolecusatellitidae.pdf")</f>
        <v>2016.021a-kP.A.v2.Tolecusatellitidae.pdf</v>
      </c>
      <c r="U11234" s="43" t="str">
        <f>HYPERLINK("https://ictv.global/taxonomy/taxondetails?taxnode_id=202205163","ictv.global=202205163")</f>
        <v>ictv.global=202205163</v>
      </c>
    </row>
    <row r="11235" spans="1:21">
      <c r="A11235">
        <v>11234</v>
      </c>
      <c r="B11235" s="29"/>
      <c r="C11235" s="29"/>
      <c r="D11235" s="29"/>
      <c r="E11235" s="29"/>
      <c r="F11235" s="29"/>
      <c r="G11235" s="29"/>
      <c r="H11235" s="29"/>
      <c r="I11235" s="29"/>
      <c r="J11235" s="29"/>
      <c r="K11235" s="29"/>
      <c r="L11235" s="29" t="s">
        <v>2556</v>
      </c>
      <c r="M11235" s="29"/>
      <c r="N11235" s="29" t="s">
        <v>2557</v>
      </c>
      <c r="O11235" s="29"/>
      <c r="P11235" s="29" t="s">
        <v>6887</v>
      </c>
      <c r="Q11235" t="s">
        <v>2265</v>
      </c>
      <c r="R11235" t="s">
        <v>2632</v>
      </c>
      <c r="S11235">
        <v>36</v>
      </c>
      <c r="T11235" s="43" t="str">
        <f>HYPERLINK("https://ictv.global/ictv/proposals/2020.009P.R.Betasatellite_61nsp.zip","2020.009P.R.Betasatellite_61nsp.zip")</f>
        <v>2020.009P.R.Betasatellite_61nsp.zip</v>
      </c>
      <c r="U11235" s="43" t="str">
        <f>HYPERLINK("https://ictv.global/taxonomy/taxondetails?taxnode_id=202209237","ictv.global=202209237")</f>
        <v>ictv.global=202209237</v>
      </c>
    </row>
    <row r="11236" spans="1:21">
      <c r="A11236">
        <v>11235</v>
      </c>
      <c r="B11236" s="29"/>
      <c r="C11236" s="29"/>
      <c r="D11236" s="29"/>
      <c r="E11236" s="29"/>
      <c r="F11236" s="29"/>
      <c r="G11236" s="29"/>
      <c r="H11236" s="29"/>
      <c r="I11236" s="29"/>
      <c r="J11236" s="29"/>
      <c r="K11236" s="29"/>
      <c r="L11236" s="29" t="s">
        <v>2556</v>
      </c>
      <c r="M11236" s="29"/>
      <c r="N11236" s="29" t="s">
        <v>2557</v>
      </c>
      <c r="O11236" s="29"/>
      <c r="P11236" s="29" t="s">
        <v>6888</v>
      </c>
      <c r="Q11236" t="s">
        <v>2265</v>
      </c>
      <c r="R11236" t="s">
        <v>2632</v>
      </c>
      <c r="S11236">
        <v>36</v>
      </c>
      <c r="T11236" s="43" t="str">
        <f>HYPERLINK("https://ictv.global/ictv/proposals/2020.009P.R.Betasatellite_61nsp.zip","2020.009P.R.Betasatellite_61nsp.zip")</f>
        <v>2020.009P.R.Betasatellite_61nsp.zip</v>
      </c>
      <c r="U11236" s="43" t="str">
        <f>HYPERLINK("https://ictv.global/taxonomy/taxondetails?taxnode_id=202209238","ictv.global=202209238")</f>
        <v>ictv.global=202209238</v>
      </c>
    </row>
    <row r="11237" spans="1:21">
      <c r="A11237">
        <v>11236</v>
      </c>
      <c r="B11237" s="29"/>
      <c r="C11237" s="29"/>
      <c r="D11237" s="29"/>
      <c r="E11237" s="29"/>
      <c r="F11237" s="29"/>
      <c r="G11237" s="29"/>
      <c r="H11237" s="29"/>
      <c r="I11237" s="29"/>
      <c r="J11237" s="29"/>
      <c r="K11237" s="29"/>
      <c r="L11237" s="29" t="s">
        <v>2556</v>
      </c>
      <c r="M11237" s="29"/>
      <c r="N11237" s="29" t="s">
        <v>2557</v>
      </c>
      <c r="O11237" s="29"/>
      <c r="P11237" s="29" t="s">
        <v>2600</v>
      </c>
      <c r="Q11237" t="s">
        <v>2041</v>
      </c>
      <c r="R11237" t="s">
        <v>2632</v>
      </c>
      <c r="S11237">
        <v>31</v>
      </c>
      <c r="T11237" s="43" t="str">
        <f>HYPERLINK("https://ictv.global/ictv/proposals/2016.021a-kP.A.v2.Tolecusatellitidae.pdf","2016.021a-kP.A.v2.Tolecusatellitidae.pdf")</f>
        <v>2016.021a-kP.A.v2.Tolecusatellitidae.pdf</v>
      </c>
      <c r="U11237" s="43" t="str">
        <f>HYPERLINK("https://ictv.global/taxonomy/taxondetails?taxnode_id=202205164","ictv.global=202205164")</f>
        <v>ictv.global=202205164</v>
      </c>
    </row>
    <row r="11238" spans="1:21">
      <c r="A11238">
        <v>11237</v>
      </c>
      <c r="B11238" s="29"/>
      <c r="C11238" s="29"/>
      <c r="D11238" s="29"/>
      <c r="E11238" s="29"/>
      <c r="F11238" s="29"/>
      <c r="G11238" s="29"/>
      <c r="H11238" s="29"/>
      <c r="I11238" s="29"/>
      <c r="J11238" s="29"/>
      <c r="K11238" s="29"/>
      <c r="L11238" s="29" t="s">
        <v>2556</v>
      </c>
      <c r="M11238" s="29"/>
      <c r="N11238" s="29" t="s">
        <v>2557</v>
      </c>
      <c r="O11238" s="29"/>
      <c r="P11238" s="29" t="s">
        <v>2601</v>
      </c>
      <c r="Q11238" t="s">
        <v>2041</v>
      </c>
      <c r="R11238" t="s">
        <v>2632</v>
      </c>
      <c r="S11238">
        <v>31</v>
      </c>
      <c r="T11238" s="43" t="str">
        <f>HYPERLINK("https://ictv.global/ictv/proposals/2016.021a-kP.A.v2.Tolecusatellitidae.pdf","2016.021a-kP.A.v2.Tolecusatellitidae.pdf")</f>
        <v>2016.021a-kP.A.v2.Tolecusatellitidae.pdf</v>
      </c>
      <c r="U11238" s="43" t="str">
        <f>HYPERLINK("https://ictv.global/taxonomy/taxondetails?taxnode_id=202205165","ictv.global=202205165")</f>
        <v>ictv.global=202205165</v>
      </c>
    </row>
    <row r="11239" spans="1:21">
      <c r="A11239">
        <v>11238</v>
      </c>
      <c r="B11239" s="29"/>
      <c r="C11239" s="29"/>
      <c r="D11239" s="29"/>
      <c r="E11239" s="29"/>
      <c r="F11239" s="29"/>
      <c r="G11239" s="29"/>
      <c r="H11239" s="29"/>
      <c r="I11239" s="29"/>
      <c r="J11239" s="29"/>
      <c r="K11239" s="29"/>
      <c r="L11239" s="29" t="s">
        <v>2556</v>
      </c>
      <c r="M11239" s="29"/>
      <c r="N11239" s="29" t="s">
        <v>2557</v>
      </c>
      <c r="O11239" s="29"/>
      <c r="P11239" s="29" t="s">
        <v>6889</v>
      </c>
      <c r="Q11239" t="s">
        <v>2265</v>
      </c>
      <c r="R11239" t="s">
        <v>2632</v>
      </c>
      <c r="S11239">
        <v>36</v>
      </c>
      <c r="T11239" s="43" t="str">
        <f>HYPERLINK("https://ictv.global/ictv/proposals/2020.009P.R.Betasatellite_61nsp.zip","2020.009P.R.Betasatellite_61nsp.zip")</f>
        <v>2020.009P.R.Betasatellite_61nsp.zip</v>
      </c>
      <c r="U11239" s="43" t="str">
        <f>HYPERLINK("https://ictv.global/taxonomy/taxondetails?taxnode_id=202209239","ictv.global=202209239")</f>
        <v>ictv.global=202209239</v>
      </c>
    </row>
    <row r="11240" spans="1:21">
      <c r="A11240">
        <v>11239</v>
      </c>
      <c r="B11240" s="29"/>
      <c r="C11240" s="29"/>
      <c r="D11240" s="29"/>
      <c r="E11240" s="29"/>
      <c r="F11240" s="29"/>
      <c r="G11240" s="29"/>
      <c r="H11240" s="29"/>
      <c r="I11240" s="29"/>
      <c r="J11240" s="29"/>
      <c r="K11240" s="29"/>
      <c r="L11240" s="29" t="s">
        <v>2556</v>
      </c>
      <c r="M11240" s="29"/>
      <c r="N11240" s="29" t="s">
        <v>2557</v>
      </c>
      <c r="O11240" s="29"/>
      <c r="P11240" s="29" t="s">
        <v>2602</v>
      </c>
      <c r="Q11240" t="s">
        <v>2041</v>
      </c>
      <c r="R11240" t="s">
        <v>2632</v>
      </c>
      <c r="S11240">
        <v>31</v>
      </c>
      <c r="T11240" s="43" t="str">
        <f>HYPERLINK("https://ictv.global/ictv/proposals/2016.021a-kP.A.v2.Tolecusatellitidae.pdf","2016.021a-kP.A.v2.Tolecusatellitidae.pdf")</f>
        <v>2016.021a-kP.A.v2.Tolecusatellitidae.pdf</v>
      </c>
      <c r="U11240" s="43" t="str">
        <f>HYPERLINK("https://ictv.global/taxonomy/taxondetails?taxnode_id=202205166","ictv.global=202205166")</f>
        <v>ictv.global=202205166</v>
      </c>
    </row>
    <row r="11241" spans="1:21">
      <c r="A11241">
        <v>11240</v>
      </c>
      <c r="B11241" s="29"/>
      <c r="C11241" s="29"/>
      <c r="D11241" s="29"/>
      <c r="E11241" s="29"/>
      <c r="F11241" s="29"/>
      <c r="G11241" s="29"/>
      <c r="H11241" s="29"/>
      <c r="I11241" s="29"/>
      <c r="J11241" s="29"/>
      <c r="K11241" s="29"/>
      <c r="L11241" s="29" t="s">
        <v>2556</v>
      </c>
      <c r="M11241" s="29"/>
      <c r="N11241" s="29" t="s">
        <v>2557</v>
      </c>
      <c r="O11241" s="29"/>
      <c r="P11241" s="29" t="s">
        <v>2603</v>
      </c>
      <c r="Q11241" t="s">
        <v>2041</v>
      </c>
      <c r="R11241" t="s">
        <v>2632</v>
      </c>
      <c r="S11241">
        <v>31</v>
      </c>
      <c r="T11241" s="43" t="str">
        <f>HYPERLINK("https://ictv.global/ictv/proposals/2016.021a-kP.A.v2.Tolecusatellitidae.pdf","2016.021a-kP.A.v2.Tolecusatellitidae.pdf")</f>
        <v>2016.021a-kP.A.v2.Tolecusatellitidae.pdf</v>
      </c>
      <c r="U11241" s="43" t="str">
        <f>HYPERLINK("https://ictv.global/taxonomy/taxondetails?taxnode_id=202205167","ictv.global=202205167")</f>
        <v>ictv.global=202205167</v>
      </c>
    </row>
    <row r="11242" spans="1:21">
      <c r="A11242">
        <v>11241</v>
      </c>
      <c r="B11242" s="29"/>
      <c r="C11242" s="29"/>
      <c r="D11242" s="29"/>
      <c r="E11242" s="29"/>
      <c r="F11242" s="29"/>
      <c r="G11242" s="29"/>
      <c r="H11242" s="29"/>
      <c r="I11242" s="29"/>
      <c r="J11242" s="29"/>
      <c r="K11242" s="29"/>
      <c r="L11242" s="29" t="s">
        <v>2556</v>
      </c>
      <c r="M11242" s="29"/>
      <c r="N11242" s="29" t="s">
        <v>2557</v>
      </c>
      <c r="O11242" s="29"/>
      <c r="P11242" s="29" t="s">
        <v>6890</v>
      </c>
      <c r="Q11242" t="s">
        <v>2265</v>
      </c>
      <c r="R11242" t="s">
        <v>2632</v>
      </c>
      <c r="S11242">
        <v>36</v>
      </c>
      <c r="T11242" s="43" t="str">
        <f>HYPERLINK("https://ictv.global/ictv/proposals/2020.009P.R.Betasatellite_61nsp.zip","2020.009P.R.Betasatellite_61nsp.zip")</f>
        <v>2020.009P.R.Betasatellite_61nsp.zip</v>
      </c>
      <c r="U11242" s="43" t="str">
        <f>HYPERLINK("https://ictv.global/taxonomy/taxondetails?taxnode_id=202209240","ictv.global=202209240")</f>
        <v>ictv.global=202209240</v>
      </c>
    </row>
    <row r="11243" spans="1:21">
      <c r="A11243">
        <v>11242</v>
      </c>
      <c r="B11243" s="29"/>
      <c r="C11243" s="29"/>
      <c r="D11243" s="29"/>
      <c r="E11243" s="29"/>
      <c r="F11243" s="29"/>
      <c r="G11243" s="29"/>
      <c r="H11243" s="29"/>
      <c r="I11243" s="29"/>
      <c r="J11243" s="29"/>
      <c r="K11243" s="29"/>
      <c r="L11243" s="29" t="s">
        <v>2556</v>
      </c>
      <c r="M11243" s="29"/>
      <c r="N11243" s="29" t="s">
        <v>2557</v>
      </c>
      <c r="O11243" s="29"/>
      <c r="P11243" s="29" t="s">
        <v>6891</v>
      </c>
      <c r="Q11243" t="s">
        <v>2265</v>
      </c>
      <c r="R11243" t="s">
        <v>2632</v>
      </c>
      <c r="S11243">
        <v>36</v>
      </c>
      <c r="T11243" s="43" t="str">
        <f>HYPERLINK("https://ictv.global/ictv/proposals/2020.009P.R.Betasatellite_61nsp.zip","2020.009P.R.Betasatellite_61nsp.zip")</f>
        <v>2020.009P.R.Betasatellite_61nsp.zip</v>
      </c>
      <c r="U11243" s="43" t="str">
        <f>HYPERLINK("https://ictv.global/taxonomy/taxondetails?taxnode_id=202209241","ictv.global=202209241")</f>
        <v>ictv.global=202209241</v>
      </c>
    </row>
    <row r="11244" spans="1:21">
      <c r="A11244">
        <v>11243</v>
      </c>
      <c r="B11244" s="29"/>
      <c r="C11244" s="29"/>
      <c r="D11244" s="29"/>
      <c r="E11244" s="29"/>
      <c r="F11244" s="29"/>
      <c r="G11244" s="29"/>
      <c r="H11244" s="29"/>
      <c r="I11244" s="29"/>
      <c r="J11244" s="29"/>
      <c r="K11244" s="29"/>
      <c r="L11244" s="29" t="s">
        <v>2556</v>
      </c>
      <c r="M11244" s="29"/>
      <c r="N11244" s="29" t="s">
        <v>2557</v>
      </c>
      <c r="O11244" s="29"/>
      <c r="P11244" s="29" t="s">
        <v>2604</v>
      </c>
      <c r="Q11244" t="s">
        <v>2041</v>
      </c>
      <c r="R11244" t="s">
        <v>2632</v>
      </c>
      <c r="S11244">
        <v>31</v>
      </c>
      <c r="T11244" s="43" t="str">
        <f>HYPERLINK("https://ictv.global/ictv/proposals/2016.021a-kP.A.v2.Tolecusatellitidae.pdf","2016.021a-kP.A.v2.Tolecusatellitidae.pdf")</f>
        <v>2016.021a-kP.A.v2.Tolecusatellitidae.pdf</v>
      </c>
      <c r="U11244" s="43" t="str">
        <f>HYPERLINK("https://ictv.global/taxonomy/taxondetails?taxnode_id=202205168","ictv.global=202205168")</f>
        <v>ictv.global=202205168</v>
      </c>
    </row>
    <row r="11245" spans="1:21">
      <c r="A11245">
        <v>11244</v>
      </c>
      <c r="B11245" s="29"/>
      <c r="C11245" s="29"/>
      <c r="D11245" s="29"/>
      <c r="E11245" s="29"/>
      <c r="F11245" s="29"/>
      <c r="G11245" s="29"/>
      <c r="H11245" s="29"/>
      <c r="I11245" s="29"/>
      <c r="J11245" s="29"/>
      <c r="K11245" s="29"/>
      <c r="L11245" s="29" t="s">
        <v>2556</v>
      </c>
      <c r="M11245" s="29"/>
      <c r="N11245" s="29" t="s">
        <v>2557</v>
      </c>
      <c r="O11245" s="29"/>
      <c r="P11245" s="29" t="s">
        <v>2605</v>
      </c>
      <c r="Q11245" t="s">
        <v>2041</v>
      </c>
      <c r="R11245" t="s">
        <v>2632</v>
      </c>
      <c r="S11245">
        <v>31</v>
      </c>
      <c r="T11245" s="43" t="str">
        <f>HYPERLINK("https://ictv.global/ictv/proposals/2016.021a-kP.A.v2.Tolecusatellitidae.pdf","2016.021a-kP.A.v2.Tolecusatellitidae.pdf")</f>
        <v>2016.021a-kP.A.v2.Tolecusatellitidae.pdf</v>
      </c>
      <c r="U11245" s="43" t="str">
        <f>HYPERLINK("https://ictv.global/taxonomy/taxondetails?taxnode_id=202205169","ictv.global=202205169")</f>
        <v>ictv.global=202205169</v>
      </c>
    </row>
    <row r="11246" spans="1:21">
      <c r="A11246">
        <v>11245</v>
      </c>
      <c r="B11246" s="29"/>
      <c r="C11246" s="29"/>
      <c r="D11246" s="29"/>
      <c r="E11246" s="29"/>
      <c r="F11246" s="29"/>
      <c r="G11246" s="29"/>
      <c r="H11246" s="29"/>
      <c r="I11246" s="29"/>
      <c r="J11246" s="29"/>
      <c r="K11246" s="29"/>
      <c r="L11246" s="29" t="s">
        <v>2556</v>
      </c>
      <c r="M11246" s="29"/>
      <c r="N11246" s="29" t="s">
        <v>2557</v>
      </c>
      <c r="O11246" s="29"/>
      <c r="P11246" s="29" t="s">
        <v>6892</v>
      </c>
      <c r="Q11246" t="s">
        <v>2265</v>
      </c>
      <c r="R11246" t="s">
        <v>2632</v>
      </c>
      <c r="S11246">
        <v>36</v>
      </c>
      <c r="T11246" s="43" t="str">
        <f>HYPERLINK("https://ictv.global/ictv/proposals/2020.009P.R.Betasatellite_61nsp.zip","2020.009P.R.Betasatellite_61nsp.zip")</f>
        <v>2020.009P.R.Betasatellite_61nsp.zip</v>
      </c>
      <c r="U11246" s="43" t="str">
        <f>HYPERLINK("https://ictv.global/taxonomy/taxondetails?taxnode_id=202209242","ictv.global=202209242")</f>
        <v>ictv.global=202209242</v>
      </c>
    </row>
    <row r="11247" spans="1:21">
      <c r="A11247">
        <v>11246</v>
      </c>
      <c r="B11247" s="29"/>
      <c r="C11247" s="29"/>
      <c r="D11247" s="29"/>
      <c r="E11247" s="29"/>
      <c r="F11247" s="29"/>
      <c r="G11247" s="29"/>
      <c r="H11247" s="29"/>
      <c r="I11247" s="29"/>
      <c r="J11247" s="29"/>
      <c r="K11247" s="29"/>
      <c r="L11247" s="29" t="s">
        <v>2556</v>
      </c>
      <c r="M11247" s="29"/>
      <c r="N11247" s="29" t="s">
        <v>2557</v>
      </c>
      <c r="O11247" s="29"/>
      <c r="P11247" s="29" t="s">
        <v>6893</v>
      </c>
      <c r="Q11247" t="s">
        <v>2265</v>
      </c>
      <c r="R11247" t="s">
        <v>2632</v>
      </c>
      <c r="S11247">
        <v>36</v>
      </c>
      <c r="T11247" s="43" t="str">
        <f>HYPERLINK("https://ictv.global/ictv/proposals/2020.009P.R.Betasatellite_61nsp.zip","2020.009P.R.Betasatellite_61nsp.zip")</f>
        <v>2020.009P.R.Betasatellite_61nsp.zip</v>
      </c>
      <c r="U11247" s="43" t="str">
        <f>HYPERLINK("https://ictv.global/taxonomy/taxondetails?taxnode_id=202209243","ictv.global=202209243")</f>
        <v>ictv.global=202209243</v>
      </c>
    </row>
    <row r="11248" spans="1:21">
      <c r="A11248">
        <v>11247</v>
      </c>
      <c r="B11248" s="29"/>
      <c r="C11248" s="29"/>
      <c r="D11248" s="29"/>
      <c r="E11248" s="29"/>
      <c r="F11248" s="29"/>
      <c r="G11248" s="29"/>
      <c r="H11248" s="29"/>
      <c r="I11248" s="29"/>
      <c r="J11248" s="29"/>
      <c r="K11248" s="29"/>
      <c r="L11248" s="29" t="s">
        <v>2556</v>
      </c>
      <c r="M11248" s="29"/>
      <c r="N11248" s="29" t="s">
        <v>2557</v>
      </c>
      <c r="O11248" s="29"/>
      <c r="P11248" s="29" t="s">
        <v>2606</v>
      </c>
      <c r="Q11248" t="s">
        <v>2041</v>
      </c>
      <c r="R11248" t="s">
        <v>2632</v>
      </c>
      <c r="S11248">
        <v>31</v>
      </c>
      <c r="T11248" s="43" t="str">
        <f>HYPERLINK("https://ictv.global/ictv/proposals/2016.021a-kP.A.v2.Tolecusatellitidae.pdf","2016.021a-kP.A.v2.Tolecusatellitidae.pdf")</f>
        <v>2016.021a-kP.A.v2.Tolecusatellitidae.pdf</v>
      </c>
      <c r="U11248" s="43" t="str">
        <f>HYPERLINK("https://ictv.global/taxonomy/taxondetails?taxnode_id=202205170","ictv.global=202205170")</f>
        <v>ictv.global=202205170</v>
      </c>
    </row>
    <row r="11249" spans="1:21">
      <c r="A11249">
        <v>11248</v>
      </c>
      <c r="B11249" s="29"/>
      <c r="C11249" s="29"/>
      <c r="D11249" s="29"/>
      <c r="E11249" s="29"/>
      <c r="F11249" s="29"/>
      <c r="G11249" s="29"/>
      <c r="H11249" s="29"/>
      <c r="I11249" s="29"/>
      <c r="J11249" s="29"/>
      <c r="K11249" s="29"/>
      <c r="L11249" s="29" t="s">
        <v>2556</v>
      </c>
      <c r="M11249" s="29"/>
      <c r="N11249" s="29" t="s">
        <v>2557</v>
      </c>
      <c r="O11249" s="29"/>
      <c r="P11249" s="29" t="s">
        <v>6894</v>
      </c>
      <c r="Q11249" t="s">
        <v>2265</v>
      </c>
      <c r="R11249" t="s">
        <v>2632</v>
      </c>
      <c r="S11249">
        <v>36</v>
      </c>
      <c r="T11249" s="43" t="str">
        <f>HYPERLINK("https://ictv.global/ictv/proposals/2020.009P.R.Betasatellite_61nsp.zip","2020.009P.R.Betasatellite_61nsp.zip")</f>
        <v>2020.009P.R.Betasatellite_61nsp.zip</v>
      </c>
      <c r="U11249" s="43" t="str">
        <f>HYPERLINK("https://ictv.global/taxonomy/taxondetails?taxnode_id=202209244","ictv.global=202209244")</f>
        <v>ictv.global=202209244</v>
      </c>
    </row>
    <row r="11250" spans="1:21">
      <c r="A11250">
        <v>11249</v>
      </c>
      <c r="B11250" s="29"/>
      <c r="C11250" s="29"/>
      <c r="D11250" s="29"/>
      <c r="E11250" s="29"/>
      <c r="F11250" s="29"/>
      <c r="G11250" s="29"/>
      <c r="H11250" s="29"/>
      <c r="I11250" s="29"/>
      <c r="J11250" s="29"/>
      <c r="K11250" s="29"/>
      <c r="L11250" s="29" t="s">
        <v>2556</v>
      </c>
      <c r="M11250" s="29"/>
      <c r="N11250" s="29" t="s">
        <v>2557</v>
      </c>
      <c r="O11250" s="29"/>
      <c r="P11250" s="29" t="s">
        <v>2607</v>
      </c>
      <c r="Q11250" t="s">
        <v>2041</v>
      </c>
      <c r="R11250" t="s">
        <v>2632</v>
      </c>
      <c r="S11250">
        <v>31</v>
      </c>
      <c r="T11250" s="43" t="str">
        <f>HYPERLINK("https://ictv.global/ictv/proposals/2016.021a-kP.A.v2.Tolecusatellitidae.pdf","2016.021a-kP.A.v2.Tolecusatellitidae.pdf")</f>
        <v>2016.021a-kP.A.v2.Tolecusatellitidae.pdf</v>
      </c>
      <c r="U11250" s="43" t="str">
        <f>HYPERLINK("https://ictv.global/taxonomy/taxondetails?taxnode_id=202205171","ictv.global=202205171")</f>
        <v>ictv.global=202205171</v>
      </c>
    </row>
    <row r="11251" spans="1:21">
      <c r="A11251">
        <v>11250</v>
      </c>
      <c r="B11251" s="29"/>
      <c r="C11251" s="29"/>
      <c r="D11251" s="29"/>
      <c r="E11251" s="29"/>
      <c r="F11251" s="29"/>
      <c r="G11251" s="29"/>
      <c r="H11251" s="29"/>
      <c r="I11251" s="29"/>
      <c r="J11251" s="29"/>
      <c r="K11251" s="29"/>
      <c r="L11251" s="29" t="s">
        <v>2556</v>
      </c>
      <c r="M11251" s="29"/>
      <c r="N11251" s="29" t="s">
        <v>2557</v>
      </c>
      <c r="O11251" s="29"/>
      <c r="P11251" s="29" t="s">
        <v>6895</v>
      </c>
      <c r="Q11251" t="s">
        <v>2265</v>
      </c>
      <c r="R11251" t="s">
        <v>2632</v>
      </c>
      <c r="S11251">
        <v>36</v>
      </c>
      <c r="T11251" s="43" t="str">
        <f>HYPERLINK("https://ictv.global/ictv/proposals/2020.009P.R.Betasatellite_61nsp.zip","2020.009P.R.Betasatellite_61nsp.zip")</f>
        <v>2020.009P.R.Betasatellite_61nsp.zip</v>
      </c>
      <c r="U11251" s="43" t="str">
        <f>HYPERLINK("https://ictv.global/taxonomy/taxondetails?taxnode_id=202209245","ictv.global=202209245")</f>
        <v>ictv.global=202209245</v>
      </c>
    </row>
    <row r="11252" spans="1:21">
      <c r="A11252">
        <v>11251</v>
      </c>
      <c r="B11252" s="29"/>
      <c r="C11252" s="29"/>
      <c r="D11252" s="29"/>
      <c r="E11252" s="29"/>
      <c r="F11252" s="29"/>
      <c r="G11252" s="29"/>
      <c r="H11252" s="29"/>
      <c r="I11252" s="29"/>
      <c r="J11252" s="29"/>
      <c r="K11252" s="29"/>
      <c r="L11252" s="29" t="s">
        <v>2556</v>
      </c>
      <c r="M11252" s="29"/>
      <c r="N11252" s="29" t="s">
        <v>2557</v>
      </c>
      <c r="O11252" s="29"/>
      <c r="P11252" s="29" t="s">
        <v>2608</v>
      </c>
      <c r="Q11252" t="s">
        <v>2041</v>
      </c>
      <c r="R11252" t="s">
        <v>2632</v>
      </c>
      <c r="S11252">
        <v>31</v>
      </c>
      <c r="T11252" s="43" t="str">
        <f>HYPERLINK("https://ictv.global/ictv/proposals/2016.021a-kP.A.v2.Tolecusatellitidae.pdf","2016.021a-kP.A.v2.Tolecusatellitidae.pdf")</f>
        <v>2016.021a-kP.A.v2.Tolecusatellitidae.pdf</v>
      </c>
      <c r="U11252" s="43" t="str">
        <f>HYPERLINK("https://ictv.global/taxonomy/taxondetails?taxnode_id=202205172","ictv.global=202205172")</f>
        <v>ictv.global=202205172</v>
      </c>
    </row>
    <row r="11253" spans="1:21">
      <c r="A11253">
        <v>11252</v>
      </c>
      <c r="B11253" s="29"/>
      <c r="C11253" s="29"/>
      <c r="D11253" s="29"/>
      <c r="E11253" s="29"/>
      <c r="F11253" s="29"/>
      <c r="G11253" s="29"/>
      <c r="H11253" s="29"/>
      <c r="I11253" s="29"/>
      <c r="J11253" s="29"/>
      <c r="K11253" s="29"/>
      <c r="L11253" s="29" t="s">
        <v>2556</v>
      </c>
      <c r="M11253" s="29"/>
      <c r="N11253" s="29" t="s">
        <v>2557</v>
      </c>
      <c r="O11253" s="29"/>
      <c r="P11253" s="29" t="s">
        <v>2609</v>
      </c>
      <c r="Q11253" t="s">
        <v>2041</v>
      </c>
      <c r="R11253" t="s">
        <v>2632</v>
      </c>
      <c r="S11253">
        <v>31</v>
      </c>
      <c r="T11253" s="43" t="str">
        <f>HYPERLINK("https://ictv.global/ictv/proposals/2016.021a-kP.A.v2.Tolecusatellitidae.pdf","2016.021a-kP.A.v2.Tolecusatellitidae.pdf")</f>
        <v>2016.021a-kP.A.v2.Tolecusatellitidae.pdf</v>
      </c>
      <c r="U11253" s="43" t="str">
        <f>HYPERLINK("https://ictv.global/taxonomy/taxondetails?taxnode_id=202205174","ictv.global=202205174")</f>
        <v>ictv.global=202205174</v>
      </c>
    </row>
    <row r="11254" spans="1:21">
      <c r="A11254">
        <v>11253</v>
      </c>
      <c r="B11254" s="29"/>
      <c r="C11254" s="29"/>
      <c r="D11254" s="29"/>
      <c r="E11254" s="29"/>
      <c r="F11254" s="29"/>
      <c r="G11254" s="29"/>
      <c r="H11254" s="29"/>
      <c r="I11254" s="29"/>
      <c r="J11254" s="29"/>
      <c r="K11254" s="29"/>
      <c r="L11254" s="29" t="s">
        <v>2556</v>
      </c>
      <c r="M11254" s="29"/>
      <c r="N11254" s="29" t="s">
        <v>2557</v>
      </c>
      <c r="O11254" s="29"/>
      <c r="P11254" s="29" t="s">
        <v>2610</v>
      </c>
      <c r="Q11254" t="s">
        <v>2041</v>
      </c>
      <c r="R11254" t="s">
        <v>2632</v>
      </c>
      <c r="S11254">
        <v>31</v>
      </c>
      <c r="T11254" s="43" t="str">
        <f>HYPERLINK("https://ictv.global/ictv/proposals/2016.021a-kP.A.v2.Tolecusatellitidae.pdf","2016.021a-kP.A.v2.Tolecusatellitidae.pdf")</f>
        <v>2016.021a-kP.A.v2.Tolecusatellitidae.pdf</v>
      </c>
      <c r="U11254" s="43" t="str">
        <f>HYPERLINK("https://ictv.global/taxonomy/taxondetails?taxnode_id=202205175","ictv.global=202205175")</f>
        <v>ictv.global=202205175</v>
      </c>
    </row>
    <row r="11255" spans="1:21">
      <c r="A11255">
        <v>11254</v>
      </c>
      <c r="B11255" s="29"/>
      <c r="C11255" s="29"/>
      <c r="D11255" s="29"/>
      <c r="E11255" s="29"/>
      <c r="F11255" s="29"/>
      <c r="G11255" s="29"/>
      <c r="H11255" s="29"/>
      <c r="I11255" s="29"/>
      <c r="J11255" s="29"/>
      <c r="K11255" s="29"/>
      <c r="L11255" s="29" t="s">
        <v>2556</v>
      </c>
      <c r="M11255" s="29"/>
      <c r="N11255" s="29" t="s">
        <v>2557</v>
      </c>
      <c r="O11255" s="29"/>
      <c r="P11255" s="29" t="s">
        <v>2611</v>
      </c>
      <c r="Q11255" t="s">
        <v>2041</v>
      </c>
      <c r="R11255" t="s">
        <v>2632</v>
      </c>
      <c r="S11255">
        <v>31</v>
      </c>
      <c r="T11255" s="43" t="str">
        <f>HYPERLINK("https://ictv.global/ictv/proposals/2016.021a-kP.A.v2.Tolecusatellitidae.pdf","2016.021a-kP.A.v2.Tolecusatellitidae.pdf")</f>
        <v>2016.021a-kP.A.v2.Tolecusatellitidae.pdf</v>
      </c>
      <c r="U11255" s="43" t="str">
        <f>HYPERLINK("https://ictv.global/taxonomy/taxondetails?taxnode_id=202205176","ictv.global=202205176")</f>
        <v>ictv.global=202205176</v>
      </c>
    </row>
    <row r="11256" spans="1:21">
      <c r="A11256">
        <v>11255</v>
      </c>
      <c r="B11256" s="29"/>
      <c r="C11256" s="29"/>
      <c r="D11256" s="29"/>
      <c r="E11256" s="29"/>
      <c r="F11256" s="29"/>
      <c r="G11256" s="29"/>
      <c r="H11256" s="29"/>
      <c r="I11256" s="29"/>
      <c r="J11256" s="29"/>
      <c r="K11256" s="29"/>
      <c r="L11256" s="29" t="s">
        <v>2556</v>
      </c>
      <c r="M11256" s="29"/>
      <c r="N11256" s="29" t="s">
        <v>2557</v>
      </c>
      <c r="O11256" s="29"/>
      <c r="P11256" s="29" t="s">
        <v>2612</v>
      </c>
      <c r="Q11256" t="s">
        <v>2041</v>
      </c>
      <c r="R11256" t="s">
        <v>2632</v>
      </c>
      <c r="S11256">
        <v>31</v>
      </c>
      <c r="T11256" s="43" t="str">
        <f>HYPERLINK("https://ictv.global/ictv/proposals/2016.021a-kP.A.v2.Tolecusatellitidae.pdf","2016.021a-kP.A.v2.Tolecusatellitidae.pdf")</f>
        <v>2016.021a-kP.A.v2.Tolecusatellitidae.pdf</v>
      </c>
      <c r="U11256" s="43" t="str">
        <f>HYPERLINK("https://ictv.global/taxonomy/taxondetails?taxnode_id=202205177","ictv.global=202205177")</f>
        <v>ictv.global=202205177</v>
      </c>
    </row>
    <row r="11257" spans="1:21">
      <c r="A11257">
        <v>11256</v>
      </c>
      <c r="B11257" s="29"/>
      <c r="C11257" s="29"/>
      <c r="D11257" s="29"/>
      <c r="E11257" s="29"/>
      <c r="F11257" s="29"/>
      <c r="G11257" s="29"/>
      <c r="H11257" s="29"/>
      <c r="I11257" s="29"/>
      <c r="J11257" s="29"/>
      <c r="K11257" s="29"/>
      <c r="L11257" s="29" t="s">
        <v>2556</v>
      </c>
      <c r="M11257" s="29"/>
      <c r="N11257" s="29" t="s">
        <v>2557</v>
      </c>
      <c r="O11257" s="29"/>
      <c r="P11257" s="29" t="s">
        <v>6896</v>
      </c>
      <c r="Q11257" t="s">
        <v>2265</v>
      </c>
      <c r="R11257" t="s">
        <v>2632</v>
      </c>
      <c r="S11257">
        <v>36</v>
      </c>
      <c r="T11257" s="43" t="str">
        <f>HYPERLINK("https://ictv.global/ictv/proposals/2020.009P.R.Betasatellite_61nsp.zip","2020.009P.R.Betasatellite_61nsp.zip")</f>
        <v>2020.009P.R.Betasatellite_61nsp.zip</v>
      </c>
      <c r="U11257" s="43" t="str">
        <f>HYPERLINK("https://ictv.global/taxonomy/taxondetails?taxnode_id=202209246","ictv.global=202209246")</f>
        <v>ictv.global=202209246</v>
      </c>
    </row>
    <row r="11258" spans="1:21">
      <c r="A11258">
        <v>11257</v>
      </c>
      <c r="B11258" s="29"/>
      <c r="C11258" s="29"/>
      <c r="D11258" s="29"/>
      <c r="E11258" s="29"/>
      <c r="F11258" s="29"/>
      <c r="G11258" s="29"/>
      <c r="H11258" s="29"/>
      <c r="I11258" s="29"/>
      <c r="J11258" s="29"/>
      <c r="K11258" s="29"/>
      <c r="L11258" s="29" t="s">
        <v>2556</v>
      </c>
      <c r="M11258" s="29"/>
      <c r="N11258" s="29" t="s">
        <v>2557</v>
      </c>
      <c r="O11258" s="29"/>
      <c r="P11258" s="29" t="s">
        <v>2613</v>
      </c>
      <c r="Q11258" t="s">
        <v>2041</v>
      </c>
      <c r="R11258" t="s">
        <v>2632</v>
      </c>
      <c r="S11258">
        <v>31</v>
      </c>
      <c r="T11258" s="43" t="str">
        <f>HYPERLINK("https://ictv.global/ictv/proposals/2016.021a-kP.A.v2.Tolecusatellitidae.pdf","2016.021a-kP.A.v2.Tolecusatellitidae.pdf")</f>
        <v>2016.021a-kP.A.v2.Tolecusatellitidae.pdf</v>
      </c>
      <c r="U11258" s="43" t="str">
        <f>HYPERLINK("https://ictv.global/taxonomy/taxondetails?taxnode_id=202205178","ictv.global=202205178")</f>
        <v>ictv.global=202205178</v>
      </c>
    </row>
    <row r="11259" spans="1:21">
      <c r="A11259">
        <v>11258</v>
      </c>
      <c r="B11259" s="29"/>
      <c r="C11259" s="29"/>
      <c r="D11259" s="29"/>
      <c r="E11259" s="29"/>
      <c r="F11259" s="29"/>
      <c r="G11259" s="29"/>
      <c r="H11259" s="29"/>
      <c r="I11259" s="29"/>
      <c r="J11259" s="29"/>
      <c r="K11259" s="29"/>
      <c r="L11259" s="29" t="s">
        <v>2556</v>
      </c>
      <c r="M11259" s="29"/>
      <c r="N11259" s="29" t="s">
        <v>2557</v>
      </c>
      <c r="O11259" s="29"/>
      <c r="P11259" s="29" t="s">
        <v>2614</v>
      </c>
      <c r="Q11259" t="s">
        <v>2041</v>
      </c>
      <c r="R11259" t="s">
        <v>2632</v>
      </c>
      <c r="S11259">
        <v>31</v>
      </c>
      <c r="T11259" s="43" t="str">
        <f>HYPERLINK("https://ictv.global/ictv/proposals/2016.021a-kP.A.v2.Tolecusatellitidae.pdf","2016.021a-kP.A.v2.Tolecusatellitidae.pdf")</f>
        <v>2016.021a-kP.A.v2.Tolecusatellitidae.pdf</v>
      </c>
      <c r="U11259" s="43" t="str">
        <f>HYPERLINK("https://ictv.global/taxonomy/taxondetails?taxnode_id=202205179","ictv.global=202205179")</f>
        <v>ictv.global=202205179</v>
      </c>
    </row>
    <row r="11260" spans="1:21">
      <c r="A11260">
        <v>11259</v>
      </c>
      <c r="B11260" s="29"/>
      <c r="C11260" s="29"/>
      <c r="D11260" s="29"/>
      <c r="E11260" s="29"/>
      <c r="F11260" s="29"/>
      <c r="G11260" s="29"/>
      <c r="H11260" s="29"/>
      <c r="I11260" s="29"/>
      <c r="J11260" s="29"/>
      <c r="K11260" s="29"/>
      <c r="L11260" s="29" t="s">
        <v>2556</v>
      </c>
      <c r="M11260" s="29"/>
      <c r="N11260" s="29" t="s">
        <v>2557</v>
      </c>
      <c r="O11260" s="29"/>
      <c r="P11260" s="29" t="s">
        <v>6897</v>
      </c>
      <c r="Q11260" t="s">
        <v>2265</v>
      </c>
      <c r="R11260" t="s">
        <v>2632</v>
      </c>
      <c r="S11260">
        <v>36</v>
      </c>
      <c r="T11260" s="43" t="str">
        <f>HYPERLINK("https://ictv.global/ictv/proposals/2020.009P.R.Betasatellite_61nsp.zip","2020.009P.R.Betasatellite_61nsp.zip")</f>
        <v>2020.009P.R.Betasatellite_61nsp.zip</v>
      </c>
      <c r="U11260" s="43" t="str">
        <f>HYPERLINK("https://ictv.global/taxonomy/taxondetails?taxnode_id=202209247","ictv.global=202209247")</f>
        <v>ictv.global=202209247</v>
      </c>
    </row>
    <row r="11261" spans="1:21">
      <c r="A11261">
        <v>11260</v>
      </c>
      <c r="B11261" s="29"/>
      <c r="C11261" s="29"/>
      <c r="D11261" s="29"/>
      <c r="E11261" s="29"/>
      <c r="F11261" s="29"/>
      <c r="G11261" s="29"/>
      <c r="H11261" s="29"/>
      <c r="I11261" s="29"/>
      <c r="J11261" s="29"/>
      <c r="K11261" s="29"/>
      <c r="L11261" s="29" t="s">
        <v>2556</v>
      </c>
      <c r="M11261" s="29"/>
      <c r="N11261" s="29" t="s">
        <v>2615</v>
      </c>
      <c r="O11261" s="29"/>
      <c r="P11261" s="29" t="s">
        <v>2616</v>
      </c>
      <c r="Q11261" t="s">
        <v>2041</v>
      </c>
      <c r="R11261" t="s">
        <v>2632</v>
      </c>
      <c r="S11261">
        <v>31</v>
      </c>
      <c r="T11261" s="43" t="str">
        <f>HYPERLINK("https://ictv.global/ictv/proposals/2016.021a-kP.A.v2.Tolecusatellitidae.pdf","2016.021a-kP.A.v2.Tolecusatellitidae.pdf")</f>
        <v>2016.021a-kP.A.v2.Tolecusatellitidae.pdf</v>
      </c>
      <c r="U11261" s="43" t="str">
        <f>HYPERLINK("https://ictv.global/taxonomy/taxondetails?taxnode_id=202205181","ictv.global=202205181")</f>
        <v>ictv.global=202205181</v>
      </c>
    </row>
    <row r="11262" spans="1:21">
      <c r="A11262">
        <v>11261</v>
      </c>
      <c r="B11262" s="29"/>
      <c r="C11262" s="29"/>
      <c r="D11262" s="29"/>
      <c r="E11262" s="29"/>
      <c r="F11262" s="29"/>
      <c r="G11262" s="29"/>
      <c r="H11262" s="29"/>
      <c r="I11262" s="29"/>
      <c r="J11262" s="29"/>
      <c r="K11262" s="29"/>
      <c r="L11262" s="29" t="s">
        <v>2556</v>
      </c>
      <c r="M11262" s="29"/>
      <c r="N11262" s="29" t="s">
        <v>2615</v>
      </c>
      <c r="O11262" s="29"/>
      <c r="P11262" s="29" t="s">
        <v>6898</v>
      </c>
      <c r="Q11262" t="s">
        <v>2265</v>
      </c>
      <c r="R11262" t="s">
        <v>2632</v>
      </c>
      <c r="S11262">
        <v>36</v>
      </c>
      <c r="T11262" s="43" t="str">
        <f>HYPERLINK("https://ictv.global/ictv/proposals/2020.007P.R.Deltasatellite_1nsp.zip","2020.007P.R.Deltasatellite_1nsp.zip")</f>
        <v>2020.007P.R.Deltasatellite_1nsp.zip</v>
      </c>
      <c r="U11262" s="43" t="str">
        <f>HYPERLINK("https://ictv.global/taxonomy/taxondetails?taxnode_id=202209156","ictv.global=202209156")</f>
        <v>ictv.global=202209156</v>
      </c>
    </row>
    <row r="11263" spans="1:21">
      <c r="A11263">
        <v>11262</v>
      </c>
      <c r="B11263" s="29"/>
      <c r="C11263" s="29"/>
      <c r="D11263" s="29"/>
      <c r="E11263" s="29"/>
      <c r="F11263" s="29"/>
      <c r="G11263" s="29"/>
      <c r="H11263" s="29"/>
      <c r="I11263" s="29"/>
      <c r="J11263" s="29"/>
      <c r="K11263" s="29"/>
      <c r="L11263" s="29" t="s">
        <v>2556</v>
      </c>
      <c r="M11263" s="29"/>
      <c r="N11263" s="29" t="s">
        <v>2615</v>
      </c>
      <c r="O11263" s="29"/>
      <c r="P11263" s="29" t="s">
        <v>2617</v>
      </c>
      <c r="Q11263" t="s">
        <v>2041</v>
      </c>
      <c r="R11263" t="s">
        <v>2632</v>
      </c>
      <c r="S11263">
        <v>31</v>
      </c>
      <c r="T11263" s="43" t="str">
        <f t="shared" ref="T11263:T11269" si="483">HYPERLINK("https://ictv.global/ictv/proposals/2016.021a-kP.A.v2.Tolecusatellitidae.pdf","2016.021a-kP.A.v2.Tolecusatellitidae.pdf")</f>
        <v>2016.021a-kP.A.v2.Tolecusatellitidae.pdf</v>
      </c>
      <c r="U11263" s="43" t="str">
        <f>HYPERLINK("https://ictv.global/taxonomy/taxondetails?taxnode_id=202205182","ictv.global=202205182")</f>
        <v>ictv.global=202205182</v>
      </c>
    </row>
    <row r="11264" spans="1:21">
      <c r="A11264">
        <v>11263</v>
      </c>
      <c r="B11264" s="29"/>
      <c r="C11264" s="29"/>
      <c r="D11264" s="29"/>
      <c r="E11264" s="29"/>
      <c r="F11264" s="29"/>
      <c r="G11264" s="29"/>
      <c r="H11264" s="29"/>
      <c r="I11264" s="29"/>
      <c r="J11264" s="29"/>
      <c r="K11264" s="29"/>
      <c r="L11264" s="29" t="s">
        <v>2556</v>
      </c>
      <c r="M11264" s="29"/>
      <c r="N11264" s="29" t="s">
        <v>2615</v>
      </c>
      <c r="O11264" s="29"/>
      <c r="P11264" s="29" t="s">
        <v>2618</v>
      </c>
      <c r="Q11264" t="s">
        <v>2041</v>
      </c>
      <c r="R11264" t="s">
        <v>2632</v>
      </c>
      <c r="S11264">
        <v>31</v>
      </c>
      <c r="T11264" s="43" t="str">
        <f t="shared" si="483"/>
        <v>2016.021a-kP.A.v2.Tolecusatellitidae.pdf</v>
      </c>
      <c r="U11264" s="43" t="str">
        <f>HYPERLINK("https://ictv.global/taxonomy/taxondetails?taxnode_id=202205183","ictv.global=202205183")</f>
        <v>ictv.global=202205183</v>
      </c>
    </row>
    <row r="11265" spans="1:21">
      <c r="A11265">
        <v>11264</v>
      </c>
      <c r="B11265" s="29"/>
      <c r="C11265" s="29"/>
      <c r="D11265" s="29"/>
      <c r="E11265" s="29"/>
      <c r="F11265" s="29"/>
      <c r="G11265" s="29"/>
      <c r="H11265" s="29"/>
      <c r="I11265" s="29"/>
      <c r="J11265" s="29"/>
      <c r="K11265" s="29"/>
      <c r="L11265" s="29" t="s">
        <v>2556</v>
      </c>
      <c r="M11265" s="29"/>
      <c r="N11265" s="29" t="s">
        <v>2615</v>
      </c>
      <c r="O11265" s="29"/>
      <c r="P11265" s="29" t="s">
        <v>2619</v>
      </c>
      <c r="Q11265" t="s">
        <v>2041</v>
      </c>
      <c r="R11265" t="s">
        <v>2632</v>
      </c>
      <c r="S11265">
        <v>31</v>
      </c>
      <c r="T11265" s="43" t="str">
        <f t="shared" si="483"/>
        <v>2016.021a-kP.A.v2.Tolecusatellitidae.pdf</v>
      </c>
      <c r="U11265" s="43" t="str">
        <f>HYPERLINK("https://ictv.global/taxonomy/taxondetails?taxnode_id=202205184","ictv.global=202205184")</f>
        <v>ictv.global=202205184</v>
      </c>
    </row>
    <row r="11266" spans="1:21">
      <c r="A11266">
        <v>11265</v>
      </c>
      <c r="B11266" s="29"/>
      <c r="C11266" s="29"/>
      <c r="D11266" s="29"/>
      <c r="E11266" s="29"/>
      <c r="F11266" s="29"/>
      <c r="G11266" s="29"/>
      <c r="H11266" s="29"/>
      <c r="I11266" s="29"/>
      <c r="J11266" s="29"/>
      <c r="K11266" s="29"/>
      <c r="L11266" s="29" t="s">
        <v>2556</v>
      </c>
      <c r="M11266" s="29"/>
      <c r="N11266" s="29" t="s">
        <v>2615</v>
      </c>
      <c r="O11266" s="29"/>
      <c r="P11266" s="29" t="s">
        <v>2620</v>
      </c>
      <c r="Q11266" t="s">
        <v>2041</v>
      </c>
      <c r="R11266" t="s">
        <v>2632</v>
      </c>
      <c r="S11266">
        <v>31</v>
      </c>
      <c r="T11266" s="43" t="str">
        <f t="shared" si="483"/>
        <v>2016.021a-kP.A.v2.Tolecusatellitidae.pdf</v>
      </c>
      <c r="U11266" s="43" t="str">
        <f>HYPERLINK("https://ictv.global/taxonomy/taxondetails?taxnode_id=202205185","ictv.global=202205185")</f>
        <v>ictv.global=202205185</v>
      </c>
    </row>
    <row r="11267" spans="1:21">
      <c r="A11267">
        <v>11266</v>
      </c>
      <c r="B11267" s="29"/>
      <c r="C11267" s="29"/>
      <c r="D11267" s="29"/>
      <c r="E11267" s="29"/>
      <c r="F11267" s="29"/>
      <c r="G11267" s="29"/>
      <c r="H11267" s="29"/>
      <c r="I11267" s="29"/>
      <c r="J11267" s="29"/>
      <c r="K11267" s="29"/>
      <c r="L11267" s="29" t="s">
        <v>2556</v>
      </c>
      <c r="M11267" s="29"/>
      <c r="N11267" s="29" t="s">
        <v>2615</v>
      </c>
      <c r="O11267" s="29"/>
      <c r="P11267" s="29" t="s">
        <v>2621</v>
      </c>
      <c r="Q11267" t="s">
        <v>2041</v>
      </c>
      <c r="R11267" t="s">
        <v>2632</v>
      </c>
      <c r="S11267">
        <v>31</v>
      </c>
      <c r="T11267" s="43" t="str">
        <f t="shared" si="483"/>
        <v>2016.021a-kP.A.v2.Tolecusatellitidae.pdf</v>
      </c>
      <c r="U11267" s="43" t="str">
        <f>HYPERLINK("https://ictv.global/taxonomy/taxondetails?taxnode_id=202205186","ictv.global=202205186")</f>
        <v>ictv.global=202205186</v>
      </c>
    </row>
    <row r="11268" spans="1:21">
      <c r="A11268">
        <v>11267</v>
      </c>
      <c r="B11268" s="29"/>
      <c r="C11268" s="29"/>
      <c r="D11268" s="29"/>
      <c r="E11268" s="29"/>
      <c r="F11268" s="29"/>
      <c r="G11268" s="29"/>
      <c r="H11268" s="29"/>
      <c r="I11268" s="29"/>
      <c r="J11268" s="29"/>
      <c r="K11268" s="29"/>
      <c r="L11268" s="29" t="s">
        <v>2556</v>
      </c>
      <c r="M11268" s="29"/>
      <c r="N11268" s="29" t="s">
        <v>2615</v>
      </c>
      <c r="O11268" s="29"/>
      <c r="P11268" s="29" t="s">
        <v>2622</v>
      </c>
      <c r="Q11268" t="s">
        <v>2041</v>
      </c>
      <c r="R11268" t="s">
        <v>2632</v>
      </c>
      <c r="S11268">
        <v>31</v>
      </c>
      <c r="T11268" s="43" t="str">
        <f t="shared" si="483"/>
        <v>2016.021a-kP.A.v2.Tolecusatellitidae.pdf</v>
      </c>
      <c r="U11268" s="43" t="str">
        <f>HYPERLINK("https://ictv.global/taxonomy/taxondetails?taxnode_id=202205187","ictv.global=202205187")</f>
        <v>ictv.global=202205187</v>
      </c>
    </row>
    <row r="11269" spans="1:21">
      <c r="A11269">
        <v>11268</v>
      </c>
      <c r="B11269" s="29"/>
      <c r="C11269" s="29"/>
      <c r="D11269" s="29"/>
      <c r="E11269" s="29"/>
      <c r="F11269" s="29"/>
      <c r="G11269" s="29"/>
      <c r="H11269" s="29"/>
      <c r="I11269" s="29"/>
      <c r="J11269" s="29"/>
      <c r="K11269" s="29"/>
      <c r="L11269" s="29" t="s">
        <v>2556</v>
      </c>
      <c r="M11269" s="29"/>
      <c r="N11269" s="29" t="s">
        <v>2615</v>
      </c>
      <c r="O11269" s="29"/>
      <c r="P11269" s="29" t="s">
        <v>2623</v>
      </c>
      <c r="Q11269" t="s">
        <v>2041</v>
      </c>
      <c r="R11269" t="s">
        <v>2632</v>
      </c>
      <c r="S11269">
        <v>31</v>
      </c>
      <c r="T11269" s="43" t="str">
        <f t="shared" si="483"/>
        <v>2016.021a-kP.A.v2.Tolecusatellitidae.pdf</v>
      </c>
      <c r="U11269" s="43" t="str">
        <f>HYPERLINK("https://ictv.global/taxonomy/taxondetails?taxnode_id=202205188","ictv.global=202205188")</f>
        <v>ictv.global=202205188</v>
      </c>
    </row>
    <row r="11270" spans="1:21">
      <c r="A11270">
        <v>11269</v>
      </c>
      <c r="B11270" s="29"/>
      <c r="C11270" s="29"/>
      <c r="D11270" s="29"/>
      <c r="E11270" s="29"/>
      <c r="F11270" s="29"/>
      <c r="G11270" s="29"/>
      <c r="H11270" s="29"/>
      <c r="I11270" s="29"/>
      <c r="J11270" s="29"/>
      <c r="K11270" s="29"/>
      <c r="L11270" s="29" t="s">
        <v>2556</v>
      </c>
      <c r="M11270" s="29"/>
      <c r="N11270" s="29" t="s">
        <v>2615</v>
      </c>
      <c r="O11270" s="29"/>
      <c r="P11270" s="29" t="s">
        <v>2624</v>
      </c>
      <c r="Q11270" t="s">
        <v>2041</v>
      </c>
      <c r="R11270" t="s">
        <v>6901</v>
      </c>
      <c r="S11270">
        <v>36</v>
      </c>
      <c r="T11270" s="43" t="str">
        <f>HYPERLINK("https://ictv.global/ictv/proposals/2020.001G.R.Abolish_type_species.pdf","2020.001G.R.Abolish_type_species.pdf")</f>
        <v>2020.001G.R.Abolish_type_species.pdf</v>
      </c>
      <c r="U11270" s="43" t="str">
        <f>HYPERLINK("https://ictv.global/taxonomy/taxondetails?taxnode_id=202205189","ictv.global=202205189")</f>
        <v>ictv.global=202205189</v>
      </c>
    </row>
    <row r="11271" spans="1:21">
      <c r="A11271">
        <v>11270</v>
      </c>
      <c r="B11271" s="29"/>
      <c r="C11271" s="29"/>
      <c r="D11271" s="29"/>
      <c r="E11271" s="29"/>
      <c r="F11271" s="29"/>
      <c r="G11271" s="29"/>
      <c r="H11271" s="29"/>
      <c r="I11271" s="29"/>
      <c r="J11271" s="29"/>
      <c r="K11271" s="29"/>
      <c r="L11271" s="29" t="s">
        <v>2556</v>
      </c>
      <c r="M11271" s="29"/>
      <c r="N11271" s="29" t="s">
        <v>2615</v>
      </c>
      <c r="O11271" s="29"/>
      <c r="P11271" s="29" t="s">
        <v>2625</v>
      </c>
      <c r="Q11271" t="s">
        <v>2041</v>
      </c>
      <c r="R11271" t="s">
        <v>2632</v>
      </c>
      <c r="S11271">
        <v>31</v>
      </c>
      <c r="T11271" s="43" t="str">
        <f>HYPERLINK("https://ictv.global/ictv/proposals/2016.021a-kP.A.v2.Tolecusatellitidae.pdf","2016.021a-kP.A.v2.Tolecusatellitidae.pdf")</f>
        <v>2016.021a-kP.A.v2.Tolecusatellitidae.pdf</v>
      </c>
      <c r="U11271" s="43" t="str">
        <f>HYPERLINK("https://ictv.global/taxonomy/taxondetails?taxnode_id=202205190","ictv.global=202205190")</f>
        <v>ictv.global=202205190</v>
      </c>
    </row>
    <row r="11272" spans="1:21">
      <c r="A11272">
        <v>11271</v>
      </c>
      <c r="B11272" s="29"/>
      <c r="C11272" s="29"/>
      <c r="D11272" s="29"/>
      <c r="E11272" s="29"/>
      <c r="F11272" s="29"/>
      <c r="G11272" s="29"/>
      <c r="H11272" s="29"/>
      <c r="I11272" s="29"/>
      <c r="J11272" s="29"/>
      <c r="K11272" s="29"/>
      <c r="L11272" s="29" t="s">
        <v>2556</v>
      </c>
      <c r="M11272" s="29"/>
      <c r="N11272" s="29" t="s">
        <v>2615</v>
      </c>
      <c r="O11272" s="29"/>
      <c r="P11272" s="29" t="s">
        <v>2626</v>
      </c>
      <c r="Q11272" t="s">
        <v>2041</v>
      </c>
      <c r="R11272" t="s">
        <v>2632</v>
      </c>
      <c r="S11272">
        <v>31</v>
      </c>
      <c r="T11272" s="43" t="str">
        <f>HYPERLINK("https://ictv.global/ictv/proposals/2016.021a-kP.A.v2.Tolecusatellitidae.pdf","2016.021a-kP.A.v2.Tolecusatellitidae.pdf")</f>
        <v>2016.021a-kP.A.v2.Tolecusatellitidae.pdf</v>
      </c>
      <c r="U11272" s="43" t="str">
        <f>HYPERLINK("https://ictv.global/taxonomy/taxondetails?taxnode_id=202205191","ictv.global=202205191")</f>
        <v>ictv.global=202205191</v>
      </c>
    </row>
    <row r="11273" spans="1:21">
      <c r="A11273">
        <v>11272</v>
      </c>
      <c r="B11273" s="29"/>
      <c r="C11273" s="29"/>
      <c r="D11273" s="29"/>
      <c r="E11273" s="29"/>
      <c r="F11273" s="29"/>
      <c r="G11273" s="29"/>
      <c r="H11273" s="29"/>
      <c r="I11273" s="29"/>
      <c r="J11273" s="29"/>
      <c r="K11273" s="29"/>
      <c r="L11273" s="29"/>
      <c r="M11273" s="29"/>
      <c r="N11273" s="29" t="s">
        <v>167</v>
      </c>
      <c r="O11273" s="29"/>
      <c r="P11273" s="29" t="s">
        <v>168</v>
      </c>
      <c r="Q11273" t="s">
        <v>2038</v>
      </c>
      <c r="R11273" t="s">
        <v>6901</v>
      </c>
      <c r="S11273">
        <v>36</v>
      </c>
      <c r="T11273" s="43" t="str">
        <f>HYPERLINK("https://ictv.global/ictv/proposals/2020.001G.R.Abolish_type_species.pdf","2020.001G.R.Abolish_type_species.pdf")</f>
        <v>2020.001G.R.Abolish_type_species.pdf</v>
      </c>
      <c r="U11273" s="43" t="str">
        <f>HYPERLINK("https://ictv.global/taxonomy/taxondetails?taxnode_id=202205350","ictv.global=202205350")</f>
        <v>ictv.global=202205350</v>
      </c>
    </row>
    <row r="11274" spans="1:21">
      <c r="A11274">
        <v>11273</v>
      </c>
      <c r="B11274" s="29"/>
      <c r="C11274" s="29"/>
      <c r="D11274" s="29"/>
      <c r="E11274" s="29"/>
      <c r="F11274" s="29"/>
      <c r="G11274" s="29"/>
      <c r="H11274" s="29"/>
      <c r="I11274" s="29"/>
      <c r="J11274" s="29"/>
      <c r="K11274" s="29"/>
      <c r="L11274" s="29"/>
      <c r="M11274" s="29"/>
      <c r="N11274" s="29" t="s">
        <v>320</v>
      </c>
      <c r="O11274" s="29"/>
      <c r="P11274" s="29" t="s">
        <v>321</v>
      </c>
      <c r="Q11274" t="s">
        <v>2038</v>
      </c>
      <c r="R11274" t="s">
        <v>6901</v>
      </c>
      <c r="S11274">
        <v>36</v>
      </c>
      <c r="T11274" s="43" t="str">
        <f>HYPERLINK("https://ictv.global/ictv/proposals/2020.001G.R.Abolish_type_species.pdf","2020.001G.R.Abolish_type_species.pdf")</f>
        <v>2020.001G.R.Abolish_type_species.pdf</v>
      </c>
      <c r="U11274" s="43" t="str">
        <f>HYPERLINK("https://ictv.global/taxonomy/taxondetails?taxnode_id=202205364","ictv.global=202205364")</f>
        <v>ictv.global=202205364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72E7E-4B90-CE41-B385-0A9384F9B613}">
  <dimension ref="A1:B23"/>
  <sheetViews>
    <sheetView showGridLines="0" zoomScaleNormal="100" workbookViewId="0"/>
  </sheetViews>
  <sheetFormatPr baseColWidth="10" defaultColWidth="10.83203125" defaultRowHeight="16"/>
  <cols>
    <col min="1" max="1" width="32.6640625" style="20" bestFit="1" customWidth="1"/>
    <col min="2" max="2" width="124" style="20" bestFit="1" customWidth="1"/>
    <col min="3" max="3" width="130.5" style="20" bestFit="1" customWidth="1"/>
    <col min="4" max="16384" width="10.83203125" style="20"/>
  </cols>
  <sheetData>
    <row r="1" spans="1:2" s="19" customFormat="1" ht="19">
      <c r="A1" s="34" t="s">
        <v>2358</v>
      </c>
      <c r="B1" s="34" t="s">
        <v>2359</v>
      </c>
    </row>
    <row r="2" spans="1:2" s="19" customFormat="1" ht="18">
      <c r="A2" s="21" t="s">
        <v>3681</v>
      </c>
      <c r="B2" s="18" t="s">
        <v>3222</v>
      </c>
    </row>
    <row r="3" spans="1:2" s="19" customFormat="1" ht="18">
      <c r="A3" s="21" t="s">
        <v>2988</v>
      </c>
      <c r="B3" s="22" t="s">
        <v>3220</v>
      </c>
    </row>
    <row r="4" spans="1:2" s="19" customFormat="1" ht="18">
      <c r="A4" s="21" t="s">
        <v>2989</v>
      </c>
      <c r="B4" s="18" t="s">
        <v>3208</v>
      </c>
    </row>
    <row r="5" spans="1:2" s="19" customFormat="1" ht="18">
      <c r="A5" s="21" t="s">
        <v>2990</v>
      </c>
      <c r="B5" s="18" t="s">
        <v>3209</v>
      </c>
    </row>
    <row r="6" spans="1:2" s="19" customFormat="1" ht="18">
      <c r="A6" s="21" t="s">
        <v>2991</v>
      </c>
      <c r="B6" s="18" t="s">
        <v>3210</v>
      </c>
    </row>
    <row r="7" spans="1:2" s="19" customFormat="1" ht="18">
      <c r="A7" s="21" t="s">
        <v>2992</v>
      </c>
      <c r="B7" s="18" t="s">
        <v>3211</v>
      </c>
    </row>
    <row r="8" spans="1:2" s="19" customFormat="1" ht="18">
      <c r="A8" s="21" t="s">
        <v>2993</v>
      </c>
      <c r="B8" s="18" t="s">
        <v>3212</v>
      </c>
    </row>
    <row r="9" spans="1:2" s="19" customFormat="1" ht="18">
      <c r="A9" s="21" t="s">
        <v>2994</v>
      </c>
      <c r="B9" s="18" t="s">
        <v>3213</v>
      </c>
    </row>
    <row r="10" spans="1:2" s="19" customFormat="1" ht="18">
      <c r="A10" s="21" t="s">
        <v>2995</v>
      </c>
      <c r="B10" s="18" t="s">
        <v>3214</v>
      </c>
    </row>
    <row r="11" spans="1:2" ht="17">
      <c r="A11" s="21" t="s">
        <v>780</v>
      </c>
      <c r="B11" s="18" t="s">
        <v>3215</v>
      </c>
    </row>
    <row r="12" spans="1:2" ht="17">
      <c r="A12" s="21" t="s">
        <v>2996</v>
      </c>
      <c r="B12" s="18" t="s">
        <v>3216</v>
      </c>
    </row>
    <row r="13" spans="1:2" ht="17">
      <c r="A13" s="21" t="s">
        <v>1345</v>
      </c>
      <c r="B13" s="18" t="s">
        <v>3207</v>
      </c>
    </row>
    <row r="14" spans="1:2" ht="17">
      <c r="A14" s="21" t="s">
        <v>1346</v>
      </c>
      <c r="B14" s="18" t="s">
        <v>3217</v>
      </c>
    </row>
    <row r="15" spans="1:2" ht="17">
      <c r="A15" s="21" t="s">
        <v>1347</v>
      </c>
      <c r="B15" s="18" t="s">
        <v>3218</v>
      </c>
    </row>
    <row r="16" spans="1:2" ht="17">
      <c r="A16" s="21" t="s">
        <v>2997</v>
      </c>
      <c r="B16" s="18" t="s">
        <v>3219</v>
      </c>
    </row>
    <row r="17" spans="1:2" ht="34">
      <c r="A17" s="21" t="s">
        <v>1348</v>
      </c>
      <c r="B17" s="18" t="s">
        <v>18170</v>
      </c>
    </row>
    <row r="18" spans="1:2" ht="209" customHeight="1">
      <c r="A18" s="21" t="s">
        <v>2045</v>
      </c>
      <c r="B18" s="18" t="s">
        <v>3221</v>
      </c>
    </row>
    <row r="19" spans="1:2" ht="162" customHeight="1">
      <c r="A19" s="21" t="s">
        <v>2047</v>
      </c>
      <c r="B19" s="18" t="s">
        <v>6906</v>
      </c>
    </row>
    <row r="20" spans="1:2" ht="388" customHeight="1">
      <c r="A20" s="21" t="s">
        <v>6905</v>
      </c>
      <c r="B20" s="18" t="s">
        <v>6904</v>
      </c>
    </row>
    <row r="21" spans="1:2" ht="34">
      <c r="A21" s="21" t="s">
        <v>2361</v>
      </c>
      <c r="B21" s="18" t="s">
        <v>18167</v>
      </c>
    </row>
    <row r="22" spans="1:2" ht="34">
      <c r="A22" s="21" t="s">
        <v>2667</v>
      </c>
      <c r="B22" s="18" t="s">
        <v>18166</v>
      </c>
    </row>
    <row r="23" spans="1:2" ht="34">
      <c r="A23" s="21" t="s">
        <v>2046</v>
      </c>
      <c r="B23" s="18" t="s">
        <v>2360</v>
      </c>
    </row>
  </sheetData>
  <pageMargins left="0.7" right="0.7" top="0.75" bottom="0.75" header="0.5" footer="0.5"/>
  <pageSetup orientation="portrait"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6E107-12A6-634D-BF7C-63CF135669C3}">
  <dimension ref="A1:D1657"/>
  <sheetViews>
    <sheetView workbookViewId="0">
      <pane ySplit="1" topLeftCell="A2" activePane="bottomLeft" state="frozen"/>
      <selection pane="bottomLeft" activeCell="A2" sqref="A2"/>
    </sheetView>
  </sheetViews>
  <sheetFormatPr baseColWidth="10" defaultRowHeight="16"/>
  <cols>
    <col min="1" max="1" width="9.6640625" style="24" customWidth="1"/>
    <col min="2" max="2" width="154.6640625" style="24" bestFit="1" customWidth="1"/>
    <col min="3" max="3" width="153" style="24" bestFit="1" customWidth="1"/>
    <col min="4" max="4" width="60.6640625" style="24" customWidth="1"/>
    <col min="5" max="16384" width="10.83203125" style="24"/>
  </cols>
  <sheetData>
    <row r="1" spans="1:4" s="25" customFormat="1">
      <c r="A1" s="33" t="s">
        <v>18141</v>
      </c>
      <c r="B1" s="33" t="s">
        <v>18171</v>
      </c>
      <c r="C1" s="33" t="s">
        <v>18172</v>
      </c>
      <c r="D1" s="33" t="s">
        <v>18173</v>
      </c>
    </row>
    <row r="2" spans="1:4">
      <c r="A2" s="24" t="s">
        <v>14820</v>
      </c>
      <c r="B2" s="42" t="s">
        <v>18140</v>
      </c>
      <c r="C2" s="42" t="s">
        <v>18139</v>
      </c>
      <c r="D2" s="43" t="str">
        <f>HYPERLINK("https://ictv.global/ictv/proposals/2022.001D.Herpesvirales_1renfam_4rengen_124rensp_6absp.zip","2022.001D.Herpesvirales_1renfam_4rengen_124rensp_6absp.zip")</f>
        <v>2022.001D.Herpesvirales_1renfam_4rengen_124rensp_6absp.zip</v>
      </c>
    </row>
    <row r="3" spans="1:4">
      <c r="A3" s="24" t="s">
        <v>14821</v>
      </c>
      <c r="B3" s="42" t="s">
        <v>18138</v>
      </c>
      <c r="C3" s="42" t="s">
        <v>18137</v>
      </c>
      <c r="D3" s="43" t="str">
        <f>HYPERLINK("https://ictv.global/ictv/proposals/2022.001D.Herpesvirales_1renfam_4rengen_124rensp_6absp.zip","2022.001D.Herpesvirales_1renfam_4rengen_124rensp_6absp.zip")</f>
        <v>2022.001D.Herpesvirales_1renfam_4rengen_124rensp_6absp.zip</v>
      </c>
    </row>
    <row r="4" spans="1:4">
      <c r="A4" s="24" t="s">
        <v>14821</v>
      </c>
      <c r="B4" s="42" t="s">
        <v>18136</v>
      </c>
      <c r="C4" s="42" t="s">
        <v>18135</v>
      </c>
      <c r="D4" s="43" t="str">
        <f>HYPERLINK("https://ictv.global/ictv/proposals/2022.001D.Herpesvirales_1renfam_4rengen_124rensp_6absp.zip","2022.001D.Herpesvirales_1renfam_4rengen_124rensp_6absp.zip")</f>
        <v>2022.001D.Herpesvirales_1renfam_4rengen_124rensp_6absp.zip</v>
      </c>
    </row>
    <row r="5" spans="1:4">
      <c r="A5" s="24" t="s">
        <v>14821</v>
      </c>
      <c r="B5" s="42" t="s">
        <v>18134</v>
      </c>
      <c r="C5" s="42" t="s">
        <v>18133</v>
      </c>
      <c r="D5" s="43" t="str">
        <f>HYPERLINK("https://ictv.global/ictv/proposals/2022.001D.Herpesvirales_1renfam_4rengen_124rensp_6absp.zip","2022.001D.Herpesvirales_1renfam_4rengen_124rensp_6absp.zip")</f>
        <v>2022.001D.Herpesvirales_1renfam_4rengen_124rensp_6absp.zip</v>
      </c>
    </row>
    <row r="6" spans="1:4">
      <c r="A6" s="24" t="s">
        <v>14821</v>
      </c>
      <c r="B6" s="42" t="s">
        <v>18132</v>
      </c>
      <c r="C6" s="42" t="s">
        <v>18131</v>
      </c>
      <c r="D6" s="43" t="str">
        <f>HYPERLINK("https://ictv.global/ictv/proposals/2022.001D.Herpesvirales_1renfam_4rengen_124rensp_6absp.zip","2022.001D.Herpesvirales_1renfam_4rengen_124rensp_6absp.zip")</f>
        <v>2022.001D.Herpesvirales_1renfam_4rengen_124rensp_6absp.zip</v>
      </c>
    </row>
    <row r="7" spans="1:4">
      <c r="A7" s="24" t="s">
        <v>14821</v>
      </c>
      <c r="B7" s="42" t="s">
        <v>18130</v>
      </c>
      <c r="C7" s="42" t="s">
        <v>18129</v>
      </c>
      <c r="D7" s="43" t="str">
        <f>HYPERLINK("https://ictv.global/ictv/proposals/2022.030B.Error_correction.zip","2022.030B.Error_correction.zip")</f>
        <v>2022.030B.Error_correction.zip</v>
      </c>
    </row>
    <row r="8" spans="1:4">
      <c r="A8" s="24" t="s">
        <v>14821</v>
      </c>
      <c r="B8" s="42" t="s">
        <v>18126</v>
      </c>
      <c r="C8" s="42" t="s">
        <v>18125</v>
      </c>
      <c r="D8" s="43" t="str">
        <f>HYPERLINK("https://ictv.global/ictv/proposals/2022.084B.Caudoviricetes_6ng_33nsp.zip","2022.084B.Caudoviricetes_6ng_33nsp.zip")</f>
        <v>2022.084B.Caudoviricetes_6ng_33nsp.zip</v>
      </c>
    </row>
    <row r="9" spans="1:4">
      <c r="A9" s="24" t="s">
        <v>14821</v>
      </c>
      <c r="B9" s="42" t="s">
        <v>18128</v>
      </c>
      <c r="C9" s="42" t="s">
        <v>18127</v>
      </c>
      <c r="D9" s="43" t="str">
        <f>HYPERLINK("https://ictv.global/ictv/proposals/2022.030B.Error_correction.zip","2022.030B.Error_correction.zip")</f>
        <v>2022.030B.Error_correction.zip</v>
      </c>
    </row>
    <row r="10" spans="1:4">
      <c r="A10" s="24" t="s">
        <v>14821</v>
      </c>
      <c r="B10" s="42" t="s">
        <v>18124</v>
      </c>
      <c r="C10" s="42" t="s">
        <v>18123</v>
      </c>
      <c r="D10" s="43" t="str">
        <f>HYPERLINK("https://ictv.global/ictv/proposals/2022.065B.Pootjesviridae_nf.zip","2022.065B.Pootjesviridae_nf.zip")</f>
        <v>2022.065B.Pootjesviridae_nf.zip</v>
      </c>
    </row>
    <row r="11" spans="1:4">
      <c r="A11" s="24" t="s">
        <v>14821</v>
      </c>
      <c r="B11" s="42" t="s">
        <v>18122</v>
      </c>
      <c r="C11" s="42" t="s">
        <v>18121</v>
      </c>
      <c r="D11" s="43" t="str">
        <f>HYPERLINK("https://ictv.global/ictv/proposals/2022.005D.Parvoviridae_2ngen_49nsp_125rensp.zip","2022.005D.Parvoviridae_2ngen_49nsp_125rensp.zip")</f>
        <v>2022.005D.Parvoviridae_2ngen_49nsp_125rensp.zip</v>
      </c>
    </row>
    <row r="12" spans="1:4">
      <c r="A12" s="24" t="s">
        <v>14821</v>
      </c>
      <c r="B12" s="42" t="s">
        <v>18120</v>
      </c>
      <c r="C12" s="42" t="s">
        <v>18119</v>
      </c>
      <c r="D12" s="43" t="str">
        <f>HYPERLINK("https://ictv.global/ictv/proposals/2022.007S.Flaviviridae_1genren_sprenamed.zip","2022.007S.Flaviviridae_1genren_sprenamed.zip")</f>
        <v>2022.007S.Flaviviridae_1genren_sprenamed.zip</v>
      </c>
    </row>
    <row r="13" spans="1:4">
      <c r="A13" s="24" t="s">
        <v>14821</v>
      </c>
      <c r="B13" s="42" t="s">
        <v>18118</v>
      </c>
      <c r="C13" s="42" t="s">
        <v>18117</v>
      </c>
      <c r="D13" s="43" t="str">
        <f>HYPERLINK("https://ictv.global/ictv/proposals/2022.009M.Filoviridae_2genrenamed.zip","2022.009M.Filoviridae_2genrenamed.zip")</f>
        <v>2022.009M.Filoviridae_2genrenamed.zip</v>
      </c>
    </row>
    <row r="14" spans="1:4">
      <c r="A14" s="24" t="s">
        <v>14821</v>
      </c>
      <c r="B14" s="42" t="s">
        <v>18116</v>
      </c>
      <c r="C14" s="42" t="s">
        <v>18115</v>
      </c>
      <c r="D14" s="43" t="str">
        <f>HYPERLINK("https://ictv.global/ictv/proposals/2022.009M.Filoviridae_2genrenamed.zip","2022.009M.Filoviridae_2genrenamed.zip")</f>
        <v>2022.009M.Filoviridae_2genrenamed.zip</v>
      </c>
    </row>
    <row r="15" spans="1:4">
      <c r="A15" s="24" t="s">
        <v>14822</v>
      </c>
      <c r="B15" s="42" t="s">
        <v>17822</v>
      </c>
      <c r="C15" s="42" t="s">
        <v>17821</v>
      </c>
      <c r="D15" s="43" t="str">
        <f t="shared" ref="D15:D46" si="0">HYPERLINK("https://ictv.global/ictv/proposals/2022.001D.Herpesvirales_1renfam_4rengen_124rensp_6absp.zip","2022.001D.Herpesvirales_1renfam_4rengen_124rensp_6absp.zip")</f>
        <v>2022.001D.Herpesvirales_1renfam_4rengen_124rensp_6absp.zip</v>
      </c>
    </row>
    <row r="16" spans="1:4">
      <c r="A16" s="24" t="s">
        <v>14822</v>
      </c>
      <c r="B16" s="42" t="s">
        <v>17820</v>
      </c>
      <c r="C16" s="42" t="s">
        <v>17819</v>
      </c>
      <c r="D16" s="43" t="str">
        <f t="shared" si="0"/>
        <v>2022.001D.Herpesvirales_1renfam_4rengen_124rensp_6absp.zip</v>
      </c>
    </row>
    <row r="17" spans="1:4">
      <c r="A17" s="24" t="s">
        <v>14822</v>
      </c>
      <c r="B17" s="42" t="s">
        <v>17818</v>
      </c>
      <c r="C17" s="42" t="s">
        <v>17817</v>
      </c>
      <c r="D17" s="43" t="str">
        <f t="shared" si="0"/>
        <v>2022.001D.Herpesvirales_1renfam_4rengen_124rensp_6absp.zip</v>
      </c>
    </row>
    <row r="18" spans="1:4">
      <c r="A18" s="24" t="s">
        <v>14822</v>
      </c>
      <c r="B18" s="42" t="s">
        <v>17816</v>
      </c>
      <c r="C18" s="42" t="s">
        <v>17815</v>
      </c>
      <c r="D18" s="43" t="str">
        <f t="shared" si="0"/>
        <v>2022.001D.Herpesvirales_1renfam_4rengen_124rensp_6absp.zip</v>
      </c>
    </row>
    <row r="19" spans="1:4">
      <c r="A19" s="24" t="s">
        <v>14822</v>
      </c>
      <c r="B19" s="42" t="s">
        <v>17814</v>
      </c>
      <c r="C19" s="42" t="s">
        <v>17813</v>
      </c>
      <c r="D19" s="43" t="str">
        <f t="shared" si="0"/>
        <v>2022.001D.Herpesvirales_1renfam_4rengen_124rensp_6absp.zip</v>
      </c>
    </row>
    <row r="20" spans="1:4">
      <c r="A20" s="24" t="s">
        <v>14822</v>
      </c>
      <c r="B20" s="42" t="s">
        <v>17812</v>
      </c>
      <c r="C20" s="42" t="s">
        <v>17811</v>
      </c>
      <c r="D20" s="43" t="str">
        <f t="shared" si="0"/>
        <v>2022.001D.Herpesvirales_1renfam_4rengen_124rensp_6absp.zip</v>
      </c>
    </row>
    <row r="21" spans="1:4">
      <c r="A21" s="24" t="s">
        <v>14822</v>
      </c>
      <c r="B21" s="42" t="s">
        <v>17810</v>
      </c>
      <c r="C21" s="42" t="s">
        <v>17809</v>
      </c>
      <c r="D21" s="43" t="str">
        <f t="shared" si="0"/>
        <v>2022.001D.Herpesvirales_1renfam_4rengen_124rensp_6absp.zip</v>
      </c>
    </row>
    <row r="22" spans="1:4">
      <c r="A22" s="24" t="s">
        <v>14822</v>
      </c>
      <c r="B22" s="42" t="s">
        <v>17808</v>
      </c>
      <c r="C22" s="42" t="s">
        <v>17807</v>
      </c>
      <c r="D22" s="43" t="str">
        <f t="shared" si="0"/>
        <v>2022.001D.Herpesvirales_1renfam_4rengen_124rensp_6absp.zip</v>
      </c>
    </row>
    <row r="23" spans="1:4">
      <c r="A23" s="24" t="s">
        <v>14822</v>
      </c>
      <c r="B23" s="42" t="s">
        <v>17806</v>
      </c>
      <c r="C23" s="42" t="s">
        <v>17805</v>
      </c>
      <c r="D23" s="43" t="str">
        <f t="shared" si="0"/>
        <v>2022.001D.Herpesvirales_1renfam_4rengen_124rensp_6absp.zip</v>
      </c>
    </row>
    <row r="24" spans="1:4">
      <c r="A24" s="24" t="s">
        <v>14822</v>
      </c>
      <c r="B24" s="42" t="s">
        <v>17804</v>
      </c>
      <c r="C24" s="42" t="s">
        <v>17803</v>
      </c>
      <c r="D24" s="43" t="str">
        <f t="shared" si="0"/>
        <v>2022.001D.Herpesvirales_1renfam_4rengen_124rensp_6absp.zip</v>
      </c>
    </row>
    <row r="25" spans="1:4">
      <c r="A25" s="24" t="s">
        <v>14822</v>
      </c>
      <c r="B25" s="42" t="s">
        <v>17802</v>
      </c>
      <c r="C25" s="42" t="s">
        <v>17801</v>
      </c>
      <c r="D25" s="43" t="str">
        <f t="shared" si="0"/>
        <v>2022.001D.Herpesvirales_1renfam_4rengen_124rensp_6absp.zip</v>
      </c>
    </row>
    <row r="26" spans="1:4">
      <c r="A26" s="24" t="s">
        <v>14822</v>
      </c>
      <c r="B26" s="42" t="s">
        <v>17800</v>
      </c>
      <c r="C26" s="42" t="s">
        <v>17799</v>
      </c>
      <c r="D26" s="43" t="str">
        <f t="shared" si="0"/>
        <v>2022.001D.Herpesvirales_1renfam_4rengen_124rensp_6absp.zip</v>
      </c>
    </row>
    <row r="27" spans="1:4">
      <c r="A27" s="24" t="s">
        <v>14822</v>
      </c>
      <c r="B27" s="42" t="s">
        <v>17798</v>
      </c>
      <c r="C27" s="42" t="s">
        <v>17797</v>
      </c>
      <c r="D27" s="43" t="str">
        <f t="shared" si="0"/>
        <v>2022.001D.Herpesvirales_1renfam_4rengen_124rensp_6absp.zip</v>
      </c>
    </row>
    <row r="28" spans="1:4">
      <c r="A28" s="24" t="s">
        <v>14822</v>
      </c>
      <c r="B28" s="42" t="s">
        <v>17792</v>
      </c>
      <c r="C28" s="42" t="s">
        <v>17791</v>
      </c>
      <c r="D28" s="43" t="str">
        <f t="shared" si="0"/>
        <v>2022.001D.Herpesvirales_1renfam_4rengen_124rensp_6absp.zip</v>
      </c>
    </row>
    <row r="29" spans="1:4">
      <c r="A29" s="24" t="s">
        <v>14822</v>
      </c>
      <c r="B29" s="42" t="s">
        <v>17790</v>
      </c>
      <c r="C29" s="42" t="s">
        <v>17789</v>
      </c>
      <c r="D29" s="43" t="str">
        <f t="shared" si="0"/>
        <v>2022.001D.Herpesvirales_1renfam_4rengen_124rensp_6absp.zip</v>
      </c>
    </row>
    <row r="30" spans="1:4">
      <c r="A30" s="24" t="s">
        <v>14822</v>
      </c>
      <c r="B30" s="42" t="s">
        <v>17788</v>
      </c>
      <c r="C30" s="42" t="s">
        <v>17787</v>
      </c>
      <c r="D30" s="43" t="str">
        <f t="shared" si="0"/>
        <v>2022.001D.Herpesvirales_1renfam_4rengen_124rensp_6absp.zip</v>
      </c>
    </row>
    <row r="31" spans="1:4">
      <c r="A31" s="24" t="s">
        <v>14822</v>
      </c>
      <c r="B31" s="42" t="s">
        <v>17786</v>
      </c>
      <c r="C31" s="42" t="s">
        <v>17785</v>
      </c>
      <c r="D31" s="43" t="str">
        <f t="shared" si="0"/>
        <v>2022.001D.Herpesvirales_1renfam_4rengen_124rensp_6absp.zip</v>
      </c>
    </row>
    <row r="32" spans="1:4">
      <c r="A32" s="24" t="s">
        <v>14822</v>
      </c>
      <c r="B32" s="42" t="s">
        <v>17784</v>
      </c>
      <c r="C32" s="42" t="s">
        <v>17783</v>
      </c>
      <c r="D32" s="43" t="str">
        <f t="shared" si="0"/>
        <v>2022.001D.Herpesvirales_1renfam_4rengen_124rensp_6absp.zip</v>
      </c>
    </row>
    <row r="33" spans="1:4">
      <c r="A33" s="24" t="s">
        <v>14822</v>
      </c>
      <c r="B33" s="42" t="s">
        <v>17782</v>
      </c>
      <c r="C33" s="42" t="s">
        <v>17781</v>
      </c>
      <c r="D33" s="43" t="str">
        <f t="shared" si="0"/>
        <v>2022.001D.Herpesvirales_1renfam_4rengen_124rensp_6absp.zip</v>
      </c>
    </row>
    <row r="34" spans="1:4">
      <c r="A34" s="24" t="s">
        <v>14822</v>
      </c>
      <c r="B34" s="42" t="s">
        <v>17780</v>
      </c>
      <c r="C34" s="42" t="s">
        <v>17779</v>
      </c>
      <c r="D34" s="43" t="str">
        <f t="shared" si="0"/>
        <v>2022.001D.Herpesvirales_1renfam_4rengen_124rensp_6absp.zip</v>
      </c>
    </row>
    <row r="35" spans="1:4">
      <c r="A35" s="24" t="s">
        <v>14822</v>
      </c>
      <c r="B35" s="42" t="s">
        <v>17778</v>
      </c>
      <c r="C35" s="42" t="s">
        <v>17777</v>
      </c>
      <c r="D35" s="43" t="str">
        <f t="shared" si="0"/>
        <v>2022.001D.Herpesvirales_1renfam_4rengen_124rensp_6absp.zip</v>
      </c>
    </row>
    <row r="36" spans="1:4">
      <c r="A36" s="24" t="s">
        <v>14822</v>
      </c>
      <c r="B36" s="42" t="s">
        <v>17776</v>
      </c>
      <c r="C36" s="42" t="s">
        <v>17775</v>
      </c>
      <c r="D36" s="43" t="str">
        <f t="shared" si="0"/>
        <v>2022.001D.Herpesvirales_1renfam_4rengen_124rensp_6absp.zip</v>
      </c>
    </row>
    <row r="37" spans="1:4">
      <c r="A37" s="24" t="s">
        <v>14822</v>
      </c>
      <c r="B37" s="42" t="s">
        <v>17774</v>
      </c>
      <c r="C37" s="42" t="s">
        <v>17773</v>
      </c>
      <c r="D37" s="43" t="str">
        <f t="shared" si="0"/>
        <v>2022.001D.Herpesvirales_1renfam_4rengen_124rensp_6absp.zip</v>
      </c>
    </row>
    <row r="38" spans="1:4">
      <c r="A38" s="24" t="s">
        <v>14822</v>
      </c>
      <c r="B38" s="42" t="s">
        <v>17772</v>
      </c>
      <c r="C38" s="42" t="s">
        <v>17771</v>
      </c>
      <c r="D38" s="43" t="str">
        <f t="shared" si="0"/>
        <v>2022.001D.Herpesvirales_1renfam_4rengen_124rensp_6absp.zip</v>
      </c>
    </row>
    <row r="39" spans="1:4">
      <c r="A39" s="24" t="s">
        <v>14822</v>
      </c>
      <c r="B39" s="42" t="s">
        <v>17770</v>
      </c>
      <c r="C39" s="42" t="s">
        <v>17769</v>
      </c>
      <c r="D39" s="43" t="str">
        <f t="shared" si="0"/>
        <v>2022.001D.Herpesvirales_1renfam_4rengen_124rensp_6absp.zip</v>
      </c>
    </row>
    <row r="40" spans="1:4">
      <c r="A40" s="24" t="s">
        <v>14822</v>
      </c>
      <c r="B40" s="42" t="s">
        <v>17768</v>
      </c>
      <c r="C40" s="42" t="s">
        <v>17767</v>
      </c>
      <c r="D40" s="43" t="str">
        <f t="shared" si="0"/>
        <v>2022.001D.Herpesvirales_1renfam_4rengen_124rensp_6absp.zip</v>
      </c>
    </row>
    <row r="41" spans="1:4">
      <c r="A41" s="24" t="s">
        <v>14822</v>
      </c>
      <c r="B41" s="42" t="s">
        <v>17766</v>
      </c>
      <c r="C41" s="42" t="s">
        <v>17765</v>
      </c>
      <c r="D41" s="43" t="str">
        <f t="shared" si="0"/>
        <v>2022.001D.Herpesvirales_1renfam_4rengen_124rensp_6absp.zip</v>
      </c>
    </row>
    <row r="42" spans="1:4">
      <c r="A42" s="24" t="s">
        <v>14822</v>
      </c>
      <c r="B42" s="42" t="s">
        <v>17764</v>
      </c>
      <c r="C42" s="42" t="s">
        <v>17763</v>
      </c>
      <c r="D42" s="43" t="str">
        <f t="shared" si="0"/>
        <v>2022.001D.Herpesvirales_1renfam_4rengen_124rensp_6absp.zip</v>
      </c>
    </row>
    <row r="43" spans="1:4">
      <c r="A43" s="24" t="s">
        <v>14822</v>
      </c>
      <c r="B43" s="42" t="s">
        <v>17762</v>
      </c>
      <c r="C43" s="42" t="s">
        <v>17761</v>
      </c>
      <c r="D43" s="43" t="str">
        <f t="shared" si="0"/>
        <v>2022.001D.Herpesvirales_1renfam_4rengen_124rensp_6absp.zip</v>
      </c>
    </row>
    <row r="44" spans="1:4">
      <c r="A44" s="24" t="s">
        <v>14822</v>
      </c>
      <c r="B44" s="42" t="s">
        <v>17760</v>
      </c>
      <c r="C44" s="42" t="s">
        <v>17759</v>
      </c>
      <c r="D44" s="43" t="str">
        <f t="shared" si="0"/>
        <v>2022.001D.Herpesvirales_1renfam_4rengen_124rensp_6absp.zip</v>
      </c>
    </row>
    <row r="45" spans="1:4">
      <c r="A45" s="24" t="s">
        <v>14822</v>
      </c>
      <c r="B45" s="42" t="s">
        <v>17758</v>
      </c>
      <c r="C45" s="42" t="s">
        <v>17757</v>
      </c>
      <c r="D45" s="43" t="str">
        <f t="shared" si="0"/>
        <v>2022.001D.Herpesvirales_1renfam_4rengen_124rensp_6absp.zip</v>
      </c>
    </row>
    <row r="46" spans="1:4">
      <c r="A46" s="24" t="s">
        <v>14822</v>
      </c>
      <c r="B46" s="42" t="s">
        <v>17756</v>
      </c>
      <c r="C46" s="42" t="s">
        <v>17755</v>
      </c>
      <c r="D46" s="43" t="str">
        <f t="shared" si="0"/>
        <v>2022.001D.Herpesvirales_1renfam_4rengen_124rensp_6absp.zip</v>
      </c>
    </row>
    <row r="47" spans="1:4">
      <c r="A47" s="24" t="s">
        <v>14822</v>
      </c>
      <c r="B47" s="42" t="s">
        <v>17754</v>
      </c>
      <c r="C47" s="42" t="s">
        <v>17753</v>
      </c>
      <c r="D47" s="43" t="str">
        <f t="shared" ref="D47:D78" si="1">HYPERLINK("https://ictv.global/ictv/proposals/2022.001D.Herpesvirales_1renfam_4rengen_124rensp_6absp.zip","2022.001D.Herpesvirales_1renfam_4rengen_124rensp_6absp.zip")</f>
        <v>2022.001D.Herpesvirales_1renfam_4rengen_124rensp_6absp.zip</v>
      </c>
    </row>
    <row r="48" spans="1:4">
      <c r="A48" s="24" t="s">
        <v>14822</v>
      </c>
      <c r="B48" s="42" t="s">
        <v>17752</v>
      </c>
      <c r="C48" s="42" t="s">
        <v>17751</v>
      </c>
      <c r="D48" s="43" t="str">
        <f t="shared" si="1"/>
        <v>2022.001D.Herpesvirales_1renfam_4rengen_124rensp_6absp.zip</v>
      </c>
    </row>
    <row r="49" spans="1:4">
      <c r="A49" s="24" t="s">
        <v>14822</v>
      </c>
      <c r="B49" s="42" t="s">
        <v>17750</v>
      </c>
      <c r="C49" s="42" t="s">
        <v>17749</v>
      </c>
      <c r="D49" s="43" t="str">
        <f t="shared" si="1"/>
        <v>2022.001D.Herpesvirales_1renfam_4rengen_124rensp_6absp.zip</v>
      </c>
    </row>
    <row r="50" spans="1:4">
      <c r="A50" s="24" t="s">
        <v>14822</v>
      </c>
      <c r="B50" s="42" t="s">
        <v>17748</v>
      </c>
      <c r="C50" s="42" t="s">
        <v>17747</v>
      </c>
      <c r="D50" s="43" t="str">
        <f t="shared" si="1"/>
        <v>2022.001D.Herpesvirales_1renfam_4rengen_124rensp_6absp.zip</v>
      </c>
    </row>
    <row r="51" spans="1:4">
      <c r="A51" s="24" t="s">
        <v>14822</v>
      </c>
      <c r="B51" s="42" t="s">
        <v>17746</v>
      </c>
      <c r="C51" s="42" t="s">
        <v>17745</v>
      </c>
      <c r="D51" s="43" t="str">
        <f t="shared" si="1"/>
        <v>2022.001D.Herpesvirales_1renfam_4rengen_124rensp_6absp.zip</v>
      </c>
    </row>
    <row r="52" spans="1:4">
      <c r="A52" s="24" t="s">
        <v>14822</v>
      </c>
      <c r="B52" s="42" t="s">
        <v>17744</v>
      </c>
      <c r="C52" s="42" t="s">
        <v>17743</v>
      </c>
      <c r="D52" s="43" t="str">
        <f t="shared" si="1"/>
        <v>2022.001D.Herpesvirales_1renfam_4rengen_124rensp_6absp.zip</v>
      </c>
    </row>
    <row r="53" spans="1:4">
      <c r="A53" s="24" t="s">
        <v>14822</v>
      </c>
      <c r="B53" s="42" t="s">
        <v>17742</v>
      </c>
      <c r="C53" s="42" t="s">
        <v>17741</v>
      </c>
      <c r="D53" s="43" t="str">
        <f t="shared" si="1"/>
        <v>2022.001D.Herpesvirales_1renfam_4rengen_124rensp_6absp.zip</v>
      </c>
    </row>
    <row r="54" spans="1:4">
      <c r="A54" s="24" t="s">
        <v>14822</v>
      </c>
      <c r="B54" s="42" t="s">
        <v>17740</v>
      </c>
      <c r="C54" s="42" t="s">
        <v>17739</v>
      </c>
      <c r="D54" s="43" t="str">
        <f t="shared" si="1"/>
        <v>2022.001D.Herpesvirales_1renfam_4rengen_124rensp_6absp.zip</v>
      </c>
    </row>
    <row r="55" spans="1:4">
      <c r="A55" s="24" t="s">
        <v>14822</v>
      </c>
      <c r="B55" s="42" t="s">
        <v>17738</v>
      </c>
      <c r="C55" s="42" t="s">
        <v>17737</v>
      </c>
      <c r="D55" s="43" t="str">
        <f t="shared" si="1"/>
        <v>2022.001D.Herpesvirales_1renfam_4rengen_124rensp_6absp.zip</v>
      </c>
    </row>
    <row r="56" spans="1:4">
      <c r="A56" s="24" t="s">
        <v>14822</v>
      </c>
      <c r="B56" s="42" t="s">
        <v>17736</v>
      </c>
      <c r="C56" s="42" t="s">
        <v>17735</v>
      </c>
      <c r="D56" s="43" t="str">
        <f t="shared" si="1"/>
        <v>2022.001D.Herpesvirales_1renfam_4rengen_124rensp_6absp.zip</v>
      </c>
    </row>
    <row r="57" spans="1:4">
      <c r="A57" s="24" t="s">
        <v>14822</v>
      </c>
      <c r="B57" s="42" t="s">
        <v>17734</v>
      </c>
      <c r="C57" s="42" t="s">
        <v>17733</v>
      </c>
      <c r="D57" s="43" t="str">
        <f t="shared" si="1"/>
        <v>2022.001D.Herpesvirales_1renfam_4rengen_124rensp_6absp.zip</v>
      </c>
    </row>
    <row r="58" spans="1:4">
      <c r="A58" s="24" t="s">
        <v>14822</v>
      </c>
      <c r="B58" s="42" t="s">
        <v>17732</v>
      </c>
      <c r="C58" s="42" t="s">
        <v>17731</v>
      </c>
      <c r="D58" s="43" t="str">
        <f t="shared" si="1"/>
        <v>2022.001D.Herpesvirales_1renfam_4rengen_124rensp_6absp.zip</v>
      </c>
    </row>
    <row r="59" spans="1:4">
      <c r="A59" s="24" t="s">
        <v>14822</v>
      </c>
      <c r="B59" s="42" t="s">
        <v>17730</v>
      </c>
      <c r="C59" s="42" t="s">
        <v>17729</v>
      </c>
      <c r="D59" s="43" t="str">
        <f t="shared" si="1"/>
        <v>2022.001D.Herpesvirales_1renfam_4rengen_124rensp_6absp.zip</v>
      </c>
    </row>
    <row r="60" spans="1:4">
      <c r="A60" s="24" t="s">
        <v>14822</v>
      </c>
      <c r="B60" s="42" t="s">
        <v>17728</v>
      </c>
      <c r="C60" s="42" t="s">
        <v>17727</v>
      </c>
      <c r="D60" s="43" t="str">
        <f t="shared" si="1"/>
        <v>2022.001D.Herpesvirales_1renfam_4rengen_124rensp_6absp.zip</v>
      </c>
    </row>
    <row r="61" spans="1:4">
      <c r="A61" s="24" t="s">
        <v>14822</v>
      </c>
      <c r="B61" s="42" t="s">
        <v>17726</v>
      </c>
      <c r="C61" s="42" t="s">
        <v>17725</v>
      </c>
      <c r="D61" s="43" t="str">
        <f t="shared" si="1"/>
        <v>2022.001D.Herpesvirales_1renfam_4rengen_124rensp_6absp.zip</v>
      </c>
    </row>
    <row r="62" spans="1:4">
      <c r="A62" s="24" t="s">
        <v>14822</v>
      </c>
      <c r="B62" s="42" t="s">
        <v>17724</v>
      </c>
      <c r="C62" s="42" t="s">
        <v>17723</v>
      </c>
      <c r="D62" s="43" t="str">
        <f t="shared" si="1"/>
        <v>2022.001D.Herpesvirales_1renfam_4rengen_124rensp_6absp.zip</v>
      </c>
    </row>
    <row r="63" spans="1:4">
      <c r="A63" s="24" t="s">
        <v>14822</v>
      </c>
      <c r="B63" s="42" t="s">
        <v>17722</v>
      </c>
      <c r="C63" s="42" t="s">
        <v>17721</v>
      </c>
      <c r="D63" s="43" t="str">
        <f t="shared" si="1"/>
        <v>2022.001D.Herpesvirales_1renfam_4rengen_124rensp_6absp.zip</v>
      </c>
    </row>
    <row r="64" spans="1:4">
      <c r="A64" s="24" t="s">
        <v>14822</v>
      </c>
      <c r="B64" s="42" t="s">
        <v>17720</v>
      </c>
      <c r="C64" s="42" t="s">
        <v>17719</v>
      </c>
      <c r="D64" s="43" t="str">
        <f t="shared" si="1"/>
        <v>2022.001D.Herpesvirales_1renfam_4rengen_124rensp_6absp.zip</v>
      </c>
    </row>
    <row r="65" spans="1:4">
      <c r="A65" s="24" t="s">
        <v>14822</v>
      </c>
      <c r="B65" s="42" t="s">
        <v>17718</v>
      </c>
      <c r="C65" s="42" t="s">
        <v>17717</v>
      </c>
      <c r="D65" s="43" t="str">
        <f t="shared" si="1"/>
        <v>2022.001D.Herpesvirales_1renfam_4rengen_124rensp_6absp.zip</v>
      </c>
    </row>
    <row r="66" spans="1:4">
      <c r="A66" s="24" t="s">
        <v>14822</v>
      </c>
      <c r="B66" s="42" t="s">
        <v>17716</v>
      </c>
      <c r="C66" s="42" t="s">
        <v>17715</v>
      </c>
      <c r="D66" s="43" t="str">
        <f t="shared" si="1"/>
        <v>2022.001D.Herpesvirales_1renfam_4rengen_124rensp_6absp.zip</v>
      </c>
    </row>
    <row r="67" spans="1:4">
      <c r="A67" s="24" t="s">
        <v>14822</v>
      </c>
      <c r="B67" s="42" t="s">
        <v>17714</v>
      </c>
      <c r="C67" s="42" t="s">
        <v>17713</v>
      </c>
      <c r="D67" s="43" t="str">
        <f t="shared" si="1"/>
        <v>2022.001D.Herpesvirales_1renfam_4rengen_124rensp_6absp.zip</v>
      </c>
    </row>
    <row r="68" spans="1:4">
      <c r="A68" s="24" t="s">
        <v>14822</v>
      </c>
      <c r="B68" s="42" t="s">
        <v>17712</v>
      </c>
      <c r="C68" s="42" t="s">
        <v>17711</v>
      </c>
      <c r="D68" s="43" t="str">
        <f t="shared" si="1"/>
        <v>2022.001D.Herpesvirales_1renfam_4rengen_124rensp_6absp.zip</v>
      </c>
    </row>
    <row r="69" spans="1:4">
      <c r="A69" s="24" t="s">
        <v>14822</v>
      </c>
      <c r="B69" s="42" t="s">
        <v>17710</v>
      </c>
      <c r="C69" s="42" t="s">
        <v>17709</v>
      </c>
      <c r="D69" s="43" t="str">
        <f t="shared" si="1"/>
        <v>2022.001D.Herpesvirales_1renfam_4rengen_124rensp_6absp.zip</v>
      </c>
    </row>
    <row r="70" spans="1:4">
      <c r="A70" s="24" t="s">
        <v>14822</v>
      </c>
      <c r="B70" s="42" t="s">
        <v>17708</v>
      </c>
      <c r="C70" s="42" t="s">
        <v>17707</v>
      </c>
      <c r="D70" s="43" t="str">
        <f t="shared" si="1"/>
        <v>2022.001D.Herpesvirales_1renfam_4rengen_124rensp_6absp.zip</v>
      </c>
    </row>
    <row r="71" spans="1:4">
      <c r="A71" s="24" t="s">
        <v>14822</v>
      </c>
      <c r="B71" s="42" t="s">
        <v>17706</v>
      </c>
      <c r="C71" s="42" t="s">
        <v>17705</v>
      </c>
      <c r="D71" s="43" t="str">
        <f t="shared" si="1"/>
        <v>2022.001D.Herpesvirales_1renfam_4rengen_124rensp_6absp.zip</v>
      </c>
    </row>
    <row r="72" spans="1:4">
      <c r="A72" s="24" t="s">
        <v>14822</v>
      </c>
      <c r="B72" s="42" t="s">
        <v>17704</v>
      </c>
      <c r="C72" s="42" t="s">
        <v>17703</v>
      </c>
      <c r="D72" s="43" t="str">
        <f t="shared" si="1"/>
        <v>2022.001D.Herpesvirales_1renfam_4rengen_124rensp_6absp.zip</v>
      </c>
    </row>
    <row r="73" spans="1:4">
      <c r="A73" s="24" t="s">
        <v>14822</v>
      </c>
      <c r="B73" s="42" t="s">
        <v>17702</v>
      </c>
      <c r="C73" s="42" t="s">
        <v>17701</v>
      </c>
      <c r="D73" s="43" t="str">
        <f t="shared" si="1"/>
        <v>2022.001D.Herpesvirales_1renfam_4rengen_124rensp_6absp.zip</v>
      </c>
    </row>
    <row r="74" spans="1:4">
      <c r="A74" s="24" t="s">
        <v>14822</v>
      </c>
      <c r="B74" s="42" t="s">
        <v>17700</v>
      </c>
      <c r="C74" s="42" t="s">
        <v>17699</v>
      </c>
      <c r="D74" s="43" t="str">
        <f t="shared" si="1"/>
        <v>2022.001D.Herpesvirales_1renfam_4rengen_124rensp_6absp.zip</v>
      </c>
    </row>
    <row r="75" spans="1:4">
      <c r="A75" s="24" t="s">
        <v>14822</v>
      </c>
      <c r="B75" s="42" t="s">
        <v>17698</v>
      </c>
      <c r="C75" s="42" t="s">
        <v>17697</v>
      </c>
      <c r="D75" s="43" t="str">
        <f t="shared" si="1"/>
        <v>2022.001D.Herpesvirales_1renfam_4rengen_124rensp_6absp.zip</v>
      </c>
    </row>
    <row r="76" spans="1:4">
      <c r="A76" s="24" t="s">
        <v>14822</v>
      </c>
      <c r="B76" s="42" t="s">
        <v>17696</v>
      </c>
      <c r="C76" s="42" t="s">
        <v>17695</v>
      </c>
      <c r="D76" s="43" t="str">
        <f t="shared" si="1"/>
        <v>2022.001D.Herpesvirales_1renfam_4rengen_124rensp_6absp.zip</v>
      </c>
    </row>
    <row r="77" spans="1:4">
      <c r="A77" s="24" t="s">
        <v>14822</v>
      </c>
      <c r="B77" s="42" t="s">
        <v>17694</v>
      </c>
      <c r="C77" s="42" t="s">
        <v>17693</v>
      </c>
      <c r="D77" s="43" t="str">
        <f t="shared" si="1"/>
        <v>2022.001D.Herpesvirales_1renfam_4rengen_124rensp_6absp.zip</v>
      </c>
    </row>
    <row r="78" spans="1:4">
      <c r="A78" s="24" t="s">
        <v>14822</v>
      </c>
      <c r="B78" s="42" t="s">
        <v>17692</v>
      </c>
      <c r="C78" s="42" t="s">
        <v>17691</v>
      </c>
      <c r="D78" s="43" t="str">
        <f t="shared" si="1"/>
        <v>2022.001D.Herpesvirales_1renfam_4rengen_124rensp_6absp.zip</v>
      </c>
    </row>
    <row r="79" spans="1:4">
      <c r="A79" s="24" t="s">
        <v>14822</v>
      </c>
      <c r="B79" s="42" t="s">
        <v>17690</v>
      </c>
      <c r="C79" s="42" t="s">
        <v>17689</v>
      </c>
      <c r="D79" s="43" t="str">
        <f t="shared" ref="D79:D110" si="2">HYPERLINK("https://ictv.global/ictv/proposals/2022.001D.Herpesvirales_1renfam_4rengen_124rensp_6absp.zip","2022.001D.Herpesvirales_1renfam_4rengen_124rensp_6absp.zip")</f>
        <v>2022.001D.Herpesvirales_1renfam_4rengen_124rensp_6absp.zip</v>
      </c>
    </row>
    <row r="80" spans="1:4">
      <c r="A80" s="24" t="s">
        <v>14822</v>
      </c>
      <c r="B80" s="42" t="s">
        <v>17688</v>
      </c>
      <c r="C80" s="42" t="s">
        <v>17687</v>
      </c>
      <c r="D80" s="43" t="str">
        <f t="shared" si="2"/>
        <v>2022.001D.Herpesvirales_1renfam_4rengen_124rensp_6absp.zip</v>
      </c>
    </row>
    <row r="81" spans="1:4">
      <c r="A81" s="24" t="s">
        <v>14822</v>
      </c>
      <c r="B81" s="42" t="s">
        <v>17686</v>
      </c>
      <c r="C81" s="42" t="s">
        <v>17685</v>
      </c>
      <c r="D81" s="43" t="str">
        <f t="shared" si="2"/>
        <v>2022.001D.Herpesvirales_1renfam_4rengen_124rensp_6absp.zip</v>
      </c>
    </row>
    <row r="82" spans="1:4">
      <c r="A82" s="24" t="s">
        <v>14822</v>
      </c>
      <c r="B82" s="42" t="s">
        <v>17684</v>
      </c>
      <c r="C82" s="42" t="s">
        <v>17683</v>
      </c>
      <c r="D82" s="43" t="str">
        <f t="shared" si="2"/>
        <v>2022.001D.Herpesvirales_1renfam_4rengen_124rensp_6absp.zip</v>
      </c>
    </row>
    <row r="83" spans="1:4">
      <c r="A83" s="24" t="s">
        <v>14822</v>
      </c>
      <c r="B83" s="42" t="s">
        <v>17682</v>
      </c>
      <c r="C83" s="42" t="s">
        <v>17681</v>
      </c>
      <c r="D83" s="43" t="str">
        <f t="shared" si="2"/>
        <v>2022.001D.Herpesvirales_1renfam_4rengen_124rensp_6absp.zip</v>
      </c>
    </row>
    <row r="84" spans="1:4">
      <c r="A84" s="24" t="s">
        <v>14822</v>
      </c>
      <c r="B84" s="42" t="s">
        <v>17680</v>
      </c>
      <c r="C84" s="42" t="s">
        <v>17679</v>
      </c>
      <c r="D84" s="43" t="str">
        <f t="shared" si="2"/>
        <v>2022.001D.Herpesvirales_1renfam_4rengen_124rensp_6absp.zip</v>
      </c>
    </row>
    <row r="85" spans="1:4">
      <c r="A85" s="24" t="s">
        <v>14822</v>
      </c>
      <c r="B85" s="42" t="s">
        <v>17678</v>
      </c>
      <c r="C85" s="42" t="s">
        <v>17677</v>
      </c>
      <c r="D85" s="43" t="str">
        <f t="shared" si="2"/>
        <v>2022.001D.Herpesvirales_1renfam_4rengen_124rensp_6absp.zip</v>
      </c>
    </row>
    <row r="86" spans="1:4">
      <c r="A86" s="24" t="s">
        <v>14822</v>
      </c>
      <c r="B86" s="42" t="s">
        <v>17676</v>
      </c>
      <c r="C86" s="42" t="s">
        <v>17675</v>
      </c>
      <c r="D86" s="43" t="str">
        <f t="shared" si="2"/>
        <v>2022.001D.Herpesvirales_1renfam_4rengen_124rensp_6absp.zip</v>
      </c>
    </row>
    <row r="87" spans="1:4">
      <c r="A87" s="24" t="s">
        <v>14822</v>
      </c>
      <c r="B87" s="42" t="s">
        <v>17674</v>
      </c>
      <c r="C87" s="42" t="s">
        <v>17673</v>
      </c>
      <c r="D87" s="43" t="str">
        <f t="shared" si="2"/>
        <v>2022.001D.Herpesvirales_1renfam_4rengen_124rensp_6absp.zip</v>
      </c>
    </row>
    <row r="88" spans="1:4">
      <c r="A88" s="24" t="s">
        <v>14822</v>
      </c>
      <c r="B88" s="42" t="s">
        <v>17672</v>
      </c>
      <c r="C88" s="42" t="s">
        <v>17671</v>
      </c>
      <c r="D88" s="43" t="str">
        <f t="shared" si="2"/>
        <v>2022.001D.Herpesvirales_1renfam_4rengen_124rensp_6absp.zip</v>
      </c>
    </row>
    <row r="89" spans="1:4">
      <c r="A89" s="24" t="s">
        <v>14822</v>
      </c>
      <c r="B89" s="42" t="s">
        <v>17670</v>
      </c>
      <c r="C89" s="42" t="s">
        <v>17669</v>
      </c>
      <c r="D89" s="43" t="str">
        <f t="shared" si="2"/>
        <v>2022.001D.Herpesvirales_1renfam_4rengen_124rensp_6absp.zip</v>
      </c>
    </row>
    <row r="90" spans="1:4">
      <c r="A90" s="24" t="s">
        <v>14822</v>
      </c>
      <c r="B90" s="42" t="s">
        <v>17668</v>
      </c>
      <c r="C90" s="42" t="s">
        <v>17667</v>
      </c>
      <c r="D90" s="43" t="str">
        <f t="shared" si="2"/>
        <v>2022.001D.Herpesvirales_1renfam_4rengen_124rensp_6absp.zip</v>
      </c>
    </row>
    <row r="91" spans="1:4">
      <c r="A91" s="24" t="s">
        <v>14822</v>
      </c>
      <c r="B91" s="42" t="s">
        <v>17666</v>
      </c>
      <c r="C91" s="42" t="s">
        <v>17665</v>
      </c>
      <c r="D91" s="43" t="str">
        <f t="shared" si="2"/>
        <v>2022.001D.Herpesvirales_1renfam_4rengen_124rensp_6absp.zip</v>
      </c>
    </row>
    <row r="92" spans="1:4">
      <c r="A92" s="24" t="s">
        <v>14822</v>
      </c>
      <c r="B92" s="42" t="s">
        <v>17660</v>
      </c>
      <c r="C92" s="42" t="s">
        <v>17659</v>
      </c>
      <c r="D92" s="43" t="str">
        <f t="shared" si="2"/>
        <v>2022.001D.Herpesvirales_1renfam_4rengen_124rensp_6absp.zip</v>
      </c>
    </row>
    <row r="93" spans="1:4">
      <c r="A93" s="24" t="s">
        <v>14822</v>
      </c>
      <c r="B93" s="42" t="s">
        <v>17664</v>
      </c>
      <c r="C93" s="42" t="s">
        <v>17663</v>
      </c>
      <c r="D93" s="43" t="str">
        <f t="shared" si="2"/>
        <v>2022.001D.Herpesvirales_1renfam_4rengen_124rensp_6absp.zip</v>
      </c>
    </row>
    <row r="94" spans="1:4">
      <c r="A94" s="24" t="s">
        <v>14822</v>
      </c>
      <c r="B94" s="42" t="s">
        <v>17662</v>
      </c>
      <c r="C94" s="42" t="s">
        <v>17661</v>
      </c>
      <c r="D94" s="43" t="str">
        <f t="shared" si="2"/>
        <v>2022.001D.Herpesvirales_1renfam_4rengen_124rensp_6absp.zip</v>
      </c>
    </row>
    <row r="95" spans="1:4">
      <c r="A95" s="24" t="s">
        <v>14822</v>
      </c>
      <c r="B95" s="42" t="s">
        <v>17658</v>
      </c>
      <c r="C95" s="42" t="s">
        <v>17657</v>
      </c>
      <c r="D95" s="43" t="str">
        <f t="shared" si="2"/>
        <v>2022.001D.Herpesvirales_1renfam_4rengen_124rensp_6absp.zip</v>
      </c>
    </row>
    <row r="96" spans="1:4">
      <c r="A96" s="24" t="s">
        <v>14822</v>
      </c>
      <c r="B96" s="42" t="s">
        <v>17656</v>
      </c>
      <c r="C96" s="42" t="s">
        <v>17655</v>
      </c>
      <c r="D96" s="43" t="str">
        <f t="shared" si="2"/>
        <v>2022.001D.Herpesvirales_1renfam_4rengen_124rensp_6absp.zip</v>
      </c>
    </row>
    <row r="97" spans="1:4">
      <c r="A97" s="24" t="s">
        <v>14822</v>
      </c>
      <c r="B97" s="42" t="s">
        <v>17654</v>
      </c>
      <c r="C97" s="42" t="s">
        <v>17653</v>
      </c>
      <c r="D97" s="43" t="str">
        <f t="shared" si="2"/>
        <v>2022.001D.Herpesvirales_1renfam_4rengen_124rensp_6absp.zip</v>
      </c>
    </row>
    <row r="98" spans="1:4">
      <c r="A98" s="24" t="s">
        <v>14822</v>
      </c>
      <c r="B98" s="42" t="s">
        <v>17652</v>
      </c>
      <c r="C98" s="42" t="s">
        <v>17651</v>
      </c>
      <c r="D98" s="43" t="str">
        <f t="shared" si="2"/>
        <v>2022.001D.Herpesvirales_1renfam_4rengen_124rensp_6absp.zip</v>
      </c>
    </row>
    <row r="99" spans="1:4">
      <c r="A99" s="24" t="s">
        <v>14822</v>
      </c>
      <c r="B99" s="42" t="s">
        <v>17650</v>
      </c>
      <c r="C99" s="42" t="s">
        <v>17649</v>
      </c>
      <c r="D99" s="43" t="str">
        <f t="shared" si="2"/>
        <v>2022.001D.Herpesvirales_1renfam_4rengen_124rensp_6absp.zip</v>
      </c>
    </row>
    <row r="100" spans="1:4">
      <c r="A100" s="24" t="s">
        <v>14822</v>
      </c>
      <c r="B100" s="42" t="s">
        <v>17648</v>
      </c>
      <c r="C100" s="42" t="s">
        <v>17647</v>
      </c>
      <c r="D100" s="43" t="str">
        <f t="shared" si="2"/>
        <v>2022.001D.Herpesvirales_1renfam_4rengen_124rensp_6absp.zip</v>
      </c>
    </row>
    <row r="101" spans="1:4">
      <c r="A101" s="24" t="s">
        <v>14822</v>
      </c>
      <c r="B101" s="42" t="s">
        <v>17646</v>
      </c>
      <c r="C101" s="42" t="s">
        <v>17645</v>
      </c>
      <c r="D101" s="43" t="str">
        <f t="shared" si="2"/>
        <v>2022.001D.Herpesvirales_1renfam_4rengen_124rensp_6absp.zip</v>
      </c>
    </row>
    <row r="102" spans="1:4">
      <c r="A102" s="24" t="s">
        <v>14822</v>
      </c>
      <c r="B102" s="42" t="s">
        <v>17642</v>
      </c>
      <c r="C102" s="42" t="s">
        <v>17641</v>
      </c>
      <c r="D102" s="43" t="str">
        <f t="shared" si="2"/>
        <v>2022.001D.Herpesvirales_1renfam_4rengen_124rensp_6absp.zip</v>
      </c>
    </row>
    <row r="103" spans="1:4">
      <c r="A103" s="24" t="s">
        <v>14822</v>
      </c>
      <c r="B103" s="42" t="s">
        <v>17644</v>
      </c>
      <c r="C103" s="42" t="s">
        <v>17643</v>
      </c>
      <c r="D103" s="43" t="str">
        <f t="shared" si="2"/>
        <v>2022.001D.Herpesvirales_1renfam_4rengen_124rensp_6absp.zip</v>
      </c>
    </row>
    <row r="104" spans="1:4">
      <c r="A104" s="24" t="s">
        <v>14822</v>
      </c>
      <c r="B104" s="42" t="s">
        <v>17640</v>
      </c>
      <c r="C104" s="42" t="s">
        <v>17639</v>
      </c>
      <c r="D104" s="43" t="str">
        <f t="shared" si="2"/>
        <v>2022.001D.Herpesvirales_1renfam_4rengen_124rensp_6absp.zip</v>
      </c>
    </row>
    <row r="105" spans="1:4">
      <c r="A105" s="24" t="s">
        <v>14822</v>
      </c>
      <c r="B105" s="42" t="s">
        <v>17638</v>
      </c>
      <c r="C105" s="42" t="s">
        <v>17637</v>
      </c>
      <c r="D105" s="43" t="str">
        <f t="shared" si="2"/>
        <v>2022.001D.Herpesvirales_1renfam_4rengen_124rensp_6absp.zip</v>
      </c>
    </row>
    <row r="106" spans="1:4">
      <c r="A106" s="24" t="s">
        <v>14822</v>
      </c>
      <c r="B106" s="42" t="s">
        <v>17636</v>
      </c>
      <c r="C106" s="42" t="s">
        <v>17635</v>
      </c>
      <c r="D106" s="43" t="str">
        <f t="shared" si="2"/>
        <v>2022.001D.Herpesvirales_1renfam_4rengen_124rensp_6absp.zip</v>
      </c>
    </row>
    <row r="107" spans="1:4">
      <c r="A107" s="24" t="s">
        <v>14822</v>
      </c>
      <c r="B107" s="42" t="s">
        <v>17634</v>
      </c>
      <c r="C107" s="42" t="s">
        <v>17633</v>
      </c>
      <c r="D107" s="43" t="str">
        <f t="shared" si="2"/>
        <v>2022.001D.Herpesvirales_1renfam_4rengen_124rensp_6absp.zip</v>
      </c>
    </row>
    <row r="108" spans="1:4">
      <c r="A108" s="24" t="s">
        <v>14822</v>
      </c>
      <c r="B108" s="42" t="s">
        <v>17632</v>
      </c>
      <c r="C108" s="42" t="s">
        <v>17631</v>
      </c>
      <c r="D108" s="43" t="str">
        <f t="shared" si="2"/>
        <v>2022.001D.Herpesvirales_1renfam_4rengen_124rensp_6absp.zip</v>
      </c>
    </row>
    <row r="109" spans="1:4">
      <c r="A109" s="24" t="s">
        <v>14822</v>
      </c>
      <c r="B109" s="42" t="s">
        <v>17630</v>
      </c>
      <c r="C109" s="42" t="s">
        <v>17629</v>
      </c>
      <c r="D109" s="43" t="str">
        <f t="shared" si="2"/>
        <v>2022.001D.Herpesvirales_1renfam_4rengen_124rensp_6absp.zip</v>
      </c>
    </row>
    <row r="110" spans="1:4">
      <c r="A110" s="24" t="s">
        <v>14822</v>
      </c>
      <c r="B110" s="42" t="s">
        <v>17628</v>
      </c>
      <c r="C110" s="42" t="s">
        <v>17627</v>
      </c>
      <c r="D110" s="43" t="str">
        <f t="shared" si="2"/>
        <v>2022.001D.Herpesvirales_1renfam_4rengen_124rensp_6absp.zip</v>
      </c>
    </row>
    <row r="111" spans="1:4">
      <c r="A111" s="24" t="s">
        <v>14822</v>
      </c>
      <c r="B111" s="42" t="s">
        <v>17626</v>
      </c>
      <c r="C111" s="42" t="s">
        <v>17625</v>
      </c>
      <c r="D111" s="43" t="str">
        <f t="shared" ref="D111:D138" si="3">HYPERLINK("https://ictv.global/ictv/proposals/2022.001D.Herpesvirales_1renfam_4rengen_124rensp_6absp.zip","2022.001D.Herpesvirales_1renfam_4rengen_124rensp_6absp.zip")</f>
        <v>2022.001D.Herpesvirales_1renfam_4rengen_124rensp_6absp.zip</v>
      </c>
    </row>
    <row r="112" spans="1:4">
      <c r="A112" s="24" t="s">
        <v>14822</v>
      </c>
      <c r="B112" s="42" t="s">
        <v>17624</v>
      </c>
      <c r="C112" s="42" t="s">
        <v>17623</v>
      </c>
      <c r="D112" s="43" t="str">
        <f t="shared" si="3"/>
        <v>2022.001D.Herpesvirales_1renfam_4rengen_124rensp_6absp.zip</v>
      </c>
    </row>
    <row r="113" spans="1:4">
      <c r="A113" s="24" t="s">
        <v>14822</v>
      </c>
      <c r="B113" s="42" t="s">
        <v>17622</v>
      </c>
      <c r="C113" s="42" t="s">
        <v>17621</v>
      </c>
      <c r="D113" s="43" t="str">
        <f t="shared" si="3"/>
        <v>2022.001D.Herpesvirales_1renfam_4rengen_124rensp_6absp.zip</v>
      </c>
    </row>
    <row r="114" spans="1:4">
      <c r="A114" s="24" t="s">
        <v>14822</v>
      </c>
      <c r="B114" s="42" t="s">
        <v>17620</v>
      </c>
      <c r="C114" s="42" t="s">
        <v>17619</v>
      </c>
      <c r="D114" s="43" t="str">
        <f t="shared" si="3"/>
        <v>2022.001D.Herpesvirales_1renfam_4rengen_124rensp_6absp.zip</v>
      </c>
    </row>
    <row r="115" spans="1:4">
      <c r="A115" s="24" t="s">
        <v>14822</v>
      </c>
      <c r="B115" s="42" t="s">
        <v>17618</v>
      </c>
      <c r="C115" s="42" t="s">
        <v>17617</v>
      </c>
      <c r="D115" s="43" t="str">
        <f t="shared" si="3"/>
        <v>2022.001D.Herpesvirales_1renfam_4rengen_124rensp_6absp.zip</v>
      </c>
    </row>
    <row r="116" spans="1:4">
      <c r="A116" s="24" t="s">
        <v>14822</v>
      </c>
      <c r="B116" s="42" t="s">
        <v>17616</v>
      </c>
      <c r="C116" s="42" t="s">
        <v>17615</v>
      </c>
      <c r="D116" s="43" t="str">
        <f t="shared" si="3"/>
        <v>2022.001D.Herpesvirales_1renfam_4rengen_124rensp_6absp.zip</v>
      </c>
    </row>
    <row r="117" spans="1:4">
      <c r="A117" s="24" t="s">
        <v>14822</v>
      </c>
      <c r="B117" s="42" t="s">
        <v>17614</v>
      </c>
      <c r="C117" s="42" t="s">
        <v>17613</v>
      </c>
      <c r="D117" s="43" t="str">
        <f t="shared" si="3"/>
        <v>2022.001D.Herpesvirales_1renfam_4rengen_124rensp_6absp.zip</v>
      </c>
    </row>
    <row r="118" spans="1:4">
      <c r="A118" s="24" t="s">
        <v>14822</v>
      </c>
      <c r="B118" s="42" t="s">
        <v>17612</v>
      </c>
      <c r="C118" s="42" t="s">
        <v>17611</v>
      </c>
      <c r="D118" s="43" t="str">
        <f t="shared" si="3"/>
        <v>2022.001D.Herpesvirales_1renfam_4rengen_124rensp_6absp.zip</v>
      </c>
    </row>
    <row r="119" spans="1:4">
      <c r="A119" s="24" t="s">
        <v>14822</v>
      </c>
      <c r="B119" s="42" t="s">
        <v>17610</v>
      </c>
      <c r="C119" s="42" t="s">
        <v>17609</v>
      </c>
      <c r="D119" s="43" t="str">
        <f t="shared" si="3"/>
        <v>2022.001D.Herpesvirales_1renfam_4rengen_124rensp_6absp.zip</v>
      </c>
    </row>
    <row r="120" spans="1:4">
      <c r="A120" s="24" t="s">
        <v>14822</v>
      </c>
      <c r="B120" s="42" t="s">
        <v>17608</v>
      </c>
      <c r="C120" s="42" t="s">
        <v>17607</v>
      </c>
      <c r="D120" s="43" t="str">
        <f t="shared" si="3"/>
        <v>2022.001D.Herpesvirales_1renfam_4rengen_124rensp_6absp.zip</v>
      </c>
    </row>
    <row r="121" spans="1:4">
      <c r="A121" s="24" t="s">
        <v>14822</v>
      </c>
      <c r="B121" s="42" t="s">
        <v>17606</v>
      </c>
      <c r="C121" s="42" t="s">
        <v>17605</v>
      </c>
      <c r="D121" s="43" t="str">
        <f t="shared" si="3"/>
        <v>2022.001D.Herpesvirales_1renfam_4rengen_124rensp_6absp.zip</v>
      </c>
    </row>
    <row r="122" spans="1:4">
      <c r="A122" s="24" t="s">
        <v>14822</v>
      </c>
      <c r="B122" s="42" t="s">
        <v>17604</v>
      </c>
      <c r="C122" s="42" t="s">
        <v>17603</v>
      </c>
      <c r="D122" s="43" t="str">
        <f t="shared" si="3"/>
        <v>2022.001D.Herpesvirales_1renfam_4rengen_124rensp_6absp.zip</v>
      </c>
    </row>
    <row r="123" spans="1:4">
      <c r="A123" s="24" t="s">
        <v>14822</v>
      </c>
      <c r="B123" s="42" t="s">
        <v>17602</v>
      </c>
      <c r="C123" s="42" t="s">
        <v>17601</v>
      </c>
      <c r="D123" s="43" t="str">
        <f t="shared" si="3"/>
        <v>2022.001D.Herpesvirales_1renfam_4rengen_124rensp_6absp.zip</v>
      </c>
    </row>
    <row r="124" spans="1:4">
      <c r="A124" s="24" t="s">
        <v>14822</v>
      </c>
      <c r="B124" s="42" t="s">
        <v>17600</v>
      </c>
      <c r="C124" s="42" t="s">
        <v>17599</v>
      </c>
      <c r="D124" s="43" t="str">
        <f t="shared" si="3"/>
        <v>2022.001D.Herpesvirales_1renfam_4rengen_124rensp_6absp.zip</v>
      </c>
    </row>
    <row r="125" spans="1:4">
      <c r="A125" s="24" t="s">
        <v>14822</v>
      </c>
      <c r="B125" s="42" t="s">
        <v>17598</v>
      </c>
      <c r="C125" s="42" t="s">
        <v>17597</v>
      </c>
      <c r="D125" s="43" t="str">
        <f t="shared" si="3"/>
        <v>2022.001D.Herpesvirales_1renfam_4rengen_124rensp_6absp.zip</v>
      </c>
    </row>
    <row r="126" spans="1:4">
      <c r="A126" s="24" t="s">
        <v>14822</v>
      </c>
      <c r="B126" s="42" t="s">
        <v>17596</v>
      </c>
      <c r="C126" s="42" t="s">
        <v>17595</v>
      </c>
      <c r="D126" s="43" t="str">
        <f t="shared" si="3"/>
        <v>2022.001D.Herpesvirales_1renfam_4rengen_124rensp_6absp.zip</v>
      </c>
    </row>
    <row r="127" spans="1:4">
      <c r="A127" s="24" t="s">
        <v>14822</v>
      </c>
      <c r="B127" s="42" t="s">
        <v>17594</v>
      </c>
      <c r="C127" s="42" t="s">
        <v>17593</v>
      </c>
      <c r="D127" s="43" t="str">
        <f t="shared" si="3"/>
        <v>2022.001D.Herpesvirales_1renfam_4rengen_124rensp_6absp.zip</v>
      </c>
    </row>
    <row r="128" spans="1:4">
      <c r="A128" s="24" t="s">
        <v>14822</v>
      </c>
      <c r="B128" s="42" t="s">
        <v>17592</v>
      </c>
      <c r="C128" s="42" t="s">
        <v>17591</v>
      </c>
      <c r="D128" s="43" t="str">
        <f t="shared" si="3"/>
        <v>2022.001D.Herpesvirales_1renfam_4rengen_124rensp_6absp.zip</v>
      </c>
    </row>
    <row r="129" spans="1:4">
      <c r="A129" s="24" t="s">
        <v>14822</v>
      </c>
      <c r="B129" s="42" t="s">
        <v>17590</v>
      </c>
      <c r="C129" s="42" t="s">
        <v>17589</v>
      </c>
      <c r="D129" s="43" t="str">
        <f t="shared" si="3"/>
        <v>2022.001D.Herpesvirales_1renfam_4rengen_124rensp_6absp.zip</v>
      </c>
    </row>
    <row r="130" spans="1:4">
      <c r="A130" s="24" t="s">
        <v>14822</v>
      </c>
      <c r="B130" s="42" t="s">
        <v>17584</v>
      </c>
      <c r="C130" s="42" t="s">
        <v>17583</v>
      </c>
      <c r="D130" s="43" t="str">
        <f t="shared" si="3"/>
        <v>2022.001D.Herpesvirales_1renfam_4rengen_124rensp_6absp.zip</v>
      </c>
    </row>
    <row r="131" spans="1:4">
      <c r="A131" s="24" t="s">
        <v>14822</v>
      </c>
      <c r="B131" s="42" t="s">
        <v>17582</v>
      </c>
      <c r="C131" s="42" t="s">
        <v>17581</v>
      </c>
      <c r="D131" s="43" t="str">
        <f t="shared" si="3"/>
        <v>2022.001D.Herpesvirales_1renfam_4rengen_124rensp_6absp.zip</v>
      </c>
    </row>
    <row r="132" spans="1:4">
      <c r="A132" s="24" t="s">
        <v>14822</v>
      </c>
      <c r="B132" s="42" t="s">
        <v>17588</v>
      </c>
      <c r="C132" s="42" t="s">
        <v>17587</v>
      </c>
      <c r="D132" s="43" t="str">
        <f t="shared" si="3"/>
        <v>2022.001D.Herpesvirales_1renfam_4rengen_124rensp_6absp.zip</v>
      </c>
    </row>
    <row r="133" spans="1:4">
      <c r="A133" s="24" t="s">
        <v>14822</v>
      </c>
      <c r="B133" s="42" t="s">
        <v>17586</v>
      </c>
      <c r="C133" s="42" t="s">
        <v>17585</v>
      </c>
      <c r="D133" s="43" t="str">
        <f t="shared" si="3"/>
        <v>2022.001D.Herpesvirales_1renfam_4rengen_124rensp_6absp.zip</v>
      </c>
    </row>
    <row r="134" spans="1:4">
      <c r="A134" s="24" t="s">
        <v>14822</v>
      </c>
      <c r="B134" s="42" t="s">
        <v>17580</v>
      </c>
      <c r="C134" s="42" t="s">
        <v>17579</v>
      </c>
      <c r="D134" s="43" t="str">
        <f t="shared" si="3"/>
        <v>2022.001D.Herpesvirales_1renfam_4rengen_124rensp_6absp.zip</v>
      </c>
    </row>
    <row r="135" spans="1:4">
      <c r="A135" s="24" t="s">
        <v>14822</v>
      </c>
      <c r="B135" s="42" t="s">
        <v>17578</v>
      </c>
      <c r="C135" s="42" t="s">
        <v>17577</v>
      </c>
      <c r="D135" s="43" t="str">
        <f t="shared" si="3"/>
        <v>2022.001D.Herpesvirales_1renfam_4rengen_124rensp_6absp.zip</v>
      </c>
    </row>
    <row r="136" spans="1:4">
      <c r="A136" s="24" t="s">
        <v>14822</v>
      </c>
      <c r="B136" s="42" t="s">
        <v>17576</v>
      </c>
      <c r="C136" s="42" t="s">
        <v>17575</v>
      </c>
      <c r="D136" s="43" t="str">
        <f t="shared" si="3"/>
        <v>2022.001D.Herpesvirales_1renfam_4rengen_124rensp_6absp.zip</v>
      </c>
    </row>
    <row r="137" spans="1:4">
      <c r="A137" s="24" t="s">
        <v>14822</v>
      </c>
      <c r="B137" s="42" t="s">
        <v>17796</v>
      </c>
      <c r="C137" s="42" t="s">
        <v>17795</v>
      </c>
      <c r="D137" s="43" t="str">
        <f t="shared" si="3"/>
        <v>2022.001D.Herpesvirales_1renfam_4rengen_124rensp_6absp.zip</v>
      </c>
    </row>
    <row r="138" spans="1:4">
      <c r="A138" s="24" t="s">
        <v>14822</v>
      </c>
      <c r="B138" s="42" t="s">
        <v>17794</v>
      </c>
      <c r="C138" s="42" t="s">
        <v>17793</v>
      </c>
      <c r="D138" s="43" t="str">
        <f t="shared" si="3"/>
        <v>2022.001D.Herpesvirales_1renfam_4rengen_124rensp_6absp.zip</v>
      </c>
    </row>
    <row r="139" spans="1:4">
      <c r="A139" s="24" t="s">
        <v>14822</v>
      </c>
      <c r="B139" s="42" t="s">
        <v>17574</v>
      </c>
      <c r="C139" s="42" t="s">
        <v>17573</v>
      </c>
      <c r="D139" s="43" t="str">
        <f>HYPERLINK("https://ictv.global/ictv/proposals/2022.030B.Error_correction.zip","2022.030B.Error_correction.zip")</f>
        <v>2022.030B.Error_correction.zip</v>
      </c>
    </row>
    <row r="140" spans="1:4">
      <c r="A140" s="24" t="s">
        <v>14822</v>
      </c>
      <c r="B140" s="42" t="s">
        <v>17572</v>
      </c>
      <c r="C140" s="42" t="s">
        <v>17571</v>
      </c>
      <c r="D140" s="43" t="str">
        <f>HYPERLINK("https://ictv.global/ictv/proposals/2022.003B.Abolish_Haartmanvirus.zip","2022.003B.Abolish_Haartmanvirus.zip")</f>
        <v>2022.003B.Abolish_Haartmanvirus.zip</v>
      </c>
    </row>
    <row r="141" spans="1:4">
      <c r="A141" s="24" t="s">
        <v>14822</v>
      </c>
      <c r="B141" s="42" t="s">
        <v>17560</v>
      </c>
      <c r="C141" s="42" t="s">
        <v>17559</v>
      </c>
      <c r="D141" s="43" t="str">
        <f>HYPERLINK("https://ictv.global/ictv/proposals/2022.087B.Straboviridae_update.zip","2022.087B.Straboviridae_update.zip")</f>
        <v>2022.087B.Straboviridae_update.zip</v>
      </c>
    </row>
    <row r="142" spans="1:4">
      <c r="A142" s="24" t="s">
        <v>14822</v>
      </c>
      <c r="B142" s="42" t="s">
        <v>17566</v>
      </c>
      <c r="C142" s="42" t="s">
        <v>17565</v>
      </c>
      <c r="D142" s="43" t="str">
        <f>HYPERLINK("https://ictv.global/ictv/proposals/2022.030B.Error_correction.zip","2022.030B.Error_correction.zip")</f>
        <v>2022.030B.Error_correction.zip</v>
      </c>
    </row>
    <row r="143" spans="1:4">
      <c r="A143" s="24" t="s">
        <v>14822</v>
      </c>
      <c r="B143" s="42" t="s">
        <v>17564</v>
      </c>
      <c r="C143" s="42" t="s">
        <v>17563</v>
      </c>
      <c r="D143" s="43" t="str">
        <f>HYPERLINK("https://ictv.global/ictv/proposals/2022.030B.Error_correction.zip","2022.030B.Error_correction.zip")</f>
        <v>2022.030B.Error_correction.zip</v>
      </c>
    </row>
    <row r="144" spans="1:4">
      <c r="A144" s="24" t="s">
        <v>14822</v>
      </c>
      <c r="B144" s="42" t="s">
        <v>17568</v>
      </c>
      <c r="C144" s="42" t="s">
        <v>17567</v>
      </c>
      <c r="D144" s="43" t="str">
        <f>HYPERLINK("https://ictv.global/ictv/proposals/2022.034B.Gordonclarkvirinae_nsf.zip","2022.034B.Gordonclarkvirinae_nsf.zip")</f>
        <v>2022.034B.Gordonclarkvirinae_nsf.zip</v>
      </c>
    </row>
    <row r="145" spans="1:4">
      <c r="A145" s="24" t="s">
        <v>14822</v>
      </c>
      <c r="B145" s="42" t="s">
        <v>17570</v>
      </c>
      <c r="C145" s="42" t="s">
        <v>17569</v>
      </c>
      <c r="D145" s="43" t="str">
        <f>HYPERLINK("https://ictv.global/ictv/proposals/2022.034B.Gordonclarkvirinae_nsf.zip","2022.034B.Gordonclarkvirinae_nsf.zip")</f>
        <v>2022.034B.Gordonclarkvirinae_nsf.zip</v>
      </c>
    </row>
    <row r="146" spans="1:4">
      <c r="A146" s="24" t="s">
        <v>14822</v>
      </c>
      <c r="B146" s="42" t="s">
        <v>17562</v>
      </c>
      <c r="C146" s="42" t="s">
        <v>17561</v>
      </c>
      <c r="D146" s="43" t="str">
        <f>HYPERLINK("https://ictv.global/ictv/proposals/2022.065B.Pootjesviridae_nf.zip","2022.065B.Pootjesviridae_nf.zip")</f>
        <v>2022.065B.Pootjesviridae_nf.zip</v>
      </c>
    </row>
    <row r="147" spans="1:4">
      <c r="A147" s="24" t="s">
        <v>14822</v>
      </c>
      <c r="B147" s="42" t="s">
        <v>17558</v>
      </c>
      <c r="C147" s="42" t="s">
        <v>17557</v>
      </c>
      <c r="D147" s="43" t="str">
        <f t="shared" ref="D147:D178" si="4">HYPERLINK("https://ictv.global/ictv/proposals/2022.005D.Parvoviridae_2ngen_49nsp_125rensp.zip","2022.005D.Parvoviridae_2ngen_49nsp_125rensp.zip")</f>
        <v>2022.005D.Parvoviridae_2ngen_49nsp_125rensp.zip</v>
      </c>
    </row>
    <row r="148" spans="1:4">
      <c r="A148" s="24" t="s">
        <v>14822</v>
      </c>
      <c r="B148" s="42" t="s">
        <v>17556</v>
      </c>
      <c r="C148" s="42" t="s">
        <v>17555</v>
      </c>
      <c r="D148" s="43" t="str">
        <f t="shared" si="4"/>
        <v>2022.005D.Parvoviridae_2ngen_49nsp_125rensp.zip</v>
      </c>
    </row>
    <row r="149" spans="1:4">
      <c r="A149" s="24" t="s">
        <v>14822</v>
      </c>
      <c r="B149" s="42" t="s">
        <v>17554</v>
      </c>
      <c r="C149" s="42" t="s">
        <v>17553</v>
      </c>
      <c r="D149" s="43" t="str">
        <f t="shared" si="4"/>
        <v>2022.005D.Parvoviridae_2ngen_49nsp_125rensp.zip</v>
      </c>
    </row>
    <row r="150" spans="1:4">
      <c r="A150" s="24" t="s">
        <v>14822</v>
      </c>
      <c r="B150" s="42" t="s">
        <v>17552</v>
      </c>
      <c r="C150" s="42" t="s">
        <v>17551</v>
      </c>
      <c r="D150" s="43" t="str">
        <f t="shared" si="4"/>
        <v>2022.005D.Parvoviridae_2ngen_49nsp_125rensp.zip</v>
      </c>
    </row>
    <row r="151" spans="1:4">
      <c r="A151" s="24" t="s">
        <v>14822</v>
      </c>
      <c r="B151" s="42" t="s">
        <v>17550</v>
      </c>
      <c r="C151" s="42" t="s">
        <v>17549</v>
      </c>
      <c r="D151" s="43" t="str">
        <f t="shared" si="4"/>
        <v>2022.005D.Parvoviridae_2ngen_49nsp_125rensp.zip</v>
      </c>
    </row>
    <row r="152" spans="1:4">
      <c r="A152" s="24" t="s">
        <v>14822</v>
      </c>
      <c r="B152" s="42" t="s">
        <v>17548</v>
      </c>
      <c r="C152" s="42" t="s">
        <v>17547</v>
      </c>
      <c r="D152" s="43" t="str">
        <f t="shared" si="4"/>
        <v>2022.005D.Parvoviridae_2ngen_49nsp_125rensp.zip</v>
      </c>
    </row>
    <row r="153" spans="1:4">
      <c r="A153" s="24" t="s">
        <v>14822</v>
      </c>
      <c r="B153" s="42" t="s">
        <v>17546</v>
      </c>
      <c r="C153" s="42" t="s">
        <v>17545</v>
      </c>
      <c r="D153" s="43" t="str">
        <f t="shared" si="4"/>
        <v>2022.005D.Parvoviridae_2ngen_49nsp_125rensp.zip</v>
      </c>
    </row>
    <row r="154" spans="1:4">
      <c r="A154" s="24" t="s">
        <v>14822</v>
      </c>
      <c r="B154" s="42" t="s">
        <v>17544</v>
      </c>
      <c r="C154" s="42" t="s">
        <v>17543</v>
      </c>
      <c r="D154" s="43" t="str">
        <f t="shared" si="4"/>
        <v>2022.005D.Parvoviridae_2ngen_49nsp_125rensp.zip</v>
      </c>
    </row>
    <row r="155" spans="1:4">
      <c r="A155" s="24" t="s">
        <v>14822</v>
      </c>
      <c r="B155" s="42" t="s">
        <v>17542</v>
      </c>
      <c r="C155" s="42" t="s">
        <v>17541</v>
      </c>
      <c r="D155" s="43" t="str">
        <f t="shared" si="4"/>
        <v>2022.005D.Parvoviridae_2ngen_49nsp_125rensp.zip</v>
      </c>
    </row>
    <row r="156" spans="1:4">
      <c r="A156" s="24" t="s">
        <v>14822</v>
      </c>
      <c r="B156" s="42" t="s">
        <v>17540</v>
      </c>
      <c r="C156" s="42" t="s">
        <v>17539</v>
      </c>
      <c r="D156" s="43" t="str">
        <f t="shared" si="4"/>
        <v>2022.005D.Parvoviridae_2ngen_49nsp_125rensp.zip</v>
      </c>
    </row>
    <row r="157" spans="1:4">
      <c r="A157" s="24" t="s">
        <v>14822</v>
      </c>
      <c r="B157" s="42" t="s">
        <v>17538</v>
      </c>
      <c r="C157" s="42" t="s">
        <v>17537</v>
      </c>
      <c r="D157" s="43" t="str">
        <f t="shared" si="4"/>
        <v>2022.005D.Parvoviridae_2ngen_49nsp_125rensp.zip</v>
      </c>
    </row>
    <row r="158" spans="1:4">
      <c r="A158" s="24" t="s">
        <v>14822</v>
      </c>
      <c r="B158" s="42" t="s">
        <v>17536</v>
      </c>
      <c r="C158" s="42" t="s">
        <v>17535</v>
      </c>
      <c r="D158" s="43" t="str">
        <f t="shared" si="4"/>
        <v>2022.005D.Parvoviridae_2ngen_49nsp_125rensp.zip</v>
      </c>
    </row>
    <row r="159" spans="1:4">
      <c r="A159" s="24" t="s">
        <v>14822</v>
      </c>
      <c r="B159" s="42" t="s">
        <v>17534</v>
      </c>
      <c r="C159" s="42" t="s">
        <v>17533</v>
      </c>
      <c r="D159" s="43" t="str">
        <f t="shared" si="4"/>
        <v>2022.005D.Parvoviridae_2ngen_49nsp_125rensp.zip</v>
      </c>
    </row>
    <row r="160" spans="1:4">
      <c r="A160" s="24" t="s">
        <v>14822</v>
      </c>
      <c r="B160" s="42" t="s">
        <v>17532</v>
      </c>
      <c r="C160" s="42" t="s">
        <v>17531</v>
      </c>
      <c r="D160" s="43" t="str">
        <f t="shared" si="4"/>
        <v>2022.005D.Parvoviridae_2ngen_49nsp_125rensp.zip</v>
      </c>
    </row>
    <row r="161" spans="1:4">
      <c r="A161" s="24" t="s">
        <v>14822</v>
      </c>
      <c r="B161" s="42" t="s">
        <v>17530</v>
      </c>
      <c r="C161" s="42" t="s">
        <v>17529</v>
      </c>
      <c r="D161" s="43" t="str">
        <f t="shared" si="4"/>
        <v>2022.005D.Parvoviridae_2ngen_49nsp_125rensp.zip</v>
      </c>
    </row>
    <row r="162" spans="1:4">
      <c r="A162" s="24" t="s">
        <v>14822</v>
      </c>
      <c r="B162" s="42" t="s">
        <v>17528</v>
      </c>
      <c r="C162" s="42" t="s">
        <v>17527</v>
      </c>
      <c r="D162" s="43" t="str">
        <f t="shared" si="4"/>
        <v>2022.005D.Parvoviridae_2ngen_49nsp_125rensp.zip</v>
      </c>
    </row>
    <row r="163" spans="1:4">
      <c r="A163" s="24" t="s">
        <v>14822</v>
      </c>
      <c r="B163" s="42" t="s">
        <v>17526</v>
      </c>
      <c r="C163" s="42" t="s">
        <v>17525</v>
      </c>
      <c r="D163" s="43" t="str">
        <f t="shared" si="4"/>
        <v>2022.005D.Parvoviridae_2ngen_49nsp_125rensp.zip</v>
      </c>
    </row>
    <row r="164" spans="1:4">
      <c r="A164" s="24" t="s">
        <v>14822</v>
      </c>
      <c r="B164" s="42" t="s">
        <v>17524</v>
      </c>
      <c r="C164" s="42" t="s">
        <v>17523</v>
      </c>
      <c r="D164" s="43" t="str">
        <f t="shared" si="4"/>
        <v>2022.005D.Parvoviridae_2ngen_49nsp_125rensp.zip</v>
      </c>
    </row>
    <row r="165" spans="1:4">
      <c r="A165" s="24" t="s">
        <v>14822</v>
      </c>
      <c r="B165" s="42" t="s">
        <v>17522</v>
      </c>
      <c r="C165" s="42" t="s">
        <v>17521</v>
      </c>
      <c r="D165" s="43" t="str">
        <f t="shared" si="4"/>
        <v>2022.005D.Parvoviridae_2ngen_49nsp_125rensp.zip</v>
      </c>
    </row>
    <row r="166" spans="1:4">
      <c r="A166" s="24" t="s">
        <v>14822</v>
      </c>
      <c r="B166" s="42" t="s">
        <v>17520</v>
      </c>
      <c r="C166" s="42" t="s">
        <v>17519</v>
      </c>
      <c r="D166" s="43" t="str">
        <f t="shared" si="4"/>
        <v>2022.005D.Parvoviridae_2ngen_49nsp_125rensp.zip</v>
      </c>
    </row>
    <row r="167" spans="1:4">
      <c r="A167" s="24" t="s">
        <v>14822</v>
      </c>
      <c r="B167" s="42" t="s">
        <v>17518</v>
      </c>
      <c r="C167" s="42" t="s">
        <v>17517</v>
      </c>
      <c r="D167" s="43" t="str">
        <f t="shared" si="4"/>
        <v>2022.005D.Parvoviridae_2ngen_49nsp_125rensp.zip</v>
      </c>
    </row>
    <row r="168" spans="1:4">
      <c r="A168" s="24" t="s">
        <v>14822</v>
      </c>
      <c r="B168" s="42" t="s">
        <v>17516</v>
      </c>
      <c r="C168" s="42" t="s">
        <v>17515</v>
      </c>
      <c r="D168" s="43" t="str">
        <f t="shared" si="4"/>
        <v>2022.005D.Parvoviridae_2ngen_49nsp_125rensp.zip</v>
      </c>
    </row>
    <row r="169" spans="1:4">
      <c r="A169" s="24" t="s">
        <v>14822</v>
      </c>
      <c r="B169" s="42" t="s">
        <v>17514</v>
      </c>
      <c r="C169" s="42" t="s">
        <v>17513</v>
      </c>
      <c r="D169" s="43" t="str">
        <f t="shared" si="4"/>
        <v>2022.005D.Parvoviridae_2ngen_49nsp_125rensp.zip</v>
      </c>
    </row>
    <row r="170" spans="1:4">
      <c r="A170" s="24" t="s">
        <v>14822</v>
      </c>
      <c r="B170" s="42" t="s">
        <v>17512</v>
      </c>
      <c r="C170" s="42" t="s">
        <v>17511</v>
      </c>
      <c r="D170" s="43" t="str">
        <f t="shared" si="4"/>
        <v>2022.005D.Parvoviridae_2ngen_49nsp_125rensp.zip</v>
      </c>
    </row>
    <row r="171" spans="1:4">
      <c r="A171" s="24" t="s">
        <v>14822</v>
      </c>
      <c r="B171" s="42" t="s">
        <v>17510</v>
      </c>
      <c r="C171" s="42" t="s">
        <v>17509</v>
      </c>
      <c r="D171" s="43" t="str">
        <f t="shared" si="4"/>
        <v>2022.005D.Parvoviridae_2ngen_49nsp_125rensp.zip</v>
      </c>
    </row>
    <row r="172" spans="1:4">
      <c r="A172" s="24" t="s">
        <v>14822</v>
      </c>
      <c r="B172" s="42" t="s">
        <v>17508</v>
      </c>
      <c r="C172" s="42" t="s">
        <v>17507</v>
      </c>
      <c r="D172" s="43" t="str">
        <f t="shared" si="4"/>
        <v>2022.005D.Parvoviridae_2ngen_49nsp_125rensp.zip</v>
      </c>
    </row>
    <row r="173" spans="1:4">
      <c r="A173" s="24" t="s">
        <v>14822</v>
      </c>
      <c r="B173" s="42" t="s">
        <v>17506</v>
      </c>
      <c r="C173" s="42" t="s">
        <v>17505</v>
      </c>
      <c r="D173" s="43" t="str">
        <f t="shared" si="4"/>
        <v>2022.005D.Parvoviridae_2ngen_49nsp_125rensp.zip</v>
      </c>
    </row>
    <row r="174" spans="1:4">
      <c r="A174" s="24" t="s">
        <v>14822</v>
      </c>
      <c r="B174" s="42" t="s">
        <v>17504</v>
      </c>
      <c r="C174" s="42" t="s">
        <v>17503</v>
      </c>
      <c r="D174" s="43" t="str">
        <f t="shared" si="4"/>
        <v>2022.005D.Parvoviridae_2ngen_49nsp_125rensp.zip</v>
      </c>
    </row>
    <row r="175" spans="1:4">
      <c r="A175" s="24" t="s">
        <v>14822</v>
      </c>
      <c r="B175" s="42" t="s">
        <v>17502</v>
      </c>
      <c r="C175" s="42" t="s">
        <v>17501</v>
      </c>
      <c r="D175" s="43" t="str">
        <f t="shared" si="4"/>
        <v>2022.005D.Parvoviridae_2ngen_49nsp_125rensp.zip</v>
      </c>
    </row>
    <row r="176" spans="1:4">
      <c r="A176" s="24" t="s">
        <v>14822</v>
      </c>
      <c r="B176" s="42" t="s">
        <v>17500</v>
      </c>
      <c r="C176" s="42" t="s">
        <v>17499</v>
      </c>
      <c r="D176" s="43" t="str">
        <f t="shared" si="4"/>
        <v>2022.005D.Parvoviridae_2ngen_49nsp_125rensp.zip</v>
      </c>
    </row>
    <row r="177" spans="1:4">
      <c r="A177" s="24" t="s">
        <v>14822</v>
      </c>
      <c r="B177" s="42" t="s">
        <v>17498</v>
      </c>
      <c r="C177" s="42" t="s">
        <v>17497</v>
      </c>
      <c r="D177" s="43" t="str">
        <f t="shared" si="4"/>
        <v>2022.005D.Parvoviridae_2ngen_49nsp_125rensp.zip</v>
      </c>
    </row>
    <row r="178" spans="1:4">
      <c r="A178" s="24" t="s">
        <v>14822</v>
      </c>
      <c r="B178" s="42" t="s">
        <v>17496</v>
      </c>
      <c r="C178" s="42" t="s">
        <v>17495</v>
      </c>
      <c r="D178" s="43" t="str">
        <f t="shared" si="4"/>
        <v>2022.005D.Parvoviridae_2ngen_49nsp_125rensp.zip</v>
      </c>
    </row>
    <row r="179" spans="1:4">
      <c r="A179" s="24" t="s">
        <v>14822</v>
      </c>
      <c r="B179" s="42" t="s">
        <v>17494</v>
      </c>
      <c r="C179" s="42" t="s">
        <v>17493</v>
      </c>
      <c r="D179" s="43" t="str">
        <f t="shared" ref="D179:D210" si="5">HYPERLINK("https://ictv.global/ictv/proposals/2022.005D.Parvoviridae_2ngen_49nsp_125rensp.zip","2022.005D.Parvoviridae_2ngen_49nsp_125rensp.zip")</f>
        <v>2022.005D.Parvoviridae_2ngen_49nsp_125rensp.zip</v>
      </c>
    </row>
    <row r="180" spans="1:4">
      <c r="A180" s="24" t="s">
        <v>14822</v>
      </c>
      <c r="B180" s="42" t="s">
        <v>17492</v>
      </c>
      <c r="C180" s="42" t="s">
        <v>17491</v>
      </c>
      <c r="D180" s="43" t="str">
        <f t="shared" si="5"/>
        <v>2022.005D.Parvoviridae_2ngen_49nsp_125rensp.zip</v>
      </c>
    </row>
    <row r="181" spans="1:4">
      <c r="A181" s="24" t="s">
        <v>14822</v>
      </c>
      <c r="B181" s="42" t="s">
        <v>17490</v>
      </c>
      <c r="C181" s="42" t="s">
        <v>17489</v>
      </c>
      <c r="D181" s="43" t="str">
        <f t="shared" si="5"/>
        <v>2022.005D.Parvoviridae_2ngen_49nsp_125rensp.zip</v>
      </c>
    </row>
    <row r="182" spans="1:4">
      <c r="A182" s="24" t="s">
        <v>14822</v>
      </c>
      <c r="B182" s="42" t="s">
        <v>17488</v>
      </c>
      <c r="C182" s="42" t="s">
        <v>17487</v>
      </c>
      <c r="D182" s="43" t="str">
        <f t="shared" si="5"/>
        <v>2022.005D.Parvoviridae_2ngen_49nsp_125rensp.zip</v>
      </c>
    </row>
    <row r="183" spans="1:4">
      <c r="A183" s="24" t="s">
        <v>14822</v>
      </c>
      <c r="B183" s="42" t="s">
        <v>17486</v>
      </c>
      <c r="C183" s="42" t="s">
        <v>17485</v>
      </c>
      <c r="D183" s="43" t="str">
        <f t="shared" si="5"/>
        <v>2022.005D.Parvoviridae_2ngen_49nsp_125rensp.zip</v>
      </c>
    </row>
    <row r="184" spans="1:4">
      <c r="A184" s="24" t="s">
        <v>14822</v>
      </c>
      <c r="B184" s="42" t="s">
        <v>17484</v>
      </c>
      <c r="C184" s="42" t="s">
        <v>17483</v>
      </c>
      <c r="D184" s="43" t="str">
        <f t="shared" si="5"/>
        <v>2022.005D.Parvoviridae_2ngen_49nsp_125rensp.zip</v>
      </c>
    </row>
    <row r="185" spans="1:4">
      <c r="A185" s="24" t="s">
        <v>14822</v>
      </c>
      <c r="B185" s="42" t="s">
        <v>17482</v>
      </c>
      <c r="C185" s="42" t="s">
        <v>17481</v>
      </c>
      <c r="D185" s="43" t="str">
        <f t="shared" si="5"/>
        <v>2022.005D.Parvoviridae_2ngen_49nsp_125rensp.zip</v>
      </c>
    </row>
    <row r="186" spans="1:4">
      <c r="A186" s="24" t="s">
        <v>14822</v>
      </c>
      <c r="B186" s="42" t="s">
        <v>17480</v>
      </c>
      <c r="C186" s="42" t="s">
        <v>17479</v>
      </c>
      <c r="D186" s="43" t="str">
        <f t="shared" si="5"/>
        <v>2022.005D.Parvoviridae_2ngen_49nsp_125rensp.zip</v>
      </c>
    </row>
    <row r="187" spans="1:4">
      <c r="A187" s="24" t="s">
        <v>14822</v>
      </c>
      <c r="B187" s="42" t="s">
        <v>17478</v>
      </c>
      <c r="C187" s="42" t="s">
        <v>17477</v>
      </c>
      <c r="D187" s="43" t="str">
        <f t="shared" si="5"/>
        <v>2022.005D.Parvoviridae_2ngen_49nsp_125rensp.zip</v>
      </c>
    </row>
    <row r="188" spans="1:4">
      <c r="A188" s="24" t="s">
        <v>14822</v>
      </c>
      <c r="B188" s="42" t="s">
        <v>17476</v>
      </c>
      <c r="C188" s="42" t="s">
        <v>17475</v>
      </c>
      <c r="D188" s="43" t="str">
        <f t="shared" si="5"/>
        <v>2022.005D.Parvoviridae_2ngen_49nsp_125rensp.zip</v>
      </c>
    </row>
    <row r="189" spans="1:4">
      <c r="A189" s="24" t="s">
        <v>14822</v>
      </c>
      <c r="B189" s="42" t="s">
        <v>17474</v>
      </c>
      <c r="C189" s="42" t="s">
        <v>17473</v>
      </c>
      <c r="D189" s="43" t="str">
        <f t="shared" si="5"/>
        <v>2022.005D.Parvoviridae_2ngen_49nsp_125rensp.zip</v>
      </c>
    </row>
    <row r="190" spans="1:4">
      <c r="A190" s="24" t="s">
        <v>14822</v>
      </c>
      <c r="B190" s="42" t="s">
        <v>17472</v>
      </c>
      <c r="C190" s="42" t="s">
        <v>17471</v>
      </c>
      <c r="D190" s="43" t="str">
        <f t="shared" si="5"/>
        <v>2022.005D.Parvoviridae_2ngen_49nsp_125rensp.zip</v>
      </c>
    </row>
    <row r="191" spans="1:4">
      <c r="A191" s="24" t="s">
        <v>14822</v>
      </c>
      <c r="B191" s="42" t="s">
        <v>17470</v>
      </c>
      <c r="C191" s="42" t="s">
        <v>17469</v>
      </c>
      <c r="D191" s="43" t="str">
        <f t="shared" si="5"/>
        <v>2022.005D.Parvoviridae_2ngen_49nsp_125rensp.zip</v>
      </c>
    </row>
    <row r="192" spans="1:4">
      <c r="A192" s="24" t="s">
        <v>14822</v>
      </c>
      <c r="B192" s="42" t="s">
        <v>17468</v>
      </c>
      <c r="C192" s="42" t="s">
        <v>17467</v>
      </c>
      <c r="D192" s="43" t="str">
        <f t="shared" si="5"/>
        <v>2022.005D.Parvoviridae_2ngen_49nsp_125rensp.zip</v>
      </c>
    </row>
    <row r="193" spans="1:4">
      <c r="A193" s="24" t="s">
        <v>14822</v>
      </c>
      <c r="B193" s="42" t="s">
        <v>17466</v>
      </c>
      <c r="C193" s="42" t="s">
        <v>17465</v>
      </c>
      <c r="D193" s="43" t="str">
        <f t="shared" si="5"/>
        <v>2022.005D.Parvoviridae_2ngen_49nsp_125rensp.zip</v>
      </c>
    </row>
    <row r="194" spans="1:4">
      <c r="A194" s="24" t="s">
        <v>14822</v>
      </c>
      <c r="B194" s="42" t="s">
        <v>17464</v>
      </c>
      <c r="C194" s="42" t="s">
        <v>17463</v>
      </c>
      <c r="D194" s="43" t="str">
        <f t="shared" si="5"/>
        <v>2022.005D.Parvoviridae_2ngen_49nsp_125rensp.zip</v>
      </c>
    </row>
    <row r="195" spans="1:4">
      <c r="A195" s="24" t="s">
        <v>14822</v>
      </c>
      <c r="B195" s="42" t="s">
        <v>17462</v>
      </c>
      <c r="C195" s="42" t="s">
        <v>17461</v>
      </c>
      <c r="D195" s="43" t="str">
        <f t="shared" si="5"/>
        <v>2022.005D.Parvoviridae_2ngen_49nsp_125rensp.zip</v>
      </c>
    </row>
    <row r="196" spans="1:4">
      <c r="A196" s="24" t="s">
        <v>14822</v>
      </c>
      <c r="B196" s="42" t="s">
        <v>17460</v>
      </c>
      <c r="C196" s="42" t="s">
        <v>17459</v>
      </c>
      <c r="D196" s="43" t="str">
        <f t="shared" si="5"/>
        <v>2022.005D.Parvoviridae_2ngen_49nsp_125rensp.zip</v>
      </c>
    </row>
    <row r="197" spans="1:4">
      <c r="A197" s="24" t="s">
        <v>14822</v>
      </c>
      <c r="B197" s="42" t="s">
        <v>17458</v>
      </c>
      <c r="C197" s="42" t="s">
        <v>17457</v>
      </c>
      <c r="D197" s="43" t="str">
        <f t="shared" si="5"/>
        <v>2022.005D.Parvoviridae_2ngen_49nsp_125rensp.zip</v>
      </c>
    </row>
    <row r="198" spans="1:4">
      <c r="A198" s="24" t="s">
        <v>14822</v>
      </c>
      <c r="B198" s="42" t="s">
        <v>17456</v>
      </c>
      <c r="C198" s="42" t="s">
        <v>17455</v>
      </c>
      <c r="D198" s="43" t="str">
        <f t="shared" si="5"/>
        <v>2022.005D.Parvoviridae_2ngen_49nsp_125rensp.zip</v>
      </c>
    </row>
    <row r="199" spans="1:4">
      <c r="A199" s="24" t="s">
        <v>14822</v>
      </c>
      <c r="B199" s="42" t="s">
        <v>17454</v>
      </c>
      <c r="C199" s="42" t="s">
        <v>17453</v>
      </c>
      <c r="D199" s="43" t="str">
        <f t="shared" si="5"/>
        <v>2022.005D.Parvoviridae_2ngen_49nsp_125rensp.zip</v>
      </c>
    </row>
    <row r="200" spans="1:4">
      <c r="A200" s="24" t="s">
        <v>14822</v>
      </c>
      <c r="B200" s="42" t="s">
        <v>17452</v>
      </c>
      <c r="C200" s="42" t="s">
        <v>17451</v>
      </c>
      <c r="D200" s="43" t="str">
        <f t="shared" si="5"/>
        <v>2022.005D.Parvoviridae_2ngen_49nsp_125rensp.zip</v>
      </c>
    </row>
    <row r="201" spans="1:4">
      <c r="A201" s="24" t="s">
        <v>14822</v>
      </c>
      <c r="B201" s="42" t="s">
        <v>17450</v>
      </c>
      <c r="C201" s="42" t="s">
        <v>17449</v>
      </c>
      <c r="D201" s="43" t="str">
        <f t="shared" si="5"/>
        <v>2022.005D.Parvoviridae_2ngen_49nsp_125rensp.zip</v>
      </c>
    </row>
    <row r="202" spans="1:4">
      <c r="A202" s="24" t="s">
        <v>14822</v>
      </c>
      <c r="B202" s="42" t="s">
        <v>17448</v>
      </c>
      <c r="C202" s="42" t="s">
        <v>17447</v>
      </c>
      <c r="D202" s="43" t="str">
        <f t="shared" si="5"/>
        <v>2022.005D.Parvoviridae_2ngen_49nsp_125rensp.zip</v>
      </c>
    </row>
    <row r="203" spans="1:4">
      <c r="A203" s="24" t="s">
        <v>14822</v>
      </c>
      <c r="B203" s="42" t="s">
        <v>17446</v>
      </c>
      <c r="C203" s="42" t="s">
        <v>17445</v>
      </c>
      <c r="D203" s="43" t="str">
        <f t="shared" si="5"/>
        <v>2022.005D.Parvoviridae_2ngen_49nsp_125rensp.zip</v>
      </c>
    </row>
    <row r="204" spans="1:4">
      <c r="A204" s="24" t="s">
        <v>14822</v>
      </c>
      <c r="B204" s="42" t="s">
        <v>17444</v>
      </c>
      <c r="C204" s="42" t="s">
        <v>17443</v>
      </c>
      <c r="D204" s="43" t="str">
        <f t="shared" si="5"/>
        <v>2022.005D.Parvoviridae_2ngen_49nsp_125rensp.zip</v>
      </c>
    </row>
    <row r="205" spans="1:4">
      <c r="A205" s="24" t="s">
        <v>14822</v>
      </c>
      <c r="B205" s="42" t="s">
        <v>17442</v>
      </c>
      <c r="C205" s="42" t="s">
        <v>17441</v>
      </c>
      <c r="D205" s="43" t="str">
        <f t="shared" si="5"/>
        <v>2022.005D.Parvoviridae_2ngen_49nsp_125rensp.zip</v>
      </c>
    </row>
    <row r="206" spans="1:4">
      <c r="A206" s="24" t="s">
        <v>14822</v>
      </c>
      <c r="B206" s="42" t="s">
        <v>17440</v>
      </c>
      <c r="C206" s="42" t="s">
        <v>17439</v>
      </c>
      <c r="D206" s="43" t="str">
        <f t="shared" si="5"/>
        <v>2022.005D.Parvoviridae_2ngen_49nsp_125rensp.zip</v>
      </c>
    </row>
    <row r="207" spans="1:4">
      <c r="A207" s="24" t="s">
        <v>14822</v>
      </c>
      <c r="B207" s="42" t="s">
        <v>17438</v>
      </c>
      <c r="C207" s="42" t="s">
        <v>17437</v>
      </c>
      <c r="D207" s="43" t="str">
        <f t="shared" si="5"/>
        <v>2022.005D.Parvoviridae_2ngen_49nsp_125rensp.zip</v>
      </c>
    </row>
    <row r="208" spans="1:4">
      <c r="A208" s="24" t="s">
        <v>14822</v>
      </c>
      <c r="B208" s="42" t="s">
        <v>17436</v>
      </c>
      <c r="C208" s="42" t="s">
        <v>17435</v>
      </c>
      <c r="D208" s="43" t="str">
        <f t="shared" si="5"/>
        <v>2022.005D.Parvoviridae_2ngen_49nsp_125rensp.zip</v>
      </c>
    </row>
    <row r="209" spans="1:4">
      <c r="A209" s="24" t="s">
        <v>14822</v>
      </c>
      <c r="B209" s="42" t="s">
        <v>17434</v>
      </c>
      <c r="C209" s="42" t="s">
        <v>17433</v>
      </c>
      <c r="D209" s="43" t="str">
        <f t="shared" si="5"/>
        <v>2022.005D.Parvoviridae_2ngen_49nsp_125rensp.zip</v>
      </c>
    </row>
    <row r="210" spans="1:4">
      <c r="A210" s="24" t="s">
        <v>14822</v>
      </c>
      <c r="B210" s="42" t="s">
        <v>17432</v>
      </c>
      <c r="C210" s="42" t="s">
        <v>17431</v>
      </c>
      <c r="D210" s="43" t="str">
        <f t="shared" si="5"/>
        <v>2022.005D.Parvoviridae_2ngen_49nsp_125rensp.zip</v>
      </c>
    </row>
    <row r="211" spans="1:4">
      <c r="A211" s="24" t="s">
        <v>14822</v>
      </c>
      <c r="B211" s="42" t="s">
        <v>17430</v>
      </c>
      <c r="C211" s="42" t="s">
        <v>17429</v>
      </c>
      <c r="D211" s="43" t="str">
        <f t="shared" ref="D211:D242" si="6">HYPERLINK("https://ictv.global/ictv/proposals/2022.005D.Parvoviridae_2ngen_49nsp_125rensp.zip","2022.005D.Parvoviridae_2ngen_49nsp_125rensp.zip")</f>
        <v>2022.005D.Parvoviridae_2ngen_49nsp_125rensp.zip</v>
      </c>
    </row>
    <row r="212" spans="1:4">
      <c r="A212" s="24" t="s">
        <v>14822</v>
      </c>
      <c r="B212" s="42" t="s">
        <v>17428</v>
      </c>
      <c r="C212" s="42" t="s">
        <v>17427</v>
      </c>
      <c r="D212" s="43" t="str">
        <f t="shared" si="6"/>
        <v>2022.005D.Parvoviridae_2ngen_49nsp_125rensp.zip</v>
      </c>
    </row>
    <row r="213" spans="1:4">
      <c r="A213" s="24" t="s">
        <v>14822</v>
      </c>
      <c r="B213" s="42" t="s">
        <v>17426</v>
      </c>
      <c r="C213" s="42" t="s">
        <v>17425</v>
      </c>
      <c r="D213" s="43" t="str">
        <f t="shared" si="6"/>
        <v>2022.005D.Parvoviridae_2ngen_49nsp_125rensp.zip</v>
      </c>
    </row>
    <row r="214" spans="1:4">
      <c r="A214" s="24" t="s">
        <v>14822</v>
      </c>
      <c r="B214" s="42" t="s">
        <v>17424</v>
      </c>
      <c r="C214" s="42" t="s">
        <v>17423</v>
      </c>
      <c r="D214" s="43" t="str">
        <f t="shared" si="6"/>
        <v>2022.005D.Parvoviridae_2ngen_49nsp_125rensp.zip</v>
      </c>
    </row>
    <row r="215" spans="1:4">
      <c r="A215" s="24" t="s">
        <v>14822</v>
      </c>
      <c r="B215" s="42" t="s">
        <v>17422</v>
      </c>
      <c r="C215" s="42" t="s">
        <v>17421</v>
      </c>
      <c r="D215" s="43" t="str">
        <f t="shared" si="6"/>
        <v>2022.005D.Parvoviridae_2ngen_49nsp_125rensp.zip</v>
      </c>
    </row>
    <row r="216" spans="1:4">
      <c r="A216" s="24" t="s">
        <v>14822</v>
      </c>
      <c r="B216" s="42" t="s">
        <v>17420</v>
      </c>
      <c r="C216" s="42" t="s">
        <v>17419</v>
      </c>
      <c r="D216" s="43" t="str">
        <f t="shared" si="6"/>
        <v>2022.005D.Parvoviridae_2ngen_49nsp_125rensp.zip</v>
      </c>
    </row>
    <row r="217" spans="1:4">
      <c r="A217" s="24" t="s">
        <v>14822</v>
      </c>
      <c r="B217" s="42" t="s">
        <v>17418</v>
      </c>
      <c r="C217" s="42" t="s">
        <v>17417</v>
      </c>
      <c r="D217" s="43" t="str">
        <f t="shared" si="6"/>
        <v>2022.005D.Parvoviridae_2ngen_49nsp_125rensp.zip</v>
      </c>
    </row>
    <row r="218" spans="1:4">
      <c r="A218" s="24" t="s">
        <v>14822</v>
      </c>
      <c r="B218" s="42" t="s">
        <v>17416</v>
      </c>
      <c r="C218" s="42" t="s">
        <v>17415</v>
      </c>
      <c r="D218" s="43" t="str">
        <f t="shared" si="6"/>
        <v>2022.005D.Parvoviridae_2ngen_49nsp_125rensp.zip</v>
      </c>
    </row>
    <row r="219" spans="1:4">
      <c r="A219" s="24" t="s">
        <v>14822</v>
      </c>
      <c r="B219" s="42" t="s">
        <v>17414</v>
      </c>
      <c r="C219" s="42" t="s">
        <v>17413</v>
      </c>
      <c r="D219" s="43" t="str">
        <f t="shared" si="6"/>
        <v>2022.005D.Parvoviridae_2ngen_49nsp_125rensp.zip</v>
      </c>
    </row>
    <row r="220" spans="1:4">
      <c r="A220" s="24" t="s">
        <v>14822</v>
      </c>
      <c r="B220" s="42" t="s">
        <v>17412</v>
      </c>
      <c r="C220" s="42" t="s">
        <v>17411</v>
      </c>
      <c r="D220" s="43" t="str">
        <f t="shared" si="6"/>
        <v>2022.005D.Parvoviridae_2ngen_49nsp_125rensp.zip</v>
      </c>
    </row>
    <row r="221" spans="1:4">
      <c r="A221" s="24" t="s">
        <v>14822</v>
      </c>
      <c r="B221" s="42" t="s">
        <v>17410</v>
      </c>
      <c r="C221" s="42" t="s">
        <v>17409</v>
      </c>
      <c r="D221" s="43" t="str">
        <f t="shared" si="6"/>
        <v>2022.005D.Parvoviridae_2ngen_49nsp_125rensp.zip</v>
      </c>
    </row>
    <row r="222" spans="1:4">
      <c r="A222" s="24" t="s">
        <v>14822</v>
      </c>
      <c r="B222" s="42" t="s">
        <v>17408</v>
      </c>
      <c r="C222" s="42" t="s">
        <v>17407</v>
      </c>
      <c r="D222" s="43" t="str">
        <f t="shared" si="6"/>
        <v>2022.005D.Parvoviridae_2ngen_49nsp_125rensp.zip</v>
      </c>
    </row>
    <row r="223" spans="1:4">
      <c r="A223" s="24" t="s">
        <v>14822</v>
      </c>
      <c r="B223" s="42" t="s">
        <v>17406</v>
      </c>
      <c r="C223" s="42" t="s">
        <v>17405</v>
      </c>
      <c r="D223" s="43" t="str">
        <f t="shared" si="6"/>
        <v>2022.005D.Parvoviridae_2ngen_49nsp_125rensp.zip</v>
      </c>
    </row>
    <row r="224" spans="1:4">
      <c r="A224" s="24" t="s">
        <v>14822</v>
      </c>
      <c r="B224" s="42" t="s">
        <v>17404</v>
      </c>
      <c r="C224" s="42" t="s">
        <v>17403</v>
      </c>
      <c r="D224" s="43" t="str">
        <f t="shared" si="6"/>
        <v>2022.005D.Parvoviridae_2ngen_49nsp_125rensp.zip</v>
      </c>
    </row>
    <row r="225" spans="1:4">
      <c r="A225" s="24" t="s">
        <v>14822</v>
      </c>
      <c r="B225" s="42" t="s">
        <v>17402</v>
      </c>
      <c r="C225" s="42" t="s">
        <v>17401</v>
      </c>
      <c r="D225" s="43" t="str">
        <f t="shared" si="6"/>
        <v>2022.005D.Parvoviridae_2ngen_49nsp_125rensp.zip</v>
      </c>
    </row>
    <row r="226" spans="1:4">
      <c r="A226" s="24" t="s">
        <v>14822</v>
      </c>
      <c r="B226" s="42" t="s">
        <v>17400</v>
      </c>
      <c r="C226" s="42" t="s">
        <v>17399</v>
      </c>
      <c r="D226" s="43" t="str">
        <f t="shared" si="6"/>
        <v>2022.005D.Parvoviridae_2ngen_49nsp_125rensp.zip</v>
      </c>
    </row>
    <row r="227" spans="1:4">
      <c r="A227" s="24" t="s">
        <v>14822</v>
      </c>
      <c r="B227" s="42" t="s">
        <v>17398</v>
      </c>
      <c r="C227" s="42" t="s">
        <v>17397</v>
      </c>
      <c r="D227" s="43" t="str">
        <f t="shared" si="6"/>
        <v>2022.005D.Parvoviridae_2ngen_49nsp_125rensp.zip</v>
      </c>
    </row>
    <row r="228" spans="1:4">
      <c r="A228" s="24" t="s">
        <v>14822</v>
      </c>
      <c r="B228" s="42" t="s">
        <v>17396</v>
      </c>
      <c r="C228" s="42" t="s">
        <v>17395</v>
      </c>
      <c r="D228" s="43" t="str">
        <f t="shared" si="6"/>
        <v>2022.005D.Parvoviridae_2ngen_49nsp_125rensp.zip</v>
      </c>
    </row>
    <row r="229" spans="1:4">
      <c r="A229" s="24" t="s">
        <v>14822</v>
      </c>
      <c r="B229" s="42" t="s">
        <v>17394</v>
      </c>
      <c r="C229" s="42" t="s">
        <v>17393</v>
      </c>
      <c r="D229" s="43" t="str">
        <f t="shared" si="6"/>
        <v>2022.005D.Parvoviridae_2ngen_49nsp_125rensp.zip</v>
      </c>
    </row>
    <row r="230" spans="1:4">
      <c r="A230" s="24" t="s">
        <v>14822</v>
      </c>
      <c r="B230" s="42" t="s">
        <v>17392</v>
      </c>
      <c r="C230" s="42" t="s">
        <v>17391</v>
      </c>
      <c r="D230" s="43" t="str">
        <f t="shared" si="6"/>
        <v>2022.005D.Parvoviridae_2ngen_49nsp_125rensp.zip</v>
      </c>
    </row>
    <row r="231" spans="1:4">
      <c r="A231" s="24" t="s">
        <v>14822</v>
      </c>
      <c r="B231" s="42" t="s">
        <v>17390</v>
      </c>
      <c r="C231" s="42" t="s">
        <v>17389</v>
      </c>
      <c r="D231" s="43" t="str">
        <f t="shared" si="6"/>
        <v>2022.005D.Parvoviridae_2ngen_49nsp_125rensp.zip</v>
      </c>
    </row>
    <row r="232" spans="1:4">
      <c r="A232" s="24" t="s">
        <v>14822</v>
      </c>
      <c r="B232" s="42" t="s">
        <v>17376</v>
      </c>
      <c r="C232" s="42" t="s">
        <v>17375</v>
      </c>
      <c r="D232" s="43" t="str">
        <f t="shared" si="6"/>
        <v>2022.005D.Parvoviridae_2ngen_49nsp_125rensp.zip</v>
      </c>
    </row>
    <row r="233" spans="1:4">
      <c r="A233" s="24" t="s">
        <v>14822</v>
      </c>
      <c r="B233" s="42" t="s">
        <v>17380</v>
      </c>
      <c r="C233" s="42" t="s">
        <v>17379</v>
      </c>
      <c r="D233" s="43" t="str">
        <f t="shared" si="6"/>
        <v>2022.005D.Parvoviridae_2ngen_49nsp_125rensp.zip</v>
      </c>
    </row>
    <row r="234" spans="1:4">
      <c r="A234" s="24" t="s">
        <v>14822</v>
      </c>
      <c r="B234" s="42" t="s">
        <v>17388</v>
      </c>
      <c r="C234" s="42" t="s">
        <v>17387</v>
      </c>
      <c r="D234" s="43" t="str">
        <f t="shared" si="6"/>
        <v>2022.005D.Parvoviridae_2ngen_49nsp_125rensp.zip</v>
      </c>
    </row>
    <row r="235" spans="1:4">
      <c r="A235" s="24" t="s">
        <v>14822</v>
      </c>
      <c r="B235" s="42" t="s">
        <v>17386</v>
      </c>
      <c r="C235" s="42" t="s">
        <v>17385</v>
      </c>
      <c r="D235" s="43" t="str">
        <f t="shared" si="6"/>
        <v>2022.005D.Parvoviridae_2ngen_49nsp_125rensp.zip</v>
      </c>
    </row>
    <row r="236" spans="1:4">
      <c r="A236" s="24" t="s">
        <v>14822</v>
      </c>
      <c r="B236" s="42" t="s">
        <v>17384</v>
      </c>
      <c r="C236" s="42" t="s">
        <v>17383</v>
      </c>
      <c r="D236" s="43" t="str">
        <f t="shared" si="6"/>
        <v>2022.005D.Parvoviridae_2ngen_49nsp_125rensp.zip</v>
      </c>
    </row>
    <row r="237" spans="1:4">
      <c r="A237" s="24" t="s">
        <v>14822</v>
      </c>
      <c r="B237" s="42" t="s">
        <v>17382</v>
      </c>
      <c r="C237" s="42" t="s">
        <v>17381</v>
      </c>
      <c r="D237" s="43" t="str">
        <f t="shared" si="6"/>
        <v>2022.005D.Parvoviridae_2ngen_49nsp_125rensp.zip</v>
      </c>
    </row>
    <row r="238" spans="1:4">
      <c r="A238" s="24" t="s">
        <v>14822</v>
      </c>
      <c r="B238" s="42" t="s">
        <v>17378</v>
      </c>
      <c r="C238" s="42" t="s">
        <v>17377</v>
      </c>
      <c r="D238" s="43" t="str">
        <f t="shared" si="6"/>
        <v>2022.005D.Parvoviridae_2ngen_49nsp_125rensp.zip</v>
      </c>
    </row>
    <row r="239" spans="1:4">
      <c r="A239" s="24" t="s">
        <v>14822</v>
      </c>
      <c r="B239" s="42" t="s">
        <v>17374</v>
      </c>
      <c r="C239" s="42" t="s">
        <v>17373</v>
      </c>
      <c r="D239" s="43" t="str">
        <f t="shared" si="6"/>
        <v>2022.005D.Parvoviridae_2ngen_49nsp_125rensp.zip</v>
      </c>
    </row>
    <row r="240" spans="1:4">
      <c r="A240" s="24" t="s">
        <v>14822</v>
      </c>
      <c r="B240" s="42" t="s">
        <v>17372</v>
      </c>
      <c r="C240" s="42" t="s">
        <v>17371</v>
      </c>
      <c r="D240" s="43" t="str">
        <f t="shared" si="6"/>
        <v>2022.005D.Parvoviridae_2ngen_49nsp_125rensp.zip</v>
      </c>
    </row>
    <row r="241" spans="1:4">
      <c r="A241" s="24" t="s">
        <v>14822</v>
      </c>
      <c r="B241" s="42" t="s">
        <v>17370</v>
      </c>
      <c r="C241" s="42" t="s">
        <v>17369</v>
      </c>
      <c r="D241" s="43" t="str">
        <f t="shared" si="6"/>
        <v>2022.005D.Parvoviridae_2ngen_49nsp_125rensp.zip</v>
      </c>
    </row>
    <row r="242" spans="1:4">
      <c r="A242" s="24" t="s">
        <v>14822</v>
      </c>
      <c r="B242" s="42" t="s">
        <v>17368</v>
      </c>
      <c r="C242" s="42" t="s">
        <v>17367</v>
      </c>
      <c r="D242" s="43" t="str">
        <f t="shared" si="6"/>
        <v>2022.005D.Parvoviridae_2ngen_49nsp_125rensp.zip</v>
      </c>
    </row>
    <row r="243" spans="1:4">
      <c r="A243" s="24" t="s">
        <v>14822</v>
      </c>
      <c r="B243" s="42" t="s">
        <v>17366</v>
      </c>
      <c r="C243" s="42" t="s">
        <v>17365</v>
      </c>
      <c r="D243" s="43" t="str">
        <f t="shared" ref="D243:D271" si="7">HYPERLINK("https://ictv.global/ictv/proposals/2022.005D.Parvoviridae_2ngen_49nsp_125rensp.zip","2022.005D.Parvoviridae_2ngen_49nsp_125rensp.zip")</f>
        <v>2022.005D.Parvoviridae_2ngen_49nsp_125rensp.zip</v>
      </c>
    </row>
    <row r="244" spans="1:4">
      <c r="A244" s="24" t="s">
        <v>14822</v>
      </c>
      <c r="B244" s="42" t="s">
        <v>17364</v>
      </c>
      <c r="C244" s="42" t="s">
        <v>17363</v>
      </c>
      <c r="D244" s="43" t="str">
        <f t="shared" si="7"/>
        <v>2022.005D.Parvoviridae_2ngen_49nsp_125rensp.zip</v>
      </c>
    </row>
    <row r="245" spans="1:4">
      <c r="A245" s="24" t="s">
        <v>14822</v>
      </c>
      <c r="B245" s="42" t="s">
        <v>17362</v>
      </c>
      <c r="C245" s="42" t="s">
        <v>17361</v>
      </c>
      <c r="D245" s="43" t="str">
        <f t="shared" si="7"/>
        <v>2022.005D.Parvoviridae_2ngen_49nsp_125rensp.zip</v>
      </c>
    </row>
    <row r="246" spans="1:4">
      <c r="A246" s="24" t="s">
        <v>14822</v>
      </c>
      <c r="B246" s="42" t="s">
        <v>17360</v>
      </c>
      <c r="C246" s="42" t="s">
        <v>17359</v>
      </c>
      <c r="D246" s="43" t="str">
        <f t="shared" si="7"/>
        <v>2022.005D.Parvoviridae_2ngen_49nsp_125rensp.zip</v>
      </c>
    </row>
    <row r="247" spans="1:4">
      <c r="A247" s="24" t="s">
        <v>14822</v>
      </c>
      <c r="B247" s="42" t="s">
        <v>17358</v>
      </c>
      <c r="C247" s="42" t="s">
        <v>17357</v>
      </c>
      <c r="D247" s="43" t="str">
        <f t="shared" si="7"/>
        <v>2022.005D.Parvoviridae_2ngen_49nsp_125rensp.zip</v>
      </c>
    </row>
    <row r="248" spans="1:4">
      <c r="A248" s="24" t="s">
        <v>14822</v>
      </c>
      <c r="B248" s="42" t="s">
        <v>17356</v>
      </c>
      <c r="C248" s="42" t="s">
        <v>17355</v>
      </c>
      <c r="D248" s="43" t="str">
        <f t="shared" si="7"/>
        <v>2022.005D.Parvoviridae_2ngen_49nsp_125rensp.zip</v>
      </c>
    </row>
    <row r="249" spans="1:4">
      <c r="A249" s="24" t="s">
        <v>14822</v>
      </c>
      <c r="B249" s="42" t="s">
        <v>17354</v>
      </c>
      <c r="C249" s="42" t="s">
        <v>17353</v>
      </c>
      <c r="D249" s="43" t="str">
        <f t="shared" si="7"/>
        <v>2022.005D.Parvoviridae_2ngen_49nsp_125rensp.zip</v>
      </c>
    </row>
    <row r="250" spans="1:4">
      <c r="A250" s="24" t="s">
        <v>14822</v>
      </c>
      <c r="B250" s="42" t="s">
        <v>17352</v>
      </c>
      <c r="C250" s="42" t="s">
        <v>17351</v>
      </c>
      <c r="D250" s="43" t="str">
        <f t="shared" si="7"/>
        <v>2022.005D.Parvoviridae_2ngen_49nsp_125rensp.zip</v>
      </c>
    </row>
    <row r="251" spans="1:4">
      <c r="A251" s="24" t="s">
        <v>14822</v>
      </c>
      <c r="B251" s="42" t="s">
        <v>17350</v>
      </c>
      <c r="C251" s="42" t="s">
        <v>17349</v>
      </c>
      <c r="D251" s="43" t="str">
        <f t="shared" si="7"/>
        <v>2022.005D.Parvoviridae_2ngen_49nsp_125rensp.zip</v>
      </c>
    </row>
    <row r="252" spans="1:4">
      <c r="A252" s="24" t="s">
        <v>14822</v>
      </c>
      <c r="B252" s="42" t="s">
        <v>17348</v>
      </c>
      <c r="C252" s="42" t="s">
        <v>17347</v>
      </c>
      <c r="D252" s="43" t="str">
        <f t="shared" si="7"/>
        <v>2022.005D.Parvoviridae_2ngen_49nsp_125rensp.zip</v>
      </c>
    </row>
    <row r="253" spans="1:4">
      <c r="A253" s="24" t="s">
        <v>14822</v>
      </c>
      <c r="B253" s="42" t="s">
        <v>17346</v>
      </c>
      <c r="C253" s="42" t="s">
        <v>17345</v>
      </c>
      <c r="D253" s="43" t="str">
        <f t="shared" si="7"/>
        <v>2022.005D.Parvoviridae_2ngen_49nsp_125rensp.zip</v>
      </c>
    </row>
    <row r="254" spans="1:4">
      <c r="A254" s="24" t="s">
        <v>14822</v>
      </c>
      <c r="B254" s="42" t="s">
        <v>17344</v>
      </c>
      <c r="C254" s="42" t="s">
        <v>17343</v>
      </c>
      <c r="D254" s="43" t="str">
        <f t="shared" si="7"/>
        <v>2022.005D.Parvoviridae_2ngen_49nsp_125rensp.zip</v>
      </c>
    </row>
    <row r="255" spans="1:4">
      <c r="A255" s="24" t="s">
        <v>14822</v>
      </c>
      <c r="B255" s="42" t="s">
        <v>17342</v>
      </c>
      <c r="C255" s="42" t="s">
        <v>17341</v>
      </c>
      <c r="D255" s="43" t="str">
        <f t="shared" si="7"/>
        <v>2022.005D.Parvoviridae_2ngen_49nsp_125rensp.zip</v>
      </c>
    </row>
    <row r="256" spans="1:4">
      <c r="A256" s="24" t="s">
        <v>14822</v>
      </c>
      <c r="B256" s="42" t="s">
        <v>17340</v>
      </c>
      <c r="C256" s="42" t="s">
        <v>17339</v>
      </c>
      <c r="D256" s="43" t="str">
        <f t="shared" si="7"/>
        <v>2022.005D.Parvoviridae_2ngen_49nsp_125rensp.zip</v>
      </c>
    </row>
    <row r="257" spans="1:4">
      <c r="A257" s="24" t="s">
        <v>14822</v>
      </c>
      <c r="B257" s="42" t="s">
        <v>17336</v>
      </c>
      <c r="C257" s="42" t="s">
        <v>17335</v>
      </c>
      <c r="D257" s="43" t="str">
        <f t="shared" si="7"/>
        <v>2022.005D.Parvoviridae_2ngen_49nsp_125rensp.zip</v>
      </c>
    </row>
    <row r="258" spans="1:4">
      <c r="A258" s="24" t="s">
        <v>14822</v>
      </c>
      <c r="B258" s="42" t="s">
        <v>17334</v>
      </c>
      <c r="C258" s="42" t="s">
        <v>17333</v>
      </c>
      <c r="D258" s="43" t="str">
        <f t="shared" si="7"/>
        <v>2022.005D.Parvoviridae_2ngen_49nsp_125rensp.zip</v>
      </c>
    </row>
    <row r="259" spans="1:4">
      <c r="A259" s="24" t="s">
        <v>14822</v>
      </c>
      <c r="B259" s="42" t="s">
        <v>17332</v>
      </c>
      <c r="C259" s="42" t="s">
        <v>17331</v>
      </c>
      <c r="D259" s="43" t="str">
        <f t="shared" si="7"/>
        <v>2022.005D.Parvoviridae_2ngen_49nsp_125rensp.zip</v>
      </c>
    </row>
    <row r="260" spans="1:4">
      <c r="A260" s="24" t="s">
        <v>14822</v>
      </c>
      <c r="B260" s="42" t="s">
        <v>17338</v>
      </c>
      <c r="C260" s="42" t="s">
        <v>17337</v>
      </c>
      <c r="D260" s="43" t="str">
        <f t="shared" si="7"/>
        <v>2022.005D.Parvoviridae_2ngen_49nsp_125rensp.zip</v>
      </c>
    </row>
    <row r="261" spans="1:4">
      <c r="A261" s="24" t="s">
        <v>14822</v>
      </c>
      <c r="B261" s="42" t="s">
        <v>17330</v>
      </c>
      <c r="C261" s="42" t="s">
        <v>17329</v>
      </c>
      <c r="D261" s="43" t="str">
        <f t="shared" si="7"/>
        <v>2022.005D.Parvoviridae_2ngen_49nsp_125rensp.zip</v>
      </c>
    </row>
    <row r="262" spans="1:4">
      <c r="A262" s="24" t="s">
        <v>14822</v>
      </c>
      <c r="B262" s="42" t="s">
        <v>17328</v>
      </c>
      <c r="C262" s="42" t="s">
        <v>17327</v>
      </c>
      <c r="D262" s="43" t="str">
        <f t="shared" si="7"/>
        <v>2022.005D.Parvoviridae_2ngen_49nsp_125rensp.zip</v>
      </c>
    </row>
    <row r="263" spans="1:4">
      <c r="A263" s="24" t="s">
        <v>14822</v>
      </c>
      <c r="B263" s="42" t="s">
        <v>17326</v>
      </c>
      <c r="C263" s="42" t="s">
        <v>17325</v>
      </c>
      <c r="D263" s="43" t="str">
        <f t="shared" si="7"/>
        <v>2022.005D.Parvoviridae_2ngen_49nsp_125rensp.zip</v>
      </c>
    </row>
    <row r="264" spans="1:4">
      <c r="A264" s="24" t="s">
        <v>14822</v>
      </c>
      <c r="B264" s="42" t="s">
        <v>17324</v>
      </c>
      <c r="C264" s="42" t="s">
        <v>17323</v>
      </c>
      <c r="D264" s="43" t="str">
        <f t="shared" si="7"/>
        <v>2022.005D.Parvoviridae_2ngen_49nsp_125rensp.zip</v>
      </c>
    </row>
    <row r="265" spans="1:4">
      <c r="A265" s="24" t="s">
        <v>14822</v>
      </c>
      <c r="B265" s="42" t="s">
        <v>17322</v>
      </c>
      <c r="C265" s="42" t="s">
        <v>17321</v>
      </c>
      <c r="D265" s="43" t="str">
        <f t="shared" si="7"/>
        <v>2022.005D.Parvoviridae_2ngen_49nsp_125rensp.zip</v>
      </c>
    </row>
    <row r="266" spans="1:4">
      <c r="A266" s="24" t="s">
        <v>14822</v>
      </c>
      <c r="B266" s="42" t="s">
        <v>17320</v>
      </c>
      <c r="C266" s="42" t="s">
        <v>17319</v>
      </c>
      <c r="D266" s="43" t="str">
        <f t="shared" si="7"/>
        <v>2022.005D.Parvoviridae_2ngen_49nsp_125rensp.zip</v>
      </c>
    </row>
    <row r="267" spans="1:4">
      <c r="A267" s="24" t="s">
        <v>14822</v>
      </c>
      <c r="B267" s="42" t="s">
        <v>17318</v>
      </c>
      <c r="C267" s="42" t="s">
        <v>17317</v>
      </c>
      <c r="D267" s="43" t="str">
        <f t="shared" si="7"/>
        <v>2022.005D.Parvoviridae_2ngen_49nsp_125rensp.zip</v>
      </c>
    </row>
    <row r="268" spans="1:4">
      <c r="A268" s="24" t="s">
        <v>14822</v>
      </c>
      <c r="B268" s="42" t="s">
        <v>17316</v>
      </c>
      <c r="C268" s="42" t="s">
        <v>17315</v>
      </c>
      <c r="D268" s="43" t="str">
        <f t="shared" si="7"/>
        <v>2022.005D.Parvoviridae_2ngen_49nsp_125rensp.zip</v>
      </c>
    </row>
    <row r="269" spans="1:4">
      <c r="A269" s="24" t="s">
        <v>14822</v>
      </c>
      <c r="B269" s="42" t="s">
        <v>17314</v>
      </c>
      <c r="C269" s="42" t="s">
        <v>17313</v>
      </c>
      <c r="D269" s="43" t="str">
        <f t="shared" si="7"/>
        <v>2022.005D.Parvoviridae_2ngen_49nsp_125rensp.zip</v>
      </c>
    </row>
    <row r="270" spans="1:4">
      <c r="A270" s="24" t="s">
        <v>14822</v>
      </c>
      <c r="B270" s="42" t="s">
        <v>17312</v>
      </c>
      <c r="C270" s="42" t="s">
        <v>17311</v>
      </c>
      <c r="D270" s="43" t="str">
        <f t="shared" si="7"/>
        <v>2022.005D.Parvoviridae_2ngen_49nsp_125rensp.zip</v>
      </c>
    </row>
    <row r="271" spans="1:4">
      <c r="A271" s="24" t="s">
        <v>14822</v>
      </c>
      <c r="B271" s="42" t="s">
        <v>17310</v>
      </c>
      <c r="C271" s="42" t="s">
        <v>17309</v>
      </c>
      <c r="D271" s="43" t="str">
        <f t="shared" si="7"/>
        <v>2022.005D.Parvoviridae_2ngen_49nsp_125rensp.zip</v>
      </c>
    </row>
    <row r="272" spans="1:4">
      <c r="A272" s="24" t="s">
        <v>14822</v>
      </c>
      <c r="B272" s="42" t="s">
        <v>17308</v>
      </c>
      <c r="C272" s="42" t="s">
        <v>17307</v>
      </c>
      <c r="D272" s="43" t="str">
        <f t="shared" ref="D272:D280" si="8">HYPERLINK("https://ictv.global/ictv/proposals/2022.002F.Bacilladnaviridae_reorg.zip","2022.002F.Bacilladnaviridae_reorg.zip")</f>
        <v>2022.002F.Bacilladnaviridae_reorg.zip</v>
      </c>
    </row>
    <row r="273" spans="1:4">
      <c r="A273" s="24" t="s">
        <v>14822</v>
      </c>
      <c r="B273" s="42" t="s">
        <v>17306</v>
      </c>
      <c r="C273" s="42" t="s">
        <v>17305</v>
      </c>
      <c r="D273" s="43" t="str">
        <f t="shared" si="8"/>
        <v>2022.002F.Bacilladnaviridae_reorg.zip</v>
      </c>
    </row>
    <row r="274" spans="1:4">
      <c r="A274" s="24" t="s">
        <v>14822</v>
      </c>
      <c r="B274" s="42" t="s">
        <v>17300</v>
      </c>
      <c r="C274" s="42" t="s">
        <v>17299</v>
      </c>
      <c r="D274" s="43" t="str">
        <f t="shared" si="8"/>
        <v>2022.002F.Bacilladnaviridae_reorg.zip</v>
      </c>
    </row>
    <row r="275" spans="1:4">
      <c r="A275" s="24" t="s">
        <v>14822</v>
      </c>
      <c r="B275" s="42" t="s">
        <v>17302</v>
      </c>
      <c r="C275" s="42" t="s">
        <v>17301</v>
      </c>
      <c r="D275" s="43" t="str">
        <f t="shared" si="8"/>
        <v>2022.002F.Bacilladnaviridae_reorg.zip</v>
      </c>
    </row>
    <row r="276" spans="1:4">
      <c r="A276" s="24" t="s">
        <v>14822</v>
      </c>
      <c r="B276" s="42" t="s">
        <v>17304</v>
      </c>
      <c r="C276" s="42" t="s">
        <v>17303</v>
      </c>
      <c r="D276" s="43" t="str">
        <f t="shared" si="8"/>
        <v>2022.002F.Bacilladnaviridae_reorg.zip</v>
      </c>
    </row>
    <row r="277" spans="1:4">
      <c r="A277" s="24" t="s">
        <v>14822</v>
      </c>
      <c r="B277" s="42" t="s">
        <v>17294</v>
      </c>
      <c r="C277" s="42" t="s">
        <v>17293</v>
      </c>
      <c r="D277" s="43" t="str">
        <f t="shared" si="8"/>
        <v>2022.002F.Bacilladnaviridae_reorg.zip</v>
      </c>
    </row>
    <row r="278" spans="1:4">
      <c r="A278" s="24" t="s">
        <v>14822</v>
      </c>
      <c r="B278" s="42" t="s">
        <v>17292</v>
      </c>
      <c r="C278" s="42" t="s">
        <v>17291</v>
      </c>
      <c r="D278" s="43" t="str">
        <f t="shared" si="8"/>
        <v>2022.002F.Bacilladnaviridae_reorg.zip</v>
      </c>
    </row>
    <row r="279" spans="1:4">
      <c r="A279" s="24" t="s">
        <v>14822</v>
      </c>
      <c r="B279" s="42" t="s">
        <v>17296</v>
      </c>
      <c r="C279" s="42" t="s">
        <v>17295</v>
      </c>
      <c r="D279" s="43" t="str">
        <f t="shared" si="8"/>
        <v>2022.002F.Bacilladnaviridae_reorg.zip</v>
      </c>
    </row>
    <row r="280" spans="1:4">
      <c r="A280" s="24" t="s">
        <v>14822</v>
      </c>
      <c r="B280" s="42" t="s">
        <v>17298</v>
      </c>
      <c r="C280" s="42" t="s">
        <v>17297</v>
      </c>
      <c r="D280" s="43" t="str">
        <f t="shared" si="8"/>
        <v>2022.002F.Bacilladnaviridae_reorg.zip</v>
      </c>
    </row>
    <row r="281" spans="1:4">
      <c r="A281" s="24" t="s">
        <v>14822</v>
      </c>
      <c r="B281" s="42" t="s">
        <v>17290</v>
      </c>
      <c r="C281" s="42" t="s">
        <v>17289</v>
      </c>
      <c r="D281" s="43" t="str">
        <f t="shared" ref="D281:D312" si="9">HYPERLINK("https://ictv.global/ictv/proposals/2022.009D.Circoviridae_rensp101_nsp48.zip","2022.009D.Circoviridae_rensp101_nsp48.zip")</f>
        <v>2022.009D.Circoviridae_rensp101_nsp48.zip</v>
      </c>
    </row>
    <row r="282" spans="1:4">
      <c r="A282" s="24" t="s">
        <v>14822</v>
      </c>
      <c r="B282" s="42" t="s">
        <v>17276</v>
      </c>
      <c r="C282" s="42" t="s">
        <v>17275</v>
      </c>
      <c r="D282" s="43" t="str">
        <f t="shared" si="9"/>
        <v>2022.009D.Circoviridae_rensp101_nsp48.zip</v>
      </c>
    </row>
    <row r="283" spans="1:4">
      <c r="A283" s="24" t="s">
        <v>14822</v>
      </c>
      <c r="B283" s="42" t="s">
        <v>17200</v>
      </c>
      <c r="C283" s="42" t="s">
        <v>17199</v>
      </c>
      <c r="D283" s="43" t="str">
        <f t="shared" si="9"/>
        <v>2022.009D.Circoviridae_rensp101_nsp48.zip</v>
      </c>
    </row>
    <row r="284" spans="1:4">
      <c r="A284" s="24" t="s">
        <v>14822</v>
      </c>
      <c r="B284" s="42" t="s">
        <v>17284</v>
      </c>
      <c r="C284" s="42" t="s">
        <v>17283</v>
      </c>
      <c r="D284" s="43" t="str">
        <f t="shared" si="9"/>
        <v>2022.009D.Circoviridae_rensp101_nsp48.zip</v>
      </c>
    </row>
    <row r="285" spans="1:4">
      <c r="A285" s="24" t="s">
        <v>14822</v>
      </c>
      <c r="B285" s="42" t="s">
        <v>17288</v>
      </c>
      <c r="C285" s="42" t="s">
        <v>17287</v>
      </c>
      <c r="D285" s="43" t="str">
        <f t="shared" si="9"/>
        <v>2022.009D.Circoviridae_rensp101_nsp48.zip</v>
      </c>
    </row>
    <row r="286" spans="1:4">
      <c r="A286" s="24" t="s">
        <v>14822</v>
      </c>
      <c r="B286" s="42" t="s">
        <v>17208</v>
      </c>
      <c r="C286" s="42" t="s">
        <v>17207</v>
      </c>
      <c r="D286" s="43" t="str">
        <f t="shared" si="9"/>
        <v>2022.009D.Circoviridae_rensp101_nsp48.zip</v>
      </c>
    </row>
    <row r="287" spans="1:4">
      <c r="A287" s="24" t="s">
        <v>14822</v>
      </c>
      <c r="B287" s="42" t="s">
        <v>17218</v>
      </c>
      <c r="C287" s="42" t="s">
        <v>17217</v>
      </c>
      <c r="D287" s="43" t="str">
        <f t="shared" si="9"/>
        <v>2022.009D.Circoviridae_rensp101_nsp48.zip</v>
      </c>
    </row>
    <row r="288" spans="1:4">
      <c r="A288" s="24" t="s">
        <v>14822</v>
      </c>
      <c r="B288" s="42" t="s">
        <v>17244</v>
      </c>
      <c r="C288" s="42" t="s">
        <v>17243</v>
      </c>
      <c r="D288" s="43" t="str">
        <f t="shared" si="9"/>
        <v>2022.009D.Circoviridae_rensp101_nsp48.zip</v>
      </c>
    </row>
    <row r="289" spans="1:4">
      <c r="A289" s="24" t="s">
        <v>14822</v>
      </c>
      <c r="B289" s="42" t="s">
        <v>17240</v>
      </c>
      <c r="C289" s="42" t="s">
        <v>17239</v>
      </c>
      <c r="D289" s="43" t="str">
        <f t="shared" si="9"/>
        <v>2022.009D.Circoviridae_rensp101_nsp48.zip</v>
      </c>
    </row>
    <row r="290" spans="1:4">
      <c r="A290" s="24" t="s">
        <v>14822</v>
      </c>
      <c r="B290" s="42" t="s">
        <v>17248</v>
      </c>
      <c r="C290" s="42" t="s">
        <v>17247</v>
      </c>
      <c r="D290" s="43" t="str">
        <f t="shared" si="9"/>
        <v>2022.009D.Circoviridae_rensp101_nsp48.zip</v>
      </c>
    </row>
    <row r="291" spans="1:4">
      <c r="A291" s="24" t="s">
        <v>14822</v>
      </c>
      <c r="B291" s="42" t="s">
        <v>17252</v>
      </c>
      <c r="C291" s="42" t="s">
        <v>17251</v>
      </c>
      <c r="D291" s="43" t="str">
        <f t="shared" si="9"/>
        <v>2022.009D.Circoviridae_rensp101_nsp48.zip</v>
      </c>
    </row>
    <row r="292" spans="1:4">
      <c r="A292" s="24" t="s">
        <v>14822</v>
      </c>
      <c r="B292" s="42" t="s">
        <v>17206</v>
      </c>
      <c r="C292" s="42" t="s">
        <v>17205</v>
      </c>
      <c r="D292" s="43" t="str">
        <f t="shared" si="9"/>
        <v>2022.009D.Circoviridae_rensp101_nsp48.zip</v>
      </c>
    </row>
    <row r="293" spans="1:4">
      <c r="A293" s="24" t="s">
        <v>14822</v>
      </c>
      <c r="B293" s="42" t="s">
        <v>17274</v>
      </c>
      <c r="C293" s="42" t="s">
        <v>17273</v>
      </c>
      <c r="D293" s="43" t="str">
        <f t="shared" si="9"/>
        <v>2022.009D.Circoviridae_rensp101_nsp48.zip</v>
      </c>
    </row>
    <row r="294" spans="1:4">
      <c r="A294" s="24" t="s">
        <v>14822</v>
      </c>
      <c r="B294" s="42" t="s">
        <v>17228</v>
      </c>
      <c r="C294" s="42" t="s">
        <v>17227</v>
      </c>
      <c r="D294" s="43" t="str">
        <f t="shared" si="9"/>
        <v>2022.009D.Circoviridae_rensp101_nsp48.zip</v>
      </c>
    </row>
    <row r="295" spans="1:4">
      <c r="A295" s="24" t="s">
        <v>14822</v>
      </c>
      <c r="B295" s="42" t="s">
        <v>17236</v>
      </c>
      <c r="C295" s="42" t="s">
        <v>17235</v>
      </c>
      <c r="D295" s="43" t="str">
        <f t="shared" si="9"/>
        <v>2022.009D.Circoviridae_rensp101_nsp48.zip</v>
      </c>
    </row>
    <row r="296" spans="1:4">
      <c r="A296" s="24" t="s">
        <v>14822</v>
      </c>
      <c r="B296" s="42" t="s">
        <v>17286</v>
      </c>
      <c r="C296" s="42" t="s">
        <v>17285</v>
      </c>
      <c r="D296" s="43" t="str">
        <f t="shared" si="9"/>
        <v>2022.009D.Circoviridae_rensp101_nsp48.zip</v>
      </c>
    </row>
    <row r="297" spans="1:4">
      <c r="A297" s="24" t="s">
        <v>14822</v>
      </c>
      <c r="B297" s="42" t="s">
        <v>17282</v>
      </c>
      <c r="C297" s="42" t="s">
        <v>17281</v>
      </c>
      <c r="D297" s="43" t="str">
        <f t="shared" si="9"/>
        <v>2022.009D.Circoviridae_rensp101_nsp48.zip</v>
      </c>
    </row>
    <row r="298" spans="1:4">
      <c r="A298" s="24" t="s">
        <v>14822</v>
      </c>
      <c r="B298" s="42" t="s">
        <v>17280</v>
      </c>
      <c r="C298" s="42" t="s">
        <v>17279</v>
      </c>
      <c r="D298" s="43" t="str">
        <f t="shared" si="9"/>
        <v>2022.009D.Circoviridae_rensp101_nsp48.zip</v>
      </c>
    </row>
    <row r="299" spans="1:4">
      <c r="A299" s="24" t="s">
        <v>14822</v>
      </c>
      <c r="B299" s="42" t="s">
        <v>17250</v>
      </c>
      <c r="C299" s="42" t="s">
        <v>17249</v>
      </c>
      <c r="D299" s="43" t="str">
        <f t="shared" si="9"/>
        <v>2022.009D.Circoviridae_rensp101_nsp48.zip</v>
      </c>
    </row>
    <row r="300" spans="1:4">
      <c r="A300" s="24" t="s">
        <v>14822</v>
      </c>
      <c r="B300" s="42" t="s">
        <v>17272</v>
      </c>
      <c r="C300" s="42" t="s">
        <v>17271</v>
      </c>
      <c r="D300" s="43" t="str">
        <f t="shared" si="9"/>
        <v>2022.009D.Circoviridae_rensp101_nsp48.zip</v>
      </c>
    </row>
    <row r="301" spans="1:4">
      <c r="A301" s="24" t="s">
        <v>14822</v>
      </c>
      <c r="B301" s="42" t="s">
        <v>17268</v>
      </c>
      <c r="C301" s="42" t="s">
        <v>17267</v>
      </c>
      <c r="D301" s="43" t="str">
        <f t="shared" si="9"/>
        <v>2022.009D.Circoviridae_rensp101_nsp48.zip</v>
      </c>
    </row>
    <row r="302" spans="1:4">
      <c r="A302" s="24" t="s">
        <v>14822</v>
      </c>
      <c r="B302" s="42" t="s">
        <v>17266</v>
      </c>
      <c r="C302" s="42" t="s">
        <v>17265</v>
      </c>
      <c r="D302" s="43" t="str">
        <f t="shared" si="9"/>
        <v>2022.009D.Circoviridae_rensp101_nsp48.zip</v>
      </c>
    </row>
    <row r="303" spans="1:4">
      <c r="A303" s="24" t="s">
        <v>14822</v>
      </c>
      <c r="B303" s="42" t="s">
        <v>17278</v>
      </c>
      <c r="C303" s="42" t="s">
        <v>17277</v>
      </c>
      <c r="D303" s="43" t="str">
        <f t="shared" si="9"/>
        <v>2022.009D.Circoviridae_rensp101_nsp48.zip</v>
      </c>
    </row>
    <row r="304" spans="1:4">
      <c r="A304" s="24" t="s">
        <v>14822</v>
      </c>
      <c r="B304" s="42" t="s">
        <v>17262</v>
      </c>
      <c r="C304" s="42" t="s">
        <v>17261</v>
      </c>
      <c r="D304" s="43" t="str">
        <f t="shared" si="9"/>
        <v>2022.009D.Circoviridae_rensp101_nsp48.zip</v>
      </c>
    </row>
    <row r="305" spans="1:4">
      <c r="A305" s="24" t="s">
        <v>14822</v>
      </c>
      <c r="B305" s="42" t="s">
        <v>17258</v>
      </c>
      <c r="C305" s="42" t="s">
        <v>17257</v>
      </c>
      <c r="D305" s="43" t="str">
        <f t="shared" si="9"/>
        <v>2022.009D.Circoviridae_rensp101_nsp48.zip</v>
      </c>
    </row>
    <row r="306" spans="1:4">
      <c r="A306" s="24" t="s">
        <v>14822</v>
      </c>
      <c r="B306" s="42" t="s">
        <v>17254</v>
      </c>
      <c r="C306" s="42" t="s">
        <v>17253</v>
      </c>
      <c r="D306" s="43" t="str">
        <f t="shared" si="9"/>
        <v>2022.009D.Circoviridae_rensp101_nsp48.zip</v>
      </c>
    </row>
    <row r="307" spans="1:4">
      <c r="A307" s="24" t="s">
        <v>14822</v>
      </c>
      <c r="B307" s="42" t="s">
        <v>17264</v>
      </c>
      <c r="C307" s="42" t="s">
        <v>17263</v>
      </c>
      <c r="D307" s="43" t="str">
        <f t="shared" si="9"/>
        <v>2022.009D.Circoviridae_rensp101_nsp48.zip</v>
      </c>
    </row>
    <row r="308" spans="1:4">
      <c r="A308" s="24" t="s">
        <v>14822</v>
      </c>
      <c r="B308" s="42" t="s">
        <v>17242</v>
      </c>
      <c r="C308" s="42" t="s">
        <v>17241</v>
      </c>
      <c r="D308" s="43" t="str">
        <f t="shared" si="9"/>
        <v>2022.009D.Circoviridae_rensp101_nsp48.zip</v>
      </c>
    </row>
    <row r="309" spans="1:4">
      <c r="A309" s="24" t="s">
        <v>14822</v>
      </c>
      <c r="B309" s="42" t="s">
        <v>17238</v>
      </c>
      <c r="C309" s="42" t="s">
        <v>17237</v>
      </c>
      <c r="D309" s="43" t="str">
        <f t="shared" si="9"/>
        <v>2022.009D.Circoviridae_rensp101_nsp48.zip</v>
      </c>
    </row>
    <row r="310" spans="1:4">
      <c r="A310" s="24" t="s">
        <v>14822</v>
      </c>
      <c r="B310" s="42" t="s">
        <v>17234</v>
      </c>
      <c r="C310" s="42" t="s">
        <v>17233</v>
      </c>
      <c r="D310" s="43" t="str">
        <f t="shared" si="9"/>
        <v>2022.009D.Circoviridae_rensp101_nsp48.zip</v>
      </c>
    </row>
    <row r="311" spans="1:4">
      <c r="A311" s="24" t="s">
        <v>14822</v>
      </c>
      <c r="B311" s="42" t="s">
        <v>17230</v>
      </c>
      <c r="C311" s="42" t="s">
        <v>17229</v>
      </c>
      <c r="D311" s="43" t="str">
        <f t="shared" si="9"/>
        <v>2022.009D.Circoviridae_rensp101_nsp48.zip</v>
      </c>
    </row>
    <row r="312" spans="1:4">
      <c r="A312" s="24" t="s">
        <v>14822</v>
      </c>
      <c r="B312" s="42" t="s">
        <v>17226</v>
      </c>
      <c r="C312" s="42" t="s">
        <v>17225</v>
      </c>
      <c r="D312" s="43" t="str">
        <f t="shared" si="9"/>
        <v>2022.009D.Circoviridae_rensp101_nsp48.zip</v>
      </c>
    </row>
    <row r="313" spans="1:4">
      <c r="A313" s="24" t="s">
        <v>14822</v>
      </c>
      <c r="B313" s="42" t="s">
        <v>17224</v>
      </c>
      <c r="C313" s="42" t="s">
        <v>17223</v>
      </c>
      <c r="D313" s="43" t="str">
        <f t="shared" ref="D313:D344" si="10">HYPERLINK("https://ictv.global/ictv/proposals/2022.009D.Circoviridae_rensp101_nsp48.zip","2022.009D.Circoviridae_rensp101_nsp48.zip")</f>
        <v>2022.009D.Circoviridae_rensp101_nsp48.zip</v>
      </c>
    </row>
    <row r="314" spans="1:4">
      <c r="A314" s="24" t="s">
        <v>14822</v>
      </c>
      <c r="B314" s="42" t="s">
        <v>17222</v>
      </c>
      <c r="C314" s="42" t="s">
        <v>17221</v>
      </c>
      <c r="D314" s="43" t="str">
        <f t="shared" si="10"/>
        <v>2022.009D.Circoviridae_rensp101_nsp48.zip</v>
      </c>
    </row>
    <row r="315" spans="1:4">
      <c r="A315" s="24" t="s">
        <v>14822</v>
      </c>
      <c r="B315" s="42" t="s">
        <v>17220</v>
      </c>
      <c r="C315" s="42" t="s">
        <v>17219</v>
      </c>
      <c r="D315" s="43" t="str">
        <f t="shared" si="10"/>
        <v>2022.009D.Circoviridae_rensp101_nsp48.zip</v>
      </c>
    </row>
    <row r="316" spans="1:4">
      <c r="A316" s="24" t="s">
        <v>14822</v>
      </c>
      <c r="B316" s="42" t="s">
        <v>17216</v>
      </c>
      <c r="C316" s="42" t="s">
        <v>17215</v>
      </c>
      <c r="D316" s="43" t="str">
        <f t="shared" si="10"/>
        <v>2022.009D.Circoviridae_rensp101_nsp48.zip</v>
      </c>
    </row>
    <row r="317" spans="1:4">
      <c r="A317" s="24" t="s">
        <v>14822</v>
      </c>
      <c r="B317" s="42" t="s">
        <v>17212</v>
      </c>
      <c r="C317" s="42" t="s">
        <v>17211</v>
      </c>
      <c r="D317" s="43" t="str">
        <f t="shared" si="10"/>
        <v>2022.009D.Circoviridae_rensp101_nsp48.zip</v>
      </c>
    </row>
    <row r="318" spans="1:4">
      <c r="A318" s="24" t="s">
        <v>14822</v>
      </c>
      <c r="B318" s="42" t="s">
        <v>17246</v>
      </c>
      <c r="C318" s="42" t="s">
        <v>17245</v>
      </c>
      <c r="D318" s="43" t="str">
        <f t="shared" si="10"/>
        <v>2022.009D.Circoviridae_rensp101_nsp48.zip</v>
      </c>
    </row>
    <row r="319" spans="1:4">
      <c r="A319" s="24" t="s">
        <v>14822</v>
      </c>
      <c r="B319" s="42" t="s">
        <v>17214</v>
      </c>
      <c r="C319" s="42" t="s">
        <v>17213</v>
      </c>
      <c r="D319" s="43" t="str">
        <f t="shared" si="10"/>
        <v>2022.009D.Circoviridae_rensp101_nsp48.zip</v>
      </c>
    </row>
    <row r="320" spans="1:4">
      <c r="A320" s="24" t="s">
        <v>14822</v>
      </c>
      <c r="B320" s="42" t="s">
        <v>17210</v>
      </c>
      <c r="C320" s="42" t="s">
        <v>17209</v>
      </c>
      <c r="D320" s="43" t="str">
        <f t="shared" si="10"/>
        <v>2022.009D.Circoviridae_rensp101_nsp48.zip</v>
      </c>
    </row>
    <row r="321" spans="1:4">
      <c r="A321" s="24" t="s">
        <v>14822</v>
      </c>
      <c r="B321" s="42" t="s">
        <v>17260</v>
      </c>
      <c r="C321" s="42" t="s">
        <v>17259</v>
      </c>
      <c r="D321" s="43" t="str">
        <f t="shared" si="10"/>
        <v>2022.009D.Circoviridae_rensp101_nsp48.zip</v>
      </c>
    </row>
    <row r="322" spans="1:4">
      <c r="A322" s="24" t="s">
        <v>14822</v>
      </c>
      <c r="B322" s="42" t="s">
        <v>17270</v>
      </c>
      <c r="C322" s="42" t="s">
        <v>17269</v>
      </c>
      <c r="D322" s="43" t="str">
        <f t="shared" si="10"/>
        <v>2022.009D.Circoviridae_rensp101_nsp48.zip</v>
      </c>
    </row>
    <row r="323" spans="1:4">
      <c r="A323" s="24" t="s">
        <v>14822</v>
      </c>
      <c r="B323" s="42" t="s">
        <v>17256</v>
      </c>
      <c r="C323" s="42" t="s">
        <v>17255</v>
      </c>
      <c r="D323" s="43" t="str">
        <f t="shared" si="10"/>
        <v>2022.009D.Circoviridae_rensp101_nsp48.zip</v>
      </c>
    </row>
    <row r="324" spans="1:4">
      <c r="A324" s="24" t="s">
        <v>14822</v>
      </c>
      <c r="B324" s="42" t="s">
        <v>17204</v>
      </c>
      <c r="C324" s="42" t="s">
        <v>17203</v>
      </c>
      <c r="D324" s="43" t="str">
        <f t="shared" si="10"/>
        <v>2022.009D.Circoviridae_rensp101_nsp48.zip</v>
      </c>
    </row>
    <row r="325" spans="1:4">
      <c r="A325" s="24" t="s">
        <v>14822</v>
      </c>
      <c r="B325" s="42" t="s">
        <v>17202</v>
      </c>
      <c r="C325" s="42" t="s">
        <v>17201</v>
      </c>
      <c r="D325" s="43" t="str">
        <f t="shared" si="10"/>
        <v>2022.009D.Circoviridae_rensp101_nsp48.zip</v>
      </c>
    </row>
    <row r="326" spans="1:4">
      <c r="A326" s="24" t="s">
        <v>14822</v>
      </c>
      <c r="B326" s="42" t="s">
        <v>17196</v>
      </c>
      <c r="C326" s="42" t="s">
        <v>17195</v>
      </c>
      <c r="D326" s="43" t="str">
        <f t="shared" si="10"/>
        <v>2022.009D.Circoviridae_rensp101_nsp48.zip</v>
      </c>
    </row>
    <row r="327" spans="1:4">
      <c r="A327" s="24" t="s">
        <v>14822</v>
      </c>
      <c r="B327" s="42" t="s">
        <v>17232</v>
      </c>
      <c r="C327" s="42" t="s">
        <v>17231</v>
      </c>
      <c r="D327" s="43" t="str">
        <f t="shared" si="10"/>
        <v>2022.009D.Circoviridae_rensp101_nsp48.zip</v>
      </c>
    </row>
    <row r="328" spans="1:4">
      <c r="A328" s="24" t="s">
        <v>14822</v>
      </c>
      <c r="B328" s="42" t="s">
        <v>17198</v>
      </c>
      <c r="C328" s="42" t="s">
        <v>17197</v>
      </c>
      <c r="D328" s="43" t="str">
        <f t="shared" si="10"/>
        <v>2022.009D.Circoviridae_rensp101_nsp48.zip</v>
      </c>
    </row>
    <row r="329" spans="1:4">
      <c r="A329" s="24" t="s">
        <v>14822</v>
      </c>
      <c r="B329" s="42" t="s">
        <v>17194</v>
      </c>
      <c r="C329" s="42" t="s">
        <v>17193</v>
      </c>
      <c r="D329" s="43" t="str">
        <f t="shared" si="10"/>
        <v>2022.009D.Circoviridae_rensp101_nsp48.zip</v>
      </c>
    </row>
    <row r="330" spans="1:4">
      <c r="A330" s="24" t="s">
        <v>14822</v>
      </c>
      <c r="B330" s="42" t="s">
        <v>17140</v>
      </c>
      <c r="C330" s="42" t="s">
        <v>17139</v>
      </c>
      <c r="D330" s="43" t="str">
        <f t="shared" si="10"/>
        <v>2022.009D.Circoviridae_rensp101_nsp48.zip</v>
      </c>
    </row>
    <row r="331" spans="1:4">
      <c r="A331" s="24" t="s">
        <v>14822</v>
      </c>
      <c r="B331" s="42" t="s">
        <v>17164</v>
      </c>
      <c r="C331" s="42" t="s">
        <v>17163</v>
      </c>
      <c r="D331" s="43" t="str">
        <f t="shared" si="10"/>
        <v>2022.009D.Circoviridae_rensp101_nsp48.zip</v>
      </c>
    </row>
    <row r="332" spans="1:4">
      <c r="A332" s="24" t="s">
        <v>14822</v>
      </c>
      <c r="B332" s="42" t="s">
        <v>17162</v>
      </c>
      <c r="C332" s="42" t="s">
        <v>17161</v>
      </c>
      <c r="D332" s="43" t="str">
        <f t="shared" si="10"/>
        <v>2022.009D.Circoviridae_rensp101_nsp48.zip</v>
      </c>
    </row>
    <row r="333" spans="1:4">
      <c r="A333" s="24" t="s">
        <v>14822</v>
      </c>
      <c r="B333" s="42" t="s">
        <v>17156</v>
      </c>
      <c r="C333" s="42" t="s">
        <v>17155</v>
      </c>
      <c r="D333" s="43" t="str">
        <f t="shared" si="10"/>
        <v>2022.009D.Circoviridae_rensp101_nsp48.zip</v>
      </c>
    </row>
    <row r="334" spans="1:4">
      <c r="A334" s="24" t="s">
        <v>14822</v>
      </c>
      <c r="B334" s="42" t="s">
        <v>17102</v>
      </c>
      <c r="C334" s="42" t="s">
        <v>17101</v>
      </c>
      <c r="D334" s="43" t="str">
        <f t="shared" si="10"/>
        <v>2022.009D.Circoviridae_rensp101_nsp48.zip</v>
      </c>
    </row>
    <row r="335" spans="1:4">
      <c r="A335" s="24" t="s">
        <v>14822</v>
      </c>
      <c r="B335" s="42" t="s">
        <v>17176</v>
      </c>
      <c r="C335" s="42" t="s">
        <v>17175</v>
      </c>
      <c r="D335" s="43" t="str">
        <f t="shared" si="10"/>
        <v>2022.009D.Circoviridae_rensp101_nsp48.zip</v>
      </c>
    </row>
    <row r="336" spans="1:4">
      <c r="A336" s="24" t="s">
        <v>14822</v>
      </c>
      <c r="B336" s="42" t="s">
        <v>17112</v>
      </c>
      <c r="C336" s="42" t="s">
        <v>17111</v>
      </c>
      <c r="D336" s="43" t="str">
        <f t="shared" si="10"/>
        <v>2022.009D.Circoviridae_rensp101_nsp48.zip</v>
      </c>
    </row>
    <row r="337" spans="1:4">
      <c r="A337" s="24" t="s">
        <v>14822</v>
      </c>
      <c r="B337" s="42" t="s">
        <v>17150</v>
      </c>
      <c r="C337" s="42" t="s">
        <v>17149</v>
      </c>
      <c r="D337" s="43" t="str">
        <f t="shared" si="10"/>
        <v>2022.009D.Circoviridae_rensp101_nsp48.zip</v>
      </c>
    </row>
    <row r="338" spans="1:4">
      <c r="A338" s="24" t="s">
        <v>14822</v>
      </c>
      <c r="B338" s="42" t="s">
        <v>17128</v>
      </c>
      <c r="C338" s="42" t="s">
        <v>17127</v>
      </c>
      <c r="D338" s="43" t="str">
        <f t="shared" si="10"/>
        <v>2022.009D.Circoviridae_rensp101_nsp48.zip</v>
      </c>
    </row>
    <row r="339" spans="1:4">
      <c r="A339" s="24" t="s">
        <v>14822</v>
      </c>
      <c r="B339" s="42" t="s">
        <v>17158</v>
      </c>
      <c r="C339" s="42" t="s">
        <v>17157</v>
      </c>
      <c r="D339" s="43" t="str">
        <f t="shared" si="10"/>
        <v>2022.009D.Circoviridae_rensp101_nsp48.zip</v>
      </c>
    </row>
    <row r="340" spans="1:4">
      <c r="A340" s="24" t="s">
        <v>14822</v>
      </c>
      <c r="B340" s="42" t="s">
        <v>17182</v>
      </c>
      <c r="C340" s="42" t="s">
        <v>17181</v>
      </c>
      <c r="D340" s="43" t="str">
        <f t="shared" si="10"/>
        <v>2022.009D.Circoviridae_rensp101_nsp48.zip</v>
      </c>
    </row>
    <row r="341" spans="1:4">
      <c r="A341" s="24" t="s">
        <v>14822</v>
      </c>
      <c r="B341" s="42" t="s">
        <v>17090</v>
      </c>
      <c r="C341" s="42" t="s">
        <v>17089</v>
      </c>
      <c r="D341" s="43" t="str">
        <f t="shared" si="10"/>
        <v>2022.009D.Circoviridae_rensp101_nsp48.zip</v>
      </c>
    </row>
    <row r="342" spans="1:4">
      <c r="A342" s="24" t="s">
        <v>14822</v>
      </c>
      <c r="B342" s="42" t="s">
        <v>17178</v>
      </c>
      <c r="C342" s="42" t="s">
        <v>17177</v>
      </c>
      <c r="D342" s="43" t="str">
        <f t="shared" si="10"/>
        <v>2022.009D.Circoviridae_rensp101_nsp48.zip</v>
      </c>
    </row>
    <row r="343" spans="1:4">
      <c r="A343" s="24" t="s">
        <v>14822</v>
      </c>
      <c r="B343" s="42" t="s">
        <v>17122</v>
      </c>
      <c r="C343" s="42" t="s">
        <v>17121</v>
      </c>
      <c r="D343" s="43" t="str">
        <f t="shared" si="10"/>
        <v>2022.009D.Circoviridae_rensp101_nsp48.zip</v>
      </c>
    </row>
    <row r="344" spans="1:4">
      <c r="A344" s="24" t="s">
        <v>14822</v>
      </c>
      <c r="B344" s="42" t="s">
        <v>17118</v>
      </c>
      <c r="C344" s="42" t="s">
        <v>17117</v>
      </c>
      <c r="D344" s="43" t="str">
        <f t="shared" si="10"/>
        <v>2022.009D.Circoviridae_rensp101_nsp48.zip</v>
      </c>
    </row>
    <row r="345" spans="1:4">
      <c r="A345" s="24" t="s">
        <v>14822</v>
      </c>
      <c r="B345" s="42" t="s">
        <v>17120</v>
      </c>
      <c r="C345" s="42" t="s">
        <v>17119</v>
      </c>
      <c r="D345" s="43" t="str">
        <f t="shared" ref="D345:D381" si="11">HYPERLINK("https://ictv.global/ictv/proposals/2022.009D.Circoviridae_rensp101_nsp48.zip","2022.009D.Circoviridae_rensp101_nsp48.zip")</f>
        <v>2022.009D.Circoviridae_rensp101_nsp48.zip</v>
      </c>
    </row>
    <row r="346" spans="1:4">
      <c r="A346" s="24" t="s">
        <v>14822</v>
      </c>
      <c r="B346" s="42" t="s">
        <v>17116</v>
      </c>
      <c r="C346" s="42" t="s">
        <v>17115</v>
      </c>
      <c r="D346" s="43" t="str">
        <f t="shared" si="11"/>
        <v>2022.009D.Circoviridae_rensp101_nsp48.zip</v>
      </c>
    </row>
    <row r="347" spans="1:4">
      <c r="A347" s="24" t="s">
        <v>14822</v>
      </c>
      <c r="B347" s="42" t="s">
        <v>17174</v>
      </c>
      <c r="C347" s="42" t="s">
        <v>17173</v>
      </c>
      <c r="D347" s="43" t="str">
        <f t="shared" si="11"/>
        <v>2022.009D.Circoviridae_rensp101_nsp48.zip</v>
      </c>
    </row>
    <row r="348" spans="1:4">
      <c r="A348" s="24" t="s">
        <v>14822</v>
      </c>
      <c r="B348" s="42" t="s">
        <v>17104</v>
      </c>
      <c r="C348" s="42" t="s">
        <v>17103</v>
      </c>
      <c r="D348" s="43" t="str">
        <f t="shared" si="11"/>
        <v>2022.009D.Circoviridae_rensp101_nsp48.zip</v>
      </c>
    </row>
    <row r="349" spans="1:4">
      <c r="A349" s="24" t="s">
        <v>14822</v>
      </c>
      <c r="B349" s="42" t="s">
        <v>17190</v>
      </c>
      <c r="C349" s="42" t="s">
        <v>17189</v>
      </c>
      <c r="D349" s="43" t="str">
        <f t="shared" si="11"/>
        <v>2022.009D.Circoviridae_rensp101_nsp48.zip</v>
      </c>
    </row>
    <row r="350" spans="1:4">
      <c r="A350" s="24" t="s">
        <v>14822</v>
      </c>
      <c r="B350" s="42" t="s">
        <v>17132</v>
      </c>
      <c r="C350" s="42" t="s">
        <v>17131</v>
      </c>
      <c r="D350" s="43" t="str">
        <f t="shared" si="11"/>
        <v>2022.009D.Circoviridae_rensp101_nsp48.zip</v>
      </c>
    </row>
    <row r="351" spans="1:4">
      <c r="A351" s="24" t="s">
        <v>14822</v>
      </c>
      <c r="B351" s="42" t="s">
        <v>17100</v>
      </c>
      <c r="C351" s="42" t="s">
        <v>17099</v>
      </c>
      <c r="D351" s="43" t="str">
        <f t="shared" si="11"/>
        <v>2022.009D.Circoviridae_rensp101_nsp48.zip</v>
      </c>
    </row>
    <row r="352" spans="1:4">
      <c r="A352" s="24" t="s">
        <v>14822</v>
      </c>
      <c r="B352" s="42" t="s">
        <v>17106</v>
      </c>
      <c r="C352" s="42" t="s">
        <v>17105</v>
      </c>
      <c r="D352" s="43" t="str">
        <f t="shared" si="11"/>
        <v>2022.009D.Circoviridae_rensp101_nsp48.zip</v>
      </c>
    </row>
    <row r="353" spans="1:4">
      <c r="A353" s="24" t="s">
        <v>14822</v>
      </c>
      <c r="B353" s="42" t="s">
        <v>17154</v>
      </c>
      <c r="C353" s="42" t="s">
        <v>17153</v>
      </c>
      <c r="D353" s="43" t="str">
        <f t="shared" si="11"/>
        <v>2022.009D.Circoviridae_rensp101_nsp48.zip</v>
      </c>
    </row>
    <row r="354" spans="1:4">
      <c r="A354" s="24" t="s">
        <v>14822</v>
      </c>
      <c r="B354" s="42" t="s">
        <v>17098</v>
      </c>
      <c r="C354" s="42" t="s">
        <v>17097</v>
      </c>
      <c r="D354" s="43" t="str">
        <f t="shared" si="11"/>
        <v>2022.009D.Circoviridae_rensp101_nsp48.zip</v>
      </c>
    </row>
    <row r="355" spans="1:4">
      <c r="A355" s="24" t="s">
        <v>14822</v>
      </c>
      <c r="B355" s="42" t="s">
        <v>17094</v>
      </c>
      <c r="C355" s="42" t="s">
        <v>17093</v>
      </c>
      <c r="D355" s="43" t="str">
        <f t="shared" si="11"/>
        <v>2022.009D.Circoviridae_rensp101_nsp48.zip</v>
      </c>
    </row>
    <row r="356" spans="1:4">
      <c r="A356" s="24" t="s">
        <v>14822</v>
      </c>
      <c r="B356" s="42" t="s">
        <v>17092</v>
      </c>
      <c r="C356" s="42" t="s">
        <v>17091</v>
      </c>
      <c r="D356" s="43" t="str">
        <f t="shared" si="11"/>
        <v>2022.009D.Circoviridae_rensp101_nsp48.zip</v>
      </c>
    </row>
    <row r="357" spans="1:4">
      <c r="A357" s="24" t="s">
        <v>14822</v>
      </c>
      <c r="B357" s="42" t="s">
        <v>17152</v>
      </c>
      <c r="C357" s="42" t="s">
        <v>17151</v>
      </c>
      <c r="D357" s="43" t="str">
        <f t="shared" si="11"/>
        <v>2022.009D.Circoviridae_rensp101_nsp48.zip</v>
      </c>
    </row>
    <row r="358" spans="1:4">
      <c r="A358" s="24" t="s">
        <v>14822</v>
      </c>
      <c r="B358" s="42" t="s">
        <v>17188</v>
      </c>
      <c r="C358" s="42" t="s">
        <v>17187</v>
      </c>
      <c r="D358" s="43" t="str">
        <f t="shared" si="11"/>
        <v>2022.009D.Circoviridae_rensp101_nsp48.zip</v>
      </c>
    </row>
    <row r="359" spans="1:4">
      <c r="A359" s="24" t="s">
        <v>14822</v>
      </c>
      <c r="B359" s="42" t="s">
        <v>17126</v>
      </c>
      <c r="C359" s="42" t="s">
        <v>17125</v>
      </c>
      <c r="D359" s="43" t="str">
        <f t="shared" si="11"/>
        <v>2022.009D.Circoviridae_rensp101_nsp48.zip</v>
      </c>
    </row>
    <row r="360" spans="1:4">
      <c r="A360" s="24" t="s">
        <v>14822</v>
      </c>
      <c r="B360" s="42" t="s">
        <v>17096</v>
      </c>
      <c r="C360" s="42" t="s">
        <v>17095</v>
      </c>
      <c r="D360" s="43" t="str">
        <f t="shared" si="11"/>
        <v>2022.009D.Circoviridae_rensp101_nsp48.zip</v>
      </c>
    </row>
    <row r="361" spans="1:4">
      <c r="A361" s="24" t="s">
        <v>14822</v>
      </c>
      <c r="B361" s="42" t="s">
        <v>17160</v>
      </c>
      <c r="C361" s="42" t="s">
        <v>17159</v>
      </c>
      <c r="D361" s="43" t="str">
        <f t="shared" si="11"/>
        <v>2022.009D.Circoviridae_rensp101_nsp48.zip</v>
      </c>
    </row>
    <row r="362" spans="1:4">
      <c r="A362" s="24" t="s">
        <v>14822</v>
      </c>
      <c r="B362" s="42" t="s">
        <v>17172</v>
      </c>
      <c r="C362" s="42" t="s">
        <v>17171</v>
      </c>
      <c r="D362" s="43" t="str">
        <f t="shared" si="11"/>
        <v>2022.009D.Circoviridae_rensp101_nsp48.zip</v>
      </c>
    </row>
    <row r="363" spans="1:4">
      <c r="A363" s="24" t="s">
        <v>14822</v>
      </c>
      <c r="B363" s="42" t="s">
        <v>17186</v>
      </c>
      <c r="C363" s="42" t="s">
        <v>17185</v>
      </c>
      <c r="D363" s="43" t="str">
        <f t="shared" si="11"/>
        <v>2022.009D.Circoviridae_rensp101_nsp48.zip</v>
      </c>
    </row>
    <row r="364" spans="1:4">
      <c r="A364" s="24" t="s">
        <v>14822</v>
      </c>
      <c r="B364" s="42" t="s">
        <v>17180</v>
      </c>
      <c r="C364" s="42" t="s">
        <v>17179</v>
      </c>
      <c r="D364" s="43" t="str">
        <f t="shared" si="11"/>
        <v>2022.009D.Circoviridae_rensp101_nsp48.zip</v>
      </c>
    </row>
    <row r="365" spans="1:4">
      <c r="A365" s="24" t="s">
        <v>14822</v>
      </c>
      <c r="B365" s="42" t="s">
        <v>17148</v>
      </c>
      <c r="C365" s="42" t="s">
        <v>17147</v>
      </c>
      <c r="D365" s="43" t="str">
        <f t="shared" si="11"/>
        <v>2022.009D.Circoviridae_rensp101_nsp48.zip</v>
      </c>
    </row>
    <row r="366" spans="1:4">
      <c r="A366" s="24" t="s">
        <v>14822</v>
      </c>
      <c r="B366" s="42" t="s">
        <v>17166</v>
      </c>
      <c r="C366" s="42" t="s">
        <v>17165</v>
      </c>
      <c r="D366" s="43" t="str">
        <f t="shared" si="11"/>
        <v>2022.009D.Circoviridae_rensp101_nsp48.zip</v>
      </c>
    </row>
    <row r="367" spans="1:4">
      <c r="A367" s="24" t="s">
        <v>14822</v>
      </c>
      <c r="B367" s="42" t="s">
        <v>17144</v>
      </c>
      <c r="C367" s="42" t="s">
        <v>17143</v>
      </c>
      <c r="D367" s="43" t="str">
        <f t="shared" si="11"/>
        <v>2022.009D.Circoviridae_rensp101_nsp48.zip</v>
      </c>
    </row>
    <row r="368" spans="1:4">
      <c r="A368" s="24" t="s">
        <v>14822</v>
      </c>
      <c r="B368" s="42" t="s">
        <v>17184</v>
      </c>
      <c r="C368" s="42" t="s">
        <v>17183</v>
      </c>
      <c r="D368" s="43" t="str">
        <f t="shared" si="11"/>
        <v>2022.009D.Circoviridae_rensp101_nsp48.zip</v>
      </c>
    </row>
    <row r="369" spans="1:4">
      <c r="A369" s="24" t="s">
        <v>14822</v>
      </c>
      <c r="B369" s="42" t="s">
        <v>17170</v>
      </c>
      <c r="C369" s="42" t="s">
        <v>17169</v>
      </c>
      <c r="D369" s="43" t="str">
        <f t="shared" si="11"/>
        <v>2022.009D.Circoviridae_rensp101_nsp48.zip</v>
      </c>
    </row>
    <row r="370" spans="1:4">
      <c r="A370" s="24" t="s">
        <v>14822</v>
      </c>
      <c r="B370" s="42" t="s">
        <v>17138</v>
      </c>
      <c r="C370" s="42" t="s">
        <v>17137</v>
      </c>
      <c r="D370" s="43" t="str">
        <f t="shared" si="11"/>
        <v>2022.009D.Circoviridae_rensp101_nsp48.zip</v>
      </c>
    </row>
    <row r="371" spans="1:4">
      <c r="A371" s="24" t="s">
        <v>14822</v>
      </c>
      <c r="B371" s="42" t="s">
        <v>17134</v>
      </c>
      <c r="C371" s="42" t="s">
        <v>17133</v>
      </c>
      <c r="D371" s="43" t="str">
        <f t="shared" si="11"/>
        <v>2022.009D.Circoviridae_rensp101_nsp48.zip</v>
      </c>
    </row>
    <row r="372" spans="1:4">
      <c r="A372" s="24" t="s">
        <v>14822</v>
      </c>
      <c r="B372" s="42" t="s">
        <v>17124</v>
      </c>
      <c r="C372" s="42" t="s">
        <v>17123</v>
      </c>
      <c r="D372" s="43" t="str">
        <f t="shared" si="11"/>
        <v>2022.009D.Circoviridae_rensp101_nsp48.zip</v>
      </c>
    </row>
    <row r="373" spans="1:4">
      <c r="A373" s="24" t="s">
        <v>14822</v>
      </c>
      <c r="B373" s="42" t="s">
        <v>17136</v>
      </c>
      <c r="C373" s="42" t="s">
        <v>17135</v>
      </c>
      <c r="D373" s="43" t="str">
        <f t="shared" si="11"/>
        <v>2022.009D.Circoviridae_rensp101_nsp48.zip</v>
      </c>
    </row>
    <row r="374" spans="1:4">
      <c r="A374" s="24" t="s">
        <v>14822</v>
      </c>
      <c r="B374" s="42" t="s">
        <v>17168</v>
      </c>
      <c r="C374" s="42" t="s">
        <v>17167</v>
      </c>
      <c r="D374" s="43" t="str">
        <f t="shared" si="11"/>
        <v>2022.009D.Circoviridae_rensp101_nsp48.zip</v>
      </c>
    </row>
    <row r="375" spans="1:4">
      <c r="A375" s="24" t="s">
        <v>14822</v>
      </c>
      <c r="B375" s="42" t="s">
        <v>17146</v>
      </c>
      <c r="C375" s="42" t="s">
        <v>17145</v>
      </c>
      <c r="D375" s="43" t="str">
        <f t="shared" si="11"/>
        <v>2022.009D.Circoviridae_rensp101_nsp48.zip</v>
      </c>
    </row>
    <row r="376" spans="1:4">
      <c r="A376" s="24" t="s">
        <v>14822</v>
      </c>
      <c r="B376" s="42" t="s">
        <v>17142</v>
      </c>
      <c r="C376" s="42" t="s">
        <v>17141</v>
      </c>
      <c r="D376" s="43" t="str">
        <f t="shared" si="11"/>
        <v>2022.009D.Circoviridae_rensp101_nsp48.zip</v>
      </c>
    </row>
    <row r="377" spans="1:4">
      <c r="A377" s="24" t="s">
        <v>14822</v>
      </c>
      <c r="B377" s="42" t="s">
        <v>17130</v>
      </c>
      <c r="C377" s="42" t="s">
        <v>17129</v>
      </c>
      <c r="D377" s="43" t="str">
        <f t="shared" si="11"/>
        <v>2022.009D.Circoviridae_rensp101_nsp48.zip</v>
      </c>
    </row>
    <row r="378" spans="1:4">
      <c r="A378" s="24" t="s">
        <v>14822</v>
      </c>
      <c r="B378" s="42" t="s">
        <v>17110</v>
      </c>
      <c r="C378" s="42" t="s">
        <v>17109</v>
      </c>
      <c r="D378" s="43" t="str">
        <f t="shared" si="11"/>
        <v>2022.009D.Circoviridae_rensp101_nsp48.zip</v>
      </c>
    </row>
    <row r="379" spans="1:4">
      <c r="A379" s="24" t="s">
        <v>14822</v>
      </c>
      <c r="B379" s="42" t="s">
        <v>17114</v>
      </c>
      <c r="C379" s="42" t="s">
        <v>17113</v>
      </c>
      <c r="D379" s="43" t="str">
        <f t="shared" si="11"/>
        <v>2022.009D.Circoviridae_rensp101_nsp48.zip</v>
      </c>
    </row>
    <row r="380" spans="1:4">
      <c r="A380" s="24" t="s">
        <v>14822</v>
      </c>
      <c r="B380" s="42" t="s">
        <v>17192</v>
      </c>
      <c r="C380" s="42" t="s">
        <v>17191</v>
      </c>
      <c r="D380" s="43" t="str">
        <f t="shared" si="11"/>
        <v>2022.009D.Circoviridae_rensp101_nsp48.zip</v>
      </c>
    </row>
    <row r="381" spans="1:4">
      <c r="A381" s="24" t="s">
        <v>14822</v>
      </c>
      <c r="B381" s="42" t="s">
        <v>17108</v>
      </c>
      <c r="C381" s="42" t="s">
        <v>17107</v>
      </c>
      <c r="D381" s="43" t="str">
        <f t="shared" si="11"/>
        <v>2022.009D.Circoviridae_rensp101_nsp48.zip</v>
      </c>
    </row>
    <row r="382" spans="1:4">
      <c r="A382" s="24" t="s">
        <v>14822</v>
      </c>
      <c r="B382" s="42" t="s">
        <v>16852</v>
      </c>
      <c r="C382" s="42" t="s">
        <v>16851</v>
      </c>
      <c r="D382" s="43" t="str">
        <f t="shared" ref="D382:D388" si="12">HYPERLINK("https://ictv.global/ictv/proposals/2022.017P.Kitaviridae_rename.zip","2022.017P.Kitaviridae_rename.zip")</f>
        <v>2022.017P.Kitaviridae_rename.zip</v>
      </c>
    </row>
    <row r="383" spans="1:4">
      <c r="A383" s="24" t="s">
        <v>14822</v>
      </c>
      <c r="B383" s="42" t="s">
        <v>16856</v>
      </c>
      <c r="C383" s="42" t="s">
        <v>16855</v>
      </c>
      <c r="D383" s="43" t="str">
        <f t="shared" si="12"/>
        <v>2022.017P.Kitaviridae_rename.zip</v>
      </c>
    </row>
    <row r="384" spans="1:4">
      <c r="A384" s="24" t="s">
        <v>14822</v>
      </c>
      <c r="B384" s="42" t="s">
        <v>16854</v>
      </c>
      <c r="C384" s="42" t="s">
        <v>16853</v>
      </c>
      <c r="D384" s="43" t="str">
        <f t="shared" si="12"/>
        <v>2022.017P.Kitaviridae_rename.zip</v>
      </c>
    </row>
    <row r="385" spans="1:4">
      <c r="A385" s="24" t="s">
        <v>14822</v>
      </c>
      <c r="B385" s="42" t="s">
        <v>16848</v>
      </c>
      <c r="C385" s="42" t="s">
        <v>16847</v>
      </c>
      <c r="D385" s="43" t="str">
        <f t="shared" si="12"/>
        <v>2022.017P.Kitaviridae_rename.zip</v>
      </c>
    </row>
    <row r="386" spans="1:4">
      <c r="A386" s="24" t="s">
        <v>14822</v>
      </c>
      <c r="B386" s="42" t="s">
        <v>16850</v>
      </c>
      <c r="C386" s="42" t="s">
        <v>16849</v>
      </c>
      <c r="D386" s="43" t="str">
        <f t="shared" si="12"/>
        <v>2022.017P.Kitaviridae_rename.zip</v>
      </c>
    </row>
    <row r="387" spans="1:4">
      <c r="A387" s="24" t="s">
        <v>14822</v>
      </c>
      <c r="B387" s="42" t="s">
        <v>16846</v>
      </c>
      <c r="C387" s="42" t="s">
        <v>16845</v>
      </c>
      <c r="D387" s="43" t="str">
        <f t="shared" si="12"/>
        <v>2022.017P.Kitaviridae_rename.zip</v>
      </c>
    </row>
    <row r="388" spans="1:4">
      <c r="A388" s="24" t="s">
        <v>14822</v>
      </c>
      <c r="B388" s="42" t="s">
        <v>16844</v>
      </c>
      <c r="C388" s="42" t="s">
        <v>16843</v>
      </c>
      <c r="D388" s="43" t="str">
        <f t="shared" si="12"/>
        <v>2022.017P.Kitaviridae_rename.zip</v>
      </c>
    </row>
    <row r="389" spans="1:4">
      <c r="A389" s="24" t="s">
        <v>14822</v>
      </c>
      <c r="B389" s="42" t="s">
        <v>16842</v>
      </c>
      <c r="C389" s="42" t="s">
        <v>16841</v>
      </c>
      <c r="D389" s="43" t="str">
        <f t="shared" ref="D389:D428" si="13">HYPERLINK("https://ictv.global/ictv/proposals/2022.013P.Tymoviridae_rename.zip","2022.013P.Tymoviridae_rename.zip")</f>
        <v>2022.013P.Tymoviridae_rename.zip</v>
      </c>
    </row>
    <row r="390" spans="1:4">
      <c r="A390" s="24" t="s">
        <v>14822</v>
      </c>
      <c r="B390" s="42" t="s">
        <v>16830</v>
      </c>
      <c r="C390" s="42" t="s">
        <v>16829</v>
      </c>
      <c r="D390" s="43" t="str">
        <f t="shared" si="13"/>
        <v>2022.013P.Tymoviridae_rename.zip</v>
      </c>
    </row>
    <row r="391" spans="1:4">
      <c r="A391" s="24" t="s">
        <v>14822</v>
      </c>
      <c r="B391" s="42" t="s">
        <v>16834</v>
      </c>
      <c r="C391" s="42" t="s">
        <v>16833</v>
      </c>
      <c r="D391" s="43" t="str">
        <f t="shared" si="13"/>
        <v>2022.013P.Tymoviridae_rename.zip</v>
      </c>
    </row>
    <row r="392" spans="1:4">
      <c r="A392" s="24" t="s">
        <v>14822</v>
      </c>
      <c r="B392" s="42" t="s">
        <v>16822</v>
      </c>
      <c r="C392" s="42" t="s">
        <v>16821</v>
      </c>
      <c r="D392" s="43" t="str">
        <f t="shared" si="13"/>
        <v>2022.013P.Tymoviridae_rename.zip</v>
      </c>
    </row>
    <row r="393" spans="1:4">
      <c r="A393" s="24" t="s">
        <v>14822</v>
      </c>
      <c r="B393" s="42" t="s">
        <v>16836</v>
      </c>
      <c r="C393" s="42" t="s">
        <v>16835</v>
      </c>
      <c r="D393" s="43" t="str">
        <f t="shared" si="13"/>
        <v>2022.013P.Tymoviridae_rename.zip</v>
      </c>
    </row>
    <row r="394" spans="1:4">
      <c r="A394" s="24" t="s">
        <v>14822</v>
      </c>
      <c r="B394" s="42" t="s">
        <v>16840</v>
      </c>
      <c r="C394" s="42" t="s">
        <v>16839</v>
      </c>
      <c r="D394" s="43" t="str">
        <f t="shared" si="13"/>
        <v>2022.013P.Tymoviridae_rename.zip</v>
      </c>
    </row>
    <row r="395" spans="1:4">
      <c r="A395" s="24" t="s">
        <v>14822</v>
      </c>
      <c r="B395" s="42" t="s">
        <v>16820</v>
      </c>
      <c r="C395" s="42" t="s">
        <v>16819</v>
      </c>
      <c r="D395" s="43" t="str">
        <f t="shared" si="13"/>
        <v>2022.013P.Tymoviridae_rename.zip</v>
      </c>
    </row>
    <row r="396" spans="1:4">
      <c r="A396" s="24" t="s">
        <v>14822</v>
      </c>
      <c r="B396" s="42" t="s">
        <v>16832</v>
      </c>
      <c r="C396" s="42" t="s">
        <v>16831</v>
      </c>
      <c r="D396" s="43" t="str">
        <f t="shared" si="13"/>
        <v>2022.013P.Tymoviridae_rename.zip</v>
      </c>
    </row>
    <row r="397" spans="1:4">
      <c r="A397" s="24" t="s">
        <v>14822</v>
      </c>
      <c r="B397" s="42" t="s">
        <v>16828</v>
      </c>
      <c r="C397" s="42" t="s">
        <v>16827</v>
      </c>
      <c r="D397" s="43" t="str">
        <f t="shared" si="13"/>
        <v>2022.013P.Tymoviridae_rename.zip</v>
      </c>
    </row>
    <row r="398" spans="1:4">
      <c r="A398" s="24" t="s">
        <v>14822</v>
      </c>
      <c r="B398" s="42" t="s">
        <v>16838</v>
      </c>
      <c r="C398" s="42" t="s">
        <v>16837</v>
      </c>
      <c r="D398" s="43" t="str">
        <f t="shared" si="13"/>
        <v>2022.013P.Tymoviridae_rename.zip</v>
      </c>
    </row>
    <row r="399" spans="1:4">
      <c r="A399" s="24" t="s">
        <v>14822</v>
      </c>
      <c r="B399" s="42" t="s">
        <v>16826</v>
      </c>
      <c r="C399" s="42" t="s">
        <v>16825</v>
      </c>
      <c r="D399" s="43" t="str">
        <f t="shared" si="13"/>
        <v>2022.013P.Tymoviridae_rename.zip</v>
      </c>
    </row>
    <row r="400" spans="1:4">
      <c r="A400" s="24" t="s">
        <v>14822</v>
      </c>
      <c r="B400" s="42" t="s">
        <v>16824</v>
      </c>
      <c r="C400" s="42" t="s">
        <v>16823</v>
      </c>
      <c r="D400" s="43" t="str">
        <f t="shared" si="13"/>
        <v>2022.013P.Tymoviridae_rename.zip</v>
      </c>
    </row>
    <row r="401" spans="1:4">
      <c r="A401" s="24" t="s">
        <v>14822</v>
      </c>
      <c r="B401" s="42" t="s">
        <v>16816</v>
      </c>
      <c r="C401" s="42" t="s">
        <v>16815</v>
      </c>
      <c r="D401" s="43" t="str">
        <f t="shared" si="13"/>
        <v>2022.013P.Tymoviridae_rename.zip</v>
      </c>
    </row>
    <row r="402" spans="1:4">
      <c r="A402" s="24" t="s">
        <v>14822</v>
      </c>
      <c r="B402" s="42" t="s">
        <v>16790</v>
      </c>
      <c r="C402" s="42" t="s">
        <v>16789</v>
      </c>
      <c r="D402" s="43" t="str">
        <f t="shared" si="13"/>
        <v>2022.013P.Tymoviridae_rename.zip</v>
      </c>
    </row>
    <row r="403" spans="1:4">
      <c r="A403" s="24" t="s">
        <v>14822</v>
      </c>
      <c r="B403" s="42" t="s">
        <v>16782</v>
      </c>
      <c r="C403" s="42" t="s">
        <v>16781</v>
      </c>
      <c r="D403" s="43" t="str">
        <f t="shared" si="13"/>
        <v>2022.013P.Tymoviridae_rename.zip</v>
      </c>
    </row>
    <row r="404" spans="1:4">
      <c r="A404" s="24" t="s">
        <v>14822</v>
      </c>
      <c r="B404" s="42" t="s">
        <v>16812</v>
      </c>
      <c r="C404" s="42" t="s">
        <v>16811</v>
      </c>
      <c r="D404" s="43" t="str">
        <f t="shared" si="13"/>
        <v>2022.013P.Tymoviridae_rename.zip</v>
      </c>
    </row>
    <row r="405" spans="1:4">
      <c r="A405" s="24" t="s">
        <v>14822</v>
      </c>
      <c r="B405" s="42" t="s">
        <v>16766</v>
      </c>
      <c r="C405" s="42" t="s">
        <v>16765</v>
      </c>
      <c r="D405" s="43" t="str">
        <f t="shared" si="13"/>
        <v>2022.013P.Tymoviridae_rename.zip</v>
      </c>
    </row>
    <row r="406" spans="1:4">
      <c r="A406" s="24" t="s">
        <v>14822</v>
      </c>
      <c r="B406" s="42" t="s">
        <v>16808</v>
      </c>
      <c r="C406" s="42" t="s">
        <v>16807</v>
      </c>
      <c r="D406" s="43" t="str">
        <f t="shared" si="13"/>
        <v>2022.013P.Tymoviridae_rename.zip</v>
      </c>
    </row>
    <row r="407" spans="1:4">
      <c r="A407" s="24" t="s">
        <v>14822</v>
      </c>
      <c r="B407" s="42" t="s">
        <v>16806</v>
      </c>
      <c r="C407" s="42" t="s">
        <v>16805</v>
      </c>
      <c r="D407" s="43" t="str">
        <f t="shared" si="13"/>
        <v>2022.013P.Tymoviridae_rename.zip</v>
      </c>
    </row>
    <row r="408" spans="1:4">
      <c r="A408" s="24" t="s">
        <v>14822</v>
      </c>
      <c r="B408" s="42" t="s">
        <v>16804</v>
      </c>
      <c r="C408" s="42" t="s">
        <v>16803</v>
      </c>
      <c r="D408" s="43" t="str">
        <f t="shared" si="13"/>
        <v>2022.013P.Tymoviridae_rename.zip</v>
      </c>
    </row>
    <row r="409" spans="1:4">
      <c r="A409" s="24" t="s">
        <v>14822</v>
      </c>
      <c r="B409" s="42" t="s">
        <v>16802</v>
      </c>
      <c r="C409" s="42" t="s">
        <v>16801</v>
      </c>
      <c r="D409" s="43" t="str">
        <f t="shared" si="13"/>
        <v>2022.013P.Tymoviridae_rename.zip</v>
      </c>
    </row>
    <row r="410" spans="1:4">
      <c r="A410" s="24" t="s">
        <v>14822</v>
      </c>
      <c r="B410" s="42" t="s">
        <v>16798</v>
      </c>
      <c r="C410" s="42" t="s">
        <v>16797</v>
      </c>
      <c r="D410" s="43" t="str">
        <f t="shared" si="13"/>
        <v>2022.013P.Tymoviridae_rename.zip</v>
      </c>
    </row>
    <row r="411" spans="1:4">
      <c r="A411" s="24" t="s">
        <v>14822</v>
      </c>
      <c r="B411" s="42" t="s">
        <v>16796</v>
      </c>
      <c r="C411" s="42" t="s">
        <v>16795</v>
      </c>
      <c r="D411" s="43" t="str">
        <f t="shared" si="13"/>
        <v>2022.013P.Tymoviridae_rename.zip</v>
      </c>
    </row>
    <row r="412" spans="1:4">
      <c r="A412" s="24" t="s">
        <v>14822</v>
      </c>
      <c r="B412" s="42" t="s">
        <v>16786</v>
      </c>
      <c r="C412" s="42" t="s">
        <v>16785</v>
      </c>
      <c r="D412" s="43" t="str">
        <f t="shared" si="13"/>
        <v>2022.013P.Tymoviridae_rename.zip</v>
      </c>
    </row>
    <row r="413" spans="1:4">
      <c r="A413" s="24" t="s">
        <v>14822</v>
      </c>
      <c r="B413" s="42" t="s">
        <v>16794</v>
      </c>
      <c r="C413" s="42" t="s">
        <v>16793</v>
      </c>
      <c r="D413" s="43" t="str">
        <f t="shared" si="13"/>
        <v>2022.013P.Tymoviridae_rename.zip</v>
      </c>
    </row>
    <row r="414" spans="1:4">
      <c r="A414" s="24" t="s">
        <v>14822</v>
      </c>
      <c r="B414" s="42" t="s">
        <v>16792</v>
      </c>
      <c r="C414" s="42" t="s">
        <v>16791</v>
      </c>
      <c r="D414" s="43" t="str">
        <f t="shared" si="13"/>
        <v>2022.013P.Tymoviridae_rename.zip</v>
      </c>
    </row>
    <row r="415" spans="1:4">
      <c r="A415" s="24" t="s">
        <v>14822</v>
      </c>
      <c r="B415" s="42" t="s">
        <v>16784</v>
      </c>
      <c r="C415" s="42" t="s">
        <v>16783</v>
      </c>
      <c r="D415" s="43" t="str">
        <f t="shared" si="13"/>
        <v>2022.013P.Tymoviridae_rename.zip</v>
      </c>
    </row>
    <row r="416" spans="1:4">
      <c r="A416" s="24" t="s">
        <v>14822</v>
      </c>
      <c r="B416" s="42" t="s">
        <v>16780</v>
      </c>
      <c r="C416" s="42" t="s">
        <v>16779</v>
      </c>
      <c r="D416" s="43" t="str">
        <f t="shared" si="13"/>
        <v>2022.013P.Tymoviridae_rename.zip</v>
      </c>
    </row>
    <row r="417" spans="1:4">
      <c r="A417" s="24" t="s">
        <v>14822</v>
      </c>
      <c r="B417" s="42" t="s">
        <v>16818</v>
      </c>
      <c r="C417" s="42" t="s">
        <v>16817</v>
      </c>
      <c r="D417" s="43" t="str">
        <f t="shared" si="13"/>
        <v>2022.013P.Tymoviridae_rename.zip</v>
      </c>
    </row>
    <row r="418" spans="1:4">
      <c r="A418" s="24" t="s">
        <v>14822</v>
      </c>
      <c r="B418" s="42" t="s">
        <v>16778</v>
      </c>
      <c r="C418" s="42" t="s">
        <v>16777</v>
      </c>
      <c r="D418" s="43" t="str">
        <f t="shared" si="13"/>
        <v>2022.013P.Tymoviridae_rename.zip</v>
      </c>
    </row>
    <row r="419" spans="1:4">
      <c r="A419" s="24" t="s">
        <v>14822</v>
      </c>
      <c r="B419" s="42" t="s">
        <v>16776</v>
      </c>
      <c r="C419" s="42" t="s">
        <v>16775</v>
      </c>
      <c r="D419" s="43" t="str">
        <f t="shared" si="13"/>
        <v>2022.013P.Tymoviridae_rename.zip</v>
      </c>
    </row>
    <row r="420" spans="1:4">
      <c r="A420" s="24" t="s">
        <v>14822</v>
      </c>
      <c r="B420" s="42" t="s">
        <v>16814</v>
      </c>
      <c r="C420" s="42" t="s">
        <v>16813</v>
      </c>
      <c r="D420" s="43" t="str">
        <f t="shared" si="13"/>
        <v>2022.013P.Tymoviridae_rename.zip</v>
      </c>
    </row>
    <row r="421" spans="1:4">
      <c r="A421" s="24" t="s">
        <v>14822</v>
      </c>
      <c r="B421" s="42" t="s">
        <v>16774</v>
      </c>
      <c r="C421" s="42" t="s">
        <v>16773</v>
      </c>
      <c r="D421" s="43" t="str">
        <f t="shared" si="13"/>
        <v>2022.013P.Tymoviridae_rename.zip</v>
      </c>
    </row>
    <row r="422" spans="1:4">
      <c r="A422" s="24" t="s">
        <v>14822</v>
      </c>
      <c r="B422" s="42" t="s">
        <v>16772</v>
      </c>
      <c r="C422" s="42" t="s">
        <v>16771</v>
      </c>
      <c r="D422" s="43" t="str">
        <f t="shared" si="13"/>
        <v>2022.013P.Tymoviridae_rename.zip</v>
      </c>
    </row>
    <row r="423" spans="1:4">
      <c r="A423" s="24" t="s">
        <v>14822</v>
      </c>
      <c r="B423" s="42" t="s">
        <v>16770</v>
      </c>
      <c r="C423" s="42" t="s">
        <v>16769</v>
      </c>
      <c r="D423" s="43" t="str">
        <f t="shared" si="13"/>
        <v>2022.013P.Tymoviridae_rename.zip</v>
      </c>
    </row>
    <row r="424" spans="1:4">
      <c r="A424" s="24" t="s">
        <v>14822</v>
      </c>
      <c r="B424" s="42" t="s">
        <v>16768</v>
      </c>
      <c r="C424" s="42" t="s">
        <v>16767</v>
      </c>
      <c r="D424" s="43" t="str">
        <f t="shared" si="13"/>
        <v>2022.013P.Tymoviridae_rename.zip</v>
      </c>
    </row>
    <row r="425" spans="1:4">
      <c r="A425" s="24" t="s">
        <v>14822</v>
      </c>
      <c r="B425" s="42" t="s">
        <v>16788</v>
      </c>
      <c r="C425" s="42" t="s">
        <v>16787</v>
      </c>
      <c r="D425" s="43" t="str">
        <f t="shared" si="13"/>
        <v>2022.013P.Tymoviridae_rename.zip</v>
      </c>
    </row>
    <row r="426" spans="1:4">
      <c r="A426" s="24" t="s">
        <v>14822</v>
      </c>
      <c r="B426" s="42" t="s">
        <v>16810</v>
      </c>
      <c r="C426" s="42" t="s">
        <v>16809</v>
      </c>
      <c r="D426" s="43" t="str">
        <f t="shared" si="13"/>
        <v>2022.013P.Tymoviridae_rename.zip</v>
      </c>
    </row>
    <row r="427" spans="1:4">
      <c r="A427" s="24" t="s">
        <v>14822</v>
      </c>
      <c r="B427" s="42" t="s">
        <v>16764</v>
      </c>
      <c r="C427" s="42" t="s">
        <v>16763</v>
      </c>
      <c r="D427" s="43" t="str">
        <f t="shared" si="13"/>
        <v>2022.013P.Tymoviridae_rename.zip</v>
      </c>
    </row>
    <row r="428" spans="1:4">
      <c r="A428" s="24" t="s">
        <v>14822</v>
      </c>
      <c r="B428" s="42" t="s">
        <v>16800</v>
      </c>
      <c r="C428" s="42" t="s">
        <v>16799</v>
      </c>
      <c r="D428" s="43" t="str">
        <f t="shared" si="13"/>
        <v>2022.013P.Tymoviridae_rename.zip</v>
      </c>
    </row>
    <row r="429" spans="1:4">
      <c r="A429" s="24" t="s">
        <v>14822</v>
      </c>
      <c r="B429" s="42" t="s">
        <v>16734</v>
      </c>
      <c r="C429" s="42" t="s">
        <v>16733</v>
      </c>
      <c r="D429" s="43" t="str">
        <f t="shared" ref="D429:D460" si="14">HYPERLINK("https://ictv.global/ictv/proposals/2022.007S.Flaviviridae_1genren_sprenamed.zip","2022.007S.Flaviviridae_1genren_sprenamed.zip")</f>
        <v>2022.007S.Flaviviridae_1genren_sprenamed.zip</v>
      </c>
    </row>
    <row r="430" spans="1:4">
      <c r="A430" s="24" t="s">
        <v>14822</v>
      </c>
      <c r="B430" s="42" t="s">
        <v>16732</v>
      </c>
      <c r="C430" s="42" t="s">
        <v>16731</v>
      </c>
      <c r="D430" s="43" t="str">
        <f t="shared" si="14"/>
        <v>2022.007S.Flaviviridae_1genren_sprenamed.zip</v>
      </c>
    </row>
    <row r="431" spans="1:4">
      <c r="A431" s="24" t="s">
        <v>14822</v>
      </c>
      <c r="B431" s="42" t="s">
        <v>16730</v>
      </c>
      <c r="C431" s="42" t="s">
        <v>16729</v>
      </c>
      <c r="D431" s="43" t="str">
        <f t="shared" si="14"/>
        <v>2022.007S.Flaviviridae_1genren_sprenamed.zip</v>
      </c>
    </row>
    <row r="432" spans="1:4">
      <c r="A432" s="24" t="s">
        <v>14822</v>
      </c>
      <c r="B432" s="42" t="s">
        <v>16728</v>
      </c>
      <c r="C432" s="42" t="s">
        <v>16727</v>
      </c>
      <c r="D432" s="43" t="str">
        <f t="shared" si="14"/>
        <v>2022.007S.Flaviviridae_1genren_sprenamed.zip</v>
      </c>
    </row>
    <row r="433" spans="1:4">
      <c r="A433" s="24" t="s">
        <v>14822</v>
      </c>
      <c r="B433" s="42" t="s">
        <v>16726</v>
      </c>
      <c r="C433" s="42" t="s">
        <v>16725</v>
      </c>
      <c r="D433" s="43" t="str">
        <f t="shared" si="14"/>
        <v>2022.007S.Flaviviridae_1genren_sprenamed.zip</v>
      </c>
    </row>
    <row r="434" spans="1:4">
      <c r="A434" s="24" t="s">
        <v>14822</v>
      </c>
      <c r="B434" s="42" t="s">
        <v>16722</v>
      </c>
      <c r="C434" s="42" t="s">
        <v>16721</v>
      </c>
      <c r="D434" s="43" t="str">
        <f t="shared" si="14"/>
        <v>2022.007S.Flaviviridae_1genren_sprenamed.zip</v>
      </c>
    </row>
    <row r="435" spans="1:4">
      <c r="A435" s="24" t="s">
        <v>14822</v>
      </c>
      <c r="B435" s="42" t="s">
        <v>16720</v>
      </c>
      <c r="C435" s="42" t="s">
        <v>16719</v>
      </c>
      <c r="D435" s="43" t="str">
        <f t="shared" si="14"/>
        <v>2022.007S.Flaviviridae_1genren_sprenamed.zip</v>
      </c>
    </row>
    <row r="436" spans="1:4">
      <c r="A436" s="24" t="s">
        <v>14822</v>
      </c>
      <c r="B436" s="42" t="s">
        <v>16718</v>
      </c>
      <c r="C436" s="42" t="s">
        <v>16717</v>
      </c>
      <c r="D436" s="43" t="str">
        <f t="shared" si="14"/>
        <v>2022.007S.Flaviviridae_1genren_sprenamed.zip</v>
      </c>
    </row>
    <row r="437" spans="1:4">
      <c r="A437" s="24" t="s">
        <v>14822</v>
      </c>
      <c r="B437" s="42" t="s">
        <v>16716</v>
      </c>
      <c r="C437" s="42" t="s">
        <v>16715</v>
      </c>
      <c r="D437" s="43" t="str">
        <f t="shared" si="14"/>
        <v>2022.007S.Flaviviridae_1genren_sprenamed.zip</v>
      </c>
    </row>
    <row r="438" spans="1:4">
      <c r="A438" s="24" t="s">
        <v>14822</v>
      </c>
      <c r="B438" s="42" t="s">
        <v>16714</v>
      </c>
      <c r="C438" s="42" t="s">
        <v>16713</v>
      </c>
      <c r="D438" s="43" t="str">
        <f t="shared" si="14"/>
        <v>2022.007S.Flaviviridae_1genren_sprenamed.zip</v>
      </c>
    </row>
    <row r="439" spans="1:4">
      <c r="A439" s="24" t="s">
        <v>14822</v>
      </c>
      <c r="B439" s="42" t="s">
        <v>16712</v>
      </c>
      <c r="C439" s="42" t="s">
        <v>16711</v>
      </c>
      <c r="D439" s="43" t="str">
        <f t="shared" si="14"/>
        <v>2022.007S.Flaviviridae_1genren_sprenamed.zip</v>
      </c>
    </row>
    <row r="440" spans="1:4">
      <c r="A440" s="24" t="s">
        <v>14822</v>
      </c>
      <c r="B440" s="42" t="s">
        <v>16710</v>
      </c>
      <c r="C440" s="42" t="s">
        <v>16709</v>
      </c>
      <c r="D440" s="43" t="str">
        <f t="shared" si="14"/>
        <v>2022.007S.Flaviviridae_1genren_sprenamed.zip</v>
      </c>
    </row>
    <row r="441" spans="1:4">
      <c r="A441" s="24" t="s">
        <v>14822</v>
      </c>
      <c r="B441" s="42" t="s">
        <v>16706</v>
      </c>
      <c r="C441" s="42" t="s">
        <v>16705</v>
      </c>
      <c r="D441" s="43" t="str">
        <f t="shared" si="14"/>
        <v>2022.007S.Flaviviridae_1genren_sprenamed.zip</v>
      </c>
    </row>
    <row r="442" spans="1:4">
      <c r="A442" s="24" t="s">
        <v>14822</v>
      </c>
      <c r="B442" s="42" t="s">
        <v>16702</v>
      </c>
      <c r="C442" s="42" t="s">
        <v>16701</v>
      </c>
      <c r="D442" s="43" t="str">
        <f t="shared" si="14"/>
        <v>2022.007S.Flaviviridae_1genren_sprenamed.zip</v>
      </c>
    </row>
    <row r="443" spans="1:4">
      <c r="A443" s="24" t="s">
        <v>14822</v>
      </c>
      <c r="B443" s="42" t="s">
        <v>16700</v>
      </c>
      <c r="C443" s="42" t="s">
        <v>16699</v>
      </c>
      <c r="D443" s="43" t="str">
        <f t="shared" si="14"/>
        <v>2022.007S.Flaviviridae_1genren_sprenamed.zip</v>
      </c>
    </row>
    <row r="444" spans="1:4">
      <c r="A444" s="24" t="s">
        <v>14822</v>
      </c>
      <c r="B444" s="42" t="s">
        <v>16698</v>
      </c>
      <c r="C444" s="42" t="s">
        <v>16697</v>
      </c>
      <c r="D444" s="43" t="str">
        <f t="shared" si="14"/>
        <v>2022.007S.Flaviviridae_1genren_sprenamed.zip</v>
      </c>
    </row>
    <row r="445" spans="1:4">
      <c r="A445" s="24" t="s">
        <v>14822</v>
      </c>
      <c r="B445" s="42" t="s">
        <v>16696</v>
      </c>
      <c r="C445" s="42" t="s">
        <v>16695</v>
      </c>
      <c r="D445" s="43" t="str">
        <f t="shared" si="14"/>
        <v>2022.007S.Flaviviridae_1genren_sprenamed.zip</v>
      </c>
    </row>
    <row r="446" spans="1:4">
      <c r="A446" s="24" t="s">
        <v>14822</v>
      </c>
      <c r="B446" s="42" t="s">
        <v>16694</v>
      </c>
      <c r="C446" s="42" t="s">
        <v>16693</v>
      </c>
      <c r="D446" s="43" t="str">
        <f t="shared" si="14"/>
        <v>2022.007S.Flaviviridae_1genren_sprenamed.zip</v>
      </c>
    </row>
    <row r="447" spans="1:4">
      <c r="A447" s="24" t="s">
        <v>14822</v>
      </c>
      <c r="B447" s="42" t="s">
        <v>16692</v>
      </c>
      <c r="C447" s="42" t="s">
        <v>16691</v>
      </c>
      <c r="D447" s="43" t="str">
        <f t="shared" si="14"/>
        <v>2022.007S.Flaviviridae_1genren_sprenamed.zip</v>
      </c>
    </row>
    <row r="448" spans="1:4">
      <c r="A448" s="24" t="s">
        <v>14822</v>
      </c>
      <c r="B448" s="42" t="s">
        <v>16690</v>
      </c>
      <c r="C448" s="42" t="s">
        <v>16689</v>
      </c>
      <c r="D448" s="43" t="str">
        <f t="shared" si="14"/>
        <v>2022.007S.Flaviviridae_1genren_sprenamed.zip</v>
      </c>
    </row>
    <row r="449" spans="1:4">
      <c r="A449" s="24" t="s">
        <v>14822</v>
      </c>
      <c r="B449" s="42" t="s">
        <v>16688</v>
      </c>
      <c r="C449" s="42" t="s">
        <v>16687</v>
      </c>
      <c r="D449" s="43" t="str">
        <f t="shared" si="14"/>
        <v>2022.007S.Flaviviridae_1genren_sprenamed.zip</v>
      </c>
    </row>
    <row r="450" spans="1:4">
      <c r="A450" s="24" t="s">
        <v>14822</v>
      </c>
      <c r="B450" s="42" t="s">
        <v>16686</v>
      </c>
      <c r="C450" s="42" t="s">
        <v>16685</v>
      </c>
      <c r="D450" s="43" t="str">
        <f t="shared" si="14"/>
        <v>2022.007S.Flaviviridae_1genren_sprenamed.zip</v>
      </c>
    </row>
    <row r="451" spans="1:4">
      <c r="A451" s="24" t="s">
        <v>14822</v>
      </c>
      <c r="B451" s="42" t="s">
        <v>16684</v>
      </c>
      <c r="C451" s="42" t="s">
        <v>16683</v>
      </c>
      <c r="D451" s="43" t="str">
        <f t="shared" si="14"/>
        <v>2022.007S.Flaviviridae_1genren_sprenamed.zip</v>
      </c>
    </row>
    <row r="452" spans="1:4">
      <c r="A452" s="24" t="s">
        <v>14822</v>
      </c>
      <c r="B452" s="42" t="s">
        <v>16682</v>
      </c>
      <c r="C452" s="42" t="s">
        <v>16681</v>
      </c>
      <c r="D452" s="43" t="str">
        <f t="shared" si="14"/>
        <v>2022.007S.Flaviviridae_1genren_sprenamed.zip</v>
      </c>
    </row>
    <row r="453" spans="1:4">
      <c r="A453" s="24" t="s">
        <v>14822</v>
      </c>
      <c r="B453" s="42" t="s">
        <v>16680</v>
      </c>
      <c r="C453" s="42" t="s">
        <v>16679</v>
      </c>
      <c r="D453" s="43" t="str">
        <f t="shared" si="14"/>
        <v>2022.007S.Flaviviridae_1genren_sprenamed.zip</v>
      </c>
    </row>
    <row r="454" spans="1:4">
      <c r="A454" s="24" t="s">
        <v>14822</v>
      </c>
      <c r="B454" s="42" t="s">
        <v>16676</v>
      </c>
      <c r="C454" s="42" t="s">
        <v>16675</v>
      </c>
      <c r="D454" s="43" t="str">
        <f t="shared" si="14"/>
        <v>2022.007S.Flaviviridae_1genren_sprenamed.zip</v>
      </c>
    </row>
    <row r="455" spans="1:4">
      <c r="A455" s="24" t="s">
        <v>14822</v>
      </c>
      <c r="B455" s="42" t="s">
        <v>16674</v>
      </c>
      <c r="C455" s="42" t="s">
        <v>16673</v>
      </c>
      <c r="D455" s="43" t="str">
        <f t="shared" si="14"/>
        <v>2022.007S.Flaviviridae_1genren_sprenamed.zip</v>
      </c>
    </row>
    <row r="456" spans="1:4">
      <c r="A456" s="24" t="s">
        <v>14822</v>
      </c>
      <c r="B456" s="42" t="s">
        <v>16672</v>
      </c>
      <c r="C456" s="42" t="s">
        <v>16671</v>
      </c>
      <c r="D456" s="43" t="str">
        <f t="shared" si="14"/>
        <v>2022.007S.Flaviviridae_1genren_sprenamed.zip</v>
      </c>
    </row>
    <row r="457" spans="1:4">
      <c r="A457" s="24" t="s">
        <v>14822</v>
      </c>
      <c r="B457" s="42" t="s">
        <v>16670</v>
      </c>
      <c r="C457" s="42" t="s">
        <v>16669</v>
      </c>
      <c r="D457" s="43" t="str">
        <f t="shared" si="14"/>
        <v>2022.007S.Flaviviridae_1genren_sprenamed.zip</v>
      </c>
    </row>
    <row r="458" spans="1:4">
      <c r="A458" s="24" t="s">
        <v>14822</v>
      </c>
      <c r="B458" s="42" t="s">
        <v>16668</v>
      </c>
      <c r="C458" s="42" t="s">
        <v>16667</v>
      </c>
      <c r="D458" s="43" t="str">
        <f t="shared" si="14"/>
        <v>2022.007S.Flaviviridae_1genren_sprenamed.zip</v>
      </c>
    </row>
    <row r="459" spans="1:4">
      <c r="A459" s="24" t="s">
        <v>14822</v>
      </c>
      <c r="B459" s="42" t="s">
        <v>16664</v>
      </c>
      <c r="C459" s="42" t="s">
        <v>16663</v>
      </c>
      <c r="D459" s="43" t="str">
        <f t="shared" si="14"/>
        <v>2022.007S.Flaviviridae_1genren_sprenamed.zip</v>
      </c>
    </row>
    <row r="460" spans="1:4">
      <c r="A460" s="24" t="s">
        <v>14822</v>
      </c>
      <c r="B460" s="42" t="s">
        <v>16662</v>
      </c>
      <c r="C460" s="42" t="s">
        <v>16661</v>
      </c>
      <c r="D460" s="43" t="str">
        <f t="shared" si="14"/>
        <v>2022.007S.Flaviviridae_1genren_sprenamed.zip</v>
      </c>
    </row>
    <row r="461" spans="1:4">
      <c r="A461" s="24" t="s">
        <v>14822</v>
      </c>
      <c r="B461" s="42" t="s">
        <v>16658</v>
      </c>
      <c r="C461" s="42" t="s">
        <v>16657</v>
      </c>
      <c r="D461" s="43" t="str">
        <f t="shared" ref="D461:D492" si="15">HYPERLINK("https://ictv.global/ictv/proposals/2022.007S.Flaviviridae_1genren_sprenamed.zip","2022.007S.Flaviviridae_1genren_sprenamed.zip")</f>
        <v>2022.007S.Flaviviridae_1genren_sprenamed.zip</v>
      </c>
    </row>
    <row r="462" spans="1:4">
      <c r="A462" s="24" t="s">
        <v>14822</v>
      </c>
      <c r="B462" s="42" t="s">
        <v>16656</v>
      </c>
      <c r="C462" s="42" t="s">
        <v>16655</v>
      </c>
      <c r="D462" s="43" t="str">
        <f t="shared" si="15"/>
        <v>2022.007S.Flaviviridae_1genren_sprenamed.zip</v>
      </c>
    </row>
    <row r="463" spans="1:4">
      <c r="A463" s="24" t="s">
        <v>14822</v>
      </c>
      <c r="B463" s="42" t="s">
        <v>16724</v>
      </c>
      <c r="C463" s="42" t="s">
        <v>16723</v>
      </c>
      <c r="D463" s="43" t="str">
        <f t="shared" si="15"/>
        <v>2022.007S.Flaviviridae_1genren_sprenamed.zip</v>
      </c>
    </row>
    <row r="464" spans="1:4">
      <c r="A464" s="24" t="s">
        <v>14822</v>
      </c>
      <c r="B464" s="42" t="s">
        <v>16654</v>
      </c>
      <c r="C464" s="42" t="s">
        <v>16653</v>
      </c>
      <c r="D464" s="43" t="str">
        <f t="shared" si="15"/>
        <v>2022.007S.Flaviviridae_1genren_sprenamed.zip</v>
      </c>
    </row>
    <row r="465" spans="1:4">
      <c r="A465" s="24" t="s">
        <v>14822</v>
      </c>
      <c r="B465" s="42" t="s">
        <v>16652</v>
      </c>
      <c r="C465" s="42" t="s">
        <v>16651</v>
      </c>
      <c r="D465" s="43" t="str">
        <f t="shared" si="15"/>
        <v>2022.007S.Flaviviridae_1genren_sprenamed.zip</v>
      </c>
    </row>
    <row r="466" spans="1:4">
      <c r="A466" s="24" t="s">
        <v>14822</v>
      </c>
      <c r="B466" s="42" t="s">
        <v>16678</v>
      </c>
      <c r="C466" s="42" t="s">
        <v>16677</v>
      </c>
      <c r="D466" s="43" t="str">
        <f t="shared" si="15"/>
        <v>2022.007S.Flaviviridae_1genren_sprenamed.zip</v>
      </c>
    </row>
    <row r="467" spans="1:4">
      <c r="A467" s="24" t="s">
        <v>14822</v>
      </c>
      <c r="B467" s="42" t="s">
        <v>16638</v>
      </c>
      <c r="C467" s="42" t="s">
        <v>16637</v>
      </c>
      <c r="D467" s="43" t="str">
        <f t="shared" si="15"/>
        <v>2022.007S.Flaviviridae_1genren_sprenamed.zip</v>
      </c>
    </row>
    <row r="468" spans="1:4">
      <c r="A468" s="24" t="s">
        <v>14822</v>
      </c>
      <c r="B468" s="42" t="s">
        <v>16660</v>
      </c>
      <c r="C468" s="42" t="s">
        <v>16659</v>
      </c>
      <c r="D468" s="43" t="str">
        <f t="shared" si="15"/>
        <v>2022.007S.Flaviviridae_1genren_sprenamed.zip</v>
      </c>
    </row>
    <row r="469" spans="1:4">
      <c r="A469" s="24" t="s">
        <v>14822</v>
      </c>
      <c r="B469" s="42" t="s">
        <v>16650</v>
      </c>
      <c r="C469" s="42" t="s">
        <v>16649</v>
      </c>
      <c r="D469" s="43" t="str">
        <f t="shared" si="15"/>
        <v>2022.007S.Flaviviridae_1genren_sprenamed.zip</v>
      </c>
    </row>
    <row r="470" spans="1:4">
      <c r="A470" s="24" t="s">
        <v>14822</v>
      </c>
      <c r="B470" s="42" t="s">
        <v>16648</v>
      </c>
      <c r="C470" s="42" t="s">
        <v>16647</v>
      </c>
      <c r="D470" s="43" t="str">
        <f t="shared" si="15"/>
        <v>2022.007S.Flaviviridae_1genren_sprenamed.zip</v>
      </c>
    </row>
    <row r="471" spans="1:4">
      <c r="A471" s="24" t="s">
        <v>14822</v>
      </c>
      <c r="B471" s="42" t="s">
        <v>16646</v>
      </c>
      <c r="C471" s="42" t="s">
        <v>16645</v>
      </c>
      <c r="D471" s="43" t="str">
        <f t="shared" si="15"/>
        <v>2022.007S.Flaviviridae_1genren_sprenamed.zip</v>
      </c>
    </row>
    <row r="472" spans="1:4">
      <c r="A472" s="24" t="s">
        <v>14822</v>
      </c>
      <c r="B472" s="42" t="s">
        <v>16708</v>
      </c>
      <c r="C472" s="42" t="s">
        <v>16707</v>
      </c>
      <c r="D472" s="43" t="str">
        <f t="shared" si="15"/>
        <v>2022.007S.Flaviviridae_1genren_sprenamed.zip</v>
      </c>
    </row>
    <row r="473" spans="1:4">
      <c r="A473" s="24" t="s">
        <v>14822</v>
      </c>
      <c r="B473" s="42" t="s">
        <v>16644</v>
      </c>
      <c r="C473" s="42" t="s">
        <v>16643</v>
      </c>
      <c r="D473" s="43" t="str">
        <f t="shared" si="15"/>
        <v>2022.007S.Flaviviridae_1genren_sprenamed.zip</v>
      </c>
    </row>
    <row r="474" spans="1:4">
      <c r="A474" s="24" t="s">
        <v>14822</v>
      </c>
      <c r="B474" s="42" t="s">
        <v>16642</v>
      </c>
      <c r="C474" s="42" t="s">
        <v>16641</v>
      </c>
      <c r="D474" s="43" t="str">
        <f t="shared" si="15"/>
        <v>2022.007S.Flaviviridae_1genren_sprenamed.zip</v>
      </c>
    </row>
    <row r="475" spans="1:4">
      <c r="A475" s="24" t="s">
        <v>14822</v>
      </c>
      <c r="B475" s="42" t="s">
        <v>16640</v>
      </c>
      <c r="C475" s="42" t="s">
        <v>16639</v>
      </c>
      <c r="D475" s="43" t="str">
        <f t="shared" si="15"/>
        <v>2022.007S.Flaviviridae_1genren_sprenamed.zip</v>
      </c>
    </row>
    <row r="476" spans="1:4">
      <c r="A476" s="24" t="s">
        <v>14822</v>
      </c>
      <c r="B476" s="42" t="s">
        <v>16636</v>
      </c>
      <c r="C476" s="42" t="s">
        <v>16635</v>
      </c>
      <c r="D476" s="43" t="str">
        <f t="shared" si="15"/>
        <v>2022.007S.Flaviviridae_1genren_sprenamed.zip</v>
      </c>
    </row>
    <row r="477" spans="1:4">
      <c r="A477" s="24" t="s">
        <v>14822</v>
      </c>
      <c r="B477" s="42" t="s">
        <v>16666</v>
      </c>
      <c r="C477" s="42" t="s">
        <v>16665</v>
      </c>
      <c r="D477" s="43" t="str">
        <f t="shared" si="15"/>
        <v>2022.007S.Flaviviridae_1genren_sprenamed.zip</v>
      </c>
    </row>
    <row r="478" spans="1:4">
      <c r="A478" s="24" t="s">
        <v>14822</v>
      </c>
      <c r="B478" s="42" t="s">
        <v>16634</v>
      </c>
      <c r="C478" s="42" t="s">
        <v>16633</v>
      </c>
      <c r="D478" s="43" t="str">
        <f t="shared" si="15"/>
        <v>2022.007S.Flaviviridae_1genren_sprenamed.zip</v>
      </c>
    </row>
    <row r="479" spans="1:4">
      <c r="A479" s="24" t="s">
        <v>14822</v>
      </c>
      <c r="B479" s="42" t="s">
        <v>16704</v>
      </c>
      <c r="C479" s="42" t="s">
        <v>16703</v>
      </c>
      <c r="D479" s="43" t="str">
        <f t="shared" si="15"/>
        <v>2022.007S.Flaviviridae_1genren_sprenamed.zip</v>
      </c>
    </row>
    <row r="480" spans="1:4">
      <c r="A480" s="24" t="s">
        <v>14822</v>
      </c>
      <c r="B480" s="42" t="s">
        <v>16632</v>
      </c>
      <c r="C480" s="42" t="s">
        <v>16631</v>
      </c>
      <c r="D480" s="43" t="str">
        <f t="shared" si="15"/>
        <v>2022.007S.Flaviviridae_1genren_sprenamed.zip</v>
      </c>
    </row>
    <row r="481" spans="1:4">
      <c r="A481" s="24" t="s">
        <v>14822</v>
      </c>
      <c r="B481" s="42" t="s">
        <v>16630</v>
      </c>
      <c r="C481" s="42" t="s">
        <v>16629</v>
      </c>
      <c r="D481" s="43" t="str">
        <f t="shared" si="15"/>
        <v>2022.007S.Flaviviridae_1genren_sprenamed.zip</v>
      </c>
    </row>
    <row r="482" spans="1:4">
      <c r="A482" s="24" t="s">
        <v>14822</v>
      </c>
      <c r="B482" s="42" t="s">
        <v>16758</v>
      </c>
      <c r="C482" s="42" t="s">
        <v>16757</v>
      </c>
      <c r="D482" s="43" t="str">
        <f t="shared" si="15"/>
        <v>2022.007S.Flaviviridae_1genren_sprenamed.zip</v>
      </c>
    </row>
    <row r="483" spans="1:4">
      <c r="A483" s="24" t="s">
        <v>14822</v>
      </c>
      <c r="B483" s="42" t="s">
        <v>16742</v>
      </c>
      <c r="C483" s="42" t="s">
        <v>16741</v>
      </c>
      <c r="D483" s="43" t="str">
        <f t="shared" si="15"/>
        <v>2022.007S.Flaviviridae_1genren_sprenamed.zip</v>
      </c>
    </row>
    <row r="484" spans="1:4">
      <c r="A484" s="24" t="s">
        <v>14822</v>
      </c>
      <c r="B484" s="42" t="s">
        <v>16754</v>
      </c>
      <c r="C484" s="42" t="s">
        <v>16753</v>
      </c>
      <c r="D484" s="43" t="str">
        <f t="shared" si="15"/>
        <v>2022.007S.Flaviviridae_1genren_sprenamed.zip</v>
      </c>
    </row>
    <row r="485" spans="1:4">
      <c r="A485" s="24" t="s">
        <v>14822</v>
      </c>
      <c r="B485" s="42" t="s">
        <v>16760</v>
      </c>
      <c r="C485" s="42" t="s">
        <v>16759</v>
      </c>
      <c r="D485" s="43" t="str">
        <f t="shared" si="15"/>
        <v>2022.007S.Flaviviridae_1genren_sprenamed.zip</v>
      </c>
    </row>
    <row r="486" spans="1:4">
      <c r="A486" s="24" t="s">
        <v>14822</v>
      </c>
      <c r="B486" s="42" t="s">
        <v>16744</v>
      </c>
      <c r="C486" s="42" t="s">
        <v>16743</v>
      </c>
      <c r="D486" s="43" t="str">
        <f t="shared" si="15"/>
        <v>2022.007S.Flaviviridae_1genren_sprenamed.zip</v>
      </c>
    </row>
    <row r="487" spans="1:4">
      <c r="A487" s="24" t="s">
        <v>14822</v>
      </c>
      <c r="B487" s="42" t="s">
        <v>16750</v>
      </c>
      <c r="C487" s="42" t="s">
        <v>16749</v>
      </c>
      <c r="D487" s="43" t="str">
        <f t="shared" si="15"/>
        <v>2022.007S.Flaviviridae_1genren_sprenamed.zip</v>
      </c>
    </row>
    <row r="488" spans="1:4">
      <c r="A488" s="24" t="s">
        <v>14822</v>
      </c>
      <c r="B488" s="42" t="s">
        <v>16740</v>
      </c>
      <c r="C488" s="42" t="s">
        <v>16739</v>
      </c>
      <c r="D488" s="43" t="str">
        <f t="shared" si="15"/>
        <v>2022.007S.Flaviviridae_1genren_sprenamed.zip</v>
      </c>
    </row>
    <row r="489" spans="1:4">
      <c r="A489" s="24" t="s">
        <v>14822</v>
      </c>
      <c r="B489" s="42" t="s">
        <v>16748</v>
      </c>
      <c r="C489" s="42" t="s">
        <v>16747</v>
      </c>
      <c r="D489" s="43" t="str">
        <f t="shared" si="15"/>
        <v>2022.007S.Flaviviridae_1genren_sprenamed.zip</v>
      </c>
    </row>
    <row r="490" spans="1:4">
      <c r="A490" s="24" t="s">
        <v>14822</v>
      </c>
      <c r="B490" s="42" t="s">
        <v>16738</v>
      </c>
      <c r="C490" s="42" t="s">
        <v>16737</v>
      </c>
      <c r="D490" s="43" t="str">
        <f t="shared" si="15"/>
        <v>2022.007S.Flaviviridae_1genren_sprenamed.zip</v>
      </c>
    </row>
    <row r="491" spans="1:4">
      <c r="A491" s="24" t="s">
        <v>14822</v>
      </c>
      <c r="B491" s="42" t="s">
        <v>16756</v>
      </c>
      <c r="C491" s="42" t="s">
        <v>16755</v>
      </c>
      <c r="D491" s="43" t="str">
        <f t="shared" si="15"/>
        <v>2022.007S.Flaviviridae_1genren_sprenamed.zip</v>
      </c>
    </row>
    <row r="492" spans="1:4">
      <c r="A492" s="24" t="s">
        <v>14822</v>
      </c>
      <c r="B492" s="42" t="s">
        <v>16752</v>
      </c>
      <c r="C492" s="42" t="s">
        <v>16751</v>
      </c>
      <c r="D492" s="43" t="str">
        <f t="shared" si="15"/>
        <v>2022.007S.Flaviviridae_1genren_sprenamed.zip</v>
      </c>
    </row>
    <row r="493" spans="1:4">
      <c r="A493" s="24" t="s">
        <v>14822</v>
      </c>
      <c r="B493" s="42" t="s">
        <v>16736</v>
      </c>
      <c r="C493" s="42" t="s">
        <v>16735</v>
      </c>
      <c r="D493" s="43" t="str">
        <f t="shared" ref="D493:D517" si="16">HYPERLINK("https://ictv.global/ictv/proposals/2022.007S.Flaviviridae_1genren_sprenamed.zip","2022.007S.Flaviviridae_1genren_sprenamed.zip")</f>
        <v>2022.007S.Flaviviridae_1genren_sprenamed.zip</v>
      </c>
    </row>
    <row r="494" spans="1:4">
      <c r="A494" s="24" t="s">
        <v>14822</v>
      </c>
      <c r="B494" s="42" t="s">
        <v>16746</v>
      </c>
      <c r="C494" s="42" t="s">
        <v>16745</v>
      </c>
      <c r="D494" s="43" t="str">
        <f t="shared" si="16"/>
        <v>2022.007S.Flaviviridae_1genren_sprenamed.zip</v>
      </c>
    </row>
    <row r="495" spans="1:4">
      <c r="A495" s="24" t="s">
        <v>14822</v>
      </c>
      <c r="B495" s="42" t="s">
        <v>16762</v>
      </c>
      <c r="C495" s="42" t="s">
        <v>16761</v>
      </c>
      <c r="D495" s="43" t="str">
        <f t="shared" si="16"/>
        <v>2022.007S.Flaviviridae_1genren_sprenamed.zip</v>
      </c>
    </row>
    <row r="496" spans="1:4">
      <c r="A496" s="24" t="s">
        <v>14822</v>
      </c>
      <c r="B496" s="42" t="s">
        <v>16616</v>
      </c>
      <c r="C496" s="42" t="s">
        <v>16615</v>
      </c>
      <c r="D496" s="43" t="str">
        <f t="shared" si="16"/>
        <v>2022.007S.Flaviviridae_1genren_sprenamed.zip</v>
      </c>
    </row>
    <row r="497" spans="1:4">
      <c r="A497" s="24" t="s">
        <v>14822</v>
      </c>
      <c r="B497" s="42" t="s">
        <v>16614</v>
      </c>
      <c r="C497" s="42" t="s">
        <v>16613</v>
      </c>
      <c r="D497" s="43" t="str">
        <f t="shared" si="16"/>
        <v>2022.007S.Flaviviridae_1genren_sprenamed.zip</v>
      </c>
    </row>
    <row r="498" spans="1:4">
      <c r="A498" s="24" t="s">
        <v>14822</v>
      </c>
      <c r="B498" s="42" t="s">
        <v>16620</v>
      </c>
      <c r="C498" s="42" t="s">
        <v>16619</v>
      </c>
      <c r="D498" s="43" t="str">
        <f t="shared" si="16"/>
        <v>2022.007S.Flaviviridae_1genren_sprenamed.zip</v>
      </c>
    </row>
    <row r="499" spans="1:4">
      <c r="A499" s="24" t="s">
        <v>14822</v>
      </c>
      <c r="B499" s="42" t="s">
        <v>16622</v>
      </c>
      <c r="C499" s="42" t="s">
        <v>16621</v>
      </c>
      <c r="D499" s="43" t="str">
        <f t="shared" si="16"/>
        <v>2022.007S.Flaviviridae_1genren_sprenamed.zip</v>
      </c>
    </row>
    <row r="500" spans="1:4">
      <c r="A500" s="24" t="s">
        <v>14822</v>
      </c>
      <c r="B500" s="42" t="s">
        <v>16628</v>
      </c>
      <c r="C500" s="42" t="s">
        <v>16627</v>
      </c>
      <c r="D500" s="43" t="str">
        <f t="shared" si="16"/>
        <v>2022.007S.Flaviviridae_1genren_sprenamed.zip</v>
      </c>
    </row>
    <row r="501" spans="1:4">
      <c r="A501" s="24" t="s">
        <v>14822</v>
      </c>
      <c r="B501" s="42" t="s">
        <v>16626</v>
      </c>
      <c r="C501" s="42" t="s">
        <v>16625</v>
      </c>
      <c r="D501" s="43" t="str">
        <f t="shared" si="16"/>
        <v>2022.007S.Flaviviridae_1genren_sprenamed.zip</v>
      </c>
    </row>
    <row r="502" spans="1:4">
      <c r="A502" s="24" t="s">
        <v>14822</v>
      </c>
      <c r="B502" s="42" t="s">
        <v>16612</v>
      </c>
      <c r="C502" s="42" t="s">
        <v>16611</v>
      </c>
      <c r="D502" s="43" t="str">
        <f t="shared" si="16"/>
        <v>2022.007S.Flaviviridae_1genren_sprenamed.zip</v>
      </c>
    </row>
    <row r="503" spans="1:4">
      <c r="A503" s="24" t="s">
        <v>14822</v>
      </c>
      <c r="B503" s="42" t="s">
        <v>16624</v>
      </c>
      <c r="C503" s="42" t="s">
        <v>16623</v>
      </c>
      <c r="D503" s="43" t="str">
        <f t="shared" si="16"/>
        <v>2022.007S.Flaviviridae_1genren_sprenamed.zip</v>
      </c>
    </row>
    <row r="504" spans="1:4">
      <c r="A504" s="24" t="s">
        <v>14822</v>
      </c>
      <c r="B504" s="42" t="s">
        <v>16610</v>
      </c>
      <c r="C504" s="42" t="s">
        <v>16609</v>
      </c>
      <c r="D504" s="43" t="str">
        <f t="shared" si="16"/>
        <v>2022.007S.Flaviviridae_1genren_sprenamed.zip</v>
      </c>
    </row>
    <row r="505" spans="1:4">
      <c r="A505" s="24" t="s">
        <v>14822</v>
      </c>
      <c r="B505" s="42" t="s">
        <v>16618</v>
      </c>
      <c r="C505" s="42" t="s">
        <v>16617</v>
      </c>
      <c r="D505" s="43" t="str">
        <f t="shared" si="16"/>
        <v>2022.007S.Flaviviridae_1genren_sprenamed.zip</v>
      </c>
    </row>
    <row r="506" spans="1:4">
      <c r="A506" s="24" t="s">
        <v>14822</v>
      </c>
      <c r="B506" s="42" t="s">
        <v>16608</v>
      </c>
      <c r="C506" s="42" t="s">
        <v>16607</v>
      </c>
      <c r="D506" s="43" t="str">
        <f t="shared" si="16"/>
        <v>2022.007S.Flaviviridae_1genren_sprenamed.zip</v>
      </c>
    </row>
    <row r="507" spans="1:4">
      <c r="A507" s="24" t="s">
        <v>14822</v>
      </c>
      <c r="B507" s="42" t="s">
        <v>16600</v>
      </c>
      <c r="C507" s="42" t="s">
        <v>16599</v>
      </c>
      <c r="D507" s="43" t="str">
        <f t="shared" si="16"/>
        <v>2022.007S.Flaviviridae_1genren_sprenamed.zip</v>
      </c>
    </row>
    <row r="508" spans="1:4">
      <c r="A508" s="24" t="s">
        <v>14822</v>
      </c>
      <c r="B508" s="42" t="s">
        <v>16586</v>
      </c>
      <c r="C508" s="42" t="s">
        <v>16585</v>
      </c>
      <c r="D508" s="43" t="str">
        <f t="shared" si="16"/>
        <v>2022.007S.Flaviviridae_1genren_sprenamed.zip</v>
      </c>
    </row>
    <row r="509" spans="1:4">
      <c r="A509" s="24" t="s">
        <v>14822</v>
      </c>
      <c r="B509" s="42" t="s">
        <v>16588</v>
      </c>
      <c r="C509" s="42" t="s">
        <v>16587</v>
      </c>
      <c r="D509" s="43" t="str">
        <f t="shared" si="16"/>
        <v>2022.007S.Flaviviridae_1genren_sprenamed.zip</v>
      </c>
    </row>
    <row r="510" spans="1:4">
      <c r="A510" s="24" t="s">
        <v>14822</v>
      </c>
      <c r="B510" s="42" t="s">
        <v>16594</v>
      </c>
      <c r="C510" s="42" t="s">
        <v>16593</v>
      </c>
      <c r="D510" s="43" t="str">
        <f t="shared" si="16"/>
        <v>2022.007S.Flaviviridae_1genren_sprenamed.zip</v>
      </c>
    </row>
    <row r="511" spans="1:4">
      <c r="A511" s="24" t="s">
        <v>14822</v>
      </c>
      <c r="B511" s="42" t="s">
        <v>16606</v>
      </c>
      <c r="C511" s="42" t="s">
        <v>16605</v>
      </c>
      <c r="D511" s="43" t="str">
        <f t="shared" si="16"/>
        <v>2022.007S.Flaviviridae_1genren_sprenamed.zip</v>
      </c>
    </row>
    <row r="512" spans="1:4">
      <c r="A512" s="24" t="s">
        <v>14822</v>
      </c>
      <c r="B512" s="42" t="s">
        <v>16604</v>
      </c>
      <c r="C512" s="42" t="s">
        <v>16603</v>
      </c>
      <c r="D512" s="43" t="str">
        <f t="shared" si="16"/>
        <v>2022.007S.Flaviviridae_1genren_sprenamed.zip</v>
      </c>
    </row>
    <row r="513" spans="1:4">
      <c r="A513" s="24" t="s">
        <v>14822</v>
      </c>
      <c r="B513" s="42" t="s">
        <v>16596</v>
      </c>
      <c r="C513" s="42" t="s">
        <v>16595</v>
      </c>
      <c r="D513" s="43" t="str">
        <f t="shared" si="16"/>
        <v>2022.007S.Flaviviridae_1genren_sprenamed.zip</v>
      </c>
    </row>
    <row r="514" spans="1:4">
      <c r="A514" s="24" t="s">
        <v>14822</v>
      </c>
      <c r="B514" s="42" t="s">
        <v>16598</v>
      </c>
      <c r="C514" s="42" t="s">
        <v>16597</v>
      </c>
      <c r="D514" s="43" t="str">
        <f t="shared" si="16"/>
        <v>2022.007S.Flaviviridae_1genren_sprenamed.zip</v>
      </c>
    </row>
    <row r="515" spans="1:4">
      <c r="A515" s="24" t="s">
        <v>14822</v>
      </c>
      <c r="B515" s="42" t="s">
        <v>16602</v>
      </c>
      <c r="C515" s="42" t="s">
        <v>16601</v>
      </c>
      <c r="D515" s="43" t="str">
        <f t="shared" si="16"/>
        <v>2022.007S.Flaviviridae_1genren_sprenamed.zip</v>
      </c>
    </row>
    <row r="516" spans="1:4">
      <c r="A516" s="24" t="s">
        <v>14822</v>
      </c>
      <c r="B516" s="42" t="s">
        <v>16592</v>
      </c>
      <c r="C516" s="42" t="s">
        <v>16591</v>
      </c>
      <c r="D516" s="43" t="str">
        <f t="shared" si="16"/>
        <v>2022.007S.Flaviviridae_1genren_sprenamed.zip</v>
      </c>
    </row>
    <row r="517" spans="1:4">
      <c r="A517" s="24" t="s">
        <v>14822</v>
      </c>
      <c r="B517" s="42" t="s">
        <v>16590</v>
      </c>
      <c r="C517" s="42" t="s">
        <v>16589</v>
      </c>
      <c r="D517" s="43" t="str">
        <f t="shared" si="16"/>
        <v>2022.007S.Flaviviridae_1genren_sprenamed.zip</v>
      </c>
    </row>
    <row r="518" spans="1:4">
      <c r="A518" s="24" t="s">
        <v>14822</v>
      </c>
      <c r="B518" s="42" t="s">
        <v>16582</v>
      </c>
      <c r="C518" s="42" t="s">
        <v>16581</v>
      </c>
      <c r="D518" s="43" t="str">
        <f t="shared" ref="D518:D549" si="17">HYPERLINK("https://ictv.global/ictv/proposals/2022.015P.Tombusviridae_rename.zip","2022.015P.Tombusviridae_rename.zip")</f>
        <v>2022.015P.Tombusviridae_rename.zip</v>
      </c>
    </row>
    <row r="519" spans="1:4">
      <c r="A519" s="24" t="s">
        <v>14822</v>
      </c>
      <c r="B519" s="42" t="s">
        <v>16574</v>
      </c>
      <c r="C519" s="42" t="s">
        <v>16573</v>
      </c>
      <c r="D519" s="43" t="str">
        <f t="shared" si="17"/>
        <v>2022.015P.Tombusviridae_rename.zip</v>
      </c>
    </row>
    <row r="520" spans="1:4">
      <c r="A520" s="24" t="s">
        <v>14822</v>
      </c>
      <c r="B520" s="42" t="s">
        <v>16580</v>
      </c>
      <c r="C520" s="42" t="s">
        <v>16579</v>
      </c>
      <c r="D520" s="43" t="str">
        <f t="shared" si="17"/>
        <v>2022.015P.Tombusviridae_rename.zip</v>
      </c>
    </row>
    <row r="521" spans="1:4">
      <c r="A521" s="24" t="s">
        <v>14822</v>
      </c>
      <c r="B521" s="42" t="s">
        <v>16584</v>
      </c>
      <c r="C521" s="42" t="s">
        <v>16583</v>
      </c>
      <c r="D521" s="43" t="str">
        <f t="shared" si="17"/>
        <v>2022.015P.Tombusviridae_rename.zip</v>
      </c>
    </row>
    <row r="522" spans="1:4">
      <c r="A522" s="24" t="s">
        <v>14822</v>
      </c>
      <c r="B522" s="42" t="s">
        <v>16578</v>
      </c>
      <c r="C522" s="42" t="s">
        <v>16577</v>
      </c>
      <c r="D522" s="43" t="str">
        <f t="shared" si="17"/>
        <v>2022.015P.Tombusviridae_rename.zip</v>
      </c>
    </row>
    <row r="523" spans="1:4">
      <c r="A523" s="24" t="s">
        <v>14822</v>
      </c>
      <c r="B523" s="42" t="s">
        <v>16576</v>
      </c>
      <c r="C523" s="42" t="s">
        <v>16575</v>
      </c>
      <c r="D523" s="43" t="str">
        <f t="shared" si="17"/>
        <v>2022.015P.Tombusviridae_rename.zip</v>
      </c>
    </row>
    <row r="524" spans="1:4">
      <c r="A524" s="24" t="s">
        <v>14822</v>
      </c>
      <c r="B524" s="42" t="s">
        <v>16568</v>
      </c>
      <c r="C524" s="42" t="s">
        <v>16567</v>
      </c>
      <c r="D524" s="43" t="str">
        <f t="shared" si="17"/>
        <v>2022.015P.Tombusviridae_rename.zip</v>
      </c>
    </row>
    <row r="525" spans="1:4">
      <c r="A525" s="24" t="s">
        <v>14822</v>
      </c>
      <c r="B525" s="42" t="s">
        <v>16566</v>
      </c>
      <c r="C525" s="42" t="s">
        <v>16565</v>
      </c>
      <c r="D525" s="43" t="str">
        <f t="shared" si="17"/>
        <v>2022.015P.Tombusviridae_rename.zip</v>
      </c>
    </row>
    <row r="526" spans="1:4">
      <c r="A526" s="24" t="s">
        <v>14822</v>
      </c>
      <c r="B526" s="42" t="s">
        <v>16564</v>
      </c>
      <c r="C526" s="42" t="s">
        <v>16563</v>
      </c>
      <c r="D526" s="43" t="str">
        <f t="shared" si="17"/>
        <v>2022.015P.Tombusviridae_rename.zip</v>
      </c>
    </row>
    <row r="527" spans="1:4">
      <c r="A527" s="24" t="s">
        <v>14822</v>
      </c>
      <c r="B527" s="42" t="s">
        <v>16570</v>
      </c>
      <c r="C527" s="42" t="s">
        <v>16569</v>
      </c>
      <c r="D527" s="43" t="str">
        <f t="shared" si="17"/>
        <v>2022.015P.Tombusviridae_rename.zip</v>
      </c>
    </row>
    <row r="528" spans="1:4">
      <c r="A528" s="24" t="s">
        <v>14822</v>
      </c>
      <c r="B528" s="42" t="s">
        <v>16572</v>
      </c>
      <c r="C528" s="42" t="s">
        <v>16571</v>
      </c>
      <c r="D528" s="43" t="str">
        <f t="shared" si="17"/>
        <v>2022.015P.Tombusviridae_rename.zip</v>
      </c>
    </row>
    <row r="529" spans="1:4">
      <c r="A529" s="24" t="s">
        <v>14822</v>
      </c>
      <c r="B529" s="42" t="s">
        <v>16562</v>
      </c>
      <c r="C529" s="42" t="s">
        <v>16561</v>
      </c>
      <c r="D529" s="43" t="str">
        <f t="shared" si="17"/>
        <v>2022.015P.Tombusviridae_rename.zip</v>
      </c>
    </row>
    <row r="530" spans="1:4">
      <c r="A530" s="24" t="s">
        <v>14822</v>
      </c>
      <c r="B530" s="42" t="s">
        <v>16560</v>
      </c>
      <c r="C530" s="42" t="s">
        <v>16559</v>
      </c>
      <c r="D530" s="43" t="str">
        <f t="shared" si="17"/>
        <v>2022.015P.Tombusviridae_rename.zip</v>
      </c>
    </row>
    <row r="531" spans="1:4">
      <c r="A531" s="24" t="s">
        <v>14822</v>
      </c>
      <c r="B531" s="42" t="s">
        <v>16556</v>
      </c>
      <c r="C531" s="42" t="s">
        <v>16555</v>
      </c>
      <c r="D531" s="43" t="str">
        <f t="shared" si="17"/>
        <v>2022.015P.Tombusviridae_rename.zip</v>
      </c>
    </row>
    <row r="532" spans="1:4">
      <c r="A532" s="24" t="s">
        <v>14822</v>
      </c>
      <c r="B532" s="42" t="s">
        <v>16554</v>
      </c>
      <c r="C532" s="42" t="s">
        <v>16553</v>
      </c>
      <c r="D532" s="43" t="str">
        <f t="shared" si="17"/>
        <v>2022.015P.Tombusviridae_rename.zip</v>
      </c>
    </row>
    <row r="533" spans="1:4">
      <c r="A533" s="24" t="s">
        <v>14822</v>
      </c>
      <c r="B533" s="42" t="s">
        <v>16552</v>
      </c>
      <c r="C533" s="42" t="s">
        <v>16551</v>
      </c>
      <c r="D533" s="43" t="str">
        <f t="shared" si="17"/>
        <v>2022.015P.Tombusviridae_rename.zip</v>
      </c>
    </row>
    <row r="534" spans="1:4">
      <c r="A534" s="24" t="s">
        <v>14822</v>
      </c>
      <c r="B534" s="42" t="s">
        <v>16550</v>
      </c>
      <c r="C534" s="42" t="s">
        <v>16549</v>
      </c>
      <c r="D534" s="43" t="str">
        <f t="shared" si="17"/>
        <v>2022.015P.Tombusviridae_rename.zip</v>
      </c>
    </row>
    <row r="535" spans="1:4">
      <c r="A535" s="24" t="s">
        <v>14822</v>
      </c>
      <c r="B535" s="42" t="s">
        <v>16548</v>
      </c>
      <c r="C535" s="42" t="s">
        <v>16547</v>
      </c>
      <c r="D535" s="43" t="str">
        <f t="shared" si="17"/>
        <v>2022.015P.Tombusviridae_rename.zip</v>
      </c>
    </row>
    <row r="536" spans="1:4">
      <c r="A536" s="24" t="s">
        <v>14822</v>
      </c>
      <c r="B536" s="42" t="s">
        <v>16558</v>
      </c>
      <c r="C536" s="42" t="s">
        <v>16557</v>
      </c>
      <c r="D536" s="43" t="str">
        <f t="shared" si="17"/>
        <v>2022.015P.Tombusviridae_rename.zip</v>
      </c>
    </row>
    <row r="537" spans="1:4">
      <c r="A537" s="24" t="s">
        <v>14822</v>
      </c>
      <c r="B537" s="42" t="s">
        <v>16544</v>
      </c>
      <c r="C537" s="42" t="s">
        <v>16543</v>
      </c>
      <c r="D537" s="43" t="str">
        <f t="shared" si="17"/>
        <v>2022.015P.Tombusviridae_rename.zip</v>
      </c>
    </row>
    <row r="538" spans="1:4">
      <c r="A538" s="24" t="s">
        <v>14822</v>
      </c>
      <c r="B538" s="42" t="s">
        <v>16540</v>
      </c>
      <c r="C538" s="42" t="s">
        <v>16539</v>
      </c>
      <c r="D538" s="43" t="str">
        <f t="shared" si="17"/>
        <v>2022.015P.Tombusviridae_rename.zip</v>
      </c>
    </row>
    <row r="539" spans="1:4">
      <c r="A539" s="24" t="s">
        <v>14822</v>
      </c>
      <c r="B539" s="42" t="s">
        <v>16542</v>
      </c>
      <c r="C539" s="42" t="s">
        <v>16541</v>
      </c>
      <c r="D539" s="43" t="str">
        <f t="shared" si="17"/>
        <v>2022.015P.Tombusviridae_rename.zip</v>
      </c>
    </row>
    <row r="540" spans="1:4">
      <c r="A540" s="24" t="s">
        <v>14822</v>
      </c>
      <c r="B540" s="42" t="s">
        <v>16546</v>
      </c>
      <c r="C540" s="42" t="s">
        <v>16545</v>
      </c>
      <c r="D540" s="43" t="str">
        <f t="shared" si="17"/>
        <v>2022.015P.Tombusviridae_rename.zip</v>
      </c>
    </row>
    <row r="541" spans="1:4">
      <c r="A541" s="24" t="s">
        <v>14822</v>
      </c>
      <c r="B541" s="42" t="s">
        <v>16536</v>
      </c>
      <c r="C541" s="42" t="s">
        <v>16535</v>
      </c>
      <c r="D541" s="43" t="str">
        <f t="shared" si="17"/>
        <v>2022.015P.Tombusviridae_rename.zip</v>
      </c>
    </row>
    <row r="542" spans="1:4">
      <c r="A542" s="24" t="s">
        <v>14822</v>
      </c>
      <c r="B542" s="42" t="s">
        <v>16532</v>
      </c>
      <c r="C542" s="42" t="s">
        <v>16531</v>
      </c>
      <c r="D542" s="43" t="str">
        <f t="shared" si="17"/>
        <v>2022.015P.Tombusviridae_rename.zip</v>
      </c>
    </row>
    <row r="543" spans="1:4">
      <c r="A543" s="24" t="s">
        <v>14822</v>
      </c>
      <c r="B543" s="42" t="s">
        <v>16530</v>
      </c>
      <c r="C543" s="42" t="s">
        <v>16529</v>
      </c>
      <c r="D543" s="43" t="str">
        <f t="shared" si="17"/>
        <v>2022.015P.Tombusviridae_rename.zip</v>
      </c>
    </row>
    <row r="544" spans="1:4">
      <c r="A544" s="24" t="s">
        <v>14822</v>
      </c>
      <c r="B544" s="42" t="s">
        <v>16528</v>
      </c>
      <c r="C544" s="42" t="s">
        <v>16527</v>
      </c>
      <c r="D544" s="43" t="str">
        <f t="shared" si="17"/>
        <v>2022.015P.Tombusviridae_rename.zip</v>
      </c>
    </row>
    <row r="545" spans="1:4">
      <c r="A545" s="24" t="s">
        <v>14822</v>
      </c>
      <c r="B545" s="42" t="s">
        <v>16538</v>
      </c>
      <c r="C545" s="42" t="s">
        <v>16537</v>
      </c>
      <c r="D545" s="43" t="str">
        <f t="shared" si="17"/>
        <v>2022.015P.Tombusviridae_rename.zip</v>
      </c>
    </row>
    <row r="546" spans="1:4">
      <c r="A546" s="24" t="s">
        <v>14822</v>
      </c>
      <c r="B546" s="42" t="s">
        <v>16534</v>
      </c>
      <c r="C546" s="42" t="s">
        <v>16533</v>
      </c>
      <c r="D546" s="43" t="str">
        <f t="shared" si="17"/>
        <v>2022.015P.Tombusviridae_rename.zip</v>
      </c>
    </row>
    <row r="547" spans="1:4">
      <c r="A547" s="24" t="s">
        <v>14822</v>
      </c>
      <c r="B547" s="42" t="s">
        <v>16526</v>
      </c>
      <c r="C547" s="42" t="s">
        <v>16525</v>
      </c>
      <c r="D547" s="43" t="str">
        <f t="shared" si="17"/>
        <v>2022.015P.Tombusviridae_rename.zip</v>
      </c>
    </row>
    <row r="548" spans="1:4">
      <c r="A548" s="24" t="s">
        <v>14822</v>
      </c>
      <c r="B548" s="42" t="s">
        <v>16522</v>
      </c>
      <c r="C548" s="42" t="s">
        <v>16521</v>
      </c>
      <c r="D548" s="43" t="str">
        <f t="shared" si="17"/>
        <v>2022.015P.Tombusviridae_rename.zip</v>
      </c>
    </row>
    <row r="549" spans="1:4">
      <c r="A549" s="24" t="s">
        <v>14822</v>
      </c>
      <c r="B549" s="42" t="s">
        <v>16520</v>
      </c>
      <c r="C549" s="42" t="s">
        <v>16519</v>
      </c>
      <c r="D549" s="43" t="str">
        <f t="shared" si="17"/>
        <v>2022.015P.Tombusviridae_rename.zip</v>
      </c>
    </row>
    <row r="550" spans="1:4">
      <c r="A550" s="24" t="s">
        <v>14822</v>
      </c>
      <c r="B550" s="42" t="s">
        <v>16518</v>
      </c>
      <c r="C550" s="42" t="s">
        <v>16517</v>
      </c>
      <c r="D550" s="43" t="str">
        <f t="shared" ref="D550:D581" si="18">HYPERLINK("https://ictv.global/ictv/proposals/2022.015P.Tombusviridae_rename.zip","2022.015P.Tombusviridae_rename.zip")</f>
        <v>2022.015P.Tombusviridae_rename.zip</v>
      </c>
    </row>
    <row r="551" spans="1:4">
      <c r="A551" s="24" t="s">
        <v>14822</v>
      </c>
      <c r="B551" s="42" t="s">
        <v>16524</v>
      </c>
      <c r="C551" s="42" t="s">
        <v>16523</v>
      </c>
      <c r="D551" s="43" t="str">
        <f t="shared" si="18"/>
        <v>2022.015P.Tombusviridae_rename.zip</v>
      </c>
    </row>
    <row r="552" spans="1:4">
      <c r="A552" s="24" t="s">
        <v>14822</v>
      </c>
      <c r="B552" s="42" t="s">
        <v>16516</v>
      </c>
      <c r="C552" s="42" t="s">
        <v>16515</v>
      </c>
      <c r="D552" s="43" t="str">
        <f t="shared" si="18"/>
        <v>2022.015P.Tombusviridae_rename.zip</v>
      </c>
    </row>
    <row r="553" spans="1:4">
      <c r="A553" s="24" t="s">
        <v>14822</v>
      </c>
      <c r="B553" s="42" t="s">
        <v>16512</v>
      </c>
      <c r="C553" s="42" t="s">
        <v>16511</v>
      </c>
      <c r="D553" s="43" t="str">
        <f t="shared" si="18"/>
        <v>2022.015P.Tombusviridae_rename.zip</v>
      </c>
    </row>
    <row r="554" spans="1:4">
      <c r="A554" s="24" t="s">
        <v>14822</v>
      </c>
      <c r="B554" s="42" t="s">
        <v>16514</v>
      </c>
      <c r="C554" s="42" t="s">
        <v>16513</v>
      </c>
      <c r="D554" s="43" t="str">
        <f t="shared" si="18"/>
        <v>2022.015P.Tombusviridae_rename.zip</v>
      </c>
    </row>
    <row r="555" spans="1:4">
      <c r="A555" s="24" t="s">
        <v>14822</v>
      </c>
      <c r="B555" s="42" t="s">
        <v>16510</v>
      </c>
      <c r="C555" s="42" t="s">
        <v>16509</v>
      </c>
      <c r="D555" s="43" t="str">
        <f t="shared" si="18"/>
        <v>2022.015P.Tombusviridae_rename.zip</v>
      </c>
    </row>
    <row r="556" spans="1:4">
      <c r="A556" s="24" t="s">
        <v>14822</v>
      </c>
      <c r="B556" s="42" t="s">
        <v>16502</v>
      </c>
      <c r="C556" s="42" t="s">
        <v>16501</v>
      </c>
      <c r="D556" s="43" t="str">
        <f t="shared" si="18"/>
        <v>2022.015P.Tombusviridae_rename.zip</v>
      </c>
    </row>
    <row r="557" spans="1:4">
      <c r="A557" s="24" t="s">
        <v>14822</v>
      </c>
      <c r="B557" s="42" t="s">
        <v>16506</v>
      </c>
      <c r="C557" s="42" t="s">
        <v>16505</v>
      </c>
      <c r="D557" s="43" t="str">
        <f t="shared" si="18"/>
        <v>2022.015P.Tombusviridae_rename.zip</v>
      </c>
    </row>
    <row r="558" spans="1:4">
      <c r="A558" s="24" t="s">
        <v>14822</v>
      </c>
      <c r="B558" s="42" t="s">
        <v>16504</v>
      </c>
      <c r="C558" s="42" t="s">
        <v>16503</v>
      </c>
      <c r="D558" s="43" t="str">
        <f t="shared" si="18"/>
        <v>2022.015P.Tombusviridae_rename.zip</v>
      </c>
    </row>
    <row r="559" spans="1:4">
      <c r="A559" s="24" t="s">
        <v>14822</v>
      </c>
      <c r="B559" s="42" t="s">
        <v>16508</v>
      </c>
      <c r="C559" s="42" t="s">
        <v>16507</v>
      </c>
      <c r="D559" s="43" t="str">
        <f t="shared" si="18"/>
        <v>2022.015P.Tombusviridae_rename.zip</v>
      </c>
    </row>
    <row r="560" spans="1:4">
      <c r="A560" s="24" t="s">
        <v>14822</v>
      </c>
      <c r="B560" s="42" t="s">
        <v>16500</v>
      </c>
      <c r="C560" s="42" t="s">
        <v>16499</v>
      </c>
      <c r="D560" s="43" t="str">
        <f t="shared" si="18"/>
        <v>2022.015P.Tombusviridae_rename.zip</v>
      </c>
    </row>
    <row r="561" spans="1:4">
      <c r="A561" s="24" t="s">
        <v>14822</v>
      </c>
      <c r="B561" s="42" t="s">
        <v>16498</v>
      </c>
      <c r="C561" s="42" t="s">
        <v>16497</v>
      </c>
      <c r="D561" s="43" t="str">
        <f t="shared" si="18"/>
        <v>2022.015P.Tombusviridae_rename.zip</v>
      </c>
    </row>
    <row r="562" spans="1:4">
      <c r="A562" s="24" t="s">
        <v>14822</v>
      </c>
      <c r="B562" s="42" t="s">
        <v>16496</v>
      </c>
      <c r="C562" s="42" t="s">
        <v>16495</v>
      </c>
      <c r="D562" s="43" t="str">
        <f t="shared" si="18"/>
        <v>2022.015P.Tombusviridae_rename.zip</v>
      </c>
    </row>
    <row r="563" spans="1:4">
      <c r="A563" s="24" t="s">
        <v>14822</v>
      </c>
      <c r="B563" s="42" t="s">
        <v>16494</v>
      </c>
      <c r="C563" s="42" t="s">
        <v>16493</v>
      </c>
      <c r="D563" s="43" t="str">
        <f t="shared" si="18"/>
        <v>2022.015P.Tombusviridae_rename.zip</v>
      </c>
    </row>
    <row r="564" spans="1:4">
      <c r="A564" s="24" t="s">
        <v>14822</v>
      </c>
      <c r="B564" s="42" t="s">
        <v>16492</v>
      </c>
      <c r="C564" s="42" t="s">
        <v>16491</v>
      </c>
      <c r="D564" s="43" t="str">
        <f t="shared" si="18"/>
        <v>2022.015P.Tombusviridae_rename.zip</v>
      </c>
    </row>
    <row r="565" spans="1:4">
      <c r="A565" s="24" t="s">
        <v>14822</v>
      </c>
      <c r="B565" s="42" t="s">
        <v>16486</v>
      </c>
      <c r="C565" s="42" t="s">
        <v>16485</v>
      </c>
      <c r="D565" s="43" t="str">
        <f t="shared" si="18"/>
        <v>2022.015P.Tombusviridae_rename.zip</v>
      </c>
    </row>
    <row r="566" spans="1:4">
      <c r="A566" s="24" t="s">
        <v>14822</v>
      </c>
      <c r="B566" s="42" t="s">
        <v>16478</v>
      </c>
      <c r="C566" s="42" t="s">
        <v>16477</v>
      </c>
      <c r="D566" s="43" t="str">
        <f t="shared" si="18"/>
        <v>2022.015P.Tombusviridae_rename.zip</v>
      </c>
    </row>
    <row r="567" spans="1:4">
      <c r="A567" s="24" t="s">
        <v>14822</v>
      </c>
      <c r="B567" s="42" t="s">
        <v>16476</v>
      </c>
      <c r="C567" s="42" t="s">
        <v>16475</v>
      </c>
      <c r="D567" s="43" t="str">
        <f t="shared" si="18"/>
        <v>2022.015P.Tombusviridae_rename.zip</v>
      </c>
    </row>
    <row r="568" spans="1:4">
      <c r="A568" s="24" t="s">
        <v>14822</v>
      </c>
      <c r="B568" s="42" t="s">
        <v>16484</v>
      </c>
      <c r="C568" s="42" t="s">
        <v>16483</v>
      </c>
      <c r="D568" s="43" t="str">
        <f t="shared" si="18"/>
        <v>2022.015P.Tombusviridae_rename.zip</v>
      </c>
    </row>
    <row r="569" spans="1:4">
      <c r="A569" s="24" t="s">
        <v>14822</v>
      </c>
      <c r="B569" s="42" t="s">
        <v>16488</v>
      </c>
      <c r="C569" s="42" t="s">
        <v>16487</v>
      </c>
      <c r="D569" s="43" t="str">
        <f t="shared" si="18"/>
        <v>2022.015P.Tombusviridae_rename.zip</v>
      </c>
    </row>
    <row r="570" spans="1:4">
      <c r="A570" s="24" t="s">
        <v>14822</v>
      </c>
      <c r="B570" s="42" t="s">
        <v>16482</v>
      </c>
      <c r="C570" s="42" t="s">
        <v>16481</v>
      </c>
      <c r="D570" s="43" t="str">
        <f t="shared" si="18"/>
        <v>2022.015P.Tombusviridae_rename.zip</v>
      </c>
    </row>
    <row r="571" spans="1:4">
      <c r="A571" s="24" t="s">
        <v>14822</v>
      </c>
      <c r="B571" s="42" t="s">
        <v>16490</v>
      </c>
      <c r="C571" s="42" t="s">
        <v>16489</v>
      </c>
      <c r="D571" s="43" t="str">
        <f t="shared" si="18"/>
        <v>2022.015P.Tombusviridae_rename.zip</v>
      </c>
    </row>
    <row r="572" spans="1:4">
      <c r="A572" s="24" t="s">
        <v>14822</v>
      </c>
      <c r="B572" s="42" t="s">
        <v>16480</v>
      </c>
      <c r="C572" s="42" t="s">
        <v>16479</v>
      </c>
      <c r="D572" s="43" t="str">
        <f t="shared" si="18"/>
        <v>2022.015P.Tombusviridae_rename.zip</v>
      </c>
    </row>
    <row r="573" spans="1:4">
      <c r="A573" s="24" t="s">
        <v>14822</v>
      </c>
      <c r="B573" s="42" t="s">
        <v>16466</v>
      </c>
      <c r="C573" s="42" t="s">
        <v>16465</v>
      </c>
      <c r="D573" s="43" t="str">
        <f t="shared" si="18"/>
        <v>2022.015P.Tombusviridae_rename.zip</v>
      </c>
    </row>
    <row r="574" spans="1:4">
      <c r="A574" s="24" t="s">
        <v>14822</v>
      </c>
      <c r="B574" s="42" t="s">
        <v>16464</v>
      </c>
      <c r="C574" s="42" t="s">
        <v>16463</v>
      </c>
      <c r="D574" s="43" t="str">
        <f t="shared" si="18"/>
        <v>2022.015P.Tombusviridae_rename.zip</v>
      </c>
    </row>
    <row r="575" spans="1:4">
      <c r="A575" s="24" t="s">
        <v>14822</v>
      </c>
      <c r="B575" s="42" t="s">
        <v>16472</v>
      </c>
      <c r="C575" s="42" t="s">
        <v>16471</v>
      </c>
      <c r="D575" s="43" t="str">
        <f t="shared" si="18"/>
        <v>2022.015P.Tombusviridae_rename.zip</v>
      </c>
    </row>
    <row r="576" spans="1:4">
      <c r="A576" s="24" t="s">
        <v>14822</v>
      </c>
      <c r="B576" s="42" t="s">
        <v>16470</v>
      </c>
      <c r="C576" s="42" t="s">
        <v>16469</v>
      </c>
      <c r="D576" s="43" t="str">
        <f t="shared" si="18"/>
        <v>2022.015P.Tombusviridae_rename.zip</v>
      </c>
    </row>
    <row r="577" spans="1:4">
      <c r="A577" s="24" t="s">
        <v>14822</v>
      </c>
      <c r="B577" s="42" t="s">
        <v>16468</v>
      </c>
      <c r="C577" s="42" t="s">
        <v>16467</v>
      </c>
      <c r="D577" s="43" t="str">
        <f t="shared" si="18"/>
        <v>2022.015P.Tombusviridae_rename.zip</v>
      </c>
    </row>
    <row r="578" spans="1:4">
      <c r="A578" s="24" t="s">
        <v>14822</v>
      </c>
      <c r="B578" s="42" t="s">
        <v>16454</v>
      </c>
      <c r="C578" s="42" t="s">
        <v>16453</v>
      </c>
      <c r="D578" s="43" t="str">
        <f t="shared" si="18"/>
        <v>2022.015P.Tombusviridae_rename.zip</v>
      </c>
    </row>
    <row r="579" spans="1:4">
      <c r="A579" s="24" t="s">
        <v>14822</v>
      </c>
      <c r="B579" s="42" t="s">
        <v>16474</v>
      </c>
      <c r="C579" s="42" t="s">
        <v>16473</v>
      </c>
      <c r="D579" s="43" t="str">
        <f t="shared" si="18"/>
        <v>2022.015P.Tombusviridae_rename.zip</v>
      </c>
    </row>
    <row r="580" spans="1:4">
      <c r="A580" s="24" t="s">
        <v>14822</v>
      </c>
      <c r="B580" s="42" t="s">
        <v>16462</v>
      </c>
      <c r="C580" s="42" t="s">
        <v>16461</v>
      </c>
      <c r="D580" s="43" t="str">
        <f t="shared" si="18"/>
        <v>2022.015P.Tombusviridae_rename.zip</v>
      </c>
    </row>
    <row r="581" spans="1:4">
      <c r="A581" s="24" t="s">
        <v>14822</v>
      </c>
      <c r="B581" s="42" t="s">
        <v>16460</v>
      </c>
      <c r="C581" s="42" t="s">
        <v>16459</v>
      </c>
      <c r="D581" s="43" t="str">
        <f t="shared" si="18"/>
        <v>2022.015P.Tombusviridae_rename.zip</v>
      </c>
    </row>
    <row r="582" spans="1:4">
      <c r="A582" s="24" t="s">
        <v>14822</v>
      </c>
      <c r="B582" s="42" t="s">
        <v>16458</v>
      </c>
      <c r="C582" s="42" t="s">
        <v>16457</v>
      </c>
      <c r="D582" s="43" t="str">
        <f t="shared" ref="D582:D606" si="19">HYPERLINK("https://ictv.global/ictv/proposals/2022.015P.Tombusviridae_rename.zip","2022.015P.Tombusviridae_rename.zip")</f>
        <v>2022.015P.Tombusviridae_rename.zip</v>
      </c>
    </row>
    <row r="583" spans="1:4">
      <c r="A583" s="24" t="s">
        <v>14822</v>
      </c>
      <c r="B583" s="42" t="s">
        <v>16452</v>
      </c>
      <c r="C583" s="42" t="s">
        <v>16451</v>
      </c>
      <c r="D583" s="43" t="str">
        <f t="shared" si="19"/>
        <v>2022.015P.Tombusviridae_rename.zip</v>
      </c>
    </row>
    <row r="584" spans="1:4">
      <c r="A584" s="24" t="s">
        <v>14822</v>
      </c>
      <c r="B584" s="42" t="s">
        <v>16450</v>
      </c>
      <c r="C584" s="42" t="s">
        <v>16449</v>
      </c>
      <c r="D584" s="43" t="str">
        <f t="shared" si="19"/>
        <v>2022.015P.Tombusviridae_rename.zip</v>
      </c>
    </row>
    <row r="585" spans="1:4">
      <c r="A585" s="24" t="s">
        <v>14822</v>
      </c>
      <c r="B585" s="42" t="s">
        <v>16446</v>
      </c>
      <c r="C585" s="42" t="s">
        <v>16445</v>
      </c>
      <c r="D585" s="43" t="str">
        <f t="shared" si="19"/>
        <v>2022.015P.Tombusviridae_rename.zip</v>
      </c>
    </row>
    <row r="586" spans="1:4">
      <c r="A586" s="24" t="s">
        <v>14822</v>
      </c>
      <c r="B586" s="42" t="s">
        <v>16448</v>
      </c>
      <c r="C586" s="42" t="s">
        <v>16447</v>
      </c>
      <c r="D586" s="43" t="str">
        <f t="shared" si="19"/>
        <v>2022.015P.Tombusviridae_rename.zip</v>
      </c>
    </row>
    <row r="587" spans="1:4">
      <c r="A587" s="24" t="s">
        <v>14822</v>
      </c>
      <c r="B587" s="42" t="s">
        <v>16444</v>
      </c>
      <c r="C587" s="42" t="s">
        <v>16443</v>
      </c>
      <c r="D587" s="43" t="str">
        <f t="shared" si="19"/>
        <v>2022.015P.Tombusviridae_rename.zip</v>
      </c>
    </row>
    <row r="588" spans="1:4">
      <c r="A588" s="24" t="s">
        <v>14822</v>
      </c>
      <c r="B588" s="42" t="s">
        <v>16442</v>
      </c>
      <c r="C588" s="42" t="s">
        <v>16441</v>
      </c>
      <c r="D588" s="43" t="str">
        <f t="shared" si="19"/>
        <v>2022.015P.Tombusviridae_rename.zip</v>
      </c>
    </row>
    <row r="589" spans="1:4">
      <c r="A589" s="24" t="s">
        <v>14822</v>
      </c>
      <c r="B589" s="42" t="s">
        <v>16456</v>
      </c>
      <c r="C589" s="42" t="s">
        <v>16455</v>
      </c>
      <c r="D589" s="43" t="str">
        <f t="shared" si="19"/>
        <v>2022.015P.Tombusviridae_rename.zip</v>
      </c>
    </row>
    <row r="590" spans="1:4">
      <c r="A590" s="24" t="s">
        <v>14822</v>
      </c>
      <c r="B590" s="42" t="s">
        <v>16440</v>
      </c>
      <c r="C590" s="42" t="s">
        <v>16439</v>
      </c>
      <c r="D590" s="43" t="str">
        <f t="shared" si="19"/>
        <v>2022.015P.Tombusviridae_rename.zip</v>
      </c>
    </row>
    <row r="591" spans="1:4">
      <c r="A591" s="24" t="s">
        <v>14822</v>
      </c>
      <c r="B591" s="42" t="s">
        <v>16438</v>
      </c>
      <c r="C591" s="42" t="s">
        <v>16437</v>
      </c>
      <c r="D591" s="43" t="str">
        <f t="shared" si="19"/>
        <v>2022.015P.Tombusviridae_rename.zip</v>
      </c>
    </row>
    <row r="592" spans="1:4">
      <c r="A592" s="24" t="s">
        <v>14822</v>
      </c>
      <c r="B592" s="42" t="s">
        <v>16434</v>
      </c>
      <c r="C592" s="42" t="s">
        <v>16433</v>
      </c>
      <c r="D592" s="43" t="str">
        <f t="shared" si="19"/>
        <v>2022.015P.Tombusviridae_rename.zip</v>
      </c>
    </row>
    <row r="593" spans="1:4">
      <c r="A593" s="24" t="s">
        <v>14822</v>
      </c>
      <c r="B593" s="42" t="s">
        <v>16436</v>
      </c>
      <c r="C593" s="42" t="s">
        <v>16435</v>
      </c>
      <c r="D593" s="43" t="str">
        <f t="shared" si="19"/>
        <v>2022.015P.Tombusviridae_rename.zip</v>
      </c>
    </row>
    <row r="594" spans="1:4">
      <c r="A594" s="24" t="s">
        <v>14822</v>
      </c>
      <c r="B594" s="42" t="s">
        <v>16410</v>
      </c>
      <c r="C594" s="42" t="s">
        <v>16409</v>
      </c>
      <c r="D594" s="43" t="str">
        <f t="shared" si="19"/>
        <v>2022.015P.Tombusviridae_rename.zip</v>
      </c>
    </row>
    <row r="595" spans="1:4">
      <c r="A595" s="24" t="s">
        <v>14822</v>
      </c>
      <c r="B595" s="42" t="s">
        <v>16424</v>
      </c>
      <c r="C595" s="42" t="s">
        <v>16423</v>
      </c>
      <c r="D595" s="43" t="str">
        <f t="shared" si="19"/>
        <v>2022.015P.Tombusviridae_rename.zip</v>
      </c>
    </row>
    <row r="596" spans="1:4">
      <c r="A596" s="24" t="s">
        <v>14822</v>
      </c>
      <c r="B596" s="42" t="s">
        <v>16428</v>
      </c>
      <c r="C596" s="42" t="s">
        <v>16427</v>
      </c>
      <c r="D596" s="43" t="str">
        <f t="shared" si="19"/>
        <v>2022.015P.Tombusviridae_rename.zip</v>
      </c>
    </row>
    <row r="597" spans="1:4">
      <c r="A597" s="24" t="s">
        <v>14822</v>
      </c>
      <c r="B597" s="42" t="s">
        <v>16426</v>
      </c>
      <c r="C597" s="42" t="s">
        <v>16425</v>
      </c>
      <c r="D597" s="43" t="str">
        <f t="shared" si="19"/>
        <v>2022.015P.Tombusviridae_rename.zip</v>
      </c>
    </row>
    <row r="598" spans="1:4">
      <c r="A598" s="24" t="s">
        <v>14822</v>
      </c>
      <c r="B598" s="42" t="s">
        <v>16422</v>
      </c>
      <c r="C598" s="42" t="s">
        <v>16421</v>
      </c>
      <c r="D598" s="43" t="str">
        <f t="shared" si="19"/>
        <v>2022.015P.Tombusviridae_rename.zip</v>
      </c>
    </row>
    <row r="599" spans="1:4">
      <c r="A599" s="24" t="s">
        <v>14822</v>
      </c>
      <c r="B599" s="42" t="s">
        <v>16418</v>
      </c>
      <c r="C599" s="42" t="s">
        <v>16417</v>
      </c>
      <c r="D599" s="43" t="str">
        <f t="shared" si="19"/>
        <v>2022.015P.Tombusviridae_rename.zip</v>
      </c>
    </row>
    <row r="600" spans="1:4">
      <c r="A600" s="24" t="s">
        <v>14822</v>
      </c>
      <c r="B600" s="42" t="s">
        <v>16416</v>
      </c>
      <c r="C600" s="42" t="s">
        <v>16415</v>
      </c>
      <c r="D600" s="43" t="str">
        <f t="shared" si="19"/>
        <v>2022.015P.Tombusviridae_rename.zip</v>
      </c>
    </row>
    <row r="601" spans="1:4">
      <c r="A601" s="24" t="s">
        <v>14822</v>
      </c>
      <c r="B601" s="42" t="s">
        <v>16414</v>
      </c>
      <c r="C601" s="42" t="s">
        <v>16413</v>
      </c>
      <c r="D601" s="43" t="str">
        <f t="shared" si="19"/>
        <v>2022.015P.Tombusviridae_rename.zip</v>
      </c>
    </row>
    <row r="602" spans="1:4">
      <c r="A602" s="24" t="s">
        <v>14822</v>
      </c>
      <c r="B602" s="42" t="s">
        <v>16432</v>
      </c>
      <c r="C602" s="42" t="s">
        <v>16431</v>
      </c>
      <c r="D602" s="43" t="str">
        <f t="shared" si="19"/>
        <v>2022.015P.Tombusviridae_rename.zip</v>
      </c>
    </row>
    <row r="603" spans="1:4">
      <c r="A603" s="24" t="s">
        <v>14822</v>
      </c>
      <c r="B603" s="42" t="s">
        <v>16420</v>
      </c>
      <c r="C603" s="42" t="s">
        <v>16419</v>
      </c>
      <c r="D603" s="43" t="str">
        <f t="shared" si="19"/>
        <v>2022.015P.Tombusviridae_rename.zip</v>
      </c>
    </row>
    <row r="604" spans="1:4">
      <c r="A604" s="24" t="s">
        <v>14822</v>
      </c>
      <c r="B604" s="42" t="s">
        <v>16408</v>
      </c>
      <c r="C604" s="42" t="s">
        <v>16407</v>
      </c>
      <c r="D604" s="43" t="str">
        <f t="shared" si="19"/>
        <v>2022.015P.Tombusviridae_rename.zip</v>
      </c>
    </row>
    <row r="605" spans="1:4">
      <c r="A605" s="24" t="s">
        <v>14822</v>
      </c>
      <c r="B605" s="42" t="s">
        <v>16412</v>
      </c>
      <c r="C605" s="42" t="s">
        <v>16411</v>
      </c>
      <c r="D605" s="43" t="str">
        <f t="shared" si="19"/>
        <v>2022.015P.Tombusviridae_rename.zip</v>
      </c>
    </row>
    <row r="606" spans="1:4">
      <c r="A606" s="24" t="s">
        <v>14822</v>
      </c>
      <c r="B606" s="42" t="s">
        <v>16430</v>
      </c>
      <c r="C606" s="42" t="s">
        <v>16429</v>
      </c>
      <c r="D606" s="43" t="str">
        <f t="shared" si="19"/>
        <v>2022.015P.Tombusviridae_rename.zip</v>
      </c>
    </row>
    <row r="607" spans="1:4">
      <c r="A607" s="24" t="s">
        <v>14822</v>
      </c>
      <c r="B607" s="42" t="s">
        <v>16406</v>
      </c>
      <c r="C607" s="42" t="s">
        <v>16405</v>
      </c>
      <c r="D607" s="43" t="str">
        <f>HYPERLINK("https://ictv.global/ictv/proposals/2021.012M.Filoviridae_sprenamed.zip","2021.012M.Filoviridae_sprenamed.zip")</f>
        <v>2021.012M.Filoviridae_sprenamed.zip</v>
      </c>
    </row>
    <row r="608" spans="1:4">
      <c r="A608" s="24" t="s">
        <v>14822</v>
      </c>
      <c r="B608" s="42" t="s">
        <v>16404</v>
      </c>
      <c r="C608" s="42" t="s">
        <v>16403</v>
      </c>
      <c r="D608" s="43" t="str">
        <f>HYPERLINK("https://ictv.global/ictv/proposals/2021.012M.Filoviridae_sprenamed.zip","2021.012M.Filoviridae_sprenamed.zip")</f>
        <v>2021.012M.Filoviridae_sprenamed.zip</v>
      </c>
    </row>
    <row r="609" spans="1:4">
      <c r="A609" s="24" t="s">
        <v>14822</v>
      </c>
      <c r="B609" s="42" t="s">
        <v>16402</v>
      </c>
      <c r="C609" s="42" t="s">
        <v>16401</v>
      </c>
      <c r="D609" s="43" t="str">
        <f t="shared" ref="D609:D615" si="20">HYPERLINK("https://ictv.global/ictv/proposals/2022.009M.Filoviridae_2genrenamed.zip","2022.009M.Filoviridae_2genrenamed.zip")</f>
        <v>2022.009M.Filoviridae_2genrenamed.zip</v>
      </c>
    </row>
    <row r="610" spans="1:4">
      <c r="A610" s="24" t="s">
        <v>14822</v>
      </c>
      <c r="B610" s="42" t="s">
        <v>16400</v>
      </c>
      <c r="C610" s="42" t="s">
        <v>16399</v>
      </c>
      <c r="D610" s="43" t="str">
        <f t="shared" si="20"/>
        <v>2022.009M.Filoviridae_2genrenamed.zip</v>
      </c>
    </row>
    <row r="611" spans="1:4">
      <c r="A611" s="24" t="s">
        <v>14822</v>
      </c>
      <c r="B611" s="42" t="s">
        <v>16398</v>
      </c>
      <c r="C611" s="42" t="s">
        <v>16397</v>
      </c>
      <c r="D611" s="43" t="str">
        <f t="shared" si="20"/>
        <v>2022.009M.Filoviridae_2genrenamed.zip</v>
      </c>
    </row>
    <row r="612" spans="1:4">
      <c r="A612" s="24" t="s">
        <v>14822</v>
      </c>
      <c r="B612" s="42" t="s">
        <v>16396</v>
      </c>
      <c r="C612" s="42" t="s">
        <v>16395</v>
      </c>
      <c r="D612" s="43" t="str">
        <f t="shared" si="20"/>
        <v>2022.009M.Filoviridae_2genrenamed.zip</v>
      </c>
    </row>
    <row r="613" spans="1:4">
      <c r="A613" s="24" t="s">
        <v>14822</v>
      </c>
      <c r="B613" s="42" t="s">
        <v>16394</v>
      </c>
      <c r="C613" s="42" t="s">
        <v>16393</v>
      </c>
      <c r="D613" s="43" t="str">
        <f t="shared" si="20"/>
        <v>2022.009M.Filoviridae_2genrenamed.zip</v>
      </c>
    </row>
    <row r="614" spans="1:4">
      <c r="A614" s="24" t="s">
        <v>14822</v>
      </c>
      <c r="B614" s="42" t="s">
        <v>16392</v>
      </c>
      <c r="C614" s="42" t="s">
        <v>16391</v>
      </c>
      <c r="D614" s="43" t="str">
        <f t="shared" si="20"/>
        <v>2022.009M.Filoviridae_2genrenamed.zip</v>
      </c>
    </row>
    <row r="615" spans="1:4">
      <c r="A615" s="24" t="s">
        <v>14822</v>
      </c>
      <c r="B615" s="42" t="s">
        <v>16390</v>
      </c>
      <c r="C615" s="42" t="s">
        <v>16389</v>
      </c>
      <c r="D615" s="43" t="str">
        <f t="shared" si="20"/>
        <v>2022.009M.Filoviridae_2genrenamed.zip</v>
      </c>
    </row>
    <row r="616" spans="1:4">
      <c r="A616" s="24" t="s">
        <v>14822</v>
      </c>
      <c r="B616" s="42" t="s">
        <v>16388</v>
      </c>
      <c r="C616" s="42" t="s">
        <v>16387</v>
      </c>
      <c r="D616" s="43" t="str">
        <f>HYPERLINK("https://ictv.global/ictv/proposals/2021.012M.Filoviridae_sprenamed.zip","2021.012M.Filoviridae_sprenamed.zip")</f>
        <v>2021.012M.Filoviridae_sprenamed.zip</v>
      </c>
    </row>
    <row r="617" spans="1:4">
      <c r="A617" s="24" t="s">
        <v>14822</v>
      </c>
      <c r="B617" s="42" t="s">
        <v>16386</v>
      </c>
      <c r="C617" s="42" t="s">
        <v>16385</v>
      </c>
      <c r="D617" s="43" t="str">
        <f>HYPERLINK("https://ictv.global/ictv/proposals/2021.012M.Filoviridae_sprenamed.zip","2021.012M.Filoviridae_sprenamed.zip")</f>
        <v>2021.012M.Filoviridae_sprenamed.zip</v>
      </c>
    </row>
    <row r="618" spans="1:4">
      <c r="A618" s="24" t="s">
        <v>14822</v>
      </c>
      <c r="B618" s="42" t="s">
        <v>16364</v>
      </c>
      <c r="C618" s="42" t="s">
        <v>16363</v>
      </c>
      <c r="D618" s="43" t="str">
        <f t="shared" ref="D618:D649" si="21">HYPERLINK("https://ictv.global/ictv/proposals/2021.026M.Paramyxoviridae_sprename.zip","2021.026M.Paramyxoviridae_sprename.zip")</f>
        <v>2021.026M.Paramyxoviridae_sprename.zip</v>
      </c>
    </row>
    <row r="619" spans="1:4">
      <c r="A619" s="24" t="s">
        <v>14822</v>
      </c>
      <c r="B619" s="42" t="s">
        <v>16372</v>
      </c>
      <c r="C619" s="42" t="s">
        <v>16371</v>
      </c>
      <c r="D619" s="43" t="str">
        <f t="shared" si="21"/>
        <v>2021.026M.Paramyxoviridae_sprename.zip</v>
      </c>
    </row>
    <row r="620" spans="1:4">
      <c r="A620" s="24" t="s">
        <v>14822</v>
      </c>
      <c r="B620" s="42" t="s">
        <v>16378</v>
      </c>
      <c r="C620" s="42" t="s">
        <v>16377</v>
      </c>
      <c r="D620" s="43" t="str">
        <f t="shared" si="21"/>
        <v>2021.026M.Paramyxoviridae_sprename.zip</v>
      </c>
    </row>
    <row r="621" spans="1:4">
      <c r="A621" s="24" t="s">
        <v>14822</v>
      </c>
      <c r="B621" s="42" t="s">
        <v>16366</v>
      </c>
      <c r="C621" s="42" t="s">
        <v>16365</v>
      </c>
      <c r="D621" s="43" t="str">
        <f t="shared" si="21"/>
        <v>2021.026M.Paramyxoviridae_sprename.zip</v>
      </c>
    </row>
    <row r="622" spans="1:4">
      <c r="A622" s="24" t="s">
        <v>14822</v>
      </c>
      <c r="B622" s="42" t="s">
        <v>16384</v>
      </c>
      <c r="C622" s="42" t="s">
        <v>16383</v>
      </c>
      <c r="D622" s="43" t="str">
        <f t="shared" si="21"/>
        <v>2021.026M.Paramyxoviridae_sprename.zip</v>
      </c>
    </row>
    <row r="623" spans="1:4">
      <c r="A623" s="24" t="s">
        <v>14822</v>
      </c>
      <c r="B623" s="42" t="s">
        <v>16382</v>
      </c>
      <c r="C623" s="42" t="s">
        <v>16381</v>
      </c>
      <c r="D623" s="43" t="str">
        <f t="shared" si="21"/>
        <v>2021.026M.Paramyxoviridae_sprename.zip</v>
      </c>
    </row>
    <row r="624" spans="1:4">
      <c r="A624" s="24" t="s">
        <v>14822</v>
      </c>
      <c r="B624" s="42" t="s">
        <v>16380</v>
      </c>
      <c r="C624" s="42" t="s">
        <v>16379</v>
      </c>
      <c r="D624" s="43" t="str">
        <f t="shared" si="21"/>
        <v>2021.026M.Paramyxoviridae_sprename.zip</v>
      </c>
    </row>
    <row r="625" spans="1:4">
      <c r="A625" s="24" t="s">
        <v>14822</v>
      </c>
      <c r="B625" s="42" t="s">
        <v>16376</v>
      </c>
      <c r="C625" s="42" t="s">
        <v>16375</v>
      </c>
      <c r="D625" s="43" t="str">
        <f t="shared" si="21"/>
        <v>2021.026M.Paramyxoviridae_sprename.zip</v>
      </c>
    </row>
    <row r="626" spans="1:4">
      <c r="A626" s="24" t="s">
        <v>14822</v>
      </c>
      <c r="B626" s="42" t="s">
        <v>16370</v>
      </c>
      <c r="C626" s="42" t="s">
        <v>16369</v>
      </c>
      <c r="D626" s="43" t="str">
        <f t="shared" si="21"/>
        <v>2021.026M.Paramyxoviridae_sprename.zip</v>
      </c>
    </row>
    <row r="627" spans="1:4">
      <c r="A627" s="24" t="s">
        <v>14822</v>
      </c>
      <c r="B627" s="42" t="s">
        <v>16374</v>
      </c>
      <c r="C627" s="42" t="s">
        <v>16373</v>
      </c>
      <c r="D627" s="43" t="str">
        <f t="shared" si="21"/>
        <v>2021.026M.Paramyxoviridae_sprename.zip</v>
      </c>
    </row>
    <row r="628" spans="1:4">
      <c r="A628" s="24" t="s">
        <v>14822</v>
      </c>
      <c r="B628" s="42" t="s">
        <v>16368</v>
      </c>
      <c r="C628" s="42" t="s">
        <v>16367</v>
      </c>
      <c r="D628" s="43" t="str">
        <f t="shared" si="21"/>
        <v>2021.026M.Paramyxoviridae_sprename.zip</v>
      </c>
    </row>
    <row r="629" spans="1:4">
      <c r="A629" s="24" t="s">
        <v>14822</v>
      </c>
      <c r="B629" s="42" t="s">
        <v>16356</v>
      </c>
      <c r="C629" s="42" t="s">
        <v>16355</v>
      </c>
      <c r="D629" s="43" t="str">
        <f t="shared" si="21"/>
        <v>2021.026M.Paramyxoviridae_sprename.zip</v>
      </c>
    </row>
    <row r="630" spans="1:4">
      <c r="A630" s="24" t="s">
        <v>14822</v>
      </c>
      <c r="B630" s="42" t="s">
        <v>16350</v>
      </c>
      <c r="C630" s="42" t="s">
        <v>16349</v>
      </c>
      <c r="D630" s="43" t="str">
        <f t="shared" si="21"/>
        <v>2021.026M.Paramyxoviridae_sprename.zip</v>
      </c>
    </row>
    <row r="631" spans="1:4">
      <c r="A631" s="24" t="s">
        <v>14822</v>
      </c>
      <c r="B631" s="42" t="s">
        <v>16360</v>
      </c>
      <c r="C631" s="42" t="s">
        <v>16359</v>
      </c>
      <c r="D631" s="43" t="str">
        <f t="shared" si="21"/>
        <v>2021.026M.Paramyxoviridae_sprename.zip</v>
      </c>
    </row>
    <row r="632" spans="1:4">
      <c r="A632" s="24" t="s">
        <v>14822</v>
      </c>
      <c r="B632" s="42" t="s">
        <v>16358</v>
      </c>
      <c r="C632" s="42" t="s">
        <v>16357</v>
      </c>
      <c r="D632" s="43" t="str">
        <f t="shared" si="21"/>
        <v>2021.026M.Paramyxoviridae_sprename.zip</v>
      </c>
    </row>
    <row r="633" spans="1:4">
      <c r="A633" s="24" t="s">
        <v>14822</v>
      </c>
      <c r="B633" s="42" t="s">
        <v>16346</v>
      </c>
      <c r="C633" s="42" t="s">
        <v>16345</v>
      </c>
      <c r="D633" s="43" t="str">
        <f t="shared" si="21"/>
        <v>2021.026M.Paramyxoviridae_sprename.zip</v>
      </c>
    </row>
    <row r="634" spans="1:4">
      <c r="A634" s="24" t="s">
        <v>14822</v>
      </c>
      <c r="B634" s="42" t="s">
        <v>16362</v>
      </c>
      <c r="C634" s="42" t="s">
        <v>16361</v>
      </c>
      <c r="D634" s="43" t="str">
        <f t="shared" si="21"/>
        <v>2021.026M.Paramyxoviridae_sprename.zip</v>
      </c>
    </row>
    <row r="635" spans="1:4">
      <c r="A635" s="24" t="s">
        <v>14822</v>
      </c>
      <c r="B635" s="42" t="s">
        <v>16354</v>
      </c>
      <c r="C635" s="42" t="s">
        <v>16353</v>
      </c>
      <c r="D635" s="43" t="str">
        <f t="shared" si="21"/>
        <v>2021.026M.Paramyxoviridae_sprename.zip</v>
      </c>
    </row>
    <row r="636" spans="1:4">
      <c r="A636" s="24" t="s">
        <v>14822</v>
      </c>
      <c r="B636" s="42" t="s">
        <v>16348</v>
      </c>
      <c r="C636" s="42" t="s">
        <v>16347</v>
      </c>
      <c r="D636" s="43" t="str">
        <f t="shared" si="21"/>
        <v>2021.026M.Paramyxoviridae_sprename.zip</v>
      </c>
    </row>
    <row r="637" spans="1:4">
      <c r="A637" s="24" t="s">
        <v>14822</v>
      </c>
      <c r="B637" s="42" t="s">
        <v>16352</v>
      </c>
      <c r="C637" s="42" t="s">
        <v>16351</v>
      </c>
      <c r="D637" s="43" t="str">
        <f t="shared" si="21"/>
        <v>2021.026M.Paramyxoviridae_sprename.zip</v>
      </c>
    </row>
    <row r="638" spans="1:4">
      <c r="A638" s="24" t="s">
        <v>14822</v>
      </c>
      <c r="B638" s="42" t="s">
        <v>16342</v>
      </c>
      <c r="C638" s="42" t="s">
        <v>16341</v>
      </c>
      <c r="D638" s="43" t="str">
        <f t="shared" si="21"/>
        <v>2021.026M.Paramyxoviridae_sprename.zip</v>
      </c>
    </row>
    <row r="639" spans="1:4">
      <c r="A639" s="24" t="s">
        <v>14822</v>
      </c>
      <c r="B639" s="42" t="s">
        <v>16344</v>
      </c>
      <c r="C639" s="42" t="s">
        <v>16343</v>
      </c>
      <c r="D639" s="43" t="str">
        <f t="shared" si="21"/>
        <v>2021.026M.Paramyxoviridae_sprename.zip</v>
      </c>
    </row>
    <row r="640" spans="1:4">
      <c r="A640" s="24" t="s">
        <v>14822</v>
      </c>
      <c r="B640" s="42" t="s">
        <v>16336</v>
      </c>
      <c r="C640" s="42" t="s">
        <v>16335</v>
      </c>
      <c r="D640" s="43" t="str">
        <f t="shared" si="21"/>
        <v>2021.026M.Paramyxoviridae_sprename.zip</v>
      </c>
    </row>
    <row r="641" spans="1:4">
      <c r="A641" s="24" t="s">
        <v>14822</v>
      </c>
      <c r="B641" s="42" t="s">
        <v>16334</v>
      </c>
      <c r="C641" s="42" t="s">
        <v>16333</v>
      </c>
      <c r="D641" s="43" t="str">
        <f t="shared" si="21"/>
        <v>2021.026M.Paramyxoviridae_sprename.zip</v>
      </c>
    </row>
    <row r="642" spans="1:4">
      <c r="A642" s="24" t="s">
        <v>14822</v>
      </c>
      <c r="B642" s="42" t="s">
        <v>16332</v>
      </c>
      <c r="C642" s="42" t="s">
        <v>16331</v>
      </c>
      <c r="D642" s="43" t="str">
        <f t="shared" si="21"/>
        <v>2021.026M.Paramyxoviridae_sprename.zip</v>
      </c>
    </row>
    <row r="643" spans="1:4">
      <c r="A643" s="24" t="s">
        <v>14822</v>
      </c>
      <c r="B643" s="42" t="s">
        <v>16330</v>
      </c>
      <c r="C643" s="42" t="s">
        <v>16329</v>
      </c>
      <c r="D643" s="43" t="str">
        <f t="shared" si="21"/>
        <v>2021.026M.Paramyxoviridae_sprename.zip</v>
      </c>
    </row>
    <row r="644" spans="1:4">
      <c r="A644" s="24" t="s">
        <v>14822</v>
      </c>
      <c r="B644" s="42" t="s">
        <v>16328</v>
      </c>
      <c r="C644" s="42" t="s">
        <v>16327</v>
      </c>
      <c r="D644" s="43" t="str">
        <f t="shared" si="21"/>
        <v>2021.026M.Paramyxoviridae_sprename.zip</v>
      </c>
    </row>
    <row r="645" spans="1:4">
      <c r="A645" s="24" t="s">
        <v>14822</v>
      </c>
      <c r="B645" s="42" t="s">
        <v>16326</v>
      </c>
      <c r="C645" s="42" t="s">
        <v>16325</v>
      </c>
      <c r="D645" s="43" t="str">
        <f t="shared" si="21"/>
        <v>2021.026M.Paramyxoviridae_sprename.zip</v>
      </c>
    </row>
    <row r="646" spans="1:4">
      <c r="A646" s="24" t="s">
        <v>14822</v>
      </c>
      <c r="B646" s="42" t="s">
        <v>16324</v>
      </c>
      <c r="C646" s="42" t="s">
        <v>16323</v>
      </c>
      <c r="D646" s="43" t="str">
        <f t="shared" si="21"/>
        <v>2021.026M.Paramyxoviridae_sprename.zip</v>
      </c>
    </row>
    <row r="647" spans="1:4">
      <c r="A647" s="24" t="s">
        <v>14822</v>
      </c>
      <c r="B647" s="42" t="s">
        <v>16322</v>
      </c>
      <c r="C647" s="42" t="s">
        <v>16321</v>
      </c>
      <c r="D647" s="43" t="str">
        <f t="shared" si="21"/>
        <v>2021.026M.Paramyxoviridae_sprename.zip</v>
      </c>
    </row>
    <row r="648" spans="1:4">
      <c r="A648" s="24" t="s">
        <v>14822</v>
      </c>
      <c r="B648" s="42" t="s">
        <v>16320</v>
      </c>
      <c r="C648" s="42" t="s">
        <v>16319</v>
      </c>
      <c r="D648" s="43" t="str">
        <f t="shared" si="21"/>
        <v>2021.026M.Paramyxoviridae_sprename.zip</v>
      </c>
    </row>
    <row r="649" spans="1:4">
      <c r="A649" s="24" t="s">
        <v>14822</v>
      </c>
      <c r="B649" s="42" t="s">
        <v>16318</v>
      </c>
      <c r="C649" s="42" t="s">
        <v>16317</v>
      </c>
      <c r="D649" s="43" t="str">
        <f t="shared" si="21"/>
        <v>2021.026M.Paramyxoviridae_sprename.zip</v>
      </c>
    </row>
    <row r="650" spans="1:4">
      <c r="A650" s="24" t="s">
        <v>14822</v>
      </c>
      <c r="B650" s="42" t="s">
        <v>16308</v>
      </c>
      <c r="C650" s="42" t="s">
        <v>16307</v>
      </c>
      <c r="D650" s="43" t="str">
        <f t="shared" ref="D650:D681" si="22">HYPERLINK("https://ictv.global/ictv/proposals/2021.026M.Paramyxoviridae_sprename.zip","2021.026M.Paramyxoviridae_sprename.zip")</f>
        <v>2021.026M.Paramyxoviridae_sprename.zip</v>
      </c>
    </row>
    <row r="651" spans="1:4">
      <c r="A651" s="24" t="s">
        <v>14822</v>
      </c>
      <c r="B651" s="42" t="s">
        <v>16316</v>
      </c>
      <c r="C651" s="42" t="s">
        <v>16315</v>
      </c>
      <c r="D651" s="43" t="str">
        <f t="shared" si="22"/>
        <v>2021.026M.Paramyxoviridae_sprename.zip</v>
      </c>
    </row>
    <row r="652" spans="1:4">
      <c r="A652" s="24" t="s">
        <v>14822</v>
      </c>
      <c r="B652" s="42" t="s">
        <v>16314</v>
      </c>
      <c r="C652" s="42" t="s">
        <v>16313</v>
      </c>
      <c r="D652" s="43" t="str">
        <f t="shared" si="22"/>
        <v>2021.026M.Paramyxoviridae_sprename.zip</v>
      </c>
    </row>
    <row r="653" spans="1:4">
      <c r="A653" s="24" t="s">
        <v>14822</v>
      </c>
      <c r="B653" s="42" t="s">
        <v>16312</v>
      </c>
      <c r="C653" s="42" t="s">
        <v>16311</v>
      </c>
      <c r="D653" s="43" t="str">
        <f t="shared" si="22"/>
        <v>2021.026M.Paramyxoviridae_sprename.zip</v>
      </c>
    </row>
    <row r="654" spans="1:4">
      <c r="A654" s="24" t="s">
        <v>14822</v>
      </c>
      <c r="B654" s="42" t="s">
        <v>16310</v>
      </c>
      <c r="C654" s="42" t="s">
        <v>16309</v>
      </c>
      <c r="D654" s="43" t="str">
        <f t="shared" si="22"/>
        <v>2021.026M.Paramyxoviridae_sprename.zip</v>
      </c>
    </row>
    <row r="655" spans="1:4">
      <c r="A655" s="24" t="s">
        <v>14822</v>
      </c>
      <c r="B655" s="42" t="s">
        <v>16306</v>
      </c>
      <c r="C655" s="42" t="s">
        <v>16305</v>
      </c>
      <c r="D655" s="43" t="str">
        <f t="shared" si="22"/>
        <v>2021.026M.Paramyxoviridae_sprename.zip</v>
      </c>
    </row>
    <row r="656" spans="1:4">
      <c r="A656" s="24" t="s">
        <v>14822</v>
      </c>
      <c r="B656" s="42" t="s">
        <v>16304</v>
      </c>
      <c r="C656" s="42" t="s">
        <v>16303</v>
      </c>
      <c r="D656" s="43" t="str">
        <f t="shared" si="22"/>
        <v>2021.026M.Paramyxoviridae_sprename.zip</v>
      </c>
    </row>
    <row r="657" spans="1:4">
      <c r="A657" s="24" t="s">
        <v>14822</v>
      </c>
      <c r="B657" s="42" t="s">
        <v>16300</v>
      </c>
      <c r="C657" s="42" t="s">
        <v>16299</v>
      </c>
      <c r="D657" s="43" t="str">
        <f t="shared" si="22"/>
        <v>2021.026M.Paramyxoviridae_sprename.zip</v>
      </c>
    </row>
    <row r="658" spans="1:4">
      <c r="A658" s="24" t="s">
        <v>14822</v>
      </c>
      <c r="B658" s="42" t="s">
        <v>16298</v>
      </c>
      <c r="C658" s="42" t="s">
        <v>16297</v>
      </c>
      <c r="D658" s="43" t="str">
        <f t="shared" si="22"/>
        <v>2021.026M.Paramyxoviridae_sprename.zip</v>
      </c>
    </row>
    <row r="659" spans="1:4">
      <c r="A659" s="24" t="s">
        <v>14822</v>
      </c>
      <c r="B659" s="42" t="s">
        <v>16296</v>
      </c>
      <c r="C659" s="42" t="s">
        <v>16295</v>
      </c>
      <c r="D659" s="43" t="str">
        <f t="shared" si="22"/>
        <v>2021.026M.Paramyxoviridae_sprename.zip</v>
      </c>
    </row>
    <row r="660" spans="1:4">
      <c r="A660" s="24" t="s">
        <v>14822</v>
      </c>
      <c r="B660" s="42" t="s">
        <v>16292</v>
      </c>
      <c r="C660" s="42" t="s">
        <v>16291</v>
      </c>
      <c r="D660" s="43" t="str">
        <f t="shared" si="22"/>
        <v>2021.026M.Paramyxoviridae_sprename.zip</v>
      </c>
    </row>
    <row r="661" spans="1:4">
      <c r="A661" s="24" t="s">
        <v>14822</v>
      </c>
      <c r="B661" s="42" t="s">
        <v>16294</v>
      </c>
      <c r="C661" s="42" t="s">
        <v>16293</v>
      </c>
      <c r="D661" s="43" t="str">
        <f t="shared" si="22"/>
        <v>2021.026M.Paramyxoviridae_sprename.zip</v>
      </c>
    </row>
    <row r="662" spans="1:4">
      <c r="A662" s="24" t="s">
        <v>14822</v>
      </c>
      <c r="B662" s="42" t="s">
        <v>16302</v>
      </c>
      <c r="C662" s="42" t="s">
        <v>16301</v>
      </c>
      <c r="D662" s="43" t="str">
        <f t="shared" si="22"/>
        <v>2021.026M.Paramyxoviridae_sprename.zip</v>
      </c>
    </row>
    <row r="663" spans="1:4">
      <c r="A663" s="24" t="s">
        <v>14822</v>
      </c>
      <c r="B663" s="42" t="s">
        <v>16290</v>
      </c>
      <c r="C663" s="42" t="s">
        <v>16289</v>
      </c>
      <c r="D663" s="43" t="str">
        <f t="shared" si="22"/>
        <v>2021.026M.Paramyxoviridae_sprename.zip</v>
      </c>
    </row>
    <row r="664" spans="1:4">
      <c r="A664" s="24" t="s">
        <v>14822</v>
      </c>
      <c r="B664" s="42" t="s">
        <v>16288</v>
      </c>
      <c r="C664" s="42" t="s">
        <v>16287</v>
      </c>
      <c r="D664" s="43" t="str">
        <f t="shared" si="22"/>
        <v>2021.026M.Paramyxoviridae_sprename.zip</v>
      </c>
    </row>
    <row r="665" spans="1:4">
      <c r="A665" s="24" t="s">
        <v>14822</v>
      </c>
      <c r="B665" s="42" t="s">
        <v>16286</v>
      </c>
      <c r="C665" s="42" t="s">
        <v>16285</v>
      </c>
      <c r="D665" s="43" t="str">
        <f t="shared" si="22"/>
        <v>2021.026M.Paramyxoviridae_sprename.zip</v>
      </c>
    </row>
    <row r="666" spans="1:4">
      <c r="A666" s="24" t="s">
        <v>14822</v>
      </c>
      <c r="B666" s="42" t="s">
        <v>16284</v>
      </c>
      <c r="C666" s="42" t="s">
        <v>16283</v>
      </c>
      <c r="D666" s="43" t="str">
        <f t="shared" si="22"/>
        <v>2021.026M.Paramyxoviridae_sprename.zip</v>
      </c>
    </row>
    <row r="667" spans="1:4">
      <c r="A667" s="24" t="s">
        <v>14822</v>
      </c>
      <c r="B667" s="42" t="s">
        <v>16282</v>
      </c>
      <c r="C667" s="42" t="s">
        <v>16281</v>
      </c>
      <c r="D667" s="43" t="str">
        <f t="shared" si="22"/>
        <v>2021.026M.Paramyxoviridae_sprename.zip</v>
      </c>
    </row>
    <row r="668" spans="1:4">
      <c r="A668" s="24" t="s">
        <v>14822</v>
      </c>
      <c r="B668" s="42" t="s">
        <v>16280</v>
      </c>
      <c r="C668" s="42" t="s">
        <v>16279</v>
      </c>
      <c r="D668" s="43" t="str">
        <f t="shared" si="22"/>
        <v>2021.026M.Paramyxoviridae_sprename.zip</v>
      </c>
    </row>
    <row r="669" spans="1:4">
      <c r="A669" s="24" t="s">
        <v>14822</v>
      </c>
      <c r="B669" s="42" t="s">
        <v>16278</v>
      </c>
      <c r="C669" s="42" t="s">
        <v>16277</v>
      </c>
      <c r="D669" s="43" t="str">
        <f t="shared" si="22"/>
        <v>2021.026M.Paramyxoviridae_sprename.zip</v>
      </c>
    </row>
    <row r="670" spans="1:4">
      <c r="A670" s="24" t="s">
        <v>14822</v>
      </c>
      <c r="B670" s="42" t="s">
        <v>16274</v>
      </c>
      <c r="C670" s="42" t="s">
        <v>16273</v>
      </c>
      <c r="D670" s="43" t="str">
        <f t="shared" si="22"/>
        <v>2021.026M.Paramyxoviridae_sprename.zip</v>
      </c>
    </row>
    <row r="671" spans="1:4">
      <c r="A671" s="24" t="s">
        <v>14822</v>
      </c>
      <c r="B671" s="42" t="s">
        <v>16276</v>
      </c>
      <c r="C671" s="42" t="s">
        <v>16275</v>
      </c>
      <c r="D671" s="43" t="str">
        <f t="shared" si="22"/>
        <v>2021.026M.Paramyxoviridae_sprename.zip</v>
      </c>
    </row>
    <row r="672" spans="1:4">
      <c r="A672" s="24" t="s">
        <v>14822</v>
      </c>
      <c r="B672" s="42" t="s">
        <v>16270</v>
      </c>
      <c r="C672" s="42" t="s">
        <v>16269</v>
      </c>
      <c r="D672" s="43" t="str">
        <f t="shared" si="22"/>
        <v>2021.026M.Paramyxoviridae_sprename.zip</v>
      </c>
    </row>
    <row r="673" spans="1:4">
      <c r="A673" s="24" t="s">
        <v>14822</v>
      </c>
      <c r="B673" s="42" t="s">
        <v>16272</v>
      </c>
      <c r="C673" s="42" t="s">
        <v>16271</v>
      </c>
      <c r="D673" s="43" t="str">
        <f t="shared" si="22"/>
        <v>2021.026M.Paramyxoviridae_sprename.zip</v>
      </c>
    </row>
    <row r="674" spans="1:4">
      <c r="A674" s="24" t="s">
        <v>14822</v>
      </c>
      <c r="B674" s="42" t="s">
        <v>16268</v>
      </c>
      <c r="C674" s="42" t="s">
        <v>16267</v>
      </c>
      <c r="D674" s="43" t="str">
        <f t="shared" si="22"/>
        <v>2021.026M.Paramyxoviridae_sprename.zip</v>
      </c>
    </row>
    <row r="675" spans="1:4">
      <c r="A675" s="24" t="s">
        <v>14822</v>
      </c>
      <c r="B675" s="42" t="s">
        <v>16262</v>
      </c>
      <c r="C675" s="42" t="s">
        <v>16261</v>
      </c>
      <c r="D675" s="43" t="str">
        <f t="shared" si="22"/>
        <v>2021.026M.Paramyxoviridae_sprename.zip</v>
      </c>
    </row>
    <row r="676" spans="1:4">
      <c r="A676" s="24" t="s">
        <v>14822</v>
      </c>
      <c r="B676" s="42" t="s">
        <v>16264</v>
      </c>
      <c r="C676" s="42" t="s">
        <v>16263</v>
      </c>
      <c r="D676" s="43" t="str">
        <f t="shared" si="22"/>
        <v>2021.026M.Paramyxoviridae_sprename.zip</v>
      </c>
    </row>
    <row r="677" spans="1:4">
      <c r="A677" s="24" t="s">
        <v>14822</v>
      </c>
      <c r="B677" s="42" t="s">
        <v>16260</v>
      </c>
      <c r="C677" s="42" t="s">
        <v>16259</v>
      </c>
      <c r="D677" s="43" t="str">
        <f t="shared" si="22"/>
        <v>2021.026M.Paramyxoviridae_sprename.zip</v>
      </c>
    </row>
    <row r="678" spans="1:4">
      <c r="A678" s="24" t="s">
        <v>14822</v>
      </c>
      <c r="B678" s="42" t="s">
        <v>16266</v>
      </c>
      <c r="C678" s="42" t="s">
        <v>16265</v>
      </c>
      <c r="D678" s="43" t="str">
        <f t="shared" si="22"/>
        <v>2021.026M.Paramyxoviridae_sprename.zip</v>
      </c>
    </row>
    <row r="679" spans="1:4">
      <c r="A679" s="24" t="s">
        <v>14822</v>
      </c>
      <c r="B679" s="42" t="s">
        <v>16258</v>
      </c>
      <c r="C679" s="42" t="s">
        <v>16257</v>
      </c>
      <c r="D679" s="43" t="str">
        <f t="shared" si="22"/>
        <v>2021.026M.Paramyxoviridae_sprename.zip</v>
      </c>
    </row>
    <row r="680" spans="1:4">
      <c r="A680" s="24" t="s">
        <v>14822</v>
      </c>
      <c r="B680" s="42" t="s">
        <v>16256</v>
      </c>
      <c r="C680" s="42" t="s">
        <v>16255</v>
      </c>
      <c r="D680" s="43" t="str">
        <f t="shared" si="22"/>
        <v>2021.026M.Paramyxoviridae_sprename.zip</v>
      </c>
    </row>
    <row r="681" spans="1:4">
      <c r="A681" s="24" t="s">
        <v>14822</v>
      </c>
      <c r="B681" s="42" t="s">
        <v>16252</v>
      </c>
      <c r="C681" s="42" t="s">
        <v>16251</v>
      </c>
      <c r="D681" s="43" t="str">
        <f t="shared" si="22"/>
        <v>2021.026M.Paramyxoviridae_sprename.zip</v>
      </c>
    </row>
    <row r="682" spans="1:4">
      <c r="A682" s="24" t="s">
        <v>14822</v>
      </c>
      <c r="B682" s="42" t="s">
        <v>16254</v>
      </c>
      <c r="C682" s="42" t="s">
        <v>16253</v>
      </c>
      <c r="D682" s="43" t="str">
        <f t="shared" ref="D682:D695" si="23">HYPERLINK("https://ictv.global/ictv/proposals/2021.026M.Paramyxoviridae_sprename.zip","2021.026M.Paramyxoviridae_sprename.zip")</f>
        <v>2021.026M.Paramyxoviridae_sprename.zip</v>
      </c>
    </row>
    <row r="683" spans="1:4">
      <c r="A683" s="24" t="s">
        <v>14822</v>
      </c>
      <c r="B683" s="42" t="s">
        <v>16248</v>
      </c>
      <c r="C683" s="42" t="s">
        <v>16247</v>
      </c>
      <c r="D683" s="43" t="str">
        <f t="shared" si="23"/>
        <v>2021.026M.Paramyxoviridae_sprename.zip</v>
      </c>
    </row>
    <row r="684" spans="1:4">
      <c r="A684" s="24" t="s">
        <v>14822</v>
      </c>
      <c r="B684" s="42" t="s">
        <v>16250</v>
      </c>
      <c r="C684" s="42" t="s">
        <v>16249</v>
      </c>
      <c r="D684" s="43" t="str">
        <f t="shared" si="23"/>
        <v>2021.026M.Paramyxoviridae_sprename.zip</v>
      </c>
    </row>
    <row r="685" spans="1:4">
      <c r="A685" s="24" t="s">
        <v>14822</v>
      </c>
      <c r="B685" s="42" t="s">
        <v>16242</v>
      </c>
      <c r="C685" s="42" t="s">
        <v>16241</v>
      </c>
      <c r="D685" s="43" t="str">
        <f t="shared" si="23"/>
        <v>2021.026M.Paramyxoviridae_sprename.zip</v>
      </c>
    </row>
    <row r="686" spans="1:4">
      <c r="A686" s="24" t="s">
        <v>14822</v>
      </c>
      <c r="B686" s="42" t="s">
        <v>16238</v>
      </c>
      <c r="C686" s="42" t="s">
        <v>16237</v>
      </c>
      <c r="D686" s="43" t="str">
        <f t="shared" si="23"/>
        <v>2021.026M.Paramyxoviridae_sprename.zip</v>
      </c>
    </row>
    <row r="687" spans="1:4">
      <c r="A687" s="24" t="s">
        <v>14822</v>
      </c>
      <c r="B687" s="42" t="s">
        <v>16236</v>
      </c>
      <c r="C687" s="42" t="s">
        <v>16235</v>
      </c>
      <c r="D687" s="43" t="str">
        <f t="shared" si="23"/>
        <v>2021.026M.Paramyxoviridae_sprename.zip</v>
      </c>
    </row>
    <row r="688" spans="1:4">
      <c r="A688" s="24" t="s">
        <v>14822</v>
      </c>
      <c r="B688" s="42" t="s">
        <v>16234</v>
      </c>
      <c r="C688" s="42" t="s">
        <v>16233</v>
      </c>
      <c r="D688" s="43" t="str">
        <f t="shared" si="23"/>
        <v>2021.026M.Paramyxoviridae_sprename.zip</v>
      </c>
    </row>
    <row r="689" spans="1:4">
      <c r="A689" s="24" t="s">
        <v>14822</v>
      </c>
      <c r="B689" s="42" t="s">
        <v>16232</v>
      </c>
      <c r="C689" s="42" t="s">
        <v>16231</v>
      </c>
      <c r="D689" s="43" t="str">
        <f t="shared" si="23"/>
        <v>2021.026M.Paramyxoviridae_sprename.zip</v>
      </c>
    </row>
    <row r="690" spans="1:4">
      <c r="A690" s="24" t="s">
        <v>14822</v>
      </c>
      <c r="B690" s="42" t="s">
        <v>16244</v>
      </c>
      <c r="C690" s="42" t="s">
        <v>16243</v>
      </c>
      <c r="D690" s="43" t="str">
        <f t="shared" si="23"/>
        <v>2021.026M.Paramyxoviridae_sprename.zip</v>
      </c>
    </row>
    <row r="691" spans="1:4">
      <c r="A691" s="24" t="s">
        <v>14822</v>
      </c>
      <c r="B691" s="42" t="s">
        <v>16246</v>
      </c>
      <c r="C691" s="42" t="s">
        <v>16245</v>
      </c>
      <c r="D691" s="43" t="str">
        <f t="shared" si="23"/>
        <v>2021.026M.Paramyxoviridae_sprename.zip</v>
      </c>
    </row>
    <row r="692" spans="1:4">
      <c r="A692" s="24" t="s">
        <v>14822</v>
      </c>
      <c r="B692" s="42" t="s">
        <v>16240</v>
      </c>
      <c r="C692" s="42" t="s">
        <v>16239</v>
      </c>
      <c r="D692" s="43" t="str">
        <f t="shared" si="23"/>
        <v>2021.026M.Paramyxoviridae_sprename.zip</v>
      </c>
    </row>
    <row r="693" spans="1:4">
      <c r="A693" s="24" t="s">
        <v>14822</v>
      </c>
      <c r="B693" s="42" t="s">
        <v>16340</v>
      </c>
      <c r="C693" s="42" t="s">
        <v>16339</v>
      </c>
      <c r="D693" s="43" t="str">
        <f t="shared" si="23"/>
        <v>2021.026M.Paramyxoviridae_sprename.zip</v>
      </c>
    </row>
    <row r="694" spans="1:4">
      <c r="A694" s="24" t="s">
        <v>14822</v>
      </c>
      <c r="B694" s="42" t="s">
        <v>16338</v>
      </c>
      <c r="C694" s="42" t="s">
        <v>16337</v>
      </c>
      <c r="D694" s="43" t="str">
        <f t="shared" si="23"/>
        <v>2021.026M.Paramyxoviridae_sprename.zip</v>
      </c>
    </row>
    <row r="695" spans="1:4">
      <c r="A695" s="24" t="s">
        <v>14822</v>
      </c>
      <c r="B695" s="42" t="s">
        <v>16230</v>
      </c>
      <c r="C695" s="42" t="s">
        <v>16229</v>
      </c>
      <c r="D695" s="43" t="str">
        <f t="shared" si="23"/>
        <v>2021.026M.Paramyxoviridae_sprename.zip</v>
      </c>
    </row>
    <row r="696" spans="1:4">
      <c r="A696" s="24" t="s">
        <v>14822</v>
      </c>
      <c r="B696" s="42" t="s">
        <v>16228</v>
      </c>
      <c r="C696" s="42" t="s">
        <v>16227</v>
      </c>
      <c r="D696" s="43" t="str">
        <f>HYPERLINK("https://ictv.global/ictv/proposals/2021.033M.Pneumoviridae_sprename.zip","2021.033M.Pneumoviridae_sprename.zip")</f>
        <v>2021.033M.Pneumoviridae_sprename.zip</v>
      </c>
    </row>
    <row r="697" spans="1:4">
      <c r="A697" s="24" t="s">
        <v>14822</v>
      </c>
      <c r="B697" s="42" t="s">
        <v>16226</v>
      </c>
      <c r="C697" s="42" t="s">
        <v>16225</v>
      </c>
      <c r="D697" s="43" t="str">
        <f>HYPERLINK("https://ictv.global/ictv/proposals/2021.033M.Pneumoviridae_sprename.zip","2021.033M.Pneumoviridae_sprename.zip")</f>
        <v>2021.033M.Pneumoviridae_sprename.zip</v>
      </c>
    </row>
    <row r="698" spans="1:4">
      <c r="A698" s="24" t="s">
        <v>14822</v>
      </c>
      <c r="B698" s="42" t="s">
        <v>16224</v>
      </c>
      <c r="C698" s="42" t="s">
        <v>16223</v>
      </c>
      <c r="D698" s="43" t="str">
        <f>HYPERLINK("https://ictv.global/ictv/proposals/2021.033M.Pneumoviridae_sprename.zip","2021.033M.Pneumoviridae_sprename.zip")</f>
        <v>2021.033M.Pneumoviridae_sprename.zip</v>
      </c>
    </row>
    <row r="699" spans="1:4">
      <c r="A699" s="24" t="s">
        <v>14822</v>
      </c>
      <c r="B699" s="42" t="s">
        <v>16222</v>
      </c>
      <c r="C699" s="42" t="s">
        <v>16221</v>
      </c>
      <c r="D699" s="43" t="str">
        <f>HYPERLINK("https://ictv.global/ictv/proposals/2021.033M.Pneumoviridae_sprename.zip","2021.033M.Pneumoviridae_sprename.zip")</f>
        <v>2021.033M.Pneumoviridae_sprename.zip</v>
      </c>
    </row>
    <row r="700" spans="1:4">
      <c r="A700" s="24" t="s">
        <v>14822</v>
      </c>
      <c r="B700" s="42" t="s">
        <v>16220</v>
      </c>
      <c r="C700" s="42" t="s">
        <v>16219</v>
      </c>
      <c r="D700" s="43" t="str">
        <f>HYPERLINK("https://ictv.global/ictv/proposals/2021.033M.Pneumoviridae_sprename.zip","2021.033M.Pneumoviridae_sprename.zip")</f>
        <v>2021.033M.Pneumoviridae_sprename.zip</v>
      </c>
    </row>
    <row r="701" spans="1:4">
      <c r="A701" s="24" t="s">
        <v>14822</v>
      </c>
      <c r="B701" s="42" t="s">
        <v>16218</v>
      </c>
      <c r="C701" s="42" t="s">
        <v>16217</v>
      </c>
      <c r="D701" s="43" t="str">
        <f t="shared" ref="D701:D732" si="24">HYPERLINK("https://ictv.global/ictv/proposals/2021.008M.Arenaviridae_rename.zip","2021.008M.Arenaviridae_rename.zip")</f>
        <v>2021.008M.Arenaviridae_rename.zip</v>
      </c>
    </row>
    <row r="702" spans="1:4">
      <c r="A702" s="24" t="s">
        <v>14822</v>
      </c>
      <c r="B702" s="42" t="s">
        <v>16216</v>
      </c>
      <c r="C702" s="42" t="s">
        <v>16215</v>
      </c>
      <c r="D702" s="43" t="str">
        <f t="shared" si="24"/>
        <v>2021.008M.Arenaviridae_rename.zip</v>
      </c>
    </row>
    <row r="703" spans="1:4">
      <c r="A703" s="24" t="s">
        <v>14822</v>
      </c>
      <c r="B703" s="42" t="s">
        <v>16214</v>
      </c>
      <c r="C703" s="42" t="s">
        <v>16213</v>
      </c>
      <c r="D703" s="43" t="str">
        <f t="shared" si="24"/>
        <v>2021.008M.Arenaviridae_rename.zip</v>
      </c>
    </row>
    <row r="704" spans="1:4">
      <c r="A704" s="24" t="s">
        <v>14822</v>
      </c>
      <c r="B704" s="42" t="s">
        <v>16210</v>
      </c>
      <c r="C704" s="42" t="s">
        <v>16209</v>
      </c>
      <c r="D704" s="43" t="str">
        <f t="shared" si="24"/>
        <v>2021.008M.Arenaviridae_rename.zip</v>
      </c>
    </row>
    <row r="705" spans="1:4">
      <c r="A705" s="24" t="s">
        <v>14822</v>
      </c>
      <c r="B705" s="42" t="s">
        <v>16206</v>
      </c>
      <c r="C705" s="42" t="s">
        <v>16205</v>
      </c>
      <c r="D705" s="43" t="str">
        <f t="shared" si="24"/>
        <v>2021.008M.Arenaviridae_rename.zip</v>
      </c>
    </row>
    <row r="706" spans="1:4">
      <c r="A706" s="24" t="s">
        <v>14822</v>
      </c>
      <c r="B706" s="42" t="s">
        <v>16208</v>
      </c>
      <c r="C706" s="42" t="s">
        <v>16207</v>
      </c>
      <c r="D706" s="43" t="str">
        <f t="shared" si="24"/>
        <v>2021.008M.Arenaviridae_rename.zip</v>
      </c>
    </row>
    <row r="707" spans="1:4">
      <c r="A707" s="24" t="s">
        <v>14822</v>
      </c>
      <c r="B707" s="42" t="s">
        <v>16204</v>
      </c>
      <c r="C707" s="42" t="s">
        <v>16203</v>
      </c>
      <c r="D707" s="43" t="str">
        <f t="shared" si="24"/>
        <v>2021.008M.Arenaviridae_rename.zip</v>
      </c>
    </row>
    <row r="708" spans="1:4">
      <c r="A708" s="24" t="s">
        <v>14822</v>
      </c>
      <c r="B708" s="42" t="s">
        <v>16212</v>
      </c>
      <c r="C708" s="42" t="s">
        <v>16211</v>
      </c>
      <c r="D708" s="43" t="str">
        <f t="shared" si="24"/>
        <v>2021.008M.Arenaviridae_rename.zip</v>
      </c>
    </row>
    <row r="709" spans="1:4">
      <c r="A709" s="24" t="s">
        <v>14822</v>
      </c>
      <c r="B709" s="42" t="s">
        <v>16202</v>
      </c>
      <c r="C709" s="42" t="s">
        <v>16201</v>
      </c>
      <c r="D709" s="43" t="str">
        <f t="shared" si="24"/>
        <v>2021.008M.Arenaviridae_rename.zip</v>
      </c>
    </row>
    <row r="710" spans="1:4">
      <c r="A710" s="24" t="s">
        <v>14822</v>
      </c>
      <c r="B710" s="42" t="s">
        <v>16198</v>
      </c>
      <c r="C710" s="42" t="s">
        <v>16197</v>
      </c>
      <c r="D710" s="43" t="str">
        <f t="shared" si="24"/>
        <v>2021.008M.Arenaviridae_rename.zip</v>
      </c>
    </row>
    <row r="711" spans="1:4">
      <c r="A711" s="24" t="s">
        <v>14822</v>
      </c>
      <c r="B711" s="42" t="s">
        <v>16200</v>
      </c>
      <c r="C711" s="42" t="s">
        <v>16199</v>
      </c>
      <c r="D711" s="43" t="str">
        <f t="shared" si="24"/>
        <v>2021.008M.Arenaviridae_rename.zip</v>
      </c>
    </row>
    <row r="712" spans="1:4">
      <c r="A712" s="24" t="s">
        <v>14822</v>
      </c>
      <c r="B712" s="42" t="s">
        <v>16170</v>
      </c>
      <c r="C712" s="42" t="s">
        <v>16169</v>
      </c>
      <c r="D712" s="43" t="str">
        <f t="shared" si="24"/>
        <v>2021.008M.Arenaviridae_rename.zip</v>
      </c>
    </row>
    <row r="713" spans="1:4">
      <c r="A713" s="24" t="s">
        <v>14822</v>
      </c>
      <c r="B713" s="42" t="s">
        <v>16192</v>
      </c>
      <c r="C713" s="42" t="s">
        <v>16191</v>
      </c>
      <c r="D713" s="43" t="str">
        <f t="shared" si="24"/>
        <v>2021.008M.Arenaviridae_rename.zip</v>
      </c>
    </row>
    <row r="714" spans="1:4">
      <c r="A714" s="24" t="s">
        <v>14822</v>
      </c>
      <c r="B714" s="42" t="s">
        <v>16190</v>
      </c>
      <c r="C714" s="42" t="s">
        <v>16189</v>
      </c>
      <c r="D714" s="43" t="str">
        <f t="shared" si="24"/>
        <v>2021.008M.Arenaviridae_rename.zip</v>
      </c>
    </row>
    <row r="715" spans="1:4">
      <c r="A715" s="24" t="s">
        <v>14822</v>
      </c>
      <c r="B715" s="42" t="s">
        <v>16188</v>
      </c>
      <c r="C715" s="42" t="s">
        <v>16187</v>
      </c>
      <c r="D715" s="43" t="str">
        <f t="shared" si="24"/>
        <v>2021.008M.Arenaviridae_rename.zip</v>
      </c>
    </row>
    <row r="716" spans="1:4">
      <c r="A716" s="24" t="s">
        <v>14822</v>
      </c>
      <c r="B716" s="42" t="s">
        <v>16184</v>
      </c>
      <c r="C716" s="42" t="s">
        <v>16183</v>
      </c>
      <c r="D716" s="43" t="str">
        <f t="shared" si="24"/>
        <v>2021.008M.Arenaviridae_rename.zip</v>
      </c>
    </row>
    <row r="717" spans="1:4">
      <c r="A717" s="24" t="s">
        <v>14822</v>
      </c>
      <c r="B717" s="42" t="s">
        <v>16162</v>
      </c>
      <c r="C717" s="42" t="s">
        <v>16161</v>
      </c>
      <c r="D717" s="43" t="str">
        <f t="shared" si="24"/>
        <v>2021.008M.Arenaviridae_rename.zip</v>
      </c>
    </row>
    <row r="718" spans="1:4">
      <c r="A718" s="24" t="s">
        <v>14822</v>
      </c>
      <c r="B718" s="42" t="s">
        <v>16180</v>
      </c>
      <c r="C718" s="42" t="s">
        <v>16179</v>
      </c>
      <c r="D718" s="43" t="str">
        <f t="shared" si="24"/>
        <v>2021.008M.Arenaviridae_rename.zip</v>
      </c>
    </row>
    <row r="719" spans="1:4">
      <c r="A719" s="24" t="s">
        <v>14822</v>
      </c>
      <c r="B719" s="42" t="s">
        <v>16178</v>
      </c>
      <c r="C719" s="42" t="s">
        <v>16177</v>
      </c>
      <c r="D719" s="43" t="str">
        <f t="shared" si="24"/>
        <v>2021.008M.Arenaviridae_rename.zip</v>
      </c>
    </row>
    <row r="720" spans="1:4">
      <c r="A720" s="24" t="s">
        <v>14822</v>
      </c>
      <c r="B720" s="42" t="s">
        <v>16176</v>
      </c>
      <c r="C720" s="42" t="s">
        <v>16175</v>
      </c>
      <c r="D720" s="43" t="str">
        <f t="shared" si="24"/>
        <v>2021.008M.Arenaviridae_rename.zip</v>
      </c>
    </row>
    <row r="721" spans="1:4">
      <c r="A721" s="24" t="s">
        <v>14822</v>
      </c>
      <c r="B721" s="42" t="s">
        <v>16174</v>
      </c>
      <c r="C721" s="42" t="s">
        <v>16173</v>
      </c>
      <c r="D721" s="43" t="str">
        <f t="shared" si="24"/>
        <v>2021.008M.Arenaviridae_rename.zip</v>
      </c>
    </row>
    <row r="722" spans="1:4">
      <c r="A722" s="24" t="s">
        <v>14822</v>
      </c>
      <c r="B722" s="42" t="s">
        <v>16172</v>
      </c>
      <c r="C722" s="42" t="s">
        <v>16171</v>
      </c>
      <c r="D722" s="43" t="str">
        <f t="shared" si="24"/>
        <v>2021.008M.Arenaviridae_rename.zip</v>
      </c>
    </row>
    <row r="723" spans="1:4">
      <c r="A723" s="24" t="s">
        <v>14822</v>
      </c>
      <c r="B723" s="42" t="s">
        <v>16168</v>
      </c>
      <c r="C723" s="42" t="s">
        <v>16167</v>
      </c>
      <c r="D723" s="43" t="str">
        <f t="shared" si="24"/>
        <v>2021.008M.Arenaviridae_rename.zip</v>
      </c>
    </row>
    <row r="724" spans="1:4">
      <c r="A724" s="24" t="s">
        <v>14822</v>
      </c>
      <c r="B724" s="42" t="s">
        <v>16166</v>
      </c>
      <c r="C724" s="42" t="s">
        <v>16165</v>
      </c>
      <c r="D724" s="43" t="str">
        <f t="shared" si="24"/>
        <v>2021.008M.Arenaviridae_rename.zip</v>
      </c>
    </row>
    <row r="725" spans="1:4">
      <c r="A725" s="24" t="s">
        <v>14822</v>
      </c>
      <c r="B725" s="42" t="s">
        <v>16164</v>
      </c>
      <c r="C725" s="42" t="s">
        <v>16163</v>
      </c>
      <c r="D725" s="43" t="str">
        <f t="shared" si="24"/>
        <v>2021.008M.Arenaviridae_rename.zip</v>
      </c>
    </row>
    <row r="726" spans="1:4">
      <c r="A726" s="24" t="s">
        <v>14822</v>
      </c>
      <c r="B726" s="42" t="s">
        <v>16160</v>
      </c>
      <c r="C726" s="42" t="s">
        <v>16159</v>
      </c>
      <c r="D726" s="43" t="str">
        <f t="shared" si="24"/>
        <v>2021.008M.Arenaviridae_rename.zip</v>
      </c>
    </row>
    <row r="727" spans="1:4">
      <c r="A727" s="24" t="s">
        <v>14822</v>
      </c>
      <c r="B727" s="42" t="s">
        <v>16158</v>
      </c>
      <c r="C727" s="42" t="s">
        <v>16157</v>
      </c>
      <c r="D727" s="43" t="str">
        <f t="shared" si="24"/>
        <v>2021.008M.Arenaviridae_rename.zip</v>
      </c>
    </row>
    <row r="728" spans="1:4">
      <c r="A728" s="24" t="s">
        <v>14822</v>
      </c>
      <c r="B728" s="42" t="s">
        <v>16156</v>
      </c>
      <c r="C728" s="42" t="s">
        <v>16155</v>
      </c>
      <c r="D728" s="43" t="str">
        <f t="shared" si="24"/>
        <v>2021.008M.Arenaviridae_rename.zip</v>
      </c>
    </row>
    <row r="729" spans="1:4">
      <c r="A729" s="24" t="s">
        <v>14822</v>
      </c>
      <c r="B729" s="42" t="s">
        <v>16154</v>
      </c>
      <c r="C729" s="42" t="s">
        <v>16153</v>
      </c>
      <c r="D729" s="43" t="str">
        <f t="shared" si="24"/>
        <v>2021.008M.Arenaviridae_rename.zip</v>
      </c>
    </row>
    <row r="730" spans="1:4">
      <c r="A730" s="24" t="s">
        <v>14822</v>
      </c>
      <c r="B730" s="42" t="s">
        <v>16182</v>
      </c>
      <c r="C730" s="42" t="s">
        <v>16181</v>
      </c>
      <c r="D730" s="43" t="str">
        <f t="shared" si="24"/>
        <v>2021.008M.Arenaviridae_rename.zip</v>
      </c>
    </row>
    <row r="731" spans="1:4">
      <c r="A731" s="24" t="s">
        <v>14822</v>
      </c>
      <c r="B731" s="42" t="s">
        <v>16152</v>
      </c>
      <c r="C731" s="42" t="s">
        <v>16151</v>
      </c>
      <c r="D731" s="43" t="str">
        <f t="shared" si="24"/>
        <v>2021.008M.Arenaviridae_rename.zip</v>
      </c>
    </row>
    <row r="732" spans="1:4">
      <c r="A732" s="24" t="s">
        <v>14822</v>
      </c>
      <c r="B732" s="42" t="s">
        <v>16150</v>
      </c>
      <c r="C732" s="42" t="s">
        <v>16149</v>
      </c>
      <c r="D732" s="43" t="str">
        <f t="shared" si="24"/>
        <v>2021.008M.Arenaviridae_rename.zip</v>
      </c>
    </row>
    <row r="733" spans="1:4">
      <c r="A733" s="24" t="s">
        <v>14822</v>
      </c>
      <c r="B733" s="42" t="s">
        <v>16148</v>
      </c>
      <c r="C733" s="42" t="s">
        <v>16147</v>
      </c>
      <c r="D733" s="43" t="str">
        <f t="shared" ref="D733:D754" si="25">HYPERLINK("https://ictv.global/ictv/proposals/2021.008M.Arenaviridae_rename.zip","2021.008M.Arenaviridae_rename.zip")</f>
        <v>2021.008M.Arenaviridae_rename.zip</v>
      </c>
    </row>
    <row r="734" spans="1:4">
      <c r="A734" s="24" t="s">
        <v>14822</v>
      </c>
      <c r="B734" s="42" t="s">
        <v>16136</v>
      </c>
      <c r="C734" s="42" t="s">
        <v>16135</v>
      </c>
      <c r="D734" s="43" t="str">
        <f t="shared" si="25"/>
        <v>2021.008M.Arenaviridae_rename.zip</v>
      </c>
    </row>
    <row r="735" spans="1:4">
      <c r="A735" s="24" t="s">
        <v>14822</v>
      </c>
      <c r="B735" s="42" t="s">
        <v>16146</v>
      </c>
      <c r="C735" s="42" t="s">
        <v>16145</v>
      </c>
      <c r="D735" s="43" t="str">
        <f t="shared" si="25"/>
        <v>2021.008M.Arenaviridae_rename.zip</v>
      </c>
    </row>
    <row r="736" spans="1:4">
      <c r="A736" s="24" t="s">
        <v>14822</v>
      </c>
      <c r="B736" s="42" t="s">
        <v>16144</v>
      </c>
      <c r="C736" s="42" t="s">
        <v>16143</v>
      </c>
      <c r="D736" s="43" t="str">
        <f t="shared" si="25"/>
        <v>2021.008M.Arenaviridae_rename.zip</v>
      </c>
    </row>
    <row r="737" spans="1:4">
      <c r="A737" s="24" t="s">
        <v>14822</v>
      </c>
      <c r="B737" s="42" t="s">
        <v>16142</v>
      </c>
      <c r="C737" s="42" t="s">
        <v>16141</v>
      </c>
      <c r="D737" s="43" t="str">
        <f t="shared" si="25"/>
        <v>2021.008M.Arenaviridae_rename.zip</v>
      </c>
    </row>
    <row r="738" spans="1:4">
      <c r="A738" s="24" t="s">
        <v>14822</v>
      </c>
      <c r="B738" s="42" t="s">
        <v>16140</v>
      </c>
      <c r="C738" s="42" t="s">
        <v>16139</v>
      </c>
      <c r="D738" s="43" t="str">
        <f t="shared" si="25"/>
        <v>2021.008M.Arenaviridae_rename.zip</v>
      </c>
    </row>
    <row r="739" spans="1:4">
      <c r="A739" s="24" t="s">
        <v>14822</v>
      </c>
      <c r="B739" s="42" t="s">
        <v>16138</v>
      </c>
      <c r="C739" s="42" t="s">
        <v>16137</v>
      </c>
      <c r="D739" s="43" t="str">
        <f t="shared" si="25"/>
        <v>2021.008M.Arenaviridae_rename.zip</v>
      </c>
    </row>
    <row r="740" spans="1:4">
      <c r="A740" s="24" t="s">
        <v>14822</v>
      </c>
      <c r="B740" s="42" t="s">
        <v>16194</v>
      </c>
      <c r="C740" s="42" t="s">
        <v>16193</v>
      </c>
      <c r="D740" s="43" t="str">
        <f t="shared" si="25"/>
        <v>2021.008M.Arenaviridae_rename.zip</v>
      </c>
    </row>
    <row r="741" spans="1:4">
      <c r="A741" s="24" t="s">
        <v>14822</v>
      </c>
      <c r="B741" s="42" t="s">
        <v>16134</v>
      </c>
      <c r="C741" s="42" t="s">
        <v>16133</v>
      </c>
      <c r="D741" s="43" t="str">
        <f t="shared" si="25"/>
        <v>2021.008M.Arenaviridae_rename.zip</v>
      </c>
    </row>
    <row r="742" spans="1:4">
      <c r="A742" s="24" t="s">
        <v>14822</v>
      </c>
      <c r="B742" s="42" t="s">
        <v>16196</v>
      </c>
      <c r="C742" s="42" t="s">
        <v>16195</v>
      </c>
      <c r="D742" s="43" t="str">
        <f t="shared" si="25"/>
        <v>2021.008M.Arenaviridae_rename.zip</v>
      </c>
    </row>
    <row r="743" spans="1:4">
      <c r="A743" s="24" t="s">
        <v>14822</v>
      </c>
      <c r="B743" s="42" t="s">
        <v>16132</v>
      </c>
      <c r="C743" s="42" t="s">
        <v>16131</v>
      </c>
      <c r="D743" s="43" t="str">
        <f t="shared" si="25"/>
        <v>2021.008M.Arenaviridae_rename.zip</v>
      </c>
    </row>
    <row r="744" spans="1:4">
      <c r="A744" s="24" t="s">
        <v>14822</v>
      </c>
      <c r="B744" s="42" t="s">
        <v>16186</v>
      </c>
      <c r="C744" s="42" t="s">
        <v>16185</v>
      </c>
      <c r="D744" s="43" t="str">
        <f t="shared" si="25"/>
        <v>2021.008M.Arenaviridae_rename.zip</v>
      </c>
    </row>
    <row r="745" spans="1:4">
      <c r="A745" s="24" t="s">
        <v>14822</v>
      </c>
      <c r="B745" s="42" t="s">
        <v>16130</v>
      </c>
      <c r="C745" s="42" t="s">
        <v>16129</v>
      </c>
      <c r="D745" s="43" t="str">
        <f t="shared" si="25"/>
        <v>2021.008M.Arenaviridae_rename.zip</v>
      </c>
    </row>
    <row r="746" spans="1:4">
      <c r="A746" s="24" t="s">
        <v>14822</v>
      </c>
      <c r="B746" s="42" t="s">
        <v>16128</v>
      </c>
      <c r="C746" s="42" t="s">
        <v>16127</v>
      </c>
      <c r="D746" s="43" t="str">
        <f t="shared" si="25"/>
        <v>2021.008M.Arenaviridae_rename.zip</v>
      </c>
    </row>
    <row r="747" spans="1:4">
      <c r="A747" s="24" t="s">
        <v>14822</v>
      </c>
      <c r="B747" s="42" t="s">
        <v>16126</v>
      </c>
      <c r="C747" s="42" t="s">
        <v>16125</v>
      </c>
      <c r="D747" s="43" t="str">
        <f t="shared" si="25"/>
        <v>2021.008M.Arenaviridae_rename.zip</v>
      </c>
    </row>
    <row r="748" spans="1:4">
      <c r="A748" s="24" t="s">
        <v>14822</v>
      </c>
      <c r="B748" s="42" t="s">
        <v>16124</v>
      </c>
      <c r="C748" s="42" t="s">
        <v>16123</v>
      </c>
      <c r="D748" s="43" t="str">
        <f t="shared" si="25"/>
        <v>2021.008M.Arenaviridae_rename.zip</v>
      </c>
    </row>
    <row r="749" spans="1:4">
      <c r="A749" s="24" t="s">
        <v>14822</v>
      </c>
      <c r="B749" s="42" t="s">
        <v>16122</v>
      </c>
      <c r="C749" s="42" t="s">
        <v>16121</v>
      </c>
      <c r="D749" s="43" t="str">
        <f t="shared" si="25"/>
        <v>2021.008M.Arenaviridae_rename.zip</v>
      </c>
    </row>
    <row r="750" spans="1:4">
      <c r="A750" s="24" t="s">
        <v>14822</v>
      </c>
      <c r="B750" s="42" t="s">
        <v>16118</v>
      </c>
      <c r="C750" s="42" t="s">
        <v>16117</v>
      </c>
      <c r="D750" s="43" t="str">
        <f t="shared" si="25"/>
        <v>2021.008M.Arenaviridae_rename.zip</v>
      </c>
    </row>
    <row r="751" spans="1:4">
      <c r="A751" s="24" t="s">
        <v>14822</v>
      </c>
      <c r="B751" s="42" t="s">
        <v>16114</v>
      </c>
      <c r="C751" s="42" t="s">
        <v>16113</v>
      </c>
      <c r="D751" s="43" t="str">
        <f t="shared" si="25"/>
        <v>2021.008M.Arenaviridae_rename.zip</v>
      </c>
    </row>
    <row r="752" spans="1:4">
      <c r="A752" s="24" t="s">
        <v>14822</v>
      </c>
      <c r="B752" s="42" t="s">
        <v>16120</v>
      </c>
      <c r="C752" s="42" t="s">
        <v>16119</v>
      </c>
      <c r="D752" s="43" t="str">
        <f t="shared" si="25"/>
        <v>2021.008M.Arenaviridae_rename.zip</v>
      </c>
    </row>
    <row r="753" spans="1:4">
      <c r="A753" s="24" t="s">
        <v>14822</v>
      </c>
      <c r="B753" s="42" t="s">
        <v>16116</v>
      </c>
      <c r="C753" s="42" t="s">
        <v>16115</v>
      </c>
      <c r="D753" s="43" t="str">
        <f t="shared" si="25"/>
        <v>2021.008M.Arenaviridae_rename.zip</v>
      </c>
    </row>
    <row r="754" spans="1:4">
      <c r="A754" s="24" t="s">
        <v>14822</v>
      </c>
      <c r="B754" s="42" t="s">
        <v>16112</v>
      </c>
      <c r="C754" s="42" t="s">
        <v>16111</v>
      </c>
      <c r="D754" s="43" t="str">
        <f t="shared" si="25"/>
        <v>2021.008M.Arenaviridae_rename.zip</v>
      </c>
    </row>
    <row r="755" spans="1:4">
      <c r="A755" s="24" t="s">
        <v>14822</v>
      </c>
      <c r="B755" s="42" t="s">
        <v>16108</v>
      </c>
      <c r="C755" s="42" t="s">
        <v>16107</v>
      </c>
      <c r="D755" s="43" t="str">
        <f t="shared" ref="D755:D786" si="26">HYPERLINK("https://ictv.global/ictv/proposals/2021.013M.Hantaviridae_sprename.zip","2021.013M.Hantaviridae_sprename.zip")</f>
        <v>2021.013M.Hantaviridae_sprename.zip</v>
      </c>
    </row>
    <row r="756" spans="1:4">
      <c r="A756" s="24" t="s">
        <v>14822</v>
      </c>
      <c r="B756" s="42" t="s">
        <v>16106</v>
      </c>
      <c r="C756" s="42" t="s">
        <v>16105</v>
      </c>
      <c r="D756" s="43" t="str">
        <f t="shared" si="26"/>
        <v>2021.013M.Hantaviridae_sprename.zip</v>
      </c>
    </row>
    <row r="757" spans="1:4">
      <c r="A757" s="24" t="s">
        <v>14822</v>
      </c>
      <c r="B757" s="42" t="s">
        <v>16110</v>
      </c>
      <c r="C757" s="42" t="s">
        <v>16109</v>
      </c>
      <c r="D757" s="43" t="str">
        <f t="shared" si="26"/>
        <v>2021.013M.Hantaviridae_sprename.zip</v>
      </c>
    </row>
    <row r="758" spans="1:4">
      <c r="A758" s="24" t="s">
        <v>14822</v>
      </c>
      <c r="B758" s="42" t="s">
        <v>16104</v>
      </c>
      <c r="C758" s="42" t="s">
        <v>16103</v>
      </c>
      <c r="D758" s="43" t="str">
        <f t="shared" si="26"/>
        <v>2021.013M.Hantaviridae_sprename.zip</v>
      </c>
    </row>
    <row r="759" spans="1:4">
      <c r="A759" s="24" t="s">
        <v>14822</v>
      </c>
      <c r="B759" s="42" t="s">
        <v>16102</v>
      </c>
      <c r="C759" s="42" t="s">
        <v>16101</v>
      </c>
      <c r="D759" s="43" t="str">
        <f t="shared" si="26"/>
        <v>2021.013M.Hantaviridae_sprename.zip</v>
      </c>
    </row>
    <row r="760" spans="1:4">
      <c r="A760" s="24" t="s">
        <v>14822</v>
      </c>
      <c r="B760" s="42" t="s">
        <v>16100</v>
      </c>
      <c r="C760" s="42" t="s">
        <v>16099</v>
      </c>
      <c r="D760" s="43" t="str">
        <f t="shared" si="26"/>
        <v>2021.013M.Hantaviridae_sprename.zip</v>
      </c>
    </row>
    <row r="761" spans="1:4">
      <c r="A761" s="24" t="s">
        <v>14822</v>
      </c>
      <c r="B761" s="42" t="s">
        <v>16098</v>
      </c>
      <c r="C761" s="42" t="s">
        <v>16097</v>
      </c>
      <c r="D761" s="43" t="str">
        <f t="shared" si="26"/>
        <v>2021.013M.Hantaviridae_sprename.zip</v>
      </c>
    </row>
    <row r="762" spans="1:4">
      <c r="A762" s="24" t="s">
        <v>14822</v>
      </c>
      <c r="B762" s="42" t="s">
        <v>16096</v>
      </c>
      <c r="C762" s="42" t="s">
        <v>16095</v>
      </c>
      <c r="D762" s="43" t="str">
        <f t="shared" si="26"/>
        <v>2021.013M.Hantaviridae_sprename.zip</v>
      </c>
    </row>
    <row r="763" spans="1:4">
      <c r="A763" s="24" t="s">
        <v>14822</v>
      </c>
      <c r="B763" s="42" t="s">
        <v>16094</v>
      </c>
      <c r="C763" s="42" t="s">
        <v>16093</v>
      </c>
      <c r="D763" s="43" t="str">
        <f t="shared" si="26"/>
        <v>2021.013M.Hantaviridae_sprename.zip</v>
      </c>
    </row>
    <row r="764" spans="1:4">
      <c r="A764" s="24" t="s">
        <v>14822</v>
      </c>
      <c r="B764" s="42" t="s">
        <v>16092</v>
      </c>
      <c r="C764" s="42" t="s">
        <v>16091</v>
      </c>
      <c r="D764" s="43" t="str">
        <f t="shared" si="26"/>
        <v>2021.013M.Hantaviridae_sprename.zip</v>
      </c>
    </row>
    <row r="765" spans="1:4">
      <c r="A765" s="24" t="s">
        <v>14822</v>
      </c>
      <c r="B765" s="42" t="s">
        <v>16090</v>
      </c>
      <c r="C765" s="42" t="s">
        <v>16089</v>
      </c>
      <c r="D765" s="43" t="str">
        <f t="shared" si="26"/>
        <v>2021.013M.Hantaviridae_sprename.zip</v>
      </c>
    </row>
    <row r="766" spans="1:4">
      <c r="A766" s="24" t="s">
        <v>14822</v>
      </c>
      <c r="B766" s="42" t="s">
        <v>16088</v>
      </c>
      <c r="C766" s="42" t="s">
        <v>16087</v>
      </c>
      <c r="D766" s="43" t="str">
        <f t="shared" si="26"/>
        <v>2021.013M.Hantaviridae_sprename.zip</v>
      </c>
    </row>
    <row r="767" spans="1:4">
      <c r="A767" s="24" t="s">
        <v>14822</v>
      </c>
      <c r="B767" s="42" t="s">
        <v>16086</v>
      </c>
      <c r="C767" s="42" t="s">
        <v>16085</v>
      </c>
      <c r="D767" s="43" t="str">
        <f t="shared" si="26"/>
        <v>2021.013M.Hantaviridae_sprename.zip</v>
      </c>
    </row>
    <row r="768" spans="1:4">
      <c r="A768" s="24" t="s">
        <v>14822</v>
      </c>
      <c r="B768" s="42" t="s">
        <v>16084</v>
      </c>
      <c r="C768" s="42" t="s">
        <v>16083</v>
      </c>
      <c r="D768" s="43" t="str">
        <f t="shared" si="26"/>
        <v>2021.013M.Hantaviridae_sprename.zip</v>
      </c>
    </row>
    <row r="769" spans="1:4">
      <c r="A769" s="24" t="s">
        <v>14822</v>
      </c>
      <c r="B769" s="42" t="s">
        <v>16082</v>
      </c>
      <c r="C769" s="42" t="s">
        <v>16081</v>
      </c>
      <c r="D769" s="43" t="str">
        <f t="shared" si="26"/>
        <v>2021.013M.Hantaviridae_sprename.zip</v>
      </c>
    </row>
    <row r="770" spans="1:4">
      <c r="A770" s="24" t="s">
        <v>14822</v>
      </c>
      <c r="B770" s="42" t="s">
        <v>16080</v>
      </c>
      <c r="C770" s="42" t="s">
        <v>16079</v>
      </c>
      <c r="D770" s="43" t="str">
        <f t="shared" si="26"/>
        <v>2021.013M.Hantaviridae_sprename.zip</v>
      </c>
    </row>
    <row r="771" spans="1:4">
      <c r="A771" s="24" t="s">
        <v>14822</v>
      </c>
      <c r="B771" s="42" t="s">
        <v>16040</v>
      </c>
      <c r="C771" s="42" t="s">
        <v>16039</v>
      </c>
      <c r="D771" s="43" t="str">
        <f t="shared" si="26"/>
        <v>2021.013M.Hantaviridae_sprename.zip</v>
      </c>
    </row>
    <row r="772" spans="1:4">
      <c r="A772" s="24" t="s">
        <v>14822</v>
      </c>
      <c r="B772" s="42" t="s">
        <v>16078</v>
      </c>
      <c r="C772" s="42" t="s">
        <v>16077</v>
      </c>
      <c r="D772" s="43" t="str">
        <f t="shared" si="26"/>
        <v>2021.013M.Hantaviridae_sprename.zip</v>
      </c>
    </row>
    <row r="773" spans="1:4">
      <c r="A773" s="24" t="s">
        <v>14822</v>
      </c>
      <c r="B773" s="42" t="s">
        <v>16076</v>
      </c>
      <c r="C773" s="42" t="s">
        <v>16075</v>
      </c>
      <c r="D773" s="43" t="str">
        <f t="shared" si="26"/>
        <v>2021.013M.Hantaviridae_sprename.zip</v>
      </c>
    </row>
    <row r="774" spans="1:4">
      <c r="A774" s="24" t="s">
        <v>14822</v>
      </c>
      <c r="B774" s="42" t="s">
        <v>16068</v>
      </c>
      <c r="C774" s="42" t="s">
        <v>16067</v>
      </c>
      <c r="D774" s="43" t="str">
        <f t="shared" si="26"/>
        <v>2021.013M.Hantaviridae_sprename.zip</v>
      </c>
    </row>
    <row r="775" spans="1:4">
      <c r="A775" s="24" t="s">
        <v>14822</v>
      </c>
      <c r="B775" s="42" t="s">
        <v>16074</v>
      </c>
      <c r="C775" s="42" t="s">
        <v>16073</v>
      </c>
      <c r="D775" s="43" t="str">
        <f t="shared" si="26"/>
        <v>2021.013M.Hantaviridae_sprename.zip</v>
      </c>
    </row>
    <row r="776" spans="1:4">
      <c r="A776" s="24" t="s">
        <v>14822</v>
      </c>
      <c r="B776" s="42" t="s">
        <v>16072</v>
      </c>
      <c r="C776" s="42" t="s">
        <v>16071</v>
      </c>
      <c r="D776" s="43" t="str">
        <f t="shared" si="26"/>
        <v>2021.013M.Hantaviridae_sprename.zip</v>
      </c>
    </row>
    <row r="777" spans="1:4">
      <c r="A777" s="24" t="s">
        <v>14822</v>
      </c>
      <c r="B777" s="42" t="s">
        <v>16070</v>
      </c>
      <c r="C777" s="42" t="s">
        <v>16069</v>
      </c>
      <c r="D777" s="43" t="str">
        <f t="shared" si="26"/>
        <v>2021.013M.Hantaviridae_sprename.zip</v>
      </c>
    </row>
    <row r="778" spans="1:4">
      <c r="A778" s="24" t="s">
        <v>14822</v>
      </c>
      <c r="B778" s="42" t="s">
        <v>16066</v>
      </c>
      <c r="C778" s="42" t="s">
        <v>16065</v>
      </c>
      <c r="D778" s="43" t="str">
        <f t="shared" si="26"/>
        <v>2021.013M.Hantaviridae_sprename.zip</v>
      </c>
    </row>
    <row r="779" spans="1:4">
      <c r="A779" s="24" t="s">
        <v>14822</v>
      </c>
      <c r="B779" s="42" t="s">
        <v>16046</v>
      </c>
      <c r="C779" s="42" t="s">
        <v>16045</v>
      </c>
      <c r="D779" s="43" t="str">
        <f t="shared" si="26"/>
        <v>2021.013M.Hantaviridae_sprename.zip</v>
      </c>
    </row>
    <row r="780" spans="1:4">
      <c r="A780" s="24" t="s">
        <v>14822</v>
      </c>
      <c r="B780" s="42" t="s">
        <v>16064</v>
      </c>
      <c r="C780" s="42" t="s">
        <v>16063</v>
      </c>
      <c r="D780" s="43" t="str">
        <f t="shared" si="26"/>
        <v>2021.013M.Hantaviridae_sprename.zip</v>
      </c>
    </row>
    <row r="781" spans="1:4">
      <c r="A781" s="24" t="s">
        <v>14822</v>
      </c>
      <c r="B781" s="42" t="s">
        <v>16062</v>
      </c>
      <c r="C781" s="42" t="s">
        <v>16061</v>
      </c>
      <c r="D781" s="43" t="str">
        <f t="shared" si="26"/>
        <v>2021.013M.Hantaviridae_sprename.zip</v>
      </c>
    </row>
    <row r="782" spans="1:4">
      <c r="A782" s="24" t="s">
        <v>14822</v>
      </c>
      <c r="B782" s="42" t="s">
        <v>16060</v>
      </c>
      <c r="C782" s="42" t="s">
        <v>16059</v>
      </c>
      <c r="D782" s="43" t="str">
        <f t="shared" si="26"/>
        <v>2021.013M.Hantaviridae_sprename.zip</v>
      </c>
    </row>
    <row r="783" spans="1:4">
      <c r="A783" s="24" t="s">
        <v>14822</v>
      </c>
      <c r="B783" s="42" t="s">
        <v>16058</v>
      </c>
      <c r="C783" s="42" t="s">
        <v>16057</v>
      </c>
      <c r="D783" s="43" t="str">
        <f t="shared" si="26"/>
        <v>2021.013M.Hantaviridae_sprename.zip</v>
      </c>
    </row>
    <row r="784" spans="1:4">
      <c r="A784" s="24" t="s">
        <v>14822</v>
      </c>
      <c r="B784" s="42" t="s">
        <v>16056</v>
      </c>
      <c r="C784" s="42" t="s">
        <v>16055</v>
      </c>
      <c r="D784" s="43" t="str">
        <f t="shared" si="26"/>
        <v>2021.013M.Hantaviridae_sprename.zip</v>
      </c>
    </row>
    <row r="785" spans="1:4">
      <c r="A785" s="24" t="s">
        <v>14822</v>
      </c>
      <c r="B785" s="42" t="s">
        <v>16054</v>
      </c>
      <c r="C785" s="42" t="s">
        <v>16053</v>
      </c>
      <c r="D785" s="43" t="str">
        <f t="shared" si="26"/>
        <v>2021.013M.Hantaviridae_sprename.zip</v>
      </c>
    </row>
    <row r="786" spans="1:4">
      <c r="A786" s="24" t="s">
        <v>14822</v>
      </c>
      <c r="B786" s="42" t="s">
        <v>16042</v>
      </c>
      <c r="C786" s="42" t="s">
        <v>16041</v>
      </c>
      <c r="D786" s="43" t="str">
        <f t="shared" si="26"/>
        <v>2021.013M.Hantaviridae_sprename.zip</v>
      </c>
    </row>
    <row r="787" spans="1:4">
      <c r="A787" s="24" t="s">
        <v>14822</v>
      </c>
      <c r="B787" s="42" t="s">
        <v>16052</v>
      </c>
      <c r="C787" s="42" t="s">
        <v>16051</v>
      </c>
      <c r="D787" s="43" t="str">
        <f t="shared" ref="D787:D807" si="27">HYPERLINK("https://ictv.global/ictv/proposals/2021.013M.Hantaviridae_sprename.zip","2021.013M.Hantaviridae_sprename.zip")</f>
        <v>2021.013M.Hantaviridae_sprename.zip</v>
      </c>
    </row>
    <row r="788" spans="1:4">
      <c r="A788" s="24" t="s">
        <v>14822</v>
      </c>
      <c r="B788" s="42" t="s">
        <v>16050</v>
      </c>
      <c r="C788" s="42" t="s">
        <v>16049</v>
      </c>
      <c r="D788" s="43" t="str">
        <f t="shared" si="27"/>
        <v>2021.013M.Hantaviridae_sprename.zip</v>
      </c>
    </row>
    <row r="789" spans="1:4">
      <c r="A789" s="24" t="s">
        <v>14822</v>
      </c>
      <c r="B789" s="42" t="s">
        <v>16048</v>
      </c>
      <c r="C789" s="42" t="s">
        <v>16047</v>
      </c>
      <c r="D789" s="43" t="str">
        <f t="shared" si="27"/>
        <v>2021.013M.Hantaviridae_sprename.zip</v>
      </c>
    </row>
    <row r="790" spans="1:4">
      <c r="A790" s="24" t="s">
        <v>14822</v>
      </c>
      <c r="B790" s="42" t="s">
        <v>16044</v>
      </c>
      <c r="C790" s="42" t="s">
        <v>16043</v>
      </c>
      <c r="D790" s="43" t="str">
        <f t="shared" si="27"/>
        <v>2021.013M.Hantaviridae_sprename.zip</v>
      </c>
    </row>
    <row r="791" spans="1:4">
      <c r="A791" s="24" t="s">
        <v>14822</v>
      </c>
      <c r="B791" s="42" t="s">
        <v>16038</v>
      </c>
      <c r="C791" s="42" t="s">
        <v>16037</v>
      </c>
      <c r="D791" s="43" t="str">
        <f t="shared" si="27"/>
        <v>2021.013M.Hantaviridae_sprename.zip</v>
      </c>
    </row>
    <row r="792" spans="1:4">
      <c r="A792" s="24" t="s">
        <v>14822</v>
      </c>
      <c r="B792" s="42" t="s">
        <v>16036</v>
      </c>
      <c r="C792" s="42" t="s">
        <v>16035</v>
      </c>
      <c r="D792" s="43" t="str">
        <f t="shared" si="27"/>
        <v>2021.013M.Hantaviridae_sprename.zip</v>
      </c>
    </row>
    <row r="793" spans="1:4">
      <c r="A793" s="24" t="s">
        <v>14822</v>
      </c>
      <c r="B793" s="42" t="s">
        <v>16034</v>
      </c>
      <c r="C793" s="42" t="s">
        <v>16033</v>
      </c>
      <c r="D793" s="43" t="str">
        <f t="shared" si="27"/>
        <v>2021.013M.Hantaviridae_sprename.zip</v>
      </c>
    </row>
    <row r="794" spans="1:4">
      <c r="A794" s="24" t="s">
        <v>14822</v>
      </c>
      <c r="B794" s="42" t="s">
        <v>16032</v>
      </c>
      <c r="C794" s="42" t="s">
        <v>16031</v>
      </c>
      <c r="D794" s="43" t="str">
        <f t="shared" si="27"/>
        <v>2021.013M.Hantaviridae_sprename.zip</v>
      </c>
    </row>
    <row r="795" spans="1:4">
      <c r="A795" s="24" t="s">
        <v>14822</v>
      </c>
      <c r="B795" s="42" t="s">
        <v>16030</v>
      </c>
      <c r="C795" s="42" t="s">
        <v>16029</v>
      </c>
      <c r="D795" s="43" t="str">
        <f t="shared" si="27"/>
        <v>2021.013M.Hantaviridae_sprename.zip</v>
      </c>
    </row>
    <row r="796" spans="1:4">
      <c r="A796" s="24" t="s">
        <v>14822</v>
      </c>
      <c r="B796" s="42" t="s">
        <v>16028</v>
      </c>
      <c r="C796" s="42" t="s">
        <v>16027</v>
      </c>
      <c r="D796" s="43" t="str">
        <f t="shared" si="27"/>
        <v>2021.013M.Hantaviridae_sprename.zip</v>
      </c>
    </row>
    <row r="797" spans="1:4">
      <c r="A797" s="24" t="s">
        <v>14822</v>
      </c>
      <c r="B797" s="42" t="s">
        <v>16026</v>
      </c>
      <c r="C797" s="42" t="s">
        <v>16025</v>
      </c>
      <c r="D797" s="43" t="str">
        <f t="shared" si="27"/>
        <v>2021.013M.Hantaviridae_sprename.zip</v>
      </c>
    </row>
    <row r="798" spans="1:4">
      <c r="A798" s="24" t="s">
        <v>14822</v>
      </c>
      <c r="B798" s="42" t="s">
        <v>16024</v>
      </c>
      <c r="C798" s="42" t="s">
        <v>16023</v>
      </c>
      <c r="D798" s="43" t="str">
        <f t="shared" si="27"/>
        <v>2021.013M.Hantaviridae_sprename.zip</v>
      </c>
    </row>
    <row r="799" spans="1:4">
      <c r="A799" s="24" t="s">
        <v>14822</v>
      </c>
      <c r="B799" s="42" t="s">
        <v>16022</v>
      </c>
      <c r="C799" s="42" t="s">
        <v>16021</v>
      </c>
      <c r="D799" s="43" t="str">
        <f t="shared" si="27"/>
        <v>2021.013M.Hantaviridae_sprename.zip</v>
      </c>
    </row>
    <row r="800" spans="1:4">
      <c r="A800" s="24" t="s">
        <v>14822</v>
      </c>
      <c r="B800" s="42" t="s">
        <v>16020</v>
      </c>
      <c r="C800" s="42" t="s">
        <v>16019</v>
      </c>
      <c r="D800" s="43" t="str">
        <f t="shared" si="27"/>
        <v>2021.013M.Hantaviridae_sprename.zip</v>
      </c>
    </row>
    <row r="801" spans="1:4">
      <c r="A801" s="24" t="s">
        <v>14822</v>
      </c>
      <c r="B801" s="42" t="s">
        <v>16018</v>
      </c>
      <c r="C801" s="42" t="s">
        <v>16017</v>
      </c>
      <c r="D801" s="43" t="str">
        <f t="shared" si="27"/>
        <v>2021.013M.Hantaviridae_sprename.zip</v>
      </c>
    </row>
    <row r="802" spans="1:4">
      <c r="A802" s="24" t="s">
        <v>14822</v>
      </c>
      <c r="B802" s="42" t="s">
        <v>16016</v>
      </c>
      <c r="C802" s="42" t="s">
        <v>16015</v>
      </c>
      <c r="D802" s="43" t="str">
        <f t="shared" si="27"/>
        <v>2021.013M.Hantaviridae_sprename.zip</v>
      </c>
    </row>
    <row r="803" spans="1:4">
      <c r="A803" s="24" t="s">
        <v>14822</v>
      </c>
      <c r="B803" s="42" t="s">
        <v>16014</v>
      </c>
      <c r="C803" s="42" t="s">
        <v>16013</v>
      </c>
      <c r="D803" s="43" t="str">
        <f t="shared" si="27"/>
        <v>2021.013M.Hantaviridae_sprename.zip</v>
      </c>
    </row>
    <row r="804" spans="1:4">
      <c r="A804" s="24" t="s">
        <v>14822</v>
      </c>
      <c r="B804" s="42" t="s">
        <v>16012</v>
      </c>
      <c r="C804" s="42" t="s">
        <v>16011</v>
      </c>
      <c r="D804" s="43" t="str">
        <f t="shared" si="27"/>
        <v>2021.013M.Hantaviridae_sprename.zip</v>
      </c>
    </row>
    <row r="805" spans="1:4">
      <c r="A805" s="24" t="s">
        <v>14822</v>
      </c>
      <c r="B805" s="42" t="s">
        <v>16010</v>
      </c>
      <c r="C805" s="42" t="s">
        <v>16009</v>
      </c>
      <c r="D805" s="43" t="str">
        <f t="shared" si="27"/>
        <v>2021.013M.Hantaviridae_sprename.zip</v>
      </c>
    </row>
    <row r="806" spans="1:4">
      <c r="A806" s="24" t="s">
        <v>14822</v>
      </c>
      <c r="B806" s="42" t="s">
        <v>16008</v>
      </c>
      <c r="C806" s="42" t="s">
        <v>16007</v>
      </c>
      <c r="D806" s="43" t="str">
        <f t="shared" si="27"/>
        <v>2021.013M.Hantaviridae_sprename.zip</v>
      </c>
    </row>
    <row r="807" spans="1:4">
      <c r="A807" s="24" t="s">
        <v>14822</v>
      </c>
      <c r="B807" s="42" t="s">
        <v>16006</v>
      </c>
      <c r="C807" s="42" t="s">
        <v>16005</v>
      </c>
      <c r="D807" s="43" t="str">
        <f t="shared" si="27"/>
        <v>2021.013M.Hantaviridae_sprename.zip</v>
      </c>
    </row>
    <row r="808" spans="1:4">
      <c r="A808" s="24" t="s">
        <v>14822</v>
      </c>
      <c r="B808" s="42" t="s">
        <v>16004</v>
      </c>
      <c r="C808" s="42" t="s">
        <v>16003</v>
      </c>
      <c r="D808" s="43" t="str">
        <f t="shared" ref="D808:D854" si="28">HYPERLINK("https://ictv.global/ictv/proposals/2021.017M.Nairoviridae_sprenamed.zip","2021.017M.Nairoviridae_sprenamed.zip")</f>
        <v>2021.017M.Nairoviridae_sprenamed.zip</v>
      </c>
    </row>
    <row r="809" spans="1:4">
      <c r="A809" s="24" t="s">
        <v>14822</v>
      </c>
      <c r="B809" s="42" t="s">
        <v>16002</v>
      </c>
      <c r="C809" s="42" t="s">
        <v>16001</v>
      </c>
      <c r="D809" s="43" t="str">
        <f t="shared" si="28"/>
        <v>2021.017M.Nairoviridae_sprenamed.zip</v>
      </c>
    </row>
    <row r="810" spans="1:4">
      <c r="A810" s="24" t="s">
        <v>14822</v>
      </c>
      <c r="B810" s="42" t="s">
        <v>16000</v>
      </c>
      <c r="C810" s="42" t="s">
        <v>15999</v>
      </c>
      <c r="D810" s="43" t="str">
        <f t="shared" si="28"/>
        <v>2021.017M.Nairoviridae_sprenamed.zip</v>
      </c>
    </row>
    <row r="811" spans="1:4">
      <c r="A811" s="24" t="s">
        <v>14822</v>
      </c>
      <c r="B811" s="42" t="s">
        <v>15998</v>
      </c>
      <c r="C811" s="42" t="s">
        <v>15997</v>
      </c>
      <c r="D811" s="43" t="str">
        <f t="shared" si="28"/>
        <v>2021.017M.Nairoviridae_sprenamed.zip</v>
      </c>
    </row>
    <row r="812" spans="1:4">
      <c r="A812" s="24" t="s">
        <v>14822</v>
      </c>
      <c r="B812" s="42" t="s">
        <v>15994</v>
      </c>
      <c r="C812" s="42" t="s">
        <v>15993</v>
      </c>
      <c r="D812" s="43" t="str">
        <f t="shared" si="28"/>
        <v>2021.017M.Nairoviridae_sprenamed.zip</v>
      </c>
    </row>
    <row r="813" spans="1:4">
      <c r="A813" s="24" t="s">
        <v>14822</v>
      </c>
      <c r="B813" s="42" t="s">
        <v>15990</v>
      </c>
      <c r="C813" s="42" t="s">
        <v>15989</v>
      </c>
      <c r="D813" s="43" t="str">
        <f t="shared" si="28"/>
        <v>2021.017M.Nairoviridae_sprenamed.zip</v>
      </c>
    </row>
    <row r="814" spans="1:4">
      <c r="A814" s="24" t="s">
        <v>14822</v>
      </c>
      <c r="B814" s="42" t="s">
        <v>15988</v>
      </c>
      <c r="C814" s="42" t="s">
        <v>15987</v>
      </c>
      <c r="D814" s="43" t="str">
        <f t="shared" si="28"/>
        <v>2021.017M.Nairoviridae_sprenamed.zip</v>
      </c>
    </row>
    <row r="815" spans="1:4">
      <c r="A815" s="24" t="s">
        <v>14822</v>
      </c>
      <c r="B815" s="42" t="s">
        <v>15986</v>
      </c>
      <c r="C815" s="42" t="s">
        <v>15985</v>
      </c>
      <c r="D815" s="43" t="str">
        <f t="shared" si="28"/>
        <v>2021.017M.Nairoviridae_sprenamed.zip</v>
      </c>
    </row>
    <row r="816" spans="1:4">
      <c r="A816" s="24" t="s">
        <v>14822</v>
      </c>
      <c r="B816" s="42" t="s">
        <v>15982</v>
      </c>
      <c r="C816" s="42" t="s">
        <v>15981</v>
      </c>
      <c r="D816" s="43" t="str">
        <f t="shared" si="28"/>
        <v>2021.017M.Nairoviridae_sprenamed.zip</v>
      </c>
    </row>
    <row r="817" spans="1:4">
      <c r="A817" s="24" t="s">
        <v>14822</v>
      </c>
      <c r="B817" s="42" t="s">
        <v>15944</v>
      </c>
      <c r="C817" s="42" t="s">
        <v>15943</v>
      </c>
      <c r="D817" s="43" t="str">
        <f t="shared" si="28"/>
        <v>2021.017M.Nairoviridae_sprenamed.zip</v>
      </c>
    </row>
    <row r="818" spans="1:4">
      <c r="A818" s="24" t="s">
        <v>14822</v>
      </c>
      <c r="B818" s="42" t="s">
        <v>15968</v>
      </c>
      <c r="C818" s="42" t="s">
        <v>15967</v>
      </c>
      <c r="D818" s="43" t="str">
        <f t="shared" si="28"/>
        <v>2021.017M.Nairoviridae_sprenamed.zip</v>
      </c>
    </row>
    <row r="819" spans="1:4">
      <c r="A819" s="24" t="s">
        <v>14822</v>
      </c>
      <c r="B819" s="42" t="s">
        <v>15954</v>
      </c>
      <c r="C819" s="42" t="s">
        <v>15953</v>
      </c>
      <c r="D819" s="43" t="str">
        <f t="shared" si="28"/>
        <v>2021.017M.Nairoviridae_sprenamed.zip</v>
      </c>
    </row>
    <row r="820" spans="1:4">
      <c r="A820" s="24" t="s">
        <v>14822</v>
      </c>
      <c r="B820" s="42" t="s">
        <v>15976</v>
      </c>
      <c r="C820" s="42" t="s">
        <v>15975</v>
      </c>
      <c r="D820" s="43" t="str">
        <f t="shared" si="28"/>
        <v>2021.017M.Nairoviridae_sprenamed.zip</v>
      </c>
    </row>
    <row r="821" spans="1:4">
      <c r="A821" s="24" t="s">
        <v>14822</v>
      </c>
      <c r="B821" s="42" t="s">
        <v>15974</v>
      </c>
      <c r="C821" s="42" t="s">
        <v>15973</v>
      </c>
      <c r="D821" s="43" t="str">
        <f t="shared" si="28"/>
        <v>2021.017M.Nairoviridae_sprenamed.zip</v>
      </c>
    </row>
    <row r="822" spans="1:4">
      <c r="A822" s="24" t="s">
        <v>14822</v>
      </c>
      <c r="B822" s="42" t="s">
        <v>15972</v>
      </c>
      <c r="C822" s="42" t="s">
        <v>15971</v>
      </c>
      <c r="D822" s="43" t="str">
        <f t="shared" si="28"/>
        <v>2021.017M.Nairoviridae_sprenamed.zip</v>
      </c>
    </row>
    <row r="823" spans="1:4">
      <c r="A823" s="24" t="s">
        <v>14822</v>
      </c>
      <c r="B823" s="42" t="s">
        <v>15970</v>
      </c>
      <c r="C823" s="42" t="s">
        <v>15969</v>
      </c>
      <c r="D823" s="43" t="str">
        <f t="shared" si="28"/>
        <v>2021.017M.Nairoviridae_sprenamed.zip</v>
      </c>
    </row>
    <row r="824" spans="1:4">
      <c r="A824" s="24" t="s">
        <v>14822</v>
      </c>
      <c r="B824" s="42" t="s">
        <v>15966</v>
      </c>
      <c r="C824" s="42" t="s">
        <v>15965</v>
      </c>
      <c r="D824" s="43" t="str">
        <f t="shared" si="28"/>
        <v>2021.017M.Nairoviridae_sprenamed.zip</v>
      </c>
    </row>
    <row r="825" spans="1:4">
      <c r="A825" s="24" t="s">
        <v>14822</v>
      </c>
      <c r="B825" s="42" t="s">
        <v>15964</v>
      </c>
      <c r="C825" s="42" t="s">
        <v>15963</v>
      </c>
      <c r="D825" s="43" t="str">
        <f t="shared" si="28"/>
        <v>2021.017M.Nairoviridae_sprenamed.zip</v>
      </c>
    </row>
    <row r="826" spans="1:4">
      <c r="A826" s="24" t="s">
        <v>14822</v>
      </c>
      <c r="B826" s="42" t="s">
        <v>15984</v>
      </c>
      <c r="C826" s="42" t="s">
        <v>15983</v>
      </c>
      <c r="D826" s="43" t="str">
        <f t="shared" si="28"/>
        <v>2021.017M.Nairoviridae_sprenamed.zip</v>
      </c>
    </row>
    <row r="827" spans="1:4">
      <c r="A827" s="24" t="s">
        <v>14822</v>
      </c>
      <c r="B827" s="42" t="s">
        <v>15962</v>
      </c>
      <c r="C827" s="42" t="s">
        <v>15961</v>
      </c>
      <c r="D827" s="43" t="str">
        <f t="shared" si="28"/>
        <v>2021.017M.Nairoviridae_sprenamed.zip</v>
      </c>
    </row>
    <row r="828" spans="1:4">
      <c r="A828" s="24" t="s">
        <v>14822</v>
      </c>
      <c r="B828" s="42" t="s">
        <v>15958</v>
      </c>
      <c r="C828" s="42" t="s">
        <v>15957</v>
      </c>
      <c r="D828" s="43" t="str">
        <f t="shared" si="28"/>
        <v>2021.017M.Nairoviridae_sprenamed.zip</v>
      </c>
    </row>
    <row r="829" spans="1:4">
      <c r="A829" s="24" t="s">
        <v>14822</v>
      </c>
      <c r="B829" s="42" t="s">
        <v>15956</v>
      </c>
      <c r="C829" s="42" t="s">
        <v>15955</v>
      </c>
      <c r="D829" s="43" t="str">
        <f t="shared" si="28"/>
        <v>2021.017M.Nairoviridae_sprenamed.zip</v>
      </c>
    </row>
    <row r="830" spans="1:4">
      <c r="A830" s="24" t="s">
        <v>14822</v>
      </c>
      <c r="B830" s="42" t="s">
        <v>15996</v>
      </c>
      <c r="C830" s="42" t="s">
        <v>15995</v>
      </c>
      <c r="D830" s="43" t="str">
        <f t="shared" si="28"/>
        <v>2021.017M.Nairoviridae_sprenamed.zip</v>
      </c>
    </row>
    <row r="831" spans="1:4">
      <c r="A831" s="24" t="s">
        <v>14822</v>
      </c>
      <c r="B831" s="42" t="s">
        <v>15952</v>
      </c>
      <c r="C831" s="42" t="s">
        <v>15951</v>
      </c>
      <c r="D831" s="43" t="str">
        <f t="shared" si="28"/>
        <v>2021.017M.Nairoviridae_sprenamed.zip</v>
      </c>
    </row>
    <row r="832" spans="1:4">
      <c r="A832" s="24" t="s">
        <v>14822</v>
      </c>
      <c r="B832" s="42" t="s">
        <v>15948</v>
      </c>
      <c r="C832" s="42" t="s">
        <v>15947</v>
      </c>
      <c r="D832" s="43" t="str">
        <f t="shared" si="28"/>
        <v>2021.017M.Nairoviridae_sprenamed.zip</v>
      </c>
    </row>
    <row r="833" spans="1:4">
      <c r="A833" s="24" t="s">
        <v>14822</v>
      </c>
      <c r="B833" s="42" t="s">
        <v>15946</v>
      </c>
      <c r="C833" s="42" t="s">
        <v>15945</v>
      </c>
      <c r="D833" s="43" t="str">
        <f t="shared" si="28"/>
        <v>2021.017M.Nairoviridae_sprenamed.zip</v>
      </c>
    </row>
    <row r="834" spans="1:4">
      <c r="A834" s="24" t="s">
        <v>14822</v>
      </c>
      <c r="B834" s="42" t="s">
        <v>15978</v>
      </c>
      <c r="C834" s="42" t="s">
        <v>15977</v>
      </c>
      <c r="D834" s="43" t="str">
        <f t="shared" si="28"/>
        <v>2021.017M.Nairoviridae_sprenamed.zip</v>
      </c>
    </row>
    <row r="835" spans="1:4">
      <c r="A835" s="24" t="s">
        <v>14822</v>
      </c>
      <c r="B835" s="42" t="s">
        <v>15942</v>
      </c>
      <c r="C835" s="42" t="s">
        <v>15941</v>
      </c>
      <c r="D835" s="43" t="str">
        <f t="shared" si="28"/>
        <v>2021.017M.Nairoviridae_sprenamed.zip</v>
      </c>
    </row>
    <row r="836" spans="1:4">
      <c r="A836" s="24" t="s">
        <v>14822</v>
      </c>
      <c r="B836" s="42" t="s">
        <v>15940</v>
      </c>
      <c r="C836" s="42" t="s">
        <v>15939</v>
      </c>
      <c r="D836" s="43" t="str">
        <f t="shared" si="28"/>
        <v>2021.017M.Nairoviridae_sprenamed.zip</v>
      </c>
    </row>
    <row r="837" spans="1:4">
      <c r="A837" s="24" t="s">
        <v>14822</v>
      </c>
      <c r="B837" s="42" t="s">
        <v>15936</v>
      </c>
      <c r="C837" s="42" t="s">
        <v>15935</v>
      </c>
      <c r="D837" s="43" t="str">
        <f t="shared" si="28"/>
        <v>2021.017M.Nairoviridae_sprenamed.zip</v>
      </c>
    </row>
    <row r="838" spans="1:4">
      <c r="A838" s="24" t="s">
        <v>14822</v>
      </c>
      <c r="B838" s="42" t="s">
        <v>15938</v>
      </c>
      <c r="C838" s="42" t="s">
        <v>15937</v>
      </c>
      <c r="D838" s="43" t="str">
        <f t="shared" si="28"/>
        <v>2021.017M.Nairoviridae_sprenamed.zip</v>
      </c>
    </row>
    <row r="839" spans="1:4">
      <c r="A839" s="24" t="s">
        <v>14822</v>
      </c>
      <c r="B839" s="42" t="s">
        <v>15980</v>
      </c>
      <c r="C839" s="42" t="s">
        <v>15979</v>
      </c>
      <c r="D839" s="43" t="str">
        <f t="shared" si="28"/>
        <v>2021.017M.Nairoviridae_sprenamed.zip</v>
      </c>
    </row>
    <row r="840" spans="1:4">
      <c r="A840" s="24" t="s">
        <v>14822</v>
      </c>
      <c r="B840" s="42" t="s">
        <v>15934</v>
      </c>
      <c r="C840" s="42" t="s">
        <v>15933</v>
      </c>
      <c r="D840" s="43" t="str">
        <f t="shared" si="28"/>
        <v>2021.017M.Nairoviridae_sprenamed.zip</v>
      </c>
    </row>
    <row r="841" spans="1:4">
      <c r="A841" s="24" t="s">
        <v>14822</v>
      </c>
      <c r="B841" s="42" t="s">
        <v>15932</v>
      </c>
      <c r="C841" s="42" t="s">
        <v>15931</v>
      </c>
      <c r="D841" s="43" t="str">
        <f t="shared" si="28"/>
        <v>2021.017M.Nairoviridae_sprenamed.zip</v>
      </c>
    </row>
    <row r="842" spans="1:4">
      <c r="A842" s="24" t="s">
        <v>14822</v>
      </c>
      <c r="B842" s="42" t="s">
        <v>15950</v>
      </c>
      <c r="C842" s="42" t="s">
        <v>15949</v>
      </c>
      <c r="D842" s="43" t="str">
        <f t="shared" si="28"/>
        <v>2021.017M.Nairoviridae_sprenamed.zip</v>
      </c>
    </row>
    <row r="843" spans="1:4">
      <c r="A843" s="24" t="s">
        <v>14822</v>
      </c>
      <c r="B843" s="42" t="s">
        <v>15928</v>
      </c>
      <c r="C843" s="42" t="s">
        <v>15927</v>
      </c>
      <c r="D843" s="43" t="str">
        <f t="shared" si="28"/>
        <v>2021.017M.Nairoviridae_sprenamed.zip</v>
      </c>
    </row>
    <row r="844" spans="1:4">
      <c r="A844" s="24" t="s">
        <v>14822</v>
      </c>
      <c r="B844" s="42" t="s">
        <v>15930</v>
      </c>
      <c r="C844" s="42" t="s">
        <v>15929</v>
      </c>
      <c r="D844" s="43" t="str">
        <f t="shared" si="28"/>
        <v>2021.017M.Nairoviridae_sprenamed.zip</v>
      </c>
    </row>
    <row r="845" spans="1:4">
      <c r="A845" s="24" t="s">
        <v>14822</v>
      </c>
      <c r="B845" s="42" t="s">
        <v>15960</v>
      </c>
      <c r="C845" s="42" t="s">
        <v>15959</v>
      </c>
      <c r="D845" s="43" t="str">
        <f t="shared" si="28"/>
        <v>2021.017M.Nairoviridae_sprenamed.zip</v>
      </c>
    </row>
    <row r="846" spans="1:4">
      <c r="A846" s="24" t="s">
        <v>14822</v>
      </c>
      <c r="B846" s="42" t="s">
        <v>15926</v>
      </c>
      <c r="C846" s="42" t="s">
        <v>15925</v>
      </c>
      <c r="D846" s="43" t="str">
        <f t="shared" si="28"/>
        <v>2021.017M.Nairoviridae_sprenamed.zip</v>
      </c>
    </row>
    <row r="847" spans="1:4">
      <c r="A847" s="24" t="s">
        <v>14822</v>
      </c>
      <c r="B847" s="42" t="s">
        <v>15992</v>
      </c>
      <c r="C847" s="42" t="s">
        <v>15991</v>
      </c>
      <c r="D847" s="43" t="str">
        <f t="shared" si="28"/>
        <v>2021.017M.Nairoviridae_sprenamed.zip</v>
      </c>
    </row>
    <row r="848" spans="1:4">
      <c r="A848" s="24" t="s">
        <v>14822</v>
      </c>
      <c r="B848" s="42" t="s">
        <v>15924</v>
      </c>
      <c r="C848" s="42" t="s">
        <v>15923</v>
      </c>
      <c r="D848" s="43" t="str">
        <f t="shared" si="28"/>
        <v>2021.017M.Nairoviridae_sprenamed.zip</v>
      </c>
    </row>
    <row r="849" spans="1:4">
      <c r="A849" s="24" t="s">
        <v>14822</v>
      </c>
      <c r="B849" s="42" t="s">
        <v>15922</v>
      </c>
      <c r="C849" s="42" t="s">
        <v>15921</v>
      </c>
      <c r="D849" s="43" t="str">
        <f t="shared" si="28"/>
        <v>2021.017M.Nairoviridae_sprenamed.zip</v>
      </c>
    </row>
    <row r="850" spans="1:4">
      <c r="A850" s="24" t="s">
        <v>14822</v>
      </c>
      <c r="B850" s="42" t="s">
        <v>15920</v>
      </c>
      <c r="C850" s="42" t="s">
        <v>15919</v>
      </c>
      <c r="D850" s="43" t="str">
        <f t="shared" si="28"/>
        <v>2021.017M.Nairoviridae_sprenamed.zip</v>
      </c>
    </row>
    <row r="851" spans="1:4">
      <c r="A851" s="24" t="s">
        <v>14822</v>
      </c>
      <c r="B851" s="42" t="s">
        <v>15918</v>
      </c>
      <c r="C851" s="42" t="s">
        <v>15917</v>
      </c>
      <c r="D851" s="43" t="str">
        <f t="shared" si="28"/>
        <v>2021.017M.Nairoviridae_sprenamed.zip</v>
      </c>
    </row>
    <row r="852" spans="1:4">
      <c r="A852" s="24" t="s">
        <v>14822</v>
      </c>
      <c r="B852" s="42" t="s">
        <v>15916</v>
      </c>
      <c r="C852" s="42" t="s">
        <v>15915</v>
      </c>
      <c r="D852" s="43" t="str">
        <f t="shared" si="28"/>
        <v>2021.017M.Nairoviridae_sprenamed.zip</v>
      </c>
    </row>
    <row r="853" spans="1:4">
      <c r="A853" s="24" t="s">
        <v>14822</v>
      </c>
      <c r="B853" s="42" t="s">
        <v>15914</v>
      </c>
      <c r="C853" s="42" t="s">
        <v>15913</v>
      </c>
      <c r="D853" s="43" t="str">
        <f t="shared" si="28"/>
        <v>2021.017M.Nairoviridae_sprenamed.zip</v>
      </c>
    </row>
    <row r="854" spans="1:4">
      <c r="A854" s="24" t="s">
        <v>14822</v>
      </c>
      <c r="B854" s="42" t="s">
        <v>15912</v>
      </c>
      <c r="C854" s="42" t="s">
        <v>15911</v>
      </c>
      <c r="D854" s="43" t="str">
        <f t="shared" si="28"/>
        <v>2021.017M.Nairoviridae_sprenamed.zip</v>
      </c>
    </row>
    <row r="855" spans="1:4">
      <c r="A855" s="24" t="s">
        <v>14822</v>
      </c>
      <c r="B855" s="42" t="s">
        <v>15910</v>
      </c>
      <c r="C855" s="42" t="s">
        <v>15909</v>
      </c>
      <c r="D855" s="43" t="str">
        <f t="shared" ref="D855:D886" si="29">HYPERLINK("https://ictv.global/ictv/proposals/2021.028M.Peribunyaviridae_sprename.zip","2021.028M.Peribunyaviridae_sprename.zip")</f>
        <v>2021.028M.Peribunyaviridae_sprename.zip</v>
      </c>
    </row>
    <row r="856" spans="1:4">
      <c r="A856" s="24" t="s">
        <v>14822</v>
      </c>
      <c r="B856" s="42" t="s">
        <v>15908</v>
      </c>
      <c r="C856" s="42" t="s">
        <v>15907</v>
      </c>
      <c r="D856" s="43" t="str">
        <f t="shared" si="29"/>
        <v>2021.028M.Peribunyaviridae_sprename.zip</v>
      </c>
    </row>
    <row r="857" spans="1:4">
      <c r="A857" s="24" t="s">
        <v>14822</v>
      </c>
      <c r="B857" s="42" t="s">
        <v>15906</v>
      </c>
      <c r="C857" s="42" t="s">
        <v>15905</v>
      </c>
      <c r="D857" s="43" t="str">
        <f t="shared" si="29"/>
        <v>2021.028M.Peribunyaviridae_sprename.zip</v>
      </c>
    </row>
    <row r="858" spans="1:4">
      <c r="A858" s="24" t="s">
        <v>14822</v>
      </c>
      <c r="B858" s="42" t="s">
        <v>15904</v>
      </c>
      <c r="C858" s="42" t="s">
        <v>15903</v>
      </c>
      <c r="D858" s="43" t="str">
        <f t="shared" si="29"/>
        <v>2021.028M.Peribunyaviridae_sprename.zip</v>
      </c>
    </row>
    <row r="859" spans="1:4">
      <c r="A859" s="24" t="s">
        <v>14822</v>
      </c>
      <c r="B859" s="42" t="s">
        <v>15902</v>
      </c>
      <c r="C859" s="42" t="s">
        <v>15901</v>
      </c>
      <c r="D859" s="43" t="str">
        <f t="shared" si="29"/>
        <v>2021.028M.Peribunyaviridae_sprename.zip</v>
      </c>
    </row>
    <row r="860" spans="1:4">
      <c r="A860" s="24" t="s">
        <v>14822</v>
      </c>
      <c r="B860" s="42" t="s">
        <v>15898</v>
      </c>
      <c r="C860" s="42" t="s">
        <v>15897</v>
      </c>
      <c r="D860" s="43" t="str">
        <f t="shared" si="29"/>
        <v>2021.028M.Peribunyaviridae_sprename.zip</v>
      </c>
    </row>
    <row r="861" spans="1:4">
      <c r="A861" s="24" t="s">
        <v>14822</v>
      </c>
      <c r="B861" s="42" t="s">
        <v>15896</v>
      </c>
      <c r="C861" s="42" t="s">
        <v>15895</v>
      </c>
      <c r="D861" s="43" t="str">
        <f t="shared" si="29"/>
        <v>2021.028M.Peribunyaviridae_sprename.zip</v>
      </c>
    </row>
    <row r="862" spans="1:4">
      <c r="A862" s="24" t="s">
        <v>14822</v>
      </c>
      <c r="B862" s="42" t="s">
        <v>15894</v>
      </c>
      <c r="C862" s="42" t="s">
        <v>15893</v>
      </c>
      <c r="D862" s="43" t="str">
        <f t="shared" si="29"/>
        <v>2021.028M.Peribunyaviridae_sprename.zip</v>
      </c>
    </row>
    <row r="863" spans="1:4">
      <c r="A863" s="24" t="s">
        <v>14822</v>
      </c>
      <c r="B863" s="42" t="s">
        <v>15892</v>
      </c>
      <c r="C863" s="42" t="s">
        <v>15891</v>
      </c>
      <c r="D863" s="43" t="str">
        <f t="shared" si="29"/>
        <v>2021.028M.Peribunyaviridae_sprename.zip</v>
      </c>
    </row>
    <row r="864" spans="1:4">
      <c r="A864" s="24" t="s">
        <v>14822</v>
      </c>
      <c r="B864" s="42" t="s">
        <v>15888</v>
      </c>
      <c r="C864" s="42" t="s">
        <v>15887</v>
      </c>
      <c r="D864" s="43" t="str">
        <f t="shared" si="29"/>
        <v>2021.028M.Peribunyaviridae_sprename.zip</v>
      </c>
    </row>
    <row r="865" spans="1:4">
      <c r="A865" s="24" t="s">
        <v>14822</v>
      </c>
      <c r="B865" s="42" t="s">
        <v>15826</v>
      </c>
      <c r="C865" s="42" t="s">
        <v>15825</v>
      </c>
      <c r="D865" s="43" t="str">
        <f t="shared" si="29"/>
        <v>2021.028M.Peribunyaviridae_sprename.zip</v>
      </c>
    </row>
    <row r="866" spans="1:4">
      <c r="A866" s="24" t="s">
        <v>14822</v>
      </c>
      <c r="B866" s="42" t="s">
        <v>15844</v>
      </c>
      <c r="C866" s="42" t="s">
        <v>15843</v>
      </c>
      <c r="D866" s="43" t="str">
        <f t="shared" si="29"/>
        <v>2021.028M.Peribunyaviridae_sprename.zip</v>
      </c>
    </row>
    <row r="867" spans="1:4">
      <c r="A867" s="24" t="s">
        <v>14822</v>
      </c>
      <c r="B867" s="42" t="s">
        <v>15886</v>
      </c>
      <c r="C867" s="42" t="s">
        <v>15885</v>
      </c>
      <c r="D867" s="43" t="str">
        <f t="shared" si="29"/>
        <v>2021.028M.Peribunyaviridae_sprename.zip</v>
      </c>
    </row>
    <row r="868" spans="1:4">
      <c r="A868" s="24" t="s">
        <v>14822</v>
      </c>
      <c r="B868" s="42" t="s">
        <v>15884</v>
      </c>
      <c r="C868" s="42" t="s">
        <v>15883</v>
      </c>
      <c r="D868" s="43" t="str">
        <f t="shared" si="29"/>
        <v>2021.028M.Peribunyaviridae_sprename.zip</v>
      </c>
    </row>
    <row r="869" spans="1:4">
      <c r="A869" s="24" t="s">
        <v>14822</v>
      </c>
      <c r="B869" s="42" t="s">
        <v>15882</v>
      </c>
      <c r="C869" s="42" t="s">
        <v>15881</v>
      </c>
      <c r="D869" s="43" t="str">
        <f t="shared" si="29"/>
        <v>2021.028M.Peribunyaviridae_sprename.zip</v>
      </c>
    </row>
    <row r="870" spans="1:4">
      <c r="A870" s="24" t="s">
        <v>14822</v>
      </c>
      <c r="B870" s="42" t="s">
        <v>15880</v>
      </c>
      <c r="C870" s="42" t="s">
        <v>15879</v>
      </c>
      <c r="D870" s="43" t="str">
        <f t="shared" si="29"/>
        <v>2021.028M.Peribunyaviridae_sprename.zip</v>
      </c>
    </row>
    <row r="871" spans="1:4">
      <c r="A871" s="24" t="s">
        <v>14822</v>
      </c>
      <c r="B871" s="42" t="s">
        <v>15878</v>
      </c>
      <c r="C871" s="42" t="s">
        <v>15877</v>
      </c>
      <c r="D871" s="43" t="str">
        <f t="shared" si="29"/>
        <v>2021.028M.Peribunyaviridae_sprename.zip</v>
      </c>
    </row>
    <row r="872" spans="1:4">
      <c r="A872" s="24" t="s">
        <v>14822</v>
      </c>
      <c r="B872" s="42" t="s">
        <v>15876</v>
      </c>
      <c r="C872" s="42" t="s">
        <v>15875</v>
      </c>
      <c r="D872" s="43" t="str">
        <f t="shared" si="29"/>
        <v>2021.028M.Peribunyaviridae_sprename.zip</v>
      </c>
    </row>
    <row r="873" spans="1:4">
      <c r="A873" s="24" t="s">
        <v>14822</v>
      </c>
      <c r="B873" s="42" t="s">
        <v>15874</v>
      </c>
      <c r="C873" s="42" t="s">
        <v>15873</v>
      </c>
      <c r="D873" s="43" t="str">
        <f t="shared" si="29"/>
        <v>2021.028M.Peribunyaviridae_sprename.zip</v>
      </c>
    </row>
    <row r="874" spans="1:4">
      <c r="A874" s="24" t="s">
        <v>14822</v>
      </c>
      <c r="B874" s="42" t="s">
        <v>15872</v>
      </c>
      <c r="C874" s="42" t="s">
        <v>15871</v>
      </c>
      <c r="D874" s="43" t="str">
        <f t="shared" si="29"/>
        <v>2021.028M.Peribunyaviridae_sprename.zip</v>
      </c>
    </row>
    <row r="875" spans="1:4">
      <c r="A875" s="24" t="s">
        <v>14822</v>
      </c>
      <c r="B875" s="42" t="s">
        <v>15870</v>
      </c>
      <c r="C875" s="42" t="s">
        <v>15869</v>
      </c>
      <c r="D875" s="43" t="str">
        <f t="shared" si="29"/>
        <v>2021.028M.Peribunyaviridae_sprename.zip</v>
      </c>
    </row>
    <row r="876" spans="1:4">
      <c r="A876" s="24" t="s">
        <v>14822</v>
      </c>
      <c r="B876" s="42" t="s">
        <v>15868</v>
      </c>
      <c r="C876" s="42" t="s">
        <v>15867</v>
      </c>
      <c r="D876" s="43" t="str">
        <f t="shared" si="29"/>
        <v>2021.028M.Peribunyaviridae_sprename.zip</v>
      </c>
    </row>
    <row r="877" spans="1:4">
      <c r="A877" s="24" t="s">
        <v>14822</v>
      </c>
      <c r="B877" s="42" t="s">
        <v>15866</v>
      </c>
      <c r="C877" s="42" t="s">
        <v>15865</v>
      </c>
      <c r="D877" s="43" t="str">
        <f t="shared" si="29"/>
        <v>2021.028M.Peribunyaviridae_sprename.zip</v>
      </c>
    </row>
    <row r="878" spans="1:4">
      <c r="A878" s="24" t="s">
        <v>14822</v>
      </c>
      <c r="B878" s="42" t="s">
        <v>15864</v>
      </c>
      <c r="C878" s="42" t="s">
        <v>15863</v>
      </c>
      <c r="D878" s="43" t="str">
        <f t="shared" si="29"/>
        <v>2021.028M.Peribunyaviridae_sprename.zip</v>
      </c>
    </row>
    <row r="879" spans="1:4">
      <c r="A879" s="24" t="s">
        <v>14822</v>
      </c>
      <c r="B879" s="42" t="s">
        <v>15862</v>
      </c>
      <c r="C879" s="42" t="s">
        <v>15861</v>
      </c>
      <c r="D879" s="43" t="str">
        <f t="shared" si="29"/>
        <v>2021.028M.Peribunyaviridae_sprename.zip</v>
      </c>
    </row>
    <row r="880" spans="1:4">
      <c r="A880" s="24" t="s">
        <v>14822</v>
      </c>
      <c r="B880" s="42" t="s">
        <v>15860</v>
      </c>
      <c r="C880" s="42" t="s">
        <v>15859</v>
      </c>
      <c r="D880" s="43" t="str">
        <f t="shared" si="29"/>
        <v>2021.028M.Peribunyaviridae_sprename.zip</v>
      </c>
    </row>
    <row r="881" spans="1:4">
      <c r="A881" s="24" t="s">
        <v>14822</v>
      </c>
      <c r="B881" s="42" t="s">
        <v>15858</v>
      </c>
      <c r="C881" s="42" t="s">
        <v>15857</v>
      </c>
      <c r="D881" s="43" t="str">
        <f t="shared" si="29"/>
        <v>2021.028M.Peribunyaviridae_sprename.zip</v>
      </c>
    </row>
    <row r="882" spans="1:4">
      <c r="A882" s="24" t="s">
        <v>14822</v>
      </c>
      <c r="B882" s="42" t="s">
        <v>15856</v>
      </c>
      <c r="C882" s="42" t="s">
        <v>15855</v>
      </c>
      <c r="D882" s="43" t="str">
        <f t="shared" si="29"/>
        <v>2021.028M.Peribunyaviridae_sprename.zip</v>
      </c>
    </row>
    <row r="883" spans="1:4">
      <c r="A883" s="24" t="s">
        <v>14822</v>
      </c>
      <c r="B883" s="42" t="s">
        <v>15854</v>
      </c>
      <c r="C883" s="42" t="s">
        <v>15853</v>
      </c>
      <c r="D883" s="43" t="str">
        <f t="shared" si="29"/>
        <v>2021.028M.Peribunyaviridae_sprename.zip</v>
      </c>
    </row>
    <row r="884" spans="1:4">
      <c r="A884" s="24" t="s">
        <v>14822</v>
      </c>
      <c r="B884" s="42" t="s">
        <v>15754</v>
      </c>
      <c r="C884" s="42" t="s">
        <v>15753</v>
      </c>
      <c r="D884" s="43" t="str">
        <f t="shared" si="29"/>
        <v>2021.028M.Peribunyaviridae_sprename.zip</v>
      </c>
    </row>
    <row r="885" spans="1:4">
      <c r="A885" s="24" t="s">
        <v>14822</v>
      </c>
      <c r="B885" s="42" t="s">
        <v>15842</v>
      </c>
      <c r="C885" s="42" t="s">
        <v>15841</v>
      </c>
      <c r="D885" s="43" t="str">
        <f t="shared" si="29"/>
        <v>2021.028M.Peribunyaviridae_sprename.zip</v>
      </c>
    </row>
    <row r="886" spans="1:4">
      <c r="A886" s="24" t="s">
        <v>14822</v>
      </c>
      <c r="B886" s="42" t="s">
        <v>15852</v>
      </c>
      <c r="C886" s="42" t="s">
        <v>15851</v>
      </c>
      <c r="D886" s="43" t="str">
        <f t="shared" si="29"/>
        <v>2021.028M.Peribunyaviridae_sprename.zip</v>
      </c>
    </row>
    <row r="887" spans="1:4">
      <c r="A887" s="24" t="s">
        <v>14822</v>
      </c>
      <c r="B887" s="42" t="s">
        <v>15850</v>
      </c>
      <c r="C887" s="42" t="s">
        <v>15849</v>
      </c>
      <c r="D887" s="43" t="str">
        <f t="shared" ref="D887:D918" si="30">HYPERLINK("https://ictv.global/ictv/proposals/2021.028M.Peribunyaviridae_sprename.zip","2021.028M.Peribunyaviridae_sprename.zip")</f>
        <v>2021.028M.Peribunyaviridae_sprename.zip</v>
      </c>
    </row>
    <row r="888" spans="1:4">
      <c r="A888" s="24" t="s">
        <v>14822</v>
      </c>
      <c r="B888" s="42" t="s">
        <v>15848</v>
      </c>
      <c r="C888" s="42" t="s">
        <v>15847</v>
      </c>
      <c r="D888" s="43" t="str">
        <f t="shared" si="30"/>
        <v>2021.028M.Peribunyaviridae_sprename.zip</v>
      </c>
    </row>
    <row r="889" spans="1:4">
      <c r="A889" s="24" t="s">
        <v>14822</v>
      </c>
      <c r="B889" s="42" t="s">
        <v>15846</v>
      </c>
      <c r="C889" s="42" t="s">
        <v>15845</v>
      </c>
      <c r="D889" s="43" t="str">
        <f t="shared" si="30"/>
        <v>2021.028M.Peribunyaviridae_sprename.zip</v>
      </c>
    </row>
    <row r="890" spans="1:4">
      <c r="A890" s="24" t="s">
        <v>14822</v>
      </c>
      <c r="B890" s="42" t="s">
        <v>15840</v>
      </c>
      <c r="C890" s="42" t="s">
        <v>15839</v>
      </c>
      <c r="D890" s="43" t="str">
        <f t="shared" si="30"/>
        <v>2021.028M.Peribunyaviridae_sprename.zip</v>
      </c>
    </row>
    <row r="891" spans="1:4">
      <c r="A891" s="24" t="s">
        <v>14822</v>
      </c>
      <c r="B891" s="42" t="s">
        <v>15838</v>
      </c>
      <c r="C891" s="42" t="s">
        <v>15837</v>
      </c>
      <c r="D891" s="43" t="str">
        <f t="shared" si="30"/>
        <v>2021.028M.Peribunyaviridae_sprename.zip</v>
      </c>
    </row>
    <row r="892" spans="1:4">
      <c r="A892" s="24" t="s">
        <v>14822</v>
      </c>
      <c r="B892" s="42" t="s">
        <v>15742</v>
      </c>
      <c r="C892" s="42" t="s">
        <v>15741</v>
      </c>
      <c r="D892" s="43" t="str">
        <f t="shared" si="30"/>
        <v>2021.028M.Peribunyaviridae_sprename.zip</v>
      </c>
    </row>
    <row r="893" spans="1:4">
      <c r="A893" s="24" t="s">
        <v>14822</v>
      </c>
      <c r="B893" s="42" t="s">
        <v>15836</v>
      </c>
      <c r="C893" s="42" t="s">
        <v>15835</v>
      </c>
      <c r="D893" s="43" t="str">
        <f t="shared" si="30"/>
        <v>2021.028M.Peribunyaviridae_sprename.zip</v>
      </c>
    </row>
    <row r="894" spans="1:4">
      <c r="A894" s="24" t="s">
        <v>14822</v>
      </c>
      <c r="B894" s="42" t="s">
        <v>15834</v>
      </c>
      <c r="C894" s="42" t="s">
        <v>15833</v>
      </c>
      <c r="D894" s="43" t="str">
        <f t="shared" si="30"/>
        <v>2021.028M.Peribunyaviridae_sprename.zip</v>
      </c>
    </row>
    <row r="895" spans="1:4">
      <c r="A895" s="24" t="s">
        <v>14822</v>
      </c>
      <c r="B895" s="42" t="s">
        <v>15832</v>
      </c>
      <c r="C895" s="42" t="s">
        <v>15831</v>
      </c>
      <c r="D895" s="43" t="str">
        <f t="shared" si="30"/>
        <v>2021.028M.Peribunyaviridae_sprename.zip</v>
      </c>
    </row>
    <row r="896" spans="1:4">
      <c r="A896" s="24" t="s">
        <v>14822</v>
      </c>
      <c r="B896" s="42" t="s">
        <v>15830</v>
      </c>
      <c r="C896" s="42" t="s">
        <v>15829</v>
      </c>
      <c r="D896" s="43" t="str">
        <f t="shared" si="30"/>
        <v>2021.028M.Peribunyaviridae_sprename.zip</v>
      </c>
    </row>
    <row r="897" spans="1:4">
      <c r="A897" s="24" t="s">
        <v>14822</v>
      </c>
      <c r="B897" s="42" t="s">
        <v>15828</v>
      </c>
      <c r="C897" s="42" t="s">
        <v>15827</v>
      </c>
      <c r="D897" s="43" t="str">
        <f t="shared" si="30"/>
        <v>2021.028M.Peribunyaviridae_sprename.zip</v>
      </c>
    </row>
    <row r="898" spans="1:4">
      <c r="A898" s="24" t="s">
        <v>14822</v>
      </c>
      <c r="B898" s="42" t="s">
        <v>15824</v>
      </c>
      <c r="C898" s="42" t="s">
        <v>15823</v>
      </c>
      <c r="D898" s="43" t="str">
        <f t="shared" si="30"/>
        <v>2021.028M.Peribunyaviridae_sprename.zip</v>
      </c>
    </row>
    <row r="899" spans="1:4">
      <c r="A899" s="24" t="s">
        <v>14822</v>
      </c>
      <c r="B899" s="42" t="s">
        <v>15822</v>
      </c>
      <c r="C899" s="42" t="s">
        <v>15821</v>
      </c>
      <c r="D899" s="43" t="str">
        <f t="shared" si="30"/>
        <v>2021.028M.Peribunyaviridae_sprename.zip</v>
      </c>
    </row>
    <row r="900" spans="1:4">
      <c r="A900" s="24" t="s">
        <v>14822</v>
      </c>
      <c r="B900" s="42" t="s">
        <v>15820</v>
      </c>
      <c r="C900" s="42" t="s">
        <v>15819</v>
      </c>
      <c r="D900" s="43" t="str">
        <f t="shared" si="30"/>
        <v>2021.028M.Peribunyaviridae_sprename.zip</v>
      </c>
    </row>
    <row r="901" spans="1:4">
      <c r="A901" s="24" t="s">
        <v>14822</v>
      </c>
      <c r="B901" s="42" t="s">
        <v>15816</v>
      </c>
      <c r="C901" s="42" t="s">
        <v>15815</v>
      </c>
      <c r="D901" s="43" t="str">
        <f t="shared" si="30"/>
        <v>2021.028M.Peribunyaviridae_sprename.zip</v>
      </c>
    </row>
    <row r="902" spans="1:4">
      <c r="A902" s="24" t="s">
        <v>14822</v>
      </c>
      <c r="B902" s="42" t="s">
        <v>15814</v>
      </c>
      <c r="C902" s="42" t="s">
        <v>15813</v>
      </c>
      <c r="D902" s="43" t="str">
        <f t="shared" si="30"/>
        <v>2021.028M.Peribunyaviridae_sprename.zip</v>
      </c>
    </row>
    <row r="903" spans="1:4">
      <c r="A903" s="24" t="s">
        <v>14822</v>
      </c>
      <c r="B903" s="42" t="s">
        <v>15812</v>
      </c>
      <c r="C903" s="42" t="s">
        <v>15811</v>
      </c>
      <c r="D903" s="43" t="str">
        <f t="shared" si="30"/>
        <v>2021.028M.Peribunyaviridae_sprename.zip</v>
      </c>
    </row>
    <row r="904" spans="1:4">
      <c r="A904" s="24" t="s">
        <v>14822</v>
      </c>
      <c r="B904" s="42" t="s">
        <v>15818</v>
      </c>
      <c r="C904" s="42" t="s">
        <v>15817</v>
      </c>
      <c r="D904" s="43" t="str">
        <f t="shared" si="30"/>
        <v>2021.028M.Peribunyaviridae_sprename.zip</v>
      </c>
    </row>
    <row r="905" spans="1:4">
      <c r="A905" s="24" t="s">
        <v>14822</v>
      </c>
      <c r="B905" s="42" t="s">
        <v>15808</v>
      </c>
      <c r="C905" s="42" t="s">
        <v>15807</v>
      </c>
      <c r="D905" s="43" t="str">
        <f t="shared" si="30"/>
        <v>2021.028M.Peribunyaviridae_sprename.zip</v>
      </c>
    </row>
    <row r="906" spans="1:4">
      <c r="A906" s="24" t="s">
        <v>14822</v>
      </c>
      <c r="B906" s="42" t="s">
        <v>15804</v>
      </c>
      <c r="C906" s="42" t="s">
        <v>15803</v>
      </c>
      <c r="D906" s="43" t="str">
        <f t="shared" si="30"/>
        <v>2021.028M.Peribunyaviridae_sprename.zip</v>
      </c>
    </row>
    <row r="907" spans="1:4">
      <c r="A907" s="24" t="s">
        <v>14822</v>
      </c>
      <c r="B907" s="42" t="s">
        <v>15802</v>
      </c>
      <c r="C907" s="42" t="s">
        <v>15801</v>
      </c>
      <c r="D907" s="43" t="str">
        <f t="shared" si="30"/>
        <v>2021.028M.Peribunyaviridae_sprename.zip</v>
      </c>
    </row>
    <row r="908" spans="1:4">
      <c r="A908" s="24" t="s">
        <v>14822</v>
      </c>
      <c r="B908" s="42" t="s">
        <v>15800</v>
      </c>
      <c r="C908" s="42" t="s">
        <v>15799</v>
      </c>
      <c r="D908" s="43" t="str">
        <f t="shared" si="30"/>
        <v>2021.028M.Peribunyaviridae_sprename.zip</v>
      </c>
    </row>
    <row r="909" spans="1:4">
      <c r="A909" s="24" t="s">
        <v>14822</v>
      </c>
      <c r="B909" s="42" t="s">
        <v>15798</v>
      </c>
      <c r="C909" s="42" t="s">
        <v>15797</v>
      </c>
      <c r="D909" s="43" t="str">
        <f t="shared" si="30"/>
        <v>2021.028M.Peribunyaviridae_sprename.zip</v>
      </c>
    </row>
    <row r="910" spans="1:4">
      <c r="A910" s="24" t="s">
        <v>14822</v>
      </c>
      <c r="B910" s="42" t="s">
        <v>15796</v>
      </c>
      <c r="C910" s="42" t="s">
        <v>15795</v>
      </c>
      <c r="D910" s="43" t="str">
        <f t="shared" si="30"/>
        <v>2021.028M.Peribunyaviridae_sprename.zip</v>
      </c>
    </row>
    <row r="911" spans="1:4">
      <c r="A911" s="24" t="s">
        <v>14822</v>
      </c>
      <c r="B911" s="42" t="s">
        <v>15794</v>
      </c>
      <c r="C911" s="42" t="s">
        <v>15793</v>
      </c>
      <c r="D911" s="43" t="str">
        <f t="shared" si="30"/>
        <v>2021.028M.Peribunyaviridae_sprename.zip</v>
      </c>
    </row>
    <row r="912" spans="1:4">
      <c r="A912" s="24" t="s">
        <v>14822</v>
      </c>
      <c r="B912" s="42" t="s">
        <v>15792</v>
      </c>
      <c r="C912" s="42" t="s">
        <v>15791</v>
      </c>
      <c r="D912" s="43" t="str">
        <f t="shared" si="30"/>
        <v>2021.028M.Peribunyaviridae_sprename.zip</v>
      </c>
    </row>
    <row r="913" spans="1:4">
      <c r="A913" s="24" t="s">
        <v>14822</v>
      </c>
      <c r="B913" s="42" t="s">
        <v>15790</v>
      </c>
      <c r="C913" s="42" t="s">
        <v>15789</v>
      </c>
      <c r="D913" s="43" t="str">
        <f t="shared" si="30"/>
        <v>2021.028M.Peribunyaviridae_sprename.zip</v>
      </c>
    </row>
    <row r="914" spans="1:4">
      <c r="A914" s="24" t="s">
        <v>14822</v>
      </c>
      <c r="B914" s="42" t="s">
        <v>15810</v>
      </c>
      <c r="C914" s="42" t="s">
        <v>15809</v>
      </c>
      <c r="D914" s="43" t="str">
        <f t="shared" si="30"/>
        <v>2021.028M.Peribunyaviridae_sprename.zip</v>
      </c>
    </row>
    <row r="915" spans="1:4">
      <c r="A915" s="24" t="s">
        <v>14822</v>
      </c>
      <c r="B915" s="42" t="s">
        <v>15788</v>
      </c>
      <c r="C915" s="42" t="s">
        <v>15787</v>
      </c>
      <c r="D915" s="43" t="str">
        <f t="shared" si="30"/>
        <v>2021.028M.Peribunyaviridae_sprename.zip</v>
      </c>
    </row>
    <row r="916" spans="1:4">
      <c r="A916" s="24" t="s">
        <v>14822</v>
      </c>
      <c r="B916" s="42" t="s">
        <v>15774</v>
      </c>
      <c r="C916" s="42" t="s">
        <v>15773</v>
      </c>
      <c r="D916" s="43" t="str">
        <f t="shared" si="30"/>
        <v>2021.028M.Peribunyaviridae_sprename.zip</v>
      </c>
    </row>
    <row r="917" spans="1:4">
      <c r="A917" s="24" t="s">
        <v>14822</v>
      </c>
      <c r="B917" s="42" t="s">
        <v>15786</v>
      </c>
      <c r="C917" s="42" t="s">
        <v>15785</v>
      </c>
      <c r="D917" s="43" t="str">
        <f t="shared" si="30"/>
        <v>2021.028M.Peribunyaviridae_sprename.zip</v>
      </c>
    </row>
    <row r="918" spans="1:4">
      <c r="A918" s="24" t="s">
        <v>14822</v>
      </c>
      <c r="B918" s="42" t="s">
        <v>15784</v>
      </c>
      <c r="C918" s="42" t="s">
        <v>15783</v>
      </c>
      <c r="D918" s="43" t="str">
        <f t="shared" si="30"/>
        <v>2021.028M.Peribunyaviridae_sprename.zip</v>
      </c>
    </row>
    <row r="919" spans="1:4">
      <c r="A919" s="24" t="s">
        <v>14822</v>
      </c>
      <c r="B919" s="42" t="s">
        <v>15782</v>
      </c>
      <c r="C919" s="42" t="s">
        <v>15781</v>
      </c>
      <c r="D919" s="43" t="str">
        <f t="shared" ref="D919:D950" si="31">HYPERLINK("https://ictv.global/ictv/proposals/2021.028M.Peribunyaviridae_sprename.zip","2021.028M.Peribunyaviridae_sprename.zip")</f>
        <v>2021.028M.Peribunyaviridae_sprename.zip</v>
      </c>
    </row>
    <row r="920" spans="1:4">
      <c r="A920" s="24" t="s">
        <v>14822</v>
      </c>
      <c r="B920" s="42" t="s">
        <v>15780</v>
      </c>
      <c r="C920" s="42" t="s">
        <v>15779</v>
      </c>
      <c r="D920" s="43" t="str">
        <f t="shared" si="31"/>
        <v>2021.028M.Peribunyaviridae_sprename.zip</v>
      </c>
    </row>
    <row r="921" spans="1:4">
      <c r="A921" s="24" t="s">
        <v>14822</v>
      </c>
      <c r="B921" s="42" t="s">
        <v>15778</v>
      </c>
      <c r="C921" s="42" t="s">
        <v>15777</v>
      </c>
      <c r="D921" s="43" t="str">
        <f t="shared" si="31"/>
        <v>2021.028M.Peribunyaviridae_sprename.zip</v>
      </c>
    </row>
    <row r="922" spans="1:4">
      <c r="A922" s="24" t="s">
        <v>14822</v>
      </c>
      <c r="B922" s="42" t="s">
        <v>15776</v>
      </c>
      <c r="C922" s="42" t="s">
        <v>15775</v>
      </c>
      <c r="D922" s="43" t="str">
        <f t="shared" si="31"/>
        <v>2021.028M.Peribunyaviridae_sprename.zip</v>
      </c>
    </row>
    <row r="923" spans="1:4">
      <c r="A923" s="24" t="s">
        <v>14822</v>
      </c>
      <c r="B923" s="42" t="s">
        <v>15772</v>
      </c>
      <c r="C923" s="42" t="s">
        <v>15771</v>
      </c>
      <c r="D923" s="43" t="str">
        <f t="shared" si="31"/>
        <v>2021.028M.Peribunyaviridae_sprename.zip</v>
      </c>
    </row>
    <row r="924" spans="1:4">
      <c r="A924" s="24" t="s">
        <v>14822</v>
      </c>
      <c r="B924" s="42" t="s">
        <v>15768</v>
      </c>
      <c r="C924" s="42" t="s">
        <v>15767</v>
      </c>
      <c r="D924" s="43" t="str">
        <f t="shared" si="31"/>
        <v>2021.028M.Peribunyaviridae_sprename.zip</v>
      </c>
    </row>
    <row r="925" spans="1:4">
      <c r="A925" s="24" t="s">
        <v>14822</v>
      </c>
      <c r="B925" s="42" t="s">
        <v>15766</v>
      </c>
      <c r="C925" s="42" t="s">
        <v>15765</v>
      </c>
      <c r="D925" s="43" t="str">
        <f t="shared" si="31"/>
        <v>2021.028M.Peribunyaviridae_sprename.zip</v>
      </c>
    </row>
    <row r="926" spans="1:4">
      <c r="A926" s="24" t="s">
        <v>14822</v>
      </c>
      <c r="B926" s="42" t="s">
        <v>15764</v>
      </c>
      <c r="C926" s="42" t="s">
        <v>15763</v>
      </c>
      <c r="D926" s="43" t="str">
        <f t="shared" si="31"/>
        <v>2021.028M.Peribunyaviridae_sprename.zip</v>
      </c>
    </row>
    <row r="927" spans="1:4">
      <c r="A927" s="24" t="s">
        <v>14822</v>
      </c>
      <c r="B927" s="42" t="s">
        <v>15762</v>
      </c>
      <c r="C927" s="42" t="s">
        <v>15761</v>
      </c>
      <c r="D927" s="43" t="str">
        <f t="shared" si="31"/>
        <v>2021.028M.Peribunyaviridae_sprename.zip</v>
      </c>
    </row>
    <row r="928" spans="1:4">
      <c r="A928" s="24" t="s">
        <v>14822</v>
      </c>
      <c r="B928" s="42" t="s">
        <v>15760</v>
      </c>
      <c r="C928" s="42" t="s">
        <v>15759</v>
      </c>
      <c r="D928" s="43" t="str">
        <f t="shared" si="31"/>
        <v>2021.028M.Peribunyaviridae_sprename.zip</v>
      </c>
    </row>
    <row r="929" spans="1:4">
      <c r="A929" s="24" t="s">
        <v>14822</v>
      </c>
      <c r="B929" s="42" t="s">
        <v>15758</v>
      </c>
      <c r="C929" s="42" t="s">
        <v>15757</v>
      </c>
      <c r="D929" s="43" t="str">
        <f t="shared" si="31"/>
        <v>2021.028M.Peribunyaviridae_sprename.zip</v>
      </c>
    </row>
    <row r="930" spans="1:4">
      <c r="A930" s="24" t="s">
        <v>14822</v>
      </c>
      <c r="B930" s="42" t="s">
        <v>15756</v>
      </c>
      <c r="C930" s="42" t="s">
        <v>15755</v>
      </c>
      <c r="D930" s="43" t="str">
        <f t="shared" si="31"/>
        <v>2021.028M.Peribunyaviridae_sprename.zip</v>
      </c>
    </row>
    <row r="931" spans="1:4">
      <c r="A931" s="24" t="s">
        <v>14822</v>
      </c>
      <c r="B931" s="42" t="s">
        <v>15752</v>
      </c>
      <c r="C931" s="42" t="s">
        <v>15751</v>
      </c>
      <c r="D931" s="43" t="str">
        <f t="shared" si="31"/>
        <v>2021.028M.Peribunyaviridae_sprename.zip</v>
      </c>
    </row>
    <row r="932" spans="1:4">
      <c r="A932" s="24" t="s">
        <v>14822</v>
      </c>
      <c r="B932" s="42" t="s">
        <v>15750</v>
      </c>
      <c r="C932" s="42" t="s">
        <v>15749</v>
      </c>
      <c r="D932" s="43" t="str">
        <f t="shared" si="31"/>
        <v>2021.028M.Peribunyaviridae_sprename.zip</v>
      </c>
    </row>
    <row r="933" spans="1:4">
      <c r="A933" s="24" t="s">
        <v>14822</v>
      </c>
      <c r="B933" s="42" t="s">
        <v>15890</v>
      </c>
      <c r="C933" s="42" t="s">
        <v>15889</v>
      </c>
      <c r="D933" s="43" t="str">
        <f t="shared" si="31"/>
        <v>2021.028M.Peribunyaviridae_sprename.zip</v>
      </c>
    </row>
    <row r="934" spans="1:4">
      <c r="A934" s="24" t="s">
        <v>14822</v>
      </c>
      <c r="B934" s="42" t="s">
        <v>15748</v>
      </c>
      <c r="C934" s="42" t="s">
        <v>15747</v>
      </c>
      <c r="D934" s="43" t="str">
        <f t="shared" si="31"/>
        <v>2021.028M.Peribunyaviridae_sprename.zip</v>
      </c>
    </row>
    <row r="935" spans="1:4">
      <c r="A935" s="24" t="s">
        <v>14822</v>
      </c>
      <c r="B935" s="42" t="s">
        <v>15746</v>
      </c>
      <c r="C935" s="42" t="s">
        <v>15745</v>
      </c>
      <c r="D935" s="43" t="str">
        <f t="shared" si="31"/>
        <v>2021.028M.Peribunyaviridae_sprename.zip</v>
      </c>
    </row>
    <row r="936" spans="1:4">
      <c r="A936" s="24" t="s">
        <v>14822</v>
      </c>
      <c r="B936" s="42" t="s">
        <v>15744</v>
      </c>
      <c r="C936" s="42" t="s">
        <v>15743</v>
      </c>
      <c r="D936" s="43" t="str">
        <f t="shared" si="31"/>
        <v>2021.028M.Peribunyaviridae_sprename.zip</v>
      </c>
    </row>
    <row r="937" spans="1:4">
      <c r="A937" s="24" t="s">
        <v>14822</v>
      </c>
      <c r="B937" s="42" t="s">
        <v>15770</v>
      </c>
      <c r="C937" s="42" t="s">
        <v>15769</v>
      </c>
      <c r="D937" s="43" t="str">
        <f t="shared" si="31"/>
        <v>2021.028M.Peribunyaviridae_sprename.zip</v>
      </c>
    </row>
    <row r="938" spans="1:4">
      <c r="A938" s="24" t="s">
        <v>14822</v>
      </c>
      <c r="B938" s="42" t="s">
        <v>15734</v>
      </c>
      <c r="C938" s="42" t="s">
        <v>15733</v>
      </c>
      <c r="D938" s="43" t="str">
        <f t="shared" si="31"/>
        <v>2021.028M.Peribunyaviridae_sprename.zip</v>
      </c>
    </row>
    <row r="939" spans="1:4">
      <c r="A939" s="24" t="s">
        <v>14822</v>
      </c>
      <c r="B939" s="42" t="s">
        <v>15740</v>
      </c>
      <c r="C939" s="42" t="s">
        <v>15739</v>
      </c>
      <c r="D939" s="43" t="str">
        <f t="shared" si="31"/>
        <v>2021.028M.Peribunyaviridae_sprename.zip</v>
      </c>
    </row>
    <row r="940" spans="1:4">
      <c r="A940" s="24" t="s">
        <v>14822</v>
      </c>
      <c r="B940" s="42" t="s">
        <v>15738</v>
      </c>
      <c r="C940" s="42" t="s">
        <v>15737</v>
      </c>
      <c r="D940" s="43" t="str">
        <f t="shared" si="31"/>
        <v>2021.028M.Peribunyaviridae_sprename.zip</v>
      </c>
    </row>
    <row r="941" spans="1:4">
      <c r="A941" s="24" t="s">
        <v>14822</v>
      </c>
      <c r="B941" s="42" t="s">
        <v>15806</v>
      </c>
      <c r="C941" s="42" t="s">
        <v>15805</v>
      </c>
      <c r="D941" s="43" t="str">
        <f t="shared" si="31"/>
        <v>2021.028M.Peribunyaviridae_sprename.zip</v>
      </c>
    </row>
    <row r="942" spans="1:4">
      <c r="A942" s="24" t="s">
        <v>14822</v>
      </c>
      <c r="B942" s="42" t="s">
        <v>15736</v>
      </c>
      <c r="C942" s="42" t="s">
        <v>15735</v>
      </c>
      <c r="D942" s="43" t="str">
        <f t="shared" si="31"/>
        <v>2021.028M.Peribunyaviridae_sprename.zip</v>
      </c>
    </row>
    <row r="943" spans="1:4">
      <c r="A943" s="24" t="s">
        <v>14822</v>
      </c>
      <c r="B943" s="42" t="s">
        <v>15732</v>
      </c>
      <c r="C943" s="42" t="s">
        <v>15731</v>
      </c>
      <c r="D943" s="43" t="str">
        <f t="shared" si="31"/>
        <v>2021.028M.Peribunyaviridae_sprename.zip</v>
      </c>
    </row>
    <row r="944" spans="1:4">
      <c r="A944" s="24" t="s">
        <v>14822</v>
      </c>
      <c r="B944" s="42" t="s">
        <v>15730</v>
      </c>
      <c r="C944" s="42" t="s">
        <v>15729</v>
      </c>
      <c r="D944" s="43" t="str">
        <f t="shared" si="31"/>
        <v>2021.028M.Peribunyaviridae_sprename.zip</v>
      </c>
    </row>
    <row r="945" spans="1:4">
      <c r="A945" s="24" t="s">
        <v>14822</v>
      </c>
      <c r="B945" s="42" t="s">
        <v>15728</v>
      </c>
      <c r="C945" s="42" t="s">
        <v>15727</v>
      </c>
      <c r="D945" s="43" t="str">
        <f t="shared" si="31"/>
        <v>2021.028M.Peribunyaviridae_sprename.zip</v>
      </c>
    </row>
    <row r="946" spans="1:4">
      <c r="A946" s="24" t="s">
        <v>14822</v>
      </c>
      <c r="B946" s="42" t="s">
        <v>15726</v>
      </c>
      <c r="C946" s="42" t="s">
        <v>15725</v>
      </c>
      <c r="D946" s="43" t="str">
        <f t="shared" si="31"/>
        <v>2021.028M.Peribunyaviridae_sprename.zip</v>
      </c>
    </row>
    <row r="947" spans="1:4">
      <c r="A947" s="24" t="s">
        <v>14822</v>
      </c>
      <c r="B947" s="42" t="s">
        <v>15724</v>
      </c>
      <c r="C947" s="42" t="s">
        <v>15723</v>
      </c>
      <c r="D947" s="43" t="str">
        <f t="shared" si="31"/>
        <v>2021.028M.Peribunyaviridae_sprename.zip</v>
      </c>
    </row>
    <row r="948" spans="1:4">
      <c r="A948" s="24" t="s">
        <v>14822</v>
      </c>
      <c r="B948" s="42" t="s">
        <v>15722</v>
      </c>
      <c r="C948" s="42" t="s">
        <v>15721</v>
      </c>
      <c r="D948" s="43" t="str">
        <f t="shared" si="31"/>
        <v>2021.028M.Peribunyaviridae_sprename.zip</v>
      </c>
    </row>
    <row r="949" spans="1:4">
      <c r="A949" s="24" t="s">
        <v>14822</v>
      </c>
      <c r="B949" s="42" t="s">
        <v>15720</v>
      </c>
      <c r="C949" s="42" t="s">
        <v>15719</v>
      </c>
      <c r="D949" s="43" t="str">
        <f t="shared" si="31"/>
        <v>2021.028M.Peribunyaviridae_sprename.zip</v>
      </c>
    </row>
    <row r="950" spans="1:4">
      <c r="A950" s="24" t="s">
        <v>14822</v>
      </c>
      <c r="B950" s="42" t="s">
        <v>15718</v>
      </c>
      <c r="C950" s="42" t="s">
        <v>15717</v>
      </c>
      <c r="D950" s="43" t="str">
        <f t="shared" si="31"/>
        <v>2021.028M.Peribunyaviridae_sprename.zip</v>
      </c>
    </row>
    <row r="951" spans="1:4">
      <c r="A951" s="24" t="s">
        <v>14822</v>
      </c>
      <c r="B951" s="42" t="s">
        <v>15900</v>
      </c>
      <c r="C951" s="42" t="s">
        <v>15899</v>
      </c>
      <c r="D951" s="43" t="str">
        <f t="shared" ref="D951:D962" si="32">HYPERLINK("https://ictv.global/ictv/proposals/2021.028M.Peribunyaviridae_sprename.zip","2021.028M.Peribunyaviridae_sprename.zip")</f>
        <v>2021.028M.Peribunyaviridae_sprename.zip</v>
      </c>
    </row>
    <row r="952" spans="1:4">
      <c r="A952" s="24" t="s">
        <v>14822</v>
      </c>
      <c r="B952" s="42" t="s">
        <v>15716</v>
      </c>
      <c r="C952" s="42" t="s">
        <v>15715</v>
      </c>
      <c r="D952" s="43" t="str">
        <f t="shared" si="32"/>
        <v>2021.028M.Peribunyaviridae_sprename.zip</v>
      </c>
    </row>
    <row r="953" spans="1:4">
      <c r="A953" s="24" t="s">
        <v>14822</v>
      </c>
      <c r="B953" s="42" t="s">
        <v>15714</v>
      </c>
      <c r="C953" s="42" t="s">
        <v>15713</v>
      </c>
      <c r="D953" s="43" t="str">
        <f t="shared" si="32"/>
        <v>2021.028M.Peribunyaviridae_sprename.zip</v>
      </c>
    </row>
    <row r="954" spans="1:4">
      <c r="A954" s="24" t="s">
        <v>14822</v>
      </c>
      <c r="B954" s="42" t="s">
        <v>15712</v>
      </c>
      <c r="C954" s="42" t="s">
        <v>15711</v>
      </c>
      <c r="D954" s="43" t="str">
        <f t="shared" si="32"/>
        <v>2021.028M.Peribunyaviridae_sprename.zip</v>
      </c>
    </row>
    <row r="955" spans="1:4">
      <c r="A955" s="24" t="s">
        <v>14822</v>
      </c>
      <c r="B955" s="42" t="s">
        <v>15710</v>
      </c>
      <c r="C955" s="42" t="s">
        <v>15709</v>
      </c>
      <c r="D955" s="43" t="str">
        <f t="shared" si="32"/>
        <v>2021.028M.Peribunyaviridae_sprename.zip</v>
      </c>
    </row>
    <row r="956" spans="1:4">
      <c r="A956" s="24" t="s">
        <v>14822</v>
      </c>
      <c r="B956" s="42" t="s">
        <v>15708</v>
      </c>
      <c r="C956" s="42" t="s">
        <v>15707</v>
      </c>
      <c r="D956" s="43" t="str">
        <f t="shared" si="32"/>
        <v>2021.028M.Peribunyaviridae_sprename.zip</v>
      </c>
    </row>
    <row r="957" spans="1:4">
      <c r="A957" s="24" t="s">
        <v>14822</v>
      </c>
      <c r="B957" s="42" t="s">
        <v>15706</v>
      </c>
      <c r="C957" s="42" t="s">
        <v>15705</v>
      </c>
      <c r="D957" s="43" t="str">
        <f t="shared" si="32"/>
        <v>2021.028M.Peribunyaviridae_sprename.zip</v>
      </c>
    </row>
    <row r="958" spans="1:4">
      <c r="A958" s="24" t="s">
        <v>14822</v>
      </c>
      <c r="B958" s="42" t="s">
        <v>15704</v>
      </c>
      <c r="C958" s="42" t="s">
        <v>15703</v>
      </c>
      <c r="D958" s="43" t="str">
        <f t="shared" si="32"/>
        <v>2021.028M.Peribunyaviridae_sprename.zip</v>
      </c>
    </row>
    <row r="959" spans="1:4">
      <c r="A959" s="24" t="s">
        <v>14822</v>
      </c>
      <c r="B959" s="42" t="s">
        <v>15700</v>
      </c>
      <c r="C959" s="42" t="s">
        <v>15699</v>
      </c>
      <c r="D959" s="43" t="str">
        <f t="shared" si="32"/>
        <v>2021.028M.Peribunyaviridae_sprename.zip</v>
      </c>
    </row>
    <row r="960" spans="1:4">
      <c r="A960" s="24" t="s">
        <v>14822</v>
      </c>
      <c r="B960" s="42" t="s">
        <v>15702</v>
      </c>
      <c r="C960" s="42" t="s">
        <v>15701</v>
      </c>
      <c r="D960" s="43" t="str">
        <f t="shared" si="32"/>
        <v>2021.028M.Peribunyaviridae_sprename.zip</v>
      </c>
    </row>
    <row r="961" spans="1:4">
      <c r="A961" s="24" t="s">
        <v>14822</v>
      </c>
      <c r="B961" s="42" t="s">
        <v>15698</v>
      </c>
      <c r="C961" s="42" t="s">
        <v>15697</v>
      </c>
      <c r="D961" s="43" t="str">
        <f t="shared" si="32"/>
        <v>2021.028M.Peribunyaviridae_sprename.zip</v>
      </c>
    </row>
    <row r="962" spans="1:4">
      <c r="A962" s="24" t="s">
        <v>14822</v>
      </c>
      <c r="B962" s="42" t="s">
        <v>15696</v>
      </c>
      <c r="C962" s="42" t="s">
        <v>15695</v>
      </c>
      <c r="D962" s="43" t="str">
        <f t="shared" si="32"/>
        <v>2021.028M.Peribunyaviridae_sprename.zip</v>
      </c>
    </row>
    <row r="963" spans="1:4">
      <c r="A963" s="24" t="s">
        <v>14822</v>
      </c>
      <c r="B963" s="42" t="s">
        <v>15694</v>
      </c>
      <c r="C963" s="42" t="s">
        <v>15693</v>
      </c>
      <c r="D963" s="43" t="str">
        <f t="shared" ref="D963:D983" si="33">HYPERLINK("https://ictv.global/ictv/proposals/2021.031M.Phasmaviridae_sprename.zip","2021.031M.Phasmaviridae_sprename.zip")</f>
        <v>2021.031M.Phasmaviridae_sprename.zip</v>
      </c>
    </row>
    <row r="964" spans="1:4">
      <c r="A964" s="24" t="s">
        <v>14822</v>
      </c>
      <c r="B964" s="42" t="s">
        <v>15692</v>
      </c>
      <c r="C964" s="42" t="s">
        <v>15691</v>
      </c>
      <c r="D964" s="43" t="str">
        <f t="shared" si="33"/>
        <v>2021.031M.Phasmaviridae_sprename.zip</v>
      </c>
    </row>
    <row r="965" spans="1:4">
      <c r="A965" s="24" t="s">
        <v>14822</v>
      </c>
      <c r="B965" s="42" t="s">
        <v>15690</v>
      </c>
      <c r="C965" s="42" t="s">
        <v>15689</v>
      </c>
      <c r="D965" s="43" t="str">
        <f t="shared" si="33"/>
        <v>2021.031M.Phasmaviridae_sprename.zip</v>
      </c>
    </row>
    <row r="966" spans="1:4">
      <c r="A966" s="24" t="s">
        <v>14822</v>
      </c>
      <c r="B966" s="42" t="s">
        <v>15686</v>
      </c>
      <c r="C966" s="42" t="s">
        <v>15685</v>
      </c>
      <c r="D966" s="43" t="str">
        <f t="shared" si="33"/>
        <v>2021.031M.Phasmaviridae_sprename.zip</v>
      </c>
    </row>
    <row r="967" spans="1:4">
      <c r="A967" s="24" t="s">
        <v>14822</v>
      </c>
      <c r="B967" s="42" t="s">
        <v>15688</v>
      </c>
      <c r="C967" s="42" t="s">
        <v>15687</v>
      </c>
      <c r="D967" s="43" t="str">
        <f t="shared" si="33"/>
        <v>2021.031M.Phasmaviridae_sprename.zip</v>
      </c>
    </row>
    <row r="968" spans="1:4">
      <c r="A968" s="24" t="s">
        <v>14822</v>
      </c>
      <c r="B968" s="42" t="s">
        <v>15684</v>
      </c>
      <c r="C968" s="42" t="s">
        <v>15683</v>
      </c>
      <c r="D968" s="43" t="str">
        <f t="shared" si="33"/>
        <v>2021.031M.Phasmaviridae_sprename.zip</v>
      </c>
    </row>
    <row r="969" spans="1:4">
      <c r="A969" s="24" t="s">
        <v>14822</v>
      </c>
      <c r="B969" s="42" t="s">
        <v>15680</v>
      </c>
      <c r="C969" s="42" t="s">
        <v>15679</v>
      </c>
      <c r="D969" s="43" t="str">
        <f t="shared" si="33"/>
        <v>2021.031M.Phasmaviridae_sprename.zip</v>
      </c>
    </row>
    <row r="970" spans="1:4">
      <c r="A970" s="24" t="s">
        <v>14822</v>
      </c>
      <c r="B970" s="42" t="s">
        <v>15676</v>
      </c>
      <c r="C970" s="42" t="s">
        <v>15675</v>
      </c>
      <c r="D970" s="43" t="str">
        <f t="shared" si="33"/>
        <v>2021.031M.Phasmaviridae_sprename.zip</v>
      </c>
    </row>
    <row r="971" spans="1:4">
      <c r="A971" s="24" t="s">
        <v>14822</v>
      </c>
      <c r="B971" s="42" t="s">
        <v>15674</v>
      </c>
      <c r="C971" s="42" t="s">
        <v>15673</v>
      </c>
      <c r="D971" s="43" t="str">
        <f t="shared" si="33"/>
        <v>2021.031M.Phasmaviridae_sprename.zip</v>
      </c>
    </row>
    <row r="972" spans="1:4">
      <c r="A972" s="24" t="s">
        <v>14822</v>
      </c>
      <c r="B972" s="42" t="s">
        <v>15672</v>
      </c>
      <c r="C972" s="42" t="s">
        <v>15671</v>
      </c>
      <c r="D972" s="43" t="str">
        <f t="shared" si="33"/>
        <v>2021.031M.Phasmaviridae_sprename.zip</v>
      </c>
    </row>
    <row r="973" spans="1:4">
      <c r="A973" s="24" t="s">
        <v>14822</v>
      </c>
      <c r="B973" s="42" t="s">
        <v>15662</v>
      </c>
      <c r="C973" s="42" t="s">
        <v>15661</v>
      </c>
      <c r="D973" s="43" t="str">
        <f t="shared" si="33"/>
        <v>2021.031M.Phasmaviridae_sprename.zip</v>
      </c>
    </row>
    <row r="974" spans="1:4">
      <c r="A974" s="24" t="s">
        <v>14822</v>
      </c>
      <c r="B974" s="42" t="s">
        <v>15678</v>
      </c>
      <c r="C974" s="42" t="s">
        <v>15677</v>
      </c>
      <c r="D974" s="43" t="str">
        <f t="shared" si="33"/>
        <v>2021.031M.Phasmaviridae_sprename.zip</v>
      </c>
    </row>
    <row r="975" spans="1:4">
      <c r="A975" s="24" t="s">
        <v>14822</v>
      </c>
      <c r="B975" s="42" t="s">
        <v>15668</v>
      </c>
      <c r="C975" s="42" t="s">
        <v>15667</v>
      </c>
      <c r="D975" s="43" t="str">
        <f t="shared" si="33"/>
        <v>2021.031M.Phasmaviridae_sprename.zip</v>
      </c>
    </row>
    <row r="976" spans="1:4">
      <c r="A976" s="24" t="s">
        <v>14822</v>
      </c>
      <c r="B976" s="42" t="s">
        <v>15666</v>
      </c>
      <c r="C976" s="42" t="s">
        <v>15665</v>
      </c>
      <c r="D976" s="43" t="str">
        <f t="shared" si="33"/>
        <v>2021.031M.Phasmaviridae_sprename.zip</v>
      </c>
    </row>
    <row r="977" spans="1:4">
      <c r="A977" s="24" t="s">
        <v>14822</v>
      </c>
      <c r="B977" s="42" t="s">
        <v>15664</v>
      </c>
      <c r="C977" s="42" t="s">
        <v>15663</v>
      </c>
      <c r="D977" s="43" t="str">
        <f t="shared" si="33"/>
        <v>2021.031M.Phasmaviridae_sprename.zip</v>
      </c>
    </row>
    <row r="978" spans="1:4">
      <c r="A978" s="24" t="s">
        <v>14822</v>
      </c>
      <c r="B978" s="42" t="s">
        <v>15670</v>
      </c>
      <c r="C978" s="42" t="s">
        <v>15669</v>
      </c>
      <c r="D978" s="43" t="str">
        <f t="shared" si="33"/>
        <v>2021.031M.Phasmaviridae_sprename.zip</v>
      </c>
    </row>
    <row r="979" spans="1:4">
      <c r="A979" s="24" t="s">
        <v>14822</v>
      </c>
      <c r="B979" s="42" t="s">
        <v>15660</v>
      </c>
      <c r="C979" s="42" t="s">
        <v>15659</v>
      </c>
      <c r="D979" s="43" t="str">
        <f t="shared" si="33"/>
        <v>2021.031M.Phasmaviridae_sprename.zip</v>
      </c>
    </row>
    <row r="980" spans="1:4">
      <c r="A980" s="24" t="s">
        <v>14822</v>
      </c>
      <c r="B980" s="42" t="s">
        <v>15658</v>
      </c>
      <c r="C980" s="42" t="s">
        <v>15657</v>
      </c>
      <c r="D980" s="43" t="str">
        <f t="shared" si="33"/>
        <v>2021.031M.Phasmaviridae_sprename.zip</v>
      </c>
    </row>
    <row r="981" spans="1:4">
      <c r="A981" s="24" t="s">
        <v>14822</v>
      </c>
      <c r="B981" s="42" t="s">
        <v>15682</v>
      </c>
      <c r="C981" s="42" t="s">
        <v>15681</v>
      </c>
      <c r="D981" s="43" t="str">
        <f t="shared" si="33"/>
        <v>2021.031M.Phasmaviridae_sprename.zip</v>
      </c>
    </row>
    <row r="982" spans="1:4">
      <c r="A982" s="24" t="s">
        <v>14822</v>
      </c>
      <c r="B982" s="42" t="s">
        <v>15656</v>
      </c>
      <c r="C982" s="42" t="s">
        <v>15655</v>
      </c>
      <c r="D982" s="43" t="str">
        <f t="shared" si="33"/>
        <v>2021.031M.Phasmaviridae_sprename.zip</v>
      </c>
    </row>
    <row r="983" spans="1:4">
      <c r="A983" s="24" t="s">
        <v>14822</v>
      </c>
      <c r="B983" s="42" t="s">
        <v>15654</v>
      </c>
      <c r="C983" s="42" t="s">
        <v>15653</v>
      </c>
      <c r="D983" s="43" t="str">
        <f t="shared" si="33"/>
        <v>2021.031M.Phasmaviridae_sprename.zip</v>
      </c>
    </row>
    <row r="984" spans="1:4">
      <c r="A984" s="24" t="s">
        <v>14822</v>
      </c>
      <c r="B984" s="42" t="s">
        <v>15648</v>
      </c>
      <c r="C984" s="42" t="s">
        <v>15647</v>
      </c>
      <c r="D984" s="43" t="str">
        <f t="shared" ref="D984:D1015" si="34">HYPERLINK("https://ictv.global/ictv/proposals/2021.002M.Phenuiviridae_sprenamed.zip","2021.002M.Phenuiviridae_sprenamed.zip")</f>
        <v>2021.002M.Phenuiviridae_sprenamed.zip</v>
      </c>
    </row>
    <row r="985" spans="1:4">
      <c r="A985" s="24" t="s">
        <v>14822</v>
      </c>
      <c r="B985" s="42" t="s">
        <v>15646</v>
      </c>
      <c r="C985" s="42" t="s">
        <v>15645</v>
      </c>
      <c r="D985" s="43" t="str">
        <f t="shared" si="34"/>
        <v>2021.002M.Phenuiviridae_sprenamed.zip</v>
      </c>
    </row>
    <row r="986" spans="1:4">
      <c r="A986" s="24" t="s">
        <v>14822</v>
      </c>
      <c r="B986" s="42" t="s">
        <v>15644</v>
      </c>
      <c r="C986" s="42" t="s">
        <v>15643</v>
      </c>
      <c r="D986" s="43" t="str">
        <f t="shared" si="34"/>
        <v>2021.002M.Phenuiviridae_sprenamed.zip</v>
      </c>
    </row>
    <row r="987" spans="1:4">
      <c r="A987" s="24" t="s">
        <v>14822</v>
      </c>
      <c r="B987" s="42" t="s">
        <v>15642</v>
      </c>
      <c r="C987" s="42" t="s">
        <v>15641</v>
      </c>
      <c r="D987" s="43" t="str">
        <f t="shared" si="34"/>
        <v>2021.002M.Phenuiviridae_sprenamed.zip</v>
      </c>
    </row>
    <row r="988" spans="1:4">
      <c r="A988" s="24" t="s">
        <v>14822</v>
      </c>
      <c r="B988" s="42" t="s">
        <v>15652</v>
      </c>
      <c r="C988" s="42" t="s">
        <v>15651</v>
      </c>
      <c r="D988" s="43" t="str">
        <f t="shared" si="34"/>
        <v>2021.002M.Phenuiviridae_sprenamed.zip</v>
      </c>
    </row>
    <row r="989" spans="1:4">
      <c r="A989" s="24" t="s">
        <v>14822</v>
      </c>
      <c r="B989" s="42" t="s">
        <v>15640</v>
      </c>
      <c r="C989" s="42" t="s">
        <v>15639</v>
      </c>
      <c r="D989" s="43" t="str">
        <f t="shared" si="34"/>
        <v>2021.002M.Phenuiviridae_sprenamed.zip</v>
      </c>
    </row>
    <row r="990" spans="1:4">
      <c r="A990" s="24" t="s">
        <v>14822</v>
      </c>
      <c r="B990" s="42" t="s">
        <v>15650</v>
      </c>
      <c r="C990" s="42" t="s">
        <v>15649</v>
      </c>
      <c r="D990" s="43" t="str">
        <f t="shared" si="34"/>
        <v>2021.002M.Phenuiviridae_sprenamed.zip</v>
      </c>
    </row>
    <row r="991" spans="1:4">
      <c r="A991" s="24" t="s">
        <v>14822</v>
      </c>
      <c r="B991" s="42" t="s">
        <v>15638</v>
      </c>
      <c r="C991" s="42" t="s">
        <v>15637</v>
      </c>
      <c r="D991" s="43" t="str">
        <f t="shared" si="34"/>
        <v>2021.002M.Phenuiviridae_sprenamed.zip</v>
      </c>
    </row>
    <row r="992" spans="1:4">
      <c r="A992" s="24" t="s">
        <v>14822</v>
      </c>
      <c r="B992" s="42" t="s">
        <v>15636</v>
      </c>
      <c r="C992" s="42" t="s">
        <v>15635</v>
      </c>
      <c r="D992" s="43" t="str">
        <f t="shared" si="34"/>
        <v>2021.002M.Phenuiviridae_sprenamed.zip</v>
      </c>
    </row>
    <row r="993" spans="1:4">
      <c r="A993" s="24" t="s">
        <v>14822</v>
      </c>
      <c r="B993" s="42" t="s">
        <v>15634</v>
      </c>
      <c r="C993" s="42" t="s">
        <v>15633</v>
      </c>
      <c r="D993" s="43" t="str">
        <f t="shared" si="34"/>
        <v>2021.002M.Phenuiviridae_sprenamed.zip</v>
      </c>
    </row>
    <row r="994" spans="1:4">
      <c r="A994" s="24" t="s">
        <v>14822</v>
      </c>
      <c r="B994" s="42" t="s">
        <v>15632</v>
      </c>
      <c r="C994" s="42" t="s">
        <v>15631</v>
      </c>
      <c r="D994" s="43" t="str">
        <f t="shared" si="34"/>
        <v>2021.002M.Phenuiviridae_sprenamed.zip</v>
      </c>
    </row>
    <row r="995" spans="1:4">
      <c r="A995" s="24" t="s">
        <v>14822</v>
      </c>
      <c r="B995" s="42" t="s">
        <v>15630</v>
      </c>
      <c r="C995" s="42" t="s">
        <v>15629</v>
      </c>
      <c r="D995" s="43" t="str">
        <f t="shared" si="34"/>
        <v>2021.002M.Phenuiviridae_sprenamed.zip</v>
      </c>
    </row>
    <row r="996" spans="1:4">
      <c r="A996" s="24" t="s">
        <v>14822</v>
      </c>
      <c r="B996" s="42" t="s">
        <v>15628</v>
      </c>
      <c r="C996" s="42" t="s">
        <v>15627</v>
      </c>
      <c r="D996" s="43" t="str">
        <f t="shared" si="34"/>
        <v>2021.002M.Phenuiviridae_sprenamed.zip</v>
      </c>
    </row>
    <row r="997" spans="1:4">
      <c r="A997" s="24" t="s">
        <v>14822</v>
      </c>
      <c r="B997" s="42" t="s">
        <v>15626</v>
      </c>
      <c r="C997" s="42" t="s">
        <v>15625</v>
      </c>
      <c r="D997" s="43" t="str">
        <f t="shared" si="34"/>
        <v>2021.002M.Phenuiviridae_sprenamed.zip</v>
      </c>
    </row>
    <row r="998" spans="1:4">
      <c r="A998" s="24" t="s">
        <v>14822</v>
      </c>
      <c r="B998" s="42" t="s">
        <v>15624</v>
      </c>
      <c r="C998" s="42" t="s">
        <v>15623</v>
      </c>
      <c r="D998" s="43" t="str">
        <f t="shared" si="34"/>
        <v>2021.002M.Phenuiviridae_sprenamed.zip</v>
      </c>
    </row>
    <row r="999" spans="1:4">
      <c r="A999" s="24" t="s">
        <v>14822</v>
      </c>
      <c r="B999" s="42" t="s">
        <v>15620</v>
      </c>
      <c r="C999" s="42" t="s">
        <v>15619</v>
      </c>
      <c r="D999" s="43" t="str">
        <f t="shared" si="34"/>
        <v>2021.002M.Phenuiviridae_sprenamed.zip</v>
      </c>
    </row>
    <row r="1000" spans="1:4">
      <c r="A1000" s="24" t="s">
        <v>14822</v>
      </c>
      <c r="B1000" s="42" t="s">
        <v>15622</v>
      </c>
      <c r="C1000" s="42" t="s">
        <v>15621</v>
      </c>
      <c r="D1000" s="43" t="str">
        <f t="shared" si="34"/>
        <v>2021.002M.Phenuiviridae_sprenamed.zip</v>
      </c>
    </row>
    <row r="1001" spans="1:4">
      <c r="A1001" s="24" t="s">
        <v>14822</v>
      </c>
      <c r="B1001" s="42" t="s">
        <v>15618</v>
      </c>
      <c r="C1001" s="42" t="s">
        <v>15617</v>
      </c>
      <c r="D1001" s="43" t="str">
        <f t="shared" si="34"/>
        <v>2021.002M.Phenuiviridae_sprenamed.zip</v>
      </c>
    </row>
    <row r="1002" spans="1:4">
      <c r="A1002" s="24" t="s">
        <v>14822</v>
      </c>
      <c r="B1002" s="42" t="s">
        <v>15616</v>
      </c>
      <c r="C1002" s="42" t="s">
        <v>15615</v>
      </c>
      <c r="D1002" s="43" t="str">
        <f t="shared" si="34"/>
        <v>2021.002M.Phenuiviridae_sprenamed.zip</v>
      </c>
    </row>
    <row r="1003" spans="1:4">
      <c r="A1003" s="24" t="s">
        <v>14822</v>
      </c>
      <c r="B1003" s="42" t="s">
        <v>15614</v>
      </c>
      <c r="C1003" s="42" t="s">
        <v>15613</v>
      </c>
      <c r="D1003" s="43" t="str">
        <f t="shared" si="34"/>
        <v>2021.002M.Phenuiviridae_sprenamed.zip</v>
      </c>
    </row>
    <row r="1004" spans="1:4">
      <c r="A1004" s="24" t="s">
        <v>14822</v>
      </c>
      <c r="B1004" s="42" t="s">
        <v>15610</v>
      </c>
      <c r="C1004" s="42" t="s">
        <v>15609</v>
      </c>
      <c r="D1004" s="43" t="str">
        <f t="shared" si="34"/>
        <v>2021.002M.Phenuiviridae_sprenamed.zip</v>
      </c>
    </row>
    <row r="1005" spans="1:4">
      <c r="A1005" s="24" t="s">
        <v>14822</v>
      </c>
      <c r="B1005" s="42" t="s">
        <v>15612</v>
      </c>
      <c r="C1005" s="42" t="s">
        <v>15611</v>
      </c>
      <c r="D1005" s="43" t="str">
        <f t="shared" si="34"/>
        <v>2021.002M.Phenuiviridae_sprenamed.zip</v>
      </c>
    </row>
    <row r="1006" spans="1:4">
      <c r="A1006" s="24" t="s">
        <v>14822</v>
      </c>
      <c r="B1006" s="42" t="s">
        <v>15608</v>
      </c>
      <c r="C1006" s="42" t="s">
        <v>15607</v>
      </c>
      <c r="D1006" s="43" t="str">
        <f t="shared" si="34"/>
        <v>2021.002M.Phenuiviridae_sprenamed.zip</v>
      </c>
    </row>
    <row r="1007" spans="1:4">
      <c r="A1007" s="24" t="s">
        <v>14822</v>
      </c>
      <c r="B1007" s="42" t="s">
        <v>15606</v>
      </c>
      <c r="C1007" s="42" t="s">
        <v>15605</v>
      </c>
      <c r="D1007" s="43" t="str">
        <f t="shared" si="34"/>
        <v>2021.002M.Phenuiviridae_sprenamed.zip</v>
      </c>
    </row>
    <row r="1008" spans="1:4">
      <c r="A1008" s="24" t="s">
        <v>14822</v>
      </c>
      <c r="B1008" s="42" t="s">
        <v>15604</v>
      </c>
      <c r="C1008" s="42" t="s">
        <v>15603</v>
      </c>
      <c r="D1008" s="43" t="str">
        <f t="shared" si="34"/>
        <v>2021.002M.Phenuiviridae_sprenamed.zip</v>
      </c>
    </row>
    <row r="1009" spans="1:4">
      <c r="A1009" s="24" t="s">
        <v>14822</v>
      </c>
      <c r="B1009" s="42" t="s">
        <v>15602</v>
      </c>
      <c r="C1009" s="42" t="s">
        <v>15601</v>
      </c>
      <c r="D1009" s="43" t="str">
        <f t="shared" si="34"/>
        <v>2021.002M.Phenuiviridae_sprenamed.zip</v>
      </c>
    </row>
    <row r="1010" spans="1:4">
      <c r="A1010" s="24" t="s">
        <v>14822</v>
      </c>
      <c r="B1010" s="42" t="s">
        <v>15600</v>
      </c>
      <c r="C1010" s="42" t="s">
        <v>15599</v>
      </c>
      <c r="D1010" s="43" t="str">
        <f t="shared" si="34"/>
        <v>2021.002M.Phenuiviridae_sprenamed.zip</v>
      </c>
    </row>
    <row r="1011" spans="1:4">
      <c r="A1011" s="24" t="s">
        <v>14822</v>
      </c>
      <c r="B1011" s="42" t="s">
        <v>15596</v>
      </c>
      <c r="C1011" s="42" t="s">
        <v>15595</v>
      </c>
      <c r="D1011" s="43" t="str">
        <f t="shared" si="34"/>
        <v>2021.002M.Phenuiviridae_sprenamed.zip</v>
      </c>
    </row>
    <row r="1012" spans="1:4">
      <c r="A1012" s="24" t="s">
        <v>14822</v>
      </c>
      <c r="B1012" s="42" t="s">
        <v>15594</v>
      </c>
      <c r="C1012" s="42" t="s">
        <v>15593</v>
      </c>
      <c r="D1012" s="43" t="str">
        <f t="shared" si="34"/>
        <v>2021.002M.Phenuiviridae_sprenamed.zip</v>
      </c>
    </row>
    <row r="1013" spans="1:4">
      <c r="A1013" s="24" t="s">
        <v>14822</v>
      </c>
      <c r="B1013" s="42" t="s">
        <v>15592</v>
      </c>
      <c r="C1013" s="42" t="s">
        <v>15591</v>
      </c>
      <c r="D1013" s="43" t="str">
        <f t="shared" si="34"/>
        <v>2021.002M.Phenuiviridae_sprenamed.zip</v>
      </c>
    </row>
    <row r="1014" spans="1:4">
      <c r="A1014" s="24" t="s">
        <v>14822</v>
      </c>
      <c r="B1014" s="42" t="s">
        <v>15588</v>
      </c>
      <c r="C1014" s="42" t="s">
        <v>15587</v>
      </c>
      <c r="D1014" s="43" t="str">
        <f t="shared" si="34"/>
        <v>2021.002M.Phenuiviridae_sprenamed.zip</v>
      </c>
    </row>
    <row r="1015" spans="1:4">
      <c r="A1015" s="24" t="s">
        <v>14822</v>
      </c>
      <c r="B1015" s="42" t="s">
        <v>15582</v>
      </c>
      <c r="C1015" s="42" t="s">
        <v>15581</v>
      </c>
      <c r="D1015" s="43" t="str">
        <f t="shared" si="34"/>
        <v>2021.002M.Phenuiviridae_sprenamed.zip</v>
      </c>
    </row>
    <row r="1016" spans="1:4">
      <c r="A1016" s="24" t="s">
        <v>14822</v>
      </c>
      <c r="B1016" s="42" t="s">
        <v>15590</v>
      </c>
      <c r="C1016" s="42" t="s">
        <v>15589</v>
      </c>
      <c r="D1016" s="43" t="str">
        <f t="shared" ref="D1016:D1047" si="35">HYPERLINK("https://ictv.global/ictv/proposals/2021.002M.Phenuiviridae_sprenamed.zip","2021.002M.Phenuiviridae_sprenamed.zip")</f>
        <v>2021.002M.Phenuiviridae_sprenamed.zip</v>
      </c>
    </row>
    <row r="1017" spans="1:4">
      <c r="A1017" s="24" t="s">
        <v>14822</v>
      </c>
      <c r="B1017" s="42" t="s">
        <v>15586</v>
      </c>
      <c r="C1017" s="42" t="s">
        <v>15585</v>
      </c>
      <c r="D1017" s="43" t="str">
        <f t="shared" si="35"/>
        <v>2021.002M.Phenuiviridae_sprenamed.zip</v>
      </c>
    </row>
    <row r="1018" spans="1:4">
      <c r="A1018" s="24" t="s">
        <v>14822</v>
      </c>
      <c r="B1018" s="42" t="s">
        <v>15584</v>
      </c>
      <c r="C1018" s="42" t="s">
        <v>15583</v>
      </c>
      <c r="D1018" s="43" t="str">
        <f t="shared" si="35"/>
        <v>2021.002M.Phenuiviridae_sprenamed.zip</v>
      </c>
    </row>
    <row r="1019" spans="1:4">
      <c r="A1019" s="24" t="s">
        <v>14822</v>
      </c>
      <c r="B1019" s="42" t="s">
        <v>15580</v>
      </c>
      <c r="C1019" s="42" t="s">
        <v>15579</v>
      </c>
      <c r="D1019" s="43" t="str">
        <f t="shared" si="35"/>
        <v>2021.002M.Phenuiviridae_sprenamed.zip</v>
      </c>
    </row>
    <row r="1020" spans="1:4">
      <c r="A1020" s="24" t="s">
        <v>14822</v>
      </c>
      <c r="B1020" s="42" t="s">
        <v>15578</v>
      </c>
      <c r="C1020" s="42" t="s">
        <v>15577</v>
      </c>
      <c r="D1020" s="43" t="str">
        <f t="shared" si="35"/>
        <v>2021.002M.Phenuiviridae_sprenamed.zip</v>
      </c>
    </row>
    <row r="1021" spans="1:4">
      <c r="A1021" s="24" t="s">
        <v>14822</v>
      </c>
      <c r="B1021" s="42" t="s">
        <v>15576</v>
      </c>
      <c r="C1021" s="42" t="s">
        <v>15575</v>
      </c>
      <c r="D1021" s="43" t="str">
        <f t="shared" si="35"/>
        <v>2021.002M.Phenuiviridae_sprenamed.zip</v>
      </c>
    </row>
    <row r="1022" spans="1:4">
      <c r="A1022" s="24" t="s">
        <v>14822</v>
      </c>
      <c r="B1022" s="42" t="s">
        <v>15574</v>
      </c>
      <c r="C1022" s="42" t="s">
        <v>15573</v>
      </c>
      <c r="D1022" s="43" t="str">
        <f t="shared" si="35"/>
        <v>2021.002M.Phenuiviridae_sprenamed.zip</v>
      </c>
    </row>
    <row r="1023" spans="1:4">
      <c r="A1023" s="24" t="s">
        <v>14822</v>
      </c>
      <c r="B1023" s="42" t="s">
        <v>15572</v>
      </c>
      <c r="C1023" s="42" t="s">
        <v>15571</v>
      </c>
      <c r="D1023" s="43" t="str">
        <f t="shared" si="35"/>
        <v>2021.002M.Phenuiviridae_sprenamed.zip</v>
      </c>
    </row>
    <row r="1024" spans="1:4">
      <c r="A1024" s="24" t="s">
        <v>14822</v>
      </c>
      <c r="B1024" s="42" t="s">
        <v>15568</v>
      </c>
      <c r="C1024" s="42" t="s">
        <v>15567</v>
      </c>
      <c r="D1024" s="43" t="str">
        <f t="shared" si="35"/>
        <v>2021.002M.Phenuiviridae_sprenamed.zip</v>
      </c>
    </row>
    <row r="1025" spans="1:4">
      <c r="A1025" s="24" t="s">
        <v>14822</v>
      </c>
      <c r="B1025" s="42" t="s">
        <v>15566</v>
      </c>
      <c r="C1025" s="42" t="s">
        <v>15565</v>
      </c>
      <c r="D1025" s="43" t="str">
        <f t="shared" si="35"/>
        <v>2021.002M.Phenuiviridae_sprenamed.zip</v>
      </c>
    </row>
    <row r="1026" spans="1:4">
      <c r="A1026" s="24" t="s">
        <v>14822</v>
      </c>
      <c r="B1026" s="42" t="s">
        <v>15564</v>
      </c>
      <c r="C1026" s="42" t="s">
        <v>15563</v>
      </c>
      <c r="D1026" s="43" t="str">
        <f t="shared" si="35"/>
        <v>2021.002M.Phenuiviridae_sprenamed.zip</v>
      </c>
    </row>
    <row r="1027" spans="1:4">
      <c r="A1027" s="24" t="s">
        <v>14822</v>
      </c>
      <c r="B1027" s="42" t="s">
        <v>15562</v>
      </c>
      <c r="C1027" s="42" t="s">
        <v>15561</v>
      </c>
      <c r="D1027" s="43" t="str">
        <f t="shared" si="35"/>
        <v>2021.002M.Phenuiviridae_sprenamed.zip</v>
      </c>
    </row>
    <row r="1028" spans="1:4">
      <c r="A1028" s="24" t="s">
        <v>14822</v>
      </c>
      <c r="B1028" s="42" t="s">
        <v>15560</v>
      </c>
      <c r="C1028" s="42" t="s">
        <v>15559</v>
      </c>
      <c r="D1028" s="43" t="str">
        <f t="shared" si="35"/>
        <v>2021.002M.Phenuiviridae_sprenamed.zip</v>
      </c>
    </row>
    <row r="1029" spans="1:4">
      <c r="A1029" s="24" t="s">
        <v>14822</v>
      </c>
      <c r="B1029" s="42" t="s">
        <v>15558</v>
      </c>
      <c r="C1029" s="42" t="s">
        <v>15557</v>
      </c>
      <c r="D1029" s="43" t="str">
        <f t="shared" si="35"/>
        <v>2021.002M.Phenuiviridae_sprenamed.zip</v>
      </c>
    </row>
    <row r="1030" spans="1:4">
      <c r="A1030" s="24" t="s">
        <v>14822</v>
      </c>
      <c r="B1030" s="42" t="s">
        <v>15556</v>
      </c>
      <c r="C1030" s="42" t="s">
        <v>15555</v>
      </c>
      <c r="D1030" s="43" t="str">
        <f t="shared" si="35"/>
        <v>2021.002M.Phenuiviridae_sprenamed.zip</v>
      </c>
    </row>
    <row r="1031" spans="1:4">
      <c r="A1031" s="24" t="s">
        <v>14822</v>
      </c>
      <c r="B1031" s="42" t="s">
        <v>15554</v>
      </c>
      <c r="C1031" s="42" t="s">
        <v>15553</v>
      </c>
      <c r="D1031" s="43" t="str">
        <f t="shared" si="35"/>
        <v>2021.002M.Phenuiviridae_sprenamed.zip</v>
      </c>
    </row>
    <row r="1032" spans="1:4">
      <c r="A1032" s="24" t="s">
        <v>14822</v>
      </c>
      <c r="B1032" s="42" t="s">
        <v>15552</v>
      </c>
      <c r="C1032" s="42" t="s">
        <v>15551</v>
      </c>
      <c r="D1032" s="43" t="str">
        <f t="shared" si="35"/>
        <v>2021.002M.Phenuiviridae_sprenamed.zip</v>
      </c>
    </row>
    <row r="1033" spans="1:4">
      <c r="A1033" s="24" t="s">
        <v>14822</v>
      </c>
      <c r="B1033" s="42" t="s">
        <v>15550</v>
      </c>
      <c r="C1033" s="42" t="s">
        <v>15549</v>
      </c>
      <c r="D1033" s="43" t="str">
        <f t="shared" si="35"/>
        <v>2021.002M.Phenuiviridae_sprenamed.zip</v>
      </c>
    </row>
    <row r="1034" spans="1:4">
      <c r="A1034" s="24" t="s">
        <v>14822</v>
      </c>
      <c r="B1034" s="42" t="s">
        <v>15546</v>
      </c>
      <c r="C1034" s="42" t="s">
        <v>15545</v>
      </c>
      <c r="D1034" s="43" t="str">
        <f t="shared" si="35"/>
        <v>2021.002M.Phenuiviridae_sprenamed.zip</v>
      </c>
    </row>
    <row r="1035" spans="1:4">
      <c r="A1035" s="24" t="s">
        <v>14822</v>
      </c>
      <c r="B1035" s="42" t="s">
        <v>15544</v>
      </c>
      <c r="C1035" s="42" t="s">
        <v>15543</v>
      </c>
      <c r="D1035" s="43" t="str">
        <f t="shared" si="35"/>
        <v>2021.002M.Phenuiviridae_sprenamed.zip</v>
      </c>
    </row>
    <row r="1036" spans="1:4">
      <c r="A1036" s="24" t="s">
        <v>14822</v>
      </c>
      <c r="B1036" s="42" t="s">
        <v>15542</v>
      </c>
      <c r="C1036" s="42" t="s">
        <v>15541</v>
      </c>
      <c r="D1036" s="43" t="str">
        <f t="shared" si="35"/>
        <v>2021.002M.Phenuiviridae_sprenamed.zip</v>
      </c>
    </row>
    <row r="1037" spans="1:4">
      <c r="A1037" s="24" t="s">
        <v>14822</v>
      </c>
      <c r="B1037" s="42" t="s">
        <v>15540</v>
      </c>
      <c r="C1037" s="42" t="s">
        <v>15539</v>
      </c>
      <c r="D1037" s="43" t="str">
        <f t="shared" si="35"/>
        <v>2021.002M.Phenuiviridae_sprenamed.zip</v>
      </c>
    </row>
    <row r="1038" spans="1:4">
      <c r="A1038" s="24" t="s">
        <v>14822</v>
      </c>
      <c r="B1038" s="42" t="s">
        <v>15538</v>
      </c>
      <c r="C1038" s="42" t="s">
        <v>15537</v>
      </c>
      <c r="D1038" s="43" t="str">
        <f t="shared" si="35"/>
        <v>2021.002M.Phenuiviridae_sprenamed.zip</v>
      </c>
    </row>
    <row r="1039" spans="1:4">
      <c r="A1039" s="24" t="s">
        <v>14822</v>
      </c>
      <c r="B1039" s="42" t="s">
        <v>15536</v>
      </c>
      <c r="C1039" s="42" t="s">
        <v>15535</v>
      </c>
      <c r="D1039" s="43" t="str">
        <f t="shared" si="35"/>
        <v>2021.002M.Phenuiviridae_sprenamed.zip</v>
      </c>
    </row>
    <row r="1040" spans="1:4">
      <c r="A1040" s="24" t="s">
        <v>14822</v>
      </c>
      <c r="B1040" s="42" t="s">
        <v>15532</v>
      </c>
      <c r="C1040" s="42" t="s">
        <v>15531</v>
      </c>
      <c r="D1040" s="43" t="str">
        <f t="shared" si="35"/>
        <v>2021.002M.Phenuiviridae_sprenamed.zip</v>
      </c>
    </row>
    <row r="1041" spans="1:4">
      <c r="A1041" s="24" t="s">
        <v>14822</v>
      </c>
      <c r="B1041" s="42" t="s">
        <v>15528</v>
      </c>
      <c r="C1041" s="42" t="s">
        <v>15527</v>
      </c>
      <c r="D1041" s="43" t="str">
        <f t="shared" si="35"/>
        <v>2021.002M.Phenuiviridae_sprenamed.zip</v>
      </c>
    </row>
    <row r="1042" spans="1:4">
      <c r="A1042" s="24" t="s">
        <v>14822</v>
      </c>
      <c r="B1042" s="42" t="s">
        <v>15526</v>
      </c>
      <c r="C1042" s="42" t="s">
        <v>15525</v>
      </c>
      <c r="D1042" s="43" t="str">
        <f t="shared" si="35"/>
        <v>2021.002M.Phenuiviridae_sprenamed.zip</v>
      </c>
    </row>
    <row r="1043" spans="1:4">
      <c r="A1043" s="24" t="s">
        <v>14822</v>
      </c>
      <c r="B1043" s="42" t="s">
        <v>15524</v>
      </c>
      <c r="C1043" s="42" t="s">
        <v>15523</v>
      </c>
      <c r="D1043" s="43" t="str">
        <f t="shared" si="35"/>
        <v>2021.002M.Phenuiviridae_sprenamed.zip</v>
      </c>
    </row>
    <row r="1044" spans="1:4">
      <c r="A1044" s="24" t="s">
        <v>14822</v>
      </c>
      <c r="B1044" s="42" t="s">
        <v>15522</v>
      </c>
      <c r="C1044" s="42" t="s">
        <v>15521</v>
      </c>
      <c r="D1044" s="43" t="str">
        <f t="shared" si="35"/>
        <v>2021.002M.Phenuiviridae_sprenamed.zip</v>
      </c>
    </row>
    <row r="1045" spans="1:4">
      <c r="A1045" s="24" t="s">
        <v>14822</v>
      </c>
      <c r="B1045" s="42" t="s">
        <v>15520</v>
      </c>
      <c r="C1045" s="42" t="s">
        <v>15519</v>
      </c>
      <c r="D1045" s="43" t="str">
        <f t="shared" si="35"/>
        <v>2021.002M.Phenuiviridae_sprenamed.zip</v>
      </c>
    </row>
    <row r="1046" spans="1:4">
      <c r="A1046" s="24" t="s">
        <v>14822</v>
      </c>
      <c r="B1046" s="42" t="s">
        <v>15518</v>
      </c>
      <c r="C1046" s="42" t="s">
        <v>15517</v>
      </c>
      <c r="D1046" s="43" t="str">
        <f t="shared" si="35"/>
        <v>2021.002M.Phenuiviridae_sprenamed.zip</v>
      </c>
    </row>
    <row r="1047" spans="1:4">
      <c r="A1047" s="24" t="s">
        <v>14822</v>
      </c>
      <c r="B1047" s="42" t="s">
        <v>15516</v>
      </c>
      <c r="C1047" s="42" t="s">
        <v>15515</v>
      </c>
      <c r="D1047" s="43" t="str">
        <f t="shared" si="35"/>
        <v>2021.002M.Phenuiviridae_sprenamed.zip</v>
      </c>
    </row>
    <row r="1048" spans="1:4">
      <c r="A1048" s="24" t="s">
        <v>14822</v>
      </c>
      <c r="B1048" s="42" t="s">
        <v>15530</v>
      </c>
      <c r="C1048" s="42" t="s">
        <v>15529</v>
      </c>
      <c r="D1048" s="43" t="str">
        <f t="shared" ref="D1048:D1079" si="36">HYPERLINK("https://ictv.global/ictv/proposals/2021.002M.Phenuiviridae_sprenamed.zip","2021.002M.Phenuiviridae_sprenamed.zip")</f>
        <v>2021.002M.Phenuiviridae_sprenamed.zip</v>
      </c>
    </row>
    <row r="1049" spans="1:4">
      <c r="A1049" s="24" t="s">
        <v>14822</v>
      </c>
      <c r="B1049" s="42" t="s">
        <v>15548</v>
      </c>
      <c r="C1049" s="42" t="s">
        <v>15547</v>
      </c>
      <c r="D1049" s="43" t="str">
        <f t="shared" si="36"/>
        <v>2021.002M.Phenuiviridae_sprenamed.zip</v>
      </c>
    </row>
    <row r="1050" spans="1:4">
      <c r="A1050" s="24" t="s">
        <v>14822</v>
      </c>
      <c r="B1050" s="42" t="s">
        <v>15514</v>
      </c>
      <c r="C1050" s="42" t="s">
        <v>15513</v>
      </c>
      <c r="D1050" s="43" t="str">
        <f t="shared" si="36"/>
        <v>2021.002M.Phenuiviridae_sprenamed.zip</v>
      </c>
    </row>
    <row r="1051" spans="1:4">
      <c r="A1051" s="24" t="s">
        <v>14822</v>
      </c>
      <c r="B1051" s="42" t="s">
        <v>15512</v>
      </c>
      <c r="C1051" s="42" t="s">
        <v>15511</v>
      </c>
      <c r="D1051" s="43" t="str">
        <f t="shared" si="36"/>
        <v>2021.002M.Phenuiviridae_sprenamed.zip</v>
      </c>
    </row>
    <row r="1052" spans="1:4">
      <c r="A1052" s="24" t="s">
        <v>14822</v>
      </c>
      <c r="B1052" s="42" t="s">
        <v>15510</v>
      </c>
      <c r="C1052" s="42" t="s">
        <v>15509</v>
      </c>
      <c r="D1052" s="43" t="str">
        <f t="shared" si="36"/>
        <v>2021.002M.Phenuiviridae_sprenamed.zip</v>
      </c>
    </row>
    <row r="1053" spans="1:4">
      <c r="A1053" s="24" t="s">
        <v>14822</v>
      </c>
      <c r="B1053" s="42" t="s">
        <v>15508</v>
      </c>
      <c r="C1053" s="42" t="s">
        <v>15507</v>
      </c>
      <c r="D1053" s="43" t="str">
        <f t="shared" si="36"/>
        <v>2021.002M.Phenuiviridae_sprenamed.zip</v>
      </c>
    </row>
    <row r="1054" spans="1:4">
      <c r="A1054" s="24" t="s">
        <v>14822</v>
      </c>
      <c r="B1054" s="42" t="s">
        <v>15506</v>
      </c>
      <c r="C1054" s="42" t="s">
        <v>15505</v>
      </c>
      <c r="D1054" s="43" t="str">
        <f t="shared" si="36"/>
        <v>2021.002M.Phenuiviridae_sprenamed.zip</v>
      </c>
    </row>
    <row r="1055" spans="1:4">
      <c r="A1055" s="24" t="s">
        <v>14822</v>
      </c>
      <c r="B1055" s="42" t="s">
        <v>15504</v>
      </c>
      <c r="C1055" s="42" t="s">
        <v>15503</v>
      </c>
      <c r="D1055" s="43" t="str">
        <f t="shared" si="36"/>
        <v>2021.002M.Phenuiviridae_sprenamed.zip</v>
      </c>
    </row>
    <row r="1056" spans="1:4">
      <c r="A1056" s="24" t="s">
        <v>14822</v>
      </c>
      <c r="B1056" s="42" t="s">
        <v>15502</v>
      </c>
      <c r="C1056" s="42" t="s">
        <v>15501</v>
      </c>
      <c r="D1056" s="43" t="str">
        <f t="shared" si="36"/>
        <v>2021.002M.Phenuiviridae_sprenamed.zip</v>
      </c>
    </row>
    <row r="1057" spans="1:4">
      <c r="A1057" s="24" t="s">
        <v>14822</v>
      </c>
      <c r="B1057" s="42" t="s">
        <v>15500</v>
      </c>
      <c r="C1057" s="42" t="s">
        <v>15499</v>
      </c>
      <c r="D1057" s="43" t="str">
        <f t="shared" si="36"/>
        <v>2021.002M.Phenuiviridae_sprenamed.zip</v>
      </c>
    </row>
    <row r="1058" spans="1:4">
      <c r="A1058" s="24" t="s">
        <v>14822</v>
      </c>
      <c r="B1058" s="42" t="s">
        <v>15498</v>
      </c>
      <c r="C1058" s="42" t="s">
        <v>15497</v>
      </c>
      <c r="D1058" s="43" t="str">
        <f t="shared" si="36"/>
        <v>2021.002M.Phenuiviridae_sprenamed.zip</v>
      </c>
    </row>
    <row r="1059" spans="1:4">
      <c r="A1059" s="24" t="s">
        <v>14822</v>
      </c>
      <c r="B1059" s="42" t="s">
        <v>15496</v>
      </c>
      <c r="C1059" s="42" t="s">
        <v>15495</v>
      </c>
      <c r="D1059" s="43" t="str">
        <f t="shared" si="36"/>
        <v>2021.002M.Phenuiviridae_sprenamed.zip</v>
      </c>
    </row>
    <row r="1060" spans="1:4">
      <c r="A1060" s="24" t="s">
        <v>14822</v>
      </c>
      <c r="B1060" s="42" t="s">
        <v>15494</v>
      </c>
      <c r="C1060" s="42" t="s">
        <v>15493</v>
      </c>
      <c r="D1060" s="43" t="str">
        <f t="shared" si="36"/>
        <v>2021.002M.Phenuiviridae_sprenamed.zip</v>
      </c>
    </row>
    <row r="1061" spans="1:4">
      <c r="A1061" s="24" t="s">
        <v>14822</v>
      </c>
      <c r="B1061" s="42" t="s">
        <v>15492</v>
      </c>
      <c r="C1061" s="42" t="s">
        <v>15491</v>
      </c>
      <c r="D1061" s="43" t="str">
        <f t="shared" si="36"/>
        <v>2021.002M.Phenuiviridae_sprenamed.zip</v>
      </c>
    </row>
    <row r="1062" spans="1:4">
      <c r="A1062" s="24" t="s">
        <v>14822</v>
      </c>
      <c r="B1062" s="42" t="s">
        <v>15488</v>
      </c>
      <c r="C1062" s="42" t="s">
        <v>15487</v>
      </c>
      <c r="D1062" s="43" t="str">
        <f t="shared" si="36"/>
        <v>2021.002M.Phenuiviridae_sprenamed.zip</v>
      </c>
    </row>
    <row r="1063" spans="1:4">
      <c r="A1063" s="24" t="s">
        <v>14822</v>
      </c>
      <c r="B1063" s="42" t="s">
        <v>15486</v>
      </c>
      <c r="C1063" s="42" t="s">
        <v>15485</v>
      </c>
      <c r="D1063" s="43" t="str">
        <f t="shared" si="36"/>
        <v>2021.002M.Phenuiviridae_sprenamed.zip</v>
      </c>
    </row>
    <row r="1064" spans="1:4">
      <c r="A1064" s="24" t="s">
        <v>14822</v>
      </c>
      <c r="B1064" s="42" t="s">
        <v>15484</v>
      </c>
      <c r="C1064" s="42" t="s">
        <v>15483</v>
      </c>
      <c r="D1064" s="43" t="str">
        <f t="shared" si="36"/>
        <v>2021.002M.Phenuiviridae_sprenamed.zip</v>
      </c>
    </row>
    <row r="1065" spans="1:4">
      <c r="A1065" s="24" t="s">
        <v>14822</v>
      </c>
      <c r="B1065" s="42" t="s">
        <v>15482</v>
      </c>
      <c r="C1065" s="42" t="s">
        <v>15481</v>
      </c>
      <c r="D1065" s="43" t="str">
        <f t="shared" si="36"/>
        <v>2021.002M.Phenuiviridae_sprenamed.zip</v>
      </c>
    </row>
    <row r="1066" spans="1:4">
      <c r="A1066" s="24" t="s">
        <v>14822</v>
      </c>
      <c r="B1066" s="42" t="s">
        <v>15462</v>
      </c>
      <c r="C1066" s="42" t="s">
        <v>15461</v>
      </c>
      <c r="D1066" s="43" t="str">
        <f t="shared" si="36"/>
        <v>2021.002M.Phenuiviridae_sprenamed.zip</v>
      </c>
    </row>
    <row r="1067" spans="1:4">
      <c r="A1067" s="24" t="s">
        <v>14822</v>
      </c>
      <c r="B1067" s="42" t="s">
        <v>15480</v>
      </c>
      <c r="C1067" s="42" t="s">
        <v>15479</v>
      </c>
      <c r="D1067" s="43" t="str">
        <f t="shared" si="36"/>
        <v>2021.002M.Phenuiviridae_sprenamed.zip</v>
      </c>
    </row>
    <row r="1068" spans="1:4">
      <c r="A1068" s="24" t="s">
        <v>14822</v>
      </c>
      <c r="B1068" s="42" t="s">
        <v>15478</v>
      </c>
      <c r="C1068" s="42" t="s">
        <v>15477</v>
      </c>
      <c r="D1068" s="43" t="str">
        <f t="shared" si="36"/>
        <v>2021.002M.Phenuiviridae_sprenamed.zip</v>
      </c>
    </row>
    <row r="1069" spans="1:4">
      <c r="A1069" s="24" t="s">
        <v>14822</v>
      </c>
      <c r="B1069" s="42" t="s">
        <v>15534</v>
      </c>
      <c r="C1069" s="42" t="s">
        <v>15533</v>
      </c>
      <c r="D1069" s="43" t="str">
        <f t="shared" si="36"/>
        <v>2021.002M.Phenuiviridae_sprenamed.zip</v>
      </c>
    </row>
    <row r="1070" spans="1:4">
      <c r="A1070" s="24" t="s">
        <v>14822</v>
      </c>
      <c r="B1070" s="42" t="s">
        <v>15476</v>
      </c>
      <c r="C1070" s="42" t="s">
        <v>15475</v>
      </c>
      <c r="D1070" s="43" t="str">
        <f t="shared" si="36"/>
        <v>2021.002M.Phenuiviridae_sprenamed.zip</v>
      </c>
    </row>
    <row r="1071" spans="1:4">
      <c r="A1071" s="24" t="s">
        <v>14822</v>
      </c>
      <c r="B1071" s="42" t="s">
        <v>15474</v>
      </c>
      <c r="C1071" s="42" t="s">
        <v>15473</v>
      </c>
      <c r="D1071" s="43" t="str">
        <f t="shared" si="36"/>
        <v>2021.002M.Phenuiviridae_sprenamed.zip</v>
      </c>
    </row>
    <row r="1072" spans="1:4">
      <c r="A1072" s="24" t="s">
        <v>14822</v>
      </c>
      <c r="B1072" s="42" t="s">
        <v>15472</v>
      </c>
      <c r="C1072" s="42" t="s">
        <v>15471</v>
      </c>
      <c r="D1072" s="43" t="str">
        <f t="shared" si="36"/>
        <v>2021.002M.Phenuiviridae_sprenamed.zip</v>
      </c>
    </row>
    <row r="1073" spans="1:4">
      <c r="A1073" s="24" t="s">
        <v>14822</v>
      </c>
      <c r="B1073" s="42" t="s">
        <v>15470</v>
      </c>
      <c r="C1073" s="42" t="s">
        <v>15469</v>
      </c>
      <c r="D1073" s="43" t="str">
        <f t="shared" si="36"/>
        <v>2021.002M.Phenuiviridae_sprenamed.zip</v>
      </c>
    </row>
    <row r="1074" spans="1:4">
      <c r="A1074" s="24" t="s">
        <v>14822</v>
      </c>
      <c r="B1074" s="42" t="s">
        <v>15468</v>
      </c>
      <c r="C1074" s="42" t="s">
        <v>15467</v>
      </c>
      <c r="D1074" s="43" t="str">
        <f t="shared" si="36"/>
        <v>2021.002M.Phenuiviridae_sprenamed.zip</v>
      </c>
    </row>
    <row r="1075" spans="1:4">
      <c r="A1075" s="24" t="s">
        <v>14822</v>
      </c>
      <c r="B1075" s="42" t="s">
        <v>15466</v>
      </c>
      <c r="C1075" s="42" t="s">
        <v>15465</v>
      </c>
      <c r="D1075" s="43" t="str">
        <f t="shared" si="36"/>
        <v>2021.002M.Phenuiviridae_sprenamed.zip</v>
      </c>
    </row>
    <row r="1076" spans="1:4">
      <c r="A1076" s="24" t="s">
        <v>14822</v>
      </c>
      <c r="B1076" s="42" t="s">
        <v>15464</v>
      </c>
      <c r="C1076" s="42" t="s">
        <v>15463</v>
      </c>
      <c r="D1076" s="43" t="str">
        <f t="shared" si="36"/>
        <v>2021.002M.Phenuiviridae_sprenamed.zip</v>
      </c>
    </row>
    <row r="1077" spans="1:4">
      <c r="A1077" s="24" t="s">
        <v>14822</v>
      </c>
      <c r="B1077" s="42" t="s">
        <v>15460</v>
      </c>
      <c r="C1077" s="42" t="s">
        <v>15459</v>
      </c>
      <c r="D1077" s="43" t="str">
        <f t="shared" si="36"/>
        <v>2021.002M.Phenuiviridae_sprenamed.zip</v>
      </c>
    </row>
    <row r="1078" spans="1:4">
      <c r="A1078" s="24" t="s">
        <v>14822</v>
      </c>
      <c r="B1078" s="42" t="s">
        <v>15458</v>
      </c>
      <c r="C1078" s="42" t="s">
        <v>15457</v>
      </c>
      <c r="D1078" s="43" t="str">
        <f t="shared" si="36"/>
        <v>2021.002M.Phenuiviridae_sprenamed.zip</v>
      </c>
    </row>
    <row r="1079" spans="1:4">
      <c r="A1079" s="24" t="s">
        <v>14822</v>
      </c>
      <c r="B1079" s="42" t="s">
        <v>15570</v>
      </c>
      <c r="C1079" s="42" t="s">
        <v>15569</v>
      </c>
      <c r="D1079" s="43" t="str">
        <f t="shared" si="36"/>
        <v>2021.002M.Phenuiviridae_sprenamed.zip</v>
      </c>
    </row>
    <row r="1080" spans="1:4">
      <c r="A1080" s="24" t="s">
        <v>14822</v>
      </c>
      <c r="B1080" s="42" t="s">
        <v>15456</v>
      </c>
      <c r="C1080" s="42" t="s">
        <v>15455</v>
      </c>
      <c r="D1080" s="43" t="str">
        <f t="shared" ref="D1080:D1095" si="37">HYPERLINK("https://ictv.global/ictv/proposals/2021.002M.Phenuiviridae_sprenamed.zip","2021.002M.Phenuiviridae_sprenamed.zip")</f>
        <v>2021.002M.Phenuiviridae_sprenamed.zip</v>
      </c>
    </row>
    <row r="1081" spans="1:4">
      <c r="A1081" s="24" t="s">
        <v>14822</v>
      </c>
      <c r="B1081" s="42" t="s">
        <v>15454</v>
      </c>
      <c r="C1081" s="42" t="s">
        <v>15453</v>
      </c>
      <c r="D1081" s="43" t="str">
        <f t="shared" si="37"/>
        <v>2021.002M.Phenuiviridae_sprenamed.zip</v>
      </c>
    </row>
    <row r="1082" spans="1:4">
      <c r="A1082" s="24" t="s">
        <v>14822</v>
      </c>
      <c r="B1082" s="42" t="s">
        <v>15452</v>
      </c>
      <c r="C1082" s="42" t="s">
        <v>15451</v>
      </c>
      <c r="D1082" s="43" t="str">
        <f t="shared" si="37"/>
        <v>2021.002M.Phenuiviridae_sprenamed.zip</v>
      </c>
    </row>
    <row r="1083" spans="1:4">
      <c r="A1083" s="24" t="s">
        <v>14822</v>
      </c>
      <c r="B1083" s="42" t="s">
        <v>15490</v>
      </c>
      <c r="C1083" s="42" t="s">
        <v>15489</v>
      </c>
      <c r="D1083" s="43" t="str">
        <f t="shared" si="37"/>
        <v>2021.002M.Phenuiviridae_sprenamed.zip</v>
      </c>
    </row>
    <row r="1084" spans="1:4">
      <c r="A1084" s="24" t="s">
        <v>14822</v>
      </c>
      <c r="B1084" s="42" t="s">
        <v>15450</v>
      </c>
      <c r="C1084" s="42" t="s">
        <v>15449</v>
      </c>
      <c r="D1084" s="43" t="str">
        <f t="shared" si="37"/>
        <v>2021.002M.Phenuiviridae_sprenamed.zip</v>
      </c>
    </row>
    <row r="1085" spans="1:4">
      <c r="A1085" s="24" t="s">
        <v>14822</v>
      </c>
      <c r="B1085" s="42" t="s">
        <v>15446</v>
      </c>
      <c r="C1085" s="42" t="s">
        <v>15445</v>
      </c>
      <c r="D1085" s="43" t="str">
        <f t="shared" si="37"/>
        <v>2021.002M.Phenuiviridae_sprenamed.zip</v>
      </c>
    </row>
    <row r="1086" spans="1:4">
      <c r="A1086" s="24" t="s">
        <v>14822</v>
      </c>
      <c r="B1086" s="42" t="s">
        <v>15448</v>
      </c>
      <c r="C1086" s="42" t="s">
        <v>15447</v>
      </c>
      <c r="D1086" s="43" t="str">
        <f t="shared" si="37"/>
        <v>2021.002M.Phenuiviridae_sprenamed.zip</v>
      </c>
    </row>
    <row r="1087" spans="1:4">
      <c r="A1087" s="24" t="s">
        <v>14822</v>
      </c>
      <c r="B1087" s="42" t="s">
        <v>15440</v>
      </c>
      <c r="C1087" s="42" t="s">
        <v>15439</v>
      </c>
      <c r="D1087" s="43" t="str">
        <f t="shared" si="37"/>
        <v>2021.002M.Phenuiviridae_sprenamed.zip</v>
      </c>
    </row>
    <row r="1088" spans="1:4">
      <c r="A1088" s="24" t="s">
        <v>14822</v>
      </c>
      <c r="B1088" s="42" t="s">
        <v>15438</v>
      </c>
      <c r="C1088" s="42" t="s">
        <v>15437</v>
      </c>
      <c r="D1088" s="43" t="str">
        <f t="shared" si="37"/>
        <v>2021.002M.Phenuiviridae_sprenamed.zip</v>
      </c>
    </row>
    <row r="1089" spans="1:4">
      <c r="A1089" s="24" t="s">
        <v>14822</v>
      </c>
      <c r="B1089" s="42" t="s">
        <v>15442</v>
      </c>
      <c r="C1089" s="42" t="s">
        <v>15441</v>
      </c>
      <c r="D1089" s="43" t="str">
        <f t="shared" si="37"/>
        <v>2021.002M.Phenuiviridae_sprenamed.zip</v>
      </c>
    </row>
    <row r="1090" spans="1:4">
      <c r="A1090" s="24" t="s">
        <v>14822</v>
      </c>
      <c r="B1090" s="42" t="s">
        <v>15444</v>
      </c>
      <c r="C1090" s="42" t="s">
        <v>15443</v>
      </c>
      <c r="D1090" s="43" t="str">
        <f t="shared" si="37"/>
        <v>2021.002M.Phenuiviridae_sprenamed.zip</v>
      </c>
    </row>
    <row r="1091" spans="1:4">
      <c r="A1091" s="24" t="s">
        <v>14822</v>
      </c>
      <c r="B1091" s="42" t="s">
        <v>15436</v>
      </c>
      <c r="C1091" s="42" t="s">
        <v>15435</v>
      </c>
      <c r="D1091" s="43" t="str">
        <f t="shared" si="37"/>
        <v>2021.002M.Phenuiviridae_sprenamed.zip</v>
      </c>
    </row>
    <row r="1092" spans="1:4">
      <c r="A1092" s="24" t="s">
        <v>14822</v>
      </c>
      <c r="B1092" s="42" t="s">
        <v>15434</v>
      </c>
      <c r="C1092" s="42" t="s">
        <v>15433</v>
      </c>
      <c r="D1092" s="43" t="str">
        <f t="shared" si="37"/>
        <v>2021.002M.Phenuiviridae_sprenamed.zip</v>
      </c>
    </row>
    <row r="1093" spans="1:4">
      <c r="A1093" s="24" t="s">
        <v>14822</v>
      </c>
      <c r="B1093" s="42" t="s">
        <v>15432</v>
      </c>
      <c r="C1093" s="42" t="s">
        <v>15431</v>
      </c>
      <c r="D1093" s="43" t="str">
        <f t="shared" si="37"/>
        <v>2021.002M.Phenuiviridae_sprenamed.zip</v>
      </c>
    </row>
    <row r="1094" spans="1:4">
      <c r="A1094" s="24" t="s">
        <v>14822</v>
      </c>
      <c r="B1094" s="42" t="s">
        <v>15424</v>
      </c>
      <c r="C1094" s="42" t="s">
        <v>15423</v>
      </c>
      <c r="D1094" s="43" t="str">
        <f t="shared" si="37"/>
        <v>2021.002M.Phenuiviridae_sprenamed.zip</v>
      </c>
    </row>
    <row r="1095" spans="1:4">
      <c r="A1095" s="24" t="s">
        <v>14822</v>
      </c>
      <c r="B1095" s="42" t="s">
        <v>15420</v>
      </c>
      <c r="C1095" s="42" t="s">
        <v>15419</v>
      </c>
      <c r="D1095" s="43" t="str">
        <f t="shared" si="37"/>
        <v>2021.002M.Phenuiviridae_sprenamed.zip</v>
      </c>
    </row>
    <row r="1096" spans="1:4">
      <c r="A1096" s="24" t="s">
        <v>14822</v>
      </c>
      <c r="B1096" s="42" t="s">
        <v>15598</v>
      </c>
      <c r="C1096" s="42" t="s">
        <v>15597</v>
      </c>
      <c r="D1096" s="43" t="str">
        <f>HYPERLINK("https://ictv.global/ictv/proposals/2022.020M.Phenuiviridae_2ngen_10nsp_1rensp.zip","2022.020M.Phenuiviridae_2ngen_10nsp_1rensp.zip")</f>
        <v>2022.020M.Phenuiviridae_2ngen_10nsp_1rensp.zip</v>
      </c>
    </row>
    <row r="1097" spans="1:4">
      <c r="A1097" s="24" t="s">
        <v>14822</v>
      </c>
      <c r="B1097" s="42" t="s">
        <v>15430</v>
      </c>
      <c r="C1097" s="42" t="s">
        <v>15429</v>
      </c>
      <c r="D1097" s="43" t="str">
        <f t="shared" ref="D1097:D1118" si="38">HYPERLINK("https://ictv.global/ictv/proposals/2021.002M.Phenuiviridae_sprenamed.zip","2021.002M.Phenuiviridae_sprenamed.zip")</f>
        <v>2021.002M.Phenuiviridae_sprenamed.zip</v>
      </c>
    </row>
    <row r="1098" spans="1:4">
      <c r="A1098" s="24" t="s">
        <v>14822</v>
      </c>
      <c r="B1098" s="42" t="s">
        <v>15426</v>
      </c>
      <c r="C1098" s="42" t="s">
        <v>15425</v>
      </c>
      <c r="D1098" s="43" t="str">
        <f t="shared" si="38"/>
        <v>2021.002M.Phenuiviridae_sprenamed.zip</v>
      </c>
    </row>
    <row r="1099" spans="1:4">
      <c r="A1099" s="24" t="s">
        <v>14822</v>
      </c>
      <c r="B1099" s="42" t="s">
        <v>15428</v>
      </c>
      <c r="C1099" s="42" t="s">
        <v>15427</v>
      </c>
      <c r="D1099" s="43" t="str">
        <f t="shared" si="38"/>
        <v>2021.002M.Phenuiviridae_sprenamed.zip</v>
      </c>
    </row>
    <row r="1100" spans="1:4">
      <c r="A1100" s="24" t="s">
        <v>14822</v>
      </c>
      <c r="B1100" s="42" t="s">
        <v>15422</v>
      </c>
      <c r="C1100" s="42" t="s">
        <v>15421</v>
      </c>
      <c r="D1100" s="43" t="str">
        <f t="shared" si="38"/>
        <v>2021.002M.Phenuiviridae_sprenamed.zip</v>
      </c>
    </row>
    <row r="1101" spans="1:4">
      <c r="A1101" s="24" t="s">
        <v>14822</v>
      </c>
      <c r="B1101" s="42" t="s">
        <v>15416</v>
      </c>
      <c r="C1101" s="42" t="s">
        <v>15415</v>
      </c>
      <c r="D1101" s="43" t="str">
        <f t="shared" si="38"/>
        <v>2021.002M.Phenuiviridae_sprenamed.zip</v>
      </c>
    </row>
    <row r="1102" spans="1:4">
      <c r="A1102" s="24" t="s">
        <v>14822</v>
      </c>
      <c r="B1102" s="42" t="s">
        <v>15418</v>
      </c>
      <c r="C1102" s="42" t="s">
        <v>15417</v>
      </c>
      <c r="D1102" s="43" t="str">
        <f t="shared" si="38"/>
        <v>2021.002M.Phenuiviridae_sprenamed.zip</v>
      </c>
    </row>
    <row r="1103" spans="1:4">
      <c r="A1103" s="24" t="s">
        <v>14822</v>
      </c>
      <c r="B1103" s="42" t="s">
        <v>15414</v>
      </c>
      <c r="C1103" s="42" t="s">
        <v>15413</v>
      </c>
      <c r="D1103" s="43" t="str">
        <f t="shared" si="38"/>
        <v>2021.002M.Phenuiviridae_sprenamed.zip</v>
      </c>
    </row>
    <row r="1104" spans="1:4">
      <c r="A1104" s="24" t="s">
        <v>14822</v>
      </c>
      <c r="B1104" s="42" t="s">
        <v>15410</v>
      </c>
      <c r="C1104" s="42" t="s">
        <v>15409</v>
      </c>
      <c r="D1104" s="43" t="str">
        <f t="shared" si="38"/>
        <v>2021.002M.Phenuiviridae_sprenamed.zip</v>
      </c>
    </row>
    <row r="1105" spans="1:4">
      <c r="A1105" s="24" t="s">
        <v>14822</v>
      </c>
      <c r="B1105" s="42" t="s">
        <v>15408</v>
      </c>
      <c r="C1105" s="42" t="s">
        <v>15407</v>
      </c>
      <c r="D1105" s="43" t="str">
        <f t="shared" si="38"/>
        <v>2021.002M.Phenuiviridae_sprenamed.zip</v>
      </c>
    </row>
    <row r="1106" spans="1:4">
      <c r="A1106" s="24" t="s">
        <v>14822</v>
      </c>
      <c r="B1106" s="42" t="s">
        <v>15406</v>
      </c>
      <c r="C1106" s="42" t="s">
        <v>15405</v>
      </c>
      <c r="D1106" s="43" t="str">
        <f t="shared" si="38"/>
        <v>2021.002M.Phenuiviridae_sprenamed.zip</v>
      </c>
    </row>
    <row r="1107" spans="1:4">
      <c r="A1107" s="24" t="s">
        <v>14822</v>
      </c>
      <c r="B1107" s="42" t="s">
        <v>15404</v>
      </c>
      <c r="C1107" s="42" t="s">
        <v>15403</v>
      </c>
      <c r="D1107" s="43" t="str">
        <f t="shared" si="38"/>
        <v>2021.002M.Phenuiviridae_sprenamed.zip</v>
      </c>
    </row>
    <row r="1108" spans="1:4">
      <c r="A1108" s="24" t="s">
        <v>14822</v>
      </c>
      <c r="B1108" s="42" t="s">
        <v>15390</v>
      </c>
      <c r="C1108" s="42" t="s">
        <v>15389</v>
      </c>
      <c r="D1108" s="43" t="str">
        <f t="shared" si="38"/>
        <v>2021.002M.Phenuiviridae_sprenamed.zip</v>
      </c>
    </row>
    <row r="1109" spans="1:4">
      <c r="A1109" s="24" t="s">
        <v>14822</v>
      </c>
      <c r="B1109" s="42" t="s">
        <v>15412</v>
      </c>
      <c r="C1109" s="42" t="s">
        <v>15411</v>
      </c>
      <c r="D1109" s="43" t="str">
        <f t="shared" si="38"/>
        <v>2021.002M.Phenuiviridae_sprenamed.zip</v>
      </c>
    </row>
    <row r="1110" spans="1:4">
      <c r="A1110" s="24" t="s">
        <v>14822</v>
      </c>
      <c r="B1110" s="42" t="s">
        <v>15402</v>
      </c>
      <c r="C1110" s="42" t="s">
        <v>15401</v>
      </c>
      <c r="D1110" s="43" t="str">
        <f t="shared" si="38"/>
        <v>2021.002M.Phenuiviridae_sprenamed.zip</v>
      </c>
    </row>
    <row r="1111" spans="1:4">
      <c r="A1111" s="24" t="s">
        <v>14822</v>
      </c>
      <c r="B1111" s="42" t="s">
        <v>15400</v>
      </c>
      <c r="C1111" s="42" t="s">
        <v>15399</v>
      </c>
      <c r="D1111" s="43" t="str">
        <f t="shared" si="38"/>
        <v>2021.002M.Phenuiviridae_sprenamed.zip</v>
      </c>
    </row>
    <row r="1112" spans="1:4">
      <c r="A1112" s="24" t="s">
        <v>14822</v>
      </c>
      <c r="B1112" s="42" t="s">
        <v>15398</v>
      </c>
      <c r="C1112" s="42" t="s">
        <v>15397</v>
      </c>
      <c r="D1112" s="43" t="str">
        <f t="shared" si="38"/>
        <v>2021.002M.Phenuiviridae_sprenamed.zip</v>
      </c>
    </row>
    <row r="1113" spans="1:4">
      <c r="A1113" s="24" t="s">
        <v>14822</v>
      </c>
      <c r="B1113" s="42" t="s">
        <v>15396</v>
      </c>
      <c r="C1113" s="42" t="s">
        <v>15395</v>
      </c>
      <c r="D1113" s="43" t="str">
        <f t="shared" si="38"/>
        <v>2021.002M.Phenuiviridae_sprenamed.zip</v>
      </c>
    </row>
    <row r="1114" spans="1:4">
      <c r="A1114" s="24" t="s">
        <v>14822</v>
      </c>
      <c r="B1114" s="42" t="s">
        <v>15394</v>
      </c>
      <c r="C1114" s="42" t="s">
        <v>15393</v>
      </c>
      <c r="D1114" s="43" t="str">
        <f t="shared" si="38"/>
        <v>2021.002M.Phenuiviridae_sprenamed.zip</v>
      </c>
    </row>
    <row r="1115" spans="1:4">
      <c r="A1115" s="24" t="s">
        <v>14822</v>
      </c>
      <c r="B1115" s="42" t="s">
        <v>15388</v>
      </c>
      <c r="C1115" s="42" t="s">
        <v>15387</v>
      </c>
      <c r="D1115" s="43" t="str">
        <f t="shared" si="38"/>
        <v>2021.002M.Phenuiviridae_sprenamed.zip</v>
      </c>
    </row>
    <row r="1116" spans="1:4">
      <c r="A1116" s="24" t="s">
        <v>14822</v>
      </c>
      <c r="B1116" s="42" t="s">
        <v>15386</v>
      </c>
      <c r="C1116" s="42" t="s">
        <v>15385</v>
      </c>
      <c r="D1116" s="43" t="str">
        <f t="shared" si="38"/>
        <v>2021.002M.Phenuiviridae_sprenamed.zip</v>
      </c>
    </row>
    <row r="1117" spans="1:4">
      <c r="A1117" s="24" t="s">
        <v>14822</v>
      </c>
      <c r="B1117" s="42" t="s">
        <v>15392</v>
      </c>
      <c r="C1117" s="42" t="s">
        <v>15391</v>
      </c>
      <c r="D1117" s="43" t="str">
        <f t="shared" si="38"/>
        <v>2021.002M.Phenuiviridae_sprenamed.zip</v>
      </c>
    </row>
    <row r="1118" spans="1:4">
      <c r="A1118" s="24" t="s">
        <v>14822</v>
      </c>
      <c r="B1118" s="42" t="s">
        <v>15384</v>
      </c>
      <c r="C1118" s="42" t="s">
        <v>15383</v>
      </c>
      <c r="D1118" s="43" t="str">
        <f t="shared" si="38"/>
        <v>2021.002M.Phenuiviridae_sprenamed.zip</v>
      </c>
    </row>
    <row r="1119" spans="1:4">
      <c r="A1119" s="24" t="s">
        <v>14822</v>
      </c>
      <c r="B1119" s="42" t="s">
        <v>15380</v>
      </c>
      <c r="C1119" s="42" t="s">
        <v>15379</v>
      </c>
      <c r="D1119" s="43" t="str">
        <f t="shared" ref="D1119:D1144" si="39">HYPERLINK("https://ictv.global/ictv/proposals/2022.011P.Tospoviridae_rename.zip","2022.011P.Tospoviridae_rename.zip")</f>
        <v>2022.011P.Tospoviridae_rename.zip</v>
      </c>
    </row>
    <row r="1120" spans="1:4">
      <c r="A1120" s="24" t="s">
        <v>14822</v>
      </c>
      <c r="B1120" s="42" t="s">
        <v>15382</v>
      </c>
      <c r="C1120" s="42" t="s">
        <v>15381</v>
      </c>
      <c r="D1120" s="43" t="str">
        <f t="shared" si="39"/>
        <v>2022.011P.Tospoviridae_rename.zip</v>
      </c>
    </row>
    <row r="1121" spans="1:4">
      <c r="A1121" s="24" t="s">
        <v>14822</v>
      </c>
      <c r="B1121" s="42" t="s">
        <v>15342</v>
      </c>
      <c r="C1121" s="42" t="s">
        <v>15341</v>
      </c>
      <c r="D1121" s="43" t="str">
        <f t="shared" si="39"/>
        <v>2022.011P.Tospoviridae_rename.zip</v>
      </c>
    </row>
    <row r="1122" spans="1:4">
      <c r="A1122" s="24" t="s">
        <v>14822</v>
      </c>
      <c r="B1122" s="42" t="s">
        <v>15370</v>
      </c>
      <c r="C1122" s="42" t="s">
        <v>15369</v>
      </c>
      <c r="D1122" s="43" t="str">
        <f t="shared" si="39"/>
        <v>2022.011P.Tospoviridae_rename.zip</v>
      </c>
    </row>
    <row r="1123" spans="1:4">
      <c r="A1123" s="24" t="s">
        <v>14822</v>
      </c>
      <c r="B1123" s="42" t="s">
        <v>15368</v>
      </c>
      <c r="C1123" s="42" t="s">
        <v>15367</v>
      </c>
      <c r="D1123" s="43" t="str">
        <f t="shared" si="39"/>
        <v>2022.011P.Tospoviridae_rename.zip</v>
      </c>
    </row>
    <row r="1124" spans="1:4">
      <c r="A1124" s="24" t="s">
        <v>14822</v>
      </c>
      <c r="B1124" s="42" t="s">
        <v>15364</v>
      </c>
      <c r="C1124" s="42" t="s">
        <v>15363</v>
      </c>
      <c r="D1124" s="43" t="str">
        <f t="shared" si="39"/>
        <v>2022.011P.Tospoviridae_rename.zip</v>
      </c>
    </row>
    <row r="1125" spans="1:4">
      <c r="A1125" s="24" t="s">
        <v>14822</v>
      </c>
      <c r="B1125" s="42" t="s">
        <v>15372</v>
      </c>
      <c r="C1125" s="42" t="s">
        <v>15371</v>
      </c>
      <c r="D1125" s="43" t="str">
        <f t="shared" si="39"/>
        <v>2022.011P.Tospoviridae_rename.zip</v>
      </c>
    </row>
    <row r="1126" spans="1:4">
      <c r="A1126" s="24" t="s">
        <v>14822</v>
      </c>
      <c r="B1126" s="42" t="s">
        <v>15374</v>
      </c>
      <c r="C1126" s="42" t="s">
        <v>15373</v>
      </c>
      <c r="D1126" s="43" t="str">
        <f t="shared" si="39"/>
        <v>2022.011P.Tospoviridae_rename.zip</v>
      </c>
    </row>
    <row r="1127" spans="1:4">
      <c r="A1127" s="24" t="s">
        <v>14822</v>
      </c>
      <c r="B1127" s="42" t="s">
        <v>15378</v>
      </c>
      <c r="C1127" s="42" t="s">
        <v>15377</v>
      </c>
      <c r="D1127" s="43" t="str">
        <f t="shared" si="39"/>
        <v>2022.011P.Tospoviridae_rename.zip</v>
      </c>
    </row>
    <row r="1128" spans="1:4">
      <c r="A1128" s="24" t="s">
        <v>14822</v>
      </c>
      <c r="B1128" s="42" t="s">
        <v>15376</v>
      </c>
      <c r="C1128" s="42" t="s">
        <v>15375</v>
      </c>
      <c r="D1128" s="43" t="str">
        <f t="shared" si="39"/>
        <v>2022.011P.Tospoviridae_rename.zip</v>
      </c>
    </row>
    <row r="1129" spans="1:4">
      <c r="A1129" s="24" t="s">
        <v>14822</v>
      </c>
      <c r="B1129" s="42" t="s">
        <v>15354</v>
      </c>
      <c r="C1129" s="42" t="s">
        <v>15353</v>
      </c>
      <c r="D1129" s="43" t="str">
        <f t="shared" si="39"/>
        <v>2022.011P.Tospoviridae_rename.zip</v>
      </c>
    </row>
    <row r="1130" spans="1:4">
      <c r="A1130" s="24" t="s">
        <v>14822</v>
      </c>
      <c r="B1130" s="42" t="s">
        <v>15352</v>
      </c>
      <c r="C1130" s="42" t="s">
        <v>15351</v>
      </c>
      <c r="D1130" s="43" t="str">
        <f t="shared" si="39"/>
        <v>2022.011P.Tospoviridae_rename.zip</v>
      </c>
    </row>
    <row r="1131" spans="1:4">
      <c r="A1131" s="24" t="s">
        <v>14822</v>
      </c>
      <c r="B1131" s="42" t="s">
        <v>15350</v>
      </c>
      <c r="C1131" s="42" t="s">
        <v>15349</v>
      </c>
      <c r="D1131" s="43" t="str">
        <f t="shared" si="39"/>
        <v>2022.011P.Tospoviridae_rename.zip</v>
      </c>
    </row>
    <row r="1132" spans="1:4">
      <c r="A1132" s="24" t="s">
        <v>14822</v>
      </c>
      <c r="B1132" s="42" t="s">
        <v>15346</v>
      </c>
      <c r="C1132" s="42" t="s">
        <v>15345</v>
      </c>
      <c r="D1132" s="43" t="str">
        <f t="shared" si="39"/>
        <v>2022.011P.Tospoviridae_rename.zip</v>
      </c>
    </row>
    <row r="1133" spans="1:4">
      <c r="A1133" s="24" t="s">
        <v>14822</v>
      </c>
      <c r="B1133" s="42" t="s">
        <v>15348</v>
      </c>
      <c r="C1133" s="42" t="s">
        <v>15347</v>
      </c>
      <c r="D1133" s="43" t="str">
        <f t="shared" si="39"/>
        <v>2022.011P.Tospoviridae_rename.zip</v>
      </c>
    </row>
    <row r="1134" spans="1:4">
      <c r="A1134" s="24" t="s">
        <v>14822</v>
      </c>
      <c r="B1134" s="42" t="s">
        <v>15344</v>
      </c>
      <c r="C1134" s="42" t="s">
        <v>15343</v>
      </c>
      <c r="D1134" s="43" t="str">
        <f t="shared" si="39"/>
        <v>2022.011P.Tospoviridae_rename.zip</v>
      </c>
    </row>
    <row r="1135" spans="1:4">
      <c r="A1135" s="24" t="s">
        <v>14822</v>
      </c>
      <c r="B1135" s="42" t="s">
        <v>15366</v>
      </c>
      <c r="C1135" s="42" t="s">
        <v>15365</v>
      </c>
      <c r="D1135" s="43" t="str">
        <f t="shared" si="39"/>
        <v>2022.011P.Tospoviridae_rename.zip</v>
      </c>
    </row>
    <row r="1136" spans="1:4">
      <c r="A1136" s="24" t="s">
        <v>14822</v>
      </c>
      <c r="B1136" s="42" t="s">
        <v>15340</v>
      </c>
      <c r="C1136" s="42" t="s">
        <v>15339</v>
      </c>
      <c r="D1136" s="43" t="str">
        <f t="shared" si="39"/>
        <v>2022.011P.Tospoviridae_rename.zip</v>
      </c>
    </row>
    <row r="1137" spans="1:4">
      <c r="A1137" s="24" t="s">
        <v>14822</v>
      </c>
      <c r="B1137" s="42" t="s">
        <v>15356</v>
      </c>
      <c r="C1137" s="42" t="s">
        <v>15355</v>
      </c>
      <c r="D1137" s="43" t="str">
        <f t="shared" si="39"/>
        <v>2022.011P.Tospoviridae_rename.zip</v>
      </c>
    </row>
    <row r="1138" spans="1:4">
      <c r="A1138" s="24" t="s">
        <v>14822</v>
      </c>
      <c r="B1138" s="42" t="s">
        <v>15336</v>
      </c>
      <c r="C1138" s="42" t="s">
        <v>15335</v>
      </c>
      <c r="D1138" s="43" t="str">
        <f t="shared" si="39"/>
        <v>2022.011P.Tospoviridae_rename.zip</v>
      </c>
    </row>
    <row r="1139" spans="1:4">
      <c r="A1139" s="24" t="s">
        <v>14822</v>
      </c>
      <c r="B1139" s="42" t="s">
        <v>15334</v>
      </c>
      <c r="C1139" s="42" t="s">
        <v>15333</v>
      </c>
      <c r="D1139" s="43" t="str">
        <f t="shared" si="39"/>
        <v>2022.011P.Tospoviridae_rename.zip</v>
      </c>
    </row>
    <row r="1140" spans="1:4">
      <c r="A1140" s="24" t="s">
        <v>14822</v>
      </c>
      <c r="B1140" s="42" t="s">
        <v>15338</v>
      </c>
      <c r="C1140" s="42" t="s">
        <v>15337</v>
      </c>
      <c r="D1140" s="43" t="str">
        <f t="shared" si="39"/>
        <v>2022.011P.Tospoviridae_rename.zip</v>
      </c>
    </row>
    <row r="1141" spans="1:4">
      <c r="A1141" s="24" t="s">
        <v>14822</v>
      </c>
      <c r="B1141" s="42" t="s">
        <v>15332</v>
      </c>
      <c r="C1141" s="42" t="s">
        <v>15331</v>
      </c>
      <c r="D1141" s="43" t="str">
        <f t="shared" si="39"/>
        <v>2022.011P.Tospoviridae_rename.zip</v>
      </c>
    </row>
    <row r="1142" spans="1:4">
      <c r="A1142" s="24" t="s">
        <v>14822</v>
      </c>
      <c r="B1142" s="42" t="s">
        <v>15360</v>
      </c>
      <c r="C1142" s="42" t="s">
        <v>15359</v>
      </c>
      <c r="D1142" s="43" t="str">
        <f t="shared" si="39"/>
        <v>2022.011P.Tospoviridae_rename.zip</v>
      </c>
    </row>
    <row r="1143" spans="1:4">
      <c r="A1143" s="24" t="s">
        <v>14822</v>
      </c>
      <c r="B1143" s="42" t="s">
        <v>15362</v>
      </c>
      <c r="C1143" s="42" t="s">
        <v>15361</v>
      </c>
      <c r="D1143" s="43" t="str">
        <f t="shared" si="39"/>
        <v>2022.011P.Tospoviridae_rename.zip</v>
      </c>
    </row>
    <row r="1144" spans="1:4">
      <c r="A1144" s="24" t="s">
        <v>14822</v>
      </c>
      <c r="B1144" s="42" t="s">
        <v>15358</v>
      </c>
      <c r="C1144" s="42" t="s">
        <v>15357</v>
      </c>
      <c r="D1144" s="43" t="str">
        <f t="shared" si="39"/>
        <v>2022.011P.Tospoviridae_rename.zip</v>
      </c>
    </row>
    <row r="1145" spans="1:4">
      <c r="A1145" s="24" t="s">
        <v>14822</v>
      </c>
      <c r="B1145" s="42" t="s">
        <v>15330</v>
      </c>
      <c r="C1145" s="42" t="s">
        <v>15329</v>
      </c>
      <c r="D1145" s="43" t="str">
        <f t="shared" ref="D1145:D1154" si="40">HYPERLINK("https://ictv.global/ictv/proposals/2022.006P.Amalgaviridae_rename.zip","2022.006P.Amalgaviridae_rename.zip")</f>
        <v>2022.006P.Amalgaviridae_rename.zip</v>
      </c>
    </row>
    <row r="1146" spans="1:4">
      <c r="A1146" s="24" t="s">
        <v>14822</v>
      </c>
      <c r="B1146" s="42" t="s">
        <v>15328</v>
      </c>
      <c r="C1146" s="42" t="s">
        <v>15327</v>
      </c>
      <c r="D1146" s="43" t="str">
        <f t="shared" si="40"/>
        <v>2022.006P.Amalgaviridae_rename.zip</v>
      </c>
    </row>
    <row r="1147" spans="1:4">
      <c r="A1147" s="24" t="s">
        <v>14822</v>
      </c>
      <c r="B1147" s="42" t="s">
        <v>15318</v>
      </c>
      <c r="C1147" s="42" t="s">
        <v>15317</v>
      </c>
      <c r="D1147" s="43" t="str">
        <f t="shared" si="40"/>
        <v>2022.006P.Amalgaviridae_rename.zip</v>
      </c>
    </row>
    <row r="1148" spans="1:4">
      <c r="A1148" s="24" t="s">
        <v>14822</v>
      </c>
      <c r="B1148" s="42" t="s">
        <v>15322</v>
      </c>
      <c r="C1148" s="42" t="s">
        <v>15321</v>
      </c>
      <c r="D1148" s="43" t="str">
        <f t="shared" si="40"/>
        <v>2022.006P.Amalgaviridae_rename.zip</v>
      </c>
    </row>
    <row r="1149" spans="1:4">
      <c r="A1149" s="24" t="s">
        <v>14822</v>
      </c>
      <c r="B1149" s="42" t="s">
        <v>15326</v>
      </c>
      <c r="C1149" s="42" t="s">
        <v>15325</v>
      </c>
      <c r="D1149" s="43" t="str">
        <f t="shared" si="40"/>
        <v>2022.006P.Amalgaviridae_rename.zip</v>
      </c>
    </row>
    <row r="1150" spans="1:4">
      <c r="A1150" s="24" t="s">
        <v>14822</v>
      </c>
      <c r="B1150" s="42" t="s">
        <v>15320</v>
      </c>
      <c r="C1150" s="42" t="s">
        <v>15319</v>
      </c>
      <c r="D1150" s="43" t="str">
        <f t="shared" si="40"/>
        <v>2022.006P.Amalgaviridae_rename.zip</v>
      </c>
    </row>
    <row r="1151" spans="1:4">
      <c r="A1151" s="24" t="s">
        <v>14822</v>
      </c>
      <c r="B1151" s="42" t="s">
        <v>15316</v>
      </c>
      <c r="C1151" s="42" t="s">
        <v>15315</v>
      </c>
      <c r="D1151" s="43" t="str">
        <f t="shared" si="40"/>
        <v>2022.006P.Amalgaviridae_rename.zip</v>
      </c>
    </row>
    <row r="1152" spans="1:4">
      <c r="A1152" s="24" t="s">
        <v>14822</v>
      </c>
      <c r="B1152" s="42" t="s">
        <v>15314</v>
      </c>
      <c r="C1152" s="42" t="s">
        <v>15313</v>
      </c>
      <c r="D1152" s="43" t="str">
        <f t="shared" si="40"/>
        <v>2022.006P.Amalgaviridae_rename.zip</v>
      </c>
    </row>
    <row r="1153" spans="1:4">
      <c r="A1153" s="24" t="s">
        <v>14822</v>
      </c>
      <c r="B1153" s="42" t="s">
        <v>15324</v>
      </c>
      <c r="C1153" s="42" t="s">
        <v>15323</v>
      </c>
      <c r="D1153" s="43" t="str">
        <f t="shared" si="40"/>
        <v>2022.006P.Amalgaviridae_rename.zip</v>
      </c>
    </row>
    <row r="1154" spans="1:4">
      <c r="A1154" s="24" t="s">
        <v>14822</v>
      </c>
      <c r="B1154" s="42" t="s">
        <v>15312</v>
      </c>
      <c r="C1154" s="42" t="s">
        <v>15311</v>
      </c>
      <c r="D1154" s="43" t="str">
        <f t="shared" si="40"/>
        <v>2022.006P.Amalgaviridae_rename.zip</v>
      </c>
    </row>
    <row r="1155" spans="1:4">
      <c r="A1155" s="24" t="s">
        <v>14822</v>
      </c>
      <c r="B1155" s="42" t="s">
        <v>15310</v>
      </c>
      <c r="C1155" s="42" t="s">
        <v>15309</v>
      </c>
      <c r="D1155" s="43" t="str">
        <f>HYPERLINK("https://ictv.global/ictv/proposals/2022.005S.Roniviridae_rename.zip","2022.005S.Roniviridae_rename.zip")</f>
        <v>2022.005S.Roniviridae_rename.zip</v>
      </c>
    </row>
    <row r="1156" spans="1:4">
      <c r="A1156" s="24" t="s">
        <v>14822</v>
      </c>
      <c r="B1156" s="42" t="s">
        <v>15306</v>
      </c>
      <c r="C1156" s="42" t="s">
        <v>15305</v>
      </c>
      <c r="D1156" s="43" t="str">
        <f>HYPERLINK("https://ictv.global/ictv/proposals/2022.005S.Roniviridae_rename.zip","2022.005S.Roniviridae_rename.zip")</f>
        <v>2022.005S.Roniviridae_rename.zip</v>
      </c>
    </row>
    <row r="1157" spans="1:4">
      <c r="A1157" s="24" t="s">
        <v>14822</v>
      </c>
      <c r="B1157" s="42" t="s">
        <v>15308</v>
      </c>
      <c r="C1157" s="42" t="s">
        <v>15307</v>
      </c>
      <c r="D1157" s="43" t="str">
        <f>HYPERLINK("https://ictv.global/ictv/proposals/2022.005S.Roniviridae_rename.zip","2022.005S.Roniviridae_rename.zip")</f>
        <v>2022.005S.Roniviridae_rename.zip</v>
      </c>
    </row>
    <row r="1158" spans="1:4">
      <c r="A1158" s="24" t="s">
        <v>14822</v>
      </c>
      <c r="B1158" s="42" t="s">
        <v>15304</v>
      </c>
      <c r="C1158" s="42" t="s">
        <v>15303</v>
      </c>
      <c r="D1158" s="43" t="str">
        <f t="shared" ref="D1158:D1172" si="41">HYPERLINK("https://ictv.global/ictv/proposals/2022.003S.Dicistroviridae_rename.zip","2022.003S.Dicistroviridae_rename.zip")</f>
        <v>2022.003S.Dicistroviridae_rename.zip</v>
      </c>
    </row>
    <row r="1159" spans="1:4">
      <c r="A1159" s="24" t="s">
        <v>14822</v>
      </c>
      <c r="B1159" s="42" t="s">
        <v>15300</v>
      </c>
      <c r="C1159" s="42" t="s">
        <v>15299</v>
      </c>
      <c r="D1159" s="43" t="str">
        <f t="shared" si="41"/>
        <v>2022.003S.Dicistroviridae_rename.zip</v>
      </c>
    </row>
    <row r="1160" spans="1:4">
      <c r="A1160" s="24" t="s">
        <v>14822</v>
      </c>
      <c r="B1160" s="42" t="s">
        <v>15298</v>
      </c>
      <c r="C1160" s="42" t="s">
        <v>15297</v>
      </c>
      <c r="D1160" s="43" t="str">
        <f t="shared" si="41"/>
        <v>2022.003S.Dicistroviridae_rename.zip</v>
      </c>
    </row>
    <row r="1161" spans="1:4">
      <c r="A1161" s="24" t="s">
        <v>14822</v>
      </c>
      <c r="B1161" s="42" t="s">
        <v>15302</v>
      </c>
      <c r="C1161" s="42" t="s">
        <v>15301</v>
      </c>
      <c r="D1161" s="43" t="str">
        <f t="shared" si="41"/>
        <v>2022.003S.Dicistroviridae_rename.zip</v>
      </c>
    </row>
    <row r="1162" spans="1:4">
      <c r="A1162" s="24" t="s">
        <v>14822</v>
      </c>
      <c r="B1162" s="42" t="s">
        <v>15294</v>
      </c>
      <c r="C1162" s="42" t="s">
        <v>15293</v>
      </c>
      <c r="D1162" s="43" t="str">
        <f t="shared" si="41"/>
        <v>2022.003S.Dicistroviridae_rename.zip</v>
      </c>
    </row>
    <row r="1163" spans="1:4">
      <c r="A1163" s="24" t="s">
        <v>14822</v>
      </c>
      <c r="B1163" s="42" t="s">
        <v>15296</v>
      </c>
      <c r="C1163" s="42" t="s">
        <v>15295</v>
      </c>
      <c r="D1163" s="43" t="str">
        <f t="shared" si="41"/>
        <v>2022.003S.Dicistroviridae_rename.zip</v>
      </c>
    </row>
    <row r="1164" spans="1:4">
      <c r="A1164" s="24" t="s">
        <v>14822</v>
      </c>
      <c r="B1164" s="42" t="s">
        <v>15288</v>
      </c>
      <c r="C1164" s="42" t="s">
        <v>15287</v>
      </c>
      <c r="D1164" s="43" t="str">
        <f t="shared" si="41"/>
        <v>2022.003S.Dicistroviridae_rename.zip</v>
      </c>
    </row>
    <row r="1165" spans="1:4">
      <c r="A1165" s="24" t="s">
        <v>14822</v>
      </c>
      <c r="B1165" s="42" t="s">
        <v>15290</v>
      </c>
      <c r="C1165" s="42" t="s">
        <v>15289</v>
      </c>
      <c r="D1165" s="43" t="str">
        <f t="shared" si="41"/>
        <v>2022.003S.Dicistroviridae_rename.zip</v>
      </c>
    </row>
    <row r="1166" spans="1:4">
      <c r="A1166" s="24" t="s">
        <v>14822</v>
      </c>
      <c r="B1166" s="42" t="s">
        <v>15292</v>
      </c>
      <c r="C1166" s="42" t="s">
        <v>15291</v>
      </c>
      <c r="D1166" s="43" t="str">
        <f t="shared" si="41"/>
        <v>2022.003S.Dicistroviridae_rename.zip</v>
      </c>
    </row>
    <row r="1167" spans="1:4">
      <c r="A1167" s="24" t="s">
        <v>14822</v>
      </c>
      <c r="B1167" s="42" t="s">
        <v>15286</v>
      </c>
      <c r="C1167" s="42" t="s">
        <v>15285</v>
      </c>
      <c r="D1167" s="43" t="str">
        <f t="shared" si="41"/>
        <v>2022.003S.Dicistroviridae_rename.zip</v>
      </c>
    </row>
    <row r="1168" spans="1:4">
      <c r="A1168" s="24" t="s">
        <v>14822</v>
      </c>
      <c r="B1168" s="42" t="s">
        <v>15280</v>
      </c>
      <c r="C1168" s="42" t="s">
        <v>15279</v>
      </c>
      <c r="D1168" s="43" t="str">
        <f t="shared" si="41"/>
        <v>2022.003S.Dicistroviridae_rename.zip</v>
      </c>
    </row>
    <row r="1169" spans="1:4">
      <c r="A1169" s="24" t="s">
        <v>14822</v>
      </c>
      <c r="B1169" s="42" t="s">
        <v>15284</v>
      </c>
      <c r="C1169" s="42" t="s">
        <v>15283</v>
      </c>
      <c r="D1169" s="43" t="str">
        <f t="shared" si="41"/>
        <v>2022.003S.Dicistroviridae_rename.zip</v>
      </c>
    </row>
    <row r="1170" spans="1:4">
      <c r="A1170" s="24" t="s">
        <v>14822</v>
      </c>
      <c r="B1170" s="42" t="s">
        <v>15282</v>
      </c>
      <c r="C1170" s="42" t="s">
        <v>15281</v>
      </c>
      <c r="D1170" s="43" t="str">
        <f t="shared" si="41"/>
        <v>2022.003S.Dicistroviridae_rename.zip</v>
      </c>
    </row>
    <row r="1171" spans="1:4">
      <c r="A1171" s="24" t="s">
        <v>14822</v>
      </c>
      <c r="B1171" s="42" t="s">
        <v>15278</v>
      </c>
      <c r="C1171" s="42" t="s">
        <v>15277</v>
      </c>
      <c r="D1171" s="43" t="str">
        <f t="shared" si="41"/>
        <v>2022.003S.Dicistroviridae_rename.zip</v>
      </c>
    </row>
    <row r="1172" spans="1:4">
      <c r="A1172" s="24" t="s">
        <v>14822</v>
      </c>
      <c r="B1172" s="42" t="s">
        <v>15276</v>
      </c>
      <c r="C1172" s="42" t="s">
        <v>15275</v>
      </c>
      <c r="D1172" s="43" t="str">
        <f t="shared" si="41"/>
        <v>2022.003S.Dicistroviridae_rename.zip</v>
      </c>
    </row>
    <row r="1173" spans="1:4">
      <c r="A1173" s="24" t="s">
        <v>14822</v>
      </c>
      <c r="B1173" s="42" t="s">
        <v>15274</v>
      </c>
      <c r="C1173" s="42" t="s">
        <v>15273</v>
      </c>
      <c r="D1173" s="43" t="str">
        <f t="shared" ref="D1173:D1188" si="42">HYPERLINK("https://ictv.global/ictv/proposals/2022.004S.Iflaviridae_rename.zip","2022.004S.Iflaviridae_rename.zip")</f>
        <v>2022.004S.Iflaviridae_rename.zip</v>
      </c>
    </row>
    <row r="1174" spans="1:4">
      <c r="A1174" s="24" t="s">
        <v>14822</v>
      </c>
      <c r="B1174" s="42" t="s">
        <v>15244</v>
      </c>
      <c r="C1174" s="42" t="s">
        <v>15243</v>
      </c>
      <c r="D1174" s="43" t="str">
        <f t="shared" si="42"/>
        <v>2022.004S.Iflaviridae_rename.zip</v>
      </c>
    </row>
    <row r="1175" spans="1:4">
      <c r="A1175" s="24" t="s">
        <v>14822</v>
      </c>
      <c r="B1175" s="42" t="s">
        <v>15266</v>
      </c>
      <c r="C1175" s="42" t="s">
        <v>15265</v>
      </c>
      <c r="D1175" s="43" t="str">
        <f t="shared" si="42"/>
        <v>2022.004S.Iflaviridae_rename.zip</v>
      </c>
    </row>
    <row r="1176" spans="1:4">
      <c r="A1176" s="24" t="s">
        <v>14822</v>
      </c>
      <c r="B1176" s="42" t="s">
        <v>15272</v>
      </c>
      <c r="C1176" s="42" t="s">
        <v>15271</v>
      </c>
      <c r="D1176" s="43" t="str">
        <f t="shared" si="42"/>
        <v>2022.004S.Iflaviridae_rename.zip</v>
      </c>
    </row>
    <row r="1177" spans="1:4">
      <c r="A1177" s="24" t="s">
        <v>14822</v>
      </c>
      <c r="B1177" s="42" t="s">
        <v>15264</v>
      </c>
      <c r="C1177" s="42" t="s">
        <v>15263</v>
      </c>
      <c r="D1177" s="43" t="str">
        <f t="shared" si="42"/>
        <v>2022.004S.Iflaviridae_rename.zip</v>
      </c>
    </row>
    <row r="1178" spans="1:4">
      <c r="A1178" s="24" t="s">
        <v>14822</v>
      </c>
      <c r="B1178" s="42" t="s">
        <v>15262</v>
      </c>
      <c r="C1178" s="42" t="s">
        <v>15261</v>
      </c>
      <c r="D1178" s="43" t="str">
        <f t="shared" si="42"/>
        <v>2022.004S.Iflaviridae_rename.zip</v>
      </c>
    </row>
    <row r="1179" spans="1:4">
      <c r="A1179" s="24" t="s">
        <v>14822</v>
      </c>
      <c r="B1179" s="42" t="s">
        <v>15260</v>
      </c>
      <c r="C1179" s="42" t="s">
        <v>15259</v>
      </c>
      <c r="D1179" s="43" t="str">
        <f t="shared" si="42"/>
        <v>2022.004S.Iflaviridae_rename.zip</v>
      </c>
    </row>
    <row r="1180" spans="1:4">
      <c r="A1180" s="24" t="s">
        <v>14822</v>
      </c>
      <c r="B1180" s="42" t="s">
        <v>15256</v>
      </c>
      <c r="C1180" s="42" t="s">
        <v>15255</v>
      </c>
      <c r="D1180" s="43" t="str">
        <f t="shared" si="42"/>
        <v>2022.004S.Iflaviridae_rename.zip</v>
      </c>
    </row>
    <row r="1181" spans="1:4">
      <c r="A1181" s="24" t="s">
        <v>14822</v>
      </c>
      <c r="B1181" s="42" t="s">
        <v>15258</v>
      </c>
      <c r="C1181" s="42" t="s">
        <v>15257</v>
      </c>
      <c r="D1181" s="43" t="str">
        <f t="shared" si="42"/>
        <v>2022.004S.Iflaviridae_rename.zip</v>
      </c>
    </row>
    <row r="1182" spans="1:4">
      <c r="A1182" s="24" t="s">
        <v>14822</v>
      </c>
      <c r="B1182" s="42" t="s">
        <v>15254</v>
      </c>
      <c r="C1182" s="42" t="s">
        <v>15253</v>
      </c>
      <c r="D1182" s="43" t="str">
        <f t="shared" si="42"/>
        <v>2022.004S.Iflaviridae_rename.zip</v>
      </c>
    </row>
    <row r="1183" spans="1:4">
      <c r="A1183" s="24" t="s">
        <v>14822</v>
      </c>
      <c r="B1183" s="42" t="s">
        <v>15252</v>
      </c>
      <c r="C1183" s="42" t="s">
        <v>15251</v>
      </c>
      <c r="D1183" s="43" t="str">
        <f t="shared" si="42"/>
        <v>2022.004S.Iflaviridae_rename.zip</v>
      </c>
    </row>
    <row r="1184" spans="1:4">
      <c r="A1184" s="24" t="s">
        <v>14822</v>
      </c>
      <c r="B1184" s="42" t="s">
        <v>15250</v>
      </c>
      <c r="C1184" s="42" t="s">
        <v>15249</v>
      </c>
      <c r="D1184" s="43" t="str">
        <f t="shared" si="42"/>
        <v>2022.004S.Iflaviridae_rename.zip</v>
      </c>
    </row>
    <row r="1185" spans="1:4">
      <c r="A1185" s="24" t="s">
        <v>14822</v>
      </c>
      <c r="B1185" s="42" t="s">
        <v>15270</v>
      </c>
      <c r="C1185" s="42" t="s">
        <v>15269</v>
      </c>
      <c r="D1185" s="43" t="str">
        <f t="shared" si="42"/>
        <v>2022.004S.Iflaviridae_rename.zip</v>
      </c>
    </row>
    <row r="1186" spans="1:4">
      <c r="A1186" s="24" t="s">
        <v>14822</v>
      </c>
      <c r="B1186" s="42" t="s">
        <v>15248</v>
      </c>
      <c r="C1186" s="42" t="s">
        <v>15247</v>
      </c>
      <c r="D1186" s="43" t="str">
        <f t="shared" si="42"/>
        <v>2022.004S.Iflaviridae_rename.zip</v>
      </c>
    </row>
    <row r="1187" spans="1:4">
      <c r="A1187" s="24" t="s">
        <v>14822</v>
      </c>
      <c r="B1187" s="42" t="s">
        <v>15268</v>
      </c>
      <c r="C1187" s="42" t="s">
        <v>15267</v>
      </c>
      <c r="D1187" s="43" t="str">
        <f t="shared" si="42"/>
        <v>2022.004S.Iflaviridae_rename.zip</v>
      </c>
    </row>
    <row r="1188" spans="1:4">
      <c r="A1188" s="24" t="s">
        <v>14822</v>
      </c>
      <c r="B1188" s="42" t="s">
        <v>15246</v>
      </c>
      <c r="C1188" s="42" t="s">
        <v>15245</v>
      </c>
      <c r="D1188" s="43" t="str">
        <f t="shared" si="42"/>
        <v>2022.004S.Iflaviridae_rename.zip</v>
      </c>
    </row>
    <row r="1189" spans="1:4">
      <c r="A1189" s="24" t="s">
        <v>14822</v>
      </c>
      <c r="B1189" s="42" t="s">
        <v>15232</v>
      </c>
      <c r="C1189" s="42" t="s">
        <v>15231</v>
      </c>
      <c r="D1189" s="43" t="str">
        <f t="shared" ref="D1189:D1220" si="43">HYPERLINK("https://ictv.global/ictv/proposals/2022.005P.Secoviridae_rename.zip","2022.005P.Secoviridae_rename.zip")</f>
        <v>2022.005P.Secoviridae_rename.zip</v>
      </c>
    </row>
    <row r="1190" spans="1:4">
      <c r="A1190" s="24" t="s">
        <v>14822</v>
      </c>
      <c r="B1190" s="42" t="s">
        <v>15208</v>
      </c>
      <c r="C1190" s="42" t="s">
        <v>15207</v>
      </c>
      <c r="D1190" s="43" t="str">
        <f t="shared" si="43"/>
        <v>2022.005P.Secoviridae_rename.zip</v>
      </c>
    </row>
    <row r="1191" spans="1:4">
      <c r="A1191" s="24" t="s">
        <v>14822</v>
      </c>
      <c r="B1191" s="42" t="s">
        <v>15212</v>
      </c>
      <c r="C1191" s="42" t="s">
        <v>15211</v>
      </c>
      <c r="D1191" s="43" t="str">
        <f t="shared" si="43"/>
        <v>2022.005P.Secoviridae_rename.zip</v>
      </c>
    </row>
    <row r="1192" spans="1:4">
      <c r="A1192" s="24" t="s">
        <v>14822</v>
      </c>
      <c r="B1192" s="42" t="s">
        <v>15200</v>
      </c>
      <c r="C1192" s="42" t="s">
        <v>15199</v>
      </c>
      <c r="D1192" s="43" t="str">
        <f t="shared" si="43"/>
        <v>2022.005P.Secoviridae_rename.zip</v>
      </c>
    </row>
    <row r="1193" spans="1:4">
      <c r="A1193" s="24" t="s">
        <v>14822</v>
      </c>
      <c r="B1193" s="42" t="s">
        <v>15224</v>
      </c>
      <c r="C1193" s="42" t="s">
        <v>15223</v>
      </c>
      <c r="D1193" s="43" t="str">
        <f t="shared" si="43"/>
        <v>2022.005P.Secoviridae_rename.zip</v>
      </c>
    </row>
    <row r="1194" spans="1:4">
      <c r="A1194" s="24" t="s">
        <v>14822</v>
      </c>
      <c r="B1194" s="42" t="s">
        <v>15230</v>
      </c>
      <c r="C1194" s="42" t="s">
        <v>15229</v>
      </c>
      <c r="D1194" s="43" t="str">
        <f t="shared" si="43"/>
        <v>2022.005P.Secoviridae_rename.zip</v>
      </c>
    </row>
    <row r="1195" spans="1:4">
      <c r="A1195" s="24" t="s">
        <v>14822</v>
      </c>
      <c r="B1195" s="42" t="s">
        <v>15228</v>
      </c>
      <c r="C1195" s="42" t="s">
        <v>15227</v>
      </c>
      <c r="D1195" s="43" t="str">
        <f t="shared" si="43"/>
        <v>2022.005P.Secoviridae_rename.zip</v>
      </c>
    </row>
    <row r="1196" spans="1:4">
      <c r="A1196" s="24" t="s">
        <v>14822</v>
      </c>
      <c r="B1196" s="42" t="s">
        <v>15218</v>
      </c>
      <c r="C1196" s="42" t="s">
        <v>15217</v>
      </c>
      <c r="D1196" s="43" t="str">
        <f t="shared" si="43"/>
        <v>2022.005P.Secoviridae_rename.zip</v>
      </c>
    </row>
    <row r="1197" spans="1:4">
      <c r="A1197" s="24" t="s">
        <v>14822</v>
      </c>
      <c r="B1197" s="42" t="s">
        <v>15198</v>
      </c>
      <c r="C1197" s="42" t="s">
        <v>15197</v>
      </c>
      <c r="D1197" s="43" t="str">
        <f t="shared" si="43"/>
        <v>2022.005P.Secoviridae_rename.zip</v>
      </c>
    </row>
    <row r="1198" spans="1:4">
      <c r="A1198" s="24" t="s">
        <v>14822</v>
      </c>
      <c r="B1198" s="42" t="s">
        <v>15210</v>
      </c>
      <c r="C1198" s="42" t="s">
        <v>15209</v>
      </c>
      <c r="D1198" s="43" t="str">
        <f t="shared" si="43"/>
        <v>2022.005P.Secoviridae_rename.zip</v>
      </c>
    </row>
    <row r="1199" spans="1:4">
      <c r="A1199" s="24" t="s">
        <v>14822</v>
      </c>
      <c r="B1199" s="42" t="s">
        <v>15222</v>
      </c>
      <c r="C1199" s="42" t="s">
        <v>15221</v>
      </c>
      <c r="D1199" s="43" t="str">
        <f t="shared" si="43"/>
        <v>2022.005P.Secoviridae_rename.zip</v>
      </c>
    </row>
    <row r="1200" spans="1:4">
      <c r="A1200" s="24" t="s">
        <v>14822</v>
      </c>
      <c r="B1200" s="42" t="s">
        <v>15216</v>
      </c>
      <c r="C1200" s="42" t="s">
        <v>15215</v>
      </c>
      <c r="D1200" s="43" t="str">
        <f t="shared" si="43"/>
        <v>2022.005P.Secoviridae_rename.zip</v>
      </c>
    </row>
    <row r="1201" spans="1:4">
      <c r="A1201" s="24" t="s">
        <v>14822</v>
      </c>
      <c r="B1201" s="42" t="s">
        <v>15220</v>
      </c>
      <c r="C1201" s="42" t="s">
        <v>15219</v>
      </c>
      <c r="D1201" s="43" t="str">
        <f t="shared" si="43"/>
        <v>2022.005P.Secoviridae_rename.zip</v>
      </c>
    </row>
    <row r="1202" spans="1:4">
      <c r="A1202" s="24" t="s">
        <v>14822</v>
      </c>
      <c r="B1202" s="42" t="s">
        <v>15206</v>
      </c>
      <c r="C1202" s="42" t="s">
        <v>15205</v>
      </c>
      <c r="D1202" s="43" t="str">
        <f t="shared" si="43"/>
        <v>2022.005P.Secoviridae_rename.zip</v>
      </c>
    </row>
    <row r="1203" spans="1:4">
      <c r="A1203" s="24" t="s">
        <v>14822</v>
      </c>
      <c r="B1203" s="42" t="s">
        <v>15214</v>
      </c>
      <c r="C1203" s="42" t="s">
        <v>15213</v>
      </c>
      <c r="D1203" s="43" t="str">
        <f t="shared" si="43"/>
        <v>2022.005P.Secoviridae_rename.zip</v>
      </c>
    </row>
    <row r="1204" spans="1:4">
      <c r="A1204" s="24" t="s">
        <v>14822</v>
      </c>
      <c r="B1204" s="42" t="s">
        <v>15204</v>
      </c>
      <c r="C1204" s="42" t="s">
        <v>15203</v>
      </c>
      <c r="D1204" s="43" t="str">
        <f t="shared" si="43"/>
        <v>2022.005P.Secoviridae_rename.zip</v>
      </c>
    </row>
    <row r="1205" spans="1:4">
      <c r="A1205" s="24" t="s">
        <v>14822</v>
      </c>
      <c r="B1205" s="42" t="s">
        <v>15226</v>
      </c>
      <c r="C1205" s="42" t="s">
        <v>15225</v>
      </c>
      <c r="D1205" s="43" t="str">
        <f t="shared" si="43"/>
        <v>2022.005P.Secoviridae_rename.zip</v>
      </c>
    </row>
    <row r="1206" spans="1:4">
      <c r="A1206" s="24" t="s">
        <v>14822</v>
      </c>
      <c r="B1206" s="42" t="s">
        <v>15202</v>
      </c>
      <c r="C1206" s="42" t="s">
        <v>15201</v>
      </c>
      <c r="D1206" s="43" t="str">
        <f t="shared" si="43"/>
        <v>2022.005P.Secoviridae_rename.zip</v>
      </c>
    </row>
    <row r="1207" spans="1:4">
      <c r="A1207" s="24" t="s">
        <v>14822</v>
      </c>
      <c r="B1207" s="42" t="s">
        <v>15196</v>
      </c>
      <c r="C1207" s="42" t="s">
        <v>15195</v>
      </c>
      <c r="D1207" s="43" t="str">
        <f t="shared" si="43"/>
        <v>2022.005P.Secoviridae_rename.zip</v>
      </c>
    </row>
    <row r="1208" spans="1:4">
      <c r="A1208" s="24" t="s">
        <v>14822</v>
      </c>
      <c r="B1208" s="42" t="s">
        <v>15194</v>
      </c>
      <c r="C1208" s="42" t="s">
        <v>15193</v>
      </c>
      <c r="D1208" s="43" t="str">
        <f t="shared" si="43"/>
        <v>2022.005P.Secoviridae_rename.zip</v>
      </c>
    </row>
    <row r="1209" spans="1:4">
      <c r="A1209" s="24" t="s">
        <v>14822</v>
      </c>
      <c r="B1209" s="42" t="s">
        <v>15192</v>
      </c>
      <c r="C1209" s="42" t="s">
        <v>15191</v>
      </c>
      <c r="D1209" s="43" t="str">
        <f t="shared" si="43"/>
        <v>2022.005P.Secoviridae_rename.zip</v>
      </c>
    </row>
    <row r="1210" spans="1:4">
      <c r="A1210" s="24" t="s">
        <v>14822</v>
      </c>
      <c r="B1210" s="42" t="s">
        <v>15186</v>
      </c>
      <c r="C1210" s="42" t="s">
        <v>15185</v>
      </c>
      <c r="D1210" s="43" t="str">
        <f t="shared" si="43"/>
        <v>2022.005P.Secoviridae_rename.zip</v>
      </c>
    </row>
    <row r="1211" spans="1:4">
      <c r="A1211" s="24" t="s">
        <v>14822</v>
      </c>
      <c r="B1211" s="42" t="s">
        <v>15190</v>
      </c>
      <c r="C1211" s="42" t="s">
        <v>15189</v>
      </c>
      <c r="D1211" s="43" t="str">
        <f t="shared" si="43"/>
        <v>2022.005P.Secoviridae_rename.zip</v>
      </c>
    </row>
    <row r="1212" spans="1:4">
      <c r="A1212" s="24" t="s">
        <v>14822</v>
      </c>
      <c r="B1212" s="42" t="s">
        <v>15182</v>
      </c>
      <c r="C1212" s="42" t="s">
        <v>15181</v>
      </c>
      <c r="D1212" s="43" t="str">
        <f t="shared" si="43"/>
        <v>2022.005P.Secoviridae_rename.zip</v>
      </c>
    </row>
    <row r="1213" spans="1:4">
      <c r="A1213" s="24" t="s">
        <v>14822</v>
      </c>
      <c r="B1213" s="42" t="s">
        <v>15188</v>
      </c>
      <c r="C1213" s="42" t="s">
        <v>15187</v>
      </c>
      <c r="D1213" s="43" t="str">
        <f t="shared" si="43"/>
        <v>2022.005P.Secoviridae_rename.zip</v>
      </c>
    </row>
    <row r="1214" spans="1:4">
      <c r="A1214" s="24" t="s">
        <v>14822</v>
      </c>
      <c r="B1214" s="42" t="s">
        <v>15184</v>
      </c>
      <c r="C1214" s="42" t="s">
        <v>15183</v>
      </c>
      <c r="D1214" s="43" t="str">
        <f t="shared" si="43"/>
        <v>2022.005P.Secoviridae_rename.zip</v>
      </c>
    </row>
    <row r="1215" spans="1:4">
      <c r="A1215" s="24" t="s">
        <v>14822</v>
      </c>
      <c r="B1215" s="42" t="s">
        <v>15178</v>
      </c>
      <c r="C1215" s="42" t="s">
        <v>15177</v>
      </c>
      <c r="D1215" s="43" t="str">
        <f t="shared" si="43"/>
        <v>2022.005P.Secoviridae_rename.zip</v>
      </c>
    </row>
    <row r="1216" spans="1:4">
      <c r="A1216" s="24" t="s">
        <v>14822</v>
      </c>
      <c r="B1216" s="42" t="s">
        <v>15168</v>
      </c>
      <c r="C1216" s="42" t="s">
        <v>15167</v>
      </c>
      <c r="D1216" s="43" t="str">
        <f t="shared" si="43"/>
        <v>2022.005P.Secoviridae_rename.zip</v>
      </c>
    </row>
    <row r="1217" spans="1:4">
      <c r="A1217" s="24" t="s">
        <v>14822</v>
      </c>
      <c r="B1217" s="42" t="s">
        <v>15170</v>
      </c>
      <c r="C1217" s="42" t="s">
        <v>15169</v>
      </c>
      <c r="D1217" s="43" t="str">
        <f t="shared" si="43"/>
        <v>2022.005P.Secoviridae_rename.zip</v>
      </c>
    </row>
    <row r="1218" spans="1:4">
      <c r="A1218" s="24" t="s">
        <v>14822</v>
      </c>
      <c r="B1218" s="42" t="s">
        <v>15166</v>
      </c>
      <c r="C1218" s="42" t="s">
        <v>15165</v>
      </c>
      <c r="D1218" s="43" t="str">
        <f t="shared" si="43"/>
        <v>2022.005P.Secoviridae_rename.zip</v>
      </c>
    </row>
    <row r="1219" spans="1:4">
      <c r="A1219" s="24" t="s">
        <v>14822</v>
      </c>
      <c r="B1219" s="42" t="s">
        <v>15180</v>
      </c>
      <c r="C1219" s="42" t="s">
        <v>15179</v>
      </c>
      <c r="D1219" s="43" t="str">
        <f t="shared" si="43"/>
        <v>2022.005P.Secoviridae_rename.zip</v>
      </c>
    </row>
    <row r="1220" spans="1:4">
      <c r="A1220" s="24" t="s">
        <v>14822</v>
      </c>
      <c r="B1220" s="42" t="s">
        <v>15132</v>
      </c>
      <c r="C1220" s="42" t="s">
        <v>15131</v>
      </c>
      <c r="D1220" s="43" t="str">
        <f t="shared" si="43"/>
        <v>2022.005P.Secoviridae_rename.zip</v>
      </c>
    </row>
    <row r="1221" spans="1:4">
      <c r="A1221" s="24" t="s">
        <v>14822</v>
      </c>
      <c r="B1221" s="42" t="s">
        <v>15142</v>
      </c>
      <c r="C1221" s="42" t="s">
        <v>15141</v>
      </c>
      <c r="D1221" s="43" t="str">
        <f t="shared" ref="D1221:D1252" si="44">HYPERLINK("https://ictv.global/ictv/proposals/2022.005P.Secoviridae_rename.zip","2022.005P.Secoviridae_rename.zip")</f>
        <v>2022.005P.Secoviridae_rename.zip</v>
      </c>
    </row>
    <row r="1222" spans="1:4">
      <c r="A1222" s="24" t="s">
        <v>14822</v>
      </c>
      <c r="B1222" s="42" t="s">
        <v>15160</v>
      </c>
      <c r="C1222" s="42" t="s">
        <v>15159</v>
      </c>
      <c r="D1222" s="43" t="str">
        <f t="shared" si="44"/>
        <v>2022.005P.Secoviridae_rename.zip</v>
      </c>
    </row>
    <row r="1223" spans="1:4">
      <c r="A1223" s="24" t="s">
        <v>14822</v>
      </c>
      <c r="B1223" s="42" t="s">
        <v>15106</v>
      </c>
      <c r="C1223" s="42" t="s">
        <v>15105</v>
      </c>
      <c r="D1223" s="43" t="str">
        <f t="shared" si="44"/>
        <v>2022.005P.Secoviridae_rename.zip</v>
      </c>
    </row>
    <row r="1224" spans="1:4">
      <c r="A1224" s="24" t="s">
        <v>14822</v>
      </c>
      <c r="B1224" s="42" t="s">
        <v>15090</v>
      </c>
      <c r="C1224" s="42" t="s">
        <v>15089</v>
      </c>
      <c r="D1224" s="43" t="str">
        <f t="shared" si="44"/>
        <v>2022.005P.Secoviridae_rename.zip</v>
      </c>
    </row>
    <row r="1225" spans="1:4">
      <c r="A1225" s="24" t="s">
        <v>14822</v>
      </c>
      <c r="B1225" s="42" t="s">
        <v>15122</v>
      </c>
      <c r="C1225" s="42" t="s">
        <v>15121</v>
      </c>
      <c r="D1225" s="43" t="str">
        <f t="shared" si="44"/>
        <v>2022.005P.Secoviridae_rename.zip</v>
      </c>
    </row>
    <row r="1226" spans="1:4">
      <c r="A1226" s="24" t="s">
        <v>14822</v>
      </c>
      <c r="B1226" s="42" t="s">
        <v>15174</v>
      </c>
      <c r="C1226" s="42" t="s">
        <v>15173</v>
      </c>
      <c r="D1226" s="43" t="str">
        <f t="shared" si="44"/>
        <v>2022.005P.Secoviridae_rename.zip</v>
      </c>
    </row>
    <row r="1227" spans="1:4">
      <c r="A1227" s="24" t="s">
        <v>14822</v>
      </c>
      <c r="B1227" s="42" t="s">
        <v>15126</v>
      </c>
      <c r="C1227" s="42" t="s">
        <v>15125</v>
      </c>
      <c r="D1227" s="43" t="str">
        <f t="shared" si="44"/>
        <v>2022.005P.Secoviridae_rename.zip</v>
      </c>
    </row>
    <row r="1228" spans="1:4">
      <c r="A1228" s="24" t="s">
        <v>14822</v>
      </c>
      <c r="B1228" s="42" t="s">
        <v>15162</v>
      </c>
      <c r="C1228" s="42" t="s">
        <v>15161</v>
      </c>
      <c r="D1228" s="43" t="str">
        <f t="shared" si="44"/>
        <v>2022.005P.Secoviridae_rename.zip</v>
      </c>
    </row>
    <row r="1229" spans="1:4">
      <c r="A1229" s="24" t="s">
        <v>14822</v>
      </c>
      <c r="B1229" s="42" t="s">
        <v>15148</v>
      </c>
      <c r="C1229" s="42" t="s">
        <v>15147</v>
      </c>
      <c r="D1229" s="43" t="str">
        <f t="shared" si="44"/>
        <v>2022.005P.Secoviridae_rename.zip</v>
      </c>
    </row>
    <row r="1230" spans="1:4">
      <c r="A1230" s="24" t="s">
        <v>14822</v>
      </c>
      <c r="B1230" s="42" t="s">
        <v>15098</v>
      </c>
      <c r="C1230" s="42" t="s">
        <v>15097</v>
      </c>
      <c r="D1230" s="43" t="str">
        <f t="shared" si="44"/>
        <v>2022.005P.Secoviridae_rename.zip</v>
      </c>
    </row>
    <row r="1231" spans="1:4">
      <c r="A1231" s="24" t="s">
        <v>14822</v>
      </c>
      <c r="B1231" s="42" t="s">
        <v>15096</v>
      </c>
      <c r="C1231" s="42" t="s">
        <v>15095</v>
      </c>
      <c r="D1231" s="43" t="str">
        <f t="shared" si="44"/>
        <v>2022.005P.Secoviridae_rename.zip</v>
      </c>
    </row>
    <row r="1232" spans="1:4">
      <c r="A1232" s="24" t="s">
        <v>14822</v>
      </c>
      <c r="B1232" s="42" t="s">
        <v>15144</v>
      </c>
      <c r="C1232" s="42" t="s">
        <v>15143</v>
      </c>
      <c r="D1232" s="43" t="str">
        <f t="shared" si="44"/>
        <v>2022.005P.Secoviridae_rename.zip</v>
      </c>
    </row>
    <row r="1233" spans="1:4">
      <c r="A1233" s="24" t="s">
        <v>14822</v>
      </c>
      <c r="B1233" s="42" t="s">
        <v>15172</v>
      </c>
      <c r="C1233" s="42" t="s">
        <v>15171</v>
      </c>
      <c r="D1233" s="43" t="str">
        <f t="shared" si="44"/>
        <v>2022.005P.Secoviridae_rename.zip</v>
      </c>
    </row>
    <row r="1234" spans="1:4">
      <c r="A1234" s="24" t="s">
        <v>14822</v>
      </c>
      <c r="B1234" s="42" t="s">
        <v>15156</v>
      </c>
      <c r="C1234" s="42" t="s">
        <v>15155</v>
      </c>
      <c r="D1234" s="43" t="str">
        <f t="shared" si="44"/>
        <v>2022.005P.Secoviridae_rename.zip</v>
      </c>
    </row>
    <row r="1235" spans="1:4">
      <c r="A1235" s="24" t="s">
        <v>14822</v>
      </c>
      <c r="B1235" s="42" t="s">
        <v>15150</v>
      </c>
      <c r="C1235" s="42" t="s">
        <v>15149</v>
      </c>
      <c r="D1235" s="43" t="str">
        <f t="shared" si="44"/>
        <v>2022.005P.Secoviridae_rename.zip</v>
      </c>
    </row>
    <row r="1236" spans="1:4">
      <c r="A1236" s="24" t="s">
        <v>14822</v>
      </c>
      <c r="B1236" s="42" t="s">
        <v>15140</v>
      </c>
      <c r="C1236" s="42" t="s">
        <v>15139</v>
      </c>
      <c r="D1236" s="43" t="str">
        <f t="shared" si="44"/>
        <v>2022.005P.Secoviridae_rename.zip</v>
      </c>
    </row>
    <row r="1237" spans="1:4">
      <c r="A1237" s="24" t="s">
        <v>14822</v>
      </c>
      <c r="B1237" s="42" t="s">
        <v>15138</v>
      </c>
      <c r="C1237" s="42" t="s">
        <v>15137</v>
      </c>
      <c r="D1237" s="43" t="str">
        <f t="shared" si="44"/>
        <v>2022.005P.Secoviridae_rename.zip</v>
      </c>
    </row>
    <row r="1238" spans="1:4">
      <c r="A1238" s="24" t="s">
        <v>14822</v>
      </c>
      <c r="B1238" s="42" t="s">
        <v>15094</v>
      </c>
      <c r="C1238" s="42" t="s">
        <v>15093</v>
      </c>
      <c r="D1238" s="43" t="str">
        <f t="shared" si="44"/>
        <v>2022.005P.Secoviridae_rename.zip</v>
      </c>
    </row>
    <row r="1239" spans="1:4">
      <c r="A1239" s="24" t="s">
        <v>14822</v>
      </c>
      <c r="B1239" s="42" t="s">
        <v>15134</v>
      </c>
      <c r="C1239" s="42" t="s">
        <v>15133</v>
      </c>
      <c r="D1239" s="43" t="str">
        <f t="shared" si="44"/>
        <v>2022.005P.Secoviridae_rename.zip</v>
      </c>
    </row>
    <row r="1240" spans="1:4">
      <c r="A1240" s="24" t="s">
        <v>14822</v>
      </c>
      <c r="B1240" s="42" t="s">
        <v>15164</v>
      </c>
      <c r="C1240" s="42" t="s">
        <v>15163</v>
      </c>
      <c r="D1240" s="43" t="str">
        <f t="shared" si="44"/>
        <v>2022.005P.Secoviridae_rename.zip</v>
      </c>
    </row>
    <row r="1241" spans="1:4">
      <c r="A1241" s="24" t="s">
        <v>14822</v>
      </c>
      <c r="B1241" s="42" t="s">
        <v>15146</v>
      </c>
      <c r="C1241" s="42" t="s">
        <v>15145</v>
      </c>
      <c r="D1241" s="43" t="str">
        <f t="shared" si="44"/>
        <v>2022.005P.Secoviridae_rename.zip</v>
      </c>
    </row>
    <row r="1242" spans="1:4">
      <c r="A1242" s="24" t="s">
        <v>14822</v>
      </c>
      <c r="B1242" s="42" t="s">
        <v>15124</v>
      </c>
      <c r="C1242" s="42" t="s">
        <v>15123</v>
      </c>
      <c r="D1242" s="43" t="str">
        <f t="shared" si="44"/>
        <v>2022.005P.Secoviridae_rename.zip</v>
      </c>
    </row>
    <row r="1243" spans="1:4">
      <c r="A1243" s="24" t="s">
        <v>14822</v>
      </c>
      <c r="B1243" s="42" t="s">
        <v>15128</v>
      </c>
      <c r="C1243" s="42" t="s">
        <v>15127</v>
      </c>
      <c r="D1243" s="43" t="str">
        <f t="shared" si="44"/>
        <v>2022.005P.Secoviridae_rename.zip</v>
      </c>
    </row>
    <row r="1244" spans="1:4">
      <c r="A1244" s="24" t="s">
        <v>14822</v>
      </c>
      <c r="B1244" s="42" t="s">
        <v>15152</v>
      </c>
      <c r="C1244" s="42" t="s">
        <v>15151</v>
      </c>
      <c r="D1244" s="43" t="str">
        <f t="shared" si="44"/>
        <v>2022.005P.Secoviridae_rename.zip</v>
      </c>
    </row>
    <row r="1245" spans="1:4">
      <c r="A1245" s="24" t="s">
        <v>14822</v>
      </c>
      <c r="B1245" s="42" t="s">
        <v>15154</v>
      </c>
      <c r="C1245" s="42" t="s">
        <v>15153</v>
      </c>
      <c r="D1245" s="43" t="str">
        <f t="shared" si="44"/>
        <v>2022.005P.Secoviridae_rename.zip</v>
      </c>
    </row>
    <row r="1246" spans="1:4">
      <c r="A1246" s="24" t="s">
        <v>14822</v>
      </c>
      <c r="B1246" s="42" t="s">
        <v>15176</v>
      </c>
      <c r="C1246" s="42" t="s">
        <v>15175</v>
      </c>
      <c r="D1246" s="43" t="str">
        <f t="shared" si="44"/>
        <v>2022.005P.Secoviridae_rename.zip</v>
      </c>
    </row>
    <row r="1247" spans="1:4">
      <c r="A1247" s="24" t="s">
        <v>14822</v>
      </c>
      <c r="B1247" s="42" t="s">
        <v>15102</v>
      </c>
      <c r="C1247" s="42" t="s">
        <v>15101</v>
      </c>
      <c r="D1247" s="43" t="str">
        <f t="shared" si="44"/>
        <v>2022.005P.Secoviridae_rename.zip</v>
      </c>
    </row>
    <row r="1248" spans="1:4">
      <c r="A1248" s="24" t="s">
        <v>14822</v>
      </c>
      <c r="B1248" s="42" t="s">
        <v>15112</v>
      </c>
      <c r="C1248" s="42" t="s">
        <v>15111</v>
      </c>
      <c r="D1248" s="43" t="str">
        <f t="shared" si="44"/>
        <v>2022.005P.Secoviridae_rename.zip</v>
      </c>
    </row>
    <row r="1249" spans="1:4">
      <c r="A1249" s="24" t="s">
        <v>14822</v>
      </c>
      <c r="B1249" s="42" t="s">
        <v>15110</v>
      </c>
      <c r="C1249" s="42" t="s">
        <v>15109</v>
      </c>
      <c r="D1249" s="43" t="str">
        <f t="shared" si="44"/>
        <v>2022.005P.Secoviridae_rename.zip</v>
      </c>
    </row>
    <row r="1250" spans="1:4">
      <c r="A1250" s="24" t="s">
        <v>14822</v>
      </c>
      <c r="B1250" s="42" t="s">
        <v>15108</v>
      </c>
      <c r="C1250" s="42" t="s">
        <v>15107</v>
      </c>
      <c r="D1250" s="43" t="str">
        <f t="shared" si="44"/>
        <v>2022.005P.Secoviridae_rename.zip</v>
      </c>
    </row>
    <row r="1251" spans="1:4">
      <c r="A1251" s="24" t="s">
        <v>14822</v>
      </c>
      <c r="B1251" s="42" t="s">
        <v>15116</v>
      </c>
      <c r="C1251" s="42" t="s">
        <v>15115</v>
      </c>
      <c r="D1251" s="43" t="str">
        <f t="shared" si="44"/>
        <v>2022.005P.Secoviridae_rename.zip</v>
      </c>
    </row>
    <row r="1252" spans="1:4">
      <c r="A1252" s="24" t="s">
        <v>14822</v>
      </c>
      <c r="B1252" s="42" t="s">
        <v>15114</v>
      </c>
      <c r="C1252" s="42" t="s">
        <v>15113</v>
      </c>
      <c r="D1252" s="43" t="str">
        <f t="shared" si="44"/>
        <v>2022.005P.Secoviridae_rename.zip</v>
      </c>
    </row>
    <row r="1253" spans="1:4">
      <c r="A1253" s="24" t="s">
        <v>14822</v>
      </c>
      <c r="B1253" s="42" t="s">
        <v>15100</v>
      </c>
      <c r="C1253" s="42" t="s">
        <v>15099</v>
      </c>
      <c r="D1253" s="43" t="str">
        <f t="shared" ref="D1253:D1284" si="45">HYPERLINK("https://ictv.global/ictv/proposals/2022.005P.Secoviridae_rename.zip","2022.005P.Secoviridae_rename.zip")</f>
        <v>2022.005P.Secoviridae_rename.zip</v>
      </c>
    </row>
    <row r="1254" spans="1:4">
      <c r="A1254" s="24" t="s">
        <v>14822</v>
      </c>
      <c r="B1254" s="42" t="s">
        <v>15158</v>
      </c>
      <c r="C1254" s="42" t="s">
        <v>15157</v>
      </c>
      <c r="D1254" s="43" t="str">
        <f t="shared" si="45"/>
        <v>2022.005P.Secoviridae_rename.zip</v>
      </c>
    </row>
    <row r="1255" spans="1:4">
      <c r="A1255" s="24" t="s">
        <v>14822</v>
      </c>
      <c r="B1255" s="42" t="s">
        <v>15092</v>
      </c>
      <c r="C1255" s="42" t="s">
        <v>15091</v>
      </c>
      <c r="D1255" s="43" t="str">
        <f t="shared" si="45"/>
        <v>2022.005P.Secoviridae_rename.zip</v>
      </c>
    </row>
    <row r="1256" spans="1:4">
      <c r="A1256" s="24" t="s">
        <v>14822</v>
      </c>
      <c r="B1256" s="42" t="s">
        <v>15104</v>
      </c>
      <c r="C1256" s="42" t="s">
        <v>15103</v>
      </c>
      <c r="D1256" s="43" t="str">
        <f t="shared" si="45"/>
        <v>2022.005P.Secoviridae_rename.zip</v>
      </c>
    </row>
    <row r="1257" spans="1:4">
      <c r="A1257" s="24" t="s">
        <v>14822</v>
      </c>
      <c r="B1257" s="42" t="s">
        <v>15136</v>
      </c>
      <c r="C1257" s="42" t="s">
        <v>15135</v>
      </c>
      <c r="D1257" s="43" t="str">
        <f t="shared" si="45"/>
        <v>2022.005P.Secoviridae_rename.zip</v>
      </c>
    </row>
    <row r="1258" spans="1:4">
      <c r="A1258" s="24" t="s">
        <v>14822</v>
      </c>
      <c r="B1258" s="42" t="s">
        <v>15120</v>
      </c>
      <c r="C1258" s="42" t="s">
        <v>15119</v>
      </c>
      <c r="D1258" s="43" t="str">
        <f t="shared" si="45"/>
        <v>2022.005P.Secoviridae_rename.zip</v>
      </c>
    </row>
    <row r="1259" spans="1:4">
      <c r="A1259" s="24" t="s">
        <v>14822</v>
      </c>
      <c r="B1259" s="42" t="s">
        <v>15118</v>
      </c>
      <c r="C1259" s="42" t="s">
        <v>15117</v>
      </c>
      <c r="D1259" s="43" t="str">
        <f t="shared" si="45"/>
        <v>2022.005P.Secoviridae_rename.zip</v>
      </c>
    </row>
    <row r="1260" spans="1:4">
      <c r="A1260" s="24" t="s">
        <v>14822</v>
      </c>
      <c r="B1260" s="42" t="s">
        <v>15130</v>
      </c>
      <c r="C1260" s="42" t="s">
        <v>15129</v>
      </c>
      <c r="D1260" s="43" t="str">
        <f t="shared" si="45"/>
        <v>2022.005P.Secoviridae_rename.zip</v>
      </c>
    </row>
    <row r="1261" spans="1:4">
      <c r="A1261" s="24" t="s">
        <v>14822</v>
      </c>
      <c r="B1261" s="42" t="s">
        <v>15238</v>
      </c>
      <c r="C1261" s="42" t="s">
        <v>15237</v>
      </c>
      <c r="D1261" s="43" t="str">
        <f t="shared" si="45"/>
        <v>2022.005P.Secoviridae_rename.zip</v>
      </c>
    </row>
    <row r="1262" spans="1:4">
      <c r="A1262" s="24" t="s">
        <v>14822</v>
      </c>
      <c r="B1262" s="42" t="s">
        <v>15242</v>
      </c>
      <c r="C1262" s="42" t="s">
        <v>15241</v>
      </c>
      <c r="D1262" s="43" t="str">
        <f t="shared" si="45"/>
        <v>2022.005P.Secoviridae_rename.zip</v>
      </c>
    </row>
    <row r="1263" spans="1:4">
      <c r="A1263" s="24" t="s">
        <v>14822</v>
      </c>
      <c r="B1263" s="42" t="s">
        <v>15240</v>
      </c>
      <c r="C1263" s="42" t="s">
        <v>15239</v>
      </c>
      <c r="D1263" s="43" t="str">
        <f t="shared" si="45"/>
        <v>2022.005P.Secoviridae_rename.zip</v>
      </c>
    </row>
    <row r="1264" spans="1:4">
      <c r="A1264" s="24" t="s">
        <v>14822</v>
      </c>
      <c r="B1264" s="42" t="s">
        <v>15234</v>
      </c>
      <c r="C1264" s="42" t="s">
        <v>15233</v>
      </c>
      <c r="D1264" s="43" t="str">
        <f t="shared" si="45"/>
        <v>2022.005P.Secoviridae_rename.zip</v>
      </c>
    </row>
    <row r="1265" spans="1:4">
      <c r="A1265" s="24" t="s">
        <v>14822</v>
      </c>
      <c r="B1265" s="42" t="s">
        <v>15236</v>
      </c>
      <c r="C1265" s="42" t="s">
        <v>15235</v>
      </c>
      <c r="D1265" s="43" t="str">
        <f t="shared" si="45"/>
        <v>2022.005P.Secoviridae_rename.zip</v>
      </c>
    </row>
    <row r="1266" spans="1:4">
      <c r="A1266" s="24" t="s">
        <v>14822</v>
      </c>
      <c r="B1266" s="42" t="s">
        <v>15084</v>
      </c>
      <c r="C1266" s="42" t="s">
        <v>15083</v>
      </c>
      <c r="D1266" s="43" t="str">
        <f t="shared" si="45"/>
        <v>2022.005P.Secoviridae_rename.zip</v>
      </c>
    </row>
    <row r="1267" spans="1:4">
      <c r="A1267" s="24" t="s">
        <v>14822</v>
      </c>
      <c r="B1267" s="42" t="s">
        <v>15086</v>
      </c>
      <c r="C1267" s="42" t="s">
        <v>15085</v>
      </c>
      <c r="D1267" s="43" t="str">
        <f t="shared" si="45"/>
        <v>2022.005P.Secoviridae_rename.zip</v>
      </c>
    </row>
    <row r="1268" spans="1:4">
      <c r="A1268" s="24" t="s">
        <v>14822</v>
      </c>
      <c r="B1268" s="42" t="s">
        <v>15088</v>
      </c>
      <c r="C1268" s="42" t="s">
        <v>15087</v>
      </c>
      <c r="D1268" s="43" t="str">
        <f t="shared" si="45"/>
        <v>2022.005P.Secoviridae_rename.zip</v>
      </c>
    </row>
    <row r="1269" spans="1:4">
      <c r="A1269" s="24" t="s">
        <v>14822</v>
      </c>
      <c r="B1269" s="42" t="s">
        <v>15082</v>
      </c>
      <c r="C1269" s="42" t="s">
        <v>15081</v>
      </c>
      <c r="D1269" s="43" t="str">
        <f t="shared" si="45"/>
        <v>2022.005P.Secoviridae_rename.zip</v>
      </c>
    </row>
    <row r="1270" spans="1:4">
      <c r="A1270" s="24" t="s">
        <v>14822</v>
      </c>
      <c r="B1270" s="42" t="s">
        <v>15076</v>
      </c>
      <c r="C1270" s="42" t="s">
        <v>15075</v>
      </c>
      <c r="D1270" s="43" t="str">
        <f t="shared" si="45"/>
        <v>2022.005P.Secoviridae_rename.zip</v>
      </c>
    </row>
    <row r="1271" spans="1:4">
      <c r="A1271" s="24" t="s">
        <v>14822</v>
      </c>
      <c r="B1271" s="42" t="s">
        <v>15078</v>
      </c>
      <c r="C1271" s="42" t="s">
        <v>15077</v>
      </c>
      <c r="D1271" s="43" t="str">
        <f t="shared" si="45"/>
        <v>2022.005P.Secoviridae_rename.zip</v>
      </c>
    </row>
    <row r="1272" spans="1:4">
      <c r="A1272" s="24" t="s">
        <v>14822</v>
      </c>
      <c r="B1272" s="42" t="s">
        <v>15080</v>
      </c>
      <c r="C1272" s="42" t="s">
        <v>15079</v>
      </c>
      <c r="D1272" s="43" t="str">
        <f t="shared" si="45"/>
        <v>2022.005P.Secoviridae_rename.zip</v>
      </c>
    </row>
    <row r="1273" spans="1:4">
      <c r="A1273" s="24" t="s">
        <v>14822</v>
      </c>
      <c r="B1273" s="42" t="s">
        <v>15074</v>
      </c>
      <c r="C1273" s="42" t="s">
        <v>15073</v>
      </c>
      <c r="D1273" s="43" t="str">
        <f t="shared" si="45"/>
        <v>2022.005P.Secoviridae_rename.zip</v>
      </c>
    </row>
    <row r="1274" spans="1:4">
      <c r="A1274" s="24" t="s">
        <v>14822</v>
      </c>
      <c r="B1274" s="42" t="s">
        <v>15068</v>
      </c>
      <c r="C1274" s="42" t="s">
        <v>15067</v>
      </c>
      <c r="D1274" s="43" t="str">
        <f t="shared" si="45"/>
        <v>2022.005P.Secoviridae_rename.zip</v>
      </c>
    </row>
    <row r="1275" spans="1:4">
      <c r="A1275" s="24" t="s">
        <v>14822</v>
      </c>
      <c r="B1275" s="42" t="s">
        <v>15072</v>
      </c>
      <c r="C1275" s="42" t="s">
        <v>15071</v>
      </c>
      <c r="D1275" s="43" t="str">
        <f t="shared" si="45"/>
        <v>2022.005P.Secoviridae_rename.zip</v>
      </c>
    </row>
    <row r="1276" spans="1:4">
      <c r="A1276" s="24" t="s">
        <v>14822</v>
      </c>
      <c r="B1276" s="42" t="s">
        <v>15070</v>
      </c>
      <c r="C1276" s="42" t="s">
        <v>15069</v>
      </c>
      <c r="D1276" s="43" t="str">
        <f t="shared" si="45"/>
        <v>2022.005P.Secoviridae_rename.zip</v>
      </c>
    </row>
    <row r="1277" spans="1:4">
      <c r="A1277" s="24" t="s">
        <v>14822</v>
      </c>
      <c r="B1277" s="42" t="s">
        <v>15064</v>
      </c>
      <c r="C1277" s="42" t="s">
        <v>15063</v>
      </c>
      <c r="D1277" s="43" t="str">
        <f t="shared" si="45"/>
        <v>2022.005P.Secoviridae_rename.zip</v>
      </c>
    </row>
    <row r="1278" spans="1:4">
      <c r="A1278" s="24" t="s">
        <v>14822</v>
      </c>
      <c r="B1278" s="42" t="s">
        <v>15066</v>
      </c>
      <c r="C1278" s="42" t="s">
        <v>15065</v>
      </c>
      <c r="D1278" s="43" t="str">
        <f t="shared" si="45"/>
        <v>2022.005P.Secoviridae_rename.zip</v>
      </c>
    </row>
    <row r="1279" spans="1:4">
      <c r="A1279" s="24" t="s">
        <v>14822</v>
      </c>
      <c r="B1279" s="42" t="s">
        <v>15060</v>
      </c>
      <c r="C1279" s="42" t="s">
        <v>15059</v>
      </c>
      <c r="D1279" s="43" t="str">
        <f t="shared" si="45"/>
        <v>2022.005P.Secoviridae_rename.zip</v>
      </c>
    </row>
    <row r="1280" spans="1:4">
      <c r="A1280" s="24" t="s">
        <v>14822</v>
      </c>
      <c r="B1280" s="42" t="s">
        <v>15056</v>
      </c>
      <c r="C1280" s="42" t="s">
        <v>15055</v>
      </c>
      <c r="D1280" s="43" t="str">
        <f t="shared" si="45"/>
        <v>2022.005P.Secoviridae_rename.zip</v>
      </c>
    </row>
    <row r="1281" spans="1:4">
      <c r="A1281" s="24" t="s">
        <v>14822</v>
      </c>
      <c r="B1281" s="42" t="s">
        <v>15062</v>
      </c>
      <c r="C1281" s="42" t="s">
        <v>15061</v>
      </c>
      <c r="D1281" s="43" t="str">
        <f t="shared" si="45"/>
        <v>2022.005P.Secoviridae_rename.zip</v>
      </c>
    </row>
    <row r="1282" spans="1:4">
      <c r="A1282" s="24" t="s">
        <v>14822</v>
      </c>
      <c r="B1282" s="42" t="s">
        <v>15058</v>
      </c>
      <c r="C1282" s="42" t="s">
        <v>15057</v>
      </c>
      <c r="D1282" s="43" t="str">
        <f t="shared" si="45"/>
        <v>2022.005P.Secoviridae_rename.zip</v>
      </c>
    </row>
    <row r="1283" spans="1:4">
      <c r="A1283" s="24" t="s">
        <v>14822</v>
      </c>
      <c r="B1283" s="42" t="s">
        <v>15052</v>
      </c>
      <c r="C1283" s="42" t="s">
        <v>15051</v>
      </c>
      <c r="D1283" s="43" t="str">
        <f t="shared" si="45"/>
        <v>2022.005P.Secoviridae_rename.zip</v>
      </c>
    </row>
    <row r="1284" spans="1:4">
      <c r="A1284" s="24" t="s">
        <v>14822</v>
      </c>
      <c r="B1284" s="42" t="s">
        <v>15054</v>
      </c>
      <c r="C1284" s="42" t="s">
        <v>15053</v>
      </c>
      <c r="D1284" s="43" t="str">
        <f t="shared" si="45"/>
        <v>2022.005P.Secoviridae_rename.zip</v>
      </c>
    </row>
    <row r="1285" spans="1:4">
      <c r="A1285" s="24" t="s">
        <v>14822</v>
      </c>
      <c r="B1285" s="42" t="s">
        <v>15048</v>
      </c>
      <c r="C1285" s="42" t="s">
        <v>15047</v>
      </c>
      <c r="D1285" s="43" t="str">
        <f t="shared" ref="D1285:D1294" si="46">HYPERLINK("https://ictv.global/ictv/proposals/2022.005P.Secoviridae_rename.zip","2022.005P.Secoviridae_rename.zip")</f>
        <v>2022.005P.Secoviridae_rename.zip</v>
      </c>
    </row>
    <row r="1286" spans="1:4">
      <c r="A1286" s="24" t="s">
        <v>14822</v>
      </c>
      <c r="B1286" s="42" t="s">
        <v>15044</v>
      </c>
      <c r="C1286" s="42" t="s">
        <v>15043</v>
      </c>
      <c r="D1286" s="43" t="str">
        <f t="shared" si="46"/>
        <v>2022.005P.Secoviridae_rename.zip</v>
      </c>
    </row>
    <row r="1287" spans="1:4">
      <c r="A1287" s="24" t="s">
        <v>14822</v>
      </c>
      <c r="B1287" s="42" t="s">
        <v>15032</v>
      </c>
      <c r="C1287" s="42" t="s">
        <v>15031</v>
      </c>
      <c r="D1287" s="43" t="str">
        <f t="shared" si="46"/>
        <v>2022.005P.Secoviridae_rename.zip</v>
      </c>
    </row>
    <row r="1288" spans="1:4">
      <c r="A1288" s="24" t="s">
        <v>14822</v>
      </c>
      <c r="B1288" s="42" t="s">
        <v>15038</v>
      </c>
      <c r="C1288" s="42" t="s">
        <v>15037</v>
      </c>
      <c r="D1288" s="43" t="str">
        <f t="shared" si="46"/>
        <v>2022.005P.Secoviridae_rename.zip</v>
      </c>
    </row>
    <row r="1289" spans="1:4">
      <c r="A1289" s="24" t="s">
        <v>14822</v>
      </c>
      <c r="B1289" s="42" t="s">
        <v>15050</v>
      </c>
      <c r="C1289" s="42" t="s">
        <v>15049</v>
      </c>
      <c r="D1289" s="43" t="str">
        <f t="shared" si="46"/>
        <v>2022.005P.Secoviridae_rename.zip</v>
      </c>
    </row>
    <row r="1290" spans="1:4">
      <c r="A1290" s="24" t="s">
        <v>14822</v>
      </c>
      <c r="B1290" s="42" t="s">
        <v>15036</v>
      </c>
      <c r="C1290" s="42" t="s">
        <v>15035</v>
      </c>
      <c r="D1290" s="43" t="str">
        <f t="shared" si="46"/>
        <v>2022.005P.Secoviridae_rename.zip</v>
      </c>
    </row>
    <row r="1291" spans="1:4">
      <c r="A1291" s="24" t="s">
        <v>14822</v>
      </c>
      <c r="B1291" s="42" t="s">
        <v>15046</v>
      </c>
      <c r="C1291" s="42" t="s">
        <v>15045</v>
      </c>
      <c r="D1291" s="43" t="str">
        <f t="shared" si="46"/>
        <v>2022.005P.Secoviridae_rename.zip</v>
      </c>
    </row>
    <row r="1292" spans="1:4">
      <c r="A1292" s="24" t="s">
        <v>14822</v>
      </c>
      <c r="B1292" s="42" t="s">
        <v>15040</v>
      </c>
      <c r="C1292" s="42" t="s">
        <v>15039</v>
      </c>
      <c r="D1292" s="43" t="str">
        <f t="shared" si="46"/>
        <v>2022.005P.Secoviridae_rename.zip</v>
      </c>
    </row>
    <row r="1293" spans="1:4">
      <c r="A1293" s="24" t="s">
        <v>14822</v>
      </c>
      <c r="B1293" s="42" t="s">
        <v>15042</v>
      </c>
      <c r="C1293" s="42" t="s">
        <v>15041</v>
      </c>
      <c r="D1293" s="43" t="str">
        <f t="shared" si="46"/>
        <v>2022.005P.Secoviridae_rename.zip</v>
      </c>
    </row>
    <row r="1294" spans="1:4">
      <c r="A1294" s="24" t="s">
        <v>14822</v>
      </c>
      <c r="B1294" s="42" t="s">
        <v>15034</v>
      </c>
      <c r="C1294" s="42" t="s">
        <v>15033</v>
      </c>
      <c r="D1294" s="43" t="str">
        <f t="shared" si="46"/>
        <v>2022.005P.Secoviridae_rename.zip</v>
      </c>
    </row>
    <row r="1295" spans="1:4">
      <c r="A1295" s="24" t="s">
        <v>14822</v>
      </c>
      <c r="B1295" s="42" t="s">
        <v>16876</v>
      </c>
      <c r="C1295" s="42" t="s">
        <v>16875</v>
      </c>
      <c r="D1295" s="43" t="str">
        <f t="shared" ref="D1295:D1305" si="47">HYPERLINK("https://ictv.global/ictv/proposals/2022.004M.Birnaviridae_sprenamed.zip","2022.004M.Birnaviridae_sprenamed.zip")</f>
        <v>2022.004M.Birnaviridae_sprenamed.zip</v>
      </c>
    </row>
    <row r="1296" spans="1:4">
      <c r="A1296" s="24" t="s">
        <v>14822</v>
      </c>
      <c r="B1296" s="42" t="s">
        <v>16874</v>
      </c>
      <c r="C1296" s="42" t="s">
        <v>16873</v>
      </c>
      <c r="D1296" s="43" t="str">
        <f t="shared" si="47"/>
        <v>2022.004M.Birnaviridae_sprenamed.zip</v>
      </c>
    </row>
    <row r="1297" spans="1:4">
      <c r="A1297" s="24" t="s">
        <v>14822</v>
      </c>
      <c r="B1297" s="42" t="s">
        <v>16878</v>
      </c>
      <c r="C1297" s="42" t="s">
        <v>16877</v>
      </c>
      <c r="D1297" s="43" t="str">
        <f t="shared" si="47"/>
        <v>2022.004M.Birnaviridae_sprenamed.zip</v>
      </c>
    </row>
    <row r="1298" spans="1:4">
      <c r="A1298" s="24" t="s">
        <v>14822</v>
      </c>
      <c r="B1298" s="42" t="s">
        <v>16872</v>
      </c>
      <c r="C1298" s="42" t="s">
        <v>16871</v>
      </c>
      <c r="D1298" s="43" t="str">
        <f t="shared" si="47"/>
        <v>2022.004M.Birnaviridae_sprenamed.zip</v>
      </c>
    </row>
    <row r="1299" spans="1:4">
      <c r="A1299" s="24" t="s">
        <v>14822</v>
      </c>
      <c r="B1299" s="42" t="s">
        <v>16870</v>
      </c>
      <c r="C1299" s="42" t="s">
        <v>16869</v>
      </c>
      <c r="D1299" s="43" t="str">
        <f t="shared" si="47"/>
        <v>2022.004M.Birnaviridae_sprenamed.zip</v>
      </c>
    </row>
    <row r="1300" spans="1:4">
      <c r="A1300" s="24" t="s">
        <v>14822</v>
      </c>
      <c r="B1300" s="42" t="s">
        <v>16868</v>
      </c>
      <c r="C1300" s="42" t="s">
        <v>16867</v>
      </c>
      <c r="D1300" s="43" t="str">
        <f t="shared" si="47"/>
        <v>2022.004M.Birnaviridae_sprenamed.zip</v>
      </c>
    </row>
    <row r="1301" spans="1:4">
      <c r="A1301" s="24" t="s">
        <v>14822</v>
      </c>
      <c r="B1301" s="42" t="s">
        <v>16866</v>
      </c>
      <c r="C1301" s="42" t="s">
        <v>16865</v>
      </c>
      <c r="D1301" s="43" t="str">
        <f t="shared" si="47"/>
        <v>2022.004M.Birnaviridae_sprenamed.zip</v>
      </c>
    </row>
    <row r="1302" spans="1:4">
      <c r="A1302" s="24" t="s">
        <v>14822</v>
      </c>
      <c r="B1302" s="42" t="s">
        <v>16862</v>
      </c>
      <c r="C1302" s="42" t="s">
        <v>16861</v>
      </c>
      <c r="D1302" s="43" t="str">
        <f t="shared" si="47"/>
        <v>2022.004M.Birnaviridae_sprenamed.zip</v>
      </c>
    </row>
    <row r="1303" spans="1:4">
      <c r="A1303" s="24" t="s">
        <v>14822</v>
      </c>
      <c r="B1303" s="42" t="s">
        <v>16864</v>
      </c>
      <c r="C1303" s="42" t="s">
        <v>16863</v>
      </c>
      <c r="D1303" s="43" t="str">
        <f t="shared" si="47"/>
        <v>2022.004M.Birnaviridae_sprenamed.zip</v>
      </c>
    </row>
    <row r="1304" spans="1:4">
      <c r="A1304" s="24" t="s">
        <v>14822</v>
      </c>
      <c r="B1304" s="42" t="s">
        <v>16860</v>
      </c>
      <c r="C1304" s="42" t="s">
        <v>16859</v>
      </c>
      <c r="D1304" s="43" t="str">
        <f t="shared" si="47"/>
        <v>2022.004M.Birnaviridae_sprenamed.zip</v>
      </c>
    </row>
    <row r="1305" spans="1:4">
      <c r="A1305" s="24" t="s">
        <v>14822</v>
      </c>
      <c r="B1305" s="42" t="s">
        <v>16858</v>
      </c>
      <c r="C1305" s="42" t="s">
        <v>16857</v>
      </c>
      <c r="D1305" s="43" t="str">
        <f t="shared" si="47"/>
        <v>2022.004M.Birnaviridae_sprenamed.zip</v>
      </c>
    </row>
    <row r="1306" spans="1:4">
      <c r="A1306" s="24" t="s">
        <v>14822</v>
      </c>
      <c r="B1306" s="42" t="s">
        <v>15030</v>
      </c>
      <c r="C1306" s="42" t="s">
        <v>15029</v>
      </c>
      <c r="D1306" s="43" t="str">
        <f t="shared" ref="D1306:D1337" si="48">HYPERLINK("https://ictv.global/ictv/proposals/2022.008P.Caulimoviridae_rename.zip","2022.008P.Caulimoviridae_rename.zip")</f>
        <v>2022.008P.Caulimoviridae_rename.zip</v>
      </c>
    </row>
    <row r="1307" spans="1:4">
      <c r="A1307" s="24" t="s">
        <v>14822</v>
      </c>
      <c r="B1307" s="42" t="s">
        <v>14950</v>
      </c>
      <c r="C1307" s="42" t="s">
        <v>14949</v>
      </c>
      <c r="D1307" s="43" t="str">
        <f t="shared" si="48"/>
        <v>2022.008P.Caulimoviridae_rename.zip</v>
      </c>
    </row>
    <row r="1308" spans="1:4">
      <c r="A1308" s="24" t="s">
        <v>14822</v>
      </c>
      <c r="B1308" s="42" t="s">
        <v>14936</v>
      </c>
      <c r="C1308" s="42" t="s">
        <v>14935</v>
      </c>
      <c r="D1308" s="43" t="str">
        <f t="shared" si="48"/>
        <v>2022.008P.Caulimoviridae_rename.zip</v>
      </c>
    </row>
    <row r="1309" spans="1:4">
      <c r="A1309" s="24" t="s">
        <v>14822</v>
      </c>
      <c r="B1309" s="42" t="s">
        <v>15016</v>
      </c>
      <c r="C1309" s="42" t="s">
        <v>15015</v>
      </c>
      <c r="D1309" s="43" t="str">
        <f t="shared" si="48"/>
        <v>2022.008P.Caulimoviridae_rename.zip</v>
      </c>
    </row>
    <row r="1310" spans="1:4">
      <c r="A1310" s="24" t="s">
        <v>14822</v>
      </c>
      <c r="B1310" s="42" t="s">
        <v>15002</v>
      </c>
      <c r="C1310" s="42" t="s">
        <v>15001</v>
      </c>
      <c r="D1310" s="43" t="str">
        <f t="shared" si="48"/>
        <v>2022.008P.Caulimoviridae_rename.zip</v>
      </c>
    </row>
    <row r="1311" spans="1:4">
      <c r="A1311" s="24" t="s">
        <v>14822</v>
      </c>
      <c r="B1311" s="42" t="s">
        <v>14970</v>
      </c>
      <c r="C1311" s="42" t="s">
        <v>14969</v>
      </c>
      <c r="D1311" s="43" t="str">
        <f t="shared" si="48"/>
        <v>2022.008P.Caulimoviridae_rename.zip</v>
      </c>
    </row>
    <row r="1312" spans="1:4">
      <c r="A1312" s="24" t="s">
        <v>14822</v>
      </c>
      <c r="B1312" s="42" t="s">
        <v>14992</v>
      </c>
      <c r="C1312" s="42" t="s">
        <v>14991</v>
      </c>
      <c r="D1312" s="43" t="str">
        <f t="shared" si="48"/>
        <v>2022.008P.Caulimoviridae_rename.zip</v>
      </c>
    </row>
    <row r="1313" spans="1:4">
      <c r="A1313" s="24" t="s">
        <v>14822</v>
      </c>
      <c r="B1313" s="42" t="s">
        <v>14986</v>
      </c>
      <c r="C1313" s="42" t="s">
        <v>14985</v>
      </c>
      <c r="D1313" s="43" t="str">
        <f t="shared" si="48"/>
        <v>2022.008P.Caulimoviridae_rename.zip</v>
      </c>
    </row>
    <row r="1314" spans="1:4">
      <c r="A1314" s="24" t="s">
        <v>14822</v>
      </c>
      <c r="B1314" s="42" t="s">
        <v>14896</v>
      </c>
      <c r="C1314" s="42" t="s">
        <v>14895</v>
      </c>
      <c r="D1314" s="43" t="str">
        <f t="shared" si="48"/>
        <v>2022.008P.Caulimoviridae_rename.zip</v>
      </c>
    </row>
    <row r="1315" spans="1:4">
      <c r="A1315" s="24" t="s">
        <v>14822</v>
      </c>
      <c r="B1315" s="42" t="s">
        <v>14980</v>
      </c>
      <c r="C1315" s="42" t="s">
        <v>14979</v>
      </c>
      <c r="D1315" s="43" t="str">
        <f t="shared" si="48"/>
        <v>2022.008P.Caulimoviridae_rename.zip</v>
      </c>
    </row>
    <row r="1316" spans="1:4">
      <c r="A1316" s="24" t="s">
        <v>14822</v>
      </c>
      <c r="B1316" s="42" t="s">
        <v>14920</v>
      </c>
      <c r="C1316" s="42" t="s">
        <v>14919</v>
      </c>
      <c r="D1316" s="43" t="str">
        <f t="shared" si="48"/>
        <v>2022.008P.Caulimoviridae_rename.zip</v>
      </c>
    </row>
    <row r="1317" spans="1:4">
      <c r="A1317" s="24" t="s">
        <v>14822</v>
      </c>
      <c r="B1317" s="42" t="s">
        <v>14968</v>
      </c>
      <c r="C1317" s="42" t="s">
        <v>14967</v>
      </c>
      <c r="D1317" s="43" t="str">
        <f t="shared" si="48"/>
        <v>2022.008P.Caulimoviridae_rename.zip</v>
      </c>
    </row>
    <row r="1318" spans="1:4">
      <c r="A1318" s="24" t="s">
        <v>14822</v>
      </c>
      <c r="B1318" s="42" t="s">
        <v>14904</v>
      </c>
      <c r="C1318" s="42" t="s">
        <v>14903</v>
      </c>
      <c r="D1318" s="43" t="str">
        <f t="shared" si="48"/>
        <v>2022.008P.Caulimoviridae_rename.zip</v>
      </c>
    </row>
    <row r="1319" spans="1:4">
      <c r="A1319" s="24" t="s">
        <v>14822</v>
      </c>
      <c r="B1319" s="42" t="s">
        <v>14942</v>
      </c>
      <c r="C1319" s="42" t="s">
        <v>14941</v>
      </c>
      <c r="D1319" s="43" t="str">
        <f t="shared" si="48"/>
        <v>2022.008P.Caulimoviridae_rename.zip</v>
      </c>
    </row>
    <row r="1320" spans="1:4">
      <c r="A1320" s="24" t="s">
        <v>14822</v>
      </c>
      <c r="B1320" s="42" t="s">
        <v>14918</v>
      </c>
      <c r="C1320" s="42" t="s">
        <v>14917</v>
      </c>
      <c r="D1320" s="43" t="str">
        <f t="shared" si="48"/>
        <v>2022.008P.Caulimoviridae_rename.zip</v>
      </c>
    </row>
    <row r="1321" spans="1:4">
      <c r="A1321" s="24" t="s">
        <v>14822</v>
      </c>
      <c r="B1321" s="42" t="s">
        <v>14922</v>
      </c>
      <c r="C1321" s="42" t="s">
        <v>14921</v>
      </c>
      <c r="D1321" s="43" t="str">
        <f t="shared" si="48"/>
        <v>2022.008P.Caulimoviridae_rename.zip</v>
      </c>
    </row>
    <row r="1322" spans="1:4">
      <c r="A1322" s="24" t="s">
        <v>14822</v>
      </c>
      <c r="B1322" s="42" t="s">
        <v>14928</v>
      </c>
      <c r="C1322" s="42" t="s">
        <v>14927</v>
      </c>
      <c r="D1322" s="43" t="str">
        <f t="shared" si="48"/>
        <v>2022.008P.Caulimoviridae_rename.zip</v>
      </c>
    </row>
    <row r="1323" spans="1:4">
      <c r="A1323" s="24" t="s">
        <v>14822</v>
      </c>
      <c r="B1323" s="42" t="s">
        <v>15024</v>
      </c>
      <c r="C1323" s="42" t="s">
        <v>15023</v>
      </c>
      <c r="D1323" s="43" t="str">
        <f t="shared" si="48"/>
        <v>2022.008P.Caulimoviridae_rename.zip</v>
      </c>
    </row>
    <row r="1324" spans="1:4">
      <c r="A1324" s="24" t="s">
        <v>14822</v>
      </c>
      <c r="B1324" s="42" t="s">
        <v>15010</v>
      </c>
      <c r="C1324" s="42" t="s">
        <v>15009</v>
      </c>
      <c r="D1324" s="43" t="str">
        <f t="shared" si="48"/>
        <v>2022.008P.Caulimoviridae_rename.zip</v>
      </c>
    </row>
    <row r="1325" spans="1:4">
      <c r="A1325" s="24" t="s">
        <v>14822</v>
      </c>
      <c r="B1325" s="42" t="s">
        <v>14974</v>
      </c>
      <c r="C1325" s="42" t="s">
        <v>14973</v>
      </c>
      <c r="D1325" s="43" t="str">
        <f t="shared" si="48"/>
        <v>2022.008P.Caulimoviridae_rename.zip</v>
      </c>
    </row>
    <row r="1326" spans="1:4">
      <c r="A1326" s="24" t="s">
        <v>14822</v>
      </c>
      <c r="B1326" s="42" t="s">
        <v>14996</v>
      </c>
      <c r="C1326" s="42" t="s">
        <v>14995</v>
      </c>
      <c r="D1326" s="43" t="str">
        <f t="shared" si="48"/>
        <v>2022.008P.Caulimoviridae_rename.zip</v>
      </c>
    </row>
    <row r="1327" spans="1:4">
      <c r="A1327" s="24" t="s">
        <v>14822</v>
      </c>
      <c r="B1327" s="42" t="s">
        <v>14988</v>
      </c>
      <c r="C1327" s="42" t="s">
        <v>14987</v>
      </c>
      <c r="D1327" s="43" t="str">
        <f t="shared" si="48"/>
        <v>2022.008P.Caulimoviridae_rename.zip</v>
      </c>
    </row>
    <row r="1328" spans="1:4">
      <c r="A1328" s="24" t="s">
        <v>14822</v>
      </c>
      <c r="B1328" s="42" t="s">
        <v>14898</v>
      </c>
      <c r="C1328" s="42" t="s">
        <v>14897</v>
      </c>
      <c r="D1328" s="43" t="str">
        <f t="shared" si="48"/>
        <v>2022.008P.Caulimoviridae_rename.zip</v>
      </c>
    </row>
    <row r="1329" spans="1:4">
      <c r="A1329" s="24" t="s">
        <v>14822</v>
      </c>
      <c r="B1329" s="42" t="s">
        <v>14982</v>
      </c>
      <c r="C1329" s="42" t="s">
        <v>14981</v>
      </c>
      <c r="D1329" s="43" t="str">
        <f t="shared" si="48"/>
        <v>2022.008P.Caulimoviridae_rename.zip</v>
      </c>
    </row>
    <row r="1330" spans="1:4">
      <c r="A1330" s="24" t="s">
        <v>14822</v>
      </c>
      <c r="B1330" s="42" t="s">
        <v>14912</v>
      </c>
      <c r="C1330" s="42" t="s">
        <v>14911</v>
      </c>
      <c r="D1330" s="43" t="str">
        <f t="shared" si="48"/>
        <v>2022.008P.Caulimoviridae_rename.zip</v>
      </c>
    </row>
    <row r="1331" spans="1:4">
      <c r="A1331" s="24" t="s">
        <v>14822</v>
      </c>
      <c r="B1331" s="42" t="s">
        <v>14938</v>
      </c>
      <c r="C1331" s="42" t="s">
        <v>14937</v>
      </c>
      <c r="D1331" s="43" t="str">
        <f t="shared" si="48"/>
        <v>2022.008P.Caulimoviridae_rename.zip</v>
      </c>
    </row>
    <row r="1332" spans="1:4">
      <c r="A1332" s="24" t="s">
        <v>14822</v>
      </c>
      <c r="B1332" s="42" t="s">
        <v>15022</v>
      </c>
      <c r="C1332" s="42" t="s">
        <v>15021</v>
      </c>
      <c r="D1332" s="43" t="str">
        <f t="shared" si="48"/>
        <v>2022.008P.Caulimoviridae_rename.zip</v>
      </c>
    </row>
    <row r="1333" spans="1:4">
      <c r="A1333" s="24" t="s">
        <v>14822</v>
      </c>
      <c r="B1333" s="42" t="s">
        <v>15008</v>
      </c>
      <c r="C1333" s="42" t="s">
        <v>15007</v>
      </c>
      <c r="D1333" s="43" t="str">
        <f t="shared" si="48"/>
        <v>2022.008P.Caulimoviridae_rename.zip</v>
      </c>
    </row>
    <row r="1334" spans="1:4">
      <c r="A1334" s="24" t="s">
        <v>14822</v>
      </c>
      <c r="B1334" s="42" t="s">
        <v>14934</v>
      </c>
      <c r="C1334" s="42" t="s">
        <v>14933</v>
      </c>
      <c r="D1334" s="43" t="str">
        <f t="shared" si="48"/>
        <v>2022.008P.Caulimoviridae_rename.zip</v>
      </c>
    </row>
    <row r="1335" spans="1:4">
      <c r="A1335" s="24" t="s">
        <v>14822</v>
      </c>
      <c r="B1335" s="42" t="s">
        <v>14916</v>
      </c>
      <c r="C1335" s="42" t="s">
        <v>14915</v>
      </c>
      <c r="D1335" s="43" t="str">
        <f t="shared" si="48"/>
        <v>2022.008P.Caulimoviridae_rename.zip</v>
      </c>
    </row>
    <row r="1336" spans="1:4">
      <c r="A1336" s="24" t="s">
        <v>14822</v>
      </c>
      <c r="B1336" s="42" t="s">
        <v>14966</v>
      </c>
      <c r="C1336" s="42" t="s">
        <v>14965</v>
      </c>
      <c r="D1336" s="43" t="str">
        <f t="shared" si="48"/>
        <v>2022.008P.Caulimoviridae_rename.zip</v>
      </c>
    </row>
    <row r="1337" spans="1:4">
      <c r="A1337" s="24" t="s">
        <v>14822</v>
      </c>
      <c r="B1337" s="42" t="s">
        <v>14946</v>
      </c>
      <c r="C1337" s="42" t="s">
        <v>14945</v>
      </c>
      <c r="D1337" s="43" t="str">
        <f t="shared" si="48"/>
        <v>2022.008P.Caulimoviridae_rename.zip</v>
      </c>
    </row>
    <row r="1338" spans="1:4">
      <c r="A1338" s="24" t="s">
        <v>14822</v>
      </c>
      <c r="B1338" s="42" t="s">
        <v>15026</v>
      </c>
      <c r="C1338" s="42" t="s">
        <v>15025</v>
      </c>
      <c r="D1338" s="43" t="str">
        <f t="shared" ref="D1338:D1369" si="49">HYPERLINK("https://ictv.global/ictv/proposals/2022.008P.Caulimoviridae_rename.zip","2022.008P.Caulimoviridae_rename.zip")</f>
        <v>2022.008P.Caulimoviridae_rename.zip</v>
      </c>
    </row>
    <row r="1339" spans="1:4">
      <c r="A1339" s="24" t="s">
        <v>14822</v>
      </c>
      <c r="B1339" s="42" t="s">
        <v>15012</v>
      </c>
      <c r="C1339" s="42" t="s">
        <v>15011</v>
      </c>
      <c r="D1339" s="43" t="str">
        <f t="shared" si="49"/>
        <v>2022.008P.Caulimoviridae_rename.zip</v>
      </c>
    </row>
    <row r="1340" spans="1:4">
      <c r="A1340" s="24" t="s">
        <v>14822</v>
      </c>
      <c r="B1340" s="42" t="s">
        <v>14976</v>
      </c>
      <c r="C1340" s="42" t="s">
        <v>14975</v>
      </c>
      <c r="D1340" s="43" t="str">
        <f t="shared" si="49"/>
        <v>2022.008P.Caulimoviridae_rename.zip</v>
      </c>
    </row>
    <row r="1341" spans="1:4">
      <c r="A1341" s="24" t="s">
        <v>14822</v>
      </c>
      <c r="B1341" s="42" t="s">
        <v>14998</v>
      </c>
      <c r="C1341" s="42" t="s">
        <v>14997</v>
      </c>
      <c r="D1341" s="43" t="str">
        <f t="shared" si="49"/>
        <v>2022.008P.Caulimoviridae_rename.zip</v>
      </c>
    </row>
    <row r="1342" spans="1:4">
      <c r="A1342" s="24" t="s">
        <v>14822</v>
      </c>
      <c r="B1342" s="42" t="s">
        <v>14990</v>
      </c>
      <c r="C1342" s="42" t="s">
        <v>14989</v>
      </c>
      <c r="D1342" s="43" t="str">
        <f t="shared" si="49"/>
        <v>2022.008P.Caulimoviridae_rename.zip</v>
      </c>
    </row>
    <row r="1343" spans="1:4">
      <c r="A1343" s="24" t="s">
        <v>14822</v>
      </c>
      <c r="B1343" s="42" t="s">
        <v>14900</v>
      </c>
      <c r="C1343" s="42" t="s">
        <v>14899</v>
      </c>
      <c r="D1343" s="43" t="str">
        <f t="shared" si="49"/>
        <v>2022.008P.Caulimoviridae_rename.zip</v>
      </c>
    </row>
    <row r="1344" spans="1:4">
      <c r="A1344" s="24" t="s">
        <v>14822</v>
      </c>
      <c r="B1344" s="42" t="s">
        <v>14984</v>
      </c>
      <c r="C1344" s="42" t="s">
        <v>14983</v>
      </c>
      <c r="D1344" s="43" t="str">
        <f t="shared" si="49"/>
        <v>2022.008P.Caulimoviridae_rename.zip</v>
      </c>
    </row>
    <row r="1345" spans="1:4">
      <c r="A1345" s="24" t="s">
        <v>14822</v>
      </c>
      <c r="B1345" s="42" t="s">
        <v>14924</v>
      </c>
      <c r="C1345" s="42" t="s">
        <v>14923</v>
      </c>
      <c r="D1345" s="43" t="str">
        <f t="shared" si="49"/>
        <v>2022.008P.Caulimoviridae_rename.zip</v>
      </c>
    </row>
    <row r="1346" spans="1:4">
      <c r="A1346" s="24" t="s">
        <v>14822</v>
      </c>
      <c r="B1346" s="42" t="s">
        <v>14964</v>
      </c>
      <c r="C1346" s="42" t="s">
        <v>14963</v>
      </c>
      <c r="D1346" s="43" t="str">
        <f t="shared" si="49"/>
        <v>2022.008P.Caulimoviridae_rename.zip</v>
      </c>
    </row>
    <row r="1347" spans="1:4">
      <c r="A1347" s="24" t="s">
        <v>14822</v>
      </c>
      <c r="B1347" s="42" t="s">
        <v>14962</v>
      </c>
      <c r="C1347" s="42" t="s">
        <v>14961</v>
      </c>
      <c r="D1347" s="43" t="str">
        <f t="shared" si="49"/>
        <v>2022.008P.Caulimoviridae_rename.zip</v>
      </c>
    </row>
    <row r="1348" spans="1:4">
      <c r="A1348" s="24" t="s">
        <v>14822</v>
      </c>
      <c r="B1348" s="42" t="s">
        <v>14978</v>
      </c>
      <c r="C1348" s="42" t="s">
        <v>14977</v>
      </c>
      <c r="D1348" s="43" t="str">
        <f t="shared" si="49"/>
        <v>2022.008P.Caulimoviridae_rename.zip</v>
      </c>
    </row>
    <row r="1349" spans="1:4">
      <c r="A1349" s="24" t="s">
        <v>14822</v>
      </c>
      <c r="B1349" s="42" t="s">
        <v>14914</v>
      </c>
      <c r="C1349" s="42" t="s">
        <v>14913</v>
      </c>
      <c r="D1349" s="43" t="str">
        <f t="shared" si="49"/>
        <v>2022.008P.Caulimoviridae_rename.zip</v>
      </c>
    </row>
    <row r="1350" spans="1:4">
      <c r="A1350" s="24" t="s">
        <v>14822</v>
      </c>
      <c r="B1350" s="42" t="s">
        <v>14906</v>
      </c>
      <c r="C1350" s="42" t="s">
        <v>14905</v>
      </c>
      <c r="D1350" s="43" t="str">
        <f t="shared" si="49"/>
        <v>2022.008P.Caulimoviridae_rename.zip</v>
      </c>
    </row>
    <row r="1351" spans="1:4">
      <c r="A1351" s="24" t="s">
        <v>14822</v>
      </c>
      <c r="B1351" s="42" t="s">
        <v>15000</v>
      </c>
      <c r="C1351" s="42" t="s">
        <v>14999</v>
      </c>
      <c r="D1351" s="43" t="str">
        <f t="shared" si="49"/>
        <v>2022.008P.Caulimoviridae_rename.zip</v>
      </c>
    </row>
    <row r="1352" spans="1:4">
      <c r="A1352" s="24" t="s">
        <v>14822</v>
      </c>
      <c r="B1352" s="42" t="s">
        <v>14910</v>
      </c>
      <c r="C1352" s="42" t="s">
        <v>14909</v>
      </c>
      <c r="D1352" s="43" t="str">
        <f t="shared" si="49"/>
        <v>2022.008P.Caulimoviridae_rename.zip</v>
      </c>
    </row>
    <row r="1353" spans="1:4">
      <c r="A1353" s="24" t="s">
        <v>14822</v>
      </c>
      <c r="B1353" s="42" t="s">
        <v>14908</v>
      </c>
      <c r="C1353" s="42" t="s">
        <v>14907</v>
      </c>
      <c r="D1353" s="43" t="str">
        <f t="shared" si="49"/>
        <v>2022.008P.Caulimoviridae_rename.zip</v>
      </c>
    </row>
    <row r="1354" spans="1:4">
      <c r="A1354" s="24" t="s">
        <v>14822</v>
      </c>
      <c r="B1354" s="42" t="s">
        <v>14960</v>
      </c>
      <c r="C1354" s="42" t="s">
        <v>14959</v>
      </c>
      <c r="D1354" s="43" t="str">
        <f t="shared" si="49"/>
        <v>2022.008P.Caulimoviridae_rename.zip</v>
      </c>
    </row>
    <row r="1355" spans="1:4">
      <c r="A1355" s="24" t="s">
        <v>14822</v>
      </c>
      <c r="B1355" s="42" t="s">
        <v>14926</v>
      </c>
      <c r="C1355" s="42" t="s">
        <v>14925</v>
      </c>
      <c r="D1355" s="43" t="str">
        <f t="shared" si="49"/>
        <v>2022.008P.Caulimoviridae_rename.zip</v>
      </c>
    </row>
    <row r="1356" spans="1:4">
      <c r="A1356" s="24" t="s">
        <v>14822</v>
      </c>
      <c r="B1356" s="42" t="s">
        <v>14958</v>
      </c>
      <c r="C1356" s="42" t="s">
        <v>14957</v>
      </c>
      <c r="D1356" s="43" t="str">
        <f t="shared" si="49"/>
        <v>2022.008P.Caulimoviridae_rename.zip</v>
      </c>
    </row>
    <row r="1357" spans="1:4">
      <c r="A1357" s="24" t="s">
        <v>14822</v>
      </c>
      <c r="B1357" s="42" t="s">
        <v>14948</v>
      </c>
      <c r="C1357" s="42" t="s">
        <v>14947</v>
      </c>
      <c r="D1357" s="43" t="str">
        <f t="shared" si="49"/>
        <v>2022.008P.Caulimoviridae_rename.zip</v>
      </c>
    </row>
    <row r="1358" spans="1:4">
      <c r="A1358" s="24" t="s">
        <v>14822</v>
      </c>
      <c r="B1358" s="42" t="s">
        <v>14930</v>
      </c>
      <c r="C1358" s="42" t="s">
        <v>14929</v>
      </c>
      <c r="D1358" s="43" t="str">
        <f t="shared" si="49"/>
        <v>2022.008P.Caulimoviridae_rename.zip</v>
      </c>
    </row>
    <row r="1359" spans="1:4">
      <c r="A1359" s="24" t="s">
        <v>14822</v>
      </c>
      <c r="B1359" s="42" t="s">
        <v>15020</v>
      </c>
      <c r="C1359" s="42" t="s">
        <v>15019</v>
      </c>
      <c r="D1359" s="43" t="str">
        <f t="shared" si="49"/>
        <v>2022.008P.Caulimoviridae_rename.zip</v>
      </c>
    </row>
    <row r="1360" spans="1:4">
      <c r="A1360" s="24" t="s">
        <v>14822</v>
      </c>
      <c r="B1360" s="42" t="s">
        <v>15006</v>
      </c>
      <c r="C1360" s="42" t="s">
        <v>15005</v>
      </c>
      <c r="D1360" s="43" t="str">
        <f t="shared" si="49"/>
        <v>2022.008P.Caulimoviridae_rename.zip</v>
      </c>
    </row>
    <row r="1361" spans="1:4">
      <c r="A1361" s="24" t="s">
        <v>14822</v>
      </c>
      <c r="B1361" s="42" t="s">
        <v>14956</v>
      </c>
      <c r="C1361" s="42" t="s">
        <v>14955</v>
      </c>
      <c r="D1361" s="43" t="str">
        <f t="shared" si="49"/>
        <v>2022.008P.Caulimoviridae_rename.zip</v>
      </c>
    </row>
    <row r="1362" spans="1:4">
      <c r="A1362" s="24" t="s">
        <v>14822</v>
      </c>
      <c r="B1362" s="42" t="s">
        <v>14932</v>
      </c>
      <c r="C1362" s="42" t="s">
        <v>14931</v>
      </c>
      <c r="D1362" s="43" t="str">
        <f t="shared" si="49"/>
        <v>2022.008P.Caulimoviridae_rename.zip</v>
      </c>
    </row>
    <row r="1363" spans="1:4">
      <c r="A1363" s="24" t="s">
        <v>14822</v>
      </c>
      <c r="B1363" s="42" t="s">
        <v>14940</v>
      </c>
      <c r="C1363" s="42" t="s">
        <v>14939</v>
      </c>
      <c r="D1363" s="43" t="str">
        <f t="shared" si="49"/>
        <v>2022.008P.Caulimoviridae_rename.zip</v>
      </c>
    </row>
    <row r="1364" spans="1:4">
      <c r="A1364" s="24" t="s">
        <v>14822</v>
      </c>
      <c r="B1364" s="42" t="s">
        <v>14952</v>
      </c>
      <c r="C1364" s="42" t="s">
        <v>14951</v>
      </c>
      <c r="D1364" s="43" t="str">
        <f t="shared" si="49"/>
        <v>2022.008P.Caulimoviridae_rename.zip</v>
      </c>
    </row>
    <row r="1365" spans="1:4">
      <c r="A1365" s="24" t="s">
        <v>14822</v>
      </c>
      <c r="B1365" s="42" t="s">
        <v>15018</v>
      </c>
      <c r="C1365" s="42" t="s">
        <v>15017</v>
      </c>
      <c r="D1365" s="43" t="str">
        <f t="shared" si="49"/>
        <v>2022.008P.Caulimoviridae_rename.zip</v>
      </c>
    </row>
    <row r="1366" spans="1:4">
      <c r="A1366" s="24" t="s">
        <v>14822</v>
      </c>
      <c r="B1366" s="42" t="s">
        <v>15004</v>
      </c>
      <c r="C1366" s="42" t="s">
        <v>15003</v>
      </c>
      <c r="D1366" s="43" t="str">
        <f t="shared" si="49"/>
        <v>2022.008P.Caulimoviridae_rename.zip</v>
      </c>
    </row>
    <row r="1367" spans="1:4">
      <c r="A1367" s="24" t="s">
        <v>14822</v>
      </c>
      <c r="B1367" s="42" t="s">
        <v>14972</v>
      </c>
      <c r="C1367" s="42" t="s">
        <v>14971</v>
      </c>
      <c r="D1367" s="43" t="str">
        <f t="shared" si="49"/>
        <v>2022.008P.Caulimoviridae_rename.zip</v>
      </c>
    </row>
    <row r="1368" spans="1:4">
      <c r="A1368" s="24" t="s">
        <v>14822</v>
      </c>
      <c r="B1368" s="42" t="s">
        <v>14994</v>
      </c>
      <c r="C1368" s="42" t="s">
        <v>14993</v>
      </c>
      <c r="D1368" s="43" t="str">
        <f t="shared" si="49"/>
        <v>2022.008P.Caulimoviridae_rename.zip</v>
      </c>
    </row>
    <row r="1369" spans="1:4">
      <c r="A1369" s="24" t="s">
        <v>14822</v>
      </c>
      <c r="B1369" s="42" t="s">
        <v>14944</v>
      </c>
      <c r="C1369" s="42" t="s">
        <v>14943</v>
      </c>
      <c r="D1369" s="43" t="str">
        <f t="shared" si="49"/>
        <v>2022.008P.Caulimoviridae_rename.zip</v>
      </c>
    </row>
    <row r="1370" spans="1:4">
      <c r="A1370" s="24" t="s">
        <v>14822</v>
      </c>
      <c r="B1370" s="42" t="s">
        <v>15014</v>
      </c>
      <c r="C1370" s="42" t="s">
        <v>15013</v>
      </c>
      <c r="D1370" s="43" t="str">
        <f t="shared" ref="D1370:D1400" si="50">HYPERLINK("https://ictv.global/ictv/proposals/2022.008P.Caulimoviridae_rename.zip","2022.008P.Caulimoviridae_rename.zip")</f>
        <v>2022.008P.Caulimoviridae_rename.zip</v>
      </c>
    </row>
    <row r="1371" spans="1:4">
      <c r="A1371" s="24" t="s">
        <v>14822</v>
      </c>
      <c r="B1371" s="42" t="s">
        <v>15028</v>
      </c>
      <c r="C1371" s="42" t="s">
        <v>15027</v>
      </c>
      <c r="D1371" s="43" t="str">
        <f t="shared" si="50"/>
        <v>2022.008P.Caulimoviridae_rename.zip</v>
      </c>
    </row>
    <row r="1372" spans="1:4">
      <c r="A1372" s="24" t="s">
        <v>14822</v>
      </c>
      <c r="B1372" s="42" t="s">
        <v>14902</v>
      </c>
      <c r="C1372" s="42" t="s">
        <v>14901</v>
      </c>
      <c r="D1372" s="43" t="str">
        <f t="shared" si="50"/>
        <v>2022.008P.Caulimoviridae_rename.zip</v>
      </c>
    </row>
    <row r="1373" spans="1:4">
      <c r="A1373" s="24" t="s">
        <v>14822</v>
      </c>
      <c r="B1373" s="42" t="s">
        <v>14954</v>
      </c>
      <c r="C1373" s="42" t="s">
        <v>14953</v>
      </c>
      <c r="D1373" s="43" t="str">
        <f t="shared" si="50"/>
        <v>2022.008P.Caulimoviridae_rename.zip</v>
      </c>
    </row>
    <row r="1374" spans="1:4">
      <c r="A1374" s="24" t="s">
        <v>14822</v>
      </c>
      <c r="B1374" s="42" t="s">
        <v>14882</v>
      </c>
      <c r="C1374" s="42" t="s">
        <v>14881</v>
      </c>
      <c r="D1374" s="43" t="str">
        <f t="shared" si="50"/>
        <v>2022.008P.Caulimoviridae_rename.zip</v>
      </c>
    </row>
    <row r="1375" spans="1:4">
      <c r="A1375" s="24" t="s">
        <v>14822</v>
      </c>
      <c r="B1375" s="42" t="s">
        <v>14884</v>
      </c>
      <c r="C1375" s="42" t="s">
        <v>14883</v>
      </c>
      <c r="D1375" s="43" t="str">
        <f t="shared" si="50"/>
        <v>2022.008P.Caulimoviridae_rename.zip</v>
      </c>
    </row>
    <row r="1376" spans="1:4">
      <c r="A1376" s="24" t="s">
        <v>14822</v>
      </c>
      <c r="B1376" s="42" t="s">
        <v>14890</v>
      </c>
      <c r="C1376" s="42" t="s">
        <v>14889</v>
      </c>
      <c r="D1376" s="43" t="str">
        <f t="shared" si="50"/>
        <v>2022.008P.Caulimoviridae_rename.zip</v>
      </c>
    </row>
    <row r="1377" spans="1:4">
      <c r="A1377" s="24" t="s">
        <v>14822</v>
      </c>
      <c r="B1377" s="42" t="s">
        <v>14880</v>
      </c>
      <c r="C1377" s="42" t="s">
        <v>14879</v>
      </c>
      <c r="D1377" s="43" t="str">
        <f t="shared" si="50"/>
        <v>2022.008P.Caulimoviridae_rename.zip</v>
      </c>
    </row>
    <row r="1378" spans="1:4">
      <c r="A1378" s="24" t="s">
        <v>14822</v>
      </c>
      <c r="B1378" s="42" t="s">
        <v>14878</v>
      </c>
      <c r="C1378" s="42" t="s">
        <v>14877</v>
      </c>
      <c r="D1378" s="43" t="str">
        <f t="shared" si="50"/>
        <v>2022.008P.Caulimoviridae_rename.zip</v>
      </c>
    </row>
    <row r="1379" spans="1:4">
      <c r="A1379" s="24" t="s">
        <v>14822</v>
      </c>
      <c r="B1379" s="42" t="s">
        <v>14874</v>
      </c>
      <c r="C1379" s="42" t="s">
        <v>14873</v>
      </c>
      <c r="D1379" s="43" t="str">
        <f t="shared" si="50"/>
        <v>2022.008P.Caulimoviridae_rename.zip</v>
      </c>
    </row>
    <row r="1380" spans="1:4">
      <c r="A1380" s="24" t="s">
        <v>14822</v>
      </c>
      <c r="B1380" s="42" t="s">
        <v>14888</v>
      </c>
      <c r="C1380" s="42" t="s">
        <v>14887</v>
      </c>
      <c r="D1380" s="43" t="str">
        <f t="shared" si="50"/>
        <v>2022.008P.Caulimoviridae_rename.zip</v>
      </c>
    </row>
    <row r="1381" spans="1:4">
      <c r="A1381" s="24" t="s">
        <v>14822</v>
      </c>
      <c r="B1381" s="42" t="s">
        <v>14894</v>
      </c>
      <c r="C1381" s="42" t="s">
        <v>14893</v>
      </c>
      <c r="D1381" s="43" t="str">
        <f t="shared" si="50"/>
        <v>2022.008P.Caulimoviridae_rename.zip</v>
      </c>
    </row>
    <row r="1382" spans="1:4">
      <c r="A1382" s="24" t="s">
        <v>14822</v>
      </c>
      <c r="B1382" s="42" t="s">
        <v>14876</v>
      </c>
      <c r="C1382" s="42" t="s">
        <v>14875</v>
      </c>
      <c r="D1382" s="43" t="str">
        <f t="shared" si="50"/>
        <v>2022.008P.Caulimoviridae_rename.zip</v>
      </c>
    </row>
    <row r="1383" spans="1:4">
      <c r="A1383" s="24" t="s">
        <v>14822</v>
      </c>
      <c r="B1383" s="42" t="s">
        <v>14892</v>
      </c>
      <c r="C1383" s="42" t="s">
        <v>14891</v>
      </c>
      <c r="D1383" s="43" t="str">
        <f t="shared" si="50"/>
        <v>2022.008P.Caulimoviridae_rename.zip</v>
      </c>
    </row>
    <row r="1384" spans="1:4">
      <c r="A1384" s="24" t="s">
        <v>14822</v>
      </c>
      <c r="B1384" s="42" t="s">
        <v>14872</v>
      </c>
      <c r="C1384" s="42" t="s">
        <v>14871</v>
      </c>
      <c r="D1384" s="43" t="str">
        <f t="shared" si="50"/>
        <v>2022.008P.Caulimoviridae_rename.zip</v>
      </c>
    </row>
    <row r="1385" spans="1:4">
      <c r="A1385" s="24" t="s">
        <v>14822</v>
      </c>
      <c r="B1385" s="42" t="s">
        <v>14886</v>
      </c>
      <c r="C1385" s="42" t="s">
        <v>14885</v>
      </c>
      <c r="D1385" s="43" t="str">
        <f t="shared" si="50"/>
        <v>2022.008P.Caulimoviridae_rename.zip</v>
      </c>
    </row>
    <row r="1386" spans="1:4">
      <c r="A1386" s="24" t="s">
        <v>14822</v>
      </c>
      <c r="B1386" s="42" t="s">
        <v>14866</v>
      </c>
      <c r="C1386" s="42" t="s">
        <v>14865</v>
      </c>
      <c r="D1386" s="43" t="str">
        <f t="shared" si="50"/>
        <v>2022.008P.Caulimoviridae_rename.zip</v>
      </c>
    </row>
    <row r="1387" spans="1:4">
      <c r="A1387" s="24" t="s">
        <v>14822</v>
      </c>
      <c r="B1387" s="42" t="s">
        <v>14868</v>
      </c>
      <c r="C1387" s="42" t="s">
        <v>14867</v>
      </c>
      <c r="D1387" s="43" t="str">
        <f t="shared" si="50"/>
        <v>2022.008P.Caulimoviridae_rename.zip</v>
      </c>
    </row>
    <row r="1388" spans="1:4">
      <c r="A1388" s="24" t="s">
        <v>14822</v>
      </c>
      <c r="B1388" s="42" t="s">
        <v>14870</v>
      </c>
      <c r="C1388" s="42" t="s">
        <v>14869</v>
      </c>
      <c r="D1388" s="43" t="str">
        <f t="shared" si="50"/>
        <v>2022.008P.Caulimoviridae_rename.zip</v>
      </c>
    </row>
    <row r="1389" spans="1:4">
      <c r="A1389" s="24" t="s">
        <v>14822</v>
      </c>
      <c r="B1389" s="42" t="s">
        <v>14864</v>
      </c>
      <c r="C1389" s="42" t="s">
        <v>14863</v>
      </c>
      <c r="D1389" s="43" t="str">
        <f t="shared" si="50"/>
        <v>2022.008P.Caulimoviridae_rename.zip</v>
      </c>
    </row>
    <row r="1390" spans="1:4">
      <c r="A1390" s="24" t="s">
        <v>14822</v>
      </c>
      <c r="B1390" s="42" t="s">
        <v>14862</v>
      </c>
      <c r="C1390" s="42" t="s">
        <v>14861</v>
      </c>
      <c r="D1390" s="43" t="str">
        <f t="shared" si="50"/>
        <v>2022.008P.Caulimoviridae_rename.zip</v>
      </c>
    </row>
    <row r="1391" spans="1:4">
      <c r="A1391" s="24" t="s">
        <v>14822</v>
      </c>
      <c r="B1391" s="42" t="s">
        <v>14860</v>
      </c>
      <c r="C1391" s="42" t="s">
        <v>14859</v>
      </c>
      <c r="D1391" s="43" t="str">
        <f t="shared" si="50"/>
        <v>2022.008P.Caulimoviridae_rename.zip</v>
      </c>
    </row>
    <row r="1392" spans="1:4">
      <c r="A1392" s="24" t="s">
        <v>14822</v>
      </c>
      <c r="B1392" s="42" t="s">
        <v>14858</v>
      </c>
      <c r="C1392" s="42" t="s">
        <v>14857</v>
      </c>
      <c r="D1392" s="43" t="str">
        <f t="shared" si="50"/>
        <v>2022.008P.Caulimoviridae_rename.zip</v>
      </c>
    </row>
    <row r="1393" spans="1:4">
      <c r="A1393" s="24" t="s">
        <v>14822</v>
      </c>
      <c r="B1393" s="42" t="s">
        <v>14856</v>
      </c>
      <c r="C1393" s="42" t="s">
        <v>14855</v>
      </c>
      <c r="D1393" s="43" t="str">
        <f t="shared" si="50"/>
        <v>2022.008P.Caulimoviridae_rename.zip</v>
      </c>
    </row>
    <row r="1394" spans="1:4">
      <c r="A1394" s="24" t="s">
        <v>14822</v>
      </c>
      <c r="B1394" s="42" t="s">
        <v>14854</v>
      </c>
      <c r="C1394" s="42" t="s">
        <v>14853</v>
      </c>
      <c r="D1394" s="43" t="str">
        <f t="shared" si="50"/>
        <v>2022.008P.Caulimoviridae_rename.zip</v>
      </c>
    </row>
    <row r="1395" spans="1:4">
      <c r="A1395" s="24" t="s">
        <v>14822</v>
      </c>
      <c r="B1395" s="42" t="s">
        <v>14848</v>
      </c>
      <c r="C1395" s="42" t="s">
        <v>14847</v>
      </c>
      <c r="D1395" s="43" t="str">
        <f t="shared" si="50"/>
        <v>2022.008P.Caulimoviridae_rename.zip</v>
      </c>
    </row>
    <row r="1396" spans="1:4">
      <c r="A1396" s="24" t="s">
        <v>14822</v>
      </c>
      <c r="B1396" s="42" t="s">
        <v>14852</v>
      </c>
      <c r="C1396" s="42" t="s">
        <v>14851</v>
      </c>
      <c r="D1396" s="43" t="str">
        <f t="shared" si="50"/>
        <v>2022.008P.Caulimoviridae_rename.zip</v>
      </c>
    </row>
    <row r="1397" spans="1:4">
      <c r="A1397" s="24" t="s">
        <v>14822</v>
      </c>
      <c r="B1397" s="42" t="s">
        <v>14846</v>
      </c>
      <c r="C1397" s="42" t="s">
        <v>14845</v>
      </c>
      <c r="D1397" s="43" t="str">
        <f t="shared" si="50"/>
        <v>2022.008P.Caulimoviridae_rename.zip</v>
      </c>
    </row>
    <row r="1398" spans="1:4">
      <c r="A1398" s="24" t="s">
        <v>14822</v>
      </c>
      <c r="B1398" s="42" t="s">
        <v>14850</v>
      </c>
      <c r="C1398" s="42" t="s">
        <v>14849</v>
      </c>
      <c r="D1398" s="43" t="str">
        <f t="shared" si="50"/>
        <v>2022.008P.Caulimoviridae_rename.zip</v>
      </c>
    </row>
    <row r="1399" spans="1:4">
      <c r="A1399" s="24" t="s">
        <v>14822</v>
      </c>
      <c r="B1399" s="42" t="s">
        <v>14844</v>
      </c>
      <c r="C1399" s="42" t="s">
        <v>14843</v>
      </c>
      <c r="D1399" s="43" t="str">
        <f t="shared" si="50"/>
        <v>2022.008P.Caulimoviridae_rename.zip</v>
      </c>
    </row>
    <row r="1400" spans="1:4">
      <c r="A1400" s="24" t="s">
        <v>14822</v>
      </c>
      <c r="B1400" s="42" t="s">
        <v>14842</v>
      </c>
      <c r="C1400" s="42" t="s">
        <v>14841</v>
      </c>
      <c r="D1400" s="43" t="str">
        <f t="shared" si="50"/>
        <v>2022.008P.Caulimoviridae_rename.zip</v>
      </c>
    </row>
    <row r="1401" spans="1:4">
      <c r="A1401" s="24" t="s">
        <v>14822</v>
      </c>
      <c r="B1401" s="42" t="s">
        <v>14840</v>
      </c>
      <c r="C1401" s="42" t="s">
        <v>14839</v>
      </c>
      <c r="D1401" s="43" t="str">
        <f>HYPERLINK("https://ictv.global/ictv/proposals/2022.004F.Imitervirales_reorg.zip","2022.004F.Imitervirales_reorg.zip")</f>
        <v>2022.004F.Imitervirales_reorg.zip</v>
      </c>
    </row>
    <row r="1402" spans="1:4">
      <c r="A1402" s="24" t="s">
        <v>14822</v>
      </c>
      <c r="B1402" s="42" t="s">
        <v>14838</v>
      </c>
      <c r="C1402" s="42" t="s">
        <v>14837</v>
      </c>
      <c r="D1402" s="43" t="str">
        <f>HYPERLINK("https://ictv.global/ictv/proposals/2022.004F.Imitervirales_reorg.zip","2022.004F.Imitervirales_reorg.zip")</f>
        <v>2022.004F.Imitervirales_reorg.zip</v>
      </c>
    </row>
    <row r="1403" spans="1:4">
      <c r="A1403" s="24" t="s">
        <v>14822</v>
      </c>
      <c r="B1403" s="42" t="s">
        <v>14832</v>
      </c>
      <c r="C1403" s="42" t="s">
        <v>14831</v>
      </c>
      <c r="D1403" s="43" t="str">
        <f>HYPERLINK("https://ictv.global/ictv/proposals/2022.007D.Ascoviridae_4rensp.zip","2022.007D.Ascoviridae_4rensp.zip")</f>
        <v>2022.007D.Ascoviridae_4rensp.zip</v>
      </c>
    </row>
    <row r="1404" spans="1:4">
      <c r="A1404" s="24" t="s">
        <v>14822</v>
      </c>
      <c r="B1404" s="42" t="s">
        <v>14834</v>
      </c>
      <c r="C1404" s="42" t="s">
        <v>14833</v>
      </c>
      <c r="D1404" s="43" t="str">
        <f>HYPERLINK("https://ictv.global/ictv/proposals/2022.007D.Ascoviridae_4rensp.zip","2022.007D.Ascoviridae_4rensp.zip")</f>
        <v>2022.007D.Ascoviridae_4rensp.zip</v>
      </c>
    </row>
    <row r="1405" spans="1:4">
      <c r="A1405" s="24" t="s">
        <v>14822</v>
      </c>
      <c r="B1405" s="42" t="s">
        <v>14836</v>
      </c>
      <c r="C1405" s="42" t="s">
        <v>14835</v>
      </c>
      <c r="D1405" s="43" t="str">
        <f>HYPERLINK("https://ictv.global/ictv/proposals/2022.007D.Ascoviridae_4rensp.zip","2022.007D.Ascoviridae_4rensp.zip")</f>
        <v>2022.007D.Ascoviridae_4rensp.zip</v>
      </c>
    </row>
    <row r="1406" spans="1:4">
      <c r="A1406" s="24" t="s">
        <v>14822</v>
      </c>
      <c r="B1406" s="42" t="s">
        <v>14830</v>
      </c>
      <c r="C1406" s="42" t="s">
        <v>14829</v>
      </c>
      <c r="D1406" s="43" t="str">
        <f>HYPERLINK("https://ictv.global/ictv/proposals/2022.007D.Ascoviridae_4rensp.zip","2022.007D.Ascoviridae_4rensp.zip")</f>
        <v>2022.007D.Ascoviridae_4rensp.zip</v>
      </c>
    </row>
    <row r="1407" spans="1:4">
      <c r="A1407" s="24" t="s">
        <v>14822</v>
      </c>
      <c r="B1407" s="42" t="s">
        <v>17088</v>
      </c>
      <c r="C1407" s="42" t="s">
        <v>17087</v>
      </c>
      <c r="D1407" s="43" t="str">
        <f t="shared" ref="D1407:D1438" si="51">HYPERLINK("https://ictv.global/ictv/proposals/2022.003D.Lefavirales_106rensp.zip","2022.003D.Lefavirales_106rensp.zip")</f>
        <v>2022.003D.Lefavirales_106rensp.zip</v>
      </c>
    </row>
    <row r="1408" spans="1:4">
      <c r="A1408" s="24" t="s">
        <v>14822</v>
      </c>
      <c r="B1408" s="42" t="s">
        <v>17086</v>
      </c>
      <c r="C1408" s="42" t="s">
        <v>17085</v>
      </c>
      <c r="D1408" s="43" t="str">
        <f t="shared" si="51"/>
        <v>2022.003D.Lefavirales_106rensp.zip</v>
      </c>
    </row>
    <row r="1409" spans="1:4">
      <c r="A1409" s="24" t="s">
        <v>14822</v>
      </c>
      <c r="B1409" s="42" t="s">
        <v>17084</v>
      </c>
      <c r="C1409" s="42" t="s">
        <v>17083</v>
      </c>
      <c r="D1409" s="43" t="str">
        <f t="shared" si="51"/>
        <v>2022.003D.Lefavirales_106rensp.zip</v>
      </c>
    </row>
    <row r="1410" spans="1:4">
      <c r="A1410" s="24" t="s">
        <v>14822</v>
      </c>
      <c r="B1410" s="42" t="s">
        <v>17082</v>
      </c>
      <c r="C1410" s="42" t="s">
        <v>17081</v>
      </c>
      <c r="D1410" s="43" t="str">
        <f t="shared" si="51"/>
        <v>2022.003D.Lefavirales_106rensp.zip</v>
      </c>
    </row>
    <row r="1411" spans="1:4">
      <c r="A1411" s="24" t="s">
        <v>14822</v>
      </c>
      <c r="B1411" s="42" t="s">
        <v>17066</v>
      </c>
      <c r="C1411" s="42" t="s">
        <v>17065</v>
      </c>
      <c r="D1411" s="43" t="str">
        <f t="shared" si="51"/>
        <v>2022.003D.Lefavirales_106rensp.zip</v>
      </c>
    </row>
    <row r="1412" spans="1:4">
      <c r="A1412" s="24" t="s">
        <v>14822</v>
      </c>
      <c r="B1412" s="42" t="s">
        <v>17038</v>
      </c>
      <c r="C1412" s="42" t="s">
        <v>17037</v>
      </c>
      <c r="D1412" s="43" t="str">
        <f t="shared" si="51"/>
        <v>2022.003D.Lefavirales_106rensp.zip</v>
      </c>
    </row>
    <row r="1413" spans="1:4">
      <c r="A1413" s="24" t="s">
        <v>14822</v>
      </c>
      <c r="B1413" s="42" t="s">
        <v>16994</v>
      </c>
      <c r="C1413" s="42" t="s">
        <v>16993</v>
      </c>
      <c r="D1413" s="43" t="str">
        <f t="shared" si="51"/>
        <v>2022.003D.Lefavirales_106rensp.zip</v>
      </c>
    </row>
    <row r="1414" spans="1:4">
      <c r="A1414" s="24" t="s">
        <v>14822</v>
      </c>
      <c r="B1414" s="42" t="s">
        <v>17074</v>
      </c>
      <c r="C1414" s="42" t="s">
        <v>17073</v>
      </c>
      <c r="D1414" s="43" t="str">
        <f t="shared" si="51"/>
        <v>2022.003D.Lefavirales_106rensp.zip</v>
      </c>
    </row>
    <row r="1415" spans="1:4">
      <c r="A1415" s="24" t="s">
        <v>14822</v>
      </c>
      <c r="B1415" s="42" t="s">
        <v>17068</v>
      </c>
      <c r="C1415" s="42" t="s">
        <v>17067</v>
      </c>
      <c r="D1415" s="43" t="str">
        <f t="shared" si="51"/>
        <v>2022.003D.Lefavirales_106rensp.zip</v>
      </c>
    </row>
    <row r="1416" spans="1:4">
      <c r="A1416" s="24" t="s">
        <v>14822</v>
      </c>
      <c r="B1416" s="42" t="s">
        <v>17070</v>
      </c>
      <c r="C1416" s="42" t="s">
        <v>17069</v>
      </c>
      <c r="D1416" s="43" t="str">
        <f t="shared" si="51"/>
        <v>2022.003D.Lefavirales_106rensp.zip</v>
      </c>
    </row>
    <row r="1417" spans="1:4">
      <c r="A1417" s="24" t="s">
        <v>14822</v>
      </c>
      <c r="B1417" s="42" t="s">
        <v>17064</v>
      </c>
      <c r="C1417" s="42" t="s">
        <v>17063</v>
      </c>
      <c r="D1417" s="43" t="str">
        <f t="shared" si="51"/>
        <v>2022.003D.Lefavirales_106rensp.zip</v>
      </c>
    </row>
    <row r="1418" spans="1:4">
      <c r="A1418" s="24" t="s">
        <v>14822</v>
      </c>
      <c r="B1418" s="42" t="s">
        <v>17062</v>
      </c>
      <c r="C1418" s="42" t="s">
        <v>17061</v>
      </c>
      <c r="D1418" s="43" t="str">
        <f t="shared" si="51"/>
        <v>2022.003D.Lefavirales_106rensp.zip</v>
      </c>
    </row>
    <row r="1419" spans="1:4">
      <c r="A1419" s="24" t="s">
        <v>14822</v>
      </c>
      <c r="B1419" s="42" t="s">
        <v>17060</v>
      </c>
      <c r="C1419" s="42" t="s">
        <v>17059</v>
      </c>
      <c r="D1419" s="43" t="str">
        <f t="shared" si="51"/>
        <v>2022.003D.Lefavirales_106rensp.zip</v>
      </c>
    </row>
    <row r="1420" spans="1:4">
      <c r="A1420" s="24" t="s">
        <v>14822</v>
      </c>
      <c r="B1420" s="42" t="s">
        <v>17058</v>
      </c>
      <c r="C1420" s="42" t="s">
        <v>17057</v>
      </c>
      <c r="D1420" s="43" t="str">
        <f t="shared" si="51"/>
        <v>2022.003D.Lefavirales_106rensp.zip</v>
      </c>
    </row>
    <row r="1421" spans="1:4">
      <c r="A1421" s="24" t="s">
        <v>14822</v>
      </c>
      <c r="B1421" s="42" t="s">
        <v>17080</v>
      </c>
      <c r="C1421" s="42" t="s">
        <v>17079</v>
      </c>
      <c r="D1421" s="43" t="str">
        <f t="shared" si="51"/>
        <v>2022.003D.Lefavirales_106rensp.zip</v>
      </c>
    </row>
    <row r="1422" spans="1:4">
      <c r="A1422" s="24" t="s">
        <v>14822</v>
      </c>
      <c r="B1422" s="42" t="s">
        <v>17056</v>
      </c>
      <c r="C1422" s="42" t="s">
        <v>17055</v>
      </c>
      <c r="D1422" s="43" t="str">
        <f t="shared" si="51"/>
        <v>2022.003D.Lefavirales_106rensp.zip</v>
      </c>
    </row>
    <row r="1423" spans="1:4">
      <c r="A1423" s="24" t="s">
        <v>14822</v>
      </c>
      <c r="B1423" s="42" t="s">
        <v>17054</v>
      </c>
      <c r="C1423" s="42" t="s">
        <v>17053</v>
      </c>
      <c r="D1423" s="43" t="str">
        <f t="shared" si="51"/>
        <v>2022.003D.Lefavirales_106rensp.zip</v>
      </c>
    </row>
    <row r="1424" spans="1:4">
      <c r="A1424" s="24" t="s">
        <v>14822</v>
      </c>
      <c r="B1424" s="42" t="s">
        <v>17052</v>
      </c>
      <c r="C1424" s="42" t="s">
        <v>17051</v>
      </c>
      <c r="D1424" s="43" t="str">
        <f t="shared" si="51"/>
        <v>2022.003D.Lefavirales_106rensp.zip</v>
      </c>
    </row>
    <row r="1425" spans="1:4">
      <c r="A1425" s="24" t="s">
        <v>14822</v>
      </c>
      <c r="B1425" s="42" t="s">
        <v>17048</v>
      </c>
      <c r="C1425" s="42" t="s">
        <v>17047</v>
      </c>
      <c r="D1425" s="43" t="str">
        <f t="shared" si="51"/>
        <v>2022.003D.Lefavirales_106rensp.zip</v>
      </c>
    </row>
    <row r="1426" spans="1:4">
      <c r="A1426" s="24" t="s">
        <v>14822</v>
      </c>
      <c r="B1426" s="42" t="s">
        <v>17050</v>
      </c>
      <c r="C1426" s="42" t="s">
        <v>17049</v>
      </c>
      <c r="D1426" s="43" t="str">
        <f t="shared" si="51"/>
        <v>2022.003D.Lefavirales_106rensp.zip</v>
      </c>
    </row>
    <row r="1427" spans="1:4">
      <c r="A1427" s="24" t="s">
        <v>14822</v>
      </c>
      <c r="B1427" s="42" t="s">
        <v>17046</v>
      </c>
      <c r="C1427" s="42" t="s">
        <v>17045</v>
      </c>
      <c r="D1427" s="43" t="str">
        <f t="shared" si="51"/>
        <v>2022.003D.Lefavirales_106rensp.zip</v>
      </c>
    </row>
    <row r="1428" spans="1:4">
      <c r="A1428" s="24" t="s">
        <v>14822</v>
      </c>
      <c r="B1428" s="42" t="s">
        <v>17044</v>
      </c>
      <c r="C1428" s="42" t="s">
        <v>17043</v>
      </c>
      <c r="D1428" s="43" t="str">
        <f t="shared" si="51"/>
        <v>2022.003D.Lefavirales_106rensp.zip</v>
      </c>
    </row>
    <row r="1429" spans="1:4">
      <c r="A1429" s="24" t="s">
        <v>14822</v>
      </c>
      <c r="B1429" s="42" t="s">
        <v>17042</v>
      </c>
      <c r="C1429" s="42" t="s">
        <v>17041</v>
      </c>
      <c r="D1429" s="43" t="str">
        <f t="shared" si="51"/>
        <v>2022.003D.Lefavirales_106rensp.zip</v>
      </c>
    </row>
    <row r="1430" spans="1:4">
      <c r="A1430" s="24" t="s">
        <v>14822</v>
      </c>
      <c r="B1430" s="42" t="s">
        <v>17040</v>
      </c>
      <c r="C1430" s="42" t="s">
        <v>17039</v>
      </c>
      <c r="D1430" s="43" t="str">
        <f t="shared" si="51"/>
        <v>2022.003D.Lefavirales_106rensp.zip</v>
      </c>
    </row>
    <row r="1431" spans="1:4">
      <c r="A1431" s="24" t="s">
        <v>14822</v>
      </c>
      <c r="B1431" s="42" t="s">
        <v>17036</v>
      </c>
      <c r="C1431" s="42" t="s">
        <v>17035</v>
      </c>
      <c r="D1431" s="43" t="str">
        <f t="shared" si="51"/>
        <v>2022.003D.Lefavirales_106rensp.zip</v>
      </c>
    </row>
    <row r="1432" spans="1:4">
      <c r="A1432" s="24" t="s">
        <v>14822</v>
      </c>
      <c r="B1432" s="42" t="s">
        <v>17034</v>
      </c>
      <c r="C1432" s="42" t="s">
        <v>17033</v>
      </c>
      <c r="D1432" s="43" t="str">
        <f t="shared" si="51"/>
        <v>2022.003D.Lefavirales_106rensp.zip</v>
      </c>
    </row>
    <row r="1433" spans="1:4">
      <c r="A1433" s="24" t="s">
        <v>14822</v>
      </c>
      <c r="B1433" s="42" t="s">
        <v>17032</v>
      </c>
      <c r="C1433" s="42" t="s">
        <v>17031</v>
      </c>
      <c r="D1433" s="43" t="str">
        <f t="shared" si="51"/>
        <v>2022.003D.Lefavirales_106rensp.zip</v>
      </c>
    </row>
    <row r="1434" spans="1:4">
      <c r="A1434" s="24" t="s">
        <v>14822</v>
      </c>
      <c r="B1434" s="42" t="s">
        <v>17030</v>
      </c>
      <c r="C1434" s="42" t="s">
        <v>17029</v>
      </c>
      <c r="D1434" s="43" t="str">
        <f t="shared" si="51"/>
        <v>2022.003D.Lefavirales_106rensp.zip</v>
      </c>
    </row>
    <row r="1435" spans="1:4">
      <c r="A1435" s="24" t="s">
        <v>14822</v>
      </c>
      <c r="B1435" s="42" t="s">
        <v>17028</v>
      </c>
      <c r="C1435" s="42" t="s">
        <v>17027</v>
      </c>
      <c r="D1435" s="43" t="str">
        <f t="shared" si="51"/>
        <v>2022.003D.Lefavirales_106rensp.zip</v>
      </c>
    </row>
    <row r="1436" spans="1:4">
      <c r="A1436" s="24" t="s">
        <v>14822</v>
      </c>
      <c r="B1436" s="42" t="s">
        <v>17026</v>
      </c>
      <c r="C1436" s="42" t="s">
        <v>17025</v>
      </c>
      <c r="D1436" s="43" t="str">
        <f t="shared" si="51"/>
        <v>2022.003D.Lefavirales_106rensp.zip</v>
      </c>
    </row>
    <row r="1437" spans="1:4">
      <c r="A1437" s="24" t="s">
        <v>14822</v>
      </c>
      <c r="B1437" s="42" t="s">
        <v>17024</v>
      </c>
      <c r="C1437" s="42" t="s">
        <v>17023</v>
      </c>
      <c r="D1437" s="43" t="str">
        <f t="shared" si="51"/>
        <v>2022.003D.Lefavirales_106rensp.zip</v>
      </c>
    </row>
    <row r="1438" spans="1:4">
      <c r="A1438" s="24" t="s">
        <v>14822</v>
      </c>
      <c r="B1438" s="42" t="s">
        <v>17022</v>
      </c>
      <c r="C1438" s="42" t="s">
        <v>17021</v>
      </c>
      <c r="D1438" s="43" t="str">
        <f t="shared" si="51"/>
        <v>2022.003D.Lefavirales_106rensp.zip</v>
      </c>
    </row>
    <row r="1439" spans="1:4">
      <c r="A1439" s="24" t="s">
        <v>14822</v>
      </c>
      <c r="B1439" s="42" t="s">
        <v>17020</v>
      </c>
      <c r="C1439" s="42" t="s">
        <v>17019</v>
      </c>
      <c r="D1439" s="43" t="str">
        <f t="shared" ref="D1439:D1470" si="52">HYPERLINK("https://ictv.global/ictv/proposals/2022.003D.Lefavirales_106rensp.zip","2022.003D.Lefavirales_106rensp.zip")</f>
        <v>2022.003D.Lefavirales_106rensp.zip</v>
      </c>
    </row>
    <row r="1440" spans="1:4">
      <c r="A1440" s="24" t="s">
        <v>14822</v>
      </c>
      <c r="B1440" s="42" t="s">
        <v>17018</v>
      </c>
      <c r="C1440" s="42" t="s">
        <v>17017</v>
      </c>
      <c r="D1440" s="43" t="str">
        <f t="shared" si="52"/>
        <v>2022.003D.Lefavirales_106rensp.zip</v>
      </c>
    </row>
    <row r="1441" spans="1:4">
      <c r="A1441" s="24" t="s">
        <v>14822</v>
      </c>
      <c r="B1441" s="42" t="s">
        <v>17016</v>
      </c>
      <c r="C1441" s="42" t="s">
        <v>17015</v>
      </c>
      <c r="D1441" s="43" t="str">
        <f t="shared" si="52"/>
        <v>2022.003D.Lefavirales_106rensp.zip</v>
      </c>
    </row>
    <row r="1442" spans="1:4">
      <c r="A1442" s="24" t="s">
        <v>14822</v>
      </c>
      <c r="B1442" s="42" t="s">
        <v>17014</v>
      </c>
      <c r="C1442" s="42" t="s">
        <v>17013</v>
      </c>
      <c r="D1442" s="43" t="str">
        <f t="shared" si="52"/>
        <v>2022.003D.Lefavirales_106rensp.zip</v>
      </c>
    </row>
    <row r="1443" spans="1:4">
      <c r="A1443" s="24" t="s">
        <v>14822</v>
      </c>
      <c r="B1443" s="42" t="s">
        <v>17012</v>
      </c>
      <c r="C1443" s="42" t="s">
        <v>17011</v>
      </c>
      <c r="D1443" s="43" t="str">
        <f t="shared" si="52"/>
        <v>2022.003D.Lefavirales_106rensp.zip</v>
      </c>
    </row>
    <row r="1444" spans="1:4">
      <c r="A1444" s="24" t="s">
        <v>14822</v>
      </c>
      <c r="B1444" s="42" t="s">
        <v>17010</v>
      </c>
      <c r="C1444" s="42" t="s">
        <v>17009</v>
      </c>
      <c r="D1444" s="43" t="str">
        <f t="shared" si="52"/>
        <v>2022.003D.Lefavirales_106rensp.zip</v>
      </c>
    </row>
    <row r="1445" spans="1:4">
      <c r="A1445" s="24" t="s">
        <v>14822</v>
      </c>
      <c r="B1445" s="42" t="s">
        <v>17078</v>
      </c>
      <c r="C1445" s="42" t="s">
        <v>17077</v>
      </c>
      <c r="D1445" s="43" t="str">
        <f t="shared" si="52"/>
        <v>2022.003D.Lefavirales_106rensp.zip</v>
      </c>
    </row>
    <row r="1446" spans="1:4">
      <c r="A1446" s="24" t="s">
        <v>14822</v>
      </c>
      <c r="B1446" s="42" t="s">
        <v>17008</v>
      </c>
      <c r="C1446" s="42" t="s">
        <v>17007</v>
      </c>
      <c r="D1446" s="43" t="str">
        <f t="shared" si="52"/>
        <v>2022.003D.Lefavirales_106rensp.zip</v>
      </c>
    </row>
    <row r="1447" spans="1:4">
      <c r="A1447" s="24" t="s">
        <v>14822</v>
      </c>
      <c r="B1447" s="42" t="s">
        <v>17006</v>
      </c>
      <c r="C1447" s="42" t="s">
        <v>17005</v>
      </c>
      <c r="D1447" s="43" t="str">
        <f t="shared" si="52"/>
        <v>2022.003D.Lefavirales_106rensp.zip</v>
      </c>
    </row>
    <row r="1448" spans="1:4">
      <c r="A1448" s="24" t="s">
        <v>14822</v>
      </c>
      <c r="B1448" s="42" t="s">
        <v>17076</v>
      </c>
      <c r="C1448" s="42" t="s">
        <v>17075</v>
      </c>
      <c r="D1448" s="43" t="str">
        <f t="shared" si="52"/>
        <v>2022.003D.Lefavirales_106rensp.zip</v>
      </c>
    </row>
    <row r="1449" spans="1:4">
      <c r="A1449" s="24" t="s">
        <v>14822</v>
      </c>
      <c r="B1449" s="42" t="s">
        <v>17004</v>
      </c>
      <c r="C1449" s="42" t="s">
        <v>17003</v>
      </c>
      <c r="D1449" s="43" t="str">
        <f t="shared" si="52"/>
        <v>2022.003D.Lefavirales_106rensp.zip</v>
      </c>
    </row>
    <row r="1450" spans="1:4">
      <c r="A1450" s="24" t="s">
        <v>14822</v>
      </c>
      <c r="B1450" s="42" t="s">
        <v>17002</v>
      </c>
      <c r="C1450" s="42" t="s">
        <v>17001</v>
      </c>
      <c r="D1450" s="43" t="str">
        <f t="shared" si="52"/>
        <v>2022.003D.Lefavirales_106rensp.zip</v>
      </c>
    </row>
    <row r="1451" spans="1:4">
      <c r="A1451" s="24" t="s">
        <v>14822</v>
      </c>
      <c r="B1451" s="42" t="s">
        <v>17000</v>
      </c>
      <c r="C1451" s="42" t="s">
        <v>16999</v>
      </c>
      <c r="D1451" s="43" t="str">
        <f t="shared" si="52"/>
        <v>2022.003D.Lefavirales_106rensp.zip</v>
      </c>
    </row>
    <row r="1452" spans="1:4">
      <c r="A1452" s="24" t="s">
        <v>14822</v>
      </c>
      <c r="B1452" s="42" t="s">
        <v>16970</v>
      </c>
      <c r="C1452" s="42" t="s">
        <v>16969</v>
      </c>
      <c r="D1452" s="43" t="str">
        <f t="shared" si="52"/>
        <v>2022.003D.Lefavirales_106rensp.zip</v>
      </c>
    </row>
    <row r="1453" spans="1:4">
      <c r="A1453" s="24" t="s">
        <v>14822</v>
      </c>
      <c r="B1453" s="42" t="s">
        <v>16996</v>
      </c>
      <c r="C1453" s="42" t="s">
        <v>16995</v>
      </c>
      <c r="D1453" s="43" t="str">
        <f t="shared" si="52"/>
        <v>2022.003D.Lefavirales_106rensp.zip</v>
      </c>
    </row>
    <row r="1454" spans="1:4">
      <c r="A1454" s="24" t="s">
        <v>14822</v>
      </c>
      <c r="B1454" s="42" t="s">
        <v>16998</v>
      </c>
      <c r="C1454" s="42" t="s">
        <v>16997</v>
      </c>
      <c r="D1454" s="43" t="str">
        <f t="shared" si="52"/>
        <v>2022.003D.Lefavirales_106rensp.zip</v>
      </c>
    </row>
    <row r="1455" spans="1:4">
      <c r="A1455" s="24" t="s">
        <v>14822</v>
      </c>
      <c r="B1455" s="42" t="s">
        <v>16992</v>
      </c>
      <c r="C1455" s="42" t="s">
        <v>16991</v>
      </c>
      <c r="D1455" s="43" t="str">
        <f t="shared" si="52"/>
        <v>2022.003D.Lefavirales_106rensp.zip</v>
      </c>
    </row>
    <row r="1456" spans="1:4">
      <c r="A1456" s="24" t="s">
        <v>14822</v>
      </c>
      <c r="B1456" s="42" t="s">
        <v>16990</v>
      </c>
      <c r="C1456" s="42" t="s">
        <v>16989</v>
      </c>
      <c r="D1456" s="43" t="str">
        <f t="shared" si="52"/>
        <v>2022.003D.Lefavirales_106rensp.zip</v>
      </c>
    </row>
    <row r="1457" spans="1:4">
      <c r="A1457" s="24" t="s">
        <v>14822</v>
      </c>
      <c r="B1457" s="42" t="s">
        <v>16988</v>
      </c>
      <c r="C1457" s="42" t="s">
        <v>16987</v>
      </c>
      <c r="D1457" s="43" t="str">
        <f t="shared" si="52"/>
        <v>2022.003D.Lefavirales_106rensp.zip</v>
      </c>
    </row>
    <row r="1458" spans="1:4">
      <c r="A1458" s="24" t="s">
        <v>14822</v>
      </c>
      <c r="B1458" s="42" t="s">
        <v>17072</v>
      </c>
      <c r="C1458" s="42" t="s">
        <v>17071</v>
      </c>
      <c r="D1458" s="43" t="str">
        <f t="shared" si="52"/>
        <v>2022.003D.Lefavirales_106rensp.zip</v>
      </c>
    </row>
    <row r="1459" spans="1:4">
      <c r="A1459" s="24" t="s">
        <v>14822</v>
      </c>
      <c r="B1459" s="42" t="s">
        <v>16982</v>
      </c>
      <c r="C1459" s="42" t="s">
        <v>16981</v>
      </c>
      <c r="D1459" s="43" t="str">
        <f t="shared" si="52"/>
        <v>2022.003D.Lefavirales_106rensp.zip</v>
      </c>
    </row>
    <row r="1460" spans="1:4">
      <c r="A1460" s="24" t="s">
        <v>14822</v>
      </c>
      <c r="B1460" s="42" t="s">
        <v>16986</v>
      </c>
      <c r="C1460" s="42" t="s">
        <v>16985</v>
      </c>
      <c r="D1460" s="43" t="str">
        <f t="shared" si="52"/>
        <v>2022.003D.Lefavirales_106rensp.zip</v>
      </c>
    </row>
    <row r="1461" spans="1:4">
      <c r="A1461" s="24" t="s">
        <v>14822</v>
      </c>
      <c r="B1461" s="42" t="s">
        <v>16984</v>
      </c>
      <c r="C1461" s="42" t="s">
        <v>16983</v>
      </c>
      <c r="D1461" s="43" t="str">
        <f t="shared" si="52"/>
        <v>2022.003D.Lefavirales_106rensp.zip</v>
      </c>
    </row>
    <row r="1462" spans="1:4">
      <c r="A1462" s="24" t="s">
        <v>14822</v>
      </c>
      <c r="B1462" s="42" t="s">
        <v>16980</v>
      </c>
      <c r="C1462" s="42" t="s">
        <v>16979</v>
      </c>
      <c r="D1462" s="43" t="str">
        <f t="shared" si="52"/>
        <v>2022.003D.Lefavirales_106rensp.zip</v>
      </c>
    </row>
    <row r="1463" spans="1:4">
      <c r="A1463" s="24" t="s">
        <v>14822</v>
      </c>
      <c r="B1463" s="42" t="s">
        <v>16978</v>
      </c>
      <c r="C1463" s="42" t="s">
        <v>16977</v>
      </c>
      <c r="D1463" s="43" t="str">
        <f t="shared" si="52"/>
        <v>2022.003D.Lefavirales_106rensp.zip</v>
      </c>
    </row>
    <row r="1464" spans="1:4">
      <c r="A1464" s="24" t="s">
        <v>14822</v>
      </c>
      <c r="B1464" s="42" t="s">
        <v>16976</v>
      </c>
      <c r="C1464" s="42" t="s">
        <v>16975</v>
      </c>
      <c r="D1464" s="43" t="str">
        <f t="shared" si="52"/>
        <v>2022.003D.Lefavirales_106rensp.zip</v>
      </c>
    </row>
    <row r="1465" spans="1:4">
      <c r="A1465" s="24" t="s">
        <v>14822</v>
      </c>
      <c r="B1465" s="42" t="s">
        <v>16974</v>
      </c>
      <c r="C1465" s="42" t="s">
        <v>16973</v>
      </c>
      <c r="D1465" s="43" t="str">
        <f t="shared" si="52"/>
        <v>2022.003D.Lefavirales_106rensp.zip</v>
      </c>
    </row>
    <row r="1466" spans="1:4">
      <c r="A1466" s="24" t="s">
        <v>14822</v>
      </c>
      <c r="B1466" s="42" t="s">
        <v>16972</v>
      </c>
      <c r="C1466" s="42" t="s">
        <v>16971</v>
      </c>
      <c r="D1466" s="43" t="str">
        <f t="shared" si="52"/>
        <v>2022.003D.Lefavirales_106rensp.zip</v>
      </c>
    </row>
    <row r="1467" spans="1:4">
      <c r="A1467" s="24" t="s">
        <v>14822</v>
      </c>
      <c r="B1467" s="42" t="s">
        <v>16968</v>
      </c>
      <c r="C1467" s="42" t="s">
        <v>16967</v>
      </c>
      <c r="D1467" s="43" t="str">
        <f t="shared" si="52"/>
        <v>2022.003D.Lefavirales_106rensp.zip</v>
      </c>
    </row>
    <row r="1468" spans="1:4">
      <c r="A1468" s="24" t="s">
        <v>14822</v>
      </c>
      <c r="B1468" s="42" t="s">
        <v>16966</v>
      </c>
      <c r="C1468" s="42" t="s">
        <v>16965</v>
      </c>
      <c r="D1468" s="43" t="str">
        <f t="shared" si="52"/>
        <v>2022.003D.Lefavirales_106rensp.zip</v>
      </c>
    </row>
    <row r="1469" spans="1:4">
      <c r="A1469" s="24" t="s">
        <v>14822</v>
      </c>
      <c r="B1469" s="42" t="s">
        <v>16960</v>
      </c>
      <c r="C1469" s="42" t="s">
        <v>16959</v>
      </c>
      <c r="D1469" s="43" t="str">
        <f t="shared" si="52"/>
        <v>2022.003D.Lefavirales_106rensp.zip</v>
      </c>
    </row>
    <row r="1470" spans="1:4">
      <c r="A1470" s="24" t="s">
        <v>14822</v>
      </c>
      <c r="B1470" s="42" t="s">
        <v>16936</v>
      </c>
      <c r="C1470" s="42" t="s">
        <v>16935</v>
      </c>
      <c r="D1470" s="43" t="str">
        <f t="shared" si="52"/>
        <v>2022.003D.Lefavirales_106rensp.zip</v>
      </c>
    </row>
    <row r="1471" spans="1:4">
      <c r="A1471" s="24" t="s">
        <v>14822</v>
      </c>
      <c r="B1471" s="42" t="s">
        <v>16958</v>
      </c>
      <c r="C1471" s="42" t="s">
        <v>16957</v>
      </c>
      <c r="D1471" s="43" t="str">
        <f t="shared" ref="D1471:D1502" si="53">HYPERLINK("https://ictv.global/ictv/proposals/2022.003D.Lefavirales_106rensp.zip","2022.003D.Lefavirales_106rensp.zip")</f>
        <v>2022.003D.Lefavirales_106rensp.zip</v>
      </c>
    </row>
    <row r="1472" spans="1:4">
      <c r="A1472" s="24" t="s">
        <v>14822</v>
      </c>
      <c r="B1472" s="42" t="s">
        <v>16956</v>
      </c>
      <c r="C1472" s="42" t="s">
        <v>16955</v>
      </c>
      <c r="D1472" s="43" t="str">
        <f t="shared" si="53"/>
        <v>2022.003D.Lefavirales_106rensp.zip</v>
      </c>
    </row>
    <row r="1473" spans="1:4">
      <c r="A1473" s="24" t="s">
        <v>14822</v>
      </c>
      <c r="B1473" s="42" t="s">
        <v>16954</v>
      </c>
      <c r="C1473" s="42" t="s">
        <v>16953</v>
      </c>
      <c r="D1473" s="43" t="str">
        <f t="shared" si="53"/>
        <v>2022.003D.Lefavirales_106rensp.zip</v>
      </c>
    </row>
    <row r="1474" spans="1:4">
      <c r="A1474" s="24" t="s">
        <v>14822</v>
      </c>
      <c r="B1474" s="42" t="s">
        <v>16964</v>
      </c>
      <c r="C1474" s="42" t="s">
        <v>16963</v>
      </c>
      <c r="D1474" s="43" t="str">
        <f t="shared" si="53"/>
        <v>2022.003D.Lefavirales_106rensp.zip</v>
      </c>
    </row>
    <row r="1475" spans="1:4">
      <c r="A1475" s="24" t="s">
        <v>14822</v>
      </c>
      <c r="B1475" s="42" t="s">
        <v>16952</v>
      </c>
      <c r="C1475" s="42" t="s">
        <v>16951</v>
      </c>
      <c r="D1475" s="43" t="str">
        <f t="shared" si="53"/>
        <v>2022.003D.Lefavirales_106rensp.zip</v>
      </c>
    </row>
    <row r="1476" spans="1:4">
      <c r="A1476" s="24" t="s">
        <v>14822</v>
      </c>
      <c r="B1476" s="42" t="s">
        <v>16950</v>
      </c>
      <c r="C1476" s="42" t="s">
        <v>16949</v>
      </c>
      <c r="D1476" s="43" t="str">
        <f t="shared" si="53"/>
        <v>2022.003D.Lefavirales_106rensp.zip</v>
      </c>
    </row>
    <row r="1477" spans="1:4">
      <c r="A1477" s="24" t="s">
        <v>14822</v>
      </c>
      <c r="B1477" s="42" t="s">
        <v>16948</v>
      </c>
      <c r="C1477" s="42" t="s">
        <v>16947</v>
      </c>
      <c r="D1477" s="43" t="str">
        <f t="shared" si="53"/>
        <v>2022.003D.Lefavirales_106rensp.zip</v>
      </c>
    </row>
    <row r="1478" spans="1:4">
      <c r="A1478" s="24" t="s">
        <v>14822</v>
      </c>
      <c r="B1478" s="42" t="s">
        <v>16946</v>
      </c>
      <c r="C1478" s="42" t="s">
        <v>16945</v>
      </c>
      <c r="D1478" s="43" t="str">
        <f t="shared" si="53"/>
        <v>2022.003D.Lefavirales_106rensp.zip</v>
      </c>
    </row>
    <row r="1479" spans="1:4">
      <c r="A1479" s="24" t="s">
        <v>14822</v>
      </c>
      <c r="B1479" s="42" t="s">
        <v>16944</v>
      </c>
      <c r="C1479" s="42" t="s">
        <v>16943</v>
      </c>
      <c r="D1479" s="43" t="str">
        <f t="shared" si="53"/>
        <v>2022.003D.Lefavirales_106rensp.zip</v>
      </c>
    </row>
    <row r="1480" spans="1:4">
      <c r="A1480" s="24" t="s">
        <v>14822</v>
      </c>
      <c r="B1480" s="42" t="s">
        <v>16942</v>
      </c>
      <c r="C1480" s="42" t="s">
        <v>16941</v>
      </c>
      <c r="D1480" s="43" t="str">
        <f t="shared" si="53"/>
        <v>2022.003D.Lefavirales_106rensp.zip</v>
      </c>
    </row>
    <row r="1481" spans="1:4">
      <c r="A1481" s="24" t="s">
        <v>14822</v>
      </c>
      <c r="B1481" s="42" t="s">
        <v>16940</v>
      </c>
      <c r="C1481" s="42" t="s">
        <v>16939</v>
      </c>
      <c r="D1481" s="43" t="str">
        <f t="shared" si="53"/>
        <v>2022.003D.Lefavirales_106rensp.zip</v>
      </c>
    </row>
    <row r="1482" spans="1:4">
      <c r="A1482" s="24" t="s">
        <v>14822</v>
      </c>
      <c r="B1482" s="42" t="s">
        <v>16938</v>
      </c>
      <c r="C1482" s="42" t="s">
        <v>16937</v>
      </c>
      <c r="D1482" s="43" t="str">
        <f t="shared" si="53"/>
        <v>2022.003D.Lefavirales_106rensp.zip</v>
      </c>
    </row>
    <row r="1483" spans="1:4">
      <c r="A1483" s="24" t="s">
        <v>14822</v>
      </c>
      <c r="B1483" s="42" t="s">
        <v>16934</v>
      </c>
      <c r="C1483" s="42" t="s">
        <v>16933</v>
      </c>
      <c r="D1483" s="43" t="str">
        <f t="shared" si="53"/>
        <v>2022.003D.Lefavirales_106rensp.zip</v>
      </c>
    </row>
    <row r="1484" spans="1:4">
      <c r="A1484" s="24" t="s">
        <v>14822</v>
      </c>
      <c r="B1484" s="42" t="s">
        <v>16932</v>
      </c>
      <c r="C1484" s="42" t="s">
        <v>16931</v>
      </c>
      <c r="D1484" s="43" t="str">
        <f t="shared" si="53"/>
        <v>2022.003D.Lefavirales_106rensp.zip</v>
      </c>
    </row>
    <row r="1485" spans="1:4">
      <c r="A1485" s="24" t="s">
        <v>14822</v>
      </c>
      <c r="B1485" s="42" t="s">
        <v>16930</v>
      </c>
      <c r="C1485" s="42" t="s">
        <v>16929</v>
      </c>
      <c r="D1485" s="43" t="str">
        <f t="shared" si="53"/>
        <v>2022.003D.Lefavirales_106rensp.zip</v>
      </c>
    </row>
    <row r="1486" spans="1:4">
      <c r="A1486" s="24" t="s">
        <v>14822</v>
      </c>
      <c r="B1486" s="42" t="s">
        <v>16962</v>
      </c>
      <c r="C1486" s="42" t="s">
        <v>16961</v>
      </c>
      <c r="D1486" s="43" t="str">
        <f t="shared" si="53"/>
        <v>2022.003D.Lefavirales_106rensp.zip</v>
      </c>
    </row>
    <row r="1487" spans="1:4">
      <c r="A1487" s="24" t="s">
        <v>14822</v>
      </c>
      <c r="B1487" s="42" t="s">
        <v>16928</v>
      </c>
      <c r="C1487" s="42" t="s">
        <v>16927</v>
      </c>
      <c r="D1487" s="43" t="str">
        <f t="shared" si="53"/>
        <v>2022.003D.Lefavirales_106rensp.zip</v>
      </c>
    </row>
    <row r="1488" spans="1:4">
      <c r="A1488" s="24" t="s">
        <v>14822</v>
      </c>
      <c r="B1488" s="42" t="s">
        <v>16926</v>
      </c>
      <c r="C1488" s="42" t="s">
        <v>16925</v>
      </c>
      <c r="D1488" s="43" t="str">
        <f t="shared" si="53"/>
        <v>2022.003D.Lefavirales_106rensp.zip</v>
      </c>
    </row>
    <row r="1489" spans="1:4">
      <c r="A1489" s="24" t="s">
        <v>14822</v>
      </c>
      <c r="B1489" s="42" t="s">
        <v>16924</v>
      </c>
      <c r="C1489" s="42" t="s">
        <v>16923</v>
      </c>
      <c r="D1489" s="43" t="str">
        <f t="shared" si="53"/>
        <v>2022.003D.Lefavirales_106rensp.zip</v>
      </c>
    </row>
    <row r="1490" spans="1:4">
      <c r="A1490" s="24" t="s">
        <v>14822</v>
      </c>
      <c r="B1490" s="42" t="s">
        <v>16920</v>
      </c>
      <c r="C1490" s="42" t="s">
        <v>16919</v>
      </c>
      <c r="D1490" s="43" t="str">
        <f t="shared" si="53"/>
        <v>2022.003D.Lefavirales_106rensp.zip</v>
      </c>
    </row>
    <row r="1491" spans="1:4">
      <c r="A1491" s="24" t="s">
        <v>14822</v>
      </c>
      <c r="B1491" s="42" t="s">
        <v>16922</v>
      </c>
      <c r="C1491" s="42" t="s">
        <v>16921</v>
      </c>
      <c r="D1491" s="43" t="str">
        <f t="shared" si="53"/>
        <v>2022.003D.Lefavirales_106rensp.zip</v>
      </c>
    </row>
    <row r="1492" spans="1:4">
      <c r="A1492" s="24" t="s">
        <v>14822</v>
      </c>
      <c r="B1492" s="42" t="s">
        <v>16918</v>
      </c>
      <c r="C1492" s="42" t="s">
        <v>16917</v>
      </c>
      <c r="D1492" s="43" t="str">
        <f t="shared" si="53"/>
        <v>2022.003D.Lefavirales_106rensp.zip</v>
      </c>
    </row>
    <row r="1493" spans="1:4">
      <c r="A1493" s="24" t="s">
        <v>14822</v>
      </c>
      <c r="B1493" s="42" t="s">
        <v>16916</v>
      </c>
      <c r="C1493" s="42" t="s">
        <v>16915</v>
      </c>
      <c r="D1493" s="43" t="str">
        <f t="shared" si="53"/>
        <v>2022.003D.Lefavirales_106rensp.zip</v>
      </c>
    </row>
    <row r="1494" spans="1:4">
      <c r="A1494" s="24" t="s">
        <v>14822</v>
      </c>
      <c r="B1494" s="42" t="s">
        <v>16914</v>
      </c>
      <c r="C1494" s="42" t="s">
        <v>16913</v>
      </c>
      <c r="D1494" s="43" t="str">
        <f t="shared" si="53"/>
        <v>2022.003D.Lefavirales_106rensp.zip</v>
      </c>
    </row>
    <row r="1495" spans="1:4">
      <c r="A1495" s="24" t="s">
        <v>14822</v>
      </c>
      <c r="B1495" s="42" t="s">
        <v>16912</v>
      </c>
      <c r="C1495" s="42" t="s">
        <v>16911</v>
      </c>
      <c r="D1495" s="43" t="str">
        <f t="shared" si="53"/>
        <v>2022.003D.Lefavirales_106rensp.zip</v>
      </c>
    </row>
    <row r="1496" spans="1:4">
      <c r="A1496" s="24" t="s">
        <v>14822</v>
      </c>
      <c r="B1496" s="42" t="s">
        <v>16910</v>
      </c>
      <c r="C1496" s="42" t="s">
        <v>16909</v>
      </c>
      <c r="D1496" s="43" t="str">
        <f t="shared" si="53"/>
        <v>2022.003D.Lefavirales_106rensp.zip</v>
      </c>
    </row>
    <row r="1497" spans="1:4">
      <c r="A1497" s="24" t="s">
        <v>14822</v>
      </c>
      <c r="B1497" s="42" t="s">
        <v>16908</v>
      </c>
      <c r="C1497" s="42" t="s">
        <v>16907</v>
      </c>
      <c r="D1497" s="43" t="str">
        <f t="shared" si="53"/>
        <v>2022.003D.Lefavirales_106rensp.zip</v>
      </c>
    </row>
    <row r="1498" spans="1:4">
      <c r="A1498" s="24" t="s">
        <v>14822</v>
      </c>
      <c r="B1498" s="42" t="s">
        <v>16906</v>
      </c>
      <c r="C1498" s="42" t="s">
        <v>16905</v>
      </c>
      <c r="D1498" s="43" t="str">
        <f t="shared" si="53"/>
        <v>2022.003D.Lefavirales_106rensp.zip</v>
      </c>
    </row>
    <row r="1499" spans="1:4">
      <c r="A1499" s="24" t="s">
        <v>14822</v>
      </c>
      <c r="B1499" s="42" t="s">
        <v>16902</v>
      </c>
      <c r="C1499" s="42" t="s">
        <v>16901</v>
      </c>
      <c r="D1499" s="43" t="str">
        <f t="shared" si="53"/>
        <v>2022.003D.Lefavirales_106rensp.zip</v>
      </c>
    </row>
    <row r="1500" spans="1:4">
      <c r="A1500" s="24" t="s">
        <v>14822</v>
      </c>
      <c r="B1500" s="42" t="s">
        <v>16900</v>
      </c>
      <c r="C1500" s="42" t="s">
        <v>16899</v>
      </c>
      <c r="D1500" s="43" t="str">
        <f t="shared" si="53"/>
        <v>2022.003D.Lefavirales_106rensp.zip</v>
      </c>
    </row>
    <row r="1501" spans="1:4">
      <c r="A1501" s="24" t="s">
        <v>14822</v>
      </c>
      <c r="B1501" s="42" t="s">
        <v>16904</v>
      </c>
      <c r="C1501" s="42" t="s">
        <v>16903</v>
      </c>
      <c r="D1501" s="43" t="str">
        <f t="shared" si="53"/>
        <v>2022.003D.Lefavirales_106rensp.zip</v>
      </c>
    </row>
    <row r="1502" spans="1:4">
      <c r="A1502" s="24" t="s">
        <v>14822</v>
      </c>
      <c r="B1502" s="42" t="s">
        <v>16892</v>
      </c>
      <c r="C1502" s="42" t="s">
        <v>16891</v>
      </c>
      <c r="D1502" s="43" t="str">
        <f t="shared" si="53"/>
        <v>2022.003D.Lefavirales_106rensp.zip</v>
      </c>
    </row>
    <row r="1503" spans="1:4">
      <c r="A1503" s="24" t="s">
        <v>14822</v>
      </c>
      <c r="B1503" s="42" t="s">
        <v>16894</v>
      </c>
      <c r="C1503" s="42" t="s">
        <v>16893</v>
      </c>
      <c r="D1503" s="43" t="str">
        <f t="shared" ref="D1503:D1511" si="54">HYPERLINK("https://ictv.global/ictv/proposals/2022.003D.Lefavirales_106rensp.zip","2022.003D.Lefavirales_106rensp.zip")</f>
        <v>2022.003D.Lefavirales_106rensp.zip</v>
      </c>
    </row>
    <row r="1504" spans="1:4">
      <c r="A1504" s="24" t="s">
        <v>14822</v>
      </c>
      <c r="B1504" s="42" t="s">
        <v>16898</v>
      </c>
      <c r="C1504" s="42" t="s">
        <v>16897</v>
      </c>
      <c r="D1504" s="43" t="str">
        <f t="shared" si="54"/>
        <v>2022.003D.Lefavirales_106rensp.zip</v>
      </c>
    </row>
    <row r="1505" spans="1:4">
      <c r="A1505" s="24" t="s">
        <v>14822</v>
      </c>
      <c r="B1505" s="42" t="s">
        <v>16896</v>
      </c>
      <c r="C1505" s="42" t="s">
        <v>16895</v>
      </c>
      <c r="D1505" s="43" t="str">
        <f t="shared" si="54"/>
        <v>2022.003D.Lefavirales_106rensp.zip</v>
      </c>
    </row>
    <row r="1506" spans="1:4">
      <c r="A1506" s="24" t="s">
        <v>14822</v>
      </c>
      <c r="B1506" s="42" t="s">
        <v>16890</v>
      </c>
      <c r="C1506" s="42" t="s">
        <v>16889</v>
      </c>
      <c r="D1506" s="43" t="str">
        <f t="shared" si="54"/>
        <v>2022.003D.Lefavirales_106rensp.zip</v>
      </c>
    </row>
    <row r="1507" spans="1:4">
      <c r="A1507" s="24" t="s">
        <v>14822</v>
      </c>
      <c r="B1507" s="42" t="s">
        <v>16888</v>
      </c>
      <c r="C1507" s="42" t="s">
        <v>16887</v>
      </c>
      <c r="D1507" s="43" t="str">
        <f t="shared" si="54"/>
        <v>2022.003D.Lefavirales_106rensp.zip</v>
      </c>
    </row>
    <row r="1508" spans="1:4">
      <c r="A1508" s="24" t="s">
        <v>14822</v>
      </c>
      <c r="B1508" s="42" t="s">
        <v>16886</v>
      </c>
      <c r="C1508" s="42" t="s">
        <v>16885</v>
      </c>
      <c r="D1508" s="43" t="str">
        <f t="shared" si="54"/>
        <v>2022.003D.Lefavirales_106rensp.zip</v>
      </c>
    </row>
    <row r="1509" spans="1:4">
      <c r="A1509" s="24" t="s">
        <v>14822</v>
      </c>
      <c r="B1509" s="42" t="s">
        <v>16884</v>
      </c>
      <c r="C1509" s="42" t="s">
        <v>16883</v>
      </c>
      <c r="D1509" s="43" t="str">
        <f t="shared" si="54"/>
        <v>2022.003D.Lefavirales_106rensp.zip</v>
      </c>
    </row>
    <row r="1510" spans="1:4">
      <c r="A1510" s="24" t="s">
        <v>14822</v>
      </c>
      <c r="B1510" s="42" t="s">
        <v>16882</v>
      </c>
      <c r="C1510" s="42" t="s">
        <v>16881</v>
      </c>
      <c r="D1510" s="43" t="str">
        <f t="shared" si="54"/>
        <v>2022.003D.Lefavirales_106rensp.zip</v>
      </c>
    </row>
    <row r="1511" spans="1:4">
      <c r="A1511" s="24" t="s">
        <v>14822</v>
      </c>
      <c r="B1511" s="42" t="s">
        <v>16880</v>
      </c>
      <c r="C1511" s="42" t="s">
        <v>16879</v>
      </c>
      <c r="D1511" s="43" t="str">
        <f t="shared" si="54"/>
        <v>2022.003D.Lefavirales_106rensp.zip</v>
      </c>
    </row>
    <row r="1512" spans="1:4">
      <c r="A1512" s="24" t="s">
        <v>14822</v>
      </c>
      <c r="B1512" s="42" t="s">
        <v>18114</v>
      </c>
      <c r="C1512" s="42" t="s">
        <v>18113</v>
      </c>
      <c r="D1512" s="43" t="str">
        <f t="shared" ref="D1512:D1543" si="55">HYPERLINK("https://ictv.global/ictv/proposals/2022.008D.Aelloviridae_146rensp.zip","2022.008D.Aelloviridae_146rensp.zip")</f>
        <v>2022.008D.Aelloviridae_146rensp.zip</v>
      </c>
    </row>
    <row r="1513" spans="1:4">
      <c r="A1513" s="24" t="s">
        <v>14822</v>
      </c>
      <c r="B1513" s="42" t="s">
        <v>18112</v>
      </c>
      <c r="C1513" s="42" t="s">
        <v>18111</v>
      </c>
      <c r="D1513" s="43" t="str">
        <f t="shared" si="55"/>
        <v>2022.008D.Aelloviridae_146rensp.zip</v>
      </c>
    </row>
    <row r="1514" spans="1:4">
      <c r="A1514" s="24" t="s">
        <v>14822</v>
      </c>
      <c r="B1514" s="42" t="s">
        <v>18110</v>
      </c>
      <c r="C1514" s="42" t="s">
        <v>18109</v>
      </c>
      <c r="D1514" s="43" t="str">
        <f t="shared" si="55"/>
        <v>2022.008D.Aelloviridae_146rensp.zip</v>
      </c>
    </row>
    <row r="1515" spans="1:4">
      <c r="A1515" s="24" t="s">
        <v>14822</v>
      </c>
      <c r="B1515" s="42" t="s">
        <v>18108</v>
      </c>
      <c r="C1515" s="42" t="s">
        <v>18107</v>
      </c>
      <c r="D1515" s="43" t="str">
        <f t="shared" si="55"/>
        <v>2022.008D.Aelloviridae_146rensp.zip</v>
      </c>
    </row>
    <row r="1516" spans="1:4">
      <c r="A1516" s="24" t="s">
        <v>14822</v>
      </c>
      <c r="B1516" s="42" t="s">
        <v>18106</v>
      </c>
      <c r="C1516" s="42" t="s">
        <v>18105</v>
      </c>
      <c r="D1516" s="43" t="str">
        <f t="shared" si="55"/>
        <v>2022.008D.Aelloviridae_146rensp.zip</v>
      </c>
    </row>
    <row r="1517" spans="1:4">
      <c r="A1517" s="24" t="s">
        <v>14822</v>
      </c>
      <c r="B1517" s="42" t="s">
        <v>18104</v>
      </c>
      <c r="C1517" s="42" t="s">
        <v>18103</v>
      </c>
      <c r="D1517" s="43" t="str">
        <f t="shared" si="55"/>
        <v>2022.008D.Aelloviridae_146rensp.zip</v>
      </c>
    </row>
    <row r="1518" spans="1:4">
      <c r="A1518" s="24" t="s">
        <v>14822</v>
      </c>
      <c r="B1518" s="42" t="s">
        <v>18098</v>
      </c>
      <c r="C1518" s="42" t="s">
        <v>18097</v>
      </c>
      <c r="D1518" s="43" t="str">
        <f t="shared" si="55"/>
        <v>2022.008D.Aelloviridae_146rensp.zip</v>
      </c>
    </row>
    <row r="1519" spans="1:4">
      <c r="A1519" s="24" t="s">
        <v>14822</v>
      </c>
      <c r="B1519" s="42" t="s">
        <v>18082</v>
      </c>
      <c r="C1519" s="42" t="s">
        <v>18081</v>
      </c>
      <c r="D1519" s="43" t="str">
        <f t="shared" si="55"/>
        <v>2022.008D.Aelloviridae_146rensp.zip</v>
      </c>
    </row>
    <row r="1520" spans="1:4">
      <c r="A1520" s="24" t="s">
        <v>14822</v>
      </c>
      <c r="B1520" s="42" t="s">
        <v>18072</v>
      </c>
      <c r="C1520" s="42" t="s">
        <v>18071</v>
      </c>
      <c r="D1520" s="43" t="str">
        <f t="shared" si="55"/>
        <v>2022.008D.Aelloviridae_146rensp.zip</v>
      </c>
    </row>
    <row r="1521" spans="1:4">
      <c r="A1521" s="24" t="s">
        <v>14822</v>
      </c>
      <c r="B1521" s="42" t="s">
        <v>18068</v>
      </c>
      <c r="C1521" s="42" t="s">
        <v>18067</v>
      </c>
      <c r="D1521" s="43" t="str">
        <f t="shared" si="55"/>
        <v>2022.008D.Aelloviridae_146rensp.zip</v>
      </c>
    </row>
    <row r="1522" spans="1:4">
      <c r="A1522" s="24" t="s">
        <v>14822</v>
      </c>
      <c r="B1522" s="42" t="s">
        <v>18066</v>
      </c>
      <c r="C1522" s="42" t="s">
        <v>18065</v>
      </c>
      <c r="D1522" s="43" t="str">
        <f t="shared" si="55"/>
        <v>2022.008D.Aelloviridae_146rensp.zip</v>
      </c>
    </row>
    <row r="1523" spans="1:4">
      <c r="A1523" s="24" t="s">
        <v>14822</v>
      </c>
      <c r="B1523" s="42" t="s">
        <v>18064</v>
      </c>
      <c r="C1523" s="42" t="s">
        <v>18063</v>
      </c>
      <c r="D1523" s="43" t="str">
        <f t="shared" si="55"/>
        <v>2022.008D.Aelloviridae_146rensp.zip</v>
      </c>
    </row>
    <row r="1524" spans="1:4">
      <c r="A1524" s="24" t="s">
        <v>14822</v>
      </c>
      <c r="B1524" s="42" t="s">
        <v>18062</v>
      </c>
      <c r="C1524" s="42" t="s">
        <v>18061</v>
      </c>
      <c r="D1524" s="43" t="str">
        <f t="shared" si="55"/>
        <v>2022.008D.Aelloviridae_146rensp.zip</v>
      </c>
    </row>
    <row r="1525" spans="1:4">
      <c r="A1525" s="24" t="s">
        <v>14822</v>
      </c>
      <c r="B1525" s="42" t="s">
        <v>18060</v>
      </c>
      <c r="C1525" s="42" t="s">
        <v>18059</v>
      </c>
      <c r="D1525" s="43" t="str">
        <f t="shared" si="55"/>
        <v>2022.008D.Aelloviridae_146rensp.zip</v>
      </c>
    </row>
    <row r="1526" spans="1:4">
      <c r="A1526" s="24" t="s">
        <v>14822</v>
      </c>
      <c r="B1526" s="42" t="s">
        <v>18096</v>
      </c>
      <c r="C1526" s="42" t="s">
        <v>18095</v>
      </c>
      <c r="D1526" s="43" t="str">
        <f t="shared" si="55"/>
        <v>2022.008D.Aelloviridae_146rensp.zip</v>
      </c>
    </row>
    <row r="1527" spans="1:4">
      <c r="A1527" s="24" t="s">
        <v>14822</v>
      </c>
      <c r="B1527" s="42" t="s">
        <v>18094</v>
      </c>
      <c r="C1527" s="42" t="s">
        <v>18093</v>
      </c>
      <c r="D1527" s="43" t="str">
        <f t="shared" si="55"/>
        <v>2022.008D.Aelloviridae_146rensp.zip</v>
      </c>
    </row>
    <row r="1528" spans="1:4">
      <c r="A1528" s="24" t="s">
        <v>14822</v>
      </c>
      <c r="B1528" s="42" t="s">
        <v>18092</v>
      </c>
      <c r="C1528" s="42" t="s">
        <v>18091</v>
      </c>
      <c r="D1528" s="43" t="str">
        <f t="shared" si="55"/>
        <v>2022.008D.Aelloviridae_146rensp.zip</v>
      </c>
    </row>
    <row r="1529" spans="1:4">
      <c r="A1529" s="24" t="s">
        <v>14822</v>
      </c>
      <c r="B1529" s="42" t="s">
        <v>18090</v>
      </c>
      <c r="C1529" s="42" t="s">
        <v>18089</v>
      </c>
      <c r="D1529" s="43" t="str">
        <f t="shared" si="55"/>
        <v>2022.008D.Aelloviridae_146rensp.zip</v>
      </c>
    </row>
    <row r="1530" spans="1:4">
      <c r="A1530" s="24" t="s">
        <v>14822</v>
      </c>
      <c r="B1530" s="42" t="s">
        <v>18088</v>
      </c>
      <c r="C1530" s="42" t="s">
        <v>18087</v>
      </c>
      <c r="D1530" s="43" t="str">
        <f t="shared" si="55"/>
        <v>2022.008D.Aelloviridae_146rensp.zip</v>
      </c>
    </row>
    <row r="1531" spans="1:4">
      <c r="A1531" s="24" t="s">
        <v>14822</v>
      </c>
      <c r="B1531" s="42" t="s">
        <v>18086</v>
      </c>
      <c r="C1531" s="42" t="s">
        <v>18085</v>
      </c>
      <c r="D1531" s="43" t="str">
        <f t="shared" si="55"/>
        <v>2022.008D.Aelloviridae_146rensp.zip</v>
      </c>
    </row>
    <row r="1532" spans="1:4">
      <c r="A1532" s="24" t="s">
        <v>14822</v>
      </c>
      <c r="B1532" s="42" t="s">
        <v>18084</v>
      </c>
      <c r="C1532" s="42" t="s">
        <v>18083</v>
      </c>
      <c r="D1532" s="43" t="str">
        <f t="shared" si="55"/>
        <v>2022.008D.Aelloviridae_146rensp.zip</v>
      </c>
    </row>
    <row r="1533" spans="1:4">
      <c r="A1533" s="24" t="s">
        <v>14822</v>
      </c>
      <c r="B1533" s="42" t="s">
        <v>18080</v>
      </c>
      <c r="C1533" s="42" t="s">
        <v>18079</v>
      </c>
      <c r="D1533" s="43" t="str">
        <f t="shared" si="55"/>
        <v>2022.008D.Aelloviridae_146rensp.zip</v>
      </c>
    </row>
    <row r="1534" spans="1:4">
      <c r="A1534" s="24" t="s">
        <v>14822</v>
      </c>
      <c r="B1534" s="42" t="s">
        <v>18078</v>
      </c>
      <c r="C1534" s="42" t="s">
        <v>18077</v>
      </c>
      <c r="D1534" s="43" t="str">
        <f t="shared" si="55"/>
        <v>2022.008D.Aelloviridae_146rensp.zip</v>
      </c>
    </row>
    <row r="1535" spans="1:4">
      <c r="A1535" s="24" t="s">
        <v>14822</v>
      </c>
      <c r="B1535" s="42" t="s">
        <v>18076</v>
      </c>
      <c r="C1535" s="42" t="s">
        <v>18075</v>
      </c>
      <c r="D1535" s="43" t="str">
        <f t="shared" si="55"/>
        <v>2022.008D.Aelloviridae_146rensp.zip</v>
      </c>
    </row>
    <row r="1536" spans="1:4">
      <c r="A1536" s="24" t="s">
        <v>14822</v>
      </c>
      <c r="B1536" s="42" t="s">
        <v>18100</v>
      </c>
      <c r="C1536" s="42" t="s">
        <v>18099</v>
      </c>
      <c r="D1536" s="43" t="str">
        <f t="shared" si="55"/>
        <v>2022.008D.Aelloviridae_146rensp.zip</v>
      </c>
    </row>
    <row r="1537" spans="1:4">
      <c r="A1537" s="24" t="s">
        <v>14822</v>
      </c>
      <c r="B1537" s="42" t="s">
        <v>18102</v>
      </c>
      <c r="C1537" s="42" t="s">
        <v>18101</v>
      </c>
      <c r="D1537" s="43" t="str">
        <f t="shared" si="55"/>
        <v>2022.008D.Aelloviridae_146rensp.zip</v>
      </c>
    </row>
    <row r="1538" spans="1:4">
      <c r="A1538" s="24" t="s">
        <v>14822</v>
      </c>
      <c r="B1538" s="42" t="s">
        <v>18074</v>
      </c>
      <c r="C1538" s="42" t="s">
        <v>18073</v>
      </c>
      <c r="D1538" s="43" t="str">
        <f t="shared" si="55"/>
        <v>2022.008D.Aelloviridae_146rensp.zip</v>
      </c>
    </row>
    <row r="1539" spans="1:4">
      <c r="A1539" s="24" t="s">
        <v>14822</v>
      </c>
      <c r="B1539" s="42" t="s">
        <v>18070</v>
      </c>
      <c r="C1539" s="42" t="s">
        <v>18069</v>
      </c>
      <c r="D1539" s="43" t="str">
        <f t="shared" si="55"/>
        <v>2022.008D.Aelloviridae_146rensp.zip</v>
      </c>
    </row>
    <row r="1540" spans="1:4">
      <c r="A1540" s="24" t="s">
        <v>14822</v>
      </c>
      <c r="B1540" s="42" t="s">
        <v>18058</v>
      </c>
      <c r="C1540" s="42" t="s">
        <v>18057</v>
      </c>
      <c r="D1540" s="43" t="str">
        <f t="shared" si="55"/>
        <v>2022.008D.Aelloviridae_146rensp.zip</v>
      </c>
    </row>
    <row r="1541" spans="1:4">
      <c r="A1541" s="24" t="s">
        <v>14822</v>
      </c>
      <c r="B1541" s="42" t="s">
        <v>18036</v>
      </c>
      <c r="C1541" s="42" t="s">
        <v>18035</v>
      </c>
      <c r="D1541" s="43" t="str">
        <f t="shared" si="55"/>
        <v>2022.008D.Aelloviridae_146rensp.zip</v>
      </c>
    </row>
    <row r="1542" spans="1:4">
      <c r="A1542" s="24" t="s">
        <v>14822</v>
      </c>
      <c r="B1542" s="42" t="s">
        <v>18014</v>
      </c>
      <c r="C1542" s="42" t="s">
        <v>18013</v>
      </c>
      <c r="D1542" s="43" t="str">
        <f t="shared" si="55"/>
        <v>2022.008D.Aelloviridae_146rensp.zip</v>
      </c>
    </row>
    <row r="1543" spans="1:4">
      <c r="A1543" s="24" t="s">
        <v>14822</v>
      </c>
      <c r="B1543" s="42" t="s">
        <v>17994</v>
      </c>
      <c r="C1543" s="42" t="s">
        <v>17993</v>
      </c>
      <c r="D1543" s="43" t="str">
        <f t="shared" si="55"/>
        <v>2022.008D.Aelloviridae_146rensp.zip</v>
      </c>
    </row>
    <row r="1544" spans="1:4">
      <c r="A1544" s="24" t="s">
        <v>14822</v>
      </c>
      <c r="B1544" s="42" t="s">
        <v>17992</v>
      </c>
      <c r="C1544" s="42" t="s">
        <v>17991</v>
      </c>
      <c r="D1544" s="43" t="str">
        <f t="shared" ref="D1544:D1575" si="56">HYPERLINK("https://ictv.global/ictv/proposals/2022.008D.Aelloviridae_146rensp.zip","2022.008D.Aelloviridae_146rensp.zip")</f>
        <v>2022.008D.Aelloviridae_146rensp.zip</v>
      </c>
    </row>
    <row r="1545" spans="1:4">
      <c r="A1545" s="24" t="s">
        <v>14822</v>
      </c>
      <c r="B1545" s="42" t="s">
        <v>17990</v>
      </c>
      <c r="C1545" s="42" t="s">
        <v>17989</v>
      </c>
      <c r="D1545" s="43" t="str">
        <f t="shared" si="56"/>
        <v>2022.008D.Aelloviridae_146rensp.zip</v>
      </c>
    </row>
    <row r="1546" spans="1:4">
      <c r="A1546" s="24" t="s">
        <v>14822</v>
      </c>
      <c r="B1546" s="42" t="s">
        <v>17988</v>
      </c>
      <c r="C1546" s="42" t="s">
        <v>17987</v>
      </c>
      <c r="D1546" s="43" t="str">
        <f t="shared" si="56"/>
        <v>2022.008D.Aelloviridae_146rensp.zip</v>
      </c>
    </row>
    <row r="1547" spans="1:4">
      <c r="A1547" s="24" t="s">
        <v>14822</v>
      </c>
      <c r="B1547" s="42" t="s">
        <v>17986</v>
      </c>
      <c r="C1547" s="42" t="s">
        <v>17985</v>
      </c>
      <c r="D1547" s="43" t="str">
        <f t="shared" si="56"/>
        <v>2022.008D.Aelloviridae_146rensp.zip</v>
      </c>
    </row>
    <row r="1548" spans="1:4">
      <c r="A1548" s="24" t="s">
        <v>14822</v>
      </c>
      <c r="B1548" s="42" t="s">
        <v>17984</v>
      </c>
      <c r="C1548" s="42" t="s">
        <v>17983</v>
      </c>
      <c r="D1548" s="43" t="str">
        <f t="shared" si="56"/>
        <v>2022.008D.Aelloviridae_146rensp.zip</v>
      </c>
    </row>
    <row r="1549" spans="1:4">
      <c r="A1549" s="24" t="s">
        <v>14822</v>
      </c>
      <c r="B1549" s="42" t="s">
        <v>18056</v>
      </c>
      <c r="C1549" s="42" t="s">
        <v>18055</v>
      </c>
      <c r="D1549" s="43" t="str">
        <f t="shared" si="56"/>
        <v>2022.008D.Aelloviridae_146rensp.zip</v>
      </c>
    </row>
    <row r="1550" spans="1:4">
      <c r="A1550" s="24" t="s">
        <v>14822</v>
      </c>
      <c r="B1550" s="42" t="s">
        <v>18054</v>
      </c>
      <c r="C1550" s="42" t="s">
        <v>18053</v>
      </c>
      <c r="D1550" s="43" t="str">
        <f t="shared" si="56"/>
        <v>2022.008D.Aelloviridae_146rensp.zip</v>
      </c>
    </row>
    <row r="1551" spans="1:4">
      <c r="A1551" s="24" t="s">
        <v>14822</v>
      </c>
      <c r="B1551" s="42" t="s">
        <v>18052</v>
      </c>
      <c r="C1551" s="42" t="s">
        <v>18051</v>
      </c>
      <c r="D1551" s="43" t="str">
        <f t="shared" si="56"/>
        <v>2022.008D.Aelloviridae_146rensp.zip</v>
      </c>
    </row>
    <row r="1552" spans="1:4">
      <c r="A1552" s="24" t="s">
        <v>14822</v>
      </c>
      <c r="B1552" s="42" t="s">
        <v>18050</v>
      </c>
      <c r="C1552" s="42" t="s">
        <v>18049</v>
      </c>
      <c r="D1552" s="43" t="str">
        <f t="shared" si="56"/>
        <v>2022.008D.Aelloviridae_146rensp.zip</v>
      </c>
    </row>
    <row r="1553" spans="1:4">
      <c r="A1553" s="24" t="s">
        <v>14822</v>
      </c>
      <c r="B1553" s="42" t="s">
        <v>18048</v>
      </c>
      <c r="C1553" s="42" t="s">
        <v>18047</v>
      </c>
      <c r="D1553" s="43" t="str">
        <f t="shared" si="56"/>
        <v>2022.008D.Aelloviridae_146rensp.zip</v>
      </c>
    </row>
    <row r="1554" spans="1:4">
      <c r="A1554" s="24" t="s">
        <v>14822</v>
      </c>
      <c r="B1554" s="42" t="s">
        <v>18046</v>
      </c>
      <c r="C1554" s="42" t="s">
        <v>18045</v>
      </c>
      <c r="D1554" s="43" t="str">
        <f t="shared" si="56"/>
        <v>2022.008D.Aelloviridae_146rensp.zip</v>
      </c>
    </row>
    <row r="1555" spans="1:4">
      <c r="A1555" s="24" t="s">
        <v>14822</v>
      </c>
      <c r="B1555" s="42" t="s">
        <v>18044</v>
      </c>
      <c r="C1555" s="42" t="s">
        <v>18043</v>
      </c>
      <c r="D1555" s="43" t="str">
        <f t="shared" si="56"/>
        <v>2022.008D.Aelloviridae_146rensp.zip</v>
      </c>
    </row>
    <row r="1556" spans="1:4">
      <c r="A1556" s="24" t="s">
        <v>14822</v>
      </c>
      <c r="B1556" s="42" t="s">
        <v>18042</v>
      </c>
      <c r="C1556" s="42" t="s">
        <v>18041</v>
      </c>
      <c r="D1556" s="43" t="str">
        <f t="shared" si="56"/>
        <v>2022.008D.Aelloviridae_146rensp.zip</v>
      </c>
    </row>
    <row r="1557" spans="1:4">
      <c r="A1557" s="24" t="s">
        <v>14822</v>
      </c>
      <c r="B1557" s="42" t="s">
        <v>18040</v>
      </c>
      <c r="C1557" s="42" t="s">
        <v>18039</v>
      </c>
      <c r="D1557" s="43" t="str">
        <f t="shared" si="56"/>
        <v>2022.008D.Aelloviridae_146rensp.zip</v>
      </c>
    </row>
    <row r="1558" spans="1:4">
      <c r="A1558" s="24" t="s">
        <v>14822</v>
      </c>
      <c r="B1558" s="42" t="s">
        <v>18038</v>
      </c>
      <c r="C1558" s="42" t="s">
        <v>18037</v>
      </c>
      <c r="D1558" s="43" t="str">
        <f t="shared" si="56"/>
        <v>2022.008D.Aelloviridae_146rensp.zip</v>
      </c>
    </row>
    <row r="1559" spans="1:4">
      <c r="A1559" s="24" t="s">
        <v>14822</v>
      </c>
      <c r="B1559" s="42" t="s">
        <v>18034</v>
      </c>
      <c r="C1559" s="42" t="s">
        <v>18033</v>
      </c>
      <c r="D1559" s="43" t="str">
        <f t="shared" si="56"/>
        <v>2022.008D.Aelloviridae_146rensp.zip</v>
      </c>
    </row>
    <row r="1560" spans="1:4">
      <c r="A1560" s="24" t="s">
        <v>14822</v>
      </c>
      <c r="B1560" s="42" t="s">
        <v>18032</v>
      </c>
      <c r="C1560" s="42" t="s">
        <v>18031</v>
      </c>
      <c r="D1560" s="43" t="str">
        <f t="shared" si="56"/>
        <v>2022.008D.Aelloviridae_146rensp.zip</v>
      </c>
    </row>
    <row r="1561" spans="1:4">
      <c r="A1561" s="24" t="s">
        <v>14822</v>
      </c>
      <c r="B1561" s="42" t="s">
        <v>18030</v>
      </c>
      <c r="C1561" s="42" t="s">
        <v>18029</v>
      </c>
      <c r="D1561" s="43" t="str">
        <f t="shared" si="56"/>
        <v>2022.008D.Aelloviridae_146rensp.zip</v>
      </c>
    </row>
    <row r="1562" spans="1:4">
      <c r="A1562" s="24" t="s">
        <v>14822</v>
      </c>
      <c r="B1562" s="42" t="s">
        <v>18028</v>
      </c>
      <c r="C1562" s="42" t="s">
        <v>18027</v>
      </c>
      <c r="D1562" s="43" t="str">
        <f t="shared" si="56"/>
        <v>2022.008D.Aelloviridae_146rensp.zip</v>
      </c>
    </row>
    <row r="1563" spans="1:4">
      <c r="A1563" s="24" t="s">
        <v>14822</v>
      </c>
      <c r="B1563" s="42" t="s">
        <v>18026</v>
      </c>
      <c r="C1563" s="42" t="s">
        <v>18025</v>
      </c>
      <c r="D1563" s="43" t="str">
        <f t="shared" si="56"/>
        <v>2022.008D.Aelloviridae_146rensp.zip</v>
      </c>
    </row>
    <row r="1564" spans="1:4">
      <c r="A1564" s="24" t="s">
        <v>14822</v>
      </c>
      <c r="B1564" s="42" t="s">
        <v>18024</v>
      </c>
      <c r="C1564" s="42" t="s">
        <v>18023</v>
      </c>
      <c r="D1564" s="43" t="str">
        <f t="shared" si="56"/>
        <v>2022.008D.Aelloviridae_146rensp.zip</v>
      </c>
    </row>
    <row r="1565" spans="1:4">
      <c r="A1565" s="24" t="s">
        <v>14822</v>
      </c>
      <c r="B1565" s="42" t="s">
        <v>18022</v>
      </c>
      <c r="C1565" s="42" t="s">
        <v>18021</v>
      </c>
      <c r="D1565" s="43" t="str">
        <f t="shared" si="56"/>
        <v>2022.008D.Aelloviridae_146rensp.zip</v>
      </c>
    </row>
    <row r="1566" spans="1:4">
      <c r="A1566" s="24" t="s">
        <v>14822</v>
      </c>
      <c r="B1566" s="42" t="s">
        <v>18020</v>
      </c>
      <c r="C1566" s="42" t="s">
        <v>18019</v>
      </c>
      <c r="D1566" s="43" t="str">
        <f t="shared" si="56"/>
        <v>2022.008D.Aelloviridae_146rensp.zip</v>
      </c>
    </row>
    <row r="1567" spans="1:4">
      <c r="A1567" s="24" t="s">
        <v>14822</v>
      </c>
      <c r="B1567" s="42" t="s">
        <v>18018</v>
      </c>
      <c r="C1567" s="42" t="s">
        <v>18017</v>
      </c>
      <c r="D1567" s="43" t="str">
        <f t="shared" si="56"/>
        <v>2022.008D.Aelloviridae_146rensp.zip</v>
      </c>
    </row>
    <row r="1568" spans="1:4">
      <c r="A1568" s="24" t="s">
        <v>14822</v>
      </c>
      <c r="B1568" s="42" t="s">
        <v>18016</v>
      </c>
      <c r="C1568" s="42" t="s">
        <v>18015</v>
      </c>
      <c r="D1568" s="43" t="str">
        <f t="shared" si="56"/>
        <v>2022.008D.Aelloviridae_146rensp.zip</v>
      </c>
    </row>
    <row r="1569" spans="1:4">
      <c r="A1569" s="24" t="s">
        <v>14822</v>
      </c>
      <c r="B1569" s="42" t="s">
        <v>18012</v>
      </c>
      <c r="C1569" s="42" t="s">
        <v>18011</v>
      </c>
      <c r="D1569" s="43" t="str">
        <f t="shared" si="56"/>
        <v>2022.008D.Aelloviridae_146rensp.zip</v>
      </c>
    </row>
    <row r="1570" spans="1:4">
      <c r="A1570" s="24" t="s">
        <v>14822</v>
      </c>
      <c r="B1570" s="42" t="s">
        <v>18010</v>
      </c>
      <c r="C1570" s="42" t="s">
        <v>18009</v>
      </c>
      <c r="D1570" s="43" t="str">
        <f t="shared" si="56"/>
        <v>2022.008D.Aelloviridae_146rensp.zip</v>
      </c>
    </row>
    <row r="1571" spans="1:4">
      <c r="A1571" s="24" t="s">
        <v>14822</v>
      </c>
      <c r="B1571" s="42" t="s">
        <v>18008</v>
      </c>
      <c r="C1571" s="42" t="s">
        <v>18007</v>
      </c>
      <c r="D1571" s="43" t="str">
        <f t="shared" si="56"/>
        <v>2022.008D.Aelloviridae_146rensp.zip</v>
      </c>
    </row>
    <row r="1572" spans="1:4">
      <c r="A1572" s="24" t="s">
        <v>14822</v>
      </c>
      <c r="B1572" s="42" t="s">
        <v>18006</v>
      </c>
      <c r="C1572" s="42" t="s">
        <v>18005</v>
      </c>
      <c r="D1572" s="43" t="str">
        <f t="shared" si="56"/>
        <v>2022.008D.Aelloviridae_146rensp.zip</v>
      </c>
    </row>
    <row r="1573" spans="1:4">
      <c r="A1573" s="24" t="s">
        <v>14822</v>
      </c>
      <c r="B1573" s="42" t="s">
        <v>18004</v>
      </c>
      <c r="C1573" s="42" t="s">
        <v>18003</v>
      </c>
      <c r="D1573" s="43" t="str">
        <f t="shared" si="56"/>
        <v>2022.008D.Aelloviridae_146rensp.zip</v>
      </c>
    </row>
    <row r="1574" spans="1:4">
      <c r="A1574" s="24" t="s">
        <v>14822</v>
      </c>
      <c r="B1574" s="42" t="s">
        <v>18002</v>
      </c>
      <c r="C1574" s="42" t="s">
        <v>18001</v>
      </c>
      <c r="D1574" s="43" t="str">
        <f t="shared" si="56"/>
        <v>2022.008D.Aelloviridae_146rensp.zip</v>
      </c>
    </row>
    <row r="1575" spans="1:4">
      <c r="A1575" s="24" t="s">
        <v>14822</v>
      </c>
      <c r="B1575" s="42" t="s">
        <v>18000</v>
      </c>
      <c r="C1575" s="42" t="s">
        <v>17999</v>
      </c>
      <c r="D1575" s="43" t="str">
        <f t="shared" si="56"/>
        <v>2022.008D.Aelloviridae_146rensp.zip</v>
      </c>
    </row>
    <row r="1576" spans="1:4">
      <c r="A1576" s="24" t="s">
        <v>14822</v>
      </c>
      <c r="B1576" s="42" t="s">
        <v>17998</v>
      </c>
      <c r="C1576" s="42" t="s">
        <v>17997</v>
      </c>
      <c r="D1576" s="43" t="str">
        <f t="shared" ref="D1576:D1607" si="57">HYPERLINK("https://ictv.global/ictv/proposals/2022.008D.Aelloviridae_146rensp.zip","2022.008D.Aelloviridae_146rensp.zip")</f>
        <v>2022.008D.Aelloviridae_146rensp.zip</v>
      </c>
    </row>
    <row r="1577" spans="1:4">
      <c r="A1577" s="24" t="s">
        <v>14822</v>
      </c>
      <c r="B1577" s="42" t="s">
        <v>17996</v>
      </c>
      <c r="C1577" s="42" t="s">
        <v>17995</v>
      </c>
      <c r="D1577" s="43" t="str">
        <f t="shared" si="57"/>
        <v>2022.008D.Aelloviridae_146rensp.zip</v>
      </c>
    </row>
    <row r="1578" spans="1:4">
      <c r="A1578" s="24" t="s">
        <v>14822</v>
      </c>
      <c r="B1578" s="42" t="s">
        <v>17982</v>
      </c>
      <c r="C1578" s="42" t="s">
        <v>17981</v>
      </c>
      <c r="D1578" s="43" t="str">
        <f t="shared" si="57"/>
        <v>2022.008D.Aelloviridae_146rensp.zip</v>
      </c>
    </row>
    <row r="1579" spans="1:4">
      <c r="A1579" s="24" t="s">
        <v>14822</v>
      </c>
      <c r="B1579" s="42" t="s">
        <v>17980</v>
      </c>
      <c r="C1579" s="42" t="s">
        <v>17979</v>
      </c>
      <c r="D1579" s="43" t="str">
        <f t="shared" si="57"/>
        <v>2022.008D.Aelloviridae_146rensp.zip</v>
      </c>
    </row>
    <row r="1580" spans="1:4">
      <c r="A1580" s="24" t="s">
        <v>14822</v>
      </c>
      <c r="B1580" s="42" t="s">
        <v>17978</v>
      </c>
      <c r="C1580" s="42" t="s">
        <v>17977</v>
      </c>
      <c r="D1580" s="43" t="str">
        <f t="shared" si="57"/>
        <v>2022.008D.Aelloviridae_146rensp.zip</v>
      </c>
    </row>
    <row r="1581" spans="1:4">
      <c r="A1581" s="24" t="s">
        <v>14822</v>
      </c>
      <c r="B1581" s="42" t="s">
        <v>17976</v>
      </c>
      <c r="C1581" s="42" t="s">
        <v>17975</v>
      </c>
      <c r="D1581" s="43" t="str">
        <f t="shared" si="57"/>
        <v>2022.008D.Aelloviridae_146rensp.zip</v>
      </c>
    </row>
    <row r="1582" spans="1:4">
      <c r="A1582" s="24" t="s">
        <v>14822</v>
      </c>
      <c r="B1582" s="42" t="s">
        <v>17974</v>
      </c>
      <c r="C1582" s="42" t="s">
        <v>17973</v>
      </c>
      <c r="D1582" s="43" t="str">
        <f t="shared" si="57"/>
        <v>2022.008D.Aelloviridae_146rensp.zip</v>
      </c>
    </row>
    <row r="1583" spans="1:4">
      <c r="A1583" s="24" t="s">
        <v>14822</v>
      </c>
      <c r="B1583" s="42" t="s">
        <v>17972</v>
      </c>
      <c r="C1583" s="42" t="s">
        <v>17971</v>
      </c>
      <c r="D1583" s="43" t="str">
        <f t="shared" si="57"/>
        <v>2022.008D.Aelloviridae_146rensp.zip</v>
      </c>
    </row>
    <row r="1584" spans="1:4">
      <c r="A1584" s="24" t="s">
        <v>14822</v>
      </c>
      <c r="B1584" s="42" t="s">
        <v>17970</v>
      </c>
      <c r="C1584" s="42" t="s">
        <v>17969</v>
      </c>
      <c r="D1584" s="43" t="str">
        <f t="shared" si="57"/>
        <v>2022.008D.Aelloviridae_146rensp.zip</v>
      </c>
    </row>
    <row r="1585" spans="1:4">
      <c r="A1585" s="24" t="s">
        <v>14822</v>
      </c>
      <c r="B1585" s="42" t="s">
        <v>17968</v>
      </c>
      <c r="C1585" s="42" t="s">
        <v>17967</v>
      </c>
      <c r="D1585" s="43" t="str">
        <f t="shared" si="57"/>
        <v>2022.008D.Aelloviridae_146rensp.zip</v>
      </c>
    </row>
    <row r="1586" spans="1:4">
      <c r="A1586" s="24" t="s">
        <v>14822</v>
      </c>
      <c r="B1586" s="42" t="s">
        <v>17966</v>
      </c>
      <c r="C1586" s="42" t="s">
        <v>17965</v>
      </c>
      <c r="D1586" s="43" t="str">
        <f t="shared" si="57"/>
        <v>2022.008D.Aelloviridae_146rensp.zip</v>
      </c>
    </row>
    <row r="1587" spans="1:4">
      <c r="A1587" s="24" t="s">
        <v>14822</v>
      </c>
      <c r="B1587" s="42" t="s">
        <v>17964</v>
      </c>
      <c r="C1587" s="42" t="s">
        <v>17963</v>
      </c>
      <c r="D1587" s="43" t="str">
        <f t="shared" si="57"/>
        <v>2022.008D.Aelloviridae_146rensp.zip</v>
      </c>
    </row>
    <row r="1588" spans="1:4">
      <c r="A1588" s="24" t="s">
        <v>14822</v>
      </c>
      <c r="B1588" s="42" t="s">
        <v>17962</v>
      </c>
      <c r="C1588" s="42" t="s">
        <v>17961</v>
      </c>
      <c r="D1588" s="43" t="str">
        <f t="shared" si="57"/>
        <v>2022.008D.Aelloviridae_146rensp.zip</v>
      </c>
    </row>
    <row r="1589" spans="1:4">
      <c r="A1589" s="24" t="s">
        <v>14822</v>
      </c>
      <c r="B1589" s="42" t="s">
        <v>17948</v>
      </c>
      <c r="C1589" s="42" t="s">
        <v>17947</v>
      </c>
      <c r="D1589" s="43" t="str">
        <f t="shared" si="57"/>
        <v>2022.008D.Aelloviridae_146rensp.zip</v>
      </c>
    </row>
    <row r="1590" spans="1:4">
      <c r="A1590" s="24" t="s">
        <v>14822</v>
      </c>
      <c r="B1590" s="42" t="s">
        <v>17946</v>
      </c>
      <c r="C1590" s="42" t="s">
        <v>17945</v>
      </c>
      <c r="D1590" s="43" t="str">
        <f t="shared" si="57"/>
        <v>2022.008D.Aelloviridae_146rensp.zip</v>
      </c>
    </row>
    <row r="1591" spans="1:4">
      <c r="A1591" s="24" t="s">
        <v>14822</v>
      </c>
      <c r="B1591" s="42" t="s">
        <v>17944</v>
      </c>
      <c r="C1591" s="42" t="s">
        <v>17943</v>
      </c>
      <c r="D1591" s="43" t="str">
        <f t="shared" si="57"/>
        <v>2022.008D.Aelloviridae_146rensp.zip</v>
      </c>
    </row>
    <row r="1592" spans="1:4">
      <c r="A1592" s="24" t="s">
        <v>14822</v>
      </c>
      <c r="B1592" s="42" t="s">
        <v>17942</v>
      </c>
      <c r="C1592" s="42" t="s">
        <v>17941</v>
      </c>
      <c r="D1592" s="43" t="str">
        <f t="shared" si="57"/>
        <v>2022.008D.Aelloviridae_146rensp.zip</v>
      </c>
    </row>
    <row r="1593" spans="1:4">
      <c r="A1593" s="24" t="s">
        <v>14822</v>
      </c>
      <c r="B1593" s="42" t="s">
        <v>17940</v>
      </c>
      <c r="C1593" s="42" t="s">
        <v>17939</v>
      </c>
      <c r="D1593" s="43" t="str">
        <f t="shared" si="57"/>
        <v>2022.008D.Aelloviridae_146rensp.zip</v>
      </c>
    </row>
    <row r="1594" spans="1:4">
      <c r="A1594" s="24" t="s">
        <v>14822</v>
      </c>
      <c r="B1594" s="42" t="s">
        <v>17938</v>
      </c>
      <c r="C1594" s="42" t="s">
        <v>17937</v>
      </c>
      <c r="D1594" s="43" t="str">
        <f t="shared" si="57"/>
        <v>2022.008D.Aelloviridae_146rensp.zip</v>
      </c>
    </row>
    <row r="1595" spans="1:4">
      <c r="A1595" s="24" t="s">
        <v>14822</v>
      </c>
      <c r="B1595" s="42" t="s">
        <v>17936</v>
      </c>
      <c r="C1595" s="42" t="s">
        <v>17935</v>
      </c>
      <c r="D1595" s="43" t="str">
        <f t="shared" si="57"/>
        <v>2022.008D.Aelloviridae_146rensp.zip</v>
      </c>
    </row>
    <row r="1596" spans="1:4">
      <c r="A1596" s="24" t="s">
        <v>14822</v>
      </c>
      <c r="B1596" s="42" t="s">
        <v>17934</v>
      </c>
      <c r="C1596" s="42" t="s">
        <v>17933</v>
      </c>
      <c r="D1596" s="43" t="str">
        <f t="shared" si="57"/>
        <v>2022.008D.Aelloviridae_146rensp.zip</v>
      </c>
    </row>
    <row r="1597" spans="1:4">
      <c r="A1597" s="24" t="s">
        <v>14822</v>
      </c>
      <c r="B1597" s="42" t="s">
        <v>17960</v>
      </c>
      <c r="C1597" s="42" t="s">
        <v>17959</v>
      </c>
      <c r="D1597" s="43" t="str">
        <f t="shared" si="57"/>
        <v>2022.008D.Aelloviridae_146rensp.zip</v>
      </c>
    </row>
    <row r="1598" spans="1:4">
      <c r="A1598" s="24" t="s">
        <v>14822</v>
      </c>
      <c r="B1598" s="42" t="s">
        <v>17958</v>
      </c>
      <c r="C1598" s="42" t="s">
        <v>17957</v>
      </c>
      <c r="D1598" s="43" t="str">
        <f t="shared" si="57"/>
        <v>2022.008D.Aelloviridae_146rensp.zip</v>
      </c>
    </row>
    <row r="1599" spans="1:4">
      <c r="A1599" s="24" t="s">
        <v>14822</v>
      </c>
      <c r="B1599" s="42" t="s">
        <v>17956</v>
      </c>
      <c r="C1599" s="42" t="s">
        <v>17955</v>
      </c>
      <c r="D1599" s="43" t="str">
        <f t="shared" si="57"/>
        <v>2022.008D.Aelloviridae_146rensp.zip</v>
      </c>
    </row>
    <row r="1600" spans="1:4">
      <c r="A1600" s="24" t="s">
        <v>14822</v>
      </c>
      <c r="B1600" s="42" t="s">
        <v>17954</v>
      </c>
      <c r="C1600" s="42" t="s">
        <v>17953</v>
      </c>
      <c r="D1600" s="43" t="str">
        <f t="shared" si="57"/>
        <v>2022.008D.Aelloviridae_146rensp.zip</v>
      </c>
    </row>
    <row r="1601" spans="1:4">
      <c r="A1601" s="24" t="s">
        <v>14822</v>
      </c>
      <c r="B1601" s="42" t="s">
        <v>17952</v>
      </c>
      <c r="C1601" s="42" t="s">
        <v>17951</v>
      </c>
      <c r="D1601" s="43" t="str">
        <f t="shared" si="57"/>
        <v>2022.008D.Aelloviridae_146rensp.zip</v>
      </c>
    </row>
    <row r="1602" spans="1:4">
      <c r="A1602" s="24" t="s">
        <v>14822</v>
      </c>
      <c r="B1602" s="42" t="s">
        <v>17950</v>
      </c>
      <c r="C1602" s="42" t="s">
        <v>17949</v>
      </c>
      <c r="D1602" s="43" t="str">
        <f t="shared" si="57"/>
        <v>2022.008D.Aelloviridae_146rensp.zip</v>
      </c>
    </row>
    <row r="1603" spans="1:4">
      <c r="A1603" s="24" t="s">
        <v>14822</v>
      </c>
      <c r="B1603" s="42" t="s">
        <v>17932</v>
      </c>
      <c r="C1603" s="42" t="s">
        <v>17931</v>
      </c>
      <c r="D1603" s="43" t="str">
        <f t="shared" si="57"/>
        <v>2022.008D.Aelloviridae_146rensp.zip</v>
      </c>
    </row>
    <row r="1604" spans="1:4">
      <c r="A1604" s="24" t="s">
        <v>14822</v>
      </c>
      <c r="B1604" s="42" t="s">
        <v>17930</v>
      </c>
      <c r="C1604" s="42" t="s">
        <v>17929</v>
      </c>
      <c r="D1604" s="43" t="str">
        <f t="shared" si="57"/>
        <v>2022.008D.Aelloviridae_146rensp.zip</v>
      </c>
    </row>
    <row r="1605" spans="1:4">
      <c r="A1605" s="24" t="s">
        <v>14822</v>
      </c>
      <c r="B1605" s="42" t="s">
        <v>17928</v>
      </c>
      <c r="C1605" s="42" t="s">
        <v>17927</v>
      </c>
      <c r="D1605" s="43" t="str">
        <f t="shared" si="57"/>
        <v>2022.008D.Aelloviridae_146rensp.zip</v>
      </c>
    </row>
    <row r="1606" spans="1:4">
      <c r="A1606" s="24" t="s">
        <v>14822</v>
      </c>
      <c r="B1606" s="42" t="s">
        <v>17926</v>
      </c>
      <c r="C1606" s="42" t="s">
        <v>17925</v>
      </c>
      <c r="D1606" s="43" t="str">
        <f t="shared" si="57"/>
        <v>2022.008D.Aelloviridae_146rensp.zip</v>
      </c>
    </row>
    <row r="1607" spans="1:4">
      <c r="A1607" s="24" t="s">
        <v>14822</v>
      </c>
      <c r="B1607" s="42" t="s">
        <v>17924</v>
      </c>
      <c r="C1607" s="42" t="s">
        <v>17923</v>
      </c>
      <c r="D1607" s="43" t="str">
        <f t="shared" si="57"/>
        <v>2022.008D.Aelloviridae_146rensp.zip</v>
      </c>
    </row>
    <row r="1608" spans="1:4">
      <c r="A1608" s="24" t="s">
        <v>14822</v>
      </c>
      <c r="B1608" s="42" t="s">
        <v>17922</v>
      </c>
      <c r="C1608" s="42" t="s">
        <v>17921</v>
      </c>
      <c r="D1608" s="43" t="str">
        <f t="shared" ref="D1608:D1639" si="58">HYPERLINK("https://ictv.global/ictv/proposals/2022.008D.Aelloviridae_146rensp.zip","2022.008D.Aelloviridae_146rensp.zip")</f>
        <v>2022.008D.Aelloviridae_146rensp.zip</v>
      </c>
    </row>
    <row r="1609" spans="1:4">
      <c r="A1609" s="24" t="s">
        <v>14822</v>
      </c>
      <c r="B1609" s="42" t="s">
        <v>17920</v>
      </c>
      <c r="C1609" s="42" t="s">
        <v>17919</v>
      </c>
      <c r="D1609" s="43" t="str">
        <f t="shared" si="58"/>
        <v>2022.008D.Aelloviridae_146rensp.zip</v>
      </c>
    </row>
    <row r="1610" spans="1:4">
      <c r="A1610" s="24" t="s">
        <v>14822</v>
      </c>
      <c r="B1610" s="42" t="s">
        <v>17918</v>
      </c>
      <c r="C1610" s="42" t="s">
        <v>17917</v>
      </c>
      <c r="D1610" s="43" t="str">
        <f t="shared" si="58"/>
        <v>2022.008D.Aelloviridae_146rensp.zip</v>
      </c>
    </row>
    <row r="1611" spans="1:4">
      <c r="A1611" s="24" t="s">
        <v>14822</v>
      </c>
      <c r="B1611" s="42" t="s">
        <v>17916</v>
      </c>
      <c r="C1611" s="42" t="s">
        <v>17915</v>
      </c>
      <c r="D1611" s="43" t="str">
        <f t="shared" si="58"/>
        <v>2022.008D.Aelloviridae_146rensp.zip</v>
      </c>
    </row>
    <row r="1612" spans="1:4">
      <c r="A1612" s="24" t="s">
        <v>14822</v>
      </c>
      <c r="B1612" s="42" t="s">
        <v>17914</v>
      </c>
      <c r="C1612" s="42" t="s">
        <v>17913</v>
      </c>
      <c r="D1612" s="43" t="str">
        <f t="shared" si="58"/>
        <v>2022.008D.Aelloviridae_146rensp.zip</v>
      </c>
    </row>
    <row r="1613" spans="1:4">
      <c r="A1613" s="24" t="s">
        <v>14822</v>
      </c>
      <c r="B1613" s="42" t="s">
        <v>17912</v>
      </c>
      <c r="C1613" s="42" t="s">
        <v>17911</v>
      </c>
      <c r="D1613" s="43" t="str">
        <f t="shared" si="58"/>
        <v>2022.008D.Aelloviridae_146rensp.zip</v>
      </c>
    </row>
    <row r="1614" spans="1:4">
      <c r="A1614" s="24" t="s">
        <v>14822</v>
      </c>
      <c r="B1614" s="42" t="s">
        <v>17910</v>
      </c>
      <c r="C1614" s="42" t="s">
        <v>17909</v>
      </c>
      <c r="D1614" s="43" t="str">
        <f t="shared" si="58"/>
        <v>2022.008D.Aelloviridae_146rensp.zip</v>
      </c>
    </row>
    <row r="1615" spans="1:4">
      <c r="A1615" s="24" t="s">
        <v>14822</v>
      </c>
      <c r="B1615" s="42" t="s">
        <v>17908</v>
      </c>
      <c r="C1615" s="42" t="s">
        <v>17907</v>
      </c>
      <c r="D1615" s="43" t="str">
        <f t="shared" si="58"/>
        <v>2022.008D.Aelloviridae_146rensp.zip</v>
      </c>
    </row>
    <row r="1616" spans="1:4">
      <c r="A1616" s="24" t="s">
        <v>14822</v>
      </c>
      <c r="B1616" s="42" t="s">
        <v>17906</v>
      </c>
      <c r="C1616" s="42" t="s">
        <v>17905</v>
      </c>
      <c r="D1616" s="43" t="str">
        <f t="shared" si="58"/>
        <v>2022.008D.Aelloviridae_146rensp.zip</v>
      </c>
    </row>
    <row r="1617" spans="1:4">
      <c r="A1617" s="24" t="s">
        <v>14822</v>
      </c>
      <c r="B1617" s="42" t="s">
        <v>17904</v>
      </c>
      <c r="C1617" s="42" t="s">
        <v>17903</v>
      </c>
      <c r="D1617" s="43" t="str">
        <f t="shared" si="58"/>
        <v>2022.008D.Aelloviridae_146rensp.zip</v>
      </c>
    </row>
    <row r="1618" spans="1:4">
      <c r="A1618" s="24" t="s">
        <v>14822</v>
      </c>
      <c r="B1618" s="42" t="s">
        <v>17896</v>
      </c>
      <c r="C1618" s="42" t="s">
        <v>17895</v>
      </c>
      <c r="D1618" s="43" t="str">
        <f t="shared" si="58"/>
        <v>2022.008D.Aelloviridae_146rensp.zip</v>
      </c>
    </row>
    <row r="1619" spans="1:4">
      <c r="A1619" s="24" t="s">
        <v>14822</v>
      </c>
      <c r="B1619" s="42" t="s">
        <v>17894</v>
      </c>
      <c r="C1619" s="42" t="s">
        <v>17893</v>
      </c>
      <c r="D1619" s="43" t="str">
        <f t="shared" si="58"/>
        <v>2022.008D.Aelloviridae_146rensp.zip</v>
      </c>
    </row>
    <row r="1620" spans="1:4">
      <c r="A1620" s="24" t="s">
        <v>14822</v>
      </c>
      <c r="B1620" s="42" t="s">
        <v>17892</v>
      </c>
      <c r="C1620" s="42" t="s">
        <v>17891</v>
      </c>
      <c r="D1620" s="43" t="str">
        <f t="shared" si="58"/>
        <v>2022.008D.Aelloviridae_146rensp.zip</v>
      </c>
    </row>
    <row r="1621" spans="1:4">
      <c r="A1621" s="24" t="s">
        <v>14822</v>
      </c>
      <c r="B1621" s="42" t="s">
        <v>17902</v>
      </c>
      <c r="C1621" s="42" t="s">
        <v>17901</v>
      </c>
      <c r="D1621" s="43" t="str">
        <f t="shared" si="58"/>
        <v>2022.008D.Aelloviridae_146rensp.zip</v>
      </c>
    </row>
    <row r="1622" spans="1:4">
      <c r="A1622" s="24" t="s">
        <v>14822</v>
      </c>
      <c r="B1622" s="42" t="s">
        <v>17900</v>
      </c>
      <c r="C1622" s="42" t="s">
        <v>17899</v>
      </c>
      <c r="D1622" s="43" t="str">
        <f t="shared" si="58"/>
        <v>2022.008D.Aelloviridae_146rensp.zip</v>
      </c>
    </row>
    <row r="1623" spans="1:4">
      <c r="A1623" s="24" t="s">
        <v>14822</v>
      </c>
      <c r="B1623" s="42" t="s">
        <v>17898</v>
      </c>
      <c r="C1623" s="42" t="s">
        <v>17897</v>
      </c>
      <c r="D1623" s="43" t="str">
        <f t="shared" si="58"/>
        <v>2022.008D.Aelloviridae_146rensp.zip</v>
      </c>
    </row>
    <row r="1624" spans="1:4">
      <c r="A1624" s="24" t="s">
        <v>14822</v>
      </c>
      <c r="B1624" s="42" t="s">
        <v>17890</v>
      </c>
      <c r="C1624" s="42" t="s">
        <v>17889</v>
      </c>
      <c r="D1624" s="43" t="str">
        <f t="shared" si="58"/>
        <v>2022.008D.Aelloviridae_146rensp.zip</v>
      </c>
    </row>
    <row r="1625" spans="1:4">
      <c r="A1625" s="24" t="s">
        <v>14822</v>
      </c>
      <c r="B1625" s="42" t="s">
        <v>17888</v>
      </c>
      <c r="C1625" s="42" t="s">
        <v>17887</v>
      </c>
      <c r="D1625" s="43" t="str">
        <f t="shared" si="58"/>
        <v>2022.008D.Aelloviridae_146rensp.zip</v>
      </c>
    </row>
    <row r="1626" spans="1:4">
      <c r="A1626" s="24" t="s">
        <v>14822</v>
      </c>
      <c r="B1626" s="42" t="s">
        <v>17886</v>
      </c>
      <c r="C1626" s="42" t="s">
        <v>17885</v>
      </c>
      <c r="D1626" s="43" t="str">
        <f t="shared" si="58"/>
        <v>2022.008D.Aelloviridae_146rensp.zip</v>
      </c>
    </row>
    <row r="1627" spans="1:4">
      <c r="A1627" s="24" t="s">
        <v>14822</v>
      </c>
      <c r="B1627" s="42" t="s">
        <v>17884</v>
      </c>
      <c r="C1627" s="42" t="s">
        <v>17883</v>
      </c>
      <c r="D1627" s="43" t="str">
        <f t="shared" si="58"/>
        <v>2022.008D.Aelloviridae_146rensp.zip</v>
      </c>
    </row>
    <row r="1628" spans="1:4">
      <c r="A1628" s="24" t="s">
        <v>14822</v>
      </c>
      <c r="B1628" s="42" t="s">
        <v>17882</v>
      </c>
      <c r="C1628" s="42" t="s">
        <v>17881</v>
      </c>
      <c r="D1628" s="43" t="str">
        <f t="shared" si="58"/>
        <v>2022.008D.Aelloviridae_146rensp.zip</v>
      </c>
    </row>
    <row r="1629" spans="1:4">
      <c r="A1629" s="24" t="s">
        <v>14822</v>
      </c>
      <c r="B1629" s="42" t="s">
        <v>17880</v>
      </c>
      <c r="C1629" s="42" t="s">
        <v>17879</v>
      </c>
      <c r="D1629" s="43" t="str">
        <f t="shared" si="58"/>
        <v>2022.008D.Aelloviridae_146rensp.zip</v>
      </c>
    </row>
    <row r="1630" spans="1:4">
      <c r="A1630" s="24" t="s">
        <v>14822</v>
      </c>
      <c r="B1630" s="42" t="s">
        <v>17876</v>
      </c>
      <c r="C1630" s="42" t="s">
        <v>17875</v>
      </c>
      <c r="D1630" s="43" t="str">
        <f t="shared" si="58"/>
        <v>2022.008D.Aelloviridae_146rensp.zip</v>
      </c>
    </row>
    <row r="1631" spans="1:4">
      <c r="A1631" s="24" t="s">
        <v>14822</v>
      </c>
      <c r="B1631" s="42" t="s">
        <v>17878</v>
      </c>
      <c r="C1631" s="42" t="s">
        <v>17877</v>
      </c>
      <c r="D1631" s="43" t="str">
        <f t="shared" si="58"/>
        <v>2022.008D.Aelloviridae_146rensp.zip</v>
      </c>
    </row>
    <row r="1632" spans="1:4">
      <c r="A1632" s="24" t="s">
        <v>14822</v>
      </c>
      <c r="B1632" s="42" t="s">
        <v>17874</v>
      </c>
      <c r="C1632" s="42" t="s">
        <v>17873</v>
      </c>
      <c r="D1632" s="43" t="str">
        <f t="shared" si="58"/>
        <v>2022.008D.Aelloviridae_146rensp.zip</v>
      </c>
    </row>
    <row r="1633" spans="1:4">
      <c r="A1633" s="24" t="s">
        <v>14822</v>
      </c>
      <c r="B1633" s="42" t="s">
        <v>17872</v>
      </c>
      <c r="C1633" s="42" t="s">
        <v>17871</v>
      </c>
      <c r="D1633" s="43" t="str">
        <f t="shared" si="58"/>
        <v>2022.008D.Aelloviridae_146rensp.zip</v>
      </c>
    </row>
    <row r="1634" spans="1:4">
      <c r="A1634" s="24" t="s">
        <v>14822</v>
      </c>
      <c r="B1634" s="42" t="s">
        <v>17870</v>
      </c>
      <c r="C1634" s="42" t="s">
        <v>17869</v>
      </c>
      <c r="D1634" s="43" t="str">
        <f t="shared" si="58"/>
        <v>2022.008D.Aelloviridae_146rensp.zip</v>
      </c>
    </row>
    <row r="1635" spans="1:4">
      <c r="A1635" s="24" t="s">
        <v>14822</v>
      </c>
      <c r="B1635" s="42" t="s">
        <v>17868</v>
      </c>
      <c r="C1635" s="42" t="s">
        <v>17867</v>
      </c>
      <c r="D1635" s="43" t="str">
        <f t="shared" si="58"/>
        <v>2022.008D.Aelloviridae_146rensp.zip</v>
      </c>
    </row>
    <row r="1636" spans="1:4">
      <c r="A1636" s="24" t="s">
        <v>14822</v>
      </c>
      <c r="B1636" s="42" t="s">
        <v>17866</v>
      </c>
      <c r="C1636" s="42" t="s">
        <v>17865</v>
      </c>
      <c r="D1636" s="43" t="str">
        <f t="shared" si="58"/>
        <v>2022.008D.Aelloviridae_146rensp.zip</v>
      </c>
    </row>
    <row r="1637" spans="1:4">
      <c r="A1637" s="24" t="s">
        <v>14822</v>
      </c>
      <c r="B1637" s="42" t="s">
        <v>17864</v>
      </c>
      <c r="C1637" s="42" t="s">
        <v>17863</v>
      </c>
      <c r="D1637" s="43" t="str">
        <f t="shared" si="58"/>
        <v>2022.008D.Aelloviridae_146rensp.zip</v>
      </c>
    </row>
    <row r="1638" spans="1:4">
      <c r="A1638" s="24" t="s">
        <v>14822</v>
      </c>
      <c r="B1638" s="42" t="s">
        <v>17862</v>
      </c>
      <c r="C1638" s="42" t="s">
        <v>17861</v>
      </c>
      <c r="D1638" s="43" t="str">
        <f t="shared" si="58"/>
        <v>2022.008D.Aelloviridae_146rensp.zip</v>
      </c>
    </row>
    <row r="1639" spans="1:4">
      <c r="A1639" s="24" t="s">
        <v>14822</v>
      </c>
      <c r="B1639" s="42" t="s">
        <v>17860</v>
      </c>
      <c r="C1639" s="42" t="s">
        <v>17859</v>
      </c>
      <c r="D1639" s="43" t="str">
        <f t="shared" si="58"/>
        <v>2022.008D.Aelloviridae_146rensp.zip</v>
      </c>
    </row>
    <row r="1640" spans="1:4">
      <c r="A1640" s="24" t="s">
        <v>14822</v>
      </c>
      <c r="B1640" s="42" t="s">
        <v>17858</v>
      </c>
      <c r="C1640" s="42" t="s">
        <v>17857</v>
      </c>
      <c r="D1640" s="43" t="str">
        <f t="shared" ref="D1640:D1657" si="59">HYPERLINK("https://ictv.global/ictv/proposals/2022.008D.Aelloviridae_146rensp.zip","2022.008D.Aelloviridae_146rensp.zip")</f>
        <v>2022.008D.Aelloviridae_146rensp.zip</v>
      </c>
    </row>
    <row r="1641" spans="1:4">
      <c r="A1641" s="24" t="s">
        <v>14822</v>
      </c>
      <c r="B1641" s="42" t="s">
        <v>17856</v>
      </c>
      <c r="C1641" s="42" t="s">
        <v>17855</v>
      </c>
      <c r="D1641" s="43" t="str">
        <f t="shared" si="59"/>
        <v>2022.008D.Aelloviridae_146rensp.zip</v>
      </c>
    </row>
    <row r="1642" spans="1:4">
      <c r="A1642" s="24" t="s">
        <v>14822</v>
      </c>
      <c r="B1642" s="42" t="s">
        <v>17854</v>
      </c>
      <c r="C1642" s="42" t="s">
        <v>17853</v>
      </c>
      <c r="D1642" s="43" t="str">
        <f t="shared" si="59"/>
        <v>2022.008D.Aelloviridae_146rensp.zip</v>
      </c>
    </row>
    <row r="1643" spans="1:4">
      <c r="A1643" s="24" t="s">
        <v>14822</v>
      </c>
      <c r="B1643" s="42" t="s">
        <v>17852</v>
      </c>
      <c r="C1643" s="42" t="s">
        <v>17851</v>
      </c>
      <c r="D1643" s="43" t="str">
        <f t="shared" si="59"/>
        <v>2022.008D.Aelloviridae_146rensp.zip</v>
      </c>
    </row>
    <row r="1644" spans="1:4">
      <c r="A1644" s="24" t="s">
        <v>14822</v>
      </c>
      <c r="B1644" s="42" t="s">
        <v>17850</v>
      </c>
      <c r="C1644" s="42" t="s">
        <v>17849</v>
      </c>
      <c r="D1644" s="43" t="str">
        <f t="shared" si="59"/>
        <v>2022.008D.Aelloviridae_146rensp.zip</v>
      </c>
    </row>
    <row r="1645" spans="1:4">
      <c r="A1645" s="24" t="s">
        <v>14822</v>
      </c>
      <c r="B1645" s="42" t="s">
        <v>17848</v>
      </c>
      <c r="C1645" s="42" t="s">
        <v>17847</v>
      </c>
      <c r="D1645" s="43" t="str">
        <f t="shared" si="59"/>
        <v>2022.008D.Aelloviridae_146rensp.zip</v>
      </c>
    </row>
    <row r="1646" spans="1:4">
      <c r="A1646" s="24" t="s">
        <v>14822</v>
      </c>
      <c r="B1646" s="42" t="s">
        <v>17846</v>
      </c>
      <c r="C1646" s="42" t="s">
        <v>17845</v>
      </c>
      <c r="D1646" s="43" t="str">
        <f t="shared" si="59"/>
        <v>2022.008D.Aelloviridae_146rensp.zip</v>
      </c>
    </row>
    <row r="1647" spans="1:4">
      <c r="A1647" s="24" t="s">
        <v>14822</v>
      </c>
      <c r="B1647" s="42" t="s">
        <v>17838</v>
      </c>
      <c r="C1647" s="42" t="s">
        <v>17837</v>
      </c>
      <c r="D1647" s="43" t="str">
        <f t="shared" si="59"/>
        <v>2022.008D.Aelloviridae_146rensp.zip</v>
      </c>
    </row>
    <row r="1648" spans="1:4">
      <c r="A1648" s="24" t="s">
        <v>14822</v>
      </c>
      <c r="B1648" s="42" t="s">
        <v>17842</v>
      </c>
      <c r="C1648" s="42" t="s">
        <v>17841</v>
      </c>
      <c r="D1648" s="43" t="str">
        <f t="shared" si="59"/>
        <v>2022.008D.Aelloviridae_146rensp.zip</v>
      </c>
    </row>
    <row r="1649" spans="1:4">
      <c r="A1649" s="24" t="s">
        <v>14822</v>
      </c>
      <c r="B1649" s="42" t="s">
        <v>17840</v>
      </c>
      <c r="C1649" s="42" t="s">
        <v>17839</v>
      </c>
      <c r="D1649" s="43" t="str">
        <f t="shared" si="59"/>
        <v>2022.008D.Aelloviridae_146rensp.zip</v>
      </c>
    </row>
    <row r="1650" spans="1:4">
      <c r="A1650" s="24" t="s">
        <v>14822</v>
      </c>
      <c r="B1650" s="42" t="s">
        <v>17836</v>
      </c>
      <c r="C1650" s="42" t="s">
        <v>17835</v>
      </c>
      <c r="D1650" s="43" t="str">
        <f t="shared" si="59"/>
        <v>2022.008D.Aelloviridae_146rensp.zip</v>
      </c>
    </row>
    <row r="1651" spans="1:4">
      <c r="A1651" s="24" t="s">
        <v>14822</v>
      </c>
      <c r="B1651" s="42" t="s">
        <v>17834</v>
      </c>
      <c r="C1651" s="42" t="s">
        <v>17833</v>
      </c>
      <c r="D1651" s="43" t="str">
        <f t="shared" si="59"/>
        <v>2022.008D.Aelloviridae_146rensp.zip</v>
      </c>
    </row>
    <row r="1652" spans="1:4">
      <c r="A1652" s="24" t="s">
        <v>14822</v>
      </c>
      <c r="B1652" s="42" t="s">
        <v>17844</v>
      </c>
      <c r="C1652" s="42" t="s">
        <v>17843</v>
      </c>
      <c r="D1652" s="43" t="str">
        <f t="shared" si="59"/>
        <v>2022.008D.Aelloviridae_146rensp.zip</v>
      </c>
    </row>
    <row r="1653" spans="1:4">
      <c r="A1653" s="24" t="s">
        <v>14822</v>
      </c>
      <c r="B1653" s="42" t="s">
        <v>17830</v>
      </c>
      <c r="C1653" s="42" t="s">
        <v>17829</v>
      </c>
      <c r="D1653" s="43" t="str">
        <f t="shared" si="59"/>
        <v>2022.008D.Aelloviridae_146rensp.zip</v>
      </c>
    </row>
    <row r="1654" spans="1:4">
      <c r="A1654" s="24" t="s">
        <v>14822</v>
      </c>
      <c r="B1654" s="42" t="s">
        <v>17832</v>
      </c>
      <c r="C1654" s="42" t="s">
        <v>17831</v>
      </c>
      <c r="D1654" s="43" t="str">
        <f t="shared" si="59"/>
        <v>2022.008D.Aelloviridae_146rensp.zip</v>
      </c>
    </row>
    <row r="1655" spans="1:4">
      <c r="A1655" s="24" t="s">
        <v>14822</v>
      </c>
      <c r="B1655" s="42" t="s">
        <v>17828</v>
      </c>
      <c r="C1655" s="42" t="s">
        <v>17827</v>
      </c>
      <c r="D1655" s="43" t="str">
        <f t="shared" si="59"/>
        <v>2022.008D.Aelloviridae_146rensp.zip</v>
      </c>
    </row>
    <row r="1656" spans="1:4">
      <c r="A1656" s="24" t="s">
        <v>14822</v>
      </c>
      <c r="B1656" s="42" t="s">
        <v>17826</v>
      </c>
      <c r="C1656" s="42" t="s">
        <v>17825</v>
      </c>
      <c r="D1656" s="43" t="str">
        <f t="shared" si="59"/>
        <v>2022.008D.Aelloviridae_146rensp.zip</v>
      </c>
    </row>
    <row r="1657" spans="1:4">
      <c r="A1657" s="24" t="s">
        <v>14822</v>
      </c>
      <c r="B1657" s="42" t="s">
        <v>17824</v>
      </c>
      <c r="C1657" s="42" t="s">
        <v>17823</v>
      </c>
      <c r="D1657" s="43" t="str">
        <f t="shared" si="59"/>
        <v>2022.008D.Aelloviridae_146rensp.zip</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D830E-6358-0B45-8098-178B8E72A13D}">
  <dimension ref="B1:H17"/>
  <sheetViews>
    <sheetView zoomScaleNormal="100" workbookViewId="0"/>
  </sheetViews>
  <sheetFormatPr baseColWidth="10" defaultRowHeight="16"/>
  <cols>
    <col min="1" max="1" width="2.83203125" style="24" customWidth="1"/>
    <col min="2" max="3" width="11.33203125" style="24" bestFit="1" customWidth="1"/>
    <col min="4" max="4" width="5" style="24" bestFit="1" customWidth="1"/>
    <col min="5" max="5" width="9.1640625" style="24" bestFit="1" customWidth="1"/>
    <col min="6" max="6" width="6.83203125" style="24" bestFit="1" customWidth="1"/>
    <col min="7" max="7" width="9" style="24" bestFit="1" customWidth="1"/>
    <col min="8" max="8" width="11.83203125" style="24" bestFit="1" customWidth="1"/>
    <col min="9" max="16384" width="10.83203125" style="24"/>
  </cols>
  <sheetData>
    <row r="1" spans="2:8" s="26" customFormat="1" ht="17" thickBot="1"/>
    <row r="2" spans="2:8">
      <c r="B2" s="35" t="s">
        <v>18141</v>
      </c>
      <c r="C2" s="36" t="s">
        <v>18168</v>
      </c>
      <c r="D2" s="36" t="s">
        <v>18142</v>
      </c>
      <c r="E2" s="36" t="s">
        <v>18143</v>
      </c>
      <c r="F2" s="36" t="s">
        <v>18144</v>
      </c>
      <c r="G2" s="36" t="s">
        <v>18145</v>
      </c>
      <c r="H2" s="37" t="s">
        <v>18169</v>
      </c>
    </row>
    <row r="3" spans="2:8">
      <c r="B3" s="40" t="s">
        <v>2988</v>
      </c>
      <c r="C3" s="27">
        <v>6</v>
      </c>
      <c r="D3" s="27">
        <v>0</v>
      </c>
      <c r="E3" s="27">
        <v>0</v>
      </c>
      <c r="F3" s="27">
        <v>0</v>
      </c>
      <c r="G3" s="27">
        <v>0</v>
      </c>
      <c r="H3" s="38">
        <v>6</v>
      </c>
    </row>
    <row r="4" spans="2:8">
      <c r="B4" s="40" t="s">
        <v>2989</v>
      </c>
      <c r="C4" s="27">
        <v>0</v>
      </c>
      <c r="D4" s="27">
        <v>0</v>
      </c>
      <c r="E4" s="27">
        <v>0</v>
      </c>
      <c r="F4" s="27">
        <v>0</v>
      </c>
      <c r="G4" s="27">
        <v>0</v>
      </c>
      <c r="H4" s="38">
        <v>0</v>
      </c>
    </row>
    <row r="5" spans="2:8">
      <c r="B5" s="40" t="s">
        <v>2990</v>
      </c>
      <c r="C5" s="27">
        <v>10</v>
      </c>
      <c r="D5" s="27">
        <v>0</v>
      </c>
      <c r="E5" s="27">
        <v>0</v>
      </c>
      <c r="F5" s="27">
        <v>0</v>
      </c>
      <c r="G5" s="27">
        <v>0</v>
      </c>
      <c r="H5" s="38">
        <v>10</v>
      </c>
    </row>
    <row r="6" spans="2:8">
      <c r="B6" s="40" t="s">
        <v>2991</v>
      </c>
      <c r="C6" s="27">
        <v>0</v>
      </c>
      <c r="D6" s="27">
        <v>0</v>
      </c>
      <c r="E6" s="27">
        <v>0</v>
      </c>
      <c r="F6" s="27">
        <v>0</v>
      </c>
      <c r="G6" s="27">
        <v>0</v>
      </c>
      <c r="H6" s="38">
        <v>0</v>
      </c>
    </row>
    <row r="7" spans="2:8">
      <c r="B7" s="40" t="s">
        <v>2992</v>
      </c>
      <c r="C7" s="27">
        <v>17</v>
      </c>
      <c r="D7" s="27">
        <v>0</v>
      </c>
      <c r="E7" s="27">
        <v>0</v>
      </c>
      <c r="F7" s="27">
        <v>0</v>
      </c>
      <c r="G7" s="27">
        <v>0</v>
      </c>
      <c r="H7" s="38">
        <v>17</v>
      </c>
    </row>
    <row r="8" spans="2:8">
      <c r="B8" s="40" t="s">
        <v>2993</v>
      </c>
      <c r="C8" s="27">
        <v>2</v>
      </c>
      <c r="D8" s="27">
        <v>0</v>
      </c>
      <c r="E8" s="27">
        <v>0</v>
      </c>
      <c r="F8" s="27">
        <v>0</v>
      </c>
      <c r="G8" s="27">
        <v>0</v>
      </c>
      <c r="H8" s="38">
        <v>2</v>
      </c>
    </row>
    <row r="9" spans="2:8">
      <c r="B9" s="40" t="s">
        <v>2994</v>
      </c>
      <c r="C9" s="27">
        <v>39</v>
      </c>
      <c r="D9" s="27">
        <v>1</v>
      </c>
      <c r="E9" s="27">
        <v>0</v>
      </c>
      <c r="F9" s="27">
        <v>0</v>
      </c>
      <c r="G9" s="27">
        <v>0</v>
      </c>
      <c r="H9" s="38">
        <v>40</v>
      </c>
    </row>
    <row r="10" spans="2:8">
      <c r="B10" s="40" t="s">
        <v>2995</v>
      </c>
      <c r="C10" s="27">
        <v>0</v>
      </c>
      <c r="D10" s="27">
        <v>0</v>
      </c>
      <c r="E10" s="27">
        <v>0</v>
      </c>
      <c r="F10" s="27">
        <v>0</v>
      </c>
      <c r="G10" s="27">
        <v>0</v>
      </c>
      <c r="H10" s="38">
        <v>0</v>
      </c>
    </row>
    <row r="11" spans="2:8">
      <c r="B11" s="40" t="s">
        <v>780</v>
      </c>
      <c r="C11" s="27">
        <v>65</v>
      </c>
      <c r="D11" s="27">
        <v>7</v>
      </c>
      <c r="E11" s="27">
        <v>0</v>
      </c>
      <c r="F11" s="27">
        <v>0</v>
      </c>
      <c r="G11" s="27">
        <v>0</v>
      </c>
      <c r="H11" s="38">
        <v>72</v>
      </c>
    </row>
    <row r="12" spans="2:8">
      <c r="B12" s="40" t="s">
        <v>2996</v>
      </c>
      <c r="C12" s="27">
        <v>8</v>
      </c>
      <c r="D12" s="27">
        <v>0</v>
      </c>
      <c r="E12" s="27">
        <v>0</v>
      </c>
      <c r="F12" s="27">
        <v>0</v>
      </c>
      <c r="G12" s="27">
        <v>0</v>
      </c>
      <c r="H12" s="38">
        <v>8</v>
      </c>
    </row>
    <row r="13" spans="2:8">
      <c r="B13" s="40" t="s">
        <v>1345</v>
      </c>
      <c r="C13" s="27">
        <v>233</v>
      </c>
      <c r="D13" s="27">
        <v>31</v>
      </c>
      <c r="E13" s="27">
        <v>0</v>
      </c>
      <c r="F13" s="27">
        <v>1</v>
      </c>
      <c r="G13" s="27">
        <v>1</v>
      </c>
      <c r="H13" s="38">
        <v>264</v>
      </c>
    </row>
    <row r="14" spans="2:8">
      <c r="B14" s="40" t="s">
        <v>1346</v>
      </c>
      <c r="C14" s="27">
        <v>168</v>
      </c>
      <c r="D14" s="27">
        <v>14</v>
      </c>
      <c r="E14" s="27">
        <v>0</v>
      </c>
      <c r="F14" s="27">
        <v>1</v>
      </c>
      <c r="G14" s="27">
        <v>0</v>
      </c>
      <c r="H14" s="38">
        <v>182</v>
      </c>
    </row>
    <row r="15" spans="2:8">
      <c r="B15" s="40" t="s">
        <v>1347</v>
      </c>
      <c r="C15" s="27">
        <v>2606</v>
      </c>
      <c r="D15" s="27">
        <v>214</v>
      </c>
      <c r="E15" s="27">
        <v>-2</v>
      </c>
      <c r="F15" s="27">
        <v>15</v>
      </c>
      <c r="G15" s="27">
        <v>12</v>
      </c>
      <c r="H15" s="38">
        <v>2818</v>
      </c>
    </row>
    <row r="16" spans="2:8">
      <c r="B16" s="40" t="s">
        <v>2997</v>
      </c>
      <c r="C16" s="27">
        <v>84</v>
      </c>
      <c r="D16" s="27">
        <v>0</v>
      </c>
      <c r="E16" s="27">
        <v>0</v>
      </c>
      <c r="F16" s="27">
        <v>0</v>
      </c>
      <c r="G16" s="27">
        <v>0</v>
      </c>
      <c r="H16" s="38">
        <v>84</v>
      </c>
    </row>
    <row r="17" spans="2:8" ht="17" thickBot="1">
      <c r="B17" s="41" t="s">
        <v>1348</v>
      </c>
      <c r="C17" s="28">
        <v>10434</v>
      </c>
      <c r="D17" s="28">
        <v>858</v>
      </c>
      <c r="E17" s="28">
        <v>-19</v>
      </c>
      <c r="F17" s="28">
        <v>6</v>
      </c>
      <c r="G17" s="28">
        <v>1643</v>
      </c>
      <c r="H17" s="39">
        <v>11273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Version</vt:lpstr>
      <vt:lpstr>MSL</vt:lpstr>
      <vt:lpstr>Column Definitions</vt:lpstr>
      <vt:lpstr>Taxa Renamed in MSL38</vt:lpstr>
      <vt:lpstr>Taxon Counts</vt:lpstr>
    </vt:vector>
  </TitlesOfParts>
  <Company>UAB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Curtis Hendrickson</dc:creator>
  <cp:lastModifiedBy>Elliot Lefkowitz</cp:lastModifiedBy>
  <cp:lastPrinted>2009-10-04T23:39:18Z</cp:lastPrinted>
  <dcterms:created xsi:type="dcterms:W3CDTF">2009-08-13T19:43:48Z</dcterms:created>
  <dcterms:modified xsi:type="dcterms:W3CDTF">2023-06-07T19:40:40Z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b3e54a7d-6175-4c77-9337-59c65cfd6551</vt:lpwstr>
  </property>
</Properties>
</file>